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drawings/drawing7.xml" ContentType="application/vnd.openxmlformats-officedocument.drawing+xml"/>
  <Override PartName="/xl/drawings/drawing6.xml" ContentType="application/vnd.openxmlformats-officedocument.drawing+xml"/>
  <Override PartName="/xl/pivotTables/pivotTable3.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6.xml" ContentType="application/vnd.openxmlformats-officedocument.spreadsheetml.pivotTable+xml"/>
  <Override PartName="/xl/pivotTables/pivotTable5.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33.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32.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8.xml" ContentType="application/vnd.openxmlformats-officedocument.spreadsheetml.worksheet+xml"/>
  <Override PartName="/xl/worksheets/sheet11.xml" ContentType="application/vnd.openxmlformats-officedocument.spreadsheetml.worksheet+xml"/>
  <Override PartName="/xl/worksheets/sheet21.xml" ContentType="application/vnd.openxmlformats-officedocument.spreadsheetml.worksheet+xml"/>
  <Override PartName="/xl/worksheets/sheet13.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9.xml" ContentType="application/vnd.openxmlformats-officedocument.spreadsheetml.worksheet+xml"/>
  <Override PartName="/xl/worksheets/sheet15.xml" ContentType="application/vnd.openxmlformats-officedocument.spreadsheetml.worksheet+xml"/>
  <Override PartName="/xl/pivotCache/pivotCacheRecords2.xml" ContentType="application/vnd.openxmlformats-officedocument.spreadsheetml.pivotCacheRecords+xml"/>
  <Override PartName="/xl/externalLinks/externalLink2.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docProps/app.xml" ContentType="application/vnd.openxmlformats-officedocument.extended-properties+xml"/>
  <Override PartName="/xl/externalLinks/externalLink50.xml" ContentType="application/vnd.openxmlformats-officedocument.spreadsheetml.externalLink+xml"/>
  <Override PartName="/xl/comments7.xml" ContentType="application/vnd.openxmlformats-officedocument.spreadsheetml.comments+xml"/>
  <Override PartName="/xl/externalLinks/externalLink49.xml" ContentType="application/vnd.openxmlformats-officedocument.spreadsheetml.externalLink+xml"/>
  <Override PartName="/xl/comments8.xml" ContentType="application/vnd.openxmlformats-officedocument.spreadsheetml.comments+xml"/>
  <Override PartName="/xl/comments6.xml" ContentType="application/vnd.openxmlformats-officedocument.spreadsheetml.comments+xml"/>
  <Override PartName="/xl/externalLinks/externalLink51.xml" ContentType="application/vnd.openxmlformats-officedocument.spreadsheetml.externalLink+xml"/>
  <Override PartName="/xl/comments5.xml" ContentType="application/vnd.openxmlformats-officedocument.spreadsheetml.comments+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comments9.xml" ContentType="application/vnd.openxmlformats-officedocument.spreadsheetml.comments+xml"/>
  <Override PartName="/xl/externalLinks/externalLink52.xml" ContentType="application/vnd.openxmlformats-officedocument.spreadsheetml.externalLink+xml"/>
  <Override PartName="/xl/comments4.xml" ContentType="application/vnd.openxmlformats-officedocument.spreadsheetml.comments+xml"/>
  <Override PartName="/xl/pivotCache/pivotCacheRecords6.xml" ContentType="application/vnd.openxmlformats-officedocument.spreadsheetml.pivotCacheRecord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57.xml" ContentType="application/vnd.openxmlformats-officedocument.spreadsheetml.externalLink+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comments3.xml" ContentType="application/vnd.openxmlformats-officedocument.spreadsheetml.comments+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comments2.xml" ContentType="application/vnd.openxmlformats-officedocument.spreadsheetml.comments+xml"/>
  <Override PartName="/xl/externalLinks/externalLink56.xml" ContentType="application/vnd.openxmlformats-officedocument.spreadsheetml.externalLink+xml"/>
  <Override PartName="/xl/comments1.xml" ContentType="application/vnd.openxmlformats-officedocument.spreadsheetml.comments+xml"/>
  <Override PartName="/xl/externalLinks/externalLink55.xml" ContentType="application/vnd.openxmlformats-officedocument.spreadsheetml.externalLink+xml"/>
  <Override PartName="/xl/comments10.xml" ContentType="application/vnd.openxmlformats-officedocument.spreadsheetml.comments+xml"/>
  <Override PartName="/xl/externalLinks/externalLink41.xml" ContentType="application/vnd.openxmlformats-officedocument.spreadsheetml.externalLink+xml"/>
  <Override PartName="/xl/comments15.xml" ContentType="application/vnd.openxmlformats-officedocument.spreadsheetml.comments+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comments16.xml" ContentType="application/vnd.openxmlformats-officedocument.spreadsheetml.comments+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comments13.xml" ContentType="application/vnd.openxmlformats-officedocument.spreadsheetml.comments+xml"/>
  <Override PartName="/xl/externalLinks/externalLink28.xml" ContentType="application/vnd.openxmlformats-officedocument.spreadsheetml.externalLink+xml"/>
  <Override PartName="/xl/comments14.xml" ContentType="application/vnd.openxmlformats-officedocument.spreadsheetml.comments+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18.xml" ContentType="application/vnd.openxmlformats-officedocument.spreadsheetml.externalLink+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19.xml" ContentType="application/vnd.openxmlformats-officedocument.spreadsheetml.externalLink+xml"/>
  <Override PartName="/xl/comments18.xml" ContentType="application/vnd.openxmlformats-officedocument.spreadsheetml.comments+xml"/>
  <Override PartName="/xl/comments17.xml" ContentType="application/vnd.openxmlformats-officedocument.spreadsheetml.comments+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8.xml" ContentType="application/vnd.openxmlformats-officedocument.spreadsheetml.externalLink+xml"/>
  <Override PartName="/xl/activeX/activeX1.xml" ContentType="application/vnd.ms-office.activeX+xml"/>
  <Override PartName="/xl/activeX/activeX1.bin" ContentType="application/vnd.ms-office.activeX"/>
  <Override PartName="/xl/externalLinks/externalLink37.xml" ContentType="application/vnd.openxmlformats-officedocument.spreadsheetml.externalLink+xml"/>
  <Override PartName="/xl/externalLinks/externalLink39.xml" ContentType="application/vnd.openxmlformats-officedocument.spreadsheetml.externalLink+xml"/>
  <Override PartName="/xl/comments12.xml" ContentType="application/vnd.openxmlformats-officedocument.spreadsheetml.comments+xml"/>
  <Override PartName="/xl/comments11.xml" ContentType="application/vnd.openxmlformats-officedocument.spreadsheetml.comments+xml"/>
  <Override PartName="/xl/externalLinks/externalLink40.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activeX/activeX2.xml" ContentType="application/vnd.ms-office.activeX+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activeX/activeX4.xml" ContentType="application/vnd.ms-office.activeX+xml"/>
  <Override PartName="/xl/activeX/activeX4.bin" ContentType="application/vnd.ms-office.activeX"/>
  <Override PartName="/xl/activeX/activeX3.bin" ContentType="application/vnd.ms-office.activeX"/>
  <Override PartName="/xl/activeX/activeX3.xml" ContentType="application/vnd.ms-office.activeX+xml"/>
  <Override PartName="/xl/activeX/activeX2.bin" ContentType="application/vnd.ms-office.activeX"/>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pivotCache/pivotCacheDefinition2.xml" ContentType="application/vnd.openxmlformats-officedocument.spreadsheetml.pivotCacheDefinitio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245" windowHeight="5880" tabRatio="868" firstSheet="25"/>
  </bookViews>
  <sheets>
    <sheet name="2183 IS 2018" sheetId="27" r:id="rId1"/>
    <sheet name="2184 IS 2018" sheetId="28" r:id="rId2"/>
    <sheet name="2185 IS 2018" sheetId="29" r:id="rId3"/>
    <sheet name="Consolidated IS " sheetId="1" r:id="rId4"/>
    <sheet name="2183 Pro Forma" sheetId="20" r:id="rId5"/>
    <sheet name="2184 Pro Forma-Bale Fee" sheetId="49" r:id="rId6"/>
    <sheet name="Restating Adj's" sheetId="31" r:id="rId7"/>
    <sheet name="Pro-forma Adj's" sheetId="37" r:id="rId8"/>
    <sheet name="2183-2184-2185 Ratios" sheetId="7" r:id="rId9"/>
    <sheet name="2183 LOB Ratios" sheetId="8" r:id="rId10"/>
    <sheet name="2184 Ratios" sheetId="50" r:id="rId11"/>
    <sheet name="Pacific - Price Out" sheetId="54" r:id="rId12"/>
    <sheet name="Rural - Price Out " sheetId="56" r:id="rId13"/>
    <sheet name="Pacific &amp; Rural Rate Schedule" sheetId="59" r:id="rId14"/>
    <sheet name="2018 Pacific Payroll" sheetId="61" r:id="rId15"/>
    <sheet name="Disposal Allocation" sheetId="41" r:id="rId16"/>
    <sheet name="04.30.18 2183 BS" sheetId="35" r:id="rId17"/>
    <sheet name="04.30.19 2183 BS" sheetId="33" r:id="rId18"/>
    <sheet name="Corporate IS" sheetId="39" r:id="rId19"/>
    <sheet name="Corporate BS" sheetId="40" r:id="rId20"/>
    <sheet name="Corp OH" sheetId="47" r:id="rId21"/>
    <sheet name="Region OH 4.30.19" sheetId="36" r:id="rId22"/>
    <sheet name="DVP-DivCon Allocs" sheetId="38" r:id="rId23"/>
    <sheet name="Deprec 2183 4.30.19" sheetId="26" r:id="rId24"/>
    <sheet name="LG Public 2018 V5.0c" sheetId="22" r:id="rId25"/>
    <sheet name="LG Public 2018 V5.0c MSW" sheetId="52" r:id="rId26"/>
    <sheet name="LG Public 2018 V5.0c Rec" sheetId="51" r:id="rId27"/>
    <sheet name="LG Public 2018 V5.0c YW" sheetId="53" r:id="rId28"/>
    <sheet name="JE Query 59341" sheetId="48" r:id="rId29"/>
    <sheet name="JE Query - 59342" sheetId="58" r:id="rId30"/>
    <sheet name="JE Query 60225" sheetId="43" r:id="rId31"/>
    <sheet name="JE Query 70095" sheetId="44" r:id="rId32"/>
    <sheet name="JE Query 70195" sheetId="45" r:id="rId33"/>
    <sheet name="JE Query - 40101" sheetId="57" r:id="rId34"/>
    <sheet name="JE Query 70255" sheetId="46" r:id="rId35"/>
    <sheet name="Not Used --&gt;" sheetId="25"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D" localSheetId="5">#REF!</definedName>
    <definedName name="\D" localSheetId="10">#REF!</definedName>
    <definedName name="\D" localSheetId="25">#REF!</definedName>
    <definedName name="\D" localSheetId="26">#REF!</definedName>
    <definedName name="\D" localSheetId="27">#REF!</definedName>
    <definedName name="\D">#REF!</definedName>
    <definedName name="\S" localSheetId="5">#REF!</definedName>
    <definedName name="\S" localSheetId="10">#REF!</definedName>
    <definedName name="\S" localSheetId="25">#REF!</definedName>
    <definedName name="\S" localSheetId="26">#REF!</definedName>
    <definedName name="\S" localSheetId="27">#REF!</definedName>
    <definedName name="\S">#REF!</definedName>
    <definedName name="\Y" localSheetId="5">#REF!</definedName>
    <definedName name="\Y" localSheetId="10">#REF!</definedName>
    <definedName name="\Y" localSheetId="25">#REF!</definedName>
    <definedName name="\Y" localSheetId="26">#REF!</definedName>
    <definedName name="\Y" localSheetId="27">#REF!</definedName>
    <definedName name="\Y">#REF!</definedName>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16" hidden="1">#REF!</definedName>
    <definedName name="_132Graph_h" localSheetId="14" hidden="1">#REF!</definedName>
    <definedName name="_132Graph_h" localSheetId="5" hidden="1">#REF!</definedName>
    <definedName name="_132Graph_h" localSheetId="10" hidden="1">#REF!</definedName>
    <definedName name="_132Graph_h" localSheetId="20" hidden="1">#REF!</definedName>
    <definedName name="_132Graph_h" localSheetId="22" hidden="1">#REF!</definedName>
    <definedName name="_132Graph_h" localSheetId="25" hidden="1">#REF!</definedName>
    <definedName name="_132Graph_h" localSheetId="26" hidden="1">#REF!</definedName>
    <definedName name="_132Graph_h" localSheetId="27" hidden="1">#REF!</definedName>
    <definedName name="_132Graph_h" localSheetId="13" hidden="1">#REF!</definedName>
    <definedName name="_132Graph_h" localSheetId="7" hidden="1">#REF!</definedName>
    <definedName name="_132Graph_h" hidden="1">#REF!</definedName>
    <definedName name="_ACT1" localSheetId="16">[4]Hidden!#REF!</definedName>
    <definedName name="_ACT1" localSheetId="14">[4]Hidden!#REF!</definedName>
    <definedName name="_ACT1" localSheetId="4">[4]Hidden!#REF!</definedName>
    <definedName name="_ACT1" localSheetId="1">[4]Hidden!#REF!</definedName>
    <definedName name="_ACT1" localSheetId="5">[4]Hidden!#REF!</definedName>
    <definedName name="_ACT1" localSheetId="10">[4]Hidden!#REF!</definedName>
    <definedName name="_ACT1" localSheetId="2">[4]Hidden!#REF!</definedName>
    <definedName name="_ACT1" localSheetId="20">[4]Hidden!#REF!</definedName>
    <definedName name="_ACT1" localSheetId="22">[4]Hidden!#REF!</definedName>
    <definedName name="_ACT1" localSheetId="25">[4]Hidden!#REF!</definedName>
    <definedName name="_ACT1" localSheetId="26">[4]Hidden!#REF!</definedName>
    <definedName name="_ACT1" localSheetId="27">[4]Hidden!#REF!</definedName>
    <definedName name="_ACT1" localSheetId="11">[4]Hidden!#REF!</definedName>
    <definedName name="_ACT1" localSheetId="13">[4]Hidden!#REF!</definedName>
    <definedName name="_ACT1" localSheetId="7">[5]Hidden!#REF!</definedName>
    <definedName name="_ACT1" localSheetId="6">[5]Hidden!#REF!</definedName>
    <definedName name="_ACT1" localSheetId="12">[4]Hidden!#REF!</definedName>
    <definedName name="_ACT1">[4]Hidden!#REF!</definedName>
    <definedName name="_ACT2" localSheetId="16">[4]Hidden!#REF!</definedName>
    <definedName name="_ACT2" localSheetId="14">[4]Hidden!#REF!</definedName>
    <definedName name="_ACT2" localSheetId="4">[4]Hidden!#REF!</definedName>
    <definedName name="_ACT2" localSheetId="1">[4]Hidden!#REF!</definedName>
    <definedName name="_ACT2" localSheetId="5">[4]Hidden!#REF!</definedName>
    <definedName name="_ACT2" localSheetId="10">[4]Hidden!#REF!</definedName>
    <definedName name="_ACT2" localSheetId="2">[4]Hidden!#REF!</definedName>
    <definedName name="_ACT2" localSheetId="20">[4]Hidden!#REF!</definedName>
    <definedName name="_ACT2" localSheetId="22">[4]Hidden!#REF!</definedName>
    <definedName name="_ACT2" localSheetId="25">[4]Hidden!#REF!</definedName>
    <definedName name="_ACT2" localSheetId="26">[4]Hidden!#REF!</definedName>
    <definedName name="_ACT2" localSheetId="27">[4]Hidden!#REF!</definedName>
    <definedName name="_ACT2" localSheetId="11">[4]Hidden!#REF!</definedName>
    <definedName name="_ACT2" localSheetId="13">[4]Hidden!#REF!</definedName>
    <definedName name="_ACT2" localSheetId="7">[5]Hidden!#REF!</definedName>
    <definedName name="_ACT2" localSheetId="6">[5]Hidden!#REF!</definedName>
    <definedName name="_ACT2" localSheetId="12">[4]Hidden!#REF!</definedName>
    <definedName name="_ACT2">[4]Hidden!#REF!</definedName>
    <definedName name="_ACT3" localSheetId="16">[4]Hidden!#REF!</definedName>
    <definedName name="_ACT3" localSheetId="1">[4]Hidden!#REF!</definedName>
    <definedName name="_ACT3" localSheetId="5">[4]Hidden!#REF!</definedName>
    <definedName name="_ACT3" localSheetId="10">[4]Hidden!#REF!</definedName>
    <definedName name="_ACT3" localSheetId="2">[4]Hidden!#REF!</definedName>
    <definedName name="_ACT3" localSheetId="20">[4]Hidden!#REF!</definedName>
    <definedName name="_ACT3" localSheetId="22">[4]Hidden!#REF!</definedName>
    <definedName name="_ACT3" localSheetId="25">[4]Hidden!#REF!</definedName>
    <definedName name="_ACT3" localSheetId="26">[4]Hidden!#REF!</definedName>
    <definedName name="_ACT3" localSheetId="27">[4]Hidden!#REF!</definedName>
    <definedName name="_ACT3" localSheetId="11">[4]Hidden!#REF!</definedName>
    <definedName name="_ACT3" localSheetId="13">[4]Hidden!#REF!</definedName>
    <definedName name="_ACT3" localSheetId="7">[5]Hidden!#REF!</definedName>
    <definedName name="_ACT3" localSheetId="6">[5]Hidden!#REF!</definedName>
    <definedName name="_ACT3" localSheetId="12">[4]Hidden!#REF!</definedName>
    <definedName name="_ACT3">[4]Hidden!#REF!</definedName>
    <definedName name="_COS1" localSheetId="16">#REF!</definedName>
    <definedName name="_COS1" localSheetId="14">#REF!</definedName>
    <definedName name="_COS1" localSheetId="5">#REF!</definedName>
    <definedName name="_COS1" localSheetId="10">#REF!</definedName>
    <definedName name="_COS1" localSheetId="22">#REF!</definedName>
    <definedName name="_COS1" localSheetId="25">#REF!</definedName>
    <definedName name="_COS1" localSheetId="26">#REF!</definedName>
    <definedName name="_COS1" localSheetId="27">#REF!</definedName>
    <definedName name="_COS1" localSheetId="13">#REF!</definedName>
    <definedName name="_COS1" localSheetId="7">#REF!</definedName>
    <definedName name="_COS1">#REF!</definedName>
    <definedName name="_COS2" localSheetId="16">#REF!</definedName>
    <definedName name="_COS2" localSheetId="14">#REF!</definedName>
    <definedName name="_COS2" localSheetId="5">#REF!</definedName>
    <definedName name="_COS2" localSheetId="10">#REF!</definedName>
    <definedName name="_COS2" localSheetId="22">#REF!</definedName>
    <definedName name="_COS2" localSheetId="25">#REF!</definedName>
    <definedName name="_COS2" localSheetId="26">#REF!</definedName>
    <definedName name="_COS2" localSheetId="27">#REF!</definedName>
    <definedName name="_COS2" localSheetId="13">#REF!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16" hidden="1">#REF!</definedName>
    <definedName name="_Fill" localSheetId="14" hidden="1">#REF!</definedName>
    <definedName name="_Fill" localSheetId="5" hidden="1">#REF!</definedName>
    <definedName name="_Fill" localSheetId="10" hidden="1">#REF!</definedName>
    <definedName name="_Fill" localSheetId="20" hidden="1">#REF!</definedName>
    <definedName name="_Fill" localSheetId="22" hidden="1">#REF!</definedName>
    <definedName name="_Fill" localSheetId="25" hidden="1">#REF!</definedName>
    <definedName name="_Fill" localSheetId="26" hidden="1">#REF!</definedName>
    <definedName name="_Fill" localSheetId="27" hidden="1">#REF!</definedName>
    <definedName name="_Fill" localSheetId="13" hidden="1">#REF!</definedName>
    <definedName name="_Fill" localSheetId="7" hidden="1">#REF!</definedName>
    <definedName name="_Fill" hidden="1">#REF!</definedName>
    <definedName name="_xlnm._FilterDatabase" localSheetId="14" hidden="1">'2018 Pacific Payroll'!$A$13:$Q$207</definedName>
    <definedName name="_xlnm._FilterDatabase" localSheetId="33" hidden="1">'JE Query - 40101'!$B$19:$AQ$20</definedName>
    <definedName name="_xlnm._FilterDatabase" localSheetId="29" hidden="1">'JE Query - 59342'!$A$19:$AS$19</definedName>
    <definedName name="_xlnm._FilterDatabase" localSheetId="28" hidden="1">'JE Query 59341'!$A$19:$AS$51</definedName>
    <definedName name="_xlnm._FilterDatabase" localSheetId="30" hidden="1">'JE Query 60225'!$B$19:$AQ$20</definedName>
    <definedName name="_xlnm._FilterDatabase" localSheetId="31" hidden="1">'JE Query 70095'!$B$19:$AQ$20</definedName>
    <definedName name="_xlnm._FilterDatabase" localSheetId="32" hidden="1">'JE Query 70195'!$B$19:$AQ$20</definedName>
    <definedName name="_xlnm._FilterDatabase" localSheetId="34" hidden="1">'JE Query 70255'!$B$19:$AQ$20</definedName>
    <definedName name="_xlnm._FilterDatabase" localSheetId="11" hidden="1">'Pacific - Price Out'!$A$9:$AK$275</definedName>
    <definedName name="_xlnm._FilterDatabase" localSheetId="12" hidden="1">'Rural - Price Out '!$A$10:$AI$174</definedName>
    <definedName name="_Key1" localSheetId="16" hidden="1">#REF!</definedName>
    <definedName name="_Key1" localSheetId="14" hidden="1">#REF!</definedName>
    <definedName name="_Key1" localSheetId="5" hidden="1">#REF!</definedName>
    <definedName name="_Key1" localSheetId="10" hidden="1">#REF!</definedName>
    <definedName name="_Key1" localSheetId="20" hidden="1">#REF!</definedName>
    <definedName name="_Key1" localSheetId="22" hidden="1">#REF!</definedName>
    <definedName name="_Key1" localSheetId="25" hidden="1">#REF!</definedName>
    <definedName name="_Key1" localSheetId="26" hidden="1">#REF!</definedName>
    <definedName name="_Key1" localSheetId="27" hidden="1">#REF!</definedName>
    <definedName name="_Key1" localSheetId="13" hidden="1">#REF!</definedName>
    <definedName name="_Key1" hidden="1">#REF!</definedName>
    <definedName name="_Key2" hidden="1">'[2]#REF'!$D$12</definedName>
    <definedName name="_key5" hidden="1">[3]XXXXXX!$H$10</definedName>
    <definedName name="_LYA12">[1]Hidden!$O$11</definedName>
    <definedName name="_max" localSheetId="16" hidden="1">#REF!</definedName>
    <definedName name="_max" localSheetId="14" hidden="1">#REF!</definedName>
    <definedName name="_max" localSheetId="5" hidden="1">#REF!</definedName>
    <definedName name="_max" localSheetId="10" hidden="1">#REF!</definedName>
    <definedName name="_max" localSheetId="20" hidden="1">#REF!</definedName>
    <definedName name="_max" localSheetId="22" hidden="1">#REF!</definedName>
    <definedName name="_max" localSheetId="25" hidden="1">#REF!</definedName>
    <definedName name="_max" localSheetId="26" hidden="1">#REF!</definedName>
    <definedName name="_max" localSheetId="27" hidden="1">#REF!</definedName>
    <definedName name="_max" localSheetId="13" hidden="1">#REF!</definedName>
    <definedName name="_max" localSheetId="7" hidden="1">#REF!</definedName>
    <definedName name="_max" hidden="1">#REF!</definedName>
    <definedName name="_Mon" localSheetId="16" hidden="1">#REF!</definedName>
    <definedName name="_Mon" localSheetId="14" hidden="1">#REF!</definedName>
    <definedName name="_Mon" localSheetId="5" hidden="1">#REF!</definedName>
    <definedName name="_Mon" localSheetId="10" hidden="1">#REF!</definedName>
    <definedName name="_Mon" localSheetId="20" hidden="1">#REF!</definedName>
    <definedName name="_Mon" localSheetId="22" hidden="1">#REF!</definedName>
    <definedName name="_Mon" localSheetId="25" hidden="1">#REF!</definedName>
    <definedName name="_Mon" localSheetId="26" hidden="1">#REF!</definedName>
    <definedName name="_Mon" localSheetId="27" hidden="1">#REF!</definedName>
    <definedName name="_Mon" localSheetId="13" hidden="1">#REF!</definedName>
    <definedName name="_Mon" hidden="1">#REF!</definedName>
    <definedName name="_Order1" hidden="1">255</definedName>
    <definedName name="_Order2" hidden="1">255</definedName>
    <definedName name="_Order3" hidden="1">0</definedName>
    <definedName name="_Sort" localSheetId="16" hidden="1">#REF!</definedName>
    <definedName name="_Sort" localSheetId="14" hidden="1">#REF!</definedName>
    <definedName name="_Sort" localSheetId="5" hidden="1">#REF!</definedName>
    <definedName name="_Sort" localSheetId="10" hidden="1">#REF!</definedName>
    <definedName name="_Sort" localSheetId="20" hidden="1">#REF!</definedName>
    <definedName name="_Sort" localSheetId="22" hidden="1">#REF!</definedName>
    <definedName name="_Sort" localSheetId="25" hidden="1">#REF!</definedName>
    <definedName name="_Sort" localSheetId="26" hidden="1">#REF!</definedName>
    <definedName name="_Sort" localSheetId="27" hidden="1">#REF!</definedName>
    <definedName name="_Sort" localSheetId="13" hidden="1">#REF!</definedName>
    <definedName name="_Sort" localSheetId="7" hidden="1">#REF!</definedName>
    <definedName name="_Sort" hidden="1">#REF!</definedName>
    <definedName name="_Sort1" hidden="1">'[2]#REF'!$A$10:$Z$281</definedName>
    <definedName name="_sort3" hidden="1">[3]XXXXXX!$G$10:$J$11</definedName>
    <definedName name="a" localSheetId="14">#REF!</definedName>
    <definedName name="a" localSheetId="5">#REF!</definedName>
    <definedName name="a" localSheetId="10">#REF!</definedName>
    <definedName name="a" localSheetId="22">#REF!</definedName>
    <definedName name="a" localSheetId="25">#REF!</definedName>
    <definedName name="a" localSheetId="26">#REF!</definedName>
    <definedName name="a" localSheetId="27">#REF!</definedName>
    <definedName name="a" localSheetId="13">#REF!</definedName>
    <definedName name="a">#REF!</definedName>
    <definedName name="Accounts" localSheetId="14">#REF!</definedName>
    <definedName name="Accounts" localSheetId="5">#REF!</definedName>
    <definedName name="Accounts" localSheetId="10">#REF!</definedName>
    <definedName name="Accounts" localSheetId="22">#REF!</definedName>
    <definedName name="Accounts" localSheetId="33">'JE Query - 40101'!$M$13</definedName>
    <definedName name="Accounts" localSheetId="29">'JE Query - 59342'!$M$13</definedName>
    <definedName name="Accounts" localSheetId="28">'JE Query 59341'!$M$13</definedName>
    <definedName name="Accounts" localSheetId="30">'JE Query 60225'!$M$13</definedName>
    <definedName name="Accounts" localSheetId="31">'JE Query 70095'!$M$13</definedName>
    <definedName name="Accounts" localSheetId="32">'JE Query 70195'!$M$13</definedName>
    <definedName name="Accounts" localSheetId="25">#REF!</definedName>
    <definedName name="Accounts" localSheetId="26">#REF!</definedName>
    <definedName name="Accounts" localSheetId="27">#REF!</definedName>
    <definedName name="Accounts" localSheetId="13">#REF!</definedName>
    <definedName name="Accounts">#REF!</definedName>
    <definedName name="ACCT" localSheetId="16">[4]Hidden!#REF!</definedName>
    <definedName name="ACCT" localSheetId="14">[4]Hidden!#REF!</definedName>
    <definedName name="ACCT" localSheetId="1">[4]Hidden!#REF!</definedName>
    <definedName name="ACCT" localSheetId="5">[4]Hidden!#REF!</definedName>
    <definedName name="ACCT" localSheetId="10">[4]Hidden!#REF!</definedName>
    <definedName name="ACCT" localSheetId="2">[4]Hidden!#REF!</definedName>
    <definedName name="ACCT" localSheetId="20">[4]Hidden!#REF!</definedName>
    <definedName name="ACCT" localSheetId="22">[4]Hidden!#REF!</definedName>
    <definedName name="ACCT" localSheetId="25">[4]Hidden!#REF!</definedName>
    <definedName name="ACCT" localSheetId="26">[4]Hidden!#REF!</definedName>
    <definedName name="ACCT" localSheetId="27">[4]Hidden!#REF!</definedName>
    <definedName name="ACCT" localSheetId="11">[4]Hidden!#REF!</definedName>
    <definedName name="ACCT" localSheetId="13">[4]Hidden!#REF!</definedName>
    <definedName name="ACCT" localSheetId="7">[1]Hidden!$D$11</definedName>
    <definedName name="ACCT" localSheetId="6">[5]Hidden!#REF!</definedName>
    <definedName name="ACCT" localSheetId="12">[4]Hidden!#REF!</definedName>
    <definedName name="ACCT">[4]Hidden!#REF!</definedName>
    <definedName name="ACCT.ConsolSum">[1]Hidden!$Q$11</definedName>
    <definedName name="ACT_CUR" localSheetId="16">[4]Hidden!#REF!</definedName>
    <definedName name="ACT_CUR" localSheetId="14">[4]Hidden!#REF!</definedName>
    <definedName name="ACT_CUR" localSheetId="1">[4]Hidden!#REF!</definedName>
    <definedName name="ACT_CUR" localSheetId="5">[4]Hidden!#REF!</definedName>
    <definedName name="ACT_CUR" localSheetId="10">[4]Hidden!#REF!</definedName>
    <definedName name="ACT_CUR" localSheetId="2">[4]Hidden!#REF!</definedName>
    <definedName name="ACT_CUR" localSheetId="20">[4]Hidden!#REF!</definedName>
    <definedName name="ACT_CUR" localSheetId="22">[4]Hidden!#REF!</definedName>
    <definedName name="ACT_CUR" localSheetId="25">[4]Hidden!#REF!</definedName>
    <definedName name="ACT_CUR" localSheetId="26">[4]Hidden!#REF!</definedName>
    <definedName name="ACT_CUR" localSheetId="27">[4]Hidden!#REF!</definedName>
    <definedName name="ACT_CUR" localSheetId="11">[4]Hidden!#REF!</definedName>
    <definedName name="ACT_CUR" localSheetId="13">[4]Hidden!#REF!</definedName>
    <definedName name="ACT_CUR" localSheetId="7">[5]Hidden!#REF!</definedName>
    <definedName name="ACT_CUR" localSheetId="6">[5]Hidden!#REF!</definedName>
    <definedName name="ACT_CUR" localSheetId="12">[4]Hidden!#REF!</definedName>
    <definedName name="ACT_CUR">[4]Hidden!#REF!</definedName>
    <definedName name="ACT_YTD" localSheetId="16">[4]Hidden!#REF!</definedName>
    <definedName name="ACT_YTD" localSheetId="14">[4]Hidden!#REF!</definedName>
    <definedName name="ACT_YTD" localSheetId="1">[4]Hidden!#REF!</definedName>
    <definedName name="ACT_YTD" localSheetId="5">[4]Hidden!#REF!</definedName>
    <definedName name="ACT_YTD" localSheetId="10">[4]Hidden!#REF!</definedName>
    <definedName name="ACT_YTD" localSheetId="2">[4]Hidden!#REF!</definedName>
    <definedName name="ACT_YTD" localSheetId="20">[4]Hidden!#REF!</definedName>
    <definedName name="ACT_YTD" localSheetId="22">[4]Hidden!#REF!</definedName>
    <definedName name="ACT_YTD" localSheetId="25">[4]Hidden!#REF!</definedName>
    <definedName name="ACT_YTD" localSheetId="26">[4]Hidden!#REF!</definedName>
    <definedName name="ACT_YTD" localSheetId="27">[4]Hidden!#REF!</definedName>
    <definedName name="ACT_YTD" localSheetId="11">[4]Hidden!#REF!</definedName>
    <definedName name="ACT_YTD" localSheetId="13">[4]Hidden!#REF!</definedName>
    <definedName name="ACT_YTD" localSheetId="7">[5]Hidden!#REF!</definedName>
    <definedName name="ACT_YTD" localSheetId="6">[5]Hidden!#REF!</definedName>
    <definedName name="ACT_YTD" localSheetId="12">[4]Hidden!#REF!</definedName>
    <definedName name="ACT_YTD">[4]Hidden!#REF!</definedName>
    <definedName name="afsdfsdfsd" localSheetId="5">#REF!</definedName>
    <definedName name="afsdfsdfsd" localSheetId="10">#REF!</definedName>
    <definedName name="afsdfsdfsd" localSheetId="25">#REF!</definedName>
    <definedName name="afsdfsdfsd" localSheetId="26">#REF!</definedName>
    <definedName name="afsdfsdfsd" localSheetId="27">#REF!</definedName>
    <definedName name="afsdfsdfsd">#REF!</definedName>
    <definedName name="AmountCount" localSheetId="16">#REF!</definedName>
    <definedName name="AmountCount" localSheetId="14">#REF!</definedName>
    <definedName name="AmountCount" localSheetId="1">#REF!</definedName>
    <definedName name="AmountCount" localSheetId="5">#REF!</definedName>
    <definedName name="AmountCount" localSheetId="10">#REF!</definedName>
    <definedName name="AmountCount" localSheetId="2">#REF!</definedName>
    <definedName name="AmountCount" localSheetId="20">#REF!</definedName>
    <definedName name="AmountCount" localSheetId="22">#REF!</definedName>
    <definedName name="AmountCount" localSheetId="25">#REF!</definedName>
    <definedName name="AmountCount" localSheetId="26">#REF!</definedName>
    <definedName name="AmountCount" localSheetId="27">#REF!</definedName>
    <definedName name="AmountCount" localSheetId="11">#REF!</definedName>
    <definedName name="AmountCount" localSheetId="13">#REF!</definedName>
    <definedName name="AmountCount" localSheetId="6">#REF!</definedName>
    <definedName name="AmountCount" localSheetId="12">#REF!</definedName>
    <definedName name="AmountCount">#REF!</definedName>
    <definedName name="AmountCount1" localSheetId="16">#REF!</definedName>
    <definedName name="AmountCount1" localSheetId="14">#REF!</definedName>
    <definedName name="AmountCount1" localSheetId="5">#REF!</definedName>
    <definedName name="AmountCount1" localSheetId="10">#REF!</definedName>
    <definedName name="AmountCount1" localSheetId="22">#REF!</definedName>
    <definedName name="AmountCount1" localSheetId="25">#REF!</definedName>
    <definedName name="AmountCount1" localSheetId="26">#REF!</definedName>
    <definedName name="AmountCount1" localSheetId="27">#REF!</definedName>
    <definedName name="AmountCount1" localSheetId="13">#REF!</definedName>
    <definedName name="AmountCount1">#REF!</definedName>
    <definedName name="AmountFrom" localSheetId="14">#REF!</definedName>
    <definedName name="AmountFrom" localSheetId="5">#REF!</definedName>
    <definedName name="AmountFrom" localSheetId="10">#REF!</definedName>
    <definedName name="AmountFrom" localSheetId="22">#REF!</definedName>
    <definedName name="AmountFrom" localSheetId="33">'JE Query - 40101'!$P$13</definedName>
    <definedName name="AmountFrom" localSheetId="29">'JE Query - 59342'!$P$13</definedName>
    <definedName name="AmountFrom" localSheetId="28">'JE Query 59341'!$P$13</definedName>
    <definedName name="AmountFrom" localSheetId="30">'JE Query 60225'!$P$13</definedName>
    <definedName name="AmountFrom" localSheetId="31">'JE Query 70095'!$P$13</definedName>
    <definedName name="AmountFrom" localSheetId="32">'JE Query 70195'!$P$13</definedName>
    <definedName name="AmountFrom" localSheetId="25">#REF!</definedName>
    <definedName name="AmountFrom" localSheetId="26">#REF!</definedName>
    <definedName name="AmountFrom" localSheetId="27">#REF!</definedName>
    <definedName name="AmountFrom" localSheetId="13">#REF!</definedName>
    <definedName name="AmountFrom">#REF!</definedName>
    <definedName name="AmountTo" localSheetId="14">#REF!</definedName>
    <definedName name="AmountTo" localSheetId="5">#REF!</definedName>
    <definedName name="AmountTo" localSheetId="10">#REF!</definedName>
    <definedName name="AmountTo" localSheetId="22">#REF!</definedName>
    <definedName name="AmountTo" localSheetId="33">'JE Query - 40101'!$P$14</definedName>
    <definedName name="AmountTo" localSheetId="29">'JE Query - 59342'!$P$14</definedName>
    <definedName name="AmountTo" localSheetId="28">'JE Query 59341'!$P$14</definedName>
    <definedName name="AmountTo" localSheetId="30">'JE Query 60225'!$P$14</definedName>
    <definedName name="AmountTo" localSheetId="31">'JE Query 70095'!$P$14</definedName>
    <definedName name="AmountTo" localSheetId="32">'JE Query 70195'!$P$14</definedName>
    <definedName name="AmountTo" localSheetId="25">#REF!</definedName>
    <definedName name="AmountTo" localSheetId="26">#REF!</definedName>
    <definedName name="AmountTo" localSheetId="27">#REF!</definedName>
    <definedName name="AmountTo" localSheetId="13">#REF!</definedName>
    <definedName name="AmountTo">#REF!</definedName>
    <definedName name="AmountTotal" localSheetId="16">#REF!</definedName>
    <definedName name="AmountTotal" localSheetId="14">#REF!</definedName>
    <definedName name="AmountTotal" localSheetId="1">#REF!</definedName>
    <definedName name="AmountTotal" localSheetId="5">#REF!</definedName>
    <definedName name="AmountTotal" localSheetId="10">#REF!</definedName>
    <definedName name="AmountTotal" localSheetId="2">#REF!</definedName>
    <definedName name="AmountTotal" localSheetId="20">#REF!</definedName>
    <definedName name="AmountTotal" localSheetId="22">#REF!</definedName>
    <definedName name="AmountTotal" localSheetId="25">#REF!</definedName>
    <definedName name="AmountTotal" localSheetId="26">#REF!</definedName>
    <definedName name="AmountTotal" localSheetId="27">#REF!</definedName>
    <definedName name="AmountTotal" localSheetId="11">#REF!</definedName>
    <definedName name="AmountTotal" localSheetId="13">#REF!</definedName>
    <definedName name="AmountTotal" localSheetId="6">#REF!</definedName>
    <definedName name="AmountTotal" localSheetId="12">#REF!</definedName>
    <definedName name="AmountTotal">#REF!</definedName>
    <definedName name="AmountTotal1" localSheetId="16">#REF!</definedName>
    <definedName name="AmountTotal1" localSheetId="14">#REF!</definedName>
    <definedName name="AmountTotal1" localSheetId="5">#REF!</definedName>
    <definedName name="AmountTotal1" localSheetId="10">#REF!</definedName>
    <definedName name="AmountTotal1" localSheetId="22">#REF!</definedName>
    <definedName name="AmountTotal1" localSheetId="25">#REF!</definedName>
    <definedName name="AmountTotal1" localSheetId="26">#REF!</definedName>
    <definedName name="AmountTotal1" localSheetId="27">#REF!</definedName>
    <definedName name="AmountTotal1" localSheetId="13">#REF!</definedName>
    <definedName name="AmountTotal1">#REF!</definedName>
    <definedName name="BookRev" localSheetId="20">'[6]Pacific Regulated - Price Out'!$F$50</definedName>
    <definedName name="BookRev" localSheetId="22">'[6]Pacific Regulated - Price Out'!$F$50</definedName>
    <definedName name="BookRev" localSheetId="13">'[6]Pacific Regulated - Price Out'!$F$50</definedName>
    <definedName name="BookRev">'[7]Pacific Regulated - Price Out'!$F$50</definedName>
    <definedName name="BookRev_com" localSheetId="20">'[6]Pacific Regulated - Price Out'!$F$214</definedName>
    <definedName name="BookRev_com" localSheetId="22">'[6]Pacific Regulated - Price Out'!$F$214</definedName>
    <definedName name="BookRev_com" localSheetId="13">'[6]Pacific Regulated - Price Out'!$F$214</definedName>
    <definedName name="BookRev_com">'[7]Pacific Regulated - Price Out'!$F$214</definedName>
    <definedName name="BookRev_mfr" localSheetId="20">'[6]Pacific Regulated - Price Out'!$F$222</definedName>
    <definedName name="BookRev_mfr" localSheetId="22">'[6]Pacific Regulated - Price Out'!$F$222</definedName>
    <definedName name="BookRev_mfr" localSheetId="13">'[6]Pacific Regulated - Price Out'!$F$222</definedName>
    <definedName name="BookRev_mfr">'[7]Pacific Regulated - Price Out'!$F$222</definedName>
    <definedName name="BookRev_ro" localSheetId="20">'[6]Pacific Regulated - Price Out'!$F$282</definedName>
    <definedName name="BookRev_ro" localSheetId="22">'[6]Pacific Regulated - Price Out'!$F$282</definedName>
    <definedName name="BookRev_ro" localSheetId="13">'[6]Pacific Regulated - Price Out'!$F$282</definedName>
    <definedName name="BookRev_ro">'[7]Pacific Regulated - Price Out'!$F$282</definedName>
    <definedName name="BookRev_rr" localSheetId="20">'[6]Pacific Regulated - Price Out'!$F$59</definedName>
    <definedName name="BookRev_rr" localSheetId="22">'[6]Pacific Regulated - Price Out'!$F$59</definedName>
    <definedName name="BookRev_rr" localSheetId="13">'[6]Pacific Regulated - Price Out'!$F$59</definedName>
    <definedName name="BookRev_rr">'[7]Pacific Regulated - Price Out'!$F$59</definedName>
    <definedName name="BookRev_yw" localSheetId="20">'[6]Pacific Regulated - Price Out'!$F$70</definedName>
    <definedName name="BookRev_yw" localSheetId="22">'[6]Pacific Regulated - Price Out'!$F$70</definedName>
    <definedName name="BookRev_yw" localSheetId="13">'[6]Pacific Regulated - Price Out'!$F$70</definedName>
    <definedName name="BookRev_yw">'[7]Pacific Regulated - Price Out'!$F$70</definedName>
    <definedName name="BREMAIR_COST_of_SERVICE_STUDY" localSheetId="16">#REF!</definedName>
    <definedName name="BREMAIR_COST_of_SERVICE_STUDY" localSheetId="14">#REF!</definedName>
    <definedName name="BREMAIR_COST_of_SERVICE_STUDY" localSheetId="1">#REF!</definedName>
    <definedName name="BREMAIR_COST_of_SERVICE_STUDY" localSheetId="5">#REF!</definedName>
    <definedName name="BREMAIR_COST_of_SERVICE_STUDY" localSheetId="10">#REF!</definedName>
    <definedName name="BREMAIR_COST_of_SERVICE_STUDY" localSheetId="2">#REF!</definedName>
    <definedName name="BREMAIR_COST_of_SERVICE_STUDY" localSheetId="20">#REF!</definedName>
    <definedName name="BREMAIR_COST_of_SERVICE_STUDY" localSheetId="22">#REF!</definedName>
    <definedName name="BREMAIR_COST_of_SERVICE_STUDY" localSheetId="25">#REF!</definedName>
    <definedName name="BREMAIR_COST_of_SERVICE_STUDY" localSheetId="26">#REF!</definedName>
    <definedName name="BREMAIR_COST_of_SERVICE_STUDY" localSheetId="27">#REF!</definedName>
    <definedName name="BREMAIR_COST_of_SERVICE_STUDY" localSheetId="11">#REF!</definedName>
    <definedName name="BREMAIR_COST_of_SERVICE_STUDY" localSheetId="13">#REF!</definedName>
    <definedName name="BREMAIR_COST_of_SERVICE_STUDY" localSheetId="6">#REF!</definedName>
    <definedName name="BREMAIR_COST_of_SERVICE_STUDY" localSheetId="12">#REF!</definedName>
    <definedName name="BREMAIR_COST_of_SERVICE_STUDY">#REF!</definedName>
    <definedName name="BUD_CUR" localSheetId="16">[4]Hidden!#REF!</definedName>
    <definedName name="BUD_CUR" localSheetId="14">[4]Hidden!#REF!</definedName>
    <definedName name="BUD_CUR" localSheetId="1">[4]Hidden!#REF!</definedName>
    <definedName name="BUD_CUR" localSheetId="5">[4]Hidden!#REF!</definedName>
    <definedName name="BUD_CUR" localSheetId="10">[4]Hidden!#REF!</definedName>
    <definedName name="BUD_CUR" localSheetId="2">[4]Hidden!#REF!</definedName>
    <definedName name="BUD_CUR" localSheetId="20">[4]Hidden!#REF!</definedName>
    <definedName name="BUD_CUR" localSheetId="22">[4]Hidden!#REF!</definedName>
    <definedName name="BUD_CUR" localSheetId="25">[4]Hidden!#REF!</definedName>
    <definedName name="BUD_CUR" localSheetId="26">[4]Hidden!#REF!</definedName>
    <definedName name="BUD_CUR" localSheetId="27">[4]Hidden!#REF!</definedName>
    <definedName name="BUD_CUR" localSheetId="11">[4]Hidden!#REF!</definedName>
    <definedName name="BUD_CUR" localSheetId="13">[4]Hidden!#REF!</definedName>
    <definedName name="BUD_CUR" localSheetId="7">[5]Hidden!#REF!</definedName>
    <definedName name="BUD_CUR" localSheetId="6">[5]Hidden!#REF!</definedName>
    <definedName name="BUD_CUR" localSheetId="12">[4]Hidden!#REF!</definedName>
    <definedName name="BUD_CUR">[4]Hidden!#REF!</definedName>
    <definedName name="BUD_YTD" localSheetId="16">[4]Hidden!#REF!</definedName>
    <definedName name="BUD_YTD" localSheetId="14">[4]Hidden!#REF!</definedName>
    <definedName name="BUD_YTD" localSheetId="1">[4]Hidden!#REF!</definedName>
    <definedName name="BUD_YTD" localSheetId="5">[4]Hidden!#REF!</definedName>
    <definedName name="BUD_YTD" localSheetId="10">[4]Hidden!#REF!</definedName>
    <definedName name="BUD_YTD" localSheetId="2">[4]Hidden!#REF!</definedName>
    <definedName name="BUD_YTD" localSheetId="20">[4]Hidden!#REF!</definedName>
    <definedName name="BUD_YTD" localSheetId="22">[4]Hidden!#REF!</definedName>
    <definedName name="BUD_YTD" localSheetId="25">[4]Hidden!#REF!</definedName>
    <definedName name="BUD_YTD" localSheetId="26">[4]Hidden!#REF!</definedName>
    <definedName name="BUD_YTD" localSheetId="27">[4]Hidden!#REF!</definedName>
    <definedName name="BUD_YTD" localSheetId="11">[4]Hidden!#REF!</definedName>
    <definedName name="BUD_YTD" localSheetId="13">[4]Hidden!#REF!</definedName>
    <definedName name="BUD_YTD" localSheetId="7">[5]Hidden!#REF!</definedName>
    <definedName name="BUD_YTD" localSheetId="6">[5]Hidden!#REF!</definedName>
    <definedName name="BUD_YTD" localSheetId="12">[4]Hidden!#REF!</definedName>
    <definedName name="BUD_YTD">[4]Hidden!#REF!</definedName>
    <definedName name="CalRecyTons" localSheetId="20">'[8]Recycl Tons, Commodity Value'!$L$23</definedName>
    <definedName name="CalRecyTons" localSheetId="22">'[8]Recycl Tons, Commodity Value'!$L$23</definedName>
    <definedName name="CalRecyTons" localSheetId="13">'[8]Recycl Tons, Commodity Value'!$L$23</definedName>
    <definedName name="CalRecyTons">'[9]Recycl Tons, Commodity Value'!$L$23</definedName>
    <definedName name="CheckTotals" localSheetId="16">#REF!</definedName>
    <definedName name="CheckTotals" localSheetId="14">#REF!</definedName>
    <definedName name="CheckTotals" localSheetId="1">#REF!</definedName>
    <definedName name="CheckTotals" localSheetId="5">#REF!</definedName>
    <definedName name="CheckTotals" localSheetId="10">#REF!</definedName>
    <definedName name="CheckTotals" localSheetId="2">#REF!</definedName>
    <definedName name="CheckTotals" localSheetId="20">#REF!</definedName>
    <definedName name="CheckTotals" localSheetId="22">#REF!</definedName>
    <definedName name="CheckTotals" localSheetId="25">#REF!</definedName>
    <definedName name="CheckTotals" localSheetId="26">#REF!</definedName>
    <definedName name="CheckTotals" localSheetId="27">#REF!</definedName>
    <definedName name="CheckTotals" localSheetId="11">#REF!</definedName>
    <definedName name="CheckTotals" localSheetId="13">#REF!</definedName>
    <definedName name="CheckTotals" localSheetId="6">#REF!</definedName>
    <definedName name="CheckTotals" localSheetId="12">#REF!</definedName>
    <definedName name="CheckTotals">#REF!</definedName>
    <definedName name="colgroup">[1]Orientation!$G$6</definedName>
    <definedName name="colsegment">[1]Orientation!$F$6</definedName>
    <definedName name="CommlStaffPriceOut" localSheetId="16">'[10]Price Out-Reg EASTSIDE-Resi'!#REF!</definedName>
    <definedName name="CommlStaffPriceOut" localSheetId="14">'[10]Price Out-Reg EASTSIDE-Resi'!#REF!</definedName>
    <definedName name="CommlStaffPriceOut" localSheetId="5">'[10]Price Out-Reg EASTSIDE-Resi'!#REF!</definedName>
    <definedName name="CommlStaffPriceOut" localSheetId="10">'[10]Price Out-Reg EASTSIDE-Resi'!#REF!</definedName>
    <definedName name="CommlStaffPriceOut" localSheetId="22">'[10]Price Out-Reg EASTSIDE-Resi'!#REF!</definedName>
    <definedName name="CommlStaffPriceOut" localSheetId="25">'[10]Price Out-Reg EASTSIDE-Resi'!#REF!</definedName>
    <definedName name="CommlStaffPriceOut" localSheetId="26">'[10]Price Out-Reg EASTSIDE-Resi'!#REF!</definedName>
    <definedName name="CommlStaffPriceOut" localSheetId="27">'[10]Price Out-Reg EASTSIDE-Resi'!#REF!</definedName>
    <definedName name="CommlStaffPriceOut" localSheetId="13">'[10]Price Out-Reg EASTSIDE-Resi'!#REF!</definedName>
    <definedName name="CommlStaffPriceOut" localSheetId="7">'[10]Price Out-Reg EASTSIDE-Resi'!#REF!</definedName>
    <definedName name="CommlStaffPriceOut">'[10]Price Out-Reg EASTSIDE-Resi'!#REF!</definedName>
    <definedName name="CRCTable" localSheetId="16">#REF!</definedName>
    <definedName name="CRCTable" localSheetId="14">#REF!</definedName>
    <definedName name="CRCTable" localSheetId="1">#REF!</definedName>
    <definedName name="CRCTable" localSheetId="5">#REF!</definedName>
    <definedName name="CRCTable" localSheetId="10">#REF!</definedName>
    <definedName name="CRCTable" localSheetId="2">#REF!</definedName>
    <definedName name="CRCTable" localSheetId="20">#REF!</definedName>
    <definedName name="CRCTable" localSheetId="22">#REF!</definedName>
    <definedName name="CRCTable" localSheetId="25">#REF!</definedName>
    <definedName name="CRCTable" localSheetId="26">#REF!</definedName>
    <definedName name="CRCTable" localSheetId="27">#REF!</definedName>
    <definedName name="CRCTable" localSheetId="11">#REF!</definedName>
    <definedName name="CRCTable" localSheetId="13">#REF!</definedName>
    <definedName name="CRCTable" localSheetId="6">#REF!</definedName>
    <definedName name="CRCTable" localSheetId="12">#REF!</definedName>
    <definedName name="CRCTable">#REF!</definedName>
    <definedName name="CRCTableOLD" localSheetId="16">#REF!</definedName>
    <definedName name="CRCTableOLD" localSheetId="14">#REF!</definedName>
    <definedName name="CRCTableOLD" localSheetId="1">#REF!</definedName>
    <definedName name="CRCTableOLD" localSheetId="5">#REF!</definedName>
    <definedName name="CRCTableOLD" localSheetId="10">#REF!</definedName>
    <definedName name="CRCTableOLD" localSheetId="2">#REF!</definedName>
    <definedName name="CRCTableOLD" localSheetId="20">#REF!</definedName>
    <definedName name="CRCTableOLD" localSheetId="22">#REF!</definedName>
    <definedName name="CRCTableOLD" localSheetId="25">#REF!</definedName>
    <definedName name="CRCTableOLD" localSheetId="26">#REF!</definedName>
    <definedName name="CRCTableOLD" localSheetId="27">#REF!</definedName>
    <definedName name="CRCTableOLD" localSheetId="11">#REF!</definedName>
    <definedName name="CRCTableOLD" localSheetId="13">#REF!</definedName>
    <definedName name="CRCTableOLD" localSheetId="6">#REF!</definedName>
    <definedName name="CRCTableOLD" localSheetId="12">#REF!</definedName>
    <definedName name="CRCTableOLD">#REF!</definedName>
    <definedName name="CriteriaType" localSheetId="12">[11]ControlPanel!$Z$2:$Z$5</definedName>
    <definedName name="CriteriaType">[12]ControlPanel!$Z$2:$Z$5</definedName>
    <definedName name="CurrentMonth" localSheetId="14">#REF!</definedName>
    <definedName name="CurrentMonth" localSheetId="22">#REF!</definedName>
    <definedName name="CurrentMonth" localSheetId="33">'JE Query - 40101'!$J$8</definedName>
    <definedName name="CurrentMonth" localSheetId="29">'JE Query - 59342'!$J$8</definedName>
    <definedName name="CurrentMonth" localSheetId="28">'JE Query 59341'!$J$8</definedName>
    <definedName name="CurrentMonth" localSheetId="30">'JE Query 60225'!$J$8</definedName>
    <definedName name="CurrentMonth" localSheetId="31">'JE Query 70095'!$J$8</definedName>
    <definedName name="CurrentMonth" localSheetId="32">'JE Query 70195'!$J$8</definedName>
    <definedName name="CurrentMonth" localSheetId="12">'[13]Resi ADJ'!$H$8</definedName>
    <definedName name="CurrentMonth">'[14]38000 Other Rev'!$H$8</definedName>
    <definedName name="Cutomers" localSheetId="16">#REF!</definedName>
    <definedName name="Cutomers" localSheetId="14">#REF!</definedName>
    <definedName name="Cutomers" localSheetId="1">#REF!</definedName>
    <definedName name="Cutomers" localSheetId="5">#REF!</definedName>
    <definedName name="Cutomers" localSheetId="10">#REF!</definedName>
    <definedName name="Cutomers" localSheetId="2">#REF!</definedName>
    <definedName name="Cutomers" localSheetId="20">#REF!</definedName>
    <definedName name="Cutomers" localSheetId="22">#REF!</definedName>
    <definedName name="Cutomers" localSheetId="25">#REF!</definedName>
    <definedName name="Cutomers" localSheetId="26">#REF!</definedName>
    <definedName name="Cutomers" localSheetId="27">#REF!</definedName>
    <definedName name="Cutomers" localSheetId="11">#REF!</definedName>
    <definedName name="Cutomers" localSheetId="13">#REF!</definedName>
    <definedName name="Cutomers" localSheetId="6">#REF!</definedName>
    <definedName name="Cutomers" localSheetId="12">#REF!</definedName>
    <definedName name="Cutomers">#REF!</definedName>
    <definedName name="_xlnm.Database" localSheetId="16">#REF!</definedName>
    <definedName name="_xlnm.Database" localSheetId="14">#REF!</definedName>
    <definedName name="_xlnm.Database" localSheetId="1">#REF!</definedName>
    <definedName name="_xlnm.Database" localSheetId="5">#REF!</definedName>
    <definedName name="_xlnm.Database" localSheetId="10">#REF!</definedName>
    <definedName name="_xlnm.Database" localSheetId="2">#REF!</definedName>
    <definedName name="_xlnm.Database" localSheetId="20">#REF!</definedName>
    <definedName name="_xlnm.Database" localSheetId="22">#REF!</definedName>
    <definedName name="_xlnm.Database" localSheetId="25">#REF!</definedName>
    <definedName name="_xlnm.Database" localSheetId="26">#REF!</definedName>
    <definedName name="_xlnm.Database" localSheetId="27">#REF!</definedName>
    <definedName name="_xlnm.Database" localSheetId="11">#REF!</definedName>
    <definedName name="_xlnm.Database" localSheetId="13">#REF!</definedName>
    <definedName name="_xlnm.Database" localSheetId="6">#REF!</definedName>
    <definedName name="_xlnm.Database" localSheetId="12">#REF!</definedName>
    <definedName name="_xlnm.Database">#REF!</definedName>
    <definedName name="Database1" localSheetId="16">#REF!</definedName>
    <definedName name="Database1" localSheetId="14">#REF!</definedName>
    <definedName name="Database1" localSheetId="1">#REF!</definedName>
    <definedName name="Database1" localSheetId="5">#REF!</definedName>
    <definedName name="Database1" localSheetId="10">#REF!</definedName>
    <definedName name="Database1" localSheetId="2">#REF!</definedName>
    <definedName name="Database1" localSheetId="20">#REF!</definedName>
    <definedName name="Database1" localSheetId="23">#REF!</definedName>
    <definedName name="Database1" localSheetId="22">#REF!</definedName>
    <definedName name="Database1" localSheetId="25">#REF!</definedName>
    <definedName name="Database1" localSheetId="26">#REF!</definedName>
    <definedName name="Database1" localSheetId="27">#REF!</definedName>
    <definedName name="Database1" localSheetId="11">#REF!</definedName>
    <definedName name="Database1" localSheetId="13">#REF!</definedName>
    <definedName name="Database1" localSheetId="6">#REF!</definedName>
    <definedName name="Database1" localSheetId="12">#REF!</definedName>
    <definedName name="Database1">#REF!</definedName>
    <definedName name="DateFrom" localSheetId="14">#REF!</definedName>
    <definedName name="DateFrom" localSheetId="22">#REF!</definedName>
    <definedName name="DateFrom" localSheetId="33">'JE Query - 40101'!$I$12</definedName>
    <definedName name="DateFrom" localSheetId="29">'JE Query - 59342'!$I$12</definedName>
    <definedName name="DateFrom" localSheetId="28">'JE Query 59341'!$I$12</definedName>
    <definedName name="DateFrom" localSheetId="30">'JE Query 60225'!$I$12</definedName>
    <definedName name="DateFrom" localSheetId="31">'JE Query 70095'!$I$12</definedName>
    <definedName name="DateFrom" localSheetId="32">'JE Query 70195'!$I$12</definedName>
    <definedName name="DateFrom" localSheetId="12">'[13]Resi ADJ'!$G$12</definedName>
    <definedName name="DateFrom">'[14]38000 Other Rev'!$G$12</definedName>
    <definedName name="DateTo" localSheetId="14">#REF!</definedName>
    <definedName name="DateTo" localSheetId="22">#REF!</definedName>
    <definedName name="DateTo" localSheetId="33">'JE Query - 40101'!$I$13</definedName>
    <definedName name="DateTo" localSheetId="29">'JE Query - 59342'!$I$13</definedName>
    <definedName name="DateTo" localSheetId="28">'JE Query 59341'!$I$13</definedName>
    <definedName name="DateTo" localSheetId="30">'JE Query 60225'!$I$13</definedName>
    <definedName name="DateTo" localSheetId="31">'JE Query 70095'!$I$13</definedName>
    <definedName name="DateTo" localSheetId="32">'JE Query 70195'!$I$13</definedName>
    <definedName name="DateTo" localSheetId="12">'[13]Resi ADJ'!$G$13</definedName>
    <definedName name="DateTo">'[14]38000 Other Rev'!$G$13</definedName>
    <definedName name="DBxStaffPriceOut" localSheetId="16">'[10]Price Out-Reg EASTSIDE-Resi'!#REF!</definedName>
    <definedName name="DBxStaffPriceOut" localSheetId="14">'[10]Price Out-Reg EASTSIDE-Resi'!#REF!</definedName>
    <definedName name="DBxStaffPriceOut" localSheetId="5">'[10]Price Out-Reg EASTSIDE-Resi'!#REF!</definedName>
    <definedName name="DBxStaffPriceOut" localSheetId="10">'[10]Price Out-Reg EASTSIDE-Resi'!#REF!</definedName>
    <definedName name="DBxStaffPriceOut" localSheetId="22">'[10]Price Out-Reg EASTSIDE-Resi'!#REF!</definedName>
    <definedName name="DBxStaffPriceOut" localSheetId="25">'[10]Price Out-Reg EASTSIDE-Resi'!#REF!</definedName>
    <definedName name="DBxStaffPriceOut" localSheetId="26">'[10]Price Out-Reg EASTSIDE-Resi'!#REF!</definedName>
    <definedName name="DBxStaffPriceOut" localSheetId="27">'[10]Price Out-Reg EASTSIDE-Resi'!#REF!</definedName>
    <definedName name="DBxStaffPriceOut" localSheetId="13">'[10]Price Out-Reg EASTSIDE-Resi'!#REF!</definedName>
    <definedName name="DBxStaffPriceOut" localSheetId="7">'[10]Price Out-Reg EASTSIDE-Resi'!#REF!</definedName>
    <definedName name="DBxStaffPriceOut">'[10]Price Out-Reg EASTSIDE-Resi'!#REF!</definedName>
    <definedName name="Debt_Rate" localSheetId="24">'LG Public 2018 V5.0c'!$K$27</definedName>
    <definedName name="Debt_Rate" localSheetId="25">'LG Public 2018 V5.0c MSW'!$K$27</definedName>
    <definedName name="Debt_Rate" localSheetId="26">'LG Public 2018 V5.0c Rec'!$K$27</definedName>
    <definedName name="Debt_Rate" localSheetId="27">'LG Public 2018 V5.0c YW'!$K$27</definedName>
    <definedName name="debtP" localSheetId="24">'LG Public 2018 V5.0c'!$I$27</definedName>
    <definedName name="debtP" localSheetId="25">'LG Public 2018 V5.0c MSW'!$I$27</definedName>
    <definedName name="debtP" localSheetId="26">'LG Public 2018 V5.0c Rec'!$I$27</definedName>
    <definedName name="debtP" localSheetId="27">'LG Public 2018 V5.0c YW'!$I$27</definedName>
    <definedName name="DEPT" localSheetId="16">[4]Hidden!#REF!</definedName>
    <definedName name="DEPT" localSheetId="14">[4]Hidden!#REF!</definedName>
    <definedName name="DEPT" localSheetId="1">[4]Hidden!#REF!</definedName>
    <definedName name="DEPT" localSheetId="5">[4]Hidden!#REF!</definedName>
    <definedName name="DEPT" localSheetId="10">[4]Hidden!#REF!</definedName>
    <definedName name="DEPT" localSheetId="2">[4]Hidden!#REF!</definedName>
    <definedName name="DEPT" localSheetId="20">[4]Hidden!#REF!</definedName>
    <definedName name="DEPT" localSheetId="22">[4]Hidden!#REF!</definedName>
    <definedName name="DEPT" localSheetId="25">[4]Hidden!#REF!</definedName>
    <definedName name="DEPT" localSheetId="26">[4]Hidden!#REF!</definedName>
    <definedName name="DEPT" localSheetId="27">[4]Hidden!#REF!</definedName>
    <definedName name="DEPT" localSheetId="11">[4]Hidden!#REF!</definedName>
    <definedName name="DEPT" localSheetId="13">[4]Hidden!#REF!</definedName>
    <definedName name="DEPT" localSheetId="7">[5]Hidden!#REF!</definedName>
    <definedName name="DEPT" localSheetId="6">[5]Hidden!#REF!</definedName>
    <definedName name="DEPT" localSheetId="12">[4]Hidden!#REF!</definedName>
    <definedName name="DEPT">[4]Hidden!#REF!</definedName>
    <definedName name="Dist" localSheetId="22">[15]Data!$E$3</definedName>
    <definedName name="Dist" localSheetId="13">[16]Data!$E$3</definedName>
    <definedName name="Dist">[15]Data!$E$3</definedName>
    <definedName name="District" localSheetId="16">'04.30.18 2183 BS'!$N$7</definedName>
    <definedName name="District" localSheetId="17">'04.30.19 2183 BS'!$N$7</definedName>
    <definedName name="District" localSheetId="14">'[17]Yakima BS'!#REF!</definedName>
    <definedName name="District" localSheetId="0">'2183 IS 2018'!$N$6</definedName>
    <definedName name="District" localSheetId="1">'2184 IS 2018'!$N$6</definedName>
    <definedName name="District" localSheetId="5">'[17]Yakima BS'!#REF!</definedName>
    <definedName name="District" localSheetId="10">'[17]Yakima BS'!#REF!</definedName>
    <definedName name="District" localSheetId="2">'2185 IS 2018'!$N$6</definedName>
    <definedName name="District" localSheetId="20">'[18]Vashon BS'!#REF!</definedName>
    <definedName name="District" localSheetId="22">'[18]Vashon BS'!#REF!</definedName>
    <definedName name="District" localSheetId="25">'[17]Yakima BS'!#REF!</definedName>
    <definedName name="District" localSheetId="26">'[17]Yakima BS'!#REF!</definedName>
    <definedName name="District" localSheetId="27">'[17]Yakima BS'!#REF!</definedName>
    <definedName name="District" localSheetId="13">'[18]Vashon BS'!#REF!</definedName>
    <definedName name="District" localSheetId="7">'[19]Vashon BS'!#REF!</definedName>
    <definedName name="District" localSheetId="21">'Region OH 4.30.19'!$N$6</definedName>
    <definedName name="District" localSheetId="6">'[19]Vashon BS'!#REF!</definedName>
    <definedName name="District">'[17]Yakima BS'!#REF!</definedName>
    <definedName name="DistrictName" localSheetId="16">'04.30.18 2183 BS'!#REF!</definedName>
    <definedName name="DistrictName" localSheetId="17">'04.30.19 2183 BS'!#REF!</definedName>
    <definedName name="DistrictName" localSheetId="0">'2183 IS 2018'!$N$7</definedName>
    <definedName name="DistrictName" localSheetId="1">'2184 IS 2018'!$N$7</definedName>
    <definedName name="DistrictName" localSheetId="2">'2185 IS 2018'!$N$7</definedName>
    <definedName name="DistrictName" localSheetId="21">'Region OH 4.30.19'!$N$7</definedName>
    <definedName name="DistrictNum" localSheetId="16">#REF!</definedName>
    <definedName name="DistrictNum" localSheetId="14">#REF!</definedName>
    <definedName name="DistrictNum" localSheetId="1">#REF!</definedName>
    <definedName name="DistrictNum" localSheetId="5">#REF!</definedName>
    <definedName name="DistrictNum" localSheetId="10">#REF!</definedName>
    <definedName name="DistrictNum" localSheetId="2">#REF!</definedName>
    <definedName name="DistrictNum" localSheetId="20">#REF!</definedName>
    <definedName name="DistrictNum" localSheetId="22">#REF!</definedName>
    <definedName name="DistrictNum" localSheetId="25">#REF!</definedName>
    <definedName name="DistrictNum" localSheetId="26">#REF!</definedName>
    <definedName name="DistrictNum" localSheetId="27">#REF!</definedName>
    <definedName name="DistrictNum" localSheetId="11">#REF!</definedName>
    <definedName name="DistrictNum" localSheetId="13">#REF!</definedName>
    <definedName name="DistrictNum" localSheetId="6">#REF!</definedName>
    <definedName name="DistrictNum" localSheetId="12">#REF!</definedName>
    <definedName name="DistrictNum">#REF!</definedName>
    <definedName name="Districts" localSheetId="14">#REF!</definedName>
    <definedName name="Districts" localSheetId="5">#REF!</definedName>
    <definedName name="Districts" localSheetId="10">#REF!</definedName>
    <definedName name="Districts" localSheetId="22">#REF!</definedName>
    <definedName name="Districts" localSheetId="33">'JE Query - 40101'!$M$12</definedName>
    <definedName name="Districts" localSheetId="29">'JE Query - 59342'!$M$12</definedName>
    <definedName name="Districts" localSheetId="28">'JE Query 59341'!$M$12</definedName>
    <definedName name="Districts" localSheetId="30">'JE Query 60225'!$M$12</definedName>
    <definedName name="Districts" localSheetId="31">'JE Query 70095'!$M$12</definedName>
    <definedName name="Districts" localSheetId="32">'JE Query 70195'!$M$12</definedName>
    <definedName name="Districts" localSheetId="25">#REF!</definedName>
    <definedName name="Districts" localSheetId="26">#REF!</definedName>
    <definedName name="Districts" localSheetId="27">#REF!</definedName>
    <definedName name="Districts" localSheetId="13">#REF!</definedName>
    <definedName name="Districts">#REF!</definedName>
    <definedName name="dOG" localSheetId="16">#REF!</definedName>
    <definedName name="dOG" localSheetId="14">#REF!</definedName>
    <definedName name="dOG" localSheetId="5">#REF!</definedName>
    <definedName name="dOG" localSheetId="10">#REF!</definedName>
    <definedName name="dOG" localSheetId="22">#REF!</definedName>
    <definedName name="dOG" localSheetId="25">#REF!</definedName>
    <definedName name="dOG" localSheetId="26">#REF!</definedName>
    <definedName name="dOG" localSheetId="27">#REF!</definedName>
    <definedName name="dOG" localSheetId="13">#REF!</definedName>
    <definedName name="dOG" localSheetId="6">#REF!</definedName>
    <definedName name="dOG">#REF!</definedName>
    <definedName name="drlFilter">[1]Settings!$D$27</definedName>
    <definedName name="End" localSheetId="16">#REF!</definedName>
    <definedName name="End" localSheetId="14">#REF!</definedName>
    <definedName name="End" localSheetId="1">#REF!</definedName>
    <definedName name="End" localSheetId="5">#REF!</definedName>
    <definedName name="End" localSheetId="10">#REF!</definedName>
    <definedName name="End" localSheetId="2">#REF!</definedName>
    <definedName name="End" localSheetId="20">#REF!</definedName>
    <definedName name="End" localSheetId="22">#REF!</definedName>
    <definedName name="End" localSheetId="25">#REF!</definedName>
    <definedName name="End" localSheetId="26">#REF!</definedName>
    <definedName name="End" localSheetId="27">#REF!</definedName>
    <definedName name="End" localSheetId="11">#REF!</definedName>
    <definedName name="End" localSheetId="13">#REF!</definedName>
    <definedName name="End" localSheetId="7">#REF!</definedName>
    <definedName name="End" localSheetId="6">#REF!</definedName>
    <definedName name="End" localSheetId="12">#REF!</definedName>
    <definedName name="End">#REF!</definedName>
    <definedName name="EntrieShownLimit" localSheetId="14">#REF!</definedName>
    <definedName name="EntrieShownLimit" localSheetId="22">#REF!</definedName>
    <definedName name="EntrieShownLimit" localSheetId="33">'JE Query - 40101'!$D$6</definedName>
    <definedName name="EntrieShownLimit" localSheetId="29">'JE Query - 59342'!$D$6</definedName>
    <definedName name="EntrieShownLimit" localSheetId="28">'JE Query 59341'!$D$6</definedName>
    <definedName name="EntrieShownLimit" localSheetId="30">'JE Query 60225'!$D$6</definedName>
    <definedName name="EntrieShownLimit" localSheetId="31">'JE Query 70095'!$D$6</definedName>
    <definedName name="EntrieShownLimit" localSheetId="32">'JE Query 70195'!$D$6</definedName>
    <definedName name="EntrieShownLimit" localSheetId="12">'[13]Resi ADJ'!$D$6</definedName>
    <definedName name="EntrieShownLimit">'[14]38000 Other Rev'!$D$6</definedName>
    <definedName name="Equity_percent" localSheetId="24">'LG Public 2018 V5.0c'!$S$57</definedName>
    <definedName name="Equity_percent" localSheetId="25">'LG Public 2018 V5.0c MSW'!$S$57</definedName>
    <definedName name="Equity_percent" localSheetId="26">'LG Public 2018 V5.0c Rec'!$S$57</definedName>
    <definedName name="Equity_percent" localSheetId="27">'LG Public 2018 V5.0c YW'!$S$57</definedName>
    <definedName name="equityP" localSheetId="24">'LG Public 2018 V5.0c'!$I$26</definedName>
    <definedName name="equityP" localSheetId="25">'LG Public 2018 V5.0c MSW'!$I$26</definedName>
    <definedName name="equityP" localSheetId="26">'LG Public 2018 V5.0c Rec'!$I$26</definedName>
    <definedName name="equityP" localSheetId="27">'LG Public 2018 V5.0c YW'!$I$26</definedName>
    <definedName name="ExcludeIC" localSheetId="16">'04.30.18 2183 BS'!$N$8</definedName>
    <definedName name="ExcludeIC" localSheetId="17">'04.30.19 2183 BS'!$N$8</definedName>
    <definedName name="ExcludeIC" localSheetId="14">'[17]Yakima BS'!#REF!</definedName>
    <definedName name="ExcludeIC" localSheetId="0">'2183 IS 2018'!$R$6</definedName>
    <definedName name="ExcludeIC" localSheetId="1">'2184 IS 2018'!$R$6</definedName>
    <definedName name="ExcludeIC" localSheetId="5">'[17]Yakima BS'!#REF!</definedName>
    <definedName name="ExcludeIC" localSheetId="10">'[17]Yakima BS'!#REF!</definedName>
    <definedName name="ExcludeIC" localSheetId="2">'2185 IS 2018'!$R$6</definedName>
    <definedName name="ExcludeIC" localSheetId="20">'[18]Vashon BS'!#REF!</definedName>
    <definedName name="ExcludeIC" localSheetId="22">'[18]Vashon BS'!#REF!</definedName>
    <definedName name="ExcludeIC" localSheetId="25">'[17]Yakima BS'!#REF!</definedName>
    <definedName name="ExcludeIC" localSheetId="26">'[17]Yakima BS'!#REF!</definedName>
    <definedName name="ExcludeIC" localSheetId="27">'[17]Yakima BS'!#REF!</definedName>
    <definedName name="ExcludeIC" localSheetId="13">'[20]2009 BS'!#REF!</definedName>
    <definedName name="ExcludeIC" localSheetId="7">'[21]2009 BS'!#REF!</definedName>
    <definedName name="ExcludeIC" localSheetId="21">'Region OH 4.30.19'!$R$6</definedName>
    <definedName name="ExcludeIC" localSheetId="6">'[14]2025 BS'!#REF!</definedName>
    <definedName name="ExcludeIC">'[17]Yakima BS'!#REF!</definedName>
    <definedName name="expenses" localSheetId="24">'LG Public 2018 V5.0c'!$I$8</definedName>
    <definedName name="expenses" localSheetId="25">'LG Public 2018 V5.0c MSW'!$I$8</definedName>
    <definedName name="expenses" localSheetId="26">'LG Public 2018 V5.0c Rec'!$I$8</definedName>
    <definedName name="expenses" localSheetId="27">'LG Public 2018 V5.0c YW'!$I$8</definedName>
    <definedName name="ExpensesPF1" localSheetId="14">#REF!</definedName>
    <definedName name="ExpensesPF1" localSheetId="5">#REF!</definedName>
    <definedName name="ExpensesPF1" localSheetId="10">#REF!</definedName>
    <definedName name="ExpensesPF1" localSheetId="22">#REF!</definedName>
    <definedName name="ExpensesPF1" localSheetId="25">#REF!</definedName>
    <definedName name="ExpensesPF1" localSheetId="26">#REF!</definedName>
    <definedName name="ExpensesPF1" localSheetId="27">#REF!</definedName>
    <definedName name="ExpensesPF1" localSheetId="13">#REF!</definedName>
    <definedName name="ExpensesPF1">#REF!</definedName>
    <definedName name="EXT" localSheetId="16">#REF!</definedName>
    <definedName name="EXT" localSheetId="14">#REF!</definedName>
    <definedName name="EXT" localSheetId="5">#REF!</definedName>
    <definedName name="EXT" localSheetId="10">#REF!</definedName>
    <definedName name="EXT" localSheetId="22">#REF!</definedName>
    <definedName name="EXT" localSheetId="25">#REF!</definedName>
    <definedName name="EXT" localSheetId="26">#REF!</definedName>
    <definedName name="EXT" localSheetId="27">#REF!</definedName>
    <definedName name="EXT" localSheetId="13">#REF!</definedName>
    <definedName name="EXT" localSheetId="7">#REF!</definedName>
    <definedName name="EXT">#REF!</definedName>
    <definedName name="FBTable" localSheetId="16">#REF!</definedName>
    <definedName name="FBTable" localSheetId="14">#REF!</definedName>
    <definedName name="FBTable" localSheetId="1">#REF!</definedName>
    <definedName name="FBTable" localSheetId="5">#REF!</definedName>
    <definedName name="FBTable" localSheetId="10">#REF!</definedName>
    <definedName name="FBTable" localSheetId="2">#REF!</definedName>
    <definedName name="FBTable" localSheetId="20">#REF!</definedName>
    <definedName name="FBTable" localSheetId="22">#REF!</definedName>
    <definedName name="FBTable" localSheetId="25">#REF!</definedName>
    <definedName name="FBTable" localSheetId="26">#REF!</definedName>
    <definedName name="FBTable" localSheetId="27">#REF!</definedName>
    <definedName name="FBTable" localSheetId="11">#REF!</definedName>
    <definedName name="FBTable" localSheetId="13">#REF!</definedName>
    <definedName name="FBTable" localSheetId="6">#REF!</definedName>
    <definedName name="FBTable" localSheetId="12">#REF!</definedName>
    <definedName name="FBTable">#REF!</definedName>
    <definedName name="FBTableOld" localSheetId="16">#REF!</definedName>
    <definedName name="FBTableOld" localSheetId="14">#REF!</definedName>
    <definedName name="FBTableOld" localSheetId="1">#REF!</definedName>
    <definedName name="FBTableOld" localSheetId="5">#REF!</definedName>
    <definedName name="FBTableOld" localSheetId="10">#REF!</definedName>
    <definedName name="FBTableOld" localSheetId="2">#REF!</definedName>
    <definedName name="FBTableOld" localSheetId="20">#REF!</definedName>
    <definedName name="FBTableOld" localSheetId="22">#REF!</definedName>
    <definedName name="FBTableOld" localSheetId="25">#REF!</definedName>
    <definedName name="FBTableOld" localSheetId="26">#REF!</definedName>
    <definedName name="FBTableOld" localSheetId="27">#REF!</definedName>
    <definedName name="FBTableOld" localSheetId="11">#REF!</definedName>
    <definedName name="FBTableOld" localSheetId="13">#REF!</definedName>
    <definedName name="FBTableOld" localSheetId="6">#REF!</definedName>
    <definedName name="FBTableOld" localSheetId="12">#REF!</definedName>
    <definedName name="FBTableOld">#REF!</definedName>
    <definedName name="filter">[1]Settings!$B$14:$H$25</definedName>
    <definedName name="FromMonth" localSheetId="14">#REF!</definedName>
    <definedName name="FromMonth" localSheetId="5">#REF!</definedName>
    <definedName name="FromMonth" localSheetId="10">#REF!</definedName>
    <definedName name="FromMonth" localSheetId="22">#REF!</definedName>
    <definedName name="FromMonth" localSheetId="33">'JE Query - 40101'!$C$8</definedName>
    <definedName name="FromMonth" localSheetId="29">'JE Query - 59342'!$C$8</definedName>
    <definedName name="FromMonth" localSheetId="28">'JE Query 59341'!$C$8</definedName>
    <definedName name="FromMonth" localSheetId="30">'JE Query 60225'!$C$8</definedName>
    <definedName name="FromMonth" localSheetId="31">'JE Query 70095'!$C$8</definedName>
    <definedName name="FromMonth" localSheetId="32">'JE Query 70195'!$C$8</definedName>
    <definedName name="FromMonth" localSheetId="25">#REF!</definedName>
    <definedName name="FromMonth" localSheetId="26">#REF!</definedName>
    <definedName name="FromMonth" localSheetId="27">#REF!</definedName>
    <definedName name="FromMonth" localSheetId="13">#REF!</definedName>
    <definedName name="FromMonth">#REF!</definedName>
    <definedName name="FundsApprPend" localSheetId="16">[15]Data!#REF!</definedName>
    <definedName name="FundsApprPend" localSheetId="14">[15]Data!#REF!</definedName>
    <definedName name="FundsApprPend" localSheetId="5">[15]Data!#REF!</definedName>
    <definedName name="FundsApprPend" localSheetId="10">[15]Data!#REF!</definedName>
    <definedName name="FundsApprPend" localSheetId="22">[15]Data!#REF!</definedName>
    <definedName name="FundsApprPend" localSheetId="25">[15]Data!#REF!</definedName>
    <definedName name="FundsApprPend" localSheetId="26">[15]Data!#REF!</definedName>
    <definedName name="FundsApprPend" localSheetId="27">[15]Data!#REF!</definedName>
    <definedName name="FundsApprPend" localSheetId="13">[16]Data!#REF!</definedName>
    <definedName name="FundsApprPend" localSheetId="7">[15]Data!#REF!</definedName>
    <definedName name="FundsApprPend" localSheetId="6">[15]Data!#REF!</definedName>
    <definedName name="FundsApprPend">[15]Data!#REF!</definedName>
    <definedName name="FundsBudUnbud" localSheetId="16">[15]Data!#REF!</definedName>
    <definedName name="FundsBudUnbud" localSheetId="14">[15]Data!#REF!</definedName>
    <definedName name="FundsBudUnbud" localSheetId="5">[15]Data!#REF!</definedName>
    <definedName name="FundsBudUnbud" localSheetId="10">[15]Data!#REF!</definedName>
    <definedName name="FundsBudUnbud" localSheetId="22">[15]Data!#REF!</definedName>
    <definedName name="FundsBudUnbud" localSheetId="25">[15]Data!#REF!</definedName>
    <definedName name="FundsBudUnbud" localSheetId="26">[15]Data!#REF!</definedName>
    <definedName name="FundsBudUnbud" localSheetId="27">[15]Data!#REF!</definedName>
    <definedName name="FundsBudUnbud" localSheetId="13">[16]Data!#REF!</definedName>
    <definedName name="FundsBudUnbud">[15]Data!#REF!</definedName>
    <definedName name="GLMappingStart" localSheetId="16">#REF!</definedName>
    <definedName name="GLMappingStart" localSheetId="14">#REF!</definedName>
    <definedName name="GLMappingStart" localSheetId="1">#REF!</definedName>
    <definedName name="GLMappingStart" localSheetId="5">#REF!</definedName>
    <definedName name="GLMappingStart" localSheetId="10">#REF!</definedName>
    <definedName name="GLMappingStart" localSheetId="2">#REF!</definedName>
    <definedName name="GLMappingStart" localSheetId="20">#REF!</definedName>
    <definedName name="GLMappingStart" localSheetId="22">#REF!</definedName>
    <definedName name="GLMappingStart" localSheetId="25">#REF!</definedName>
    <definedName name="GLMappingStart" localSheetId="26">#REF!</definedName>
    <definedName name="GLMappingStart" localSheetId="27">#REF!</definedName>
    <definedName name="GLMappingStart" localSheetId="11">#REF!</definedName>
    <definedName name="GLMappingStart" localSheetId="13">#REF!</definedName>
    <definedName name="GLMappingStart" localSheetId="6">#REF!</definedName>
    <definedName name="GLMappingStart" localSheetId="12">#REF!</definedName>
    <definedName name="GLMappingStart">#REF!</definedName>
    <definedName name="GLMappingStart1" localSheetId="16">#REF!</definedName>
    <definedName name="GLMappingStart1" localSheetId="14">#REF!</definedName>
    <definedName name="GLMappingStart1" localSheetId="5">#REF!</definedName>
    <definedName name="GLMappingStart1" localSheetId="10">#REF!</definedName>
    <definedName name="GLMappingStart1" localSheetId="22">#REF!</definedName>
    <definedName name="GLMappingStart1" localSheetId="25">#REF!</definedName>
    <definedName name="GLMappingStart1" localSheetId="26">#REF!</definedName>
    <definedName name="GLMappingStart1" localSheetId="27">#REF!</definedName>
    <definedName name="GLMappingStart1" localSheetId="13">#REF!</definedName>
    <definedName name="GLMappingStart1">#REF!</definedName>
    <definedName name="Import_Range" localSheetId="16">[15]Data!#REF!</definedName>
    <definedName name="Import_Range" localSheetId="14">[15]Data!#REF!</definedName>
    <definedName name="Import_Range" localSheetId="5">[15]Data!#REF!</definedName>
    <definedName name="Import_Range" localSheetId="10">[15]Data!#REF!</definedName>
    <definedName name="Import_Range" localSheetId="22">[15]Data!#REF!</definedName>
    <definedName name="Import_Range" localSheetId="25">[15]Data!#REF!</definedName>
    <definedName name="Import_Range" localSheetId="26">[15]Data!#REF!</definedName>
    <definedName name="Import_Range" localSheetId="27">[15]Data!#REF!</definedName>
    <definedName name="Import_Range" localSheetId="13">[16]Data!#REF!</definedName>
    <definedName name="Import_Range" localSheetId="7">[15]Data!#REF!</definedName>
    <definedName name="Import_Range" localSheetId="6">[15]Data!#REF!</definedName>
    <definedName name="Import_Range">[15]Data!#REF!</definedName>
    <definedName name="IncomeStmnt" localSheetId="16">#REF!</definedName>
    <definedName name="IncomeStmnt" localSheetId="14">#REF!</definedName>
    <definedName name="IncomeStmnt" localSheetId="1">#REF!</definedName>
    <definedName name="IncomeStmnt" localSheetId="5">#REF!</definedName>
    <definedName name="IncomeStmnt" localSheetId="10">#REF!</definedName>
    <definedName name="IncomeStmnt" localSheetId="2">#REF!</definedName>
    <definedName name="IncomeStmnt" localSheetId="20">#REF!</definedName>
    <definedName name="IncomeStmnt" localSheetId="22">#REF!</definedName>
    <definedName name="IncomeStmnt" localSheetId="25">#REF!</definedName>
    <definedName name="IncomeStmnt" localSheetId="26">#REF!</definedName>
    <definedName name="IncomeStmnt" localSheetId="27">#REF!</definedName>
    <definedName name="IncomeStmnt" localSheetId="11">#REF!</definedName>
    <definedName name="IncomeStmnt" localSheetId="13">#REF!</definedName>
    <definedName name="IncomeStmnt" localSheetId="6">#REF!</definedName>
    <definedName name="IncomeStmnt" localSheetId="12">#REF!</definedName>
    <definedName name="IncomeStmnt">#REF!</definedName>
    <definedName name="INPUT" localSheetId="16">#REF!</definedName>
    <definedName name="INPUT" localSheetId="14">#REF!</definedName>
    <definedName name="INPUT" localSheetId="1">#REF!</definedName>
    <definedName name="INPUT" localSheetId="5">#REF!</definedName>
    <definedName name="INPUT" localSheetId="10">#REF!</definedName>
    <definedName name="INPUT" localSheetId="2">#REF!</definedName>
    <definedName name="INPUT" localSheetId="20">#REF!</definedName>
    <definedName name="INPUT" localSheetId="22">#REF!</definedName>
    <definedName name="INPUT" localSheetId="24">'LG Public 2018 V5.0c'!#REF!</definedName>
    <definedName name="INPUT" localSheetId="25">'LG Public 2018 V5.0c MSW'!#REF!</definedName>
    <definedName name="INPUT" localSheetId="26">'LG Public 2018 V5.0c Rec'!#REF!</definedName>
    <definedName name="INPUT" localSheetId="27">'LG Public 2018 V5.0c YW'!#REF!</definedName>
    <definedName name="INPUT" localSheetId="11">#REF!</definedName>
    <definedName name="INPUT" localSheetId="13">#REF!</definedName>
    <definedName name="INPUT" localSheetId="7">#REF!</definedName>
    <definedName name="INPUT" localSheetId="6">#REF!</definedName>
    <definedName name="INPUT" localSheetId="12">#REF!</definedName>
    <definedName name="INPUT">#REF!</definedName>
    <definedName name="INPUTc" localSheetId="16">#REF!</definedName>
    <definedName name="INPUTc" localSheetId="14">#REF!</definedName>
    <definedName name="INPUTc" localSheetId="1">#REF!</definedName>
    <definedName name="INPUTc" localSheetId="5">#REF!</definedName>
    <definedName name="INPUTc" localSheetId="10">#REF!</definedName>
    <definedName name="INPUTc" localSheetId="2">#REF!</definedName>
    <definedName name="INPUTc" localSheetId="22">#REF!</definedName>
    <definedName name="INPUTc" localSheetId="25">#REF!</definedName>
    <definedName name="INPUTc" localSheetId="26">#REF!</definedName>
    <definedName name="INPUTc" localSheetId="27">#REF!</definedName>
    <definedName name="INPUTc" localSheetId="13">#REF!</definedName>
    <definedName name="INPUTc">#REF!</definedName>
    <definedName name="Insurance" localSheetId="16">#REF!</definedName>
    <definedName name="Insurance" localSheetId="14">#REF!</definedName>
    <definedName name="Insurance" localSheetId="9">#REF!</definedName>
    <definedName name="Insurance" localSheetId="8">#REF!</definedName>
    <definedName name="Insurance" localSheetId="1">#REF!</definedName>
    <definedName name="Insurance" localSheetId="5">#REF!</definedName>
    <definedName name="Insurance" localSheetId="10">#REF!</definedName>
    <definedName name="Insurance" localSheetId="2">#REF!</definedName>
    <definedName name="Insurance" localSheetId="20">#REF!</definedName>
    <definedName name="Insurance" localSheetId="22">#REF!</definedName>
    <definedName name="Insurance" localSheetId="25">#REF!</definedName>
    <definedName name="Insurance" localSheetId="26">#REF!</definedName>
    <definedName name="Insurance" localSheetId="27">#REF!</definedName>
    <definedName name="Insurance" localSheetId="13">#REF!</definedName>
    <definedName name="Insurance" localSheetId="6">#REF!</definedName>
    <definedName name="Insurance" localSheetId="12">#REF!</definedName>
    <definedName name="Insurance">#REF!</definedName>
    <definedName name="Interject_LastPulledValues_BalanceRange" localSheetId="16">#REF!</definedName>
    <definedName name="Interject_LastPulledValues_BalanceRange" localSheetId="17">#REF!</definedName>
    <definedName name="Interject_LastPulledValues_BalanceRange" localSheetId="14">#REF!</definedName>
    <definedName name="Interject_LastPulledValues_BalanceRange" localSheetId="5">#REF!</definedName>
    <definedName name="Interject_LastPulledValues_BalanceRange" localSheetId="10">#REF!</definedName>
    <definedName name="Interject_LastPulledValues_BalanceRange" localSheetId="22">#REF!</definedName>
    <definedName name="Interject_LastPulledValues_BalanceRange" localSheetId="25">#REF!</definedName>
    <definedName name="Interject_LastPulledValues_BalanceRange" localSheetId="26">#REF!</definedName>
    <definedName name="Interject_LastPulledValues_BalanceRange" localSheetId="27">#REF!</definedName>
    <definedName name="Interject_LastPulledValues_BalanceRange" localSheetId="13">#REF!</definedName>
    <definedName name="Interject_LastPulledValues_BalanceRange">#REF!</definedName>
    <definedName name="Interject_LastPulledValues_DescriptionRange" localSheetId="16">#REF!</definedName>
    <definedName name="Interject_LastPulledValues_DescriptionRange" localSheetId="17">#REF!</definedName>
    <definedName name="Interject_LastPulledValues_DescriptionRange" localSheetId="14">#REF!</definedName>
    <definedName name="Interject_LastPulledValues_DescriptionRange" localSheetId="5">#REF!</definedName>
    <definedName name="Interject_LastPulledValues_DescriptionRange" localSheetId="10">#REF!</definedName>
    <definedName name="Interject_LastPulledValues_DescriptionRange" localSheetId="22">#REF!</definedName>
    <definedName name="Interject_LastPulledValues_DescriptionRange" localSheetId="25">#REF!</definedName>
    <definedName name="Interject_LastPulledValues_DescriptionRange" localSheetId="26">#REF!</definedName>
    <definedName name="Interject_LastPulledValues_DescriptionRange" localSheetId="27">#REF!</definedName>
    <definedName name="Interject_LastPulledValues_DescriptionRange" localSheetId="13">#REF!</definedName>
    <definedName name="Interject_LastPulledValues_DescriptionRange">#REF!</definedName>
    <definedName name="Interject_LastPulledValues_LastChangeGUID" localSheetId="16">#REF!</definedName>
    <definedName name="Interject_LastPulledValues_LastChangeGUID" localSheetId="17">#REF!</definedName>
    <definedName name="Interject_LastPulledValues_LastChangeGUID" localSheetId="14">#REF!</definedName>
    <definedName name="Interject_LastPulledValues_LastChangeGUID" localSheetId="5">#REF!</definedName>
    <definedName name="Interject_LastPulledValues_LastChangeGUID" localSheetId="10">#REF!</definedName>
    <definedName name="Interject_LastPulledValues_LastChangeGUID" localSheetId="22">#REF!</definedName>
    <definedName name="Interject_LastPulledValues_LastChangeGUID" localSheetId="25">#REF!</definedName>
    <definedName name="Interject_LastPulledValues_LastChangeGUID" localSheetId="26">#REF!</definedName>
    <definedName name="Interject_LastPulledValues_LastChangeGUID" localSheetId="27">#REF!</definedName>
    <definedName name="Interject_LastPulledValues_LastChangeGUID" localSheetId="13">#REF!</definedName>
    <definedName name="Interject_LastPulledValues_LastChangeGUID">#REF!</definedName>
    <definedName name="Interject_LastPulledValues_PreviousLastChangeGUID" localSheetId="16">#REF!</definedName>
    <definedName name="Interject_LastPulledValues_PreviousLastChangeGUID" localSheetId="17">#REF!</definedName>
    <definedName name="Interject_LastPulledValues_PreviousLastChangeGUID" localSheetId="14">#REF!</definedName>
    <definedName name="Interject_LastPulledValues_PreviousLastChangeGUID" localSheetId="5">#REF!</definedName>
    <definedName name="Interject_LastPulledValues_PreviousLastChangeGUID" localSheetId="10">#REF!</definedName>
    <definedName name="Interject_LastPulledValues_PreviousLastChangeGUID" localSheetId="22">#REF!</definedName>
    <definedName name="Interject_LastPulledValues_PreviousLastChangeGUID" localSheetId="25">#REF!</definedName>
    <definedName name="Interject_LastPulledValues_PreviousLastChangeGUID" localSheetId="26">#REF!</definedName>
    <definedName name="Interject_LastPulledValues_PreviousLastChangeGUID" localSheetId="27">#REF!</definedName>
    <definedName name="Interject_LastPulledValues_PreviousLastChangeGUID" localSheetId="13">#REF!</definedName>
    <definedName name="Interject_LastPulledValues_PreviousLastChangeGUID">#REF!</definedName>
    <definedName name="Investment" localSheetId="24">'LG Public 2018 V5.0c'!$J$28</definedName>
    <definedName name="Investment" localSheetId="25">'LG Public 2018 V5.0c MSW'!$J$28</definedName>
    <definedName name="Investment" localSheetId="26">'LG Public 2018 V5.0c Rec'!$J$28</definedName>
    <definedName name="Investment" localSheetId="27">'LG Public 2018 V5.0c YW'!$J$28</definedName>
    <definedName name="Invoice_Start" localSheetId="16">[15]Invoice_Drill!#REF!</definedName>
    <definedName name="Invoice_Start" localSheetId="14">[15]Invoice_Drill!#REF!</definedName>
    <definedName name="Invoice_Start" localSheetId="5">[15]Invoice_Drill!#REF!</definedName>
    <definedName name="Invoice_Start" localSheetId="10">[15]Invoice_Drill!#REF!</definedName>
    <definedName name="Invoice_Start" localSheetId="22">[15]Invoice_Drill!#REF!</definedName>
    <definedName name="Invoice_Start" localSheetId="25">[15]Invoice_Drill!#REF!</definedName>
    <definedName name="Invoice_Start" localSheetId="26">[15]Invoice_Drill!#REF!</definedName>
    <definedName name="Invoice_Start" localSheetId="27">[15]Invoice_Drill!#REF!</definedName>
    <definedName name="Invoice_Start" localSheetId="13">[16]Invoice_Drill!#REF!</definedName>
    <definedName name="Invoice_Start" localSheetId="7">[15]Invoice_Drill!#REF!</definedName>
    <definedName name="Invoice_Start" localSheetId="6">[15]Invoice_Drill!#REF!</definedName>
    <definedName name="Invoice_Start">[15]Invoice_Drill!#REF!</definedName>
    <definedName name="JEDetail" localSheetId="16">#REF!</definedName>
    <definedName name="JEDetail" localSheetId="14">#REF!</definedName>
    <definedName name="JEDetail" localSheetId="1">#REF!</definedName>
    <definedName name="JEDetail" localSheetId="5">#REF!</definedName>
    <definedName name="JEDetail" localSheetId="10">#REF!</definedName>
    <definedName name="JEDetail" localSheetId="2">#REF!</definedName>
    <definedName name="JEDetail" localSheetId="20">#REF!</definedName>
    <definedName name="JEDetail" localSheetId="22">#REF!</definedName>
    <definedName name="JEDetail" localSheetId="25">#REF!</definedName>
    <definedName name="JEDetail" localSheetId="26">#REF!</definedName>
    <definedName name="JEDetail" localSheetId="27">#REF!</definedName>
    <definedName name="JEDetail" localSheetId="11">#REF!</definedName>
    <definedName name="JEDetail" localSheetId="13">#REF!</definedName>
    <definedName name="JEDetail" localSheetId="6">#REF!</definedName>
    <definedName name="JEDetail" localSheetId="12">#REF!</definedName>
    <definedName name="JEDetail">#REF!</definedName>
    <definedName name="JEDetail1" localSheetId="16">#REF!</definedName>
    <definedName name="JEDetail1" localSheetId="14">#REF!</definedName>
    <definedName name="JEDetail1" localSheetId="5">#REF!</definedName>
    <definedName name="JEDetail1" localSheetId="10">#REF!</definedName>
    <definedName name="JEDetail1" localSheetId="22">#REF!</definedName>
    <definedName name="JEDetail1" localSheetId="25">#REF!</definedName>
    <definedName name="JEDetail1" localSheetId="26">#REF!</definedName>
    <definedName name="JEDetail1" localSheetId="27">#REF!</definedName>
    <definedName name="JEDetail1" localSheetId="13">#REF!</definedName>
    <definedName name="JEDetail1">#REF!</definedName>
    <definedName name="JEType" localSheetId="16">#REF!</definedName>
    <definedName name="JEType" localSheetId="14">#REF!</definedName>
    <definedName name="JEType" localSheetId="1">#REF!</definedName>
    <definedName name="JEType" localSheetId="5">#REF!</definedName>
    <definedName name="JEType" localSheetId="10">#REF!</definedName>
    <definedName name="JEType" localSheetId="2">#REF!</definedName>
    <definedName name="JEType" localSheetId="20">#REF!</definedName>
    <definedName name="JEType" localSheetId="22">#REF!</definedName>
    <definedName name="JEType" localSheetId="25">#REF!</definedName>
    <definedName name="JEType" localSheetId="26">#REF!</definedName>
    <definedName name="JEType" localSheetId="27">#REF!</definedName>
    <definedName name="JEType" localSheetId="11">#REF!</definedName>
    <definedName name="JEType" localSheetId="13">#REF!</definedName>
    <definedName name="JEType" localSheetId="6">#REF!</definedName>
    <definedName name="JEType" localSheetId="12">#REF!</definedName>
    <definedName name="JEType">#REF!</definedName>
    <definedName name="JEType1" localSheetId="16">#REF!</definedName>
    <definedName name="JEType1" localSheetId="14">#REF!</definedName>
    <definedName name="JEType1" localSheetId="5">#REF!</definedName>
    <definedName name="JEType1" localSheetId="10">#REF!</definedName>
    <definedName name="JEType1" localSheetId="22">#REF!</definedName>
    <definedName name="JEType1" localSheetId="25">#REF!</definedName>
    <definedName name="JEType1" localSheetId="26">#REF!</definedName>
    <definedName name="JEType1" localSheetId="27">#REF!</definedName>
    <definedName name="JEType1" localSheetId="13">#REF!</definedName>
    <definedName name="JEType1">#REF!</definedName>
    <definedName name="lblBillAreaStatus" localSheetId="16">#REF!</definedName>
    <definedName name="lblBillAreaStatus" localSheetId="14">#REF!</definedName>
    <definedName name="lblBillAreaStatus" localSheetId="1">#REF!</definedName>
    <definedName name="lblBillAreaStatus" localSheetId="5">#REF!</definedName>
    <definedName name="lblBillAreaStatus" localSheetId="10">#REF!</definedName>
    <definedName name="lblBillAreaStatus" localSheetId="2">#REF!</definedName>
    <definedName name="lblBillAreaStatus" localSheetId="20">#REF!</definedName>
    <definedName name="lblBillAreaStatus" localSheetId="22">#REF!</definedName>
    <definedName name="lblBillAreaStatus" localSheetId="25">#REF!</definedName>
    <definedName name="lblBillAreaStatus" localSheetId="26">#REF!</definedName>
    <definedName name="lblBillAreaStatus" localSheetId="27">#REF!</definedName>
    <definedName name="lblBillAreaStatus" localSheetId="11">#REF!</definedName>
    <definedName name="lblBillAreaStatus" localSheetId="13">#REF!</definedName>
    <definedName name="lblBillAreaStatus" localSheetId="6">#REF!</definedName>
    <definedName name="lblBillAreaStatus" localSheetId="12">#REF!</definedName>
    <definedName name="lblBillAreaStatus">#REF!</definedName>
    <definedName name="lblBillCycleStatus" localSheetId="16">#REF!</definedName>
    <definedName name="lblBillCycleStatus" localSheetId="14">#REF!</definedName>
    <definedName name="lblBillCycleStatus" localSheetId="1">#REF!</definedName>
    <definedName name="lblBillCycleStatus" localSheetId="5">#REF!</definedName>
    <definedName name="lblBillCycleStatus" localSheetId="10">#REF!</definedName>
    <definedName name="lblBillCycleStatus" localSheetId="2">#REF!</definedName>
    <definedName name="lblBillCycleStatus" localSheetId="20">#REF!</definedName>
    <definedName name="lblBillCycleStatus" localSheetId="22">#REF!</definedName>
    <definedName name="lblBillCycleStatus" localSheetId="25">#REF!</definedName>
    <definedName name="lblBillCycleStatus" localSheetId="26">#REF!</definedName>
    <definedName name="lblBillCycleStatus" localSheetId="27">#REF!</definedName>
    <definedName name="lblBillCycleStatus" localSheetId="11">#REF!</definedName>
    <definedName name="lblBillCycleStatus" localSheetId="13">#REF!</definedName>
    <definedName name="lblBillCycleStatus" localSheetId="6">#REF!</definedName>
    <definedName name="lblBillCycleStatus" localSheetId="12">#REF!</definedName>
    <definedName name="lblBillCycleStatus">#REF!</definedName>
    <definedName name="lblCategoryStatus" localSheetId="16">#REF!</definedName>
    <definedName name="lblCategoryStatus" localSheetId="14">#REF!</definedName>
    <definedName name="lblCategoryStatus" localSheetId="1">#REF!</definedName>
    <definedName name="lblCategoryStatus" localSheetId="5">#REF!</definedName>
    <definedName name="lblCategoryStatus" localSheetId="10">#REF!</definedName>
    <definedName name="lblCategoryStatus" localSheetId="2">#REF!</definedName>
    <definedName name="lblCategoryStatus" localSheetId="20">#REF!</definedName>
    <definedName name="lblCategoryStatus" localSheetId="22">#REF!</definedName>
    <definedName name="lblCategoryStatus" localSheetId="25">#REF!</definedName>
    <definedName name="lblCategoryStatus" localSheetId="26">#REF!</definedName>
    <definedName name="lblCategoryStatus" localSheetId="27">#REF!</definedName>
    <definedName name="lblCategoryStatus" localSheetId="11">#REF!</definedName>
    <definedName name="lblCategoryStatus" localSheetId="13">#REF!</definedName>
    <definedName name="lblCategoryStatus" localSheetId="6">#REF!</definedName>
    <definedName name="lblCategoryStatus" localSheetId="12">#REF!</definedName>
    <definedName name="lblCategoryStatus">#REF!</definedName>
    <definedName name="lblCompanyStatus" localSheetId="16">#REF!</definedName>
    <definedName name="lblCompanyStatus" localSheetId="14">#REF!</definedName>
    <definedName name="lblCompanyStatus" localSheetId="1">#REF!</definedName>
    <definedName name="lblCompanyStatus" localSheetId="5">#REF!</definedName>
    <definedName name="lblCompanyStatus" localSheetId="10">#REF!</definedName>
    <definedName name="lblCompanyStatus" localSheetId="2">#REF!</definedName>
    <definedName name="lblCompanyStatus" localSheetId="20">#REF!</definedName>
    <definedName name="lblCompanyStatus" localSheetId="22">#REF!</definedName>
    <definedName name="lblCompanyStatus" localSheetId="25">#REF!</definedName>
    <definedName name="lblCompanyStatus" localSheetId="26">#REF!</definedName>
    <definedName name="lblCompanyStatus" localSheetId="27">#REF!</definedName>
    <definedName name="lblCompanyStatus" localSheetId="11">#REF!</definedName>
    <definedName name="lblCompanyStatus" localSheetId="13">#REF!</definedName>
    <definedName name="lblCompanyStatus" localSheetId="6">#REF!</definedName>
    <definedName name="lblCompanyStatus" localSheetId="12">#REF!</definedName>
    <definedName name="lblCompanyStatus">#REF!</definedName>
    <definedName name="lblDatabaseStatus" localSheetId="16">#REF!</definedName>
    <definedName name="lblDatabaseStatus" localSheetId="14">#REF!</definedName>
    <definedName name="lblDatabaseStatus" localSheetId="1">#REF!</definedName>
    <definedName name="lblDatabaseStatus" localSheetId="5">#REF!</definedName>
    <definedName name="lblDatabaseStatus" localSheetId="10">#REF!</definedName>
    <definedName name="lblDatabaseStatus" localSheetId="2">#REF!</definedName>
    <definedName name="lblDatabaseStatus" localSheetId="20">#REF!</definedName>
    <definedName name="lblDatabaseStatus" localSheetId="22">#REF!</definedName>
    <definedName name="lblDatabaseStatus" localSheetId="25">#REF!</definedName>
    <definedName name="lblDatabaseStatus" localSheetId="26">#REF!</definedName>
    <definedName name="lblDatabaseStatus" localSheetId="27">#REF!</definedName>
    <definedName name="lblDatabaseStatus" localSheetId="11">#REF!</definedName>
    <definedName name="lblDatabaseStatus" localSheetId="13">#REF!</definedName>
    <definedName name="lblDatabaseStatus" localSheetId="6">#REF!</definedName>
    <definedName name="lblDatabaseStatus" localSheetId="12">#REF!</definedName>
    <definedName name="lblDatabaseStatus">#REF!</definedName>
    <definedName name="lblPullStatus" localSheetId="16">#REF!</definedName>
    <definedName name="lblPullStatus" localSheetId="14">#REF!</definedName>
    <definedName name="lblPullStatus" localSheetId="1">#REF!</definedName>
    <definedName name="lblPullStatus" localSheetId="5">#REF!</definedName>
    <definedName name="lblPullStatus" localSheetId="10">#REF!</definedName>
    <definedName name="lblPullStatus" localSheetId="2">#REF!</definedName>
    <definedName name="lblPullStatus" localSheetId="20">#REF!</definedName>
    <definedName name="lblPullStatus" localSheetId="22">#REF!</definedName>
    <definedName name="lblPullStatus" localSheetId="25">#REF!</definedName>
    <definedName name="lblPullStatus" localSheetId="26">#REF!</definedName>
    <definedName name="lblPullStatus" localSheetId="27">#REF!</definedName>
    <definedName name="lblPullStatus" localSheetId="11">#REF!</definedName>
    <definedName name="lblPullStatus" localSheetId="13">#REF!</definedName>
    <definedName name="lblPullStatus" localSheetId="6">#REF!</definedName>
    <definedName name="lblPullStatus" localSheetId="12">#REF!</definedName>
    <definedName name="lblPullStatus">#REF!</definedName>
    <definedName name="lllllllllllllllllllll" localSheetId="16">#REF!</definedName>
    <definedName name="lllllllllllllllllllll" localSheetId="14">#REF!</definedName>
    <definedName name="lllllllllllllllllllll" localSheetId="1">#REF!</definedName>
    <definedName name="lllllllllllllllllllll" localSheetId="5">#REF!</definedName>
    <definedName name="lllllllllllllllllllll" localSheetId="10">#REF!</definedName>
    <definedName name="lllllllllllllllllllll" localSheetId="2">#REF!</definedName>
    <definedName name="lllllllllllllllllllll" localSheetId="20">#REF!</definedName>
    <definedName name="lllllllllllllllllllll" localSheetId="22">#REF!</definedName>
    <definedName name="lllllllllllllllllllll" localSheetId="25">#REF!</definedName>
    <definedName name="lllllllllllllllllllll" localSheetId="26">#REF!</definedName>
    <definedName name="lllllllllllllllllllll" localSheetId="27">#REF!</definedName>
    <definedName name="lllllllllllllllllllll" localSheetId="11">#REF!</definedName>
    <definedName name="lllllllllllllllllllll" localSheetId="13">#REF!</definedName>
    <definedName name="lllllllllllllllllllll" localSheetId="6">#REF!</definedName>
    <definedName name="lllllllllllllllllllll" localSheetId="12">#REF!</definedName>
    <definedName name="lllllllllllllllllllll">#REF!</definedName>
    <definedName name="LOB">[22]DropDownRanges!$B$4:$B$37</definedName>
    <definedName name="MainDataEnd" localSheetId="16">#REF!</definedName>
    <definedName name="MainDataEnd" localSheetId="14">#REF!</definedName>
    <definedName name="MainDataEnd" localSheetId="1">#REF!</definedName>
    <definedName name="MainDataEnd" localSheetId="5">#REF!</definedName>
    <definedName name="MainDataEnd" localSheetId="10">#REF!</definedName>
    <definedName name="MainDataEnd" localSheetId="2">#REF!</definedName>
    <definedName name="MainDataEnd" localSheetId="20">#REF!</definedName>
    <definedName name="MainDataEnd" localSheetId="22">#REF!</definedName>
    <definedName name="MainDataEnd" localSheetId="25">#REF!</definedName>
    <definedName name="MainDataEnd" localSheetId="26">#REF!</definedName>
    <definedName name="MainDataEnd" localSheetId="27">#REF!</definedName>
    <definedName name="MainDataEnd" localSheetId="11">#REF!</definedName>
    <definedName name="MainDataEnd" localSheetId="13">#REF!</definedName>
    <definedName name="MainDataEnd" localSheetId="6">#REF!</definedName>
    <definedName name="MainDataEnd" localSheetId="12">#REF!</definedName>
    <definedName name="MainDataEnd">#REF!</definedName>
    <definedName name="MainDataStart" localSheetId="16">#REF!</definedName>
    <definedName name="MainDataStart" localSheetId="14">#REF!</definedName>
    <definedName name="MainDataStart" localSheetId="1">#REF!</definedName>
    <definedName name="MainDataStart" localSheetId="5">#REF!</definedName>
    <definedName name="MainDataStart" localSheetId="10">#REF!</definedName>
    <definedName name="MainDataStart" localSheetId="2">#REF!</definedName>
    <definedName name="MainDataStart" localSheetId="20">#REF!</definedName>
    <definedName name="MainDataStart" localSheetId="22">#REF!</definedName>
    <definedName name="MainDataStart" localSheetId="25">#REF!</definedName>
    <definedName name="MainDataStart" localSheetId="26">#REF!</definedName>
    <definedName name="MainDataStart" localSheetId="27">#REF!</definedName>
    <definedName name="MainDataStart" localSheetId="11">#REF!</definedName>
    <definedName name="MainDataStart" localSheetId="13">#REF!</definedName>
    <definedName name="MainDataStart" localSheetId="6">#REF!</definedName>
    <definedName name="MainDataStart" localSheetId="12">#REF!</definedName>
    <definedName name="MainDataStart">#REF!</definedName>
    <definedName name="MapKeyStart" localSheetId="16">#REF!</definedName>
    <definedName name="MapKeyStart" localSheetId="14">#REF!</definedName>
    <definedName name="MapKeyStart" localSheetId="1">#REF!</definedName>
    <definedName name="MapKeyStart" localSheetId="5">#REF!</definedName>
    <definedName name="MapKeyStart" localSheetId="10">#REF!</definedName>
    <definedName name="MapKeyStart" localSheetId="2">#REF!</definedName>
    <definedName name="MapKeyStart" localSheetId="20">#REF!</definedName>
    <definedName name="MapKeyStart" localSheetId="22">#REF!</definedName>
    <definedName name="MapKeyStart" localSheetId="25">#REF!</definedName>
    <definedName name="MapKeyStart" localSheetId="26">#REF!</definedName>
    <definedName name="MapKeyStart" localSheetId="27">#REF!</definedName>
    <definedName name="MapKeyStart" localSheetId="11">#REF!</definedName>
    <definedName name="MapKeyStart" localSheetId="13">#REF!</definedName>
    <definedName name="MapKeyStart" localSheetId="6">#REF!</definedName>
    <definedName name="MapKeyStart" localSheetId="12">#REF!</definedName>
    <definedName name="MapKeyStart">#REF!</definedName>
    <definedName name="master_def" localSheetId="16">#REF!</definedName>
    <definedName name="master_def" localSheetId="14">#REF!</definedName>
    <definedName name="master_def" localSheetId="1">#REF!</definedName>
    <definedName name="master_def" localSheetId="5">#REF!</definedName>
    <definedName name="master_def" localSheetId="10">#REF!</definedName>
    <definedName name="master_def" localSheetId="2">#REF!</definedName>
    <definedName name="master_def" localSheetId="20">#REF!</definedName>
    <definedName name="master_def" localSheetId="22">#REF!</definedName>
    <definedName name="master_def" localSheetId="25">#REF!</definedName>
    <definedName name="master_def" localSheetId="26">#REF!</definedName>
    <definedName name="master_def" localSheetId="27">#REF!</definedName>
    <definedName name="master_def" localSheetId="11">#REF!</definedName>
    <definedName name="master_def" localSheetId="13">#REF!</definedName>
    <definedName name="master_def" localSheetId="7">#REF!</definedName>
    <definedName name="master_def" localSheetId="6">#REF!</definedName>
    <definedName name="master_def" localSheetId="12">#REF!</definedName>
    <definedName name="master_def">#REF!</definedName>
    <definedName name="MATRIX" localSheetId="16">#REF!</definedName>
    <definedName name="MATRIX" localSheetId="14">#REF!</definedName>
    <definedName name="MATRIX" localSheetId="5">#REF!</definedName>
    <definedName name="MATRIX" localSheetId="10">#REF!</definedName>
    <definedName name="MATRIX" localSheetId="22">#REF!</definedName>
    <definedName name="MATRIX" localSheetId="25">#REF!</definedName>
    <definedName name="MATRIX" localSheetId="26">#REF!</definedName>
    <definedName name="MATRIX" localSheetId="27">#REF!</definedName>
    <definedName name="MATRIX" localSheetId="13">#REF!</definedName>
    <definedName name="MATRIX">#REF!</definedName>
    <definedName name="MemoAttachment" localSheetId="16">#REF!</definedName>
    <definedName name="MemoAttachment" localSheetId="14">#REF!</definedName>
    <definedName name="MemoAttachment" localSheetId="5">#REF!</definedName>
    <definedName name="MemoAttachment" localSheetId="10">#REF!</definedName>
    <definedName name="MemoAttachment" localSheetId="20">#REF!</definedName>
    <definedName name="MemoAttachment" localSheetId="22">#REF!</definedName>
    <definedName name="MemoAttachment" localSheetId="25">#REF!</definedName>
    <definedName name="MemoAttachment" localSheetId="26">#REF!</definedName>
    <definedName name="MemoAttachment" localSheetId="27">#REF!</definedName>
    <definedName name="MemoAttachment" localSheetId="13">#REF!</definedName>
    <definedName name="MemoAttachment" localSheetId="6">#REF!</definedName>
    <definedName name="MemoAttachment">#REF!</definedName>
    <definedName name="MetaSet">[1]Orientation!$C$22</definedName>
    <definedName name="MFStaffPriceOut" localSheetId="16">'[10]Price Out-Reg EASTSIDE-Resi'!#REF!</definedName>
    <definedName name="MFStaffPriceOut" localSheetId="14">'[10]Price Out-Reg EASTSIDE-Resi'!#REF!</definedName>
    <definedName name="MFStaffPriceOut" localSheetId="5">'[10]Price Out-Reg EASTSIDE-Resi'!#REF!</definedName>
    <definedName name="MFStaffPriceOut" localSheetId="10">'[10]Price Out-Reg EASTSIDE-Resi'!#REF!</definedName>
    <definedName name="MFStaffPriceOut" localSheetId="22">'[10]Price Out-Reg EASTSIDE-Resi'!#REF!</definedName>
    <definedName name="MFStaffPriceOut" localSheetId="25">'[10]Price Out-Reg EASTSIDE-Resi'!#REF!</definedName>
    <definedName name="MFStaffPriceOut" localSheetId="26">'[10]Price Out-Reg EASTSIDE-Resi'!#REF!</definedName>
    <definedName name="MFStaffPriceOut" localSheetId="27">'[10]Price Out-Reg EASTSIDE-Resi'!#REF!</definedName>
    <definedName name="MFStaffPriceOut" localSheetId="13">'[10]Price Out-Reg EASTSIDE-Resi'!#REF!</definedName>
    <definedName name="MFStaffPriceOut" localSheetId="7">'[10]Price Out-Reg EASTSIDE-Resi'!#REF!</definedName>
    <definedName name="MFStaffPriceOut">'[10]Price Out-Reg EASTSIDE-Resi'!#REF!</definedName>
    <definedName name="MILTON" localSheetId="5">#REF!</definedName>
    <definedName name="MILTON" localSheetId="10">#REF!</definedName>
    <definedName name="MILTON" localSheetId="25">#REF!</definedName>
    <definedName name="MILTON" localSheetId="26">#REF!</definedName>
    <definedName name="MILTON" localSheetId="27">#REF!</definedName>
    <definedName name="MILTON">#REF!</definedName>
    <definedName name="MonthList" localSheetId="22">'[15]Lookup Tables'!$A$1:$A$13</definedName>
    <definedName name="MonthList" localSheetId="13">'[16]Lookup Tables'!$A$1:$A$13</definedName>
    <definedName name="MonthList">'[15]Lookup Tables'!$A$1:$A$13</definedName>
    <definedName name="NewLob">[22]DropDownRanges!$B$4:$B$37</definedName>
    <definedName name="NewOnlyOrg">#N/A</definedName>
    <definedName name="NewSource">[22]DropDownRanges!$D$4:$D$7</definedName>
    <definedName name="nn" localSheetId="16">#REF!</definedName>
    <definedName name="nn" localSheetId="14">#REF!</definedName>
    <definedName name="nn" localSheetId="5">#REF!</definedName>
    <definedName name="nn" localSheetId="10">#REF!</definedName>
    <definedName name="nn" localSheetId="22">#REF!</definedName>
    <definedName name="nn" localSheetId="25">#REF!</definedName>
    <definedName name="nn" localSheetId="26">#REF!</definedName>
    <definedName name="nn" localSheetId="27">#REF!</definedName>
    <definedName name="nn" localSheetId="13">#REF!</definedName>
    <definedName name="nn" localSheetId="7">#REF!</definedName>
    <definedName name="nn">#REF!</definedName>
    <definedName name="NOTES" localSheetId="16">#REF!</definedName>
    <definedName name="NOTES" localSheetId="14">#REF!</definedName>
    <definedName name="NOTES" localSheetId="1">#REF!</definedName>
    <definedName name="NOTES" localSheetId="5">#REF!</definedName>
    <definedName name="NOTES" localSheetId="10">#REF!</definedName>
    <definedName name="NOTES" localSheetId="2">#REF!</definedName>
    <definedName name="NOTES" localSheetId="20">#REF!</definedName>
    <definedName name="NOTES" localSheetId="23">#REF!</definedName>
    <definedName name="NOTES" localSheetId="22">#REF!</definedName>
    <definedName name="NOTES" localSheetId="25">#REF!</definedName>
    <definedName name="NOTES" localSheetId="26">#REF!</definedName>
    <definedName name="NOTES" localSheetId="27">#REF!</definedName>
    <definedName name="NOTES" localSheetId="11">#REF!</definedName>
    <definedName name="NOTES" localSheetId="13">#REF!</definedName>
    <definedName name="NOTES" localSheetId="6">#REF!</definedName>
    <definedName name="NOTES" localSheetId="12">#REF!</definedName>
    <definedName name="NOTES">#REF!</definedName>
    <definedName name="NR" localSheetId="16">#REF!</definedName>
    <definedName name="NR" localSheetId="14">#REF!</definedName>
    <definedName name="NR" localSheetId="5">#REF!</definedName>
    <definedName name="NR" localSheetId="10">#REF!</definedName>
    <definedName name="NR" localSheetId="20">#REF!</definedName>
    <definedName name="NR" localSheetId="22">#REF!</definedName>
    <definedName name="NR" localSheetId="25">#REF!</definedName>
    <definedName name="NR" localSheetId="26">#REF!</definedName>
    <definedName name="NR" localSheetId="27">#REF!</definedName>
    <definedName name="NR" localSheetId="13">#REF!</definedName>
    <definedName name="NR" localSheetId="6">#REF!</definedName>
    <definedName name="NR">#REF!</definedName>
    <definedName name="OfficerSalary">#N/A</definedName>
    <definedName name="OffsetAcctBil">[23]JEexport!$L$10</definedName>
    <definedName name="OffsetAcctPmt">[23]JEexport!$L$9</definedName>
    <definedName name="Org11_13">#N/A</definedName>
    <definedName name="Org7_10">#N/A</definedName>
    <definedName name="p" localSheetId="16">#REF!</definedName>
    <definedName name="p" localSheetId="14">#REF!</definedName>
    <definedName name="p" localSheetId="1">#REF!</definedName>
    <definedName name="p" localSheetId="5">#REF!</definedName>
    <definedName name="p" localSheetId="10">#REF!</definedName>
    <definedName name="p" localSheetId="2">#REF!</definedName>
    <definedName name="p" localSheetId="20">#REF!</definedName>
    <definedName name="p" localSheetId="22">#REF!</definedName>
    <definedName name="p" localSheetId="25">#REF!</definedName>
    <definedName name="p" localSheetId="26">#REF!</definedName>
    <definedName name="p" localSheetId="27">#REF!</definedName>
    <definedName name="p" localSheetId="13">#REF!</definedName>
    <definedName name="p" localSheetId="6">#REF!</definedName>
    <definedName name="p" localSheetId="12">#REF!</definedName>
    <definedName name="p">#REF!</definedName>
    <definedName name="PAGE_1" localSheetId="16">#REF!</definedName>
    <definedName name="PAGE_1" localSheetId="14">#REF!</definedName>
    <definedName name="PAGE_1" localSheetId="1">#REF!</definedName>
    <definedName name="PAGE_1" localSheetId="5">#REF!</definedName>
    <definedName name="PAGE_1" localSheetId="10">#REF!</definedName>
    <definedName name="PAGE_1" localSheetId="2">#REF!</definedName>
    <definedName name="PAGE_1" localSheetId="20">#REF!</definedName>
    <definedName name="PAGE_1" localSheetId="23">#REF!</definedName>
    <definedName name="PAGE_1" localSheetId="22">#REF!</definedName>
    <definedName name="PAGE_1" localSheetId="25">#REF!</definedName>
    <definedName name="PAGE_1" localSheetId="26">#REF!</definedName>
    <definedName name="PAGE_1" localSheetId="27">#REF!</definedName>
    <definedName name="PAGE_1" localSheetId="11">#REF!</definedName>
    <definedName name="PAGE_1" localSheetId="13">#REF!</definedName>
    <definedName name="PAGE_1" localSheetId="6">#REF!</definedName>
    <definedName name="PAGE_1" localSheetId="12">#REF!</definedName>
    <definedName name="PAGE_1">#REF!</definedName>
    <definedName name="Page16" localSheetId="16">#REF!</definedName>
    <definedName name="Page16" localSheetId="14">#REF!</definedName>
    <definedName name="Page16" localSheetId="5">#REF!</definedName>
    <definedName name="Page16" localSheetId="10">#REF!</definedName>
    <definedName name="Page16" localSheetId="22">#REF!</definedName>
    <definedName name="Page16" localSheetId="25">#REF!</definedName>
    <definedName name="Page16" localSheetId="26">#REF!</definedName>
    <definedName name="Page16" localSheetId="27">#REF!</definedName>
    <definedName name="Page16" localSheetId="13">#REF!</definedName>
    <definedName name="Page16">#REF!</definedName>
    <definedName name="Page17" localSheetId="16">#REF!</definedName>
    <definedName name="Page17" localSheetId="14">#REF!</definedName>
    <definedName name="Page17" localSheetId="5">#REF!</definedName>
    <definedName name="Page17" localSheetId="10">#REF!</definedName>
    <definedName name="Page17" localSheetId="22">#REF!</definedName>
    <definedName name="Page17" localSheetId="25">#REF!</definedName>
    <definedName name="Page17" localSheetId="26">#REF!</definedName>
    <definedName name="Page17" localSheetId="27">#REF!</definedName>
    <definedName name="Page17" localSheetId="13">#REF!</definedName>
    <definedName name="Page17">#REF!</definedName>
    <definedName name="Page18" localSheetId="16">#REF!</definedName>
    <definedName name="Page18" localSheetId="14">#REF!</definedName>
    <definedName name="Page18" localSheetId="5">#REF!</definedName>
    <definedName name="Page18" localSheetId="10">#REF!</definedName>
    <definedName name="Page18" localSheetId="22">#REF!</definedName>
    <definedName name="Page18" localSheetId="25">#REF!</definedName>
    <definedName name="Page18" localSheetId="26">#REF!</definedName>
    <definedName name="Page18" localSheetId="27">#REF!</definedName>
    <definedName name="Page18" localSheetId="13">#REF!</definedName>
    <definedName name="Page18">#REF!</definedName>
    <definedName name="Page7a" localSheetId="16">#REF!</definedName>
    <definedName name="Page7a" localSheetId="14">#REF!</definedName>
    <definedName name="Page7a" localSheetId="5">#REF!</definedName>
    <definedName name="Page7a" localSheetId="10">#REF!</definedName>
    <definedName name="Page7a" localSheetId="22">#REF!</definedName>
    <definedName name="Page7a" localSheetId="25">#REF!</definedName>
    <definedName name="Page7a" localSheetId="26">#REF!</definedName>
    <definedName name="Page7a" localSheetId="27">#REF!</definedName>
    <definedName name="Page7a" localSheetId="13">#REF!</definedName>
    <definedName name="Page7a">#REF!</definedName>
    <definedName name="pBatchID" localSheetId="16">#REF!</definedName>
    <definedName name="pBatchID" localSheetId="14">#REF!</definedName>
    <definedName name="pBatchID" localSheetId="1">#REF!</definedName>
    <definedName name="pBatchID" localSheetId="5">#REF!</definedName>
    <definedName name="pBatchID" localSheetId="10">#REF!</definedName>
    <definedName name="pBatchID" localSheetId="2">#REF!</definedName>
    <definedName name="pBatchID" localSheetId="20">#REF!</definedName>
    <definedName name="pBatchID" localSheetId="22">#REF!</definedName>
    <definedName name="pBatchID" localSheetId="25">#REF!</definedName>
    <definedName name="pBatchID" localSheetId="26">#REF!</definedName>
    <definedName name="pBatchID" localSheetId="27">#REF!</definedName>
    <definedName name="pBatchID" localSheetId="11">#REF!</definedName>
    <definedName name="pBatchID" localSheetId="13">#REF!</definedName>
    <definedName name="pBatchID" localSheetId="6">#REF!</definedName>
    <definedName name="pBatchID" localSheetId="12">#REF!</definedName>
    <definedName name="pBatchID">#REF!</definedName>
    <definedName name="pBillArea" localSheetId="16">#REF!</definedName>
    <definedName name="pBillArea" localSheetId="14">#REF!</definedName>
    <definedName name="pBillArea" localSheetId="1">#REF!</definedName>
    <definedName name="pBillArea" localSheetId="5">#REF!</definedName>
    <definedName name="pBillArea" localSheetId="10">#REF!</definedName>
    <definedName name="pBillArea" localSheetId="2">#REF!</definedName>
    <definedName name="pBillArea" localSheetId="20">#REF!</definedName>
    <definedName name="pBillArea" localSheetId="22">#REF!</definedName>
    <definedName name="pBillArea" localSheetId="25">#REF!</definedName>
    <definedName name="pBillArea" localSheetId="26">#REF!</definedName>
    <definedName name="pBillArea" localSheetId="27">#REF!</definedName>
    <definedName name="pBillArea" localSheetId="11">#REF!</definedName>
    <definedName name="pBillArea" localSheetId="13">#REF!</definedName>
    <definedName name="pBillArea" localSheetId="6">#REF!</definedName>
    <definedName name="pBillArea" localSheetId="12">#REF!</definedName>
    <definedName name="pBillArea">#REF!</definedName>
    <definedName name="pBillCycle" localSheetId="16">#REF!</definedName>
    <definedName name="pBillCycle" localSheetId="14">#REF!</definedName>
    <definedName name="pBillCycle" localSheetId="1">#REF!</definedName>
    <definedName name="pBillCycle" localSheetId="5">#REF!</definedName>
    <definedName name="pBillCycle" localSheetId="10">#REF!</definedName>
    <definedName name="pBillCycle" localSheetId="2">#REF!</definedName>
    <definedName name="pBillCycle" localSheetId="20">#REF!</definedName>
    <definedName name="pBillCycle" localSheetId="22">#REF!</definedName>
    <definedName name="pBillCycle" localSheetId="25">#REF!</definedName>
    <definedName name="pBillCycle" localSheetId="26">#REF!</definedName>
    <definedName name="pBillCycle" localSheetId="27">#REF!</definedName>
    <definedName name="pBillCycle" localSheetId="11">#REF!</definedName>
    <definedName name="pBillCycle" localSheetId="13">#REF!</definedName>
    <definedName name="pBillCycle" localSheetId="6">#REF!</definedName>
    <definedName name="pBillCycle" localSheetId="12">#REF!</definedName>
    <definedName name="pBillCycle">#REF!</definedName>
    <definedName name="pCategory" localSheetId="16">#REF!</definedName>
    <definedName name="pCategory" localSheetId="14">#REF!</definedName>
    <definedName name="pCategory" localSheetId="1">#REF!</definedName>
    <definedName name="pCategory" localSheetId="5">#REF!</definedName>
    <definedName name="pCategory" localSheetId="10">#REF!</definedName>
    <definedName name="pCategory" localSheetId="2">#REF!</definedName>
    <definedName name="pCategory" localSheetId="20">#REF!</definedName>
    <definedName name="pCategory" localSheetId="22">#REF!</definedName>
    <definedName name="pCategory" localSheetId="25">#REF!</definedName>
    <definedName name="pCategory" localSheetId="26">#REF!</definedName>
    <definedName name="pCategory" localSheetId="27">#REF!</definedName>
    <definedName name="pCategory" localSheetId="11">#REF!</definedName>
    <definedName name="pCategory" localSheetId="13">#REF!</definedName>
    <definedName name="pCategory" localSheetId="6">#REF!</definedName>
    <definedName name="pCategory" localSheetId="12">#REF!</definedName>
    <definedName name="pCategory">#REF!</definedName>
    <definedName name="pCompany" localSheetId="16">#REF!</definedName>
    <definedName name="pCompany" localSheetId="14">#REF!</definedName>
    <definedName name="pCompany" localSheetId="1">#REF!</definedName>
    <definedName name="pCompany" localSheetId="5">#REF!</definedName>
    <definedName name="pCompany" localSheetId="10">#REF!</definedName>
    <definedName name="pCompany" localSheetId="2">#REF!</definedName>
    <definedName name="pCompany" localSheetId="20">#REF!</definedName>
    <definedName name="pCompany" localSheetId="22">#REF!</definedName>
    <definedName name="pCompany" localSheetId="25">#REF!</definedName>
    <definedName name="pCompany" localSheetId="26">#REF!</definedName>
    <definedName name="pCompany" localSheetId="27">#REF!</definedName>
    <definedName name="pCompany" localSheetId="11">#REF!</definedName>
    <definedName name="pCompany" localSheetId="13">#REF!</definedName>
    <definedName name="pCompany" localSheetId="6">#REF!</definedName>
    <definedName name="pCompany" localSheetId="12">#REF!</definedName>
    <definedName name="pCompany">#REF!</definedName>
    <definedName name="pCustomerNumber" localSheetId="16">#REF!</definedName>
    <definedName name="pCustomerNumber" localSheetId="14">#REF!</definedName>
    <definedName name="pCustomerNumber" localSheetId="1">#REF!</definedName>
    <definedName name="pCustomerNumber" localSheetId="5">#REF!</definedName>
    <definedName name="pCustomerNumber" localSheetId="10">#REF!</definedName>
    <definedName name="pCustomerNumber" localSheetId="2">#REF!</definedName>
    <definedName name="pCustomerNumber" localSheetId="20">#REF!</definedName>
    <definedName name="pCustomerNumber" localSheetId="22">#REF!</definedName>
    <definedName name="pCustomerNumber" localSheetId="25">#REF!</definedName>
    <definedName name="pCustomerNumber" localSheetId="26">#REF!</definedName>
    <definedName name="pCustomerNumber" localSheetId="27">#REF!</definedName>
    <definedName name="pCustomerNumber" localSheetId="11">#REF!</definedName>
    <definedName name="pCustomerNumber" localSheetId="13">#REF!</definedName>
    <definedName name="pCustomerNumber" localSheetId="6">#REF!</definedName>
    <definedName name="pCustomerNumber" localSheetId="12">#REF!</definedName>
    <definedName name="pCustomerNumber">#REF!</definedName>
    <definedName name="pDatabase" localSheetId="16">#REF!</definedName>
    <definedName name="pDatabase" localSheetId="14">#REF!</definedName>
    <definedName name="pDatabase" localSheetId="1">#REF!</definedName>
    <definedName name="pDatabase" localSheetId="5">#REF!</definedName>
    <definedName name="pDatabase" localSheetId="10">#REF!</definedName>
    <definedName name="pDatabase" localSheetId="2">#REF!</definedName>
    <definedName name="pDatabase" localSheetId="20">#REF!</definedName>
    <definedName name="pDatabase" localSheetId="22">#REF!</definedName>
    <definedName name="pDatabase" localSheetId="25">#REF!</definedName>
    <definedName name="pDatabase" localSheetId="26">#REF!</definedName>
    <definedName name="pDatabase" localSheetId="27">#REF!</definedName>
    <definedName name="pDatabase" localSheetId="11">#REF!</definedName>
    <definedName name="pDatabase" localSheetId="13">#REF!</definedName>
    <definedName name="pDatabase" localSheetId="6">#REF!</definedName>
    <definedName name="pDatabase" localSheetId="12">#REF!</definedName>
    <definedName name="pDatabase">#REF!</definedName>
    <definedName name="pEndPostDate" localSheetId="16">#REF!</definedName>
    <definedName name="pEndPostDate" localSheetId="14">#REF!</definedName>
    <definedName name="pEndPostDate" localSheetId="1">#REF!</definedName>
    <definedName name="pEndPostDate" localSheetId="5">#REF!</definedName>
    <definedName name="pEndPostDate" localSheetId="10">#REF!</definedName>
    <definedName name="pEndPostDate" localSheetId="2">#REF!</definedName>
    <definedName name="pEndPostDate" localSheetId="20">#REF!</definedName>
    <definedName name="pEndPostDate" localSheetId="22">#REF!</definedName>
    <definedName name="pEndPostDate" localSheetId="25">#REF!</definedName>
    <definedName name="pEndPostDate" localSheetId="26">#REF!</definedName>
    <definedName name="pEndPostDate" localSheetId="27">#REF!</definedName>
    <definedName name="pEndPostDate" localSheetId="11">#REF!</definedName>
    <definedName name="pEndPostDate" localSheetId="13">#REF!</definedName>
    <definedName name="pEndPostDate" localSheetId="6">#REF!</definedName>
    <definedName name="pEndPostDate" localSheetId="12">#REF!</definedName>
    <definedName name="pEndPostDate">#REF!</definedName>
    <definedName name="Period" localSheetId="16">#REF!</definedName>
    <definedName name="Period" localSheetId="14">#REF!</definedName>
    <definedName name="Period" localSheetId="1">#REF!</definedName>
    <definedName name="Period" localSheetId="5">#REF!</definedName>
    <definedName name="Period" localSheetId="10">#REF!</definedName>
    <definedName name="Period" localSheetId="2">#REF!</definedName>
    <definedName name="Period" localSheetId="20">#REF!</definedName>
    <definedName name="Period" localSheetId="22">#REF!</definedName>
    <definedName name="Period" localSheetId="25">#REF!</definedName>
    <definedName name="Period" localSheetId="26">#REF!</definedName>
    <definedName name="Period" localSheetId="27">#REF!</definedName>
    <definedName name="Period" localSheetId="11">#REF!</definedName>
    <definedName name="Period" localSheetId="13">#REF!</definedName>
    <definedName name="Period" localSheetId="6">#REF!</definedName>
    <definedName name="Period" localSheetId="12">#REF!</definedName>
    <definedName name="Period">#REF!</definedName>
    <definedName name="Pfd_weighted" localSheetId="24">'LG Public 2018 V5.0c'!$U$56</definedName>
    <definedName name="Pfd_weighted" localSheetId="25">'LG Public 2018 V5.0c MSW'!$U$56</definedName>
    <definedName name="Pfd_weighted" localSheetId="26">'LG Public 2018 V5.0c Rec'!$U$56</definedName>
    <definedName name="Pfd_weighted" localSheetId="27">'LG Public 2018 V5.0c YW'!$U$56</definedName>
    <definedName name="pMonth" localSheetId="16">#REF!</definedName>
    <definedName name="pMonth" localSheetId="14">#REF!</definedName>
    <definedName name="pMonth" localSheetId="1">#REF!</definedName>
    <definedName name="pMonth" localSheetId="5">#REF!</definedName>
    <definedName name="pMonth" localSheetId="10">#REF!</definedName>
    <definedName name="pMonth" localSheetId="2">#REF!</definedName>
    <definedName name="pMonth" localSheetId="20">#REF!</definedName>
    <definedName name="pMonth" localSheetId="22">#REF!</definedName>
    <definedName name="pMonth" localSheetId="25">#REF!</definedName>
    <definedName name="pMonth" localSheetId="26">#REF!</definedName>
    <definedName name="pMonth" localSheetId="27">#REF!</definedName>
    <definedName name="pMonth" localSheetId="11">#REF!</definedName>
    <definedName name="pMonth" localSheetId="13">#REF!</definedName>
    <definedName name="pMonth" localSheetId="6">#REF!</definedName>
    <definedName name="pMonth" localSheetId="12">#REF!</definedName>
    <definedName name="pMonth">#REF!</definedName>
    <definedName name="pOnlyShowLastTranx" localSheetId="16">#REF!</definedName>
    <definedName name="pOnlyShowLastTranx" localSheetId="14">#REF!</definedName>
    <definedName name="pOnlyShowLastTranx" localSheetId="1">#REF!</definedName>
    <definedName name="pOnlyShowLastTranx" localSheetId="5">#REF!</definedName>
    <definedName name="pOnlyShowLastTranx" localSheetId="10">#REF!</definedName>
    <definedName name="pOnlyShowLastTranx" localSheetId="2">#REF!</definedName>
    <definedName name="pOnlyShowLastTranx" localSheetId="20">#REF!</definedName>
    <definedName name="pOnlyShowLastTranx" localSheetId="22">#REF!</definedName>
    <definedName name="pOnlyShowLastTranx" localSheetId="25">#REF!</definedName>
    <definedName name="pOnlyShowLastTranx" localSheetId="26">#REF!</definedName>
    <definedName name="pOnlyShowLastTranx" localSheetId="27">#REF!</definedName>
    <definedName name="pOnlyShowLastTranx" localSheetId="11">#REF!</definedName>
    <definedName name="pOnlyShowLastTranx" localSheetId="13">#REF!</definedName>
    <definedName name="pOnlyShowLastTranx" localSheetId="6">#REF!</definedName>
    <definedName name="pOnlyShowLastTranx" localSheetId="12">#REF!</definedName>
    <definedName name="pOnlyShowLastTranx">#REF!</definedName>
    <definedName name="Posting" localSheetId="14">#REF!</definedName>
    <definedName name="Posting" localSheetId="5">#REF!</definedName>
    <definedName name="Posting" localSheetId="10">#REF!</definedName>
    <definedName name="Posting" localSheetId="22">#REF!</definedName>
    <definedName name="Posting" localSheetId="33">'JE Query - 40101'!$P$15</definedName>
    <definedName name="Posting" localSheetId="29">'JE Query - 59342'!$P$15</definedName>
    <definedName name="Posting" localSheetId="28">'JE Query 59341'!$P$15</definedName>
    <definedName name="Posting" localSheetId="30">'JE Query 60225'!$P$15</definedName>
    <definedName name="Posting" localSheetId="31">'JE Query 70095'!$P$15</definedName>
    <definedName name="Posting" localSheetId="32">'JE Query 70195'!$P$15</definedName>
    <definedName name="Posting" localSheetId="25">#REF!</definedName>
    <definedName name="Posting" localSheetId="26">#REF!</definedName>
    <definedName name="Posting" localSheetId="27">#REF!</definedName>
    <definedName name="Posting" localSheetId="13">#REF!</definedName>
    <definedName name="Posting">#REF!</definedName>
    <definedName name="primtbl">[1]Orientation!$C$23</definedName>
    <definedName name="_xlnm.Print_Area" localSheetId="16">'04.30.18 2183 BS'!$D$7:$V$222</definedName>
    <definedName name="_xlnm.Print_Area" localSheetId="17">'04.30.19 2183 BS'!$D$7:$V$231</definedName>
    <definedName name="_xlnm.Print_Area" localSheetId="14">'2018 Pacific Payroll'!$A$1:$U$217,'2018 Pacific Payroll'!$A$219:$Q$355</definedName>
    <definedName name="_xlnm.Print_Area" localSheetId="0">'2183 IS 2018'!$D$6:$AJ$342</definedName>
    <definedName name="_xlnm.Print_Area" localSheetId="4">'2183 Pro Forma'!$A$1:$I$320</definedName>
    <definedName name="_xlnm.Print_Area" localSheetId="8">'2183-2184-2185 Ratios'!$A$1:$J$200</definedName>
    <definedName name="_xlnm.Print_Area" localSheetId="1">'2184 IS 2018'!$D$6:$AJ$280</definedName>
    <definedName name="_xlnm.Print_Area" localSheetId="5">'2184 Pro Forma-Bale Fee'!$A$1:$J$316</definedName>
    <definedName name="_xlnm.Print_Area" localSheetId="10">#REF!</definedName>
    <definedName name="_xlnm.Print_Area" localSheetId="2">'2185 IS 2018'!$D$6:$AJ$280</definedName>
    <definedName name="_xlnm.Print_Area" localSheetId="3">'Consolidated IS '!$A$1:$AI$355</definedName>
    <definedName name="_xlnm.Print_Area" localSheetId="20">#REF!</definedName>
    <definedName name="_xlnm.Print_Area" localSheetId="19">'Corporate BS'!$A$1:$M$57</definedName>
    <definedName name="_xlnm.Print_Area" localSheetId="18">'Corporate IS'!$A$1:$N$35</definedName>
    <definedName name="_xlnm.Print_Area" localSheetId="23">'Deprec 2183 4.30.19'!$A$1:$Z$50</definedName>
    <definedName name="_xlnm.Print_Area" localSheetId="33">'JE Query - 40101'!$A:$Q</definedName>
    <definedName name="_xlnm.Print_Area" localSheetId="29">'JE Query - 59342'!$A:$Q</definedName>
    <definedName name="_xlnm.Print_Area" localSheetId="28">'JE Query 59341'!$A:$Q</definedName>
    <definedName name="_xlnm.Print_Area" localSheetId="30">'JE Query 60225'!$A:$Q</definedName>
    <definedName name="_xlnm.Print_Area" localSheetId="31">'JE Query 70095'!$A:$Q</definedName>
    <definedName name="_xlnm.Print_Area" localSheetId="32">'JE Query 70195'!$A:$Q</definedName>
    <definedName name="_xlnm.Print_Area" localSheetId="34">'JE Query 70255'!$A:$Q</definedName>
    <definedName name="_xlnm.Print_Area" localSheetId="24">'LG Public 2018 V5.0c'!$F$2:$M$49</definedName>
    <definedName name="_xlnm.Print_Area" localSheetId="25">'LG Public 2018 V5.0c MSW'!$F$2:$M$49</definedName>
    <definedName name="_xlnm.Print_Area" localSheetId="26">'LG Public 2018 V5.0c Rec'!$F$2:$M$49</definedName>
    <definedName name="_xlnm.Print_Area" localSheetId="27">'LG Public 2018 V5.0c YW'!$F$2:$M$49</definedName>
    <definedName name="_xlnm.Print_Area" localSheetId="11">'Pacific - Price Out'!$B$1:$AT$282</definedName>
    <definedName name="_xlnm.Print_Area" localSheetId="13">'Pacific &amp; Rural Rate Schedule'!$A$1:$G$355</definedName>
    <definedName name="_xlnm.Print_Area" localSheetId="7">'Pro-forma Adj''s'!$A$1:$G$93</definedName>
    <definedName name="_xlnm.Print_Area" localSheetId="21">'Region OH 4.30.19'!$D$6:$AK$53</definedName>
    <definedName name="_xlnm.Print_Area" localSheetId="6">'Restating Adj''s'!$A$1:$AB$82,'Restating Adj''s'!$A$83:$O$145</definedName>
    <definedName name="_xlnm.Print_Area">#REF!</definedName>
    <definedName name="Print_Area_MI" localSheetId="16">#REF!</definedName>
    <definedName name="Print_Area_MI" localSheetId="14">#REF!</definedName>
    <definedName name="Print_Area_MI" localSheetId="1">#REF!</definedName>
    <definedName name="Print_Area_MI" localSheetId="5">#REF!</definedName>
    <definedName name="Print_Area_MI" localSheetId="10">#REF!</definedName>
    <definedName name="Print_Area_MI" localSheetId="2">#REF!</definedName>
    <definedName name="Print_Area_MI" localSheetId="20">#REF!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11">#REF!</definedName>
    <definedName name="Print_Area_MI" localSheetId="13">#REF!</definedName>
    <definedName name="Print_Area_MI" localSheetId="6">#REF!</definedName>
    <definedName name="Print_Area_MI" localSheetId="12">#REF!</definedName>
    <definedName name="Print_Area_MI">#REF!</definedName>
    <definedName name="Print_Area_MIc" localSheetId="16">#REF!</definedName>
    <definedName name="Print_Area_MIc" localSheetId="14">#REF!</definedName>
    <definedName name="Print_Area_MIc" localSheetId="1">#REF!</definedName>
    <definedName name="Print_Area_MIc" localSheetId="5">#REF!</definedName>
    <definedName name="Print_Area_MIc" localSheetId="10">#REF!</definedName>
    <definedName name="Print_Area_MIc" localSheetId="2">#REF!</definedName>
    <definedName name="Print_Area_MIc" localSheetId="22">#REF!</definedName>
    <definedName name="Print_Area_MIc" localSheetId="25">#REF!</definedName>
    <definedName name="Print_Area_MIc" localSheetId="26">#REF!</definedName>
    <definedName name="Print_Area_MIc" localSheetId="27">#REF!</definedName>
    <definedName name="Print_Area_MIc" localSheetId="13">#REF!</definedName>
    <definedName name="Print_Area_MIc">#REF!</definedName>
    <definedName name="Print_Area1" localSheetId="16">#REF!</definedName>
    <definedName name="Print_Area1" localSheetId="14">#REF!</definedName>
    <definedName name="Print_Area1" localSheetId="1">#REF!</definedName>
    <definedName name="Print_Area1" localSheetId="5">#REF!</definedName>
    <definedName name="Print_Area1" localSheetId="10">#REF!</definedName>
    <definedName name="Print_Area1" localSheetId="2">#REF!</definedName>
    <definedName name="Print_Area1" localSheetId="20">#REF!</definedName>
    <definedName name="Print_Area1" localSheetId="23">#REF!</definedName>
    <definedName name="Print_Area1" localSheetId="22">#REF!</definedName>
    <definedName name="Print_Area1" localSheetId="25">#REF!</definedName>
    <definedName name="Print_Area1" localSheetId="26">#REF!</definedName>
    <definedName name="Print_Area1" localSheetId="27">#REF!</definedName>
    <definedName name="Print_Area1" localSheetId="11">#REF!</definedName>
    <definedName name="Print_Area1" localSheetId="13">#REF!</definedName>
    <definedName name="Print_Area1" localSheetId="6">#REF!</definedName>
    <definedName name="Print_Area1" localSheetId="12">#REF!</definedName>
    <definedName name="Print_Area1">#REF!</definedName>
    <definedName name="Print_Area2" localSheetId="16">#REF!</definedName>
    <definedName name="Print_Area2" localSheetId="14">#REF!</definedName>
    <definedName name="Print_Area2" localSheetId="1">#REF!</definedName>
    <definedName name="Print_Area2" localSheetId="5">#REF!</definedName>
    <definedName name="Print_Area2" localSheetId="10">#REF!</definedName>
    <definedName name="Print_Area2" localSheetId="2">#REF!</definedName>
    <definedName name="Print_Area2" localSheetId="20">#REF!</definedName>
    <definedName name="Print_Area2" localSheetId="23">#REF!</definedName>
    <definedName name="Print_Area2" localSheetId="22">#REF!</definedName>
    <definedName name="Print_Area2" localSheetId="25">#REF!</definedName>
    <definedName name="Print_Area2" localSheetId="26">#REF!</definedName>
    <definedName name="Print_Area2" localSheetId="27">#REF!</definedName>
    <definedName name="Print_Area2" localSheetId="11">#REF!</definedName>
    <definedName name="Print_Area2" localSheetId="13">#REF!</definedName>
    <definedName name="Print_Area2" localSheetId="6">#REF!</definedName>
    <definedName name="Print_Area2" localSheetId="12">#REF!</definedName>
    <definedName name="Print_Area2">#REF!</definedName>
    <definedName name="Print_Area3" localSheetId="16">#REF!</definedName>
    <definedName name="Print_Area3" localSheetId="14">#REF!</definedName>
    <definedName name="Print_Area3" localSheetId="1">#REF!</definedName>
    <definedName name="Print_Area3" localSheetId="5">#REF!</definedName>
    <definedName name="Print_Area3" localSheetId="10">#REF!</definedName>
    <definedName name="Print_Area3" localSheetId="2">#REF!</definedName>
    <definedName name="Print_Area3" localSheetId="20">#REF!</definedName>
    <definedName name="Print_Area3" localSheetId="23">#REF!</definedName>
    <definedName name="Print_Area3" localSheetId="22">#REF!</definedName>
    <definedName name="Print_Area3" localSheetId="25">#REF!</definedName>
    <definedName name="Print_Area3" localSheetId="26">#REF!</definedName>
    <definedName name="Print_Area3" localSheetId="27">#REF!</definedName>
    <definedName name="Print_Area3" localSheetId="11">#REF!</definedName>
    <definedName name="Print_Area3" localSheetId="13">#REF!</definedName>
    <definedName name="Print_Area3" localSheetId="6">#REF!</definedName>
    <definedName name="Print_Area3" localSheetId="12">#REF!</definedName>
    <definedName name="Print_Area3">#REF!</definedName>
    <definedName name="Print_Area5" localSheetId="16">#REF!</definedName>
    <definedName name="Print_Area5" localSheetId="14">#REF!</definedName>
    <definedName name="Print_Area5" localSheetId="1">#REF!</definedName>
    <definedName name="Print_Area5" localSheetId="5">#REF!</definedName>
    <definedName name="Print_Area5" localSheetId="10">#REF!</definedName>
    <definedName name="Print_Area5" localSheetId="2">#REF!</definedName>
    <definedName name="Print_Area5" localSheetId="20">#REF!</definedName>
    <definedName name="Print_Area5" localSheetId="23">#REF!</definedName>
    <definedName name="Print_Area5" localSheetId="22">#REF!</definedName>
    <definedName name="Print_Area5" localSheetId="25">#REF!</definedName>
    <definedName name="Print_Area5" localSheetId="26">#REF!</definedName>
    <definedName name="Print_Area5" localSheetId="27">#REF!</definedName>
    <definedName name="Print_Area5" localSheetId="11">#REF!</definedName>
    <definedName name="Print_Area5" localSheetId="13">#REF!</definedName>
    <definedName name="Print_Area5" localSheetId="6">#REF!</definedName>
    <definedName name="Print_Area5" localSheetId="12">#REF!</definedName>
    <definedName name="Print_Area5">#REF!</definedName>
    <definedName name="_xlnm.Print_Titles" localSheetId="16">'04.30.18 2183 BS'!$D:$H,'04.30.18 2183 BS'!$7:$15</definedName>
    <definedName name="_xlnm.Print_Titles" localSheetId="17">'04.30.19 2183 BS'!$D:$H,'04.30.19 2183 BS'!$7:$15</definedName>
    <definedName name="_xlnm.Print_Titles" localSheetId="14">'2018 Pacific Payroll'!$A:$D,'2018 Pacific Payroll'!$13:$13</definedName>
    <definedName name="_xlnm.Print_Titles" localSheetId="0">'2183 IS 2018'!$D:$H,'2183 IS 2018'!$6:$13</definedName>
    <definedName name="_xlnm.Print_Titles" localSheetId="9">'2183 LOB Ratios'!$1:$3</definedName>
    <definedName name="_xlnm.Print_Titles" localSheetId="4">'2183 Pro Forma'!$1:$7</definedName>
    <definedName name="_xlnm.Print_Titles" localSheetId="8">'2183-2184-2185 Ratios'!$1:$3</definedName>
    <definedName name="_xlnm.Print_Titles" localSheetId="1">'2184 IS 2018'!$D:$H,'2184 IS 2018'!$6:$13</definedName>
    <definedName name="_xlnm.Print_Titles" localSheetId="2">'2185 IS 2018'!$D:$H,'2185 IS 2018'!$6:$13</definedName>
    <definedName name="_xlnm.Print_Titles" localSheetId="3">'Consolidated IS '!$A:$B,'Consolidated IS '!$1:$9</definedName>
    <definedName name="_xlnm.Print_Titles" localSheetId="20">'Corp OH'!$7:$10</definedName>
    <definedName name="_xlnm.Print_Titles" localSheetId="23">'Deprec 2183 4.30.19'!$A:$A,'Deprec 2183 4.30.19'!$1:$3</definedName>
    <definedName name="_xlnm.Print_Titles" localSheetId="33">'JE Query - 40101'!$B:$B,'JE Query - 40101'!$9:$20</definedName>
    <definedName name="_xlnm.Print_Titles" localSheetId="29">'JE Query - 59342'!$B:$B,'JE Query - 59342'!$9:$20</definedName>
    <definedName name="_xlnm.Print_Titles" localSheetId="28">'JE Query 59341'!$B:$B,'JE Query 59341'!$9:$20</definedName>
    <definedName name="_xlnm.Print_Titles" localSheetId="30">'JE Query 60225'!$B:$B,'JE Query 60225'!$9:$20</definedName>
    <definedName name="_xlnm.Print_Titles" localSheetId="31">'JE Query 70095'!$B:$B,'JE Query 70095'!$9:$20</definedName>
    <definedName name="_xlnm.Print_Titles" localSheetId="32">'JE Query 70195'!$B:$B,'JE Query 70195'!$9:$20</definedName>
    <definedName name="_xlnm.Print_Titles" localSheetId="34">'JE Query 70255'!$B:$B,'JE Query 70255'!$9:$20</definedName>
    <definedName name="_xlnm.Print_Titles" localSheetId="11">'Pacific - Price Out'!$C:$D,'Pacific - Price Out'!$1:$6</definedName>
    <definedName name="_xlnm.Print_Titles" localSheetId="13">'Pacific &amp; Rural Rate Schedule'!$1:$9</definedName>
    <definedName name="_xlnm.Print_Titles" localSheetId="21">'Region OH 4.30.19'!$D:$H,'Region OH 4.30.19'!$6:$12</definedName>
    <definedName name="_xlnm.Print_Titles" localSheetId="6">'Restating Adj''s'!$1:$3</definedName>
    <definedName name="_xlnm.Print_Titles" localSheetId="12">'Rural - Price Out '!$C:$D,'Rural - Price Out '!$1:$6</definedName>
    <definedName name="Print1" localSheetId="16">#REF!</definedName>
    <definedName name="Print1" localSheetId="14">#REF!</definedName>
    <definedName name="Print1" localSheetId="1">#REF!</definedName>
    <definedName name="Print1" localSheetId="5">#REF!</definedName>
    <definedName name="Print1" localSheetId="10">#REF!</definedName>
    <definedName name="Print1" localSheetId="2">#REF!</definedName>
    <definedName name="Print1" localSheetId="20">#REF!</definedName>
    <definedName name="Print1" localSheetId="22">#REF!</definedName>
    <definedName name="Print1" localSheetId="25">#REF!</definedName>
    <definedName name="Print1" localSheetId="26">#REF!</definedName>
    <definedName name="Print1" localSheetId="27">#REF!</definedName>
    <definedName name="Print1" localSheetId="11">#REF!</definedName>
    <definedName name="Print1" localSheetId="13">#REF!</definedName>
    <definedName name="Print1" localSheetId="6">#REF!</definedName>
    <definedName name="Print1" localSheetId="12">#REF!</definedName>
    <definedName name="Print1">#REF!</definedName>
    <definedName name="Print2" localSheetId="16">#REF!</definedName>
    <definedName name="Print2" localSheetId="14">#REF!</definedName>
    <definedName name="Print2" localSheetId="1">#REF!</definedName>
    <definedName name="Print2" localSheetId="5">#REF!</definedName>
    <definedName name="Print2" localSheetId="10">#REF!</definedName>
    <definedName name="Print2" localSheetId="2">#REF!</definedName>
    <definedName name="Print2" localSheetId="20">#REF!</definedName>
    <definedName name="Print2" localSheetId="22">#REF!</definedName>
    <definedName name="Print2" localSheetId="25">#REF!</definedName>
    <definedName name="Print2" localSheetId="26">#REF!</definedName>
    <definedName name="Print2" localSheetId="27">#REF!</definedName>
    <definedName name="Print2" localSheetId="11">#REF!</definedName>
    <definedName name="Print2" localSheetId="13">#REF!</definedName>
    <definedName name="Print2" localSheetId="6">#REF!</definedName>
    <definedName name="Print2" localSheetId="12">#REF!</definedName>
    <definedName name="Print2">#REF!</definedName>
    <definedName name="Print5" localSheetId="16">#REF!</definedName>
    <definedName name="Print5" localSheetId="14">#REF!</definedName>
    <definedName name="Print5" localSheetId="1">#REF!</definedName>
    <definedName name="Print5" localSheetId="5">#REF!</definedName>
    <definedName name="Print5" localSheetId="10">#REF!</definedName>
    <definedName name="Print5" localSheetId="2">#REF!</definedName>
    <definedName name="Print5" localSheetId="20">#REF!</definedName>
    <definedName name="Print5" localSheetId="22">#REF!</definedName>
    <definedName name="Print5" localSheetId="25">#REF!</definedName>
    <definedName name="Print5" localSheetId="26">#REF!</definedName>
    <definedName name="Print5" localSheetId="27">#REF!</definedName>
    <definedName name="Print5" localSheetId="11">#REF!</definedName>
    <definedName name="Print5" localSheetId="13">#REF!</definedName>
    <definedName name="Print5" localSheetId="6">#REF!</definedName>
    <definedName name="Print5" localSheetId="12">#REF!</definedName>
    <definedName name="Print5">#REF!</definedName>
    <definedName name="ProRev" localSheetId="20">'[6]Pacific Regulated - Price Out'!$M$49</definedName>
    <definedName name="ProRev" localSheetId="22">'[6]Pacific Regulated - Price Out'!$M$49</definedName>
    <definedName name="ProRev" localSheetId="13">'[6]Pacific Regulated - Price Out'!$M$49</definedName>
    <definedName name="ProRev">'[7]Pacific Regulated - Price Out'!$M$49</definedName>
    <definedName name="ProRev_com" localSheetId="20">'[6]Pacific Regulated - Price Out'!$M$213</definedName>
    <definedName name="ProRev_com" localSheetId="22">'[6]Pacific Regulated - Price Out'!$M$213</definedName>
    <definedName name="ProRev_com" localSheetId="13">'[6]Pacific Regulated - Price Out'!$M$213</definedName>
    <definedName name="ProRev_com">'[7]Pacific Regulated - Price Out'!$M$213</definedName>
    <definedName name="ProRev_mfr" localSheetId="20">'[6]Pacific Regulated - Price Out'!$M$221</definedName>
    <definedName name="ProRev_mfr" localSheetId="22">'[6]Pacific Regulated - Price Out'!$M$221</definedName>
    <definedName name="ProRev_mfr" localSheetId="13">'[6]Pacific Regulated - Price Out'!$M$221</definedName>
    <definedName name="ProRev_mfr">'[7]Pacific Regulated - Price Out'!$M$221</definedName>
    <definedName name="ProRev_ro" localSheetId="20">'[6]Pacific Regulated - Price Out'!$M$281</definedName>
    <definedName name="ProRev_ro" localSheetId="22">'[6]Pacific Regulated - Price Out'!$M$281</definedName>
    <definedName name="ProRev_ro" localSheetId="13">'[6]Pacific Regulated - Price Out'!$M$281</definedName>
    <definedName name="ProRev_ro">'[7]Pacific Regulated - Price Out'!$M$281</definedName>
    <definedName name="ProRev_rr" localSheetId="20">'[6]Pacific Regulated - Price Out'!$M$58</definedName>
    <definedName name="ProRev_rr" localSheetId="22">'[6]Pacific Regulated - Price Out'!$M$58</definedName>
    <definedName name="ProRev_rr" localSheetId="13">'[6]Pacific Regulated - Price Out'!$M$58</definedName>
    <definedName name="ProRev_rr">'[7]Pacific Regulated - Price Out'!$M$58</definedName>
    <definedName name="ProRev_yw" localSheetId="20">'[6]Pacific Regulated - Price Out'!$M$69</definedName>
    <definedName name="ProRev_yw" localSheetId="22">'[6]Pacific Regulated - Price Out'!$M$69</definedName>
    <definedName name="ProRev_yw" localSheetId="13">'[6]Pacific Regulated - Price Out'!$M$69</definedName>
    <definedName name="ProRev_yw">'[7]Pacific Regulated - Price Out'!$M$69</definedName>
    <definedName name="pServer" localSheetId="16">#REF!</definedName>
    <definedName name="pServer" localSheetId="14">#REF!</definedName>
    <definedName name="pServer" localSheetId="1">#REF!</definedName>
    <definedName name="pServer" localSheetId="5">#REF!</definedName>
    <definedName name="pServer" localSheetId="10">#REF!</definedName>
    <definedName name="pServer" localSheetId="2">#REF!</definedName>
    <definedName name="pServer" localSheetId="20">#REF!</definedName>
    <definedName name="pServer" localSheetId="22">#REF!</definedName>
    <definedName name="pServer" localSheetId="25">#REF!</definedName>
    <definedName name="pServer" localSheetId="26">#REF!</definedName>
    <definedName name="pServer" localSheetId="27">#REF!</definedName>
    <definedName name="pServer" localSheetId="11">#REF!</definedName>
    <definedName name="pServer" localSheetId="13">#REF!</definedName>
    <definedName name="pServer" localSheetId="6">#REF!</definedName>
    <definedName name="pServer" localSheetId="12">#REF!</definedName>
    <definedName name="pServer">#REF!</definedName>
    <definedName name="pServiceCode" localSheetId="16">#REF!</definedName>
    <definedName name="pServiceCode" localSheetId="14">#REF!</definedName>
    <definedName name="pServiceCode" localSheetId="1">#REF!</definedName>
    <definedName name="pServiceCode" localSheetId="5">#REF!</definedName>
    <definedName name="pServiceCode" localSheetId="10">#REF!</definedName>
    <definedName name="pServiceCode" localSheetId="2">#REF!</definedName>
    <definedName name="pServiceCode" localSheetId="20">#REF!</definedName>
    <definedName name="pServiceCode" localSheetId="22">#REF!</definedName>
    <definedName name="pServiceCode" localSheetId="25">#REF!</definedName>
    <definedName name="pServiceCode" localSheetId="26">#REF!</definedName>
    <definedName name="pServiceCode" localSheetId="27">#REF!</definedName>
    <definedName name="pServiceCode" localSheetId="11">#REF!</definedName>
    <definedName name="pServiceCode" localSheetId="13">#REF!</definedName>
    <definedName name="pServiceCode" localSheetId="6">#REF!</definedName>
    <definedName name="pServiceCode" localSheetId="12">#REF!</definedName>
    <definedName name="pServiceCode">#REF!</definedName>
    <definedName name="pShowAllUnposted" localSheetId="16">#REF!</definedName>
    <definedName name="pShowAllUnposted" localSheetId="14">#REF!</definedName>
    <definedName name="pShowAllUnposted" localSheetId="1">#REF!</definedName>
    <definedName name="pShowAllUnposted" localSheetId="5">#REF!</definedName>
    <definedName name="pShowAllUnposted" localSheetId="10">#REF!</definedName>
    <definedName name="pShowAllUnposted" localSheetId="2">#REF!</definedName>
    <definedName name="pShowAllUnposted" localSheetId="20">#REF!</definedName>
    <definedName name="pShowAllUnposted" localSheetId="22">#REF!</definedName>
    <definedName name="pShowAllUnposted" localSheetId="25">#REF!</definedName>
    <definedName name="pShowAllUnposted" localSheetId="26">#REF!</definedName>
    <definedName name="pShowAllUnposted" localSheetId="27">#REF!</definedName>
    <definedName name="pShowAllUnposted" localSheetId="11">#REF!</definedName>
    <definedName name="pShowAllUnposted" localSheetId="13">#REF!</definedName>
    <definedName name="pShowAllUnposted" localSheetId="6">#REF!</definedName>
    <definedName name="pShowAllUnposted" localSheetId="12">#REF!</definedName>
    <definedName name="pShowAllUnposted">#REF!</definedName>
    <definedName name="pShowCustomerDetail" localSheetId="16">#REF!</definedName>
    <definedName name="pShowCustomerDetail" localSheetId="14">#REF!</definedName>
    <definedName name="pShowCustomerDetail" localSheetId="1">#REF!</definedName>
    <definedName name="pShowCustomerDetail" localSheetId="5">#REF!</definedName>
    <definedName name="pShowCustomerDetail" localSheetId="10">#REF!</definedName>
    <definedName name="pShowCustomerDetail" localSheetId="2">#REF!</definedName>
    <definedName name="pShowCustomerDetail" localSheetId="20">#REF!</definedName>
    <definedName name="pShowCustomerDetail" localSheetId="22">#REF!</definedName>
    <definedName name="pShowCustomerDetail" localSheetId="25">#REF!</definedName>
    <definedName name="pShowCustomerDetail" localSheetId="26">#REF!</definedName>
    <definedName name="pShowCustomerDetail" localSheetId="27">#REF!</definedName>
    <definedName name="pShowCustomerDetail" localSheetId="11">#REF!</definedName>
    <definedName name="pShowCustomerDetail" localSheetId="13">#REF!</definedName>
    <definedName name="pShowCustomerDetail" localSheetId="6">#REF!</definedName>
    <definedName name="pShowCustomerDetail" localSheetId="12">#REF!</definedName>
    <definedName name="pShowCustomerDetail">#REF!</definedName>
    <definedName name="pSortOption" localSheetId="16">#REF!</definedName>
    <definedName name="pSortOption" localSheetId="14">#REF!</definedName>
    <definedName name="pSortOption" localSheetId="1">#REF!</definedName>
    <definedName name="pSortOption" localSheetId="5">#REF!</definedName>
    <definedName name="pSortOption" localSheetId="10">#REF!</definedName>
    <definedName name="pSortOption" localSheetId="2">#REF!</definedName>
    <definedName name="pSortOption" localSheetId="20">#REF!</definedName>
    <definedName name="pSortOption" localSheetId="22">#REF!</definedName>
    <definedName name="pSortOption" localSheetId="25">#REF!</definedName>
    <definedName name="pSortOption" localSheetId="26">#REF!</definedName>
    <definedName name="pSortOption" localSheetId="27">#REF!</definedName>
    <definedName name="pSortOption" localSheetId="11">#REF!</definedName>
    <definedName name="pSortOption" localSheetId="13">#REF!</definedName>
    <definedName name="pSortOption" localSheetId="6">#REF!</definedName>
    <definedName name="pSortOption" localSheetId="12">#REF!</definedName>
    <definedName name="pSortOption">#REF!</definedName>
    <definedName name="pStartPostDate" localSheetId="16">#REF!</definedName>
    <definedName name="pStartPostDate" localSheetId="14">#REF!</definedName>
    <definedName name="pStartPostDate" localSheetId="1">#REF!</definedName>
    <definedName name="pStartPostDate" localSheetId="5">#REF!</definedName>
    <definedName name="pStartPostDate" localSheetId="10">#REF!</definedName>
    <definedName name="pStartPostDate" localSheetId="2">#REF!</definedName>
    <definedName name="pStartPostDate" localSheetId="20">#REF!</definedName>
    <definedName name="pStartPostDate" localSheetId="22">#REF!</definedName>
    <definedName name="pStartPostDate" localSheetId="25">#REF!</definedName>
    <definedName name="pStartPostDate" localSheetId="26">#REF!</definedName>
    <definedName name="pStartPostDate" localSheetId="27">#REF!</definedName>
    <definedName name="pStartPostDate" localSheetId="11">#REF!</definedName>
    <definedName name="pStartPostDate" localSheetId="13">#REF!</definedName>
    <definedName name="pStartPostDate" localSheetId="6">#REF!</definedName>
    <definedName name="pStartPostDate" localSheetId="12">#REF!</definedName>
    <definedName name="pStartPostDate">#REF!</definedName>
    <definedName name="pTransType" localSheetId="16">#REF!</definedName>
    <definedName name="pTransType" localSheetId="14">#REF!</definedName>
    <definedName name="pTransType" localSheetId="1">#REF!</definedName>
    <definedName name="pTransType" localSheetId="5">#REF!</definedName>
    <definedName name="pTransType" localSheetId="10">#REF!</definedName>
    <definedName name="pTransType" localSheetId="2">#REF!</definedName>
    <definedName name="pTransType" localSheetId="20">#REF!</definedName>
    <definedName name="pTransType" localSheetId="22">#REF!</definedName>
    <definedName name="pTransType" localSheetId="25">#REF!</definedName>
    <definedName name="pTransType" localSheetId="26">#REF!</definedName>
    <definedName name="pTransType" localSheetId="27">#REF!</definedName>
    <definedName name="pTransType" localSheetId="11">#REF!</definedName>
    <definedName name="pTransType" localSheetId="13">#REF!</definedName>
    <definedName name="pTransType" localSheetId="6">#REF!</definedName>
    <definedName name="pTransType" localSheetId="12">#REF!</definedName>
    <definedName name="pTransType">#REF!</definedName>
    <definedName name="RCW_81.04.080">#N/A</definedName>
    <definedName name="RecyDisposal">#N/A</definedName>
    <definedName name="Reg_Cust_Billed_Percent" localSheetId="22">'[24]Consolidated IS 2009 2010'!$AK$20</definedName>
    <definedName name="Reg_Cust_Billed_Percent" localSheetId="13">'[25]Consolidated IS 2009 2010'!$AK$20</definedName>
    <definedName name="Reg_Cust_Billed_Percent">'[24]Consolidated IS 2009 2010'!$AK$20</definedName>
    <definedName name="Reg_Cust_Percent" localSheetId="22">'[24]Consolidated IS 2009 2010'!$AC$20</definedName>
    <definedName name="Reg_Cust_Percent" localSheetId="13">'[25]Consolidated IS 2009 2010'!$AC$20</definedName>
    <definedName name="Reg_Cust_Percent">'[24]Consolidated IS 2009 2010'!$AC$20</definedName>
    <definedName name="Reg_Drive_Percent" localSheetId="22">'[24]Consolidated IS 2009 2010'!$AC$40</definedName>
    <definedName name="Reg_Drive_Percent" localSheetId="13">'[25]Consolidated IS 2009 2010'!$AC$40</definedName>
    <definedName name="Reg_Drive_Percent">'[24]Consolidated IS 2009 2010'!$AC$40</definedName>
    <definedName name="Reg_Haul_Rev_Percent" localSheetId="22">'[24]Consolidated IS 2009 2010'!$Z$18</definedName>
    <definedName name="Reg_Haul_Rev_Percent" localSheetId="13">'[25]Consolidated IS 2009 2010'!$Z$18</definedName>
    <definedName name="Reg_Haul_Rev_Percent">'[24]Consolidated IS 2009 2010'!$Z$18</definedName>
    <definedName name="Reg_Lab_Percent" localSheetId="22">'[24]Consolidated IS 2009 2010'!$AC$39</definedName>
    <definedName name="Reg_Lab_Percent" localSheetId="13">'[25]Consolidated IS 2009 2010'!$AC$39</definedName>
    <definedName name="Reg_Lab_Percent">'[24]Consolidated IS 2009 2010'!$AC$39</definedName>
    <definedName name="Reg_Steel_Cont_Percent" localSheetId="22">'[24]Consolidated IS 2009 2010'!$AE$120</definedName>
    <definedName name="Reg_Steel_Cont_Percent" localSheetId="13">'[25]Consolidated IS 2009 2010'!$AE$120</definedName>
    <definedName name="Reg_Steel_Cont_Percent">'[24]Consolidated IS 2009 2010'!$AE$120</definedName>
    <definedName name="regDebt_weighted" localSheetId="24">'LG Public 2018 V5.0c'!$U$55</definedName>
    <definedName name="regDebt_weighted" localSheetId="25">'LG Public 2018 V5.0c MSW'!$U$55</definedName>
    <definedName name="regDebt_weighted" localSheetId="26">'LG Public 2018 V5.0c Rec'!$U$55</definedName>
    <definedName name="regDebt_weighted" localSheetId="27">'LG Public 2018 V5.0c YW'!$U$55</definedName>
    <definedName name="RegulatedIS" localSheetId="22">'[24]2009 IS'!$A$12:$Q$655</definedName>
    <definedName name="RegulatedIS" localSheetId="13">'[25]2009 IS'!$A$12:$Q$655</definedName>
    <definedName name="RegulatedIS">'[24]2009 IS'!$A$12:$Q$655</definedName>
    <definedName name="RelatedSalary">#N/A</definedName>
    <definedName name="report_type">[1]Orientation!$C$24</definedName>
    <definedName name="ReportNames" localSheetId="9">[12]ControlPanel!$X$2:$X$8</definedName>
    <definedName name="ReportNames" localSheetId="8">[12]ControlPanel!$X$2:$X$8</definedName>
    <definedName name="ReportNames" localSheetId="10">[12]ControlPanel!$X$2:$X$8</definedName>
    <definedName name="ReportNames" localSheetId="12">[11]ControlPanel!$X$2:$X$8</definedName>
    <definedName name="ReportNames">[26]ControlPanel!$S$2:$S$16</definedName>
    <definedName name="ReportVersion">[1]Settings!$D$5</definedName>
    <definedName name="ReslStaffPriceOut" localSheetId="16">'[10]Price Out-Reg EASTSIDE-Resi'!#REF!</definedName>
    <definedName name="ReslStaffPriceOut" localSheetId="14">'[10]Price Out-Reg EASTSIDE-Resi'!#REF!</definedName>
    <definedName name="ReslStaffPriceOut" localSheetId="5">'[10]Price Out-Reg EASTSIDE-Resi'!#REF!</definedName>
    <definedName name="ReslStaffPriceOut" localSheetId="10">'[10]Price Out-Reg EASTSIDE-Resi'!#REF!</definedName>
    <definedName name="ReslStaffPriceOut" localSheetId="22">'[10]Price Out-Reg EASTSIDE-Resi'!#REF!</definedName>
    <definedName name="ReslStaffPriceOut" localSheetId="25">'[10]Price Out-Reg EASTSIDE-Resi'!#REF!</definedName>
    <definedName name="ReslStaffPriceOut" localSheetId="26">'[10]Price Out-Reg EASTSIDE-Resi'!#REF!</definedName>
    <definedName name="ReslStaffPriceOut" localSheetId="27">'[10]Price Out-Reg EASTSIDE-Resi'!#REF!</definedName>
    <definedName name="ReslStaffPriceOut" localSheetId="13">'[10]Price Out-Reg EASTSIDE-Resi'!#REF!</definedName>
    <definedName name="ReslStaffPriceOut" localSheetId="7">'[10]Price Out-Reg EASTSIDE-Resi'!#REF!</definedName>
    <definedName name="ReslStaffPriceOut">'[10]Price Out-Reg EASTSIDE-Resi'!#REF!</definedName>
    <definedName name="RetainedEarnings" localSheetId="16">#REF!</definedName>
    <definedName name="RetainedEarnings" localSheetId="14">#REF!</definedName>
    <definedName name="RetainedEarnings" localSheetId="9">#REF!</definedName>
    <definedName name="RetainedEarnings" localSheetId="8">#REF!</definedName>
    <definedName name="RetainedEarnings" localSheetId="1">#REF!</definedName>
    <definedName name="RetainedEarnings" localSheetId="5">#REF!</definedName>
    <definedName name="RetainedEarnings" localSheetId="10">#REF!</definedName>
    <definedName name="RetainedEarnings" localSheetId="2">#REF!</definedName>
    <definedName name="RetainedEarnings" localSheetId="20">#REF!</definedName>
    <definedName name="RetainedEarnings" localSheetId="22">#REF!</definedName>
    <definedName name="RetainedEarnings" localSheetId="25">#REF!</definedName>
    <definedName name="RetainedEarnings" localSheetId="26">#REF!</definedName>
    <definedName name="RetainedEarnings" localSheetId="27">#REF!</definedName>
    <definedName name="RetainedEarnings" localSheetId="13">#REF!</definedName>
    <definedName name="RetainedEarnings" localSheetId="6">#REF!</definedName>
    <definedName name="RetainedEarnings" localSheetId="12">#REF!</definedName>
    <definedName name="RetainedEarnings">#REF!</definedName>
    <definedName name="RevCust" localSheetId="16">'[27]RevenuesCust, pg 8'!#REF!</definedName>
    <definedName name="RevCust" localSheetId="14">'[27]RevenuesCust, pg 8'!#REF!</definedName>
    <definedName name="RevCust" localSheetId="9">[28]RevenuesCust!#REF!</definedName>
    <definedName name="RevCust" localSheetId="8">[28]RevenuesCust!#REF!</definedName>
    <definedName name="RevCust" localSheetId="1">'[27]RevenuesCust, pg 8'!#REF!</definedName>
    <definedName name="RevCust" localSheetId="5">'[27]RevenuesCust, pg 8'!#REF!</definedName>
    <definedName name="RevCust" localSheetId="10">[28]RevenuesCust!#REF!</definedName>
    <definedName name="RevCust" localSheetId="2">'[27]RevenuesCust, pg 8'!#REF!</definedName>
    <definedName name="RevCust" localSheetId="20">[28]RevenuesCust!#REF!</definedName>
    <definedName name="RevCust" localSheetId="22">[28]RevenuesCust!#REF!</definedName>
    <definedName name="RevCust" localSheetId="25">'[27]RevenuesCust, pg 8'!#REF!</definedName>
    <definedName name="RevCust" localSheetId="26">'[27]RevenuesCust, pg 8'!#REF!</definedName>
    <definedName name="RevCust" localSheetId="27">'[27]RevenuesCust, pg 8'!#REF!</definedName>
    <definedName name="RevCust" localSheetId="11">[28]RevenuesCust!#REF!</definedName>
    <definedName name="RevCust" localSheetId="13">[28]RevenuesCust!#REF!</definedName>
    <definedName name="RevCust" localSheetId="7">[29]RevenuesCust!#REF!</definedName>
    <definedName name="RevCust" localSheetId="6">[29]RevenuesCust!#REF!</definedName>
    <definedName name="RevCust" localSheetId="12">[28]RevenuesCust!#REF!</definedName>
    <definedName name="RevCust">'[27]RevenuesCust, pg 8'!#REF!</definedName>
    <definedName name="RevCustomer" localSheetId="16">#REF!</definedName>
    <definedName name="RevCustomer" localSheetId="14">#REF!</definedName>
    <definedName name="RevCustomer" localSheetId="5">#REF!</definedName>
    <definedName name="RevCustomer" localSheetId="10">#REF!</definedName>
    <definedName name="RevCustomer" localSheetId="20">#REF!</definedName>
    <definedName name="RevCustomer" localSheetId="22">#REF!</definedName>
    <definedName name="RevCustomer" localSheetId="25">#REF!</definedName>
    <definedName name="RevCustomer" localSheetId="26">#REF!</definedName>
    <definedName name="RevCustomer" localSheetId="27">#REF!</definedName>
    <definedName name="RevCustomer" localSheetId="13">#REF!</definedName>
    <definedName name="RevCustomer" localSheetId="7">#REF!</definedName>
    <definedName name="RevCustomer" localSheetId="6">#REF!</definedName>
    <definedName name="RevCustomer">#REF!</definedName>
    <definedName name="Revenue" localSheetId="24">'LG Public 2018 V5.0c'!$I$7</definedName>
    <definedName name="Revenue" localSheetId="25">'LG Public 2018 V5.0c MSW'!$I$7</definedName>
    <definedName name="Revenue" localSheetId="26">'LG Public 2018 V5.0c Rec'!$I$7</definedName>
    <definedName name="Revenue" localSheetId="27">'LG Public 2018 V5.0c YW'!$I$7</definedName>
    <definedName name="RevenuePF1" localSheetId="14">#REF!</definedName>
    <definedName name="RevenuePF1" localSheetId="5">#REF!</definedName>
    <definedName name="RevenuePF1" localSheetId="10">#REF!</definedName>
    <definedName name="RevenuePF1" localSheetId="22">#REF!</definedName>
    <definedName name="RevenuePF1" localSheetId="25">#REF!</definedName>
    <definedName name="RevenuePF1" localSheetId="26">#REF!</definedName>
    <definedName name="RevenuePF1" localSheetId="27">#REF!</definedName>
    <definedName name="RevenuePF1" localSheetId="13">#REF!</definedName>
    <definedName name="RevenuePF1">#REF!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ffasfasdfsd" localSheetId="5">[30]Hidden!#REF!</definedName>
    <definedName name="seffasfasdfsd" localSheetId="10">[30]Hidden!#REF!</definedName>
    <definedName name="seffasfasdfsd" localSheetId="25">[30]Hidden!#REF!</definedName>
    <definedName name="seffasfasdfsd" localSheetId="26">[30]Hidden!#REF!</definedName>
    <definedName name="seffasfasdfsd" localSheetId="27">[30]Hidden!#REF!</definedName>
    <definedName name="seffasfasdfsd">[30]Hidden!#REF!</definedName>
    <definedName name="Sequential_Group">[1]Settings!$J$6</definedName>
    <definedName name="Sequential_Segment">[1]Settings!$I$6</definedName>
    <definedName name="Sequential_sort">[1]Settings!$I$10:$J$11</definedName>
    <definedName name="slope" localSheetId="22">'[31]LG Nonpublic 2018 V5.0'!$X$58</definedName>
    <definedName name="slope" localSheetId="24">'LG Public 2018 V5.0c'!$Y$57</definedName>
    <definedName name="slope" localSheetId="25">'LG Public 2018 V5.0c MSW'!$Y$57</definedName>
    <definedName name="slope" localSheetId="26">'LG Public 2018 V5.0c Rec'!$Y$57</definedName>
    <definedName name="slope" localSheetId="27">'LG Public 2018 V5.0c YW'!$Y$57</definedName>
    <definedName name="slope" localSheetId="13">'[31]LG Nonpublic 2018 V5.0'!$X$58</definedName>
    <definedName name="slope" localSheetId="7">'[31]LG Nonpublic 2018 V5.0'!$X$58</definedName>
    <definedName name="slope">'[32]LG Nonpublic 2018 V5.0'!$X$58</definedName>
    <definedName name="sortcol" localSheetId="16">#REF!</definedName>
    <definedName name="sortcol" localSheetId="14">#REF!</definedName>
    <definedName name="sortcol" localSheetId="1">#REF!</definedName>
    <definedName name="sortcol" localSheetId="5">#REF!</definedName>
    <definedName name="sortcol" localSheetId="10">#REF!</definedName>
    <definedName name="sortcol" localSheetId="2">#REF!</definedName>
    <definedName name="sortcol" localSheetId="20">#REF!</definedName>
    <definedName name="sortcol" localSheetId="22">#REF!</definedName>
    <definedName name="sortcol" localSheetId="25">#REF!</definedName>
    <definedName name="sortcol" localSheetId="26">#REF!</definedName>
    <definedName name="sortcol" localSheetId="27">#REF!</definedName>
    <definedName name="sortcol" localSheetId="11">#REF!</definedName>
    <definedName name="sortcol" localSheetId="13">#REF!</definedName>
    <definedName name="sortcol" localSheetId="7">#REF!</definedName>
    <definedName name="sortcol" localSheetId="6">#REF!</definedName>
    <definedName name="sortcol" localSheetId="12">#REF!</definedName>
    <definedName name="sortcol">#REF!</definedName>
    <definedName name="Source">[22]DropDownRanges!$D$4:$D$7</definedName>
    <definedName name="sSRCDate" localSheetId="16">'[33]Feb''12 FAR Data'!#REF!</definedName>
    <definedName name="sSRCDate" localSheetId="14">'[33]Feb''12 FAR Data'!#REF!</definedName>
    <definedName name="sSRCDate" localSheetId="1">'[33]Feb''12 FAR Data'!#REF!</definedName>
    <definedName name="sSRCDate" localSheetId="5">'[33]Feb''12 FAR Data'!#REF!</definedName>
    <definedName name="sSRCDate" localSheetId="10">'[33]Feb''12 FAR Data'!#REF!</definedName>
    <definedName name="sSRCDate" localSheetId="2">'[33]Feb''12 FAR Data'!#REF!</definedName>
    <definedName name="sSRCDate" localSheetId="20">'[33]Feb''12 FAR Data'!#REF!</definedName>
    <definedName name="sSRCDate" localSheetId="23">#REF!</definedName>
    <definedName name="sSRCDate" localSheetId="22">'[33]Feb''12 FAR Data'!#REF!</definedName>
    <definedName name="sSRCDate" localSheetId="25">'[33]Feb''12 FAR Data'!#REF!</definedName>
    <definedName name="sSRCDate" localSheetId="26">'[33]Feb''12 FAR Data'!#REF!</definedName>
    <definedName name="sSRCDate" localSheetId="27">'[33]Feb''12 FAR Data'!#REF!</definedName>
    <definedName name="sSRCDate" localSheetId="13">'[33]Feb''12 FAR Data'!#REF!</definedName>
    <definedName name="sSRCDate" localSheetId="7">'[34]Feb''12 FAR Data'!#REF!</definedName>
    <definedName name="sSRCDate" localSheetId="6">'[35]Feb''12 FAR Data'!#REF!</definedName>
    <definedName name="sSRCDate" localSheetId="12">'[33]Feb''12 FAR Data'!#REF!</definedName>
    <definedName name="sSRCDate">'[33]Feb''12 FAR Data'!#REF!</definedName>
    <definedName name="SubSystem" localSheetId="16">'04.30.18 2183 BS'!$V$8</definedName>
    <definedName name="SubSystem" localSheetId="17">'04.30.19 2183 BS'!$V$8</definedName>
    <definedName name="SubSystem" localSheetId="13">#REF!</definedName>
    <definedName name="SubSystem" localSheetId="7">#REF!</definedName>
    <definedName name="SubSystem">'04.30.19 2183 BS'!$V$8</definedName>
    <definedName name="SubSystems" localSheetId="14">#REF!</definedName>
    <definedName name="SubSystems" localSheetId="5">#REF!</definedName>
    <definedName name="SubSystems" localSheetId="10">#REF!</definedName>
    <definedName name="SubSystems" localSheetId="22">#REF!</definedName>
    <definedName name="SubSystems" localSheetId="33">'JE Query - 40101'!$M$15</definedName>
    <definedName name="SubSystems" localSheetId="29">'JE Query - 59342'!$M$15</definedName>
    <definedName name="SubSystems" localSheetId="28">'JE Query 59341'!$M$15</definedName>
    <definedName name="SubSystems" localSheetId="30">'JE Query 60225'!$M$15</definedName>
    <definedName name="SubSystems" localSheetId="31">'JE Query 70095'!$M$15</definedName>
    <definedName name="SubSystems" localSheetId="32">'JE Query 70195'!$M$15</definedName>
    <definedName name="SubSystems" localSheetId="25">#REF!</definedName>
    <definedName name="SubSystems" localSheetId="26">#REF!</definedName>
    <definedName name="SubSystems" localSheetId="27">#REF!</definedName>
    <definedName name="SubSystems" localSheetId="13">#REF!</definedName>
    <definedName name="SubSystems">#REF!</definedName>
    <definedName name="Supplemental_filter">[1]Settings!$C$31</definedName>
    <definedName name="SWDisposal">#N/A</definedName>
    <definedName name="System" localSheetId="16">'04.30.18 2183 BS'!$V$7</definedName>
    <definedName name="System" localSheetId="17">'04.30.19 2183 BS'!$V$7</definedName>
    <definedName name="System" localSheetId="0">'2183 IS 2018'!$R$7</definedName>
    <definedName name="System" localSheetId="1">'2184 IS 2018'!$R$7</definedName>
    <definedName name="System" localSheetId="2">'2185 IS 2018'!$R$7</definedName>
    <definedName name="System" localSheetId="13">[36]BS_Close!$V$8</definedName>
    <definedName name="System" localSheetId="7">[36]BS_Close!$V$8</definedName>
    <definedName name="System" localSheetId="21">'Region OH 4.30.19'!$R$7</definedName>
    <definedName name="System">[36]BS_Close!$V$8</definedName>
    <definedName name="Systems" localSheetId="14">#REF!</definedName>
    <definedName name="Systems" localSheetId="5">#REF!</definedName>
    <definedName name="Systems" localSheetId="10">#REF!</definedName>
    <definedName name="Systems" localSheetId="22">#REF!</definedName>
    <definedName name="Systems" localSheetId="33">'JE Query - 40101'!$M$14</definedName>
    <definedName name="Systems" localSheetId="29">'JE Query - 59342'!$M$14</definedName>
    <definedName name="Systems" localSheetId="28">'JE Query 59341'!$M$14</definedName>
    <definedName name="Systems" localSheetId="30">'JE Query 60225'!$M$14</definedName>
    <definedName name="Systems" localSheetId="31">'JE Query 70095'!$M$14</definedName>
    <definedName name="Systems" localSheetId="32">'JE Query 70195'!$M$14</definedName>
    <definedName name="Systems" localSheetId="25">#REF!</definedName>
    <definedName name="Systems" localSheetId="26">#REF!</definedName>
    <definedName name="Systems" localSheetId="27">#REF!</definedName>
    <definedName name="Systems" localSheetId="13">#REF!</definedName>
    <definedName name="Systems">#REF!</definedName>
    <definedName name="taxrate" localSheetId="24">'LG Public 2018 V5.0c'!$J$38</definedName>
    <definedName name="taxrate" localSheetId="25">'LG Public 2018 V5.0c MSW'!$J$38</definedName>
    <definedName name="taxrate" localSheetId="26">'LG Public 2018 V5.0c Rec'!$J$38</definedName>
    <definedName name="taxrate" localSheetId="27">'LG Public 2018 V5.0c YW'!$J$38</definedName>
    <definedName name="TemplateEnd" localSheetId="16">#REF!</definedName>
    <definedName name="TemplateEnd" localSheetId="14">#REF!</definedName>
    <definedName name="TemplateEnd" localSheetId="1">#REF!</definedName>
    <definedName name="TemplateEnd" localSheetId="5">#REF!</definedName>
    <definedName name="TemplateEnd" localSheetId="10">#REF!</definedName>
    <definedName name="TemplateEnd" localSheetId="2">#REF!</definedName>
    <definedName name="TemplateEnd" localSheetId="20">#REF!</definedName>
    <definedName name="TemplateEnd" localSheetId="22">#REF!</definedName>
    <definedName name="TemplateEnd" localSheetId="25">#REF!</definedName>
    <definedName name="TemplateEnd" localSheetId="26">#REF!</definedName>
    <definedName name="TemplateEnd" localSheetId="27">#REF!</definedName>
    <definedName name="TemplateEnd" localSheetId="11">#REF!</definedName>
    <definedName name="TemplateEnd" localSheetId="13">#REF!</definedName>
    <definedName name="TemplateEnd" localSheetId="6">#REF!</definedName>
    <definedName name="TemplateEnd" localSheetId="12">#REF!</definedName>
    <definedName name="TemplateEnd">#REF!</definedName>
    <definedName name="TemplateStart" localSheetId="16">#REF!</definedName>
    <definedName name="TemplateStart" localSheetId="14">#REF!</definedName>
    <definedName name="TemplateStart" localSheetId="1">#REF!</definedName>
    <definedName name="TemplateStart" localSheetId="5">#REF!</definedName>
    <definedName name="TemplateStart" localSheetId="10">#REF!</definedName>
    <definedName name="TemplateStart" localSheetId="2">#REF!</definedName>
    <definedName name="TemplateStart" localSheetId="20">#REF!</definedName>
    <definedName name="TemplateStart" localSheetId="22">#REF!</definedName>
    <definedName name="TemplateStart" localSheetId="25">#REF!</definedName>
    <definedName name="TemplateStart" localSheetId="26">#REF!</definedName>
    <definedName name="TemplateStart" localSheetId="27">#REF!</definedName>
    <definedName name="TemplateStart" localSheetId="11">#REF!</definedName>
    <definedName name="TemplateStart" localSheetId="13">#REF!</definedName>
    <definedName name="TemplateStart" localSheetId="6">#REF!</definedName>
    <definedName name="TemplateStart" localSheetId="12">#REF!</definedName>
    <definedName name="TemplateStart">#REF!</definedName>
    <definedName name="TheTable" localSheetId="16">#REF!</definedName>
    <definedName name="TheTable" localSheetId="14">#REF!</definedName>
    <definedName name="TheTable" localSheetId="1">#REF!</definedName>
    <definedName name="TheTable" localSheetId="5">#REF!</definedName>
    <definedName name="TheTable" localSheetId="10">#REF!</definedName>
    <definedName name="TheTable" localSheetId="2">#REF!</definedName>
    <definedName name="TheTable" localSheetId="20">#REF!</definedName>
    <definedName name="TheTable" localSheetId="22">#REF!</definedName>
    <definedName name="TheTable" localSheetId="25">#REF!</definedName>
    <definedName name="TheTable" localSheetId="26">#REF!</definedName>
    <definedName name="TheTable" localSheetId="27">#REF!</definedName>
    <definedName name="TheTable" localSheetId="11">#REF!</definedName>
    <definedName name="TheTable" localSheetId="13">#REF!</definedName>
    <definedName name="TheTable" localSheetId="6">#REF!</definedName>
    <definedName name="TheTable" localSheetId="12">#REF!</definedName>
    <definedName name="TheTable">#REF!</definedName>
    <definedName name="TheTableOLD" localSheetId="16">#REF!</definedName>
    <definedName name="TheTableOLD" localSheetId="14">#REF!</definedName>
    <definedName name="TheTableOLD" localSheetId="1">#REF!</definedName>
    <definedName name="TheTableOLD" localSheetId="5">#REF!</definedName>
    <definedName name="TheTableOLD" localSheetId="10">#REF!</definedName>
    <definedName name="TheTableOLD" localSheetId="2">#REF!</definedName>
    <definedName name="TheTableOLD" localSheetId="20">#REF!</definedName>
    <definedName name="TheTableOLD" localSheetId="22">#REF!</definedName>
    <definedName name="TheTableOLD" localSheetId="25">#REF!</definedName>
    <definedName name="TheTableOLD" localSheetId="26">#REF!</definedName>
    <definedName name="TheTableOLD" localSheetId="27">#REF!</definedName>
    <definedName name="TheTableOLD" localSheetId="11">#REF!</definedName>
    <definedName name="TheTableOLD" localSheetId="13">#REF!</definedName>
    <definedName name="TheTableOLD" localSheetId="6">#REF!</definedName>
    <definedName name="TheTableOLD" localSheetId="12">#REF!</definedName>
    <definedName name="TheTableOLD">#REF!</definedName>
    <definedName name="timeseries">[1]Orientation!$B$6:$C$13</definedName>
    <definedName name="ToMonth" localSheetId="14">#REF!</definedName>
    <definedName name="ToMonth" localSheetId="5">#REF!</definedName>
    <definedName name="ToMonth" localSheetId="10">#REF!</definedName>
    <definedName name="ToMonth" localSheetId="22">#REF!</definedName>
    <definedName name="ToMonth" localSheetId="33">'JE Query - 40101'!$G$8</definedName>
    <definedName name="ToMonth" localSheetId="29">'JE Query - 59342'!$G$8</definedName>
    <definedName name="ToMonth" localSheetId="28">'JE Query 59341'!$G$8</definedName>
    <definedName name="ToMonth" localSheetId="30">'JE Query 60225'!$G$8</definedName>
    <definedName name="ToMonth" localSheetId="31">'JE Query 70095'!$G$8</definedName>
    <definedName name="ToMonth" localSheetId="32">'JE Query 70195'!$G$8</definedName>
    <definedName name="ToMonth" localSheetId="25">#REF!</definedName>
    <definedName name="ToMonth" localSheetId="26">#REF!</definedName>
    <definedName name="ToMonth" localSheetId="27">#REF!</definedName>
    <definedName name="ToMonth" localSheetId="13">#REF!</definedName>
    <definedName name="ToMonth">#REF!</definedName>
    <definedName name="Tons" localSheetId="16">#REF!</definedName>
    <definedName name="Tons" localSheetId="14">#REF!</definedName>
    <definedName name="Tons" localSheetId="5">#REF!</definedName>
    <definedName name="Tons" localSheetId="10">#REF!</definedName>
    <definedName name="Tons" localSheetId="22">#REF!</definedName>
    <definedName name="Tons" localSheetId="25">#REF!</definedName>
    <definedName name="Tons" localSheetId="26">#REF!</definedName>
    <definedName name="Tons" localSheetId="27">#REF!</definedName>
    <definedName name="Tons" localSheetId="13">#REF!</definedName>
    <definedName name="Tons" localSheetId="7">#REF!</definedName>
    <definedName name="Tons">#REF!</definedName>
    <definedName name="Total_Comm" localSheetId="20">'[8]Tariff Rate Sheet'!$L$214</definedName>
    <definedName name="Total_Comm" localSheetId="22">'[8]Tariff Rate Sheet'!$L$214</definedName>
    <definedName name="Total_Comm" localSheetId="13">'[8]Tariff Rate Sheet'!$L$214</definedName>
    <definedName name="Total_Comm">'[9]Tariff Rate Sheet'!$L$214</definedName>
    <definedName name="Total_DB" localSheetId="20">'[8]Tariff Rate Sheet'!$L$278</definedName>
    <definedName name="Total_DB" localSheetId="22">'[8]Tariff Rate Sheet'!$L$278</definedName>
    <definedName name="Total_DB" localSheetId="13">'[8]Tariff Rate Sheet'!$L$278</definedName>
    <definedName name="Total_DB">'[9]Tariff Rate Sheet'!$L$278</definedName>
    <definedName name="Total_Resi" localSheetId="20">'[8]Tariff Rate Sheet'!$L$107</definedName>
    <definedName name="Total_Resi" localSheetId="22">'[8]Tariff Rate Sheet'!$L$107</definedName>
    <definedName name="Total_Resi" localSheetId="13">'[8]Tariff Rate Sheet'!$L$107</definedName>
    <definedName name="Total_Resi">'[9]Tariff Rate Sheet'!$L$107</definedName>
    <definedName name="Transactions" localSheetId="16">#REF!</definedName>
    <definedName name="Transactions" localSheetId="14">#REF!</definedName>
    <definedName name="Transactions" localSheetId="1">#REF!</definedName>
    <definedName name="Transactions" localSheetId="5">#REF!</definedName>
    <definedName name="Transactions" localSheetId="10">#REF!</definedName>
    <definedName name="Transactions" localSheetId="2">#REF!</definedName>
    <definedName name="Transactions" localSheetId="20">#REF!</definedName>
    <definedName name="Transactions" localSheetId="22">#REF!</definedName>
    <definedName name="Transactions" localSheetId="25">#REF!</definedName>
    <definedName name="Transactions" localSheetId="26">#REF!</definedName>
    <definedName name="Transactions" localSheetId="27">#REF!</definedName>
    <definedName name="Transactions" localSheetId="11">#REF!</definedName>
    <definedName name="Transactions" localSheetId="13">#REF!</definedName>
    <definedName name="Transactions" localSheetId="6">#REF!</definedName>
    <definedName name="Transactions" localSheetId="12">#REF!</definedName>
    <definedName name="Transactions">#REF!</definedName>
    <definedName name="UnregulatedIS" localSheetId="22">'[24]2010 IS'!$A$12:$Q$654</definedName>
    <definedName name="UnregulatedIS" localSheetId="13">'[25]2010 IS'!$A$12:$Q$654</definedName>
    <definedName name="UnregulatedIS">'[24]2010 IS'!$A$12:$Q$654</definedName>
    <definedName name="VendorCode" localSheetId="14">#REF!</definedName>
    <definedName name="VendorCode" localSheetId="5">#REF!</definedName>
    <definedName name="VendorCode" localSheetId="10">#REF!</definedName>
    <definedName name="VendorCode" localSheetId="22">#REF!</definedName>
    <definedName name="VendorCode" localSheetId="33">'JE Query - 40101'!$P$12</definedName>
    <definedName name="VendorCode" localSheetId="29">'JE Query - 59342'!$P$12</definedName>
    <definedName name="VendorCode" localSheetId="28">'JE Query 59341'!$P$12</definedName>
    <definedName name="VendorCode" localSheetId="30">'JE Query 60225'!$P$12</definedName>
    <definedName name="VendorCode" localSheetId="31">'JE Query 70095'!$P$12</definedName>
    <definedName name="VendorCode" localSheetId="32">'JE Query 70195'!$P$12</definedName>
    <definedName name="VendorCode" localSheetId="25">#REF!</definedName>
    <definedName name="VendorCode" localSheetId="26">#REF!</definedName>
    <definedName name="VendorCode" localSheetId="27">#REF!</definedName>
    <definedName name="VendorCode" localSheetId="13">#REF!</definedName>
    <definedName name="VendorCode">#REF!</definedName>
    <definedName name="Version" localSheetId="16">[15]Data!#REF!</definedName>
    <definedName name="Version" localSheetId="14">[15]Data!#REF!</definedName>
    <definedName name="Version" localSheetId="5">[15]Data!#REF!</definedName>
    <definedName name="Version" localSheetId="10">[15]Data!#REF!</definedName>
    <definedName name="Version" localSheetId="22">[15]Data!#REF!</definedName>
    <definedName name="Version" localSheetId="25">[15]Data!#REF!</definedName>
    <definedName name="Version" localSheetId="26">[15]Data!#REF!</definedName>
    <definedName name="Version" localSheetId="27">[15]Data!#REF!</definedName>
    <definedName name="Version" localSheetId="13">[16]Data!#REF!</definedName>
    <definedName name="Version" localSheetId="7">[15]Data!#REF!</definedName>
    <definedName name="Version" localSheetId="6">[15]Data!#REF!</definedName>
    <definedName name="Version">[15]Data!#REF!</definedName>
    <definedName name="wrn.PrintReview." localSheetId="14"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22"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3"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4"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22"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3"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7"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14"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22"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3"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14" hidden="1">{"Page1",#N/A,TRUE,"SUMM";"Page2",#N/A,TRUE,"Rev";"Page3",#N/A,TRUE,"Dir_Costs"}</definedName>
    <definedName name="wrn.test." localSheetId="22" hidden="1">{"Page1",#N/A,TRUE,"SUMM";"Page2",#N/A,TRUE,"Rev";"Page3",#N/A,TRUE,"Dir_Costs"}</definedName>
    <definedName name="wrn.test." localSheetId="13" hidden="1">{"Page1",#N/A,TRUE,"SUMM";"Page2",#N/A,TRUE,"Rev";"Page3",#N/A,TRUE,"Dir_Costs"}</definedName>
    <definedName name="wrn.test." localSheetId="7" hidden="1">{"Page1",#N/A,TRUE,"SUMM";"Page2",#N/A,TRUE,"Rev";"Page3",#N/A,TRUE,"Dir_Costs"}</definedName>
    <definedName name="wrn.test." hidden="1">{"Page1",#N/A,TRUE,"SUMM";"Page2",#N/A,TRUE,"Rev";"Page3",#N/A,TRUE,"Dir_Costs"}</definedName>
    <definedName name="WTable" localSheetId="16">#REF!</definedName>
    <definedName name="WTable" localSheetId="14">#REF!</definedName>
    <definedName name="WTable" localSheetId="1">#REF!</definedName>
    <definedName name="WTable" localSheetId="5">#REF!</definedName>
    <definedName name="WTable" localSheetId="10">#REF!</definedName>
    <definedName name="WTable" localSheetId="2">#REF!</definedName>
    <definedName name="WTable" localSheetId="20">#REF!</definedName>
    <definedName name="WTable" localSheetId="22">#REF!</definedName>
    <definedName name="WTable" localSheetId="25">#REF!</definedName>
    <definedName name="WTable" localSheetId="26">#REF!</definedName>
    <definedName name="WTable" localSheetId="27">#REF!</definedName>
    <definedName name="WTable" localSheetId="11">#REF!</definedName>
    <definedName name="WTable" localSheetId="13">#REF!</definedName>
    <definedName name="WTable" localSheetId="6">#REF!</definedName>
    <definedName name="WTable" localSheetId="12">#REF!</definedName>
    <definedName name="WTable">#REF!</definedName>
    <definedName name="WTableOld" localSheetId="16">#REF!</definedName>
    <definedName name="WTableOld" localSheetId="14">#REF!</definedName>
    <definedName name="WTableOld" localSheetId="1">#REF!</definedName>
    <definedName name="WTableOld" localSheetId="5">#REF!</definedName>
    <definedName name="WTableOld" localSheetId="10">#REF!</definedName>
    <definedName name="WTableOld" localSheetId="2">#REF!</definedName>
    <definedName name="WTableOld" localSheetId="20">#REF!</definedName>
    <definedName name="WTableOld" localSheetId="22">#REF!</definedName>
    <definedName name="WTableOld" localSheetId="25">#REF!</definedName>
    <definedName name="WTableOld" localSheetId="26">#REF!</definedName>
    <definedName name="WTableOld" localSheetId="27">#REF!</definedName>
    <definedName name="WTableOld" localSheetId="11">#REF!</definedName>
    <definedName name="WTableOld" localSheetId="13">#REF!</definedName>
    <definedName name="WTableOld" localSheetId="6">#REF!</definedName>
    <definedName name="WTableOld" localSheetId="12">#REF!</definedName>
    <definedName name="WTableOld">#REF!</definedName>
    <definedName name="ww" localSheetId="16">#REF!</definedName>
    <definedName name="ww" localSheetId="14">#REF!</definedName>
    <definedName name="ww" localSheetId="5">#REF!</definedName>
    <definedName name="ww" localSheetId="10">#REF!</definedName>
    <definedName name="ww" localSheetId="20">#REF!</definedName>
    <definedName name="ww" localSheetId="22">#REF!</definedName>
    <definedName name="ww" localSheetId="25">#REF!</definedName>
    <definedName name="ww" localSheetId="26">#REF!</definedName>
    <definedName name="ww" localSheetId="27">#REF!</definedName>
    <definedName name="ww" localSheetId="13">#REF!</definedName>
    <definedName name="ww" localSheetId="6">#REF!</definedName>
    <definedName name="ww">#REF!</definedName>
    <definedName name="xperiod">[1]Orientation!$G$15</definedName>
    <definedName name="xtabin" localSheetId="16">[4]Hidden!#REF!</definedName>
    <definedName name="xtabin" localSheetId="14">[4]Hidden!#REF!</definedName>
    <definedName name="xtabin" localSheetId="1">[4]Hidden!#REF!</definedName>
    <definedName name="xtabin" localSheetId="5">[4]Hidden!#REF!</definedName>
    <definedName name="xtabin" localSheetId="10">[4]Hidden!#REF!</definedName>
    <definedName name="xtabin" localSheetId="2">[4]Hidden!#REF!</definedName>
    <definedName name="xtabin" localSheetId="20">[4]Hidden!#REF!</definedName>
    <definedName name="xtabin" localSheetId="22">[4]Hidden!#REF!</definedName>
    <definedName name="xtabin" localSheetId="25">[4]Hidden!#REF!</definedName>
    <definedName name="xtabin" localSheetId="26">[4]Hidden!#REF!</definedName>
    <definedName name="xtabin" localSheetId="27">[4]Hidden!#REF!</definedName>
    <definedName name="xtabin" localSheetId="11">[4]Hidden!#REF!</definedName>
    <definedName name="xtabin" localSheetId="13">[4]Hidden!#REF!</definedName>
    <definedName name="xtabin" localSheetId="7">[5]Hidden!#REF!</definedName>
    <definedName name="xtabin" localSheetId="6">[5]Hidden!#REF!</definedName>
    <definedName name="xtabin" localSheetId="12">[4]Hidden!#REF!</definedName>
    <definedName name="xtabin">[4]Hidden!#REF!</definedName>
    <definedName name="xx" localSheetId="16">#REF!</definedName>
    <definedName name="xx" localSheetId="14">#REF!</definedName>
    <definedName name="xx" localSheetId="1">#REF!</definedName>
    <definedName name="xx" localSheetId="5">#REF!</definedName>
    <definedName name="xx" localSheetId="10">#REF!</definedName>
    <definedName name="xx" localSheetId="2">#REF!</definedName>
    <definedName name="xx" localSheetId="20">#REF!</definedName>
    <definedName name="xx" localSheetId="22">#REF!</definedName>
    <definedName name="xx" localSheetId="25">#REF!</definedName>
    <definedName name="xx" localSheetId="26">#REF!</definedName>
    <definedName name="xx" localSheetId="27">#REF!</definedName>
    <definedName name="xx" localSheetId="11">#REF!</definedName>
    <definedName name="xx" localSheetId="13">#REF!</definedName>
    <definedName name="xx" localSheetId="6">#REF!</definedName>
    <definedName name="xx" localSheetId="12">#REF!</definedName>
    <definedName name="xx">#REF!</definedName>
    <definedName name="xxx" localSheetId="16">#REF!</definedName>
    <definedName name="xxx" localSheetId="14">#REF!</definedName>
    <definedName name="xxx" localSheetId="5">#REF!</definedName>
    <definedName name="xxx" localSheetId="10">#REF!</definedName>
    <definedName name="xxx" localSheetId="20">#REF!</definedName>
    <definedName name="xxx" localSheetId="22">#REF!</definedName>
    <definedName name="xxx" localSheetId="25">#REF!</definedName>
    <definedName name="xxx" localSheetId="26">#REF!</definedName>
    <definedName name="xxx" localSheetId="27">#REF!</definedName>
    <definedName name="xxx" localSheetId="13">#REF!</definedName>
    <definedName name="xxx" localSheetId="6">#REF!</definedName>
    <definedName name="xxx">#REF!</definedName>
    <definedName name="xxxx" localSheetId="16">#REF!</definedName>
    <definedName name="xxxx" localSheetId="14">#REF!</definedName>
    <definedName name="xxxx" localSheetId="5">#REF!</definedName>
    <definedName name="xxxx" localSheetId="10">#REF!</definedName>
    <definedName name="xxxx" localSheetId="20">#REF!</definedName>
    <definedName name="xxxx" localSheetId="22">#REF!</definedName>
    <definedName name="xxxx" localSheetId="25">#REF!</definedName>
    <definedName name="xxxx" localSheetId="26">#REF!</definedName>
    <definedName name="xxxx" localSheetId="27">#REF!</definedName>
    <definedName name="xxxx" localSheetId="13">#REF!</definedName>
    <definedName name="xxxx" localSheetId="6">#REF!</definedName>
    <definedName name="xxxx">#REF!</definedName>
    <definedName name="y_inter1" localSheetId="22">'[31]LG Nonpublic 2018 V5.0'!$W$55</definedName>
    <definedName name="y_inter1" localSheetId="24">'LG Public 2018 V5.0c'!$X$54</definedName>
    <definedName name="y_inter1" localSheetId="25">'LG Public 2018 V5.0c MSW'!$X$54</definedName>
    <definedName name="y_inter1" localSheetId="26">'LG Public 2018 V5.0c Rec'!$X$54</definedName>
    <definedName name="y_inter1" localSheetId="27">'LG Public 2018 V5.0c YW'!$X$54</definedName>
    <definedName name="y_inter1" localSheetId="13">'[31]LG Nonpublic 2018 V5.0'!$W$55</definedName>
    <definedName name="y_inter1" localSheetId="7">'[31]LG Nonpublic 2018 V5.0'!$W$55</definedName>
    <definedName name="y_inter1">'[32]LG Nonpublic 2018 V5.0'!$W$55</definedName>
    <definedName name="y_inter2" localSheetId="22">'[31]LG Nonpublic 2018 V5.0'!$W$56</definedName>
    <definedName name="y_inter2" localSheetId="24">'LG Public 2018 V5.0c'!$X$55</definedName>
    <definedName name="y_inter2" localSheetId="25">'LG Public 2018 V5.0c MSW'!$X$55</definedName>
    <definedName name="y_inter2" localSheetId="26">'LG Public 2018 V5.0c Rec'!$X$55</definedName>
    <definedName name="y_inter2" localSheetId="27">'LG Public 2018 V5.0c YW'!$X$55</definedName>
    <definedName name="y_inter2" localSheetId="13">'[31]LG Nonpublic 2018 V5.0'!$W$56</definedName>
    <definedName name="y_inter2" localSheetId="7">'[31]LG Nonpublic 2018 V5.0'!$W$56</definedName>
    <definedName name="y_inter2">'[32]LG Nonpublic 2018 V5.0'!$W$56</definedName>
    <definedName name="y_inter3" localSheetId="22">'[31]LG Nonpublic 2018 V5.0'!$Y$55</definedName>
    <definedName name="y_inter3" localSheetId="24">'LG Public 2018 V5.0c'!$Z$54</definedName>
    <definedName name="y_inter3" localSheetId="25">'LG Public 2018 V5.0c MSW'!$Z$54</definedName>
    <definedName name="y_inter3" localSheetId="26">'LG Public 2018 V5.0c Rec'!$Z$54</definedName>
    <definedName name="y_inter3" localSheetId="27">'LG Public 2018 V5.0c YW'!$Z$54</definedName>
    <definedName name="y_inter3" localSheetId="13">'[31]LG Nonpublic 2018 V5.0'!$Y$55</definedName>
    <definedName name="y_inter3" localSheetId="7">'[31]LG Nonpublic 2018 V5.0'!$Y$55</definedName>
    <definedName name="y_inter3">'[32]LG Nonpublic 2018 V5.0'!$Y$55</definedName>
    <definedName name="y_inter4" localSheetId="22">'[31]LG Nonpublic 2018 V5.0'!$Y$56</definedName>
    <definedName name="y_inter4" localSheetId="24">'LG Public 2018 V5.0c'!$Z$55</definedName>
    <definedName name="y_inter4" localSheetId="25">'LG Public 2018 V5.0c MSW'!$Z$55</definedName>
    <definedName name="y_inter4" localSheetId="26">'LG Public 2018 V5.0c Rec'!$Z$55</definedName>
    <definedName name="y_inter4" localSheetId="27">'LG Public 2018 V5.0c YW'!$Z$55</definedName>
    <definedName name="y_inter4" localSheetId="13">'[31]LG Nonpublic 2018 V5.0'!$Y$56</definedName>
    <definedName name="y_inter4" localSheetId="7">'[31]LG Nonpublic 2018 V5.0'!$Y$56</definedName>
    <definedName name="y_inter4">'[32]LG Nonpublic 2018 V5.0'!$Y$56</definedName>
    <definedName name="YearMonth" localSheetId="16">'04.30.18 2183 BS'!$D$9</definedName>
    <definedName name="YearMonth" localSheetId="17">'04.30.19 2183 BS'!$D$9</definedName>
    <definedName name="YearMonth" localSheetId="14">'[17]Yakima BS'!#REF!</definedName>
    <definedName name="YearMonth" localSheetId="0">'2183 IS 2018'!$D$8</definedName>
    <definedName name="YearMonth" localSheetId="1">'2184 IS 2018'!$D$8</definedName>
    <definedName name="YearMonth" localSheetId="5">'[17]Yakima BS'!#REF!</definedName>
    <definedName name="YearMonth" localSheetId="10">'[17]Yakima BS'!#REF!</definedName>
    <definedName name="YearMonth" localSheetId="2">'2185 IS 2018'!$D$8</definedName>
    <definedName name="YearMonth" localSheetId="20">'[18]Vashon BS'!#REF!</definedName>
    <definedName name="YearMonth" localSheetId="22">'[18]Vashon BS'!#REF!</definedName>
    <definedName name="YearMonth" localSheetId="25">'[17]Yakima BS'!#REF!</definedName>
    <definedName name="YearMonth" localSheetId="26">'[17]Yakima BS'!#REF!</definedName>
    <definedName name="YearMonth" localSheetId="27">'[17]Yakima BS'!#REF!</definedName>
    <definedName name="YearMonth" localSheetId="13">'[18]Vashon BS'!#REF!</definedName>
    <definedName name="YearMonth" localSheetId="7">'[19]Vashon BS'!#REF!</definedName>
    <definedName name="YearMonth" localSheetId="21">'Region OH 4.30.19'!$D$8</definedName>
    <definedName name="YearMonth" localSheetId="6">'[19]Vashon BS'!#REF!</definedName>
    <definedName name="YearMonth">'[17]Yakima BS'!#REF!</definedName>
    <definedName name="YWMedWasteDisp">#N/A</definedName>
    <definedName name="yy" localSheetId="16">#REF!</definedName>
    <definedName name="yy" localSheetId="14">#REF!</definedName>
    <definedName name="yy" localSheetId="5">#REF!</definedName>
    <definedName name="yy" localSheetId="10">#REF!</definedName>
    <definedName name="yy" localSheetId="20">#REF!</definedName>
    <definedName name="yy" localSheetId="22">#REF!</definedName>
    <definedName name="yy" localSheetId="25">#REF!</definedName>
    <definedName name="yy" localSheetId="26">#REF!</definedName>
    <definedName name="yy" localSheetId="27">#REF!</definedName>
    <definedName name="yy" localSheetId="13">#REF!</definedName>
    <definedName name="yy" localSheetId="7">#REF!</definedName>
    <definedName name="yy" localSheetId="6">#REF!</definedName>
    <definedName name="yy">#REF!</definedName>
  </definedNames>
  <calcPr calcId="145621" iterate="1" concurrentManualCount="4"/>
  <pivotCaches>
    <pivotCache cacheId="0" r:id="rId94"/>
    <pivotCache cacheId="1" r:id="rId95"/>
    <pivotCache cacheId="2" r:id="rId96"/>
    <pivotCache cacheId="3" r:id="rId97"/>
    <pivotCache cacheId="4" r:id="rId98"/>
    <pivotCache cacheId="5" r:id="rId99"/>
  </pivotCaches>
</workbook>
</file>

<file path=xl/calcChain.xml><?xml version="1.0" encoding="utf-8"?>
<calcChain xmlns="http://schemas.openxmlformats.org/spreadsheetml/2006/main">
  <c r="B312" i="59" l="1"/>
  <c r="B325" i="59"/>
  <c r="Q341" i="61" l="1"/>
  <c r="Q340" i="61"/>
  <c r="Q339" i="61"/>
  <c r="Q338" i="61"/>
  <c r="Q337" i="61"/>
  <c r="Q336" i="61"/>
  <c r="Q322" i="61"/>
  <c r="Q321" i="61"/>
  <c r="Q320" i="61"/>
  <c r="Q319" i="61"/>
  <c r="Q318" i="61"/>
  <c r="Q317" i="61"/>
  <c r="Q306" i="61"/>
  <c r="Q305" i="61"/>
  <c r="Q304" i="61"/>
  <c r="Q303" i="61"/>
  <c r="Q302" i="61"/>
  <c r="Q301" i="61"/>
  <c r="Q300" i="61"/>
  <c r="Q289" i="61"/>
  <c r="Q288" i="61"/>
  <c r="Q287" i="61"/>
  <c r="Q286" i="61"/>
  <c r="Q252" i="61"/>
  <c r="Q251" i="61"/>
  <c r="Q250" i="61"/>
  <c r="Q249" i="61"/>
  <c r="Q248" i="61"/>
  <c r="Q247" i="61"/>
  <c r="Q246" i="61"/>
  <c r="Q229" i="61"/>
  <c r="Q230" i="61"/>
  <c r="Q231" i="61"/>
  <c r="Q232" i="61"/>
  <c r="Q233" i="61"/>
  <c r="Q234" i="61"/>
  <c r="Q228" i="61"/>
  <c r="B352" i="59" l="1"/>
  <c r="B351" i="59"/>
  <c r="B350" i="59"/>
  <c r="B341" i="59"/>
  <c r="B340" i="59"/>
  <c r="B339" i="59"/>
  <c r="B323" i="59"/>
  <c r="B283" i="59"/>
  <c r="B282" i="59"/>
  <c r="B240" i="59"/>
  <c r="A1" i="61"/>
  <c r="A1" i="50"/>
  <c r="A1" i="8"/>
  <c r="A1" i="7"/>
  <c r="A1" i="37"/>
  <c r="A1" i="31"/>
  <c r="A1" i="49"/>
  <c r="A1" i="20"/>
  <c r="N33" i="61" l="1"/>
  <c r="J336" i="1" l="1"/>
  <c r="I336" i="1"/>
  <c r="H336" i="1"/>
  <c r="X35" i="31"/>
  <c r="S215" i="61"/>
  <c r="P212" i="61"/>
  <c r="G212" i="61"/>
  <c r="I212" i="61"/>
  <c r="P211" i="61"/>
  <c r="N211" i="61"/>
  <c r="G211" i="61"/>
  <c r="P210" i="61"/>
  <c r="N210" i="61"/>
  <c r="P209" i="61"/>
  <c r="N209" i="61"/>
  <c r="G209" i="61"/>
  <c r="P208" i="61"/>
  <c r="N208" i="61"/>
  <c r="P207" i="61"/>
  <c r="N207" i="61"/>
  <c r="K214" i="61"/>
  <c r="G207" i="61"/>
  <c r="S206" i="61"/>
  <c r="P201" i="61"/>
  <c r="G201" i="61"/>
  <c r="P200" i="61"/>
  <c r="N200" i="61"/>
  <c r="I200" i="61"/>
  <c r="P199" i="61"/>
  <c r="N199" i="61"/>
  <c r="G199" i="61"/>
  <c r="I199" i="61"/>
  <c r="P198" i="61"/>
  <c r="N198" i="61"/>
  <c r="P197" i="61"/>
  <c r="N197" i="61"/>
  <c r="P196" i="61"/>
  <c r="N196" i="61"/>
  <c r="P195" i="61"/>
  <c r="N195" i="61"/>
  <c r="G195" i="61"/>
  <c r="U194" i="61"/>
  <c r="P194" i="61"/>
  <c r="N194" i="61"/>
  <c r="P193" i="61"/>
  <c r="N193" i="61"/>
  <c r="G193" i="61"/>
  <c r="I193" i="61"/>
  <c r="P192" i="61"/>
  <c r="P191" i="61"/>
  <c r="P190" i="61"/>
  <c r="P189" i="61"/>
  <c r="N189" i="61"/>
  <c r="P188" i="61"/>
  <c r="P187" i="61"/>
  <c r="N187" i="61"/>
  <c r="P186" i="61"/>
  <c r="N186" i="61"/>
  <c r="P185" i="61"/>
  <c r="N185" i="61"/>
  <c r="P184" i="61"/>
  <c r="N184" i="61"/>
  <c r="P183" i="61"/>
  <c r="N183" i="61"/>
  <c r="P182" i="61"/>
  <c r="N182" i="61"/>
  <c r="I182" i="61"/>
  <c r="P181" i="61"/>
  <c r="N181" i="61"/>
  <c r="G181" i="61"/>
  <c r="P180" i="61"/>
  <c r="I180" i="61"/>
  <c r="P179" i="61"/>
  <c r="I179" i="61"/>
  <c r="P178" i="61"/>
  <c r="P177" i="61"/>
  <c r="N177" i="61"/>
  <c r="I177" i="61"/>
  <c r="P176" i="61"/>
  <c r="P175" i="61"/>
  <c r="N175" i="61"/>
  <c r="P174" i="61"/>
  <c r="N174" i="61"/>
  <c r="P173" i="61"/>
  <c r="G173" i="61"/>
  <c r="P172" i="61"/>
  <c r="N172" i="61"/>
  <c r="P171" i="61"/>
  <c r="G171" i="61"/>
  <c r="P170" i="61"/>
  <c r="N170" i="61"/>
  <c r="P169" i="61"/>
  <c r="N169" i="61"/>
  <c r="I169" i="61"/>
  <c r="P168" i="61"/>
  <c r="N168" i="61"/>
  <c r="P167" i="61"/>
  <c r="N167" i="61"/>
  <c r="P159" i="61"/>
  <c r="P158" i="61"/>
  <c r="K161" i="61"/>
  <c r="H161" i="61"/>
  <c r="F161" i="61"/>
  <c r="P155" i="61"/>
  <c r="K155" i="61"/>
  <c r="P153" i="61"/>
  <c r="N153" i="61"/>
  <c r="L155" i="61"/>
  <c r="H155" i="61"/>
  <c r="F155" i="61"/>
  <c r="I153" i="61"/>
  <c r="I155" i="61" s="1"/>
  <c r="P148" i="61"/>
  <c r="N148" i="61"/>
  <c r="G148" i="61"/>
  <c r="P147" i="61"/>
  <c r="N147" i="61"/>
  <c r="I147" i="61"/>
  <c r="P146" i="61"/>
  <c r="G146" i="61"/>
  <c r="P145" i="61"/>
  <c r="G145" i="61"/>
  <c r="P144" i="61"/>
  <c r="N144" i="61"/>
  <c r="P143" i="61"/>
  <c r="N143" i="61"/>
  <c r="G143" i="61"/>
  <c r="P142" i="61"/>
  <c r="N142" i="61"/>
  <c r="P141" i="61"/>
  <c r="N141" i="61"/>
  <c r="I141" i="61"/>
  <c r="P140" i="61"/>
  <c r="N140" i="61"/>
  <c r="G140" i="61"/>
  <c r="P139" i="61"/>
  <c r="N139" i="61"/>
  <c r="P138" i="61"/>
  <c r="N138" i="61"/>
  <c r="P137" i="61"/>
  <c r="N137" i="61"/>
  <c r="G137" i="61"/>
  <c r="P136" i="61"/>
  <c r="N136" i="61"/>
  <c r="P135" i="61"/>
  <c r="N135" i="61"/>
  <c r="G135" i="61"/>
  <c r="P134" i="61"/>
  <c r="N134" i="61"/>
  <c r="S133" i="61"/>
  <c r="N131" i="61"/>
  <c r="U126" i="61"/>
  <c r="P126" i="61"/>
  <c r="N126" i="61"/>
  <c r="I126" i="61"/>
  <c r="U125" i="61"/>
  <c r="P125" i="61"/>
  <c r="N125" i="61"/>
  <c r="I125" i="61"/>
  <c r="U124" i="61"/>
  <c r="P124" i="61"/>
  <c r="N124" i="61"/>
  <c r="P123" i="61"/>
  <c r="G123" i="61"/>
  <c r="U122" i="61"/>
  <c r="I122" i="61"/>
  <c r="N121" i="61"/>
  <c r="P120" i="61"/>
  <c r="U119" i="61"/>
  <c r="U114" i="61"/>
  <c r="P114" i="61"/>
  <c r="N114" i="61"/>
  <c r="U113" i="61"/>
  <c r="P113" i="61"/>
  <c r="N113" i="61"/>
  <c r="G113" i="61"/>
  <c r="U112" i="61"/>
  <c r="P112" i="61"/>
  <c r="N112" i="61"/>
  <c r="G112" i="61"/>
  <c r="U111" i="61"/>
  <c r="N111" i="61"/>
  <c r="I111" i="61"/>
  <c r="P107" i="61"/>
  <c r="U105" i="61"/>
  <c r="H108" i="61"/>
  <c r="U98" i="61"/>
  <c r="P98" i="61"/>
  <c r="G98" i="61"/>
  <c r="P97" i="61"/>
  <c r="G97" i="61"/>
  <c r="U96" i="61"/>
  <c r="P95" i="61"/>
  <c r="I95" i="61"/>
  <c r="P94" i="61"/>
  <c r="G94" i="61"/>
  <c r="I93" i="61"/>
  <c r="U87" i="61"/>
  <c r="I87" i="61"/>
  <c r="U86" i="61"/>
  <c r="N86" i="61"/>
  <c r="U85" i="61"/>
  <c r="N85" i="61"/>
  <c r="U84" i="61"/>
  <c r="U83" i="61"/>
  <c r="P83" i="61"/>
  <c r="I83" i="61"/>
  <c r="U82" i="61"/>
  <c r="P82" i="61"/>
  <c r="U81" i="61"/>
  <c r="U80" i="61"/>
  <c r="G80" i="61"/>
  <c r="U79" i="61"/>
  <c r="N79" i="61"/>
  <c r="I79" i="61"/>
  <c r="U78" i="61"/>
  <c r="P78" i="61"/>
  <c r="U77" i="61"/>
  <c r="U76" i="61"/>
  <c r="G76" i="61"/>
  <c r="P71" i="61"/>
  <c r="N71" i="61"/>
  <c r="G71" i="61"/>
  <c r="P69" i="61"/>
  <c r="N69" i="61"/>
  <c r="G69" i="61"/>
  <c r="U68" i="61"/>
  <c r="P68" i="61"/>
  <c r="N68" i="61"/>
  <c r="U67" i="61"/>
  <c r="G67" i="61"/>
  <c r="U66" i="61"/>
  <c r="P65" i="61"/>
  <c r="N64" i="61"/>
  <c r="G64" i="61"/>
  <c r="U63" i="61"/>
  <c r="P63" i="61"/>
  <c r="G63" i="61"/>
  <c r="I62" i="61"/>
  <c r="P60" i="61"/>
  <c r="I59" i="61"/>
  <c r="I57" i="61"/>
  <c r="P56" i="61"/>
  <c r="P54" i="61"/>
  <c r="G54" i="61"/>
  <c r="I53" i="61"/>
  <c r="U52" i="61"/>
  <c r="P52" i="61"/>
  <c r="N52" i="61"/>
  <c r="G52" i="61"/>
  <c r="U47" i="61"/>
  <c r="P47" i="61"/>
  <c r="U46" i="61"/>
  <c r="P46" i="61"/>
  <c r="N46" i="61"/>
  <c r="G44" i="61"/>
  <c r="G43" i="61"/>
  <c r="G42" i="61"/>
  <c r="U36" i="61"/>
  <c r="P36" i="61"/>
  <c r="N36" i="61"/>
  <c r="G36" i="61"/>
  <c r="U35" i="61"/>
  <c r="P35" i="61"/>
  <c r="U34" i="61"/>
  <c r="P34" i="61"/>
  <c r="N34" i="61"/>
  <c r="U33" i="61"/>
  <c r="P33" i="61"/>
  <c r="N32" i="61"/>
  <c r="P32" i="61"/>
  <c r="I32" i="61"/>
  <c r="P30" i="61"/>
  <c r="U30" i="61"/>
  <c r="N29" i="61"/>
  <c r="G29" i="61"/>
  <c r="P28" i="61"/>
  <c r="P27" i="61"/>
  <c r="P24" i="61"/>
  <c r="P22" i="61"/>
  <c r="P21" i="61"/>
  <c r="P20" i="61"/>
  <c r="U20" i="61"/>
  <c r="N20" i="61"/>
  <c r="P18" i="61"/>
  <c r="I34" i="61" l="1"/>
  <c r="I46" i="61"/>
  <c r="U56" i="61"/>
  <c r="N57" i="61"/>
  <c r="U58" i="61"/>
  <c r="U65" i="61"/>
  <c r="U92" i="61"/>
  <c r="F116" i="61"/>
  <c r="U120" i="61"/>
  <c r="G184" i="61"/>
  <c r="G185" i="61"/>
  <c r="G188" i="61"/>
  <c r="G190" i="61"/>
  <c r="G191" i="61"/>
  <c r="G192" i="61"/>
  <c r="G197" i="61"/>
  <c r="G208" i="61"/>
  <c r="I28" i="61"/>
  <c r="U32" i="61"/>
  <c r="I35" i="61"/>
  <c r="G21" i="61"/>
  <c r="N25" i="61"/>
  <c r="G27" i="61"/>
  <c r="U28" i="61"/>
  <c r="G31" i="61"/>
  <c r="G33" i="61"/>
  <c r="U42" i="61"/>
  <c r="U44" i="61"/>
  <c r="I54" i="61"/>
  <c r="U60" i="61"/>
  <c r="G61" i="61"/>
  <c r="U61" i="61"/>
  <c r="I67" i="61"/>
  <c r="G70" i="61"/>
  <c r="U71" i="61"/>
  <c r="P76" i="61"/>
  <c r="I77" i="61"/>
  <c r="P80" i="61"/>
  <c r="I81" i="61"/>
  <c r="I85" i="61"/>
  <c r="H100" i="61"/>
  <c r="U94" i="61"/>
  <c r="G95" i="61"/>
  <c r="J95" i="61" s="1"/>
  <c r="I120" i="61"/>
  <c r="G124" i="61"/>
  <c r="G168" i="61"/>
  <c r="U53" i="61"/>
  <c r="G65" i="61"/>
  <c r="I66" i="61"/>
  <c r="P67" i="61"/>
  <c r="U69" i="61"/>
  <c r="H89" i="61"/>
  <c r="N77" i="61"/>
  <c r="G78" i="61"/>
  <c r="N81" i="61"/>
  <c r="G82" i="61"/>
  <c r="P96" i="61"/>
  <c r="N103" i="61"/>
  <c r="P105" i="61"/>
  <c r="N120" i="61"/>
  <c r="N123" i="61"/>
  <c r="G138" i="61"/>
  <c r="G139" i="61"/>
  <c r="I142" i="61"/>
  <c r="I178" i="61"/>
  <c r="G182" i="61"/>
  <c r="J182" i="61" s="1"/>
  <c r="G183" i="61"/>
  <c r="G186" i="61"/>
  <c r="G187" i="61"/>
  <c r="Q235" i="61"/>
  <c r="G47" i="61"/>
  <c r="G55" i="61"/>
  <c r="N55" i="61"/>
  <c r="G60" i="61"/>
  <c r="U106" i="61"/>
  <c r="G136" i="61"/>
  <c r="I172" i="61"/>
  <c r="G176" i="61"/>
  <c r="I184" i="61"/>
  <c r="G189" i="61"/>
  <c r="G210" i="61"/>
  <c r="K38" i="61"/>
  <c r="U18" i="61"/>
  <c r="G19" i="61"/>
  <c r="N19" i="61"/>
  <c r="U24" i="61"/>
  <c r="G25" i="61"/>
  <c r="G26" i="61"/>
  <c r="I33" i="61"/>
  <c r="P42" i="61"/>
  <c r="I43" i="61"/>
  <c r="P44" i="61"/>
  <c r="I47" i="61"/>
  <c r="U54" i="61"/>
  <c r="G56" i="61"/>
  <c r="P58" i="61"/>
  <c r="I61" i="61"/>
  <c r="I64" i="61"/>
  <c r="J64" i="61" s="1"/>
  <c r="M64" i="61" s="1"/>
  <c r="O64" i="61" s="1"/>
  <c r="G66" i="61"/>
  <c r="P66" i="61"/>
  <c r="U70" i="61"/>
  <c r="F89" i="61"/>
  <c r="N76" i="61"/>
  <c r="N78" i="61"/>
  <c r="N80" i="61"/>
  <c r="N82" i="61"/>
  <c r="G84" i="61"/>
  <c r="P85" i="61"/>
  <c r="G87" i="61"/>
  <c r="N87" i="61"/>
  <c r="G92" i="61"/>
  <c r="L100" i="61"/>
  <c r="U93" i="61"/>
  <c r="I96" i="61"/>
  <c r="I103" i="61"/>
  <c r="G106" i="61"/>
  <c r="N106" i="61"/>
  <c r="I112" i="61"/>
  <c r="I113" i="61"/>
  <c r="I119" i="61"/>
  <c r="G122" i="61"/>
  <c r="J122" i="61" s="1"/>
  <c r="P122" i="61"/>
  <c r="U123" i="61"/>
  <c r="G125" i="61"/>
  <c r="I137" i="61"/>
  <c r="G142" i="61"/>
  <c r="G147" i="61"/>
  <c r="I148" i="61"/>
  <c r="P161" i="61"/>
  <c r="N159" i="61"/>
  <c r="I168" i="61"/>
  <c r="J168" i="61" s="1"/>
  <c r="M168" i="61" s="1"/>
  <c r="O168" i="61" s="1"/>
  <c r="G170" i="61"/>
  <c r="I171" i="61"/>
  <c r="J171" i="61" s="1"/>
  <c r="M171" i="61" s="1"/>
  <c r="O171" i="61" s="1"/>
  <c r="G174" i="61"/>
  <c r="G177" i="61"/>
  <c r="G178" i="61"/>
  <c r="G180" i="61"/>
  <c r="I194" i="61"/>
  <c r="G200" i="61"/>
  <c r="J200" i="61" s="1"/>
  <c r="M200" i="61" s="1"/>
  <c r="O200" i="61" s="1"/>
  <c r="F214" i="61"/>
  <c r="Q253" i="61"/>
  <c r="U26" i="61"/>
  <c r="J47" i="61"/>
  <c r="M47" i="61" s="1"/>
  <c r="O47" i="61" s="1"/>
  <c r="Q47" i="61" s="1"/>
  <c r="J61" i="61"/>
  <c r="G68" i="61"/>
  <c r="N84" i="61"/>
  <c r="K89" i="61"/>
  <c r="G86" i="61"/>
  <c r="F100" i="61"/>
  <c r="P92" i="61"/>
  <c r="N97" i="61"/>
  <c r="F108" i="61"/>
  <c r="G104" i="61"/>
  <c r="G105" i="61"/>
  <c r="L116" i="61"/>
  <c r="G114" i="61"/>
  <c r="E116" i="61"/>
  <c r="F128" i="61"/>
  <c r="N119" i="61"/>
  <c r="I121" i="61"/>
  <c r="H150" i="61"/>
  <c r="J137" i="61"/>
  <c r="I138" i="61"/>
  <c r="G144" i="61"/>
  <c r="I146" i="61"/>
  <c r="J148" i="61"/>
  <c r="H203" i="61"/>
  <c r="G175" i="61"/>
  <c r="I186" i="61"/>
  <c r="I188" i="61"/>
  <c r="G198" i="61"/>
  <c r="K49" i="61"/>
  <c r="N44" i="61"/>
  <c r="G59" i="61"/>
  <c r="J59" i="61" s="1"/>
  <c r="N59" i="61"/>
  <c r="G62" i="61"/>
  <c r="J62" i="61" s="1"/>
  <c r="N62" i="61"/>
  <c r="U104" i="61"/>
  <c r="J138" i="61"/>
  <c r="J180" i="61"/>
  <c r="Q290" i="61"/>
  <c r="Q342" i="61"/>
  <c r="G34" i="61"/>
  <c r="J34" i="61" s="1"/>
  <c r="L49" i="61"/>
  <c r="N42" i="61"/>
  <c r="U45" i="61"/>
  <c r="G18" i="61"/>
  <c r="G23" i="61"/>
  <c r="N24" i="61"/>
  <c r="I29" i="61"/>
  <c r="J29" i="61" s="1"/>
  <c r="M29" i="61" s="1"/>
  <c r="O29" i="61" s="1"/>
  <c r="I30" i="61"/>
  <c r="I31" i="61"/>
  <c r="J31" i="61" s="1"/>
  <c r="M31" i="61" s="1"/>
  <c r="G32" i="61"/>
  <c r="G35" i="61"/>
  <c r="J35" i="61" s="1"/>
  <c r="M35" i="61" s="1"/>
  <c r="O35" i="61" s="1"/>
  <c r="F49" i="61"/>
  <c r="G46" i="61"/>
  <c r="E73" i="61"/>
  <c r="K73" i="61"/>
  <c r="I55" i="61"/>
  <c r="G57" i="61"/>
  <c r="G58" i="61"/>
  <c r="I69" i="61"/>
  <c r="J69" i="61" s="1"/>
  <c r="M69" i="61" s="1"/>
  <c r="O69" i="61" s="1"/>
  <c r="I71" i="61"/>
  <c r="L89" i="61"/>
  <c r="G77" i="61"/>
  <c r="G79" i="61"/>
  <c r="J79" i="61" s="1"/>
  <c r="M79" i="61" s="1"/>
  <c r="O79" i="61" s="1"/>
  <c r="G81" i="61"/>
  <c r="G83" i="61"/>
  <c r="G85" i="61"/>
  <c r="G93" i="61"/>
  <c r="N93" i="61"/>
  <c r="U95" i="61"/>
  <c r="U97" i="61"/>
  <c r="I104" i="61"/>
  <c r="I106" i="61"/>
  <c r="J106" i="61" s="1"/>
  <c r="M106" i="61" s="1"/>
  <c r="O106" i="61" s="1"/>
  <c r="H116" i="61"/>
  <c r="K128" i="61"/>
  <c r="G120" i="61"/>
  <c r="U121" i="61"/>
  <c r="E150" i="61"/>
  <c r="L150" i="61"/>
  <c r="G141" i="61"/>
  <c r="G158" i="61"/>
  <c r="G159" i="61"/>
  <c r="E161" i="61"/>
  <c r="G169" i="61"/>
  <c r="J169" i="61" s="1"/>
  <c r="M169" i="61" s="1"/>
  <c r="O169" i="61" s="1"/>
  <c r="I170" i="61"/>
  <c r="G172" i="61"/>
  <c r="I173" i="61"/>
  <c r="I192" i="61"/>
  <c r="G196" i="61"/>
  <c r="E214" i="61"/>
  <c r="I211" i="61"/>
  <c r="J211" i="61" s="1"/>
  <c r="M211" i="61" s="1"/>
  <c r="O211" i="61" s="1"/>
  <c r="Q307" i="61"/>
  <c r="Q323" i="61"/>
  <c r="F38" i="61"/>
  <c r="N17" i="61"/>
  <c r="I21" i="61"/>
  <c r="J21" i="61" s="1"/>
  <c r="M21" i="61" s="1"/>
  <c r="N22" i="61"/>
  <c r="E38" i="61"/>
  <c r="U22" i="61"/>
  <c r="H38" i="61"/>
  <c r="I19" i="61"/>
  <c r="J19" i="61" s="1"/>
  <c r="M19" i="61" s="1"/>
  <c r="O19" i="61" s="1"/>
  <c r="G20" i="61"/>
  <c r="P26" i="61"/>
  <c r="J57" i="61"/>
  <c r="J55" i="61"/>
  <c r="M55" i="61" s="1"/>
  <c r="O55" i="61" s="1"/>
  <c r="J66" i="61"/>
  <c r="J87" i="61"/>
  <c r="J147" i="61"/>
  <c r="J170" i="61"/>
  <c r="N23" i="61"/>
  <c r="J43" i="61"/>
  <c r="M43" i="61" s="1"/>
  <c r="J71" i="61"/>
  <c r="M71" i="61" s="1"/>
  <c r="O71" i="61" s="1"/>
  <c r="J173" i="61"/>
  <c r="S47" i="61"/>
  <c r="N21" i="61"/>
  <c r="E49" i="61"/>
  <c r="G41" i="61"/>
  <c r="N41" i="61"/>
  <c r="U43" i="61"/>
  <c r="P43" i="61"/>
  <c r="G45" i="61"/>
  <c r="N45" i="61"/>
  <c r="G17" i="61"/>
  <c r="I18" i="61"/>
  <c r="J18" i="61" s="1"/>
  <c r="M18" i="61" s="1"/>
  <c r="I20" i="61"/>
  <c r="J20" i="61" s="1"/>
  <c r="M20" i="61" s="1"/>
  <c r="O20" i="61" s="1"/>
  <c r="N27" i="61"/>
  <c r="G28" i="61"/>
  <c r="J28" i="61" s="1"/>
  <c r="M28" i="61" s="1"/>
  <c r="N28" i="61"/>
  <c r="U31" i="61"/>
  <c r="P31" i="61"/>
  <c r="J32" i="61"/>
  <c r="M32" i="61" s="1"/>
  <c r="O32" i="61" s="1"/>
  <c r="J33" i="61"/>
  <c r="M33" i="61" s="1"/>
  <c r="O33" i="61" s="1"/>
  <c r="I36" i="61"/>
  <c r="J36" i="61" s="1"/>
  <c r="M36" i="61" s="1"/>
  <c r="O36" i="61" s="1"/>
  <c r="J46" i="61"/>
  <c r="M46" i="61" s="1"/>
  <c r="O46" i="61" s="1"/>
  <c r="F73" i="61"/>
  <c r="M57" i="61"/>
  <c r="O57" i="61" s="1"/>
  <c r="M59" i="61"/>
  <c r="O59" i="61" s="1"/>
  <c r="M61" i="61"/>
  <c r="O61" i="61" s="1"/>
  <c r="I22" i="61"/>
  <c r="I23" i="61"/>
  <c r="J23" i="61" s="1"/>
  <c r="M23" i="61" s="1"/>
  <c r="I24" i="61"/>
  <c r="I25" i="61"/>
  <c r="J25" i="61" s="1"/>
  <c r="M25" i="61" s="1"/>
  <c r="O25" i="61" s="1"/>
  <c r="I26" i="61"/>
  <c r="J26" i="61" s="1"/>
  <c r="M26" i="61" s="1"/>
  <c r="O26" i="61" s="1"/>
  <c r="P17" i="61"/>
  <c r="U17" i="61"/>
  <c r="N18" i="61"/>
  <c r="P19" i="61"/>
  <c r="U19" i="61"/>
  <c r="G22" i="61"/>
  <c r="G24" i="61"/>
  <c r="I27" i="61"/>
  <c r="J27" i="61" s="1"/>
  <c r="M27" i="61" s="1"/>
  <c r="O27" i="61" s="1"/>
  <c r="U27" i="61"/>
  <c r="M34" i="61"/>
  <c r="O34" i="61" s="1"/>
  <c r="L38" i="61"/>
  <c r="H49" i="61"/>
  <c r="U41" i="61"/>
  <c r="P41" i="61"/>
  <c r="N43" i="61"/>
  <c r="O43" i="61" s="1"/>
  <c r="G53" i="61"/>
  <c r="J53" i="61" s="1"/>
  <c r="M53" i="61" s="1"/>
  <c r="N53" i="61"/>
  <c r="U62" i="61"/>
  <c r="P62" i="61"/>
  <c r="U64" i="61"/>
  <c r="P64" i="61"/>
  <c r="J67" i="61"/>
  <c r="M67" i="61" s="1"/>
  <c r="O67" i="61" s="1"/>
  <c r="U21" i="61"/>
  <c r="U23" i="61"/>
  <c r="P23" i="61"/>
  <c r="U25" i="61"/>
  <c r="P25" i="61"/>
  <c r="I17" i="61"/>
  <c r="U29" i="61"/>
  <c r="P29" i="61"/>
  <c r="G30" i="61"/>
  <c r="J30" i="61" s="1"/>
  <c r="M30" i="61" s="1"/>
  <c r="N30" i="61"/>
  <c r="N31" i="61"/>
  <c r="I41" i="61"/>
  <c r="I45" i="61"/>
  <c r="H73" i="61"/>
  <c r="J54" i="61"/>
  <c r="M54" i="61" s="1"/>
  <c r="O54" i="61" s="1"/>
  <c r="U55" i="61"/>
  <c r="P55" i="61"/>
  <c r="U57" i="61"/>
  <c r="P57" i="61"/>
  <c r="U59" i="61"/>
  <c r="P59" i="61"/>
  <c r="M62" i="61"/>
  <c r="O62" i="61" s="1"/>
  <c r="M66" i="61"/>
  <c r="O66" i="61" s="1"/>
  <c r="G89" i="61"/>
  <c r="J77" i="61"/>
  <c r="M77" i="61" s="1"/>
  <c r="O77" i="61" s="1"/>
  <c r="J81" i="61"/>
  <c r="M81" i="61" s="1"/>
  <c r="O81" i="61" s="1"/>
  <c r="J83" i="61"/>
  <c r="M83" i="61" s="1"/>
  <c r="O83" i="61" s="1"/>
  <c r="J85" i="61"/>
  <c r="M85" i="61" s="1"/>
  <c r="O85" i="61" s="1"/>
  <c r="M87" i="61"/>
  <c r="O87" i="61" s="1"/>
  <c r="J93" i="61"/>
  <c r="M93" i="61" s="1"/>
  <c r="O93" i="61" s="1"/>
  <c r="I70" i="61"/>
  <c r="J70" i="61" s="1"/>
  <c r="M70" i="61" s="1"/>
  <c r="I84" i="61"/>
  <c r="J84" i="61" s="1"/>
  <c r="M84" i="61" s="1"/>
  <c r="O84" i="61" s="1"/>
  <c r="I86" i="61"/>
  <c r="J86" i="61" s="1"/>
  <c r="M86" i="61" s="1"/>
  <c r="O86" i="61" s="1"/>
  <c r="N98" i="61"/>
  <c r="I56" i="61"/>
  <c r="J56" i="61" s="1"/>
  <c r="M56" i="61" s="1"/>
  <c r="I58" i="61"/>
  <c r="J58" i="61" s="1"/>
  <c r="M58" i="61" s="1"/>
  <c r="I60" i="61"/>
  <c r="J60" i="61" s="1"/>
  <c r="M60" i="61" s="1"/>
  <c r="I63" i="61"/>
  <c r="J63" i="61" s="1"/>
  <c r="M63" i="61" s="1"/>
  <c r="I65" i="61"/>
  <c r="J65" i="61" s="1"/>
  <c r="M65" i="61" s="1"/>
  <c r="I68" i="61"/>
  <c r="J68" i="61" s="1"/>
  <c r="M68" i="61" s="1"/>
  <c r="O68" i="61" s="1"/>
  <c r="N70" i="61"/>
  <c r="L73" i="61"/>
  <c r="I76" i="61"/>
  <c r="I78" i="61"/>
  <c r="J78" i="61" s="1"/>
  <c r="M78" i="61" s="1"/>
  <c r="O78" i="61" s="1"/>
  <c r="I80" i="61"/>
  <c r="J80" i="61" s="1"/>
  <c r="M80" i="61" s="1"/>
  <c r="O80" i="61" s="1"/>
  <c r="I82" i="61"/>
  <c r="J82" i="61" s="1"/>
  <c r="M82" i="61" s="1"/>
  <c r="O82" i="61" s="1"/>
  <c r="P87" i="61"/>
  <c r="I92" i="61"/>
  <c r="J92" i="61" s="1"/>
  <c r="I94" i="61"/>
  <c r="J94" i="61" s="1"/>
  <c r="M94" i="61" s="1"/>
  <c r="M95" i="61"/>
  <c r="I97" i="61"/>
  <c r="J97" i="61" s="1"/>
  <c r="M97" i="61" s="1"/>
  <c r="O97" i="61" s="1"/>
  <c r="E100" i="61"/>
  <c r="J112" i="61"/>
  <c r="M112" i="61" s="1"/>
  <c r="O112" i="61" s="1"/>
  <c r="F131" i="61"/>
  <c r="I42" i="61"/>
  <c r="J42" i="61" s="1"/>
  <c r="M42" i="61" s="1"/>
  <c r="O42" i="61" s="1"/>
  <c r="I44" i="61"/>
  <c r="J44" i="61" s="1"/>
  <c r="M44" i="61" s="1"/>
  <c r="O44" i="61" s="1"/>
  <c r="I52" i="61"/>
  <c r="J52" i="61" s="1"/>
  <c r="N56" i="61"/>
  <c r="N58" i="61"/>
  <c r="N60" i="61"/>
  <c r="N63" i="61"/>
  <c r="N65" i="61"/>
  <c r="P77" i="61"/>
  <c r="P79" i="61"/>
  <c r="P81" i="61"/>
  <c r="E89" i="61"/>
  <c r="N92" i="61"/>
  <c r="P93" i="61"/>
  <c r="P100" i="61" s="1"/>
  <c r="N94" i="61"/>
  <c r="N95" i="61"/>
  <c r="G96" i="61"/>
  <c r="J96" i="61" s="1"/>
  <c r="M96" i="61" s="1"/>
  <c r="N96" i="61"/>
  <c r="K108" i="61"/>
  <c r="U103" i="61"/>
  <c r="P103" i="61"/>
  <c r="J104" i="61"/>
  <c r="M104" i="61" s="1"/>
  <c r="O104" i="61" s="1"/>
  <c r="J113" i="61"/>
  <c r="P45" i="61"/>
  <c r="P53" i="61"/>
  <c r="P73" i="61" s="1"/>
  <c r="P70" i="61"/>
  <c r="P84" i="61"/>
  <c r="P86" i="61"/>
  <c r="K100" i="61"/>
  <c r="I98" i="61"/>
  <c r="J98" i="61" s="1"/>
  <c r="M98" i="61" s="1"/>
  <c r="G103" i="61"/>
  <c r="L108" i="61"/>
  <c r="J120" i="61"/>
  <c r="M120" i="61" s="1"/>
  <c r="O120" i="61" s="1"/>
  <c r="M122" i="61"/>
  <c r="O122" i="61" s="1"/>
  <c r="E108" i="61"/>
  <c r="J125" i="61"/>
  <c r="M125" i="61" s="1"/>
  <c r="O125" i="61" s="1"/>
  <c r="E128" i="61"/>
  <c r="M148" i="61"/>
  <c r="O148" i="61" s="1"/>
  <c r="M170" i="61"/>
  <c r="O170" i="61" s="1"/>
  <c r="I105" i="61"/>
  <c r="I108" i="61" s="1"/>
  <c r="G111" i="61"/>
  <c r="I114" i="61"/>
  <c r="I116" i="61" s="1"/>
  <c r="G119" i="61"/>
  <c r="G121" i="61"/>
  <c r="J121" i="61" s="1"/>
  <c r="M121" i="61" s="1"/>
  <c r="O121" i="61" s="1"/>
  <c r="I123" i="61"/>
  <c r="J123" i="61" s="1"/>
  <c r="F150" i="61"/>
  <c r="K150" i="61"/>
  <c r="P150" i="61"/>
  <c r="I135" i="61"/>
  <c r="J135" i="61" s="1"/>
  <c r="M135" i="61" s="1"/>
  <c r="O135" i="61" s="1"/>
  <c r="M137" i="61"/>
  <c r="O137" i="61" s="1"/>
  <c r="I139" i="61"/>
  <c r="J139" i="61" s="1"/>
  <c r="J141" i="61"/>
  <c r="M141" i="61" s="1"/>
  <c r="O141" i="61" s="1"/>
  <c r="J146" i="61"/>
  <c r="M146" i="61" s="1"/>
  <c r="O146" i="61" s="1"/>
  <c r="M147" i="61"/>
  <c r="O147" i="61" s="1"/>
  <c r="E155" i="61"/>
  <c r="G153" i="61"/>
  <c r="N105" i="61"/>
  <c r="P106" i="61"/>
  <c r="P111" i="61"/>
  <c r="P116" i="61" s="1"/>
  <c r="M113" i="61"/>
  <c r="O113" i="61" s="1"/>
  <c r="K116" i="61"/>
  <c r="H128" i="61"/>
  <c r="H131" i="61" s="1"/>
  <c r="L128" i="61"/>
  <c r="L131" i="61" s="1"/>
  <c r="P119" i="61"/>
  <c r="P121" i="61"/>
  <c r="I124" i="61"/>
  <c r="J124" i="61" s="1"/>
  <c r="M124" i="61" s="1"/>
  <c r="O124" i="61" s="1"/>
  <c r="G134" i="61"/>
  <c r="I136" i="61"/>
  <c r="J136" i="61" s="1"/>
  <c r="M136" i="61" s="1"/>
  <c r="O136" i="61" s="1"/>
  <c r="M138" i="61"/>
  <c r="O138" i="61" s="1"/>
  <c r="I140" i="61"/>
  <c r="J140" i="61" s="1"/>
  <c r="M140" i="61" s="1"/>
  <c r="O140" i="61" s="1"/>
  <c r="J142" i="61"/>
  <c r="M142" i="61" s="1"/>
  <c r="O142" i="61" s="1"/>
  <c r="I143" i="61"/>
  <c r="J143" i="61" s="1"/>
  <c r="M143" i="61" s="1"/>
  <c r="O143" i="61" s="1"/>
  <c r="G161" i="61"/>
  <c r="L161" i="61"/>
  <c r="J172" i="61"/>
  <c r="M172" i="61" s="1"/>
  <c r="O172" i="61" s="1"/>
  <c r="M123" i="61"/>
  <c r="O123" i="61" s="1"/>
  <c r="G126" i="61"/>
  <c r="J126" i="61" s="1"/>
  <c r="M126" i="61" s="1"/>
  <c r="O126" i="61" s="1"/>
  <c r="M139" i="61"/>
  <c r="O139" i="61" s="1"/>
  <c r="F203" i="61"/>
  <c r="F216" i="61" s="1"/>
  <c r="G167" i="61"/>
  <c r="M173" i="61"/>
  <c r="O173" i="61" s="1"/>
  <c r="M180" i="61"/>
  <c r="O180" i="61" s="1"/>
  <c r="J184" i="61"/>
  <c r="M184" i="61" s="1"/>
  <c r="O184" i="61" s="1"/>
  <c r="J188" i="61"/>
  <c r="M188" i="61" s="1"/>
  <c r="O188" i="61" s="1"/>
  <c r="J193" i="61"/>
  <c r="M193" i="61" s="1"/>
  <c r="O193" i="61" s="1"/>
  <c r="L214" i="61"/>
  <c r="J212" i="61"/>
  <c r="M212" i="61" s="1"/>
  <c r="O212" i="61" s="1"/>
  <c r="G214" i="61"/>
  <c r="I134" i="61"/>
  <c r="I144" i="61"/>
  <c r="J144" i="61" s="1"/>
  <c r="M144" i="61" s="1"/>
  <c r="O144" i="61" s="1"/>
  <c r="I145" i="61"/>
  <c r="J145" i="61" s="1"/>
  <c r="M145" i="61" s="1"/>
  <c r="O145" i="61" s="1"/>
  <c r="I158" i="61"/>
  <c r="J158" i="61" s="1"/>
  <c r="M158" i="61" s="1"/>
  <c r="I159" i="61"/>
  <c r="J159" i="61" s="1"/>
  <c r="M159" i="61" s="1"/>
  <c r="O159" i="61" s="1"/>
  <c r="K203" i="61"/>
  <c r="I174" i="61"/>
  <c r="J174" i="61" s="1"/>
  <c r="M174" i="61" s="1"/>
  <c r="O174" i="61" s="1"/>
  <c r="I175" i="61"/>
  <c r="J175" i="61" s="1"/>
  <c r="M175" i="61" s="1"/>
  <c r="O175" i="61" s="1"/>
  <c r="I176" i="61"/>
  <c r="J176" i="61" s="1"/>
  <c r="M176" i="61" s="1"/>
  <c r="O176" i="61" s="1"/>
  <c r="J178" i="61"/>
  <c r="M178" i="61" s="1"/>
  <c r="O178" i="61" s="1"/>
  <c r="G179" i="61"/>
  <c r="J179" i="61" s="1"/>
  <c r="M179" i="61" s="1"/>
  <c r="O179" i="61" s="1"/>
  <c r="I181" i="61"/>
  <c r="M182" i="61"/>
  <c r="O182" i="61" s="1"/>
  <c r="I185" i="61"/>
  <c r="J185" i="61" s="1"/>
  <c r="M185" i="61" s="1"/>
  <c r="O185" i="61" s="1"/>
  <c r="I195" i="61"/>
  <c r="J195" i="61" s="1"/>
  <c r="M195" i="61" s="1"/>
  <c r="O195" i="61" s="1"/>
  <c r="I196" i="61"/>
  <c r="I197" i="61"/>
  <c r="I198" i="61"/>
  <c r="J198" i="61" s="1"/>
  <c r="M198" i="61" s="1"/>
  <c r="O198" i="61" s="1"/>
  <c r="I208" i="61"/>
  <c r="J208" i="61" s="1"/>
  <c r="M208" i="61" s="1"/>
  <c r="O208" i="61" s="1"/>
  <c r="I210" i="61"/>
  <c r="J210" i="61" s="1"/>
  <c r="M210" i="61" s="1"/>
  <c r="O210" i="61" s="1"/>
  <c r="P203" i="61"/>
  <c r="J177" i="61"/>
  <c r="M177" i="61" s="1"/>
  <c r="O177" i="61" s="1"/>
  <c r="J186" i="61"/>
  <c r="M186" i="61" s="1"/>
  <c r="O186" i="61" s="1"/>
  <c r="J196" i="61"/>
  <c r="M196" i="61" s="1"/>
  <c r="O196" i="61" s="1"/>
  <c r="J197" i="61"/>
  <c r="M197" i="61" s="1"/>
  <c r="O197" i="61" s="1"/>
  <c r="J199" i="61"/>
  <c r="M199" i="61" s="1"/>
  <c r="O199" i="61" s="1"/>
  <c r="L203" i="61"/>
  <c r="H214" i="61"/>
  <c r="H216" i="61" s="1"/>
  <c r="P214" i="61"/>
  <c r="E203" i="61"/>
  <c r="I167" i="61"/>
  <c r="J181" i="61"/>
  <c r="M181" i="61" s="1"/>
  <c r="O181" i="61" s="1"/>
  <c r="I183" i="61"/>
  <c r="J183" i="61" s="1"/>
  <c r="M183" i="61" s="1"/>
  <c r="O183" i="61" s="1"/>
  <c r="I187" i="61"/>
  <c r="J187" i="61" s="1"/>
  <c r="M187" i="61" s="1"/>
  <c r="O187" i="61" s="1"/>
  <c r="I189" i="61"/>
  <c r="J189" i="61" s="1"/>
  <c r="M189" i="61" s="1"/>
  <c r="O189" i="61" s="1"/>
  <c r="I190" i="61"/>
  <c r="J190" i="61" s="1"/>
  <c r="M190" i="61" s="1"/>
  <c r="O190" i="61" s="1"/>
  <c r="I191" i="61"/>
  <c r="J191" i="61" s="1"/>
  <c r="M191" i="61" s="1"/>
  <c r="O191" i="61" s="1"/>
  <c r="J192" i="61"/>
  <c r="M192" i="61" s="1"/>
  <c r="O192" i="61" s="1"/>
  <c r="I201" i="61"/>
  <c r="J201" i="61" s="1"/>
  <c r="M201" i="61" s="1"/>
  <c r="O201" i="61" s="1"/>
  <c r="I209" i="61"/>
  <c r="J209" i="61" s="1"/>
  <c r="M209" i="61" s="1"/>
  <c r="O209" i="61" s="1"/>
  <c r="G194" i="61"/>
  <c r="J194" i="61" s="1"/>
  <c r="M194" i="61" s="1"/>
  <c r="O194" i="61" s="1"/>
  <c r="I207" i="61"/>
  <c r="S200" i="61" l="1"/>
  <c r="Q200" i="61"/>
  <c r="O95" i="61"/>
  <c r="K131" i="61"/>
  <c r="K216" i="61" s="1"/>
  <c r="S211" i="61"/>
  <c r="Q211" i="61"/>
  <c r="J114" i="61"/>
  <c r="M114" i="61" s="1"/>
  <c r="O114" i="61" s="1"/>
  <c r="S114" i="61" s="1"/>
  <c r="O63" i="61"/>
  <c r="O96" i="61"/>
  <c r="O28" i="61"/>
  <c r="P128" i="61"/>
  <c r="E131" i="61"/>
  <c r="E216" i="61" s="1"/>
  <c r="O98" i="61"/>
  <c r="I38" i="61"/>
  <c r="Q71" i="61"/>
  <c r="S71" i="61"/>
  <c r="Q69" i="61"/>
  <c r="S69" i="61"/>
  <c r="O94" i="61"/>
  <c r="S94" i="61" s="1"/>
  <c r="O60" i="61"/>
  <c r="S60" i="61" s="1"/>
  <c r="O53" i="61"/>
  <c r="P108" i="61"/>
  <c r="P89" i="61"/>
  <c r="O58" i="61"/>
  <c r="O30" i="61"/>
  <c r="O31" i="61"/>
  <c r="J22" i="61"/>
  <c r="M22" i="61" s="1"/>
  <c r="O22" i="61" s="1"/>
  <c r="I203" i="61"/>
  <c r="I150" i="61"/>
  <c r="O65" i="61"/>
  <c r="S65" i="61" s="1"/>
  <c r="O56" i="61"/>
  <c r="O70" i="61"/>
  <c r="O23" i="61"/>
  <c r="O18" i="61"/>
  <c r="S190" i="61"/>
  <c r="Q190" i="61"/>
  <c r="S175" i="61"/>
  <c r="Q175" i="61"/>
  <c r="Q136" i="61"/>
  <c r="S136" i="61"/>
  <c r="S145" i="61"/>
  <c r="Q145" i="61"/>
  <c r="Q114" i="61"/>
  <c r="S82" i="61"/>
  <c r="Q82" i="61"/>
  <c r="Q93" i="61"/>
  <c r="S93" i="61"/>
  <c r="Q27" i="61"/>
  <c r="S27" i="61"/>
  <c r="S26" i="61"/>
  <c r="Q26" i="61"/>
  <c r="S181" i="61"/>
  <c r="Q181" i="61"/>
  <c r="S186" i="61"/>
  <c r="Q186" i="61"/>
  <c r="S174" i="61"/>
  <c r="Q174" i="61"/>
  <c r="S184" i="61"/>
  <c r="Q184" i="61"/>
  <c r="S126" i="61"/>
  <c r="Q126" i="61"/>
  <c r="S142" i="61"/>
  <c r="Q142" i="61"/>
  <c r="S141" i="61"/>
  <c r="Q141" i="61"/>
  <c r="Q44" i="61"/>
  <c r="S44" i="61"/>
  <c r="Q94" i="61"/>
  <c r="S80" i="61"/>
  <c r="Q80" i="61"/>
  <c r="Q42" i="61"/>
  <c r="S42" i="61"/>
  <c r="S187" i="61"/>
  <c r="Q187" i="61"/>
  <c r="Q81" i="61"/>
  <c r="S81" i="61"/>
  <c r="S210" i="61"/>
  <c r="Q210" i="61"/>
  <c r="S177" i="61"/>
  <c r="Q177" i="61"/>
  <c r="S209" i="61"/>
  <c r="Q209" i="61"/>
  <c r="S178" i="61"/>
  <c r="Q178" i="61"/>
  <c r="S144" i="61"/>
  <c r="Q144" i="61"/>
  <c r="O158" i="61"/>
  <c r="M161" i="61"/>
  <c r="Q329" i="61" s="1"/>
  <c r="Q345" i="61" s="1"/>
  <c r="S140" i="61"/>
  <c r="Q140" i="61"/>
  <c r="Q124" i="61"/>
  <c r="S124" i="61"/>
  <c r="S125" i="61"/>
  <c r="Q125" i="61"/>
  <c r="S98" i="61"/>
  <c r="Q98" i="61"/>
  <c r="S96" i="61"/>
  <c r="Q96" i="61"/>
  <c r="S78" i="61"/>
  <c r="Q78" i="61"/>
  <c r="S68" i="61"/>
  <c r="Q68" i="61"/>
  <c r="S58" i="61"/>
  <c r="Q58" i="61"/>
  <c r="S84" i="61"/>
  <c r="Q84" i="61"/>
  <c r="Q85" i="61"/>
  <c r="S85" i="61"/>
  <c r="Q79" i="61"/>
  <c r="S79" i="61"/>
  <c r="S54" i="61"/>
  <c r="Q54" i="61"/>
  <c r="S30" i="61"/>
  <c r="Q30" i="61"/>
  <c r="S43" i="61"/>
  <c r="Q43" i="61"/>
  <c r="Q22" i="61"/>
  <c r="S22" i="61"/>
  <c r="S20" i="61"/>
  <c r="Q20" i="61"/>
  <c r="Q201" i="61"/>
  <c r="S201" i="61"/>
  <c r="S188" i="61"/>
  <c r="Q188" i="61"/>
  <c r="Q135" i="61"/>
  <c r="S135" i="61"/>
  <c r="J73" i="61"/>
  <c r="M52" i="61"/>
  <c r="S185" i="61"/>
  <c r="Q185" i="61"/>
  <c r="S199" i="61"/>
  <c r="Q199" i="61"/>
  <c r="S208" i="61"/>
  <c r="Q208" i="61"/>
  <c r="S176" i="61"/>
  <c r="Q176" i="61"/>
  <c r="S159" i="61"/>
  <c r="Q159" i="61"/>
  <c r="S143" i="61"/>
  <c r="Q143" i="61"/>
  <c r="S172" i="61"/>
  <c r="Q172" i="61"/>
  <c r="Q65" i="61"/>
  <c r="S56" i="61"/>
  <c r="Q56" i="61"/>
  <c r="S70" i="61"/>
  <c r="Q70" i="61"/>
  <c r="Q83" i="61"/>
  <c r="S83" i="61"/>
  <c r="Q77" i="61"/>
  <c r="S77" i="61"/>
  <c r="Q23" i="61"/>
  <c r="S23" i="61"/>
  <c r="S63" i="61"/>
  <c r="Q63" i="61"/>
  <c r="S18" i="61"/>
  <c r="Q18" i="61"/>
  <c r="Q191" i="61"/>
  <c r="S191" i="61"/>
  <c r="G150" i="61"/>
  <c r="J134" i="61"/>
  <c r="Q170" i="61"/>
  <c r="S170" i="61"/>
  <c r="J105" i="61"/>
  <c r="M105" i="61" s="1"/>
  <c r="O105" i="61" s="1"/>
  <c r="S53" i="61"/>
  <c r="Q53" i="61"/>
  <c r="U131" i="61"/>
  <c r="D47" i="37" s="1"/>
  <c r="S67" i="61"/>
  <c r="Q67" i="61"/>
  <c r="J100" i="61"/>
  <c r="Q29" i="61"/>
  <c r="S29" i="61"/>
  <c r="Q19" i="61"/>
  <c r="S19" i="61"/>
  <c r="S28" i="61"/>
  <c r="Q28" i="61"/>
  <c r="I214" i="61"/>
  <c r="S193" i="61"/>
  <c r="Q193" i="61"/>
  <c r="S197" i="61"/>
  <c r="Q197" i="61"/>
  <c r="S180" i="61"/>
  <c r="Q180" i="61"/>
  <c r="G203" i="61"/>
  <c r="J167" i="61"/>
  <c r="Q139" i="61"/>
  <c r="S139" i="61"/>
  <c r="Q138" i="61"/>
  <c r="S138" i="61"/>
  <c r="Q147" i="61"/>
  <c r="S147" i="61"/>
  <c r="G128" i="61"/>
  <c r="J119" i="61"/>
  <c r="Q148" i="61"/>
  <c r="S148" i="61"/>
  <c r="Q112" i="61"/>
  <c r="S112" i="61"/>
  <c r="Q97" i="61"/>
  <c r="S97" i="61"/>
  <c r="I89" i="61"/>
  <c r="Q87" i="61"/>
  <c r="S87" i="61"/>
  <c r="Q64" i="61"/>
  <c r="S64" i="61"/>
  <c r="I49" i="61"/>
  <c r="G73" i="61"/>
  <c r="P49" i="61"/>
  <c r="S36" i="61"/>
  <c r="Q36" i="61"/>
  <c r="P38" i="61"/>
  <c r="S61" i="61"/>
  <c r="Q61" i="61"/>
  <c r="G100" i="61"/>
  <c r="J45" i="61"/>
  <c r="M45" i="61" s="1"/>
  <c r="O45" i="61" s="1"/>
  <c r="S33" i="61"/>
  <c r="Q33" i="61"/>
  <c r="S198" i="61"/>
  <c r="Q198" i="61"/>
  <c r="S189" i="61"/>
  <c r="Q189" i="61"/>
  <c r="Q168" i="61"/>
  <c r="S168" i="61"/>
  <c r="Q121" i="61"/>
  <c r="S121" i="61"/>
  <c r="Q95" i="61"/>
  <c r="S95" i="61"/>
  <c r="S66" i="61"/>
  <c r="Q66" i="61"/>
  <c r="Q31" i="61"/>
  <c r="S31" i="61"/>
  <c r="S86" i="61"/>
  <c r="Q86" i="61"/>
  <c r="Q55" i="61"/>
  <c r="S55" i="61"/>
  <c r="Q25" i="61"/>
  <c r="S25" i="61"/>
  <c r="S32" i="61"/>
  <c r="Q32" i="61"/>
  <c r="I161" i="61"/>
  <c r="Q194" i="61"/>
  <c r="S194" i="61"/>
  <c r="S196" i="61"/>
  <c r="Q196" i="61"/>
  <c r="S212" i="61"/>
  <c r="Q212" i="61"/>
  <c r="J207" i="61"/>
  <c r="Q179" i="61"/>
  <c r="S179" i="61"/>
  <c r="S173" i="61"/>
  <c r="Q173" i="61"/>
  <c r="Q169" i="61"/>
  <c r="S169" i="61"/>
  <c r="Q146" i="61"/>
  <c r="S146" i="61"/>
  <c r="Q137" i="61"/>
  <c r="S137" i="61"/>
  <c r="S122" i="61"/>
  <c r="Q122" i="61"/>
  <c r="Q106" i="61"/>
  <c r="S106" i="61"/>
  <c r="M92" i="61"/>
  <c r="J76" i="61"/>
  <c r="Q62" i="61"/>
  <c r="S62" i="61"/>
  <c r="Q35" i="61"/>
  <c r="S35" i="61"/>
  <c r="Q59" i="61"/>
  <c r="S59" i="61"/>
  <c r="G49" i="61"/>
  <c r="J41" i="61"/>
  <c r="O21" i="61"/>
  <c r="S192" i="61"/>
  <c r="Q192" i="61"/>
  <c r="S182" i="61"/>
  <c r="Q182" i="61"/>
  <c r="S183" i="61"/>
  <c r="Q183" i="61"/>
  <c r="Q123" i="61"/>
  <c r="S123" i="61"/>
  <c r="S120" i="61"/>
  <c r="Q120" i="61"/>
  <c r="S195" i="61"/>
  <c r="Q195" i="61"/>
  <c r="L216" i="61"/>
  <c r="S171" i="61"/>
  <c r="Q171" i="61"/>
  <c r="J161" i="61"/>
  <c r="S113" i="61"/>
  <c r="Q113" i="61"/>
  <c r="J153" i="61"/>
  <c r="G155" i="61"/>
  <c r="G116" i="61"/>
  <c r="J111" i="61"/>
  <c r="G108" i="61"/>
  <c r="J103" i="61"/>
  <c r="Q104" i="61"/>
  <c r="S104" i="61"/>
  <c r="I73" i="61"/>
  <c r="I100" i="61"/>
  <c r="I128" i="61"/>
  <c r="Q34" i="61"/>
  <c r="S34" i="61"/>
  <c r="J24" i="61"/>
  <c r="M24" i="61" s="1"/>
  <c r="O24" i="61" s="1"/>
  <c r="Q57" i="61"/>
  <c r="S57" i="61"/>
  <c r="S46" i="61"/>
  <c r="Q46" i="61"/>
  <c r="G38" i="61"/>
  <c r="J17" i="61"/>
  <c r="P131" i="61" l="1"/>
  <c r="P216" i="61" s="1"/>
  <c r="Q60" i="61"/>
  <c r="G131" i="61"/>
  <c r="G216" i="61" s="1"/>
  <c r="I216" i="61"/>
  <c r="S105" i="61"/>
  <c r="Q105" i="61"/>
  <c r="J150" i="61"/>
  <c r="M134" i="61"/>
  <c r="J38" i="61"/>
  <c r="M17" i="61"/>
  <c r="J116" i="61"/>
  <c r="M111" i="61"/>
  <c r="Q21" i="61"/>
  <c r="S21" i="61"/>
  <c r="I131" i="61"/>
  <c r="M41" i="61"/>
  <c r="J49" i="61"/>
  <c r="J89" i="61"/>
  <c r="M76" i="61"/>
  <c r="J214" i="61"/>
  <c r="M207" i="61"/>
  <c r="S45" i="61"/>
  <c r="Q45" i="61"/>
  <c r="M73" i="61"/>
  <c r="O52" i="61"/>
  <c r="J155" i="61"/>
  <c r="M153" i="61"/>
  <c r="Q24" i="61"/>
  <c r="S24" i="61"/>
  <c r="J108" i="61"/>
  <c r="M103" i="61"/>
  <c r="M100" i="61"/>
  <c r="O92" i="61"/>
  <c r="M119" i="61"/>
  <c r="J128" i="61"/>
  <c r="J203" i="61"/>
  <c r="M167" i="61"/>
  <c r="S158" i="61"/>
  <c r="S161" i="61" s="1"/>
  <c r="B10" i="37" s="1"/>
  <c r="O161" i="61"/>
  <c r="Q158" i="61"/>
  <c r="Q161" i="61" s="1"/>
  <c r="M155" i="61" l="1"/>
  <c r="Q257" i="61" s="1"/>
  <c r="Q292" i="61" s="1"/>
  <c r="O153" i="61"/>
  <c r="M49" i="61"/>
  <c r="O41" i="61"/>
  <c r="O207" i="61"/>
  <c r="M214" i="61"/>
  <c r="J131" i="61"/>
  <c r="J216" i="61" s="1"/>
  <c r="M108" i="61"/>
  <c r="O103" i="61"/>
  <c r="O73" i="61"/>
  <c r="Q52" i="61"/>
  <c r="Q73" i="61" s="1"/>
  <c r="S52" i="61"/>
  <c r="S73" i="61" s="1"/>
  <c r="O111" i="61"/>
  <c r="M116" i="61"/>
  <c r="M150" i="61"/>
  <c r="Q240" i="61" s="1"/>
  <c r="Q255" i="61" s="1"/>
  <c r="O134" i="61"/>
  <c r="M128" i="61"/>
  <c r="O119" i="61"/>
  <c r="O76" i="61"/>
  <c r="M89" i="61"/>
  <c r="M203" i="61"/>
  <c r="Q311" i="61" s="1"/>
  <c r="Q326" i="61" s="1"/>
  <c r="O167" i="61"/>
  <c r="S92" i="61"/>
  <c r="S100" i="61" s="1"/>
  <c r="Q92" i="61"/>
  <c r="Q100" i="61" s="1"/>
  <c r="O100" i="61"/>
  <c r="M38" i="61"/>
  <c r="O17" i="61"/>
  <c r="O89" i="61" l="1"/>
  <c r="S76" i="61"/>
  <c r="S89" i="61" s="1"/>
  <c r="Q76" i="61"/>
  <c r="Q89" i="61" s="1"/>
  <c r="O128" i="61"/>
  <c r="Q119" i="61"/>
  <c r="Q128" i="61" s="1"/>
  <c r="S119" i="61"/>
  <c r="S128" i="61" s="1"/>
  <c r="S41" i="61"/>
  <c r="S49" i="61" s="1"/>
  <c r="O49" i="61"/>
  <c r="Q41" i="61"/>
  <c r="Q49" i="61" s="1"/>
  <c r="O203" i="61"/>
  <c r="Q167" i="61"/>
  <c r="Q203" i="61" s="1"/>
  <c r="S167" i="61"/>
  <c r="S203" i="61" s="1"/>
  <c r="B12" i="37" s="1"/>
  <c r="M131" i="61"/>
  <c r="Q222" i="61" s="1"/>
  <c r="Q237" i="61" s="1"/>
  <c r="Q111" i="61"/>
  <c r="Q116" i="61" s="1"/>
  <c r="O116" i="61"/>
  <c r="S111" i="61"/>
  <c r="S116" i="61" s="1"/>
  <c r="Q294" i="61"/>
  <c r="Q309" i="61" s="1"/>
  <c r="Q350" i="61" s="1"/>
  <c r="M216" i="61"/>
  <c r="O155" i="61"/>
  <c r="S153" i="61"/>
  <c r="S155" i="61" s="1"/>
  <c r="B13" i="37" s="1"/>
  <c r="Q153" i="61"/>
  <c r="Q155" i="61" s="1"/>
  <c r="O38" i="61"/>
  <c r="Q17" i="61"/>
  <c r="Q38" i="61" s="1"/>
  <c r="S17" i="61"/>
  <c r="S38" i="61" s="1"/>
  <c r="O150" i="61"/>
  <c r="Q134" i="61"/>
  <c r="Q150" i="61" s="1"/>
  <c r="S134" i="61"/>
  <c r="S150" i="61" s="1"/>
  <c r="B9" i="37" s="1"/>
  <c r="Q103" i="61"/>
  <c r="Q108" i="61" s="1"/>
  <c r="O108" i="61"/>
  <c r="S103" i="61"/>
  <c r="S108" i="61" s="1"/>
  <c r="O214" i="61"/>
  <c r="S207" i="61"/>
  <c r="S214" i="61" s="1"/>
  <c r="B11" i="37" s="1"/>
  <c r="Q207" i="61"/>
  <c r="Q214" i="61" s="1"/>
  <c r="O131" i="61" l="1"/>
  <c r="O216" i="61" s="1"/>
  <c r="S131" i="61"/>
  <c r="Q131" i="61"/>
  <c r="Q216" i="61" s="1"/>
  <c r="Q351" i="61" s="1"/>
  <c r="S216" i="61" l="1"/>
  <c r="B8" i="37"/>
  <c r="AB51" i="31"/>
  <c r="AB52" i="31"/>
  <c r="AB53" i="31"/>
  <c r="AB54" i="31"/>
  <c r="AB55" i="31"/>
  <c r="D582" i="44" l="1"/>
  <c r="S212" i="1"/>
  <c r="H220" i="1"/>
  <c r="B105" i="31" l="1"/>
  <c r="E118" i="31" l="1"/>
  <c r="E115" i="31"/>
  <c r="D118" i="31" l="1"/>
  <c r="B118" i="31"/>
  <c r="E119" i="31"/>
  <c r="D119" i="31"/>
  <c r="D115" i="31"/>
  <c r="C115" i="31"/>
  <c r="B119" i="31" l="1"/>
  <c r="B115" i="31"/>
  <c r="E116" i="31" l="1"/>
  <c r="D116" i="31"/>
  <c r="C116" i="31"/>
  <c r="B116" i="31"/>
  <c r="B89" i="37" l="1"/>
  <c r="V35" i="1"/>
  <c r="S189" i="1"/>
  <c r="S36" i="1"/>
  <c r="S148" i="1"/>
  <c r="S45" i="1"/>
  <c r="F178" i="59"/>
  <c r="F177" i="59"/>
  <c r="F176" i="59"/>
  <c r="F175" i="59"/>
  <c r="F174" i="59"/>
  <c r="F173" i="59"/>
  <c r="B23" i="37" l="1"/>
  <c r="S335" i="1" s="1"/>
  <c r="S94" i="1"/>
  <c r="S88" i="1" l="1"/>
  <c r="B15" i="37"/>
  <c r="S243" i="1" l="1"/>
  <c r="B92" i="37"/>
  <c r="B90" i="37"/>
  <c r="S253" i="1"/>
  <c r="B91" i="37" l="1"/>
  <c r="B88" i="37"/>
  <c r="AE176" i="1"/>
  <c r="AS28" i="58"/>
  <c r="AQ28" i="58"/>
  <c r="AS27" i="58"/>
  <c r="AQ27" i="58"/>
  <c r="AS26" i="58"/>
  <c r="AQ26" i="58"/>
  <c r="AS25" i="58"/>
  <c r="AQ25" i="58"/>
  <c r="AS24" i="58"/>
  <c r="AQ24" i="58"/>
  <c r="AS23" i="58"/>
  <c r="AQ23" i="58"/>
  <c r="AS22" i="58"/>
  <c r="AQ22" i="58"/>
  <c r="AS21" i="58"/>
  <c r="AQ21" i="58"/>
  <c r="AS20" i="58"/>
  <c r="AQ20" i="58"/>
  <c r="G17" i="58"/>
  <c r="E17" i="58"/>
  <c r="D17" i="58"/>
  <c r="E16" i="58"/>
  <c r="D16" i="58"/>
  <c r="J8" i="58"/>
  <c r="G8" i="58"/>
  <c r="C8" i="58"/>
  <c r="Y4" i="58"/>
  <c r="Q5" i="58"/>
  <c r="U4" i="58"/>
  <c r="Q4" i="58"/>
  <c r="B5" i="58"/>
  <c r="F163" i="49" l="1"/>
  <c r="F198" i="49"/>
  <c r="J25" i="20" l="1"/>
  <c r="J26" i="20"/>
  <c r="J27" i="20"/>
  <c r="J30" i="20"/>
  <c r="J32" i="20"/>
  <c r="J39" i="20"/>
  <c r="J41" i="20"/>
  <c r="J45" i="20"/>
  <c r="J47" i="20"/>
  <c r="J48" i="20"/>
  <c r="J54" i="20"/>
  <c r="J56" i="20"/>
  <c r="J59" i="20"/>
  <c r="J61" i="20"/>
  <c r="J64" i="20"/>
  <c r="J66" i="20"/>
  <c r="J68" i="20"/>
  <c r="J70" i="20"/>
  <c r="J76" i="20"/>
  <c r="J78" i="20"/>
  <c r="J82" i="20"/>
  <c r="J84" i="20"/>
  <c r="J85" i="20"/>
  <c r="J91" i="20"/>
  <c r="J93" i="20"/>
  <c r="J95" i="20"/>
  <c r="J97" i="20"/>
  <c r="J102" i="20"/>
  <c r="J104" i="20"/>
  <c r="J117" i="20"/>
  <c r="J119" i="20"/>
  <c r="J126" i="20"/>
  <c r="J128" i="20"/>
  <c r="J131" i="20"/>
  <c r="J133" i="20"/>
  <c r="J141" i="20"/>
  <c r="J143" i="20"/>
  <c r="J145" i="20"/>
  <c r="J147" i="20"/>
  <c r="J151" i="20"/>
  <c r="J153" i="20"/>
  <c r="J157" i="20"/>
  <c r="J159" i="20"/>
  <c r="J164" i="20"/>
  <c r="J166" i="20"/>
  <c r="J175" i="20"/>
  <c r="J177" i="20"/>
  <c r="J179" i="20"/>
  <c r="J181" i="20"/>
  <c r="J195" i="20"/>
  <c r="J197" i="20"/>
  <c r="J199" i="20"/>
  <c r="J201" i="20"/>
  <c r="J204" i="20"/>
  <c r="J206" i="20"/>
  <c r="J211" i="20"/>
  <c r="J213" i="20"/>
  <c r="J220" i="20"/>
  <c r="J222" i="20"/>
  <c r="J230" i="20"/>
  <c r="J232" i="20"/>
  <c r="J234" i="20"/>
  <c r="J236" i="20"/>
  <c r="J260" i="20"/>
  <c r="J262" i="20"/>
  <c r="J272" i="20"/>
  <c r="J274" i="20"/>
  <c r="J277" i="20"/>
  <c r="J279" i="20"/>
  <c r="J281" i="20"/>
  <c r="J283" i="20"/>
  <c r="J286" i="20"/>
  <c r="J288" i="20"/>
  <c r="J290" i="20"/>
  <c r="J292" i="20"/>
  <c r="J299" i="20"/>
  <c r="J301" i="20"/>
  <c r="J303" i="20"/>
  <c r="J305" i="20"/>
  <c r="J307" i="20"/>
  <c r="J309" i="20"/>
  <c r="J311" i="20"/>
  <c r="J315" i="20"/>
  <c r="E300" i="49"/>
  <c r="L22" i="49" l="1"/>
  <c r="K22" i="49"/>
  <c r="L18" i="49"/>
  <c r="L17" i="49"/>
  <c r="L16" i="49"/>
  <c r="L15" i="49"/>
  <c r="L14" i="49"/>
  <c r="L13" i="49"/>
  <c r="L12" i="49"/>
  <c r="L11" i="49"/>
  <c r="L10" i="49"/>
  <c r="L9" i="49"/>
  <c r="AD134" i="1" l="1"/>
  <c r="AC134" i="1"/>
  <c r="V134" i="1"/>
  <c r="P134" i="1"/>
  <c r="Z134" i="1" s="1"/>
  <c r="AG134" i="1" s="1"/>
  <c r="O134" i="1"/>
  <c r="Y134" i="1" s="1"/>
  <c r="AF134" i="1" s="1"/>
  <c r="H134" i="1"/>
  <c r="N134" i="1" s="1"/>
  <c r="Q134" i="1" s="1"/>
  <c r="B79" i="57"/>
  <c r="B80" i="57" s="1"/>
  <c r="AB134" i="1" s="1"/>
  <c r="C122" i="20" s="1"/>
  <c r="AS67" i="57"/>
  <c r="AQ67" i="57"/>
  <c r="AS66" i="57"/>
  <c r="AQ66" i="57"/>
  <c r="AS65" i="57"/>
  <c r="AQ65" i="57"/>
  <c r="AS64" i="57"/>
  <c r="AQ64" i="57"/>
  <c r="AS63" i="57"/>
  <c r="AQ63" i="57"/>
  <c r="AS62" i="57"/>
  <c r="AQ62" i="57"/>
  <c r="AS61" i="57"/>
  <c r="AQ61" i="57"/>
  <c r="AS60" i="57"/>
  <c r="AQ60" i="57"/>
  <c r="AS59" i="57"/>
  <c r="AQ59" i="57"/>
  <c r="AS58" i="57"/>
  <c r="AQ58" i="57"/>
  <c r="AS57" i="57"/>
  <c r="AQ57" i="57"/>
  <c r="AS56" i="57"/>
  <c r="AQ56" i="57"/>
  <c r="AS55" i="57"/>
  <c r="AQ55" i="57"/>
  <c r="AS54" i="57"/>
  <c r="AQ54" i="57"/>
  <c r="AS53" i="57"/>
  <c r="AQ53" i="57"/>
  <c r="AS52" i="57"/>
  <c r="AQ52" i="57"/>
  <c r="AS51" i="57"/>
  <c r="AQ51" i="57"/>
  <c r="AS50" i="57"/>
  <c r="AQ50" i="57"/>
  <c r="AS49" i="57"/>
  <c r="AQ49" i="57"/>
  <c r="AS48" i="57"/>
  <c r="AQ48" i="57"/>
  <c r="AS47" i="57"/>
  <c r="AQ47" i="57"/>
  <c r="AS46" i="57"/>
  <c r="AQ46" i="57"/>
  <c r="AS45" i="57"/>
  <c r="AQ45" i="57"/>
  <c r="AS44" i="57"/>
  <c r="AQ44" i="57"/>
  <c r="AS43" i="57"/>
  <c r="AQ43" i="57"/>
  <c r="AS42" i="57"/>
  <c r="AQ42" i="57"/>
  <c r="AS41" i="57"/>
  <c r="AQ41" i="57"/>
  <c r="AS40" i="57"/>
  <c r="AQ40" i="57"/>
  <c r="AS39" i="57"/>
  <c r="AQ39" i="57"/>
  <c r="AS38" i="57"/>
  <c r="AQ38" i="57"/>
  <c r="AS37" i="57"/>
  <c r="AQ37" i="57"/>
  <c r="AS36" i="57"/>
  <c r="AQ36" i="57"/>
  <c r="AS35" i="57"/>
  <c r="AQ35" i="57"/>
  <c r="AS34" i="57"/>
  <c r="AQ34" i="57"/>
  <c r="AS33" i="57"/>
  <c r="AQ33" i="57"/>
  <c r="AS32" i="57"/>
  <c r="AQ32" i="57"/>
  <c r="AS31" i="57"/>
  <c r="AQ31" i="57"/>
  <c r="AS30" i="57"/>
  <c r="AQ30" i="57"/>
  <c r="AS29" i="57"/>
  <c r="AQ29" i="57"/>
  <c r="AS28" i="57"/>
  <c r="AQ28" i="57"/>
  <c r="AS27" i="57"/>
  <c r="AQ27" i="57"/>
  <c r="AS26" i="57"/>
  <c r="AQ26" i="57"/>
  <c r="AS25" i="57"/>
  <c r="AQ25" i="57"/>
  <c r="AS24" i="57"/>
  <c r="AQ24" i="57"/>
  <c r="AS23" i="57"/>
  <c r="AQ23" i="57"/>
  <c r="AS22" i="57"/>
  <c r="AQ22" i="57"/>
  <c r="AS21" i="57"/>
  <c r="AQ21" i="57"/>
  <c r="AS20" i="57"/>
  <c r="AQ20" i="57"/>
  <c r="G17" i="57"/>
  <c r="E17" i="57"/>
  <c r="D17" i="57"/>
  <c r="E16" i="57"/>
  <c r="D16" i="57"/>
  <c r="J8" i="57"/>
  <c r="G8" i="57"/>
  <c r="C8" i="57"/>
  <c r="Z14" i="31"/>
  <c r="A170" i="56"/>
  <c r="A169" i="56"/>
  <c r="S172" i="56"/>
  <c r="A168" i="56"/>
  <c r="J167" i="56"/>
  <c r="I167" i="56"/>
  <c r="A163" i="56"/>
  <c r="A162" i="56"/>
  <c r="A161" i="56"/>
  <c r="A156" i="56"/>
  <c r="A155" i="56"/>
  <c r="A154" i="56"/>
  <c r="A153" i="56"/>
  <c r="AE153" i="56" s="1"/>
  <c r="A152" i="56"/>
  <c r="A151" i="56"/>
  <c r="A150" i="56"/>
  <c r="A149" i="56"/>
  <c r="A148" i="56"/>
  <c r="A147" i="56"/>
  <c r="A146" i="56"/>
  <c r="A145" i="56"/>
  <c r="AE144" i="56"/>
  <c r="A144" i="56"/>
  <c r="A143" i="56"/>
  <c r="A142" i="56"/>
  <c r="AE141" i="56"/>
  <c r="A141" i="56"/>
  <c r="A140" i="56"/>
  <c r="A139" i="56"/>
  <c r="A138" i="56"/>
  <c r="A137" i="56"/>
  <c r="A136" i="56"/>
  <c r="A135" i="56"/>
  <c r="A134" i="56"/>
  <c r="A133" i="56"/>
  <c r="A132" i="56"/>
  <c r="A131" i="56"/>
  <c r="A130" i="56"/>
  <c r="A129" i="56"/>
  <c r="A128" i="56"/>
  <c r="A127" i="56"/>
  <c r="A126" i="56"/>
  <c r="J125" i="56"/>
  <c r="I125" i="56"/>
  <c r="X125" i="56"/>
  <c r="J123" i="56"/>
  <c r="I123"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J55" i="56"/>
  <c r="I55" i="56"/>
  <c r="J53" i="56"/>
  <c r="I53" i="56"/>
  <c r="A49" i="56"/>
  <c r="AK51" i="56"/>
  <c r="A48" i="56"/>
  <c r="J47" i="56"/>
  <c r="I47" i="56"/>
  <c r="AC47" i="56"/>
  <c r="J46" i="56"/>
  <c r="I46" i="56"/>
  <c r="AC46" i="56"/>
  <c r="AF43" i="56"/>
  <c r="Z43" i="56"/>
  <c r="F43" i="56"/>
  <c r="A43" i="56"/>
  <c r="AD43" i="56" s="1"/>
  <c r="AB42" i="56"/>
  <c r="F42" i="56"/>
  <c r="A42" i="56"/>
  <c r="J41" i="56"/>
  <c r="I41" i="56"/>
  <c r="A37" i="56"/>
  <c r="A36" i="56"/>
  <c r="A35" i="56"/>
  <c r="A34" i="56"/>
  <c r="A33" i="56"/>
  <c r="A32" i="56"/>
  <c r="A31" i="56"/>
  <c r="A30" i="56"/>
  <c r="A29" i="56"/>
  <c r="A28" i="56"/>
  <c r="A27" i="56"/>
  <c r="A26" i="56"/>
  <c r="A25" i="56"/>
  <c r="A24" i="56"/>
  <c r="A23" i="56"/>
  <c r="A22" i="56"/>
  <c r="A21" i="56"/>
  <c r="B84" i="59"/>
  <c r="A20" i="56"/>
  <c r="A19" i="56"/>
  <c r="A18" i="56"/>
  <c r="A17" i="56"/>
  <c r="A16" i="56"/>
  <c r="A15" i="56"/>
  <c r="A14" i="56"/>
  <c r="A13" i="56"/>
  <c r="A12" i="56"/>
  <c r="J11" i="56"/>
  <c r="I11" i="56"/>
  <c r="J10" i="56"/>
  <c r="I10" i="56"/>
  <c r="I5" i="56"/>
  <c r="B275" i="54"/>
  <c r="AG274" i="54"/>
  <c r="AF274" i="54"/>
  <c r="AE274" i="54"/>
  <c r="AD274" i="54"/>
  <c r="AC274" i="54"/>
  <c r="AB274" i="54"/>
  <c r="AA274" i="54"/>
  <c r="Z274" i="54"/>
  <c r="Y274" i="54"/>
  <c r="X274" i="54"/>
  <c r="W274" i="54"/>
  <c r="V274" i="54"/>
  <c r="B274" i="54"/>
  <c r="B273" i="54"/>
  <c r="AG272" i="54"/>
  <c r="AF272" i="54"/>
  <c r="AE272" i="54"/>
  <c r="AD272" i="54"/>
  <c r="AC272" i="54"/>
  <c r="AB272" i="54"/>
  <c r="AA272" i="54"/>
  <c r="Z272" i="54"/>
  <c r="Y272" i="54"/>
  <c r="X272" i="54"/>
  <c r="V272" i="54"/>
  <c r="I272" i="54"/>
  <c r="W272" i="54" s="1"/>
  <c r="B272" i="54"/>
  <c r="B271" i="54"/>
  <c r="A271" i="54"/>
  <c r="B270" i="54"/>
  <c r="A270" i="54"/>
  <c r="B269" i="54"/>
  <c r="A269" i="54"/>
  <c r="B268" i="54"/>
  <c r="B266" i="54"/>
  <c r="A266" i="54"/>
  <c r="AG265" i="54"/>
  <c r="B265" i="54"/>
  <c r="B264" i="54"/>
  <c r="B262" i="54"/>
  <c r="A262" i="54"/>
  <c r="B261" i="54"/>
  <c r="B259" i="54"/>
  <c r="B257" i="54"/>
  <c r="A257" i="54"/>
  <c r="B256" i="54"/>
  <c r="A256" i="54"/>
  <c r="B255" i="54"/>
  <c r="A255" i="54"/>
  <c r="B254" i="54"/>
  <c r="A254" i="54"/>
  <c r="B253" i="54"/>
  <c r="A253" i="54"/>
  <c r="B252" i="54"/>
  <c r="A252" i="54"/>
  <c r="B251" i="54"/>
  <c r="A251" i="54"/>
  <c r="B250" i="54"/>
  <c r="A250" i="54"/>
  <c r="B249" i="54"/>
  <c r="A249" i="54"/>
  <c r="B248" i="54"/>
  <c r="A248" i="54"/>
  <c r="B247" i="54"/>
  <c r="A247" i="54"/>
  <c r="B246" i="54"/>
  <c r="A246" i="54"/>
  <c r="B245" i="54"/>
  <c r="A245" i="54"/>
  <c r="B244" i="54"/>
  <c r="A244" i="54"/>
  <c r="B243" i="54"/>
  <c r="A243" i="54"/>
  <c r="B242" i="54"/>
  <c r="A242" i="54"/>
  <c r="B241" i="54"/>
  <c r="A241" i="54"/>
  <c r="B240" i="54"/>
  <c r="A240" i="54"/>
  <c r="B239" i="54"/>
  <c r="A239" i="54"/>
  <c r="B238" i="54"/>
  <c r="A238" i="54"/>
  <c r="B237" i="54"/>
  <c r="A237" i="54"/>
  <c r="B236" i="54"/>
  <c r="A236" i="54"/>
  <c r="B235" i="54"/>
  <c r="A235" i="54"/>
  <c r="B234" i="54"/>
  <c r="A234" i="54"/>
  <c r="B233" i="54"/>
  <c r="A233" i="54"/>
  <c r="B232" i="54"/>
  <c r="A232" i="54"/>
  <c r="B231" i="54"/>
  <c r="A231" i="54"/>
  <c r="B230" i="54"/>
  <c r="A230" i="54"/>
  <c r="B229" i="54"/>
  <c r="A229" i="54"/>
  <c r="B228" i="54"/>
  <c r="A228" i="54"/>
  <c r="B227" i="54"/>
  <c r="A227" i="54"/>
  <c r="B226" i="54"/>
  <c r="A226" i="54"/>
  <c r="B225" i="54"/>
  <c r="A225" i="54"/>
  <c r="B224" i="54"/>
  <c r="A224" i="54"/>
  <c r="B223" i="54"/>
  <c r="A223" i="54"/>
  <c r="B222" i="54"/>
  <c r="A222" i="54"/>
  <c r="B221" i="54"/>
  <c r="A221" i="54"/>
  <c r="B220" i="54"/>
  <c r="A220" i="54"/>
  <c r="B219" i="54"/>
  <c r="A219" i="54"/>
  <c r="B218" i="54"/>
  <c r="A218" i="54"/>
  <c r="B217" i="54"/>
  <c r="A217" i="54"/>
  <c r="B216" i="54"/>
  <c r="A216" i="54"/>
  <c r="B215" i="54"/>
  <c r="A215" i="54"/>
  <c r="B214" i="54"/>
  <c r="A214" i="54"/>
  <c r="B213" i="54"/>
  <c r="A213" i="54"/>
  <c r="B212" i="54"/>
  <c r="A212" i="54"/>
  <c r="B211" i="54"/>
  <c r="A211" i="54"/>
  <c r="B210" i="54"/>
  <c r="A210" i="54"/>
  <c r="B209" i="54"/>
  <c r="A209" i="54"/>
  <c r="B208" i="54"/>
  <c r="A208" i="54"/>
  <c r="B207" i="54"/>
  <c r="A207" i="54"/>
  <c r="B206" i="54"/>
  <c r="A206" i="54"/>
  <c r="B205" i="54"/>
  <c r="A205" i="54"/>
  <c r="B204" i="54"/>
  <c r="A204" i="54"/>
  <c r="B203" i="54"/>
  <c r="B202" i="54"/>
  <c r="B201" i="54"/>
  <c r="B200" i="54"/>
  <c r="B199" i="54"/>
  <c r="AM199" i="54"/>
  <c r="B197" i="54"/>
  <c r="A197" i="54"/>
  <c r="B196" i="54"/>
  <c r="AG195" i="54"/>
  <c r="B195" i="54"/>
  <c r="B193" i="54"/>
  <c r="B191" i="54"/>
  <c r="A191" i="54"/>
  <c r="B190" i="54"/>
  <c r="A190" i="54"/>
  <c r="B189" i="54"/>
  <c r="A189" i="54"/>
  <c r="B188" i="54"/>
  <c r="A188" i="54"/>
  <c r="B187" i="54"/>
  <c r="A187" i="54"/>
  <c r="B186" i="54"/>
  <c r="A186" i="54"/>
  <c r="B185" i="54"/>
  <c r="A185" i="54"/>
  <c r="B184" i="54"/>
  <c r="A184" i="54"/>
  <c r="B183" i="54"/>
  <c r="A183" i="54"/>
  <c r="B182" i="54"/>
  <c r="A182" i="54"/>
  <c r="B181" i="54"/>
  <c r="A181" i="54"/>
  <c r="B180" i="54"/>
  <c r="A180" i="54"/>
  <c r="B179" i="54"/>
  <c r="A179" i="54"/>
  <c r="B178" i="54"/>
  <c r="A178" i="54"/>
  <c r="B177" i="54"/>
  <c r="A177" i="54"/>
  <c r="B176" i="54"/>
  <c r="A176" i="54"/>
  <c r="B175" i="54"/>
  <c r="A175" i="54"/>
  <c r="B174" i="54"/>
  <c r="A174" i="54"/>
  <c r="B173" i="54"/>
  <c r="A173" i="54"/>
  <c r="B172" i="54"/>
  <c r="A172" i="54"/>
  <c r="B171" i="54"/>
  <c r="A171" i="54"/>
  <c r="B170" i="54"/>
  <c r="A170" i="54"/>
  <c r="B169" i="54"/>
  <c r="A169" i="54"/>
  <c r="B168" i="54"/>
  <c r="A168" i="54"/>
  <c r="B167" i="54"/>
  <c r="A167" i="54"/>
  <c r="B166" i="54"/>
  <c r="A166" i="54"/>
  <c r="B165" i="54"/>
  <c r="A165" i="54"/>
  <c r="B164" i="54"/>
  <c r="A164" i="54"/>
  <c r="B163" i="54"/>
  <c r="A163" i="54"/>
  <c r="B162" i="54"/>
  <c r="A162" i="54"/>
  <c r="B161" i="54"/>
  <c r="A161" i="54"/>
  <c r="B160" i="54"/>
  <c r="A160" i="54"/>
  <c r="B159" i="54"/>
  <c r="A159" i="54"/>
  <c r="B158" i="54"/>
  <c r="A158" i="54"/>
  <c r="B157" i="54"/>
  <c r="A157" i="54"/>
  <c r="B156" i="54"/>
  <c r="A156" i="54"/>
  <c r="B155" i="54"/>
  <c r="A155" i="54"/>
  <c r="B154" i="54"/>
  <c r="A154" i="54"/>
  <c r="B153" i="54"/>
  <c r="A153" i="54"/>
  <c r="B152" i="54"/>
  <c r="A152" i="54"/>
  <c r="B151" i="54"/>
  <c r="A151" i="54"/>
  <c r="B150" i="54"/>
  <c r="A150" i="54"/>
  <c r="B149" i="54"/>
  <c r="A149" i="54"/>
  <c r="B148" i="54"/>
  <c r="A148" i="54"/>
  <c r="B147" i="54"/>
  <c r="A147" i="54"/>
  <c r="B146" i="54"/>
  <c r="A146" i="54"/>
  <c r="B145" i="54"/>
  <c r="A145" i="54"/>
  <c r="B144" i="54"/>
  <c r="A144" i="54"/>
  <c r="B143" i="54"/>
  <c r="A143" i="54"/>
  <c r="B142" i="54"/>
  <c r="A142" i="54"/>
  <c r="B141" i="54"/>
  <c r="A141" i="54"/>
  <c r="B140" i="54"/>
  <c r="A140" i="54"/>
  <c r="B139" i="54"/>
  <c r="A139" i="54"/>
  <c r="B138" i="54"/>
  <c r="A138" i="54"/>
  <c r="B137" i="54"/>
  <c r="A137" i="54"/>
  <c r="B136" i="54"/>
  <c r="A136" i="54"/>
  <c r="B135" i="54"/>
  <c r="A135" i="54"/>
  <c r="B134" i="54"/>
  <c r="A134" i="54"/>
  <c r="B133" i="54"/>
  <c r="A133" i="54"/>
  <c r="B132" i="54"/>
  <c r="A132" i="54"/>
  <c r="B131" i="54"/>
  <c r="A131" i="54"/>
  <c r="B130" i="54"/>
  <c r="A130" i="54"/>
  <c r="B129" i="54"/>
  <c r="A129" i="54"/>
  <c r="B128" i="54"/>
  <c r="A128" i="54"/>
  <c r="B127" i="54"/>
  <c r="A127" i="54"/>
  <c r="B126" i="54"/>
  <c r="A126" i="54"/>
  <c r="B125" i="54"/>
  <c r="A125" i="54"/>
  <c r="B124" i="54"/>
  <c r="A124" i="54"/>
  <c r="B123" i="54"/>
  <c r="A123" i="54"/>
  <c r="B122" i="54"/>
  <c r="A122" i="54"/>
  <c r="B121" i="54"/>
  <c r="A121" i="54"/>
  <c r="B120" i="54"/>
  <c r="A120" i="54"/>
  <c r="B119" i="54"/>
  <c r="A119" i="54"/>
  <c r="B118" i="54"/>
  <c r="A118" i="54"/>
  <c r="B117" i="54"/>
  <c r="A117" i="54"/>
  <c r="B116" i="54"/>
  <c r="A116" i="54"/>
  <c r="B115" i="54"/>
  <c r="A115" i="54"/>
  <c r="B114" i="54"/>
  <c r="A114" i="54"/>
  <c r="B113" i="54"/>
  <c r="A113" i="54"/>
  <c r="B112" i="54"/>
  <c r="A112" i="54"/>
  <c r="B111" i="54"/>
  <c r="A111" i="54"/>
  <c r="B110" i="54"/>
  <c r="A110" i="54"/>
  <c r="B109" i="54"/>
  <c r="A109" i="54"/>
  <c r="B108" i="54"/>
  <c r="A108" i="54"/>
  <c r="B107" i="54"/>
  <c r="A107" i="54"/>
  <c r="B106" i="54"/>
  <c r="A106" i="54"/>
  <c r="B105" i="54"/>
  <c r="A105" i="54"/>
  <c r="B104" i="54"/>
  <c r="A104" i="54"/>
  <c r="B103" i="54"/>
  <c r="A103" i="54"/>
  <c r="B102" i="54"/>
  <c r="A102" i="54"/>
  <c r="B101" i="54"/>
  <c r="A101" i="54"/>
  <c r="B100" i="54"/>
  <c r="A100" i="54"/>
  <c r="B99" i="54"/>
  <c r="A99" i="54"/>
  <c r="B98" i="54"/>
  <c r="A98" i="54"/>
  <c r="B97" i="54"/>
  <c r="A97" i="54"/>
  <c r="B96" i="54"/>
  <c r="A96" i="54"/>
  <c r="B95" i="54"/>
  <c r="A95" i="54"/>
  <c r="B94" i="54"/>
  <c r="A94" i="54"/>
  <c r="B93" i="54"/>
  <c r="A93" i="54"/>
  <c r="B92" i="54"/>
  <c r="A92" i="54"/>
  <c r="B91" i="54"/>
  <c r="A91" i="54"/>
  <c r="B90" i="54"/>
  <c r="A90" i="54"/>
  <c r="B89" i="54"/>
  <c r="A89" i="54"/>
  <c r="B88" i="54"/>
  <c r="A88" i="54"/>
  <c r="B87" i="54"/>
  <c r="A87" i="54"/>
  <c r="B86" i="54"/>
  <c r="A86" i="54"/>
  <c r="B85" i="54"/>
  <c r="A85" i="54"/>
  <c r="B84" i="54"/>
  <c r="A84" i="54"/>
  <c r="B83" i="54"/>
  <c r="A83" i="54"/>
  <c r="B82" i="54"/>
  <c r="A82" i="54"/>
  <c r="B81" i="54"/>
  <c r="A81" i="54"/>
  <c r="B80" i="54"/>
  <c r="A80" i="54"/>
  <c r="B79" i="54"/>
  <c r="A79" i="54"/>
  <c r="B78" i="54"/>
  <c r="A78" i="54"/>
  <c r="B77" i="54"/>
  <c r="A77" i="54"/>
  <c r="B76" i="54"/>
  <c r="A76" i="54"/>
  <c r="B75" i="54"/>
  <c r="A75" i="54"/>
  <c r="B74" i="54"/>
  <c r="A74" i="54"/>
  <c r="B73" i="54"/>
  <c r="A73" i="54"/>
  <c r="B72" i="54"/>
  <c r="A72" i="54"/>
  <c r="B71" i="54"/>
  <c r="A71" i="54"/>
  <c r="B70" i="54"/>
  <c r="A70" i="54"/>
  <c r="B69" i="54"/>
  <c r="A69" i="54"/>
  <c r="B68" i="54"/>
  <c r="A68" i="54"/>
  <c r="B67" i="54"/>
  <c r="A67" i="54"/>
  <c r="B66" i="54"/>
  <c r="A66" i="54"/>
  <c r="B65" i="54"/>
  <c r="A65" i="54"/>
  <c r="B64" i="54"/>
  <c r="B62" i="54"/>
  <c r="B60" i="54"/>
  <c r="B58" i="54"/>
  <c r="A58" i="54"/>
  <c r="B57" i="54"/>
  <c r="A57" i="54"/>
  <c r="AF56" i="54"/>
  <c r="B56" i="54"/>
  <c r="AG55" i="54"/>
  <c r="B55" i="54"/>
  <c r="B54" i="54"/>
  <c r="B52" i="54"/>
  <c r="A52" i="54"/>
  <c r="Z51" i="54"/>
  <c r="F51" i="54"/>
  <c r="B51" i="54"/>
  <c r="A51" i="54"/>
  <c r="AE51" i="54" s="1"/>
  <c r="F50" i="54"/>
  <c r="B50" i="54"/>
  <c r="A50" i="54"/>
  <c r="AG49" i="54"/>
  <c r="B49" i="54"/>
  <c r="B47" i="54"/>
  <c r="B45" i="54"/>
  <c r="A45" i="54"/>
  <c r="B44" i="54"/>
  <c r="A44" i="54"/>
  <c r="B43" i="54"/>
  <c r="A43" i="54"/>
  <c r="B42" i="54"/>
  <c r="A42" i="54"/>
  <c r="B41" i="54"/>
  <c r="A41" i="54"/>
  <c r="B40" i="54"/>
  <c r="A40" i="54"/>
  <c r="B39" i="54"/>
  <c r="A39" i="54"/>
  <c r="B38" i="54"/>
  <c r="A38" i="54"/>
  <c r="B37" i="54"/>
  <c r="A37" i="54"/>
  <c r="B36" i="54"/>
  <c r="A36" i="54"/>
  <c r="B35" i="54"/>
  <c r="A35" i="54"/>
  <c r="B34" i="54"/>
  <c r="A34" i="54"/>
  <c r="B33" i="54"/>
  <c r="A33" i="54"/>
  <c r="B32" i="54"/>
  <c r="A32" i="54"/>
  <c r="B31" i="54"/>
  <c r="A31" i="54"/>
  <c r="B30" i="54"/>
  <c r="A30" i="54"/>
  <c r="B29" i="54"/>
  <c r="A29" i="54"/>
  <c r="B28" i="54"/>
  <c r="A28" i="54"/>
  <c r="B27" i="54"/>
  <c r="A27" i="54"/>
  <c r="B26" i="54"/>
  <c r="A26" i="54"/>
  <c r="B25" i="54"/>
  <c r="A25" i="54"/>
  <c r="B24" i="54"/>
  <c r="A24" i="54"/>
  <c r="B23" i="54"/>
  <c r="A23" i="54"/>
  <c r="B22" i="54"/>
  <c r="A22" i="54"/>
  <c r="B21" i="54"/>
  <c r="A21" i="54"/>
  <c r="B20" i="54"/>
  <c r="A20" i="54"/>
  <c r="B19" i="54"/>
  <c r="A19" i="54"/>
  <c r="B18" i="54"/>
  <c r="A18" i="54"/>
  <c r="B17" i="54"/>
  <c r="A17" i="54"/>
  <c r="B16" i="54"/>
  <c r="A16" i="54"/>
  <c r="B15" i="54"/>
  <c r="A15" i="54"/>
  <c r="B14" i="54"/>
  <c r="A14" i="54"/>
  <c r="B13" i="54"/>
  <c r="A13" i="54"/>
  <c r="B12" i="54"/>
  <c r="A12" i="54"/>
  <c r="B11" i="54"/>
  <c r="A11" i="54"/>
  <c r="V5" i="54"/>
  <c r="I5" i="54"/>
  <c r="W5" i="54" s="1"/>
  <c r="Q4" i="57"/>
  <c r="U4" i="57"/>
  <c r="Y4" i="57"/>
  <c r="B5" i="57"/>
  <c r="Q5" i="57"/>
  <c r="AB161" i="56" l="1"/>
  <c r="AB51" i="54"/>
  <c r="AD51" i="54"/>
  <c r="X51" i="54"/>
  <c r="AH274" i="54"/>
  <c r="AA67" i="54"/>
  <c r="AE68" i="54"/>
  <c r="AF95" i="54"/>
  <c r="AE96" i="54"/>
  <c r="X24" i="56"/>
  <c r="H273" i="54"/>
  <c r="Y94" i="54"/>
  <c r="AD103" i="54"/>
  <c r="AE69" i="56"/>
  <c r="V148" i="56"/>
  <c r="AF238" i="54"/>
  <c r="W190" i="54"/>
  <c r="AC61" i="56"/>
  <c r="V136" i="56"/>
  <c r="W154" i="56"/>
  <c r="W155" i="56"/>
  <c r="AG161" i="54"/>
  <c r="AA209" i="54"/>
  <c r="Z238" i="54"/>
  <c r="AC24" i="56"/>
  <c r="AC136" i="56"/>
  <c r="AG155" i="56"/>
  <c r="V156" i="56"/>
  <c r="W22" i="56"/>
  <c r="X61" i="56"/>
  <c r="Z71" i="56"/>
  <c r="V76" i="56"/>
  <c r="AB76" i="56"/>
  <c r="AG76" i="56"/>
  <c r="W93" i="56"/>
  <c r="AD68" i="56"/>
  <c r="AF13" i="56"/>
  <c r="AD12" i="56"/>
  <c r="AB112" i="56"/>
  <c r="Y57" i="56"/>
  <c r="AF17" i="56"/>
  <c r="AD135" i="56"/>
  <c r="X116" i="56"/>
  <c r="Z128" i="56"/>
  <c r="Y147" i="56"/>
  <c r="X148" i="56"/>
  <c r="AC148" i="56"/>
  <c r="Y149" i="56"/>
  <c r="AF149" i="56"/>
  <c r="AC152" i="56"/>
  <c r="Y152" i="56"/>
  <c r="AD152" i="56"/>
  <c r="AD15" i="54"/>
  <c r="AC15" i="54"/>
  <c r="AD19" i="54"/>
  <c r="AF28" i="54"/>
  <c r="AF29" i="54"/>
  <c r="Y30" i="54"/>
  <c r="AB96" i="54"/>
  <c r="AG96" i="54"/>
  <c r="AB98" i="54"/>
  <c r="AF103" i="54"/>
  <c r="Z103" i="54"/>
  <c r="Y112" i="54"/>
  <c r="X67" i="54"/>
  <c r="Z95" i="54"/>
  <c r="AD111" i="54"/>
  <c r="X68" i="54"/>
  <c r="AC68" i="54"/>
  <c r="J5" i="54"/>
  <c r="K5" i="54" s="1"/>
  <c r="Z161" i="54"/>
  <c r="W246" i="54"/>
  <c r="V216" i="54"/>
  <c r="Y221" i="54"/>
  <c r="W226" i="54"/>
  <c r="AB243" i="54"/>
  <c r="Y243" i="54"/>
  <c r="AF256" i="54"/>
  <c r="AC237" i="54"/>
  <c r="AD238" i="54"/>
  <c r="AC249" i="54"/>
  <c r="AD251" i="54"/>
  <c r="W252" i="54"/>
  <c r="X257" i="54"/>
  <c r="AC257" i="54"/>
  <c r="X238" i="54"/>
  <c r="X241" i="54"/>
  <c r="Z251" i="54"/>
  <c r="AF251" i="54"/>
  <c r="AC255" i="54"/>
  <c r="X271" i="54"/>
  <c r="X251" i="54"/>
  <c r="AG128" i="56"/>
  <c r="V129" i="56"/>
  <c r="AB129" i="56"/>
  <c r="AG129" i="56"/>
  <c r="AE230" i="54"/>
  <c r="AA89" i="54"/>
  <c r="AD109" i="54"/>
  <c r="X111" i="54"/>
  <c r="AB116" i="54"/>
  <c r="V118" i="54"/>
  <c r="AB118" i="54"/>
  <c r="AC227" i="54"/>
  <c r="V271" i="54"/>
  <c r="AA271" i="54"/>
  <c r="AF271" i="54"/>
  <c r="V71" i="56"/>
  <c r="AA71" i="56"/>
  <c r="AF71" i="56"/>
  <c r="AE73" i="56"/>
  <c r="AG115" i="56"/>
  <c r="X140" i="54"/>
  <c r="AE140" i="54"/>
  <c r="AF142" i="54"/>
  <c r="Z142" i="54"/>
  <c r="AA63" i="56"/>
  <c r="W71" i="56"/>
  <c r="AB71" i="56"/>
  <c r="AE81" i="56"/>
  <c r="AD82" i="56"/>
  <c r="AE84" i="56"/>
  <c r="Y84" i="56"/>
  <c r="AF129" i="56"/>
  <c r="Y15" i="54"/>
  <c r="Y19" i="54"/>
  <c r="AG25" i="54"/>
  <c r="V30" i="54"/>
  <c r="AD30" i="54"/>
  <c r="Y35" i="54"/>
  <c r="AF35" i="54"/>
  <c r="AA41" i="54"/>
  <c r="Y43" i="54"/>
  <c r="AF43" i="54"/>
  <c r="AE102" i="54"/>
  <c r="X103" i="54"/>
  <c r="AB104" i="54"/>
  <c r="AG104" i="54"/>
  <c r="AB106" i="54"/>
  <c r="Y108" i="54"/>
  <c r="AD108" i="54"/>
  <c r="Y110" i="54"/>
  <c r="AE112" i="54"/>
  <c r="Z132" i="54"/>
  <c r="AF132" i="54"/>
  <c r="Y135" i="54"/>
  <c r="AF136" i="54"/>
  <c r="AD136" i="54"/>
  <c r="AC146" i="54"/>
  <c r="X147" i="54"/>
  <c r="AE158" i="54"/>
  <c r="W227" i="54"/>
  <c r="AF230" i="54"/>
  <c r="Y230" i="54"/>
  <c r="X244" i="54"/>
  <c r="AF244" i="54"/>
  <c r="AH272" i="54"/>
  <c r="AL272" i="54" s="1"/>
  <c r="AN272" i="54" s="1"/>
  <c r="V12" i="56"/>
  <c r="AE13" i="56"/>
  <c r="Y13" i="56"/>
  <c r="AD13" i="56"/>
  <c r="AE14" i="56"/>
  <c r="AB14" i="56"/>
  <c r="AE16" i="56"/>
  <c r="AD16" i="56"/>
  <c r="V17" i="56"/>
  <c r="AG17" i="56"/>
  <c r="X18" i="56"/>
  <c r="AF18" i="56"/>
  <c r="V20" i="56"/>
  <c r="AB20" i="56"/>
  <c r="AG20" i="56"/>
  <c r="Z46" i="56"/>
  <c r="AE61" i="56"/>
  <c r="Y65" i="56"/>
  <c r="Y76" i="56"/>
  <c r="AA79" i="56"/>
  <c r="AG79" i="56"/>
  <c r="W81" i="56"/>
  <c r="AB81" i="56"/>
  <c r="AG81" i="56"/>
  <c r="V82" i="56"/>
  <c r="AA82" i="56"/>
  <c r="AF82" i="56"/>
  <c r="AB84" i="56"/>
  <c r="X90" i="56"/>
  <c r="AC90" i="56"/>
  <c r="X104" i="56"/>
  <c r="AE104" i="56"/>
  <c r="AB113" i="56"/>
  <c r="X129" i="56"/>
  <c r="AC129" i="56"/>
  <c r="AF108" i="54"/>
  <c r="Z75" i="56"/>
  <c r="W82" i="56"/>
  <c r="AB82" i="56"/>
  <c r="X84" i="56"/>
  <c r="AC84" i="56"/>
  <c r="AE90" i="56"/>
  <c r="Y90" i="56"/>
  <c r="AD90" i="56"/>
  <c r="X96" i="56"/>
  <c r="Z104" i="56"/>
  <c r="AF104" i="56"/>
  <c r="AG110" i="56"/>
  <c r="AD113" i="56"/>
  <c r="AE129" i="56"/>
  <c r="Y129" i="56"/>
  <c r="AD129" i="56"/>
  <c r="Z132" i="56"/>
  <c r="Z136" i="56"/>
  <c r="AG136" i="56"/>
  <c r="AE148" i="56"/>
  <c r="AA149" i="56"/>
  <c r="AB90" i="54"/>
  <c r="AF118" i="54"/>
  <c r="V132" i="54"/>
  <c r="AD132" i="54"/>
  <c r="X134" i="54"/>
  <c r="V139" i="54"/>
  <c r="AB148" i="54"/>
  <c r="V13" i="56"/>
  <c r="AG13" i="56"/>
  <c r="X14" i="56"/>
  <c r="AF14" i="56"/>
  <c r="V16" i="56"/>
  <c r="AE72" i="54"/>
  <c r="X72" i="54"/>
  <c r="AC72" i="54"/>
  <c r="AC74" i="54"/>
  <c r="AF77" i="54"/>
  <c r="AE90" i="54"/>
  <c r="X90" i="54"/>
  <c r="AC90" i="54"/>
  <c r="AF92" i="54"/>
  <c r="AB100" i="54"/>
  <c r="Z157" i="54"/>
  <c r="Y174" i="54"/>
  <c r="AF174" i="54"/>
  <c r="W230" i="54"/>
  <c r="AG230" i="54"/>
  <c r="AA236" i="54"/>
  <c r="AB236" i="54"/>
  <c r="AE244" i="54"/>
  <c r="AB246" i="54"/>
  <c r="AB254" i="54"/>
  <c r="W70" i="56"/>
  <c r="AE70" i="56"/>
  <c r="AD104" i="56"/>
  <c r="AB35" i="54"/>
  <c r="AE39" i="54"/>
  <c r="AG42" i="54"/>
  <c r="AE52" i="54"/>
  <c r="X71" i="54"/>
  <c r="AE71" i="54"/>
  <c r="AB73" i="54"/>
  <c r="Z73" i="54"/>
  <c r="AB76" i="54"/>
  <c r="AM47" i="54"/>
  <c r="W35" i="54"/>
  <c r="AE35" i="54"/>
  <c r="W39" i="54"/>
  <c r="AG39" i="54"/>
  <c r="W51" i="54"/>
  <c r="Y52" i="54"/>
  <c r="AD52" i="54"/>
  <c r="X55" i="54"/>
  <c r="AC66" i="54"/>
  <c r="AB68" i="54"/>
  <c r="Z71" i="54"/>
  <c r="AF71" i="54"/>
  <c r="AE80" i="54"/>
  <c r="X81" i="54"/>
  <c r="AD42" i="54"/>
  <c r="X49" i="54"/>
  <c r="V52" i="54"/>
  <c r="AB52" i="54"/>
  <c r="AG52" i="54"/>
  <c r="AG57" i="54"/>
  <c r="AG60" i="54" s="1"/>
  <c r="V71" i="54"/>
  <c r="AD71" i="54"/>
  <c r="AA83" i="54"/>
  <c r="AC88" i="54"/>
  <c r="V89" i="54"/>
  <c r="AF89" i="54"/>
  <c r="AE100" i="54"/>
  <c r="X100" i="54"/>
  <c r="AC100" i="54"/>
  <c r="V102" i="54"/>
  <c r="AB102" i="54"/>
  <c r="AG102" i="54"/>
  <c r="Y104" i="54"/>
  <c r="AF107" i="54"/>
  <c r="AF125" i="54"/>
  <c r="X132" i="54"/>
  <c r="AE132" i="54"/>
  <c r="Y133" i="54"/>
  <c r="X136" i="54"/>
  <c r="AF138" i="54"/>
  <c r="V143" i="54"/>
  <c r="AB143" i="54"/>
  <c r="AG143" i="54"/>
  <c r="AE148" i="54"/>
  <c r="X148" i="54"/>
  <c r="AC148" i="54"/>
  <c r="Z151" i="54"/>
  <c r="AF151" i="54"/>
  <c r="AF157" i="54"/>
  <c r="Z159" i="54"/>
  <c r="AA160" i="54"/>
  <c r="W172" i="54"/>
  <c r="AE174" i="54"/>
  <c r="Y178" i="54"/>
  <c r="V185" i="54"/>
  <c r="AD185" i="54"/>
  <c r="Y186" i="54"/>
  <c r="Z187" i="54"/>
  <c r="AC189" i="54"/>
  <c r="X195" i="54"/>
  <c r="W205" i="54"/>
  <c r="V207" i="54"/>
  <c r="AG207" i="54"/>
  <c r="AA216" i="54"/>
  <c r="X220" i="54"/>
  <c r="AB222" i="54"/>
  <c r="AE238" i="54"/>
  <c r="AD269" i="54"/>
  <c r="V22" i="56"/>
  <c r="W25" i="56"/>
  <c r="AB29" i="56"/>
  <c r="Z32" i="56"/>
  <c r="AF32" i="56"/>
  <c r="Y33" i="56"/>
  <c r="W34" i="56"/>
  <c r="AE36" i="56"/>
  <c r="AB36" i="56"/>
  <c r="AD64" i="56"/>
  <c r="AC64" i="56"/>
  <c r="AC65" i="56"/>
  <c r="AE71" i="56"/>
  <c r="AD74" i="56"/>
  <c r="AA74" i="56"/>
  <c r="Y75" i="56"/>
  <c r="AD75" i="56"/>
  <c r="Z79" i="56"/>
  <c r="AB80" i="56"/>
  <c r="AG84" i="56"/>
  <c r="Y85" i="56"/>
  <c r="AE85" i="56"/>
  <c r="AF91" i="56"/>
  <c r="V93" i="56"/>
  <c r="AC93" i="56"/>
  <c r="AE94" i="56"/>
  <c r="AE95" i="56"/>
  <c r="Z96" i="56"/>
  <c r="AF96" i="56"/>
  <c r="AF131" i="54"/>
  <c r="AF257" i="54"/>
  <c r="Z87" i="56"/>
  <c r="AE87" i="56"/>
  <c r="AA88" i="56"/>
  <c r="AE93" i="56"/>
  <c r="AA96" i="56"/>
  <c r="G122" i="20"/>
  <c r="H122" i="20" s="1"/>
  <c r="J122" i="20" s="1"/>
  <c r="V127" i="54"/>
  <c r="AB127" i="54"/>
  <c r="AG127" i="54"/>
  <c r="V131" i="54"/>
  <c r="AB131" i="54"/>
  <c r="AG131" i="54"/>
  <c r="AF141" i="54"/>
  <c r="V151" i="54"/>
  <c r="AD151" i="54"/>
  <c r="AF156" i="54"/>
  <c r="AA157" i="54"/>
  <c r="W166" i="54"/>
  <c r="AE166" i="54"/>
  <c r="AA196" i="54"/>
  <c r="Z210" i="54"/>
  <c r="AG210" i="54"/>
  <c r="AG216" i="54"/>
  <c r="W222" i="54"/>
  <c r="AG222" i="54"/>
  <c r="AB237" i="54"/>
  <c r="AG237" i="54"/>
  <c r="AD246" i="54"/>
  <c r="AB249" i="54"/>
  <c r="Y266" i="54"/>
  <c r="AA269" i="54"/>
  <c r="AG269" i="54"/>
  <c r="Z271" i="54"/>
  <c r="AE271" i="54"/>
  <c r="AF20" i="56"/>
  <c r="AB22" i="56"/>
  <c r="AB28" i="56"/>
  <c r="AF28" i="56"/>
  <c r="V36" i="56"/>
  <c r="V49" i="56"/>
  <c r="AE49" i="56"/>
  <c r="X58" i="56"/>
  <c r="V63" i="56"/>
  <c r="AB70" i="56"/>
  <c r="V75" i="56"/>
  <c r="AA75" i="56"/>
  <c r="AG75" i="56"/>
  <c r="AF76" i="56"/>
  <c r="W85" i="56"/>
  <c r="AB85" i="56"/>
  <c r="AG85" i="56"/>
  <c r="AA87" i="56"/>
  <c r="V96" i="56"/>
  <c r="AD96" i="56"/>
  <c r="AC97" i="56"/>
  <c r="AE98" i="56"/>
  <c r="W99" i="56"/>
  <c r="Y111" i="56"/>
  <c r="AD131" i="56"/>
  <c r="AG137" i="56"/>
  <c r="AE134" i="1"/>
  <c r="AB88" i="54"/>
  <c r="V92" i="54"/>
  <c r="AB92" i="54"/>
  <c r="AG92" i="54"/>
  <c r="V108" i="54"/>
  <c r="AB108" i="54"/>
  <c r="AG108" i="54"/>
  <c r="AE116" i="54"/>
  <c r="X116" i="54"/>
  <c r="AC116" i="54"/>
  <c r="AG118" i="54"/>
  <c r="AE127" i="54"/>
  <c r="AE133" i="54"/>
  <c r="X133" i="54"/>
  <c r="AC133" i="54"/>
  <c r="AB139" i="54"/>
  <c r="AG139" i="54"/>
  <c r="AG148" i="54"/>
  <c r="X151" i="54"/>
  <c r="AE151" i="54"/>
  <c r="AB156" i="54"/>
  <c r="AG156" i="54"/>
  <c r="Y166" i="54"/>
  <c r="AF166" i="54"/>
  <c r="Y222" i="54"/>
  <c r="AF228" i="54"/>
  <c r="AD229" i="54"/>
  <c r="W269" i="54"/>
  <c r="AC269" i="54"/>
  <c r="AE270" i="54"/>
  <c r="X270" i="54"/>
  <c r="AC270" i="54"/>
  <c r="AS272" i="54"/>
  <c r="AS256" i="54"/>
  <c r="AS252" i="54"/>
  <c r="AS248" i="54"/>
  <c r="AS244" i="54"/>
  <c r="AS240" i="54"/>
  <c r="AS236" i="54"/>
  <c r="AS232" i="54"/>
  <c r="AS228" i="54"/>
  <c r="AS224" i="54"/>
  <c r="AS220" i="54"/>
  <c r="AS216" i="54"/>
  <c r="AS212" i="54"/>
  <c r="AS208" i="54"/>
  <c r="AS204" i="54"/>
  <c r="AS67" i="54"/>
  <c r="AS71" i="54"/>
  <c r="AS75" i="54"/>
  <c r="AS79" i="54"/>
  <c r="AS83" i="54"/>
  <c r="AS87" i="54"/>
  <c r="AS91" i="54"/>
  <c r="AS95" i="54"/>
  <c r="AS99" i="54"/>
  <c r="AS103" i="54"/>
  <c r="AS107" i="54"/>
  <c r="AS111" i="54"/>
  <c r="AS115" i="54"/>
  <c r="AS119" i="54"/>
  <c r="AS123" i="54"/>
  <c r="AS127" i="54"/>
  <c r="AS131" i="54"/>
  <c r="AS135" i="54"/>
  <c r="AS139" i="54"/>
  <c r="AS143" i="54"/>
  <c r="AS147" i="54"/>
  <c r="AS151" i="54"/>
  <c r="AS155" i="54"/>
  <c r="AS159" i="54"/>
  <c r="AS163" i="54"/>
  <c r="AS167" i="54"/>
  <c r="AS171" i="54"/>
  <c r="AS175" i="54"/>
  <c r="AS179" i="54"/>
  <c r="AS183" i="54"/>
  <c r="AS187" i="54"/>
  <c r="AS191" i="54"/>
  <c r="AS52" i="54"/>
  <c r="AS13" i="54"/>
  <c r="AS17" i="54"/>
  <c r="AS21" i="54"/>
  <c r="AS25" i="54"/>
  <c r="AS29" i="54"/>
  <c r="AS33" i="54"/>
  <c r="AS37" i="54"/>
  <c r="AS41" i="54"/>
  <c r="AS45" i="54"/>
  <c r="AS271" i="54"/>
  <c r="AS255" i="54"/>
  <c r="AS251" i="54"/>
  <c r="AS247" i="54"/>
  <c r="AS243" i="54"/>
  <c r="AS239" i="54"/>
  <c r="AS235" i="54"/>
  <c r="AS231" i="54"/>
  <c r="AS227" i="54"/>
  <c r="AS223" i="54"/>
  <c r="AS219" i="54"/>
  <c r="AS215" i="54"/>
  <c r="AS211" i="54"/>
  <c r="AS207" i="54"/>
  <c r="AS197" i="54"/>
  <c r="AS68" i="54"/>
  <c r="AS72" i="54"/>
  <c r="AS76" i="54"/>
  <c r="AS80" i="54"/>
  <c r="AS84" i="54"/>
  <c r="AS88" i="54"/>
  <c r="AS92" i="54"/>
  <c r="AS96" i="54"/>
  <c r="AS100" i="54"/>
  <c r="AS104" i="54"/>
  <c r="AS108" i="54"/>
  <c r="AS112" i="54"/>
  <c r="AS116" i="54"/>
  <c r="AS120" i="54"/>
  <c r="AS124" i="54"/>
  <c r="AS128" i="54"/>
  <c r="AS132" i="54"/>
  <c r="AS136" i="54"/>
  <c r="AS140" i="54"/>
  <c r="AS144" i="54"/>
  <c r="AS148" i="54"/>
  <c r="AS152" i="54"/>
  <c r="AS156" i="54"/>
  <c r="AS160" i="54"/>
  <c r="AS164" i="54"/>
  <c r="AS168" i="54"/>
  <c r="AS172" i="54"/>
  <c r="AS176" i="54"/>
  <c r="AS180" i="54"/>
  <c r="AS184" i="54"/>
  <c r="AS188" i="54"/>
  <c r="AS65" i="54"/>
  <c r="AS51" i="54"/>
  <c r="AS14" i="54"/>
  <c r="AS18" i="54"/>
  <c r="AS22" i="54"/>
  <c r="AS26" i="54"/>
  <c r="AS30" i="54"/>
  <c r="AS34" i="54"/>
  <c r="AS38" i="54"/>
  <c r="AS42" i="54"/>
  <c r="AS11" i="54"/>
  <c r="AS270" i="54"/>
  <c r="AS254" i="54"/>
  <c r="AS250" i="54"/>
  <c r="AS246" i="54"/>
  <c r="AS242" i="54"/>
  <c r="AS238" i="54"/>
  <c r="AS234" i="54"/>
  <c r="AS230" i="54"/>
  <c r="AS226" i="54"/>
  <c r="AS222" i="54"/>
  <c r="AS218" i="54"/>
  <c r="AS214" i="54"/>
  <c r="AS210" i="54"/>
  <c r="AS206" i="54"/>
  <c r="AS196" i="54"/>
  <c r="AS69" i="54"/>
  <c r="AS73" i="54"/>
  <c r="AS77" i="54"/>
  <c r="AS81" i="54"/>
  <c r="AS85" i="54"/>
  <c r="AS89" i="54"/>
  <c r="AS93" i="54"/>
  <c r="AS97" i="54"/>
  <c r="AS101" i="54"/>
  <c r="AS105" i="54"/>
  <c r="AS109" i="54"/>
  <c r="AS113" i="54"/>
  <c r="AS117" i="54"/>
  <c r="AS121" i="54"/>
  <c r="AS125" i="54"/>
  <c r="AS129" i="54"/>
  <c r="AS133" i="54"/>
  <c r="AS137" i="54"/>
  <c r="AS141" i="54"/>
  <c r="AS145" i="54"/>
  <c r="AS149" i="54"/>
  <c r="AS153" i="54"/>
  <c r="AS157" i="54"/>
  <c r="AS161" i="54"/>
  <c r="AS165" i="54"/>
  <c r="AS169" i="54"/>
  <c r="AS173" i="54"/>
  <c r="AS177" i="54"/>
  <c r="AS181" i="54"/>
  <c r="AS185" i="54"/>
  <c r="AS189" i="54"/>
  <c r="AS58" i="54"/>
  <c r="AS50" i="54"/>
  <c r="AS15" i="54"/>
  <c r="AS19" i="54"/>
  <c r="AS23" i="54"/>
  <c r="AS27" i="54"/>
  <c r="AS31" i="54"/>
  <c r="AS35" i="54"/>
  <c r="AS39" i="54"/>
  <c r="AS43" i="54"/>
  <c r="AS257" i="54"/>
  <c r="AS253" i="54"/>
  <c r="AS249" i="54"/>
  <c r="AS245" i="54"/>
  <c r="AS241" i="54"/>
  <c r="AS237" i="54"/>
  <c r="AS233" i="54"/>
  <c r="AS229" i="54"/>
  <c r="AS225" i="54"/>
  <c r="AS221" i="54"/>
  <c r="AS217" i="54"/>
  <c r="AS213" i="54"/>
  <c r="AS209" i="54"/>
  <c r="AS205" i="54"/>
  <c r="AS66" i="54"/>
  <c r="AS70" i="54"/>
  <c r="AS74" i="54"/>
  <c r="AS78" i="54"/>
  <c r="AS82" i="54"/>
  <c r="AS86" i="54"/>
  <c r="AS90" i="54"/>
  <c r="AS94" i="54"/>
  <c r="AS98" i="54"/>
  <c r="AS102" i="54"/>
  <c r="AS106" i="54"/>
  <c r="AS110" i="54"/>
  <c r="AS114" i="54"/>
  <c r="AS118" i="54"/>
  <c r="AS122" i="54"/>
  <c r="AS126" i="54"/>
  <c r="AS130" i="54"/>
  <c r="AS134" i="54"/>
  <c r="AS138" i="54"/>
  <c r="AS142" i="54"/>
  <c r="AS146" i="54"/>
  <c r="AS150" i="54"/>
  <c r="AS154" i="54"/>
  <c r="AS158" i="54"/>
  <c r="AS162" i="54"/>
  <c r="AS166" i="54"/>
  <c r="AS170" i="54"/>
  <c r="AS174" i="54"/>
  <c r="AS178" i="54"/>
  <c r="AS182" i="54"/>
  <c r="AS186" i="54"/>
  <c r="AS190" i="54"/>
  <c r="AS57" i="54"/>
  <c r="AS12" i="54"/>
  <c r="AS16" i="54"/>
  <c r="AS20" i="54"/>
  <c r="AS24" i="54"/>
  <c r="AS28" i="54"/>
  <c r="AS32" i="54"/>
  <c r="AS36" i="54"/>
  <c r="AS40" i="54"/>
  <c r="AS44" i="54"/>
  <c r="X32" i="56"/>
  <c r="AE32" i="56"/>
  <c r="AA36" i="56"/>
  <c r="W49" i="56"/>
  <c r="AC57" i="56"/>
  <c r="AA58" i="56"/>
  <c r="Z64" i="56"/>
  <c r="Z74" i="56"/>
  <c r="W75" i="56"/>
  <c r="AC75" i="56"/>
  <c r="X85" i="56"/>
  <c r="AC85" i="56"/>
  <c r="AE96" i="56"/>
  <c r="AF70" i="54"/>
  <c r="AF78" i="54"/>
  <c r="AF94" i="54"/>
  <c r="AF150" i="54"/>
  <c r="AB215" i="54"/>
  <c r="W14" i="54"/>
  <c r="AG15" i="54"/>
  <c r="W18" i="54"/>
  <c r="AG19" i="54"/>
  <c r="W22" i="54"/>
  <c r="AG32" i="54"/>
  <c r="AF33" i="54"/>
  <c r="AA35" i="54"/>
  <c r="AG35" i="54"/>
  <c r="AF39" i="54"/>
  <c r="Y39" i="54"/>
  <c r="AE42" i="54"/>
  <c r="Y42" i="54"/>
  <c r="AB43" i="54"/>
  <c r="Z44" i="54"/>
  <c r="AD49" i="54"/>
  <c r="AD55" i="54"/>
  <c r="AA58" i="54"/>
  <c r="V70" i="54"/>
  <c r="AB70" i="54"/>
  <c r="AG70" i="54"/>
  <c r="AA71" i="54"/>
  <c r="Y72" i="54"/>
  <c r="AE76" i="54"/>
  <c r="X76" i="54"/>
  <c r="AC76" i="54"/>
  <c r="V78" i="54"/>
  <c r="AB78" i="54"/>
  <c r="AE84" i="54"/>
  <c r="AE86" i="54"/>
  <c r="X86" i="54"/>
  <c r="W87" i="54"/>
  <c r="X88" i="54"/>
  <c r="Y90" i="54"/>
  <c r="AD90" i="54"/>
  <c r="V91" i="54"/>
  <c r="AF91" i="54"/>
  <c r="Y92" i="54"/>
  <c r="AD92" i="54"/>
  <c r="AD93" i="54"/>
  <c r="X102" i="54"/>
  <c r="AC102" i="54"/>
  <c r="AE110" i="54"/>
  <c r="X110" i="54"/>
  <c r="AC110" i="54"/>
  <c r="X113" i="54"/>
  <c r="AF116" i="54"/>
  <c r="X117" i="54"/>
  <c r="AE117" i="54"/>
  <c r="Y118" i="54"/>
  <c r="AD121" i="54"/>
  <c r="AG122" i="54"/>
  <c r="AE122" i="54"/>
  <c r="V125" i="54"/>
  <c r="AB125" i="54"/>
  <c r="AG125" i="54"/>
  <c r="Y127" i="54"/>
  <c r="Y129" i="54"/>
  <c r="AE131" i="54"/>
  <c r="X131" i="54"/>
  <c r="AC131" i="54"/>
  <c r="AF133" i="54"/>
  <c r="AF134" i="54"/>
  <c r="Z134" i="54"/>
  <c r="AE139" i="54"/>
  <c r="X139" i="54"/>
  <c r="AC139" i="54"/>
  <c r="V141" i="54"/>
  <c r="AB141" i="54"/>
  <c r="AG141" i="54"/>
  <c r="AB149" i="54"/>
  <c r="V150" i="54"/>
  <c r="AB150" i="54"/>
  <c r="AG150" i="54"/>
  <c r="AA151" i="54"/>
  <c r="AA155" i="54"/>
  <c r="AE156" i="54"/>
  <c r="X156" i="54"/>
  <c r="AC156" i="54"/>
  <c r="AE160" i="54"/>
  <c r="V173" i="54"/>
  <c r="AG173" i="54"/>
  <c r="AB174" i="54"/>
  <c r="X176" i="54"/>
  <c r="Y177" i="54"/>
  <c r="AE182" i="54"/>
  <c r="AC183" i="54"/>
  <c r="AE184" i="54"/>
  <c r="Y185" i="54"/>
  <c r="AD187" i="54"/>
  <c r="AD195" i="54"/>
  <c r="Y207" i="54"/>
  <c r="Z216" i="54"/>
  <c r="AA218" i="54"/>
  <c r="AG218" i="54"/>
  <c r="V229" i="54"/>
  <c r="AE237" i="54"/>
  <c r="AG30" i="54"/>
  <c r="AG37" i="54"/>
  <c r="Y38" i="54"/>
  <c r="AB39" i="54"/>
  <c r="AA42" i="54"/>
  <c r="AA69" i="54"/>
  <c r="Z69" i="54"/>
  <c r="AE70" i="54"/>
  <c r="X70" i="54"/>
  <c r="AC70" i="54"/>
  <c r="AG78" i="54"/>
  <c r="Y88" i="54"/>
  <c r="AD88" i="54"/>
  <c r="Z91" i="54"/>
  <c r="AE94" i="54"/>
  <c r="X94" i="54"/>
  <c r="AC94" i="54"/>
  <c r="AE98" i="54"/>
  <c r="AC98" i="54"/>
  <c r="AF100" i="54"/>
  <c r="X101" i="54"/>
  <c r="AE101" i="54"/>
  <c r="Y102" i="54"/>
  <c r="Z109" i="54"/>
  <c r="AF109" i="54"/>
  <c r="AF115" i="54"/>
  <c r="AG120" i="54"/>
  <c r="AA120" i="54"/>
  <c r="Y121" i="54"/>
  <c r="AE125" i="54"/>
  <c r="X125" i="54"/>
  <c r="AC125" i="54"/>
  <c r="Y131" i="54"/>
  <c r="AD131" i="54"/>
  <c r="AD134" i="54"/>
  <c r="AE135" i="54"/>
  <c r="AE143" i="54"/>
  <c r="Y145" i="54"/>
  <c r="AE145" i="54"/>
  <c r="AE146" i="54"/>
  <c r="AB155" i="54"/>
  <c r="Y156" i="54"/>
  <c r="AD156" i="54"/>
  <c r="Y158" i="54"/>
  <c r="AD158" i="54"/>
  <c r="AB166" i="54"/>
  <c r="Z169" i="54"/>
  <c r="AG169" i="54"/>
  <c r="Y173" i="54"/>
  <c r="AD179" i="54"/>
  <c r="AC180" i="54"/>
  <c r="AA207" i="54"/>
  <c r="W214" i="54"/>
  <c r="Y215" i="54"/>
  <c r="AF215" i="54"/>
  <c r="AB218" i="54"/>
  <c r="Y229" i="54"/>
  <c r="AG38" i="54"/>
  <c r="Y70" i="54"/>
  <c r="AD70" i="54"/>
  <c r="Y78" i="54"/>
  <c r="AD78" i="54"/>
  <c r="AF84" i="54"/>
  <c r="AD87" i="54"/>
  <c r="AA91" i="54"/>
  <c r="Z93" i="54"/>
  <c r="AF93" i="54"/>
  <c r="AF102" i="54"/>
  <c r="AF110" i="54"/>
  <c r="AE120" i="54"/>
  <c r="Z121" i="54"/>
  <c r="AG121" i="54"/>
  <c r="Y125" i="54"/>
  <c r="AF139" i="54"/>
  <c r="Y141" i="54"/>
  <c r="AF158" i="54"/>
  <c r="AC162" i="54"/>
  <c r="AA173" i="54"/>
  <c r="AE211" i="54"/>
  <c r="AA215" i="54"/>
  <c r="AG215" i="54"/>
  <c r="AA229" i="54"/>
  <c r="V252" i="54"/>
  <c r="AA252" i="54"/>
  <c r="AF252" i="54"/>
  <c r="AE266" i="54"/>
  <c r="X266" i="54"/>
  <c r="AC266" i="54"/>
  <c r="Y270" i="54"/>
  <c r="AB271" i="54"/>
  <c r="Z12" i="56"/>
  <c r="AC17" i="56"/>
  <c r="Y18" i="56"/>
  <c r="AG18" i="56"/>
  <c r="X20" i="56"/>
  <c r="AC20" i="56"/>
  <c r="Y23" i="56"/>
  <c r="Y24" i="56"/>
  <c r="V27" i="56"/>
  <c r="AG27" i="56"/>
  <c r="V28" i="56"/>
  <c r="AG28" i="56"/>
  <c r="AD60" i="56"/>
  <c r="AF61" i="56"/>
  <c r="W63" i="56"/>
  <c r="AB63" i="56"/>
  <c r="W64" i="56"/>
  <c r="V65" i="56"/>
  <c r="AB65" i="56"/>
  <c r="X71" i="56"/>
  <c r="AD71" i="56"/>
  <c r="AG73" i="56"/>
  <c r="X76" i="56"/>
  <c r="AC76" i="56"/>
  <c r="W77" i="56"/>
  <c r="W79" i="56"/>
  <c r="AC79" i="56"/>
  <c r="AA81" i="56"/>
  <c r="AF81" i="56"/>
  <c r="V83" i="56"/>
  <c r="W87" i="56"/>
  <c r="AC87" i="56"/>
  <c r="V92" i="56"/>
  <c r="AB92" i="56"/>
  <c r="Z93" i="56"/>
  <c r="AG93" i="56"/>
  <c r="V94" i="56"/>
  <c r="AB94" i="56"/>
  <c r="AG94" i="56"/>
  <c r="W97" i="56"/>
  <c r="X98" i="56"/>
  <c r="AC98" i="56"/>
  <c r="Y99" i="56"/>
  <c r="AF99" i="56"/>
  <c r="AA101" i="56"/>
  <c r="AB102" i="56"/>
  <c r="W109" i="56"/>
  <c r="Z117" i="56"/>
  <c r="AB127" i="56"/>
  <c r="V128" i="56"/>
  <c r="AC128" i="56"/>
  <c r="AC133" i="56"/>
  <c r="W135" i="56"/>
  <c r="X142" i="56"/>
  <c r="AG229" i="54"/>
  <c r="X237" i="54"/>
  <c r="AB239" i="54"/>
  <c r="AG239" i="54"/>
  <c r="Y241" i="54"/>
  <c r="W242" i="54"/>
  <c r="AF245" i="54"/>
  <c r="AE253" i="54"/>
  <c r="AD254" i="54"/>
  <c r="V257" i="54"/>
  <c r="AB257" i="54"/>
  <c r="AG257" i="54"/>
  <c r="AF270" i="54"/>
  <c r="AD271" i="54"/>
  <c r="AE17" i="56"/>
  <c r="Y17" i="56"/>
  <c r="AD17" i="56"/>
  <c r="AE18" i="56"/>
  <c r="AB18" i="56"/>
  <c r="AE20" i="56"/>
  <c r="Y20" i="56"/>
  <c r="AD20" i="56"/>
  <c r="AE23" i="56"/>
  <c r="W27" i="56"/>
  <c r="X28" i="56"/>
  <c r="AC28" i="56"/>
  <c r="AE30" i="56"/>
  <c r="X46" i="56"/>
  <c r="AG65" i="56"/>
  <c r="AA67" i="56"/>
  <c r="AC70" i="56"/>
  <c r="AA70" i="56"/>
  <c r="AG70" i="56"/>
  <c r="W72" i="56"/>
  <c r="AB73" i="56"/>
  <c r="AE76" i="56"/>
  <c r="AD76" i="56"/>
  <c r="Y79" i="56"/>
  <c r="AD79" i="56"/>
  <c r="AG80" i="56"/>
  <c r="Y87" i="56"/>
  <c r="AD87" i="56"/>
  <c r="V88" i="56"/>
  <c r="AD88" i="56"/>
  <c r="Y89" i="56"/>
  <c r="AE89" i="56"/>
  <c r="AB90" i="56"/>
  <c r="AG90" i="56"/>
  <c r="X94" i="56"/>
  <c r="AC94" i="56"/>
  <c r="Y97" i="56"/>
  <c r="AA99" i="56"/>
  <c r="AG99" i="56"/>
  <c r="Z105" i="56"/>
  <c r="AE107" i="56"/>
  <c r="Z109" i="56"/>
  <c r="AG109" i="56"/>
  <c r="X131" i="56"/>
  <c r="AE131" i="56"/>
  <c r="AB135" i="56"/>
  <c r="Z143" i="56"/>
  <c r="AF143" i="56"/>
  <c r="Y144" i="56"/>
  <c r="AE145" i="56"/>
  <c r="AC153" i="56"/>
  <c r="Y161" i="56"/>
  <c r="Y237" i="54"/>
  <c r="AD237" i="54"/>
  <c r="AE249" i="54"/>
  <c r="X249" i="54"/>
  <c r="AE257" i="54"/>
  <c r="AG266" i="54"/>
  <c r="AF266" i="54"/>
  <c r="AD23" i="56"/>
  <c r="AA27" i="56"/>
  <c r="AE28" i="56"/>
  <c r="Y28" i="56"/>
  <c r="AD28" i="56"/>
  <c r="AD65" i="56"/>
  <c r="V78" i="56"/>
  <c r="AE80" i="56"/>
  <c r="Y80" i="56"/>
  <c r="V86" i="56"/>
  <c r="Y94" i="56"/>
  <c r="AD94" i="56"/>
  <c r="AB99" i="56"/>
  <c r="AF237" i="54"/>
  <c r="Y239" i="54"/>
  <c r="Y249" i="54"/>
  <c r="Y257" i="54"/>
  <c r="AD257" i="54"/>
  <c r="Y30" i="56"/>
  <c r="AC30" i="56"/>
  <c r="AG30" i="56"/>
  <c r="W35" i="56"/>
  <c r="AE35" i="56"/>
  <c r="AG46" i="56"/>
  <c r="AG87" i="56"/>
  <c r="AA92" i="56"/>
  <c r="AF94" i="56"/>
  <c r="AG98" i="56"/>
  <c r="V114" i="56"/>
  <c r="AG114" i="56"/>
  <c r="AB115" i="56"/>
  <c r="X130" i="56"/>
  <c r="AD143" i="56"/>
  <c r="AC168" i="56"/>
  <c r="W12" i="54"/>
  <c r="AG23" i="54"/>
  <c r="Y27" i="54"/>
  <c r="AD34" i="54"/>
  <c r="AE31" i="54"/>
  <c r="W16" i="54"/>
  <c r="AD17" i="54"/>
  <c r="AC17" i="54"/>
  <c r="W20" i="54"/>
  <c r="AD23" i="54"/>
  <c r="AC23" i="54"/>
  <c r="W31" i="54"/>
  <c r="AG31" i="54"/>
  <c r="Y34" i="54"/>
  <c r="AE14" i="54"/>
  <c r="AE18" i="54"/>
  <c r="Y23" i="54"/>
  <c r="AF24" i="54"/>
  <c r="AD25" i="54"/>
  <c r="AC25" i="54"/>
  <c r="AG27" i="54"/>
  <c r="AA30" i="54"/>
  <c r="AB31" i="54"/>
  <c r="AA33" i="54"/>
  <c r="AA34" i="54"/>
  <c r="AD38" i="54"/>
  <c r="AG40" i="54"/>
  <c r="AF41" i="54"/>
  <c r="AE43" i="54"/>
  <c r="AG45" i="54"/>
  <c r="V49" i="54"/>
  <c r="AA49" i="54"/>
  <c r="AF49" i="54"/>
  <c r="AF52" i="54"/>
  <c r="V55" i="54"/>
  <c r="AA55" i="54"/>
  <c r="AF55" i="54"/>
  <c r="X56" i="54"/>
  <c r="AG56" i="54"/>
  <c r="AF67" i="54"/>
  <c r="AF69" i="54"/>
  <c r="AA79" i="54"/>
  <c r="AF80" i="54"/>
  <c r="AA85" i="54"/>
  <c r="AF86" i="54"/>
  <c r="AE95" i="54"/>
  <c r="AG100" i="54"/>
  <c r="AA101" i="54"/>
  <c r="AD101" i="54"/>
  <c r="AF112" i="54"/>
  <c r="AE114" i="54"/>
  <c r="AG116" i="54"/>
  <c r="AA117" i="54"/>
  <c r="AD117" i="54"/>
  <c r="AA124" i="54"/>
  <c r="AD124" i="54"/>
  <c r="AE126" i="54"/>
  <c r="AF137" i="54"/>
  <c r="AG191" i="54"/>
  <c r="AB195" i="54"/>
  <c r="V196" i="54"/>
  <c r="W206" i="54"/>
  <c r="AC207" i="54"/>
  <c r="AA208" i="54"/>
  <c r="Y210" i="54"/>
  <c r="AE210" i="54"/>
  <c r="AC211" i="54"/>
  <c r="W215" i="54"/>
  <c r="AE215" i="54"/>
  <c r="AC216" i="54"/>
  <c r="AD217" i="54"/>
  <c r="W218" i="54"/>
  <c r="AE218" i="54"/>
  <c r="AC222" i="54"/>
  <c r="AC224" i="54"/>
  <c r="AG224" i="54"/>
  <c r="AG232" i="54"/>
  <c r="AA234" i="54"/>
  <c r="V236" i="54"/>
  <c r="AF243" i="54"/>
  <c r="W49" i="54"/>
  <c r="AB49" i="54"/>
  <c r="W55" i="54"/>
  <c r="AB55" i="54"/>
  <c r="AA56" i="54"/>
  <c r="V67" i="54"/>
  <c r="AG68" i="54"/>
  <c r="AF68" i="54"/>
  <c r="V69" i="54"/>
  <c r="AD73" i="54"/>
  <c r="Y74" i="54"/>
  <c r="W75" i="54"/>
  <c r="Y76" i="54"/>
  <c r="AD76" i="54"/>
  <c r="AG76" i="54"/>
  <c r="AD79" i="54"/>
  <c r="V80" i="54"/>
  <c r="AB80" i="54"/>
  <c r="AG80" i="54"/>
  <c r="AD81" i="54"/>
  <c r="Y82" i="54"/>
  <c r="V84" i="54"/>
  <c r="AB84" i="54"/>
  <c r="AG84" i="54"/>
  <c r="V85" i="54"/>
  <c r="AD85" i="54"/>
  <c r="AB87" i="54"/>
  <c r="X89" i="54"/>
  <c r="AG90" i="54"/>
  <c r="AF90" i="54"/>
  <c r="AB91" i="54"/>
  <c r="AE92" i="54"/>
  <c r="X92" i="54"/>
  <c r="AC92" i="54"/>
  <c r="X93" i="54"/>
  <c r="AE93" i="54"/>
  <c r="V94" i="54"/>
  <c r="AB94" i="54"/>
  <c r="AG94" i="54"/>
  <c r="X95" i="54"/>
  <c r="Y96" i="54"/>
  <c r="W97" i="54"/>
  <c r="AF99" i="54"/>
  <c r="V100" i="54"/>
  <c r="AE103" i="54"/>
  <c r="W105" i="54"/>
  <c r="AE108" i="54"/>
  <c r="X108" i="54"/>
  <c r="AC108" i="54"/>
  <c r="X109" i="54"/>
  <c r="AE109" i="54"/>
  <c r="V110" i="54"/>
  <c r="AB110" i="54"/>
  <c r="AG110" i="54"/>
  <c r="AF111" i="54"/>
  <c r="Z111" i="54"/>
  <c r="AB112" i="54"/>
  <c r="AG112" i="54"/>
  <c r="AF113" i="54"/>
  <c r="AD113" i="54"/>
  <c r="Y114" i="54"/>
  <c r="V116" i="54"/>
  <c r="V117" i="54"/>
  <c r="AF120" i="54"/>
  <c r="AA121" i="54"/>
  <c r="Y123" i="54"/>
  <c r="V124" i="54"/>
  <c r="X126" i="54"/>
  <c r="AF127" i="54"/>
  <c r="X128" i="54"/>
  <c r="AE129" i="54"/>
  <c r="AA132" i="54"/>
  <c r="AE134" i="54"/>
  <c r="Y139" i="54"/>
  <c r="AD139" i="54"/>
  <c r="Z140" i="54"/>
  <c r="AF140" i="54"/>
  <c r="AE141" i="54"/>
  <c r="X141" i="54"/>
  <c r="AC141" i="54"/>
  <c r="AD142" i="54"/>
  <c r="Z145" i="54"/>
  <c r="AB146" i="54"/>
  <c r="AG146" i="54"/>
  <c r="AB147" i="54"/>
  <c r="AF147" i="54"/>
  <c r="AE150" i="54"/>
  <c r="X150" i="54"/>
  <c r="AC150" i="54"/>
  <c r="Y150" i="54"/>
  <c r="AC152" i="54"/>
  <c r="AE154" i="54"/>
  <c r="AA159" i="54"/>
  <c r="W171" i="54"/>
  <c r="V175" i="54"/>
  <c r="AG177" i="54"/>
  <c r="V181" i="54"/>
  <c r="AB186" i="54"/>
  <c r="AA188" i="54"/>
  <c r="V195" i="54"/>
  <c r="AC195" i="54"/>
  <c r="AC213" i="54"/>
  <c r="AB226" i="54"/>
  <c r="AB234" i="54"/>
  <c r="AG243" i="54"/>
  <c r="AG34" i="54"/>
  <c r="Z36" i="54"/>
  <c r="Z38" i="54"/>
  <c r="AA43" i="54"/>
  <c r="AG43" i="54"/>
  <c r="AC56" i="54"/>
  <c r="AF72" i="54"/>
  <c r="AE74" i="54"/>
  <c r="AF76" i="54"/>
  <c r="X79" i="54"/>
  <c r="AE79" i="54"/>
  <c r="X80" i="54"/>
  <c r="AC80" i="54"/>
  <c r="Y80" i="54"/>
  <c r="AE82" i="54"/>
  <c r="AF82" i="54"/>
  <c r="X84" i="54"/>
  <c r="AC84" i="54"/>
  <c r="Y84" i="54"/>
  <c r="X85" i="54"/>
  <c r="AE85" i="54"/>
  <c r="AC86" i="54"/>
  <c r="AE106" i="54"/>
  <c r="AG106" i="54"/>
  <c r="AF114" i="54"/>
  <c r="V121" i="54"/>
  <c r="AG123" i="54"/>
  <c r="Z123" i="54"/>
  <c r="X124" i="54"/>
  <c r="AE124" i="54"/>
  <c r="AF126" i="54"/>
  <c r="Z126" i="54"/>
  <c r="AF128" i="54"/>
  <c r="AD128" i="54"/>
  <c r="AF130" i="54"/>
  <c r="AF135" i="54"/>
  <c r="AE137" i="54"/>
  <c r="AA140" i="54"/>
  <c r="AD140" i="54"/>
  <c r="AE142" i="54"/>
  <c r="AF144" i="54"/>
  <c r="V145" i="54"/>
  <c r="AF148" i="54"/>
  <c r="AD150" i="54"/>
  <c r="AD153" i="54"/>
  <c r="AF155" i="54"/>
  <c r="V158" i="54"/>
  <c r="AB158" i="54"/>
  <c r="AG158" i="54"/>
  <c r="V159" i="54"/>
  <c r="AE159" i="54"/>
  <c r="V161" i="54"/>
  <c r="AD161" i="54"/>
  <c r="W162" i="54"/>
  <c r="AA164" i="54"/>
  <c r="Y165" i="54"/>
  <c r="AA166" i="54"/>
  <c r="AG166" i="54"/>
  <c r="X168" i="54"/>
  <c r="AD169" i="54"/>
  <c r="AC170" i="54"/>
  <c r="AC171" i="54"/>
  <c r="AC172" i="54"/>
  <c r="AC173" i="54"/>
  <c r="AA174" i="54"/>
  <c r="AG174" i="54"/>
  <c r="AE176" i="54"/>
  <c r="AA181" i="54"/>
  <c r="AC186" i="54"/>
  <c r="AC188" i="54"/>
  <c r="AG188" i="54"/>
  <c r="AD210" i="54"/>
  <c r="W213" i="54"/>
  <c r="AG213" i="54"/>
  <c r="AD221" i="54"/>
  <c r="Z223" i="54"/>
  <c r="AE226" i="54"/>
  <c r="X228" i="54"/>
  <c r="AF234" i="54"/>
  <c r="AG241" i="54"/>
  <c r="AF241" i="54"/>
  <c r="Y25" i="54"/>
  <c r="AF26" i="54"/>
  <c r="AD27" i="54"/>
  <c r="AC27" i="54"/>
  <c r="Z30" i="54"/>
  <c r="AF31" i="54"/>
  <c r="Y31" i="54"/>
  <c r="AE34" i="54"/>
  <c r="AA38" i="54"/>
  <c r="V38" i="54"/>
  <c r="W43" i="54"/>
  <c r="Z49" i="54"/>
  <c r="AE49" i="54"/>
  <c r="Z55" i="54"/>
  <c r="AE55" i="54"/>
  <c r="W56" i="54"/>
  <c r="AC57" i="54"/>
  <c r="AC60" i="54" s="1"/>
  <c r="AC58" i="54"/>
  <c r="AM60" i="54"/>
  <c r="AB66" i="54"/>
  <c r="AB67" i="54"/>
  <c r="AB69" i="54"/>
  <c r="V72" i="54"/>
  <c r="AB72" i="54"/>
  <c r="AG72" i="54"/>
  <c r="W73" i="54"/>
  <c r="V74" i="54"/>
  <c r="AB74" i="54"/>
  <c r="AG74" i="54"/>
  <c r="AE77" i="54"/>
  <c r="AA77" i="54"/>
  <c r="AE78" i="54"/>
  <c r="X78" i="54"/>
  <c r="AC78" i="54"/>
  <c r="Z79" i="54"/>
  <c r="AF79" i="54"/>
  <c r="AB82" i="54"/>
  <c r="AD84" i="54"/>
  <c r="Z85" i="54"/>
  <c r="AF85" i="54"/>
  <c r="AE88" i="54"/>
  <c r="AB89" i="54"/>
  <c r="AA93" i="54"/>
  <c r="AD95" i="54"/>
  <c r="AG98" i="54"/>
  <c r="Y100" i="54"/>
  <c r="AD100" i="54"/>
  <c r="Z101" i="54"/>
  <c r="AF101" i="54"/>
  <c r="AA109" i="54"/>
  <c r="AE111" i="54"/>
  <c r="Y116" i="54"/>
  <c r="AD116" i="54"/>
  <c r="Z117" i="54"/>
  <c r="AF117" i="54"/>
  <c r="AE118" i="54"/>
  <c r="X118" i="54"/>
  <c r="AC118" i="54"/>
  <c r="AG119" i="54"/>
  <c r="Y122" i="54"/>
  <c r="AD123" i="54"/>
  <c r="Z124" i="54"/>
  <c r="AF124" i="54"/>
  <c r="AD126" i="54"/>
  <c r="AF129" i="54"/>
  <c r="V133" i="54"/>
  <c r="AB133" i="54"/>
  <c r="AG133" i="54"/>
  <c r="V135" i="54"/>
  <c r="AB135" i="54"/>
  <c r="AG135" i="54"/>
  <c r="Y137" i="54"/>
  <c r="V140" i="54"/>
  <c r="X142" i="54"/>
  <c r="AF143" i="54"/>
  <c r="Y146" i="54"/>
  <c r="AF152" i="54"/>
  <c r="V155" i="54"/>
  <c r="AE157" i="54"/>
  <c r="X158" i="54"/>
  <c r="AC158" i="54"/>
  <c r="X159" i="54"/>
  <c r="AG159" i="54"/>
  <c r="Y161" i="54"/>
  <c r="AE161" i="54"/>
  <c r="AB162" i="54"/>
  <c r="AC163" i="54"/>
  <c r="AC165" i="54"/>
  <c r="AG165" i="54"/>
  <c r="AA168" i="54"/>
  <c r="Y169" i="54"/>
  <c r="AE169" i="54"/>
  <c r="AD171" i="54"/>
  <c r="W174" i="54"/>
  <c r="AC175" i="54"/>
  <c r="AD177" i="54"/>
  <c r="AC178" i="54"/>
  <c r="AG178" i="54"/>
  <c r="AC181" i="54"/>
  <c r="W182" i="54"/>
  <c r="AB182" i="54"/>
  <c r="W186" i="54"/>
  <c r="AG186" i="54"/>
  <c r="AA191" i="54"/>
  <c r="Y195" i="54"/>
  <c r="W211" i="54"/>
  <c r="AA213" i="54"/>
  <c r="AC217" i="54"/>
  <c r="AD223" i="54"/>
  <c r="AA224" i="54"/>
  <c r="W225" i="54"/>
  <c r="AE241" i="54"/>
  <c r="AC241" i="54"/>
  <c r="AD243" i="54"/>
  <c r="AA244" i="54"/>
  <c r="AA248" i="54"/>
  <c r="AB250" i="54"/>
  <c r="AF250" i="54"/>
  <c r="Y251" i="54"/>
  <c r="Z252" i="54"/>
  <c r="AE252" i="54"/>
  <c r="AB262" i="54"/>
  <c r="X265" i="54"/>
  <c r="AC265" i="54"/>
  <c r="AM273" i="54"/>
  <c r="W30" i="56"/>
  <c r="AA30" i="56"/>
  <c r="Y37" i="56"/>
  <c r="AG47" i="56"/>
  <c r="AB77" i="56"/>
  <c r="Z83" i="56"/>
  <c r="AE83" i="56"/>
  <c r="AC91" i="56"/>
  <c r="AD100" i="56"/>
  <c r="AB248" i="54"/>
  <c r="V256" i="54"/>
  <c r="W262" i="54"/>
  <c r="Y265" i="54"/>
  <c r="AD265" i="54"/>
  <c r="AD266" i="54"/>
  <c r="V269" i="54"/>
  <c r="AD270" i="54"/>
  <c r="Z13" i="56"/>
  <c r="AC14" i="56"/>
  <c r="AF15" i="56"/>
  <c r="AC31" i="56"/>
  <c r="X34" i="56"/>
  <c r="AF34" i="56"/>
  <c r="AG69" i="56"/>
  <c r="Y69" i="56"/>
  <c r="Z69" i="56"/>
  <c r="AF69" i="56"/>
  <c r="AA78" i="56"/>
  <c r="Z80" i="56"/>
  <c r="AF80" i="56"/>
  <c r="AG83" i="56"/>
  <c r="Z84" i="56"/>
  <c r="AF84" i="56"/>
  <c r="AA86" i="56"/>
  <c r="AC245" i="54"/>
  <c r="AF248" i="54"/>
  <c r="V251" i="54"/>
  <c r="AB251" i="54"/>
  <c r="AG251" i="54"/>
  <c r="AB252" i="54"/>
  <c r="AE255" i="54"/>
  <c r="AB256" i="54"/>
  <c r="AC262" i="54"/>
  <c r="Y262" i="54"/>
  <c r="Z265" i="54"/>
  <c r="AF265" i="54"/>
  <c r="Z266" i="54"/>
  <c r="AB266" i="54"/>
  <c r="Z270" i="54"/>
  <c r="AB270" i="54"/>
  <c r="AG270" i="54"/>
  <c r="Y34" i="56"/>
  <c r="AC34" i="56"/>
  <c r="AD37" i="56"/>
  <c r="X62" i="56"/>
  <c r="AB69" i="56"/>
  <c r="AD78" i="56"/>
  <c r="AC83" i="56"/>
  <c r="AB230" i="54"/>
  <c r="AA232" i="54"/>
  <c r="X234" i="54"/>
  <c r="AA238" i="54"/>
  <c r="AE239" i="54"/>
  <c r="W240" i="54"/>
  <c r="AE243" i="54"/>
  <c r="X243" i="54"/>
  <c r="AC243" i="54"/>
  <c r="Z244" i="54"/>
  <c r="AG244" i="54"/>
  <c r="AB245" i="54"/>
  <c r="AE246" i="54"/>
  <c r="X248" i="54"/>
  <c r="AG249" i="54"/>
  <c r="AF249" i="54"/>
  <c r="Z250" i="54"/>
  <c r="AE251" i="54"/>
  <c r="AC251" i="54"/>
  <c r="X252" i="54"/>
  <c r="AD252" i="54"/>
  <c r="W254" i="54"/>
  <c r="Z257" i="54"/>
  <c r="V265" i="54"/>
  <c r="AB265" i="54"/>
  <c r="V266" i="54"/>
  <c r="V270" i="54"/>
  <c r="AC13" i="56"/>
  <c r="Y14" i="56"/>
  <c r="AG14" i="56"/>
  <c r="Z16" i="56"/>
  <c r="Z17" i="56"/>
  <c r="AC21" i="56"/>
  <c r="AF24" i="56"/>
  <c r="AB25" i="56"/>
  <c r="AD26" i="56"/>
  <c r="AG29" i="56"/>
  <c r="V30" i="56"/>
  <c r="Z30" i="56"/>
  <c r="AD30" i="56"/>
  <c r="AA32" i="56"/>
  <c r="AE33" i="56"/>
  <c r="AE37" i="56"/>
  <c r="Z47" i="56"/>
  <c r="Z78" i="56"/>
  <c r="AE78" i="56"/>
  <c r="X80" i="56"/>
  <c r="AC80" i="56"/>
  <c r="Z86" i="56"/>
  <c r="AE86" i="56"/>
  <c r="AA91" i="56"/>
  <c r="Z61" i="56"/>
  <c r="AA62" i="56"/>
  <c r="Z63" i="56"/>
  <c r="AE63" i="56"/>
  <c r="X69" i="56"/>
  <c r="AC69" i="56"/>
  <c r="AC72" i="56"/>
  <c r="V74" i="56"/>
  <c r="AF74" i="56"/>
  <c r="Y77" i="56"/>
  <c r="AF77" i="56"/>
  <c r="W78" i="56"/>
  <c r="AB78" i="56"/>
  <c r="Y81" i="56"/>
  <c r="Z82" i="56"/>
  <c r="AE82" i="56"/>
  <c r="W83" i="56"/>
  <c r="AB86" i="56"/>
  <c r="AC89" i="56"/>
  <c r="AB95" i="56"/>
  <c r="Z98" i="56"/>
  <c r="AF98" i="56"/>
  <c r="AB103" i="56"/>
  <c r="V111" i="56"/>
  <c r="AB111" i="56"/>
  <c r="AE117" i="56"/>
  <c r="AE139" i="56"/>
  <c r="AF141" i="56"/>
  <c r="AG152" i="56"/>
  <c r="AC18" i="56"/>
  <c r="AD19" i="56"/>
  <c r="W21" i="56"/>
  <c r="AE22" i="56"/>
  <c r="AE24" i="56"/>
  <c r="W26" i="56"/>
  <c r="AC27" i="56"/>
  <c r="Z28" i="56"/>
  <c r="W29" i="56"/>
  <c r="X30" i="56"/>
  <c r="AB30" i="56"/>
  <c r="AF30" i="56"/>
  <c r="Z31" i="56"/>
  <c r="V32" i="56"/>
  <c r="AD32" i="56"/>
  <c r="AA35" i="56"/>
  <c r="AG35" i="56"/>
  <c r="AA46" i="56"/>
  <c r="AA49" i="56"/>
  <c r="AB57" i="56"/>
  <c r="AG57" i="56"/>
  <c r="AB59" i="56"/>
  <c r="AB61" i="56"/>
  <c r="AG61" i="56"/>
  <c r="AF63" i="56"/>
  <c r="AD69" i="56"/>
  <c r="Y70" i="56"/>
  <c r="AF70" i="56"/>
  <c r="V72" i="56"/>
  <c r="AG72" i="56"/>
  <c r="AC77" i="56"/>
  <c r="AA77" i="56"/>
  <c r="AG77" i="56"/>
  <c r="X78" i="56"/>
  <c r="AD80" i="56"/>
  <c r="Y83" i="56"/>
  <c r="AD83" i="56"/>
  <c r="AD84" i="56"/>
  <c r="X86" i="56"/>
  <c r="AD86" i="56"/>
  <c r="AF95" i="56"/>
  <c r="AB100" i="56"/>
  <c r="AG102" i="56"/>
  <c r="AF102" i="56"/>
  <c r="AG103" i="56"/>
  <c r="AC103" i="56"/>
  <c r="X106" i="56"/>
  <c r="W108" i="56"/>
  <c r="AA109" i="56"/>
  <c r="AD110" i="56"/>
  <c r="X111" i="56"/>
  <c r="AC111" i="56"/>
  <c r="W114" i="56"/>
  <c r="X115" i="56"/>
  <c r="AC115" i="56"/>
  <c r="AE125" i="56"/>
  <c r="X137" i="56"/>
  <c r="AC137" i="56"/>
  <c r="AB137" i="56"/>
  <c r="AC142" i="56"/>
  <c r="AA131" i="56"/>
  <c r="AA134" i="56"/>
  <c r="Z139" i="56"/>
  <c r="X141" i="56"/>
  <c r="AC141" i="56"/>
  <c r="W59" i="56"/>
  <c r="Y61" i="56"/>
  <c r="AD61" i="56"/>
  <c r="X63" i="56"/>
  <c r="AD63" i="56"/>
  <c r="AF65" i="56"/>
  <c r="AB67" i="56"/>
  <c r="AF67" i="56"/>
  <c r="V68" i="56"/>
  <c r="AG68" i="56"/>
  <c r="V69" i="56"/>
  <c r="AE72" i="56"/>
  <c r="AA72" i="56"/>
  <c r="AD73" i="56"/>
  <c r="AF73" i="56"/>
  <c r="AE74" i="56"/>
  <c r="AE75" i="56"/>
  <c r="Z76" i="56"/>
  <c r="AE77" i="56"/>
  <c r="AF78" i="56"/>
  <c r="V80" i="56"/>
  <c r="X81" i="56"/>
  <c r="AC81" i="56"/>
  <c r="X82" i="56"/>
  <c r="AA83" i="56"/>
  <c r="V84" i="56"/>
  <c r="Z88" i="56"/>
  <c r="AF88" i="56"/>
  <c r="Z89" i="56"/>
  <c r="X91" i="56"/>
  <c r="AE91" i="56"/>
  <c r="W92" i="56"/>
  <c r="AD92" i="56"/>
  <c r="AA95" i="56"/>
  <c r="Y98" i="56"/>
  <c r="AD98" i="56"/>
  <c r="AB98" i="56"/>
  <c r="W100" i="56"/>
  <c r="X102" i="56"/>
  <c r="AC102" i="56"/>
  <c r="Z110" i="56"/>
  <c r="AF111" i="56"/>
  <c r="AC114" i="56"/>
  <c r="AF115" i="56"/>
  <c r="AA117" i="56"/>
  <c r="Z118" i="56"/>
  <c r="AF137" i="56"/>
  <c r="V127" i="56"/>
  <c r="Z131" i="56"/>
  <c r="AF131" i="56"/>
  <c r="AA136" i="56"/>
  <c r="V137" i="56"/>
  <c r="AA139" i="56"/>
  <c r="AE140" i="56"/>
  <c r="Y141" i="56"/>
  <c r="AD141" i="56"/>
  <c r="W142" i="56"/>
  <c r="AF142" i="56"/>
  <c r="AA143" i="56"/>
  <c r="AA146" i="56"/>
  <c r="AC150" i="56"/>
  <c r="AD151" i="56"/>
  <c r="AE152" i="56"/>
  <c r="AC155" i="56"/>
  <c r="X169" i="56"/>
  <c r="AE169" i="56"/>
  <c r="Y169" i="56"/>
  <c r="AD169" i="56"/>
  <c r="AG170" i="56"/>
  <c r="AA85" i="56"/>
  <c r="AF85" i="56"/>
  <c r="AF86" i="56"/>
  <c r="X88" i="56"/>
  <c r="AE88" i="56"/>
  <c r="W89" i="56"/>
  <c r="AD89" i="56"/>
  <c r="Z90" i="56"/>
  <c r="AF90" i="56"/>
  <c r="Y91" i="56"/>
  <c r="X92" i="56"/>
  <c r="AF92" i="56"/>
  <c r="AA93" i="56"/>
  <c r="W95" i="56"/>
  <c r="AG95" i="56"/>
  <c r="AD97" i="56"/>
  <c r="AE99" i="56"/>
  <c r="Z100" i="56"/>
  <c r="AD101" i="56"/>
  <c r="AE102" i="56"/>
  <c r="Y102" i="56"/>
  <c r="AD102" i="56"/>
  <c r="W103" i="56"/>
  <c r="AA104" i="56"/>
  <c r="AB106" i="56"/>
  <c r="AG106" i="56"/>
  <c r="AB108" i="56"/>
  <c r="AC109" i="56"/>
  <c r="Y110" i="56"/>
  <c r="AE110" i="56"/>
  <c r="AE111" i="56"/>
  <c r="W113" i="56"/>
  <c r="AA114" i="56"/>
  <c r="AE115" i="56"/>
  <c r="Y115" i="56"/>
  <c r="AD115" i="56"/>
  <c r="AF117" i="56"/>
  <c r="W128" i="56"/>
  <c r="AE128" i="56"/>
  <c r="AF130" i="56"/>
  <c r="AG134" i="56"/>
  <c r="W136" i="56"/>
  <c r="AE137" i="56"/>
  <c r="Y137" i="56"/>
  <c r="AD137" i="56"/>
  <c r="V139" i="56"/>
  <c r="AF139" i="56"/>
  <c r="V141" i="56"/>
  <c r="AB141" i="56"/>
  <c r="AG141" i="56"/>
  <c r="X143" i="56"/>
  <c r="AE143" i="56"/>
  <c r="AE146" i="56"/>
  <c r="Y150" i="56"/>
  <c r="AA151" i="56"/>
  <c r="Y155" i="56"/>
  <c r="AA156" i="56"/>
  <c r="X161" i="56"/>
  <c r="AE162" i="56"/>
  <c r="W163" i="56"/>
  <c r="AD147" i="56"/>
  <c r="Y148" i="56"/>
  <c r="AF148" i="56"/>
  <c r="AG150" i="56"/>
  <c r="X153" i="56"/>
  <c r="AB155" i="56"/>
  <c r="AE156" i="56"/>
  <c r="AB156" i="56"/>
  <c r="AE161" i="56"/>
  <c r="AE163" i="56"/>
  <c r="X134" i="1"/>
  <c r="AA134" i="1" s="1"/>
  <c r="AI134" i="1" s="1"/>
  <c r="J5" i="56"/>
  <c r="W5" i="56"/>
  <c r="AG12" i="56"/>
  <c r="B98" i="56"/>
  <c r="B88" i="56"/>
  <c r="B86" i="56"/>
  <c r="B80" i="56"/>
  <c r="B78" i="56"/>
  <c r="B96" i="56"/>
  <c r="B85" i="56"/>
  <c r="B99" i="56"/>
  <c r="B94" i="56"/>
  <c r="B91" i="56"/>
  <c r="B84" i="56"/>
  <c r="B82" i="56"/>
  <c r="B76" i="56"/>
  <c r="B74" i="56"/>
  <c r="B69" i="56"/>
  <c r="B92" i="56"/>
  <c r="B90" i="56"/>
  <c r="B81" i="56"/>
  <c r="B73" i="56"/>
  <c r="B71" i="56"/>
  <c r="B70" i="56"/>
  <c r="B66" i="56"/>
  <c r="B62" i="56"/>
  <c r="B49" i="56"/>
  <c r="B42" i="56"/>
  <c r="B39" i="56"/>
  <c r="B37" i="56"/>
  <c r="B33" i="56"/>
  <c r="B77" i="56"/>
  <c r="B67" i="56"/>
  <c r="B61" i="56"/>
  <c r="B65" i="56"/>
  <c r="B63" i="56"/>
  <c r="B59" i="56"/>
  <c r="B57" i="56"/>
  <c r="B43" i="56"/>
  <c r="B36" i="56"/>
  <c r="B51" i="56"/>
  <c r="B45" i="56"/>
  <c r="B55" i="56"/>
  <c r="B53" i="56"/>
  <c r="B47" i="56"/>
  <c r="B41" i="56"/>
  <c r="B58" i="56"/>
  <c r="B46" i="56"/>
  <c r="B31" i="56"/>
  <c r="B27" i="56"/>
  <c r="B23" i="56"/>
  <c r="B35" i="56"/>
  <c r="B48" i="56"/>
  <c r="B34" i="56"/>
  <c r="B30" i="56"/>
  <c r="B24" i="56"/>
  <c r="B22" i="56"/>
  <c r="B32" i="56"/>
  <c r="B29" i="56"/>
  <c r="V5" i="56"/>
  <c r="B19" i="56"/>
  <c r="X19" i="56"/>
  <c r="AC19" i="56"/>
  <c r="B20" i="56"/>
  <c r="AD21" i="56"/>
  <c r="Z21" i="56"/>
  <c r="AF21" i="56"/>
  <c r="AA21" i="56"/>
  <c r="X21" i="56"/>
  <c r="AE21" i="56"/>
  <c r="B12" i="56"/>
  <c r="W13" i="56"/>
  <c r="AA13" i="56"/>
  <c r="Z14" i="56"/>
  <c r="AD14" i="56"/>
  <c r="Y15" i="56"/>
  <c r="AC15" i="56"/>
  <c r="AG15" i="56"/>
  <c r="B16" i="56"/>
  <c r="X16" i="56"/>
  <c r="AB16" i="56"/>
  <c r="AF16" i="56"/>
  <c r="W17" i="56"/>
  <c r="AA17" i="56"/>
  <c r="Z18" i="56"/>
  <c r="AD18" i="56"/>
  <c r="Y19" i="56"/>
  <c r="Z20" i="56"/>
  <c r="B21" i="56"/>
  <c r="Y21" i="56"/>
  <c r="AG21" i="56"/>
  <c r="AG22" i="56"/>
  <c r="AC22" i="56"/>
  <c r="Y22" i="56"/>
  <c r="AD22" i="56"/>
  <c r="X22" i="56"/>
  <c r="Z22" i="56"/>
  <c r="AF22" i="56"/>
  <c r="AA23" i="56"/>
  <c r="Z24" i="56"/>
  <c r="Y25" i="56"/>
  <c r="AF25" i="56"/>
  <c r="AG26" i="56"/>
  <c r="AC26" i="56"/>
  <c r="Y26" i="56"/>
  <c r="AF26" i="56"/>
  <c r="AA26" i="56"/>
  <c r="AE26" i="56"/>
  <c r="Z26" i="56"/>
  <c r="X26" i="56"/>
  <c r="W15" i="56"/>
  <c r="AA15" i="56"/>
  <c r="AE15" i="56"/>
  <c r="AF19" i="56"/>
  <c r="AB19" i="56"/>
  <c r="W19" i="56"/>
  <c r="AA19" i="56"/>
  <c r="AG19" i="56"/>
  <c r="B13" i="56"/>
  <c r="W14" i="56"/>
  <c r="AA14" i="56"/>
  <c r="Z15" i="56"/>
  <c r="AD15" i="56"/>
  <c r="Y16" i="56"/>
  <c r="AC16" i="56"/>
  <c r="AG16" i="56"/>
  <c r="B17" i="56"/>
  <c r="W18" i="56"/>
  <c r="AA18" i="56"/>
  <c r="Z19" i="56"/>
  <c r="AE19" i="56"/>
  <c r="AB21" i="56"/>
  <c r="AA22" i="56"/>
  <c r="V24" i="56"/>
  <c r="AB24" i="56"/>
  <c r="AG24" i="56"/>
  <c r="B25" i="56"/>
  <c r="AA25" i="56"/>
  <c r="AG25" i="56"/>
  <c r="B26" i="56"/>
  <c r="AB26" i="56"/>
  <c r="V31" i="56"/>
  <c r="X13" i="56"/>
  <c r="AB13" i="56"/>
  <c r="B14" i="56"/>
  <c r="AE31" i="56"/>
  <c r="X17" i="56"/>
  <c r="AB17" i="56"/>
  <c r="B18" i="56"/>
  <c r="B15" i="56"/>
  <c r="X15" i="56"/>
  <c r="AB15" i="56"/>
  <c r="W16" i="56"/>
  <c r="AA16" i="56"/>
  <c r="AF23" i="56"/>
  <c r="AB23" i="56"/>
  <c r="X23" i="56"/>
  <c r="AC23" i="56"/>
  <c r="W23" i="56"/>
  <c r="Z23" i="56"/>
  <c r="AG23" i="56"/>
  <c r="AE25" i="56"/>
  <c r="B28" i="56"/>
  <c r="AG31" i="56"/>
  <c r="AD29" i="56"/>
  <c r="Z29" i="56"/>
  <c r="X29" i="56"/>
  <c r="AC29" i="56"/>
  <c r="T30" i="56"/>
  <c r="AA31" i="56"/>
  <c r="AF33" i="56"/>
  <c r="AB33" i="56"/>
  <c r="X33" i="56"/>
  <c r="AG33" i="56"/>
  <c r="AA33" i="56"/>
  <c r="Z33" i="56"/>
  <c r="V34" i="56"/>
  <c r="Z34" i="56"/>
  <c r="AD34" i="56"/>
  <c r="T34" i="56"/>
  <c r="AB35" i="56"/>
  <c r="X48" i="56"/>
  <c r="AF27" i="56"/>
  <c r="AB27" i="56"/>
  <c r="X27" i="56"/>
  <c r="Y27" i="56"/>
  <c r="AD27" i="56"/>
  <c r="Y29" i="56"/>
  <c r="AE29" i="56"/>
  <c r="W31" i="56"/>
  <c r="AC33" i="56"/>
  <c r="AE34" i="56"/>
  <c r="N51" i="56"/>
  <c r="AB48" i="56"/>
  <c r="AF48" i="56"/>
  <c r="Z56" i="56"/>
  <c r="AD24" i="56"/>
  <c r="AD25" i="56"/>
  <c r="Z25" i="56"/>
  <c r="X25" i="56"/>
  <c r="AC25" i="56"/>
  <c r="Z27" i="56"/>
  <c r="AE27" i="56"/>
  <c r="AA29" i="56"/>
  <c r="AF29" i="56"/>
  <c r="AF31" i="56"/>
  <c r="AB31" i="56"/>
  <c r="X31" i="56"/>
  <c r="Y31" i="56"/>
  <c r="AD31" i="56"/>
  <c r="W33" i="56"/>
  <c r="AD33" i="56"/>
  <c r="AB34" i="56"/>
  <c r="Y35" i="56"/>
  <c r="AF35" i="56"/>
  <c r="Y42" i="56"/>
  <c r="AG34" i="56"/>
  <c r="AA34" i="56"/>
  <c r="V37" i="56"/>
  <c r="AC42" i="56"/>
  <c r="Y56" i="56"/>
  <c r="V57" i="56"/>
  <c r="AA20" i="56"/>
  <c r="AA24" i="56"/>
  <c r="AA28" i="56"/>
  <c r="AG32" i="56"/>
  <c r="AC32" i="56"/>
  <c r="Y32" i="56"/>
  <c r="W32" i="56"/>
  <c r="AB32" i="56"/>
  <c r="AD35" i="56"/>
  <c r="Z35" i="56"/>
  <c r="X35" i="56"/>
  <c r="AC35" i="56"/>
  <c r="AF37" i="56"/>
  <c r="AB37" i="56"/>
  <c r="X37" i="56"/>
  <c r="AC37" i="56"/>
  <c r="W37" i="56"/>
  <c r="Z37" i="56"/>
  <c r="AG37" i="56"/>
  <c r="AA43" i="56"/>
  <c r="V46" i="56"/>
  <c r="X47" i="56"/>
  <c r="AA47" i="56"/>
  <c r="AB49" i="56"/>
  <c r="AC58" i="56"/>
  <c r="AD59" i="56"/>
  <c r="V60" i="56"/>
  <c r="AG36" i="56"/>
  <c r="AC36" i="56"/>
  <c r="Y36" i="56"/>
  <c r="AD36" i="56"/>
  <c r="X36" i="56"/>
  <c r="Z36" i="56"/>
  <c r="AF36" i="56"/>
  <c r="AA37" i="56"/>
  <c r="AF46" i="56"/>
  <c r="AB46" i="56"/>
  <c r="AD46" i="56"/>
  <c r="Y46" i="56"/>
  <c r="W46" i="56"/>
  <c r="AE46" i="56"/>
  <c r="V47" i="56"/>
  <c r="AA56" i="56"/>
  <c r="W56" i="56"/>
  <c r="AE58" i="56"/>
  <c r="W60" i="56"/>
  <c r="AC60" i="56"/>
  <c r="Y60" i="56"/>
  <c r="AG42" i="56"/>
  <c r="AG43" i="56"/>
  <c r="AC43" i="56"/>
  <c r="Y43" i="56"/>
  <c r="AB43" i="56"/>
  <c r="AB45" i="56" s="1"/>
  <c r="W43" i="56"/>
  <c r="X43" i="56"/>
  <c r="AE43" i="56"/>
  <c r="AF47" i="56"/>
  <c r="AB47" i="56"/>
  <c r="AD47" i="56"/>
  <c r="Y47" i="56"/>
  <c r="W47" i="56"/>
  <c r="AE47" i="56"/>
  <c r="AE57" i="56"/>
  <c r="X57" i="56"/>
  <c r="Z57" i="56"/>
  <c r="AF57" i="56"/>
  <c r="AE59" i="56"/>
  <c r="Z59" i="56"/>
  <c r="AF59" i="56"/>
  <c r="X59" i="56"/>
  <c r="AA59" i="56"/>
  <c r="Z60" i="56"/>
  <c r="AE60" i="56"/>
  <c r="V61" i="56"/>
  <c r="AD49" i="56"/>
  <c r="X49" i="56"/>
  <c r="Z49" i="56"/>
  <c r="AF49" i="56"/>
  <c r="AD57" i="56"/>
  <c r="AG58" i="56"/>
  <c r="AB58" i="56"/>
  <c r="W58" i="56"/>
  <c r="Y58" i="56"/>
  <c r="AF58" i="56"/>
  <c r="AE66" i="56"/>
  <c r="Y66" i="56"/>
  <c r="AG66" i="56"/>
  <c r="AB66" i="56"/>
  <c r="W66" i="56"/>
  <c r="AF66" i="56"/>
  <c r="AA66" i="56"/>
  <c r="AA60" i="56"/>
  <c r="AG60" i="56"/>
  <c r="AG62" i="56"/>
  <c r="AB62" i="56"/>
  <c r="W62" i="56"/>
  <c r="AE62" i="56"/>
  <c r="Y62" i="56"/>
  <c r="AC62" i="56"/>
  <c r="X66" i="56"/>
  <c r="AF62" i="56"/>
  <c r="AC66" i="56"/>
  <c r="V67" i="56"/>
  <c r="AE64" i="56"/>
  <c r="AE65" i="56"/>
  <c r="X67" i="56"/>
  <c r="AD67" i="56"/>
  <c r="W68" i="56"/>
  <c r="Z68" i="56"/>
  <c r="AA64" i="56"/>
  <c r="AG64" i="56"/>
  <c r="Z67" i="56"/>
  <c r="AE67" i="56"/>
  <c r="AE68" i="56"/>
  <c r="AC68" i="56"/>
  <c r="Y64" i="56"/>
  <c r="Z65" i="56"/>
  <c r="X65" i="56"/>
  <c r="W67" i="56"/>
  <c r="AA68" i="56"/>
  <c r="Y68" i="56"/>
  <c r="Y72" i="56"/>
  <c r="AD72" i="56"/>
  <c r="Z73" i="56"/>
  <c r="X73" i="56"/>
  <c r="AC73" i="56"/>
  <c r="W74" i="56"/>
  <c r="AB74" i="56"/>
  <c r="V79" i="56"/>
  <c r="W86" i="56"/>
  <c r="V87" i="56"/>
  <c r="X70" i="56"/>
  <c r="Z72" i="56"/>
  <c r="V73" i="56"/>
  <c r="Y73" i="56"/>
  <c r="X74" i="56"/>
  <c r="X77" i="56"/>
  <c r="AE79" i="56"/>
  <c r="B170" i="56"/>
  <c r="B168" i="56"/>
  <c r="B167" i="56"/>
  <c r="B163" i="56"/>
  <c r="B161" i="56"/>
  <c r="B156" i="56"/>
  <c r="B151" i="56"/>
  <c r="B169" i="56"/>
  <c r="B160" i="56"/>
  <c r="B155" i="56"/>
  <c r="B165" i="56"/>
  <c r="B158" i="56"/>
  <c r="B154" i="56"/>
  <c r="B147" i="56"/>
  <c r="B162" i="56"/>
  <c r="B153" i="56"/>
  <c r="B148" i="56"/>
  <c r="B146" i="56"/>
  <c r="B144" i="56"/>
  <c r="B152" i="56"/>
  <c r="B150" i="56"/>
  <c r="B149" i="56"/>
  <c r="B142" i="56"/>
  <c r="B140" i="56"/>
  <c r="B136" i="56"/>
  <c r="B132" i="56"/>
  <c r="B128" i="56"/>
  <c r="B125" i="56"/>
  <c r="B123" i="56"/>
  <c r="B145" i="56"/>
  <c r="B143" i="56"/>
  <c r="B139" i="56"/>
  <c r="B133" i="56"/>
  <c r="B138" i="56"/>
  <c r="B130" i="56"/>
  <c r="B118" i="56"/>
  <c r="B114" i="56"/>
  <c r="B141" i="56"/>
  <c r="B137" i="56"/>
  <c r="B129" i="56"/>
  <c r="B126" i="56"/>
  <c r="B117" i="56"/>
  <c r="B111" i="56"/>
  <c r="B109" i="56"/>
  <c r="B105" i="56"/>
  <c r="B101" i="56"/>
  <c r="B135" i="56"/>
  <c r="B127" i="56"/>
  <c r="B116" i="56"/>
  <c r="B134" i="56"/>
  <c r="B131" i="56"/>
  <c r="B97" i="56"/>
  <c r="B93" i="56"/>
  <c r="B89" i="56"/>
  <c r="B115" i="56"/>
  <c r="B110" i="56"/>
  <c r="B108" i="56"/>
  <c r="B120" i="56"/>
  <c r="B113" i="56"/>
  <c r="B112" i="56"/>
  <c r="B106" i="56"/>
  <c r="B107" i="56"/>
  <c r="B104" i="56"/>
  <c r="B102" i="56"/>
  <c r="B100" i="56"/>
  <c r="B103" i="56"/>
  <c r="B95" i="56"/>
  <c r="B87" i="56"/>
  <c r="B83" i="56"/>
  <c r="B79" i="56"/>
  <c r="B75" i="56"/>
  <c r="B72" i="56"/>
  <c r="B68" i="56"/>
  <c r="B64" i="56"/>
  <c r="B60" i="56"/>
  <c r="B56" i="56"/>
  <c r="AG49" i="56"/>
  <c r="AC49" i="56"/>
  <c r="Y49" i="56"/>
  <c r="AE56" i="56"/>
  <c r="AD58" i="56"/>
  <c r="Z58" i="56"/>
  <c r="AG59" i="56"/>
  <c r="AC59" i="56"/>
  <c r="Y59" i="56"/>
  <c r="AF60" i="56"/>
  <c r="AB60" i="56"/>
  <c r="X60" i="56"/>
  <c r="AD62" i="56"/>
  <c r="Z62" i="56"/>
  <c r="AG63" i="56"/>
  <c r="AC63" i="56"/>
  <c r="Y63" i="56"/>
  <c r="AF64" i="56"/>
  <c r="AB64" i="56"/>
  <c r="X64" i="56"/>
  <c r="AD66" i="56"/>
  <c r="Z66" i="56"/>
  <c r="AG67" i="56"/>
  <c r="AC67" i="56"/>
  <c r="Y67" i="56"/>
  <c r="AF68" i="56"/>
  <c r="AB68" i="56"/>
  <c r="X68" i="56"/>
  <c r="AD70" i="56"/>
  <c r="Z70" i="56"/>
  <c r="AG71" i="56"/>
  <c r="AC71" i="56"/>
  <c r="Y71" i="56"/>
  <c r="AF72" i="56"/>
  <c r="AB72" i="56"/>
  <c r="X72" i="56"/>
  <c r="AG74" i="56"/>
  <c r="AC74" i="56"/>
  <c r="Y74" i="56"/>
  <c r="AF75" i="56"/>
  <c r="AB75" i="56"/>
  <c r="X75" i="56"/>
  <c r="AD77" i="56"/>
  <c r="Z77" i="56"/>
  <c r="AG78" i="56"/>
  <c r="AC78" i="56"/>
  <c r="Y78" i="56"/>
  <c r="AF79" i="56"/>
  <c r="AB79" i="56"/>
  <c r="X79" i="56"/>
  <c r="AD81" i="56"/>
  <c r="Z81" i="56"/>
  <c r="AG82" i="56"/>
  <c r="AC82" i="56"/>
  <c r="Y82" i="56"/>
  <c r="AF83" i="56"/>
  <c r="AB83" i="56"/>
  <c r="AD85" i="56"/>
  <c r="Z85" i="56"/>
  <c r="AG86" i="56"/>
  <c r="AC86" i="56"/>
  <c r="Y86" i="56"/>
  <c r="AF87" i="56"/>
  <c r="AB87" i="56"/>
  <c r="X87" i="56"/>
  <c r="AF89" i="56"/>
  <c r="AB89" i="56"/>
  <c r="X89" i="56"/>
  <c r="AG89" i="56"/>
  <c r="AA89" i="56"/>
  <c r="V90" i="56"/>
  <c r="AD91" i="56"/>
  <c r="Z91" i="56"/>
  <c r="AG91" i="56"/>
  <c r="AB91" i="56"/>
  <c r="W91" i="56"/>
  <c r="AG92" i="56"/>
  <c r="AC92" i="56"/>
  <c r="Y92" i="56"/>
  <c r="AE92" i="56"/>
  <c r="Z92" i="56"/>
  <c r="AF97" i="56"/>
  <c r="AB97" i="56"/>
  <c r="X97" i="56"/>
  <c r="AE97" i="56"/>
  <c r="Z97" i="56"/>
  <c r="AG97" i="56"/>
  <c r="AA97" i="56"/>
  <c r="W57" i="56"/>
  <c r="AA57" i="56"/>
  <c r="W61" i="56"/>
  <c r="AA61" i="56"/>
  <c r="W65" i="56"/>
  <c r="AA65" i="56"/>
  <c r="AA69" i="56"/>
  <c r="AA73" i="56"/>
  <c r="AA76" i="56"/>
  <c r="AA80" i="56"/>
  <c r="AA84" i="56"/>
  <c r="AG88" i="56"/>
  <c r="AC88" i="56"/>
  <c r="Y88" i="56"/>
  <c r="W88" i="56"/>
  <c r="AB88" i="56"/>
  <c r="AF93" i="56"/>
  <c r="AB93" i="56"/>
  <c r="Y93" i="56"/>
  <c r="AD93" i="56"/>
  <c r="Z94" i="56"/>
  <c r="Y95" i="56"/>
  <c r="AG96" i="56"/>
  <c r="AC96" i="56"/>
  <c r="Y96" i="56"/>
  <c r="W96" i="56"/>
  <c r="AB96" i="56"/>
  <c r="AG100" i="56"/>
  <c r="AC100" i="56"/>
  <c r="Y100" i="56"/>
  <c r="AF100" i="56"/>
  <c r="AA100" i="56"/>
  <c r="X100" i="56"/>
  <c r="AE100" i="56"/>
  <c r="W101" i="56"/>
  <c r="Y103" i="56"/>
  <c r="V104" i="56"/>
  <c r="Y106" i="56"/>
  <c r="Y107" i="56"/>
  <c r="AG108" i="56"/>
  <c r="AC108" i="56"/>
  <c r="Y108" i="56"/>
  <c r="AE108" i="56"/>
  <c r="Z108" i="56"/>
  <c r="AD108" i="56"/>
  <c r="X108" i="56"/>
  <c r="AF108" i="56"/>
  <c r="AA108" i="56"/>
  <c r="AF101" i="56"/>
  <c r="AB101" i="56"/>
  <c r="X101" i="56"/>
  <c r="AE101" i="56"/>
  <c r="Z101" i="56"/>
  <c r="Y101" i="56"/>
  <c r="AG101" i="56"/>
  <c r="AF105" i="56"/>
  <c r="AB105" i="56"/>
  <c r="X105" i="56"/>
  <c r="AG105" i="56"/>
  <c r="AA105" i="56"/>
  <c r="AC105" i="56"/>
  <c r="W105" i="56"/>
  <c r="AD105" i="56"/>
  <c r="Z106" i="56"/>
  <c r="AF106" i="56"/>
  <c r="AC106" i="56"/>
  <c r="AA107" i="56"/>
  <c r="AE105" i="56"/>
  <c r="V106" i="56"/>
  <c r="AE106" i="56"/>
  <c r="AD95" i="56"/>
  <c r="Z95" i="56"/>
  <c r="X95" i="56"/>
  <c r="AC95" i="56"/>
  <c r="V98" i="56"/>
  <c r="AC101" i="56"/>
  <c r="Z102" i="56"/>
  <c r="AD103" i="56"/>
  <c r="Z103" i="56"/>
  <c r="AF103" i="56"/>
  <c r="AA103" i="56"/>
  <c r="X103" i="56"/>
  <c r="AE103" i="56"/>
  <c r="Y105" i="56"/>
  <c r="AF107" i="56"/>
  <c r="V109" i="56"/>
  <c r="AD106" i="56"/>
  <c r="AD107" i="56"/>
  <c r="Z107" i="56"/>
  <c r="X107" i="56"/>
  <c r="AC107" i="56"/>
  <c r="AE109" i="56"/>
  <c r="AG111" i="56"/>
  <c r="AA112" i="56"/>
  <c r="W112" i="56"/>
  <c r="AD116" i="56"/>
  <c r="Z116" i="56"/>
  <c r="AF116" i="56"/>
  <c r="AA116" i="56"/>
  <c r="AE116" i="56"/>
  <c r="Y116" i="56"/>
  <c r="AB116" i="56"/>
  <c r="AE118" i="56"/>
  <c r="AG118" i="56"/>
  <c r="AB118" i="56"/>
  <c r="X118" i="56"/>
  <c r="AC118" i="56"/>
  <c r="W118" i="56"/>
  <c r="AA118" i="56"/>
  <c r="AD118" i="56"/>
  <c r="AC126" i="56"/>
  <c r="AE112" i="56"/>
  <c r="AC116" i="56"/>
  <c r="V117" i="56"/>
  <c r="AF118" i="56"/>
  <c r="W90" i="56"/>
  <c r="AA90" i="56"/>
  <c r="AA94" i="56"/>
  <c r="W98" i="56"/>
  <c r="AA98" i="56"/>
  <c r="AD99" i="56"/>
  <c r="Z99" i="56"/>
  <c r="X99" i="56"/>
  <c r="AC99" i="56"/>
  <c r="V102" i="56"/>
  <c r="AG104" i="56"/>
  <c r="AC104" i="56"/>
  <c r="Y104" i="56"/>
  <c r="W104" i="56"/>
  <c r="AB104" i="56"/>
  <c r="W107" i="56"/>
  <c r="AB107" i="56"/>
  <c r="AG107" i="56"/>
  <c r="AF109" i="56"/>
  <c r="AB109" i="56"/>
  <c r="X109" i="56"/>
  <c r="Y109" i="56"/>
  <c r="AD109" i="56"/>
  <c r="AA110" i="56"/>
  <c r="V110" i="56"/>
  <c r="Z111" i="56"/>
  <c r="Y112" i="56"/>
  <c r="AF112" i="56"/>
  <c r="AG113" i="56"/>
  <c r="AC113" i="56"/>
  <c r="Y113" i="56"/>
  <c r="AF113" i="56"/>
  <c r="AA113" i="56"/>
  <c r="AE113" i="56"/>
  <c r="Z113" i="56"/>
  <c r="X113" i="56"/>
  <c r="W116" i="56"/>
  <c r="AG116" i="56"/>
  <c r="Y118" i="56"/>
  <c r="AD125" i="56"/>
  <c r="Z125" i="56"/>
  <c r="V125" i="56"/>
  <c r="AG125" i="56"/>
  <c r="AB125" i="56"/>
  <c r="Y125" i="56"/>
  <c r="AF125" i="56"/>
  <c r="AE126" i="56"/>
  <c r="X126" i="56"/>
  <c r="AG127" i="56"/>
  <c r="AC127" i="56"/>
  <c r="Y127" i="56"/>
  <c r="AE127" i="56"/>
  <c r="Z127" i="56"/>
  <c r="W127" i="56"/>
  <c r="AD127" i="56"/>
  <c r="AD130" i="56"/>
  <c r="Z130" i="56"/>
  <c r="AE130" i="56"/>
  <c r="Y130" i="56"/>
  <c r="AA130" i="56"/>
  <c r="AG130" i="56"/>
  <c r="AE132" i="56"/>
  <c r="V133" i="56"/>
  <c r="AB133" i="56"/>
  <c r="AG133" i="56"/>
  <c r="AE133" i="56"/>
  <c r="AE134" i="56"/>
  <c r="AG135" i="56"/>
  <c r="AC135" i="56"/>
  <c r="Y135" i="56"/>
  <c r="AF135" i="56"/>
  <c r="AA135" i="56"/>
  <c r="AE135" i="56"/>
  <c r="Z135" i="56"/>
  <c r="X135" i="56"/>
  <c r="AG112" i="56"/>
  <c r="AF114" i="56"/>
  <c r="AB114" i="56"/>
  <c r="X114" i="56"/>
  <c r="Y114" i="56"/>
  <c r="AD114" i="56"/>
  <c r="Z115" i="56"/>
  <c r="AG117" i="56"/>
  <c r="AC117" i="56"/>
  <c r="Y117" i="56"/>
  <c r="W117" i="56"/>
  <c r="AB117" i="56"/>
  <c r="W125" i="56"/>
  <c r="AA125" i="56"/>
  <c r="X127" i="56"/>
  <c r="AF127" i="56"/>
  <c r="AB130" i="56"/>
  <c r="Y132" i="56"/>
  <c r="X133" i="56"/>
  <c r="AF134" i="56"/>
  <c r="AA102" i="56"/>
  <c r="W106" i="56"/>
  <c r="AA106" i="56"/>
  <c r="AF110" i="56"/>
  <c r="AB110" i="56"/>
  <c r="X110" i="56"/>
  <c r="W110" i="56"/>
  <c r="AC110" i="56"/>
  <c r="AD111" i="56"/>
  <c r="AD112" i="56"/>
  <c r="Z112" i="56"/>
  <c r="X112" i="56"/>
  <c r="AC112" i="56"/>
  <c r="Z114" i="56"/>
  <c r="AE114" i="56"/>
  <c r="V115" i="56"/>
  <c r="X117" i="56"/>
  <c r="AD117" i="56"/>
  <c r="AC125" i="56"/>
  <c r="AA127" i="56"/>
  <c r="AA128" i="56"/>
  <c r="W130" i="56"/>
  <c r="AC130" i="56"/>
  <c r="V131" i="56"/>
  <c r="Y133" i="56"/>
  <c r="Y134" i="56"/>
  <c r="AF132" i="56"/>
  <c r="AB132" i="56"/>
  <c r="X132" i="56"/>
  <c r="AC132" i="56"/>
  <c r="W132" i="56"/>
  <c r="AG132" i="56"/>
  <c r="AA132" i="56"/>
  <c r="AD132" i="56"/>
  <c r="Z133" i="56"/>
  <c r="AF133" i="56"/>
  <c r="AD138" i="56"/>
  <c r="Z138" i="56"/>
  <c r="X138" i="56"/>
  <c r="AC138" i="56"/>
  <c r="AA140" i="56"/>
  <c r="Z145" i="56"/>
  <c r="AF145" i="56"/>
  <c r="AA111" i="56"/>
  <c r="AA115" i="56"/>
  <c r="AF128" i="56"/>
  <c r="AB128" i="56"/>
  <c r="X128" i="56"/>
  <c r="Y128" i="56"/>
  <c r="AD128" i="56"/>
  <c r="Z129" i="56"/>
  <c r="AG131" i="56"/>
  <c r="AC131" i="56"/>
  <c r="Y131" i="56"/>
  <c r="W131" i="56"/>
  <c r="AB131" i="56"/>
  <c r="W134" i="56"/>
  <c r="AB134" i="56"/>
  <c r="AF136" i="56"/>
  <c r="AB136" i="56"/>
  <c r="X136" i="56"/>
  <c r="Y136" i="56"/>
  <c r="AD136" i="56"/>
  <c r="Z137" i="56"/>
  <c r="Y138" i="56"/>
  <c r="AE138" i="56"/>
  <c r="AG139" i="56"/>
  <c r="AC139" i="56"/>
  <c r="Y139" i="56"/>
  <c r="W139" i="56"/>
  <c r="AB139" i="56"/>
  <c r="AC140" i="56"/>
  <c r="AF144" i="56"/>
  <c r="AB144" i="56"/>
  <c r="X144" i="56"/>
  <c r="AG144" i="56"/>
  <c r="AA144" i="56"/>
  <c r="Z144" i="56"/>
  <c r="V145" i="56"/>
  <c r="AB145" i="56"/>
  <c r="V147" i="56"/>
  <c r="AD133" i="56"/>
  <c r="AD134" i="56"/>
  <c r="Z134" i="56"/>
  <c r="X134" i="56"/>
  <c r="AC134" i="56"/>
  <c r="AE136" i="56"/>
  <c r="AA138" i="56"/>
  <c r="AF138" i="56"/>
  <c r="X139" i="56"/>
  <c r="AD139" i="56"/>
  <c r="W140" i="56"/>
  <c r="AD142" i="56"/>
  <c r="Z142" i="56"/>
  <c r="AE142" i="56"/>
  <c r="AE158" i="56" s="1"/>
  <c r="Y142" i="56"/>
  <c r="AA142" i="56"/>
  <c r="AG142" i="56"/>
  <c r="AC144" i="56"/>
  <c r="X145" i="56"/>
  <c r="X158" i="56" s="1"/>
  <c r="W138" i="56"/>
  <c r="AB138" i="56"/>
  <c r="AG138" i="56"/>
  <c r="AF140" i="56"/>
  <c r="AB140" i="56"/>
  <c r="X140" i="56"/>
  <c r="AD140" i="56"/>
  <c r="Y140" i="56"/>
  <c r="Z140" i="56"/>
  <c r="AG140" i="56"/>
  <c r="AB142" i="56"/>
  <c r="V143" i="56"/>
  <c r="W144" i="56"/>
  <c r="AD144" i="56"/>
  <c r="Y145" i="56"/>
  <c r="AD145" i="56"/>
  <c r="AC145" i="56"/>
  <c r="W129" i="56"/>
  <c r="AA129" i="56"/>
  <c r="W133" i="56"/>
  <c r="AA133" i="56"/>
  <c r="AA137" i="56"/>
  <c r="Z141" i="56"/>
  <c r="AG143" i="56"/>
  <c r="AC143" i="56"/>
  <c r="Y143" i="56"/>
  <c r="W143" i="56"/>
  <c r="AB143" i="56"/>
  <c r="W146" i="56"/>
  <c r="AF147" i="56"/>
  <c r="AB147" i="56"/>
  <c r="X147" i="56"/>
  <c r="AC147" i="56"/>
  <c r="W147" i="56"/>
  <c r="Z147" i="56"/>
  <c r="AG147" i="56"/>
  <c r="W149" i="56"/>
  <c r="AE149" i="56"/>
  <c r="AG146" i="56"/>
  <c r="AC146" i="56"/>
  <c r="Y146" i="56"/>
  <c r="AD146" i="56"/>
  <c r="X146" i="56"/>
  <c r="Z146" i="56"/>
  <c r="AF146" i="56"/>
  <c r="AA147" i="56"/>
  <c r="Z148" i="56"/>
  <c r="AB148" i="56"/>
  <c r="AG148" i="56"/>
  <c r="AG145" i="56"/>
  <c r="AB146" i="56"/>
  <c r="AE147" i="56"/>
  <c r="AB149" i="56"/>
  <c r="X152" i="56"/>
  <c r="AG154" i="56"/>
  <c r="AC154" i="56"/>
  <c r="Y154" i="56"/>
  <c r="AE154" i="56"/>
  <c r="Z154" i="56"/>
  <c r="AD154" i="56"/>
  <c r="X154" i="56"/>
  <c r="AA154" i="56"/>
  <c r="AE165" i="56"/>
  <c r="AG149" i="56"/>
  <c r="AA150" i="56"/>
  <c r="AC151" i="56"/>
  <c r="Z152" i="56"/>
  <c r="AF152" i="56"/>
  <c r="AB152" i="56"/>
  <c r="AD153" i="56"/>
  <c r="Z153" i="56"/>
  <c r="AG153" i="56"/>
  <c r="AB153" i="56"/>
  <c r="W153" i="56"/>
  <c r="AF153" i="56"/>
  <c r="AA153" i="56"/>
  <c r="Y153" i="56"/>
  <c r="AB154" i="56"/>
  <c r="W141" i="56"/>
  <c r="AA141" i="56"/>
  <c r="W145" i="56"/>
  <c r="AA145" i="56"/>
  <c r="AD148" i="56"/>
  <c r="AD149" i="56"/>
  <c r="Z149" i="56"/>
  <c r="X149" i="56"/>
  <c r="AC149" i="56"/>
  <c r="W151" i="56"/>
  <c r="AF154" i="56"/>
  <c r="AF150" i="56"/>
  <c r="AB150" i="56"/>
  <c r="X150" i="56"/>
  <c r="AE150" i="56"/>
  <c r="Z150" i="56"/>
  <c r="W150" i="56"/>
  <c r="AD150" i="56"/>
  <c r="AF151" i="56"/>
  <c r="AB151" i="56"/>
  <c r="X151" i="56"/>
  <c r="AE151" i="56"/>
  <c r="Z151" i="56"/>
  <c r="Y151" i="56"/>
  <c r="AG151" i="56"/>
  <c r="AC161" i="56"/>
  <c r="AA162" i="56"/>
  <c r="AG163" i="56"/>
  <c r="AC163" i="56"/>
  <c r="Y163" i="56"/>
  <c r="AD163" i="56"/>
  <c r="X163" i="56"/>
  <c r="Z163" i="56"/>
  <c r="AF163" i="56"/>
  <c r="Q165" i="56"/>
  <c r="W148" i="56"/>
  <c r="AA148" i="56"/>
  <c r="V152" i="56"/>
  <c r="AD155" i="56"/>
  <c r="Z155" i="56"/>
  <c r="AF155" i="56"/>
  <c r="AA155" i="56"/>
  <c r="X155" i="56"/>
  <c r="AE155" i="56"/>
  <c r="AC162" i="56"/>
  <c r="AA163" i="56"/>
  <c r="AG156" i="56"/>
  <c r="AC156" i="56"/>
  <c r="Y156" i="56"/>
  <c r="AD156" i="56"/>
  <c r="X156" i="56"/>
  <c r="Z156" i="56"/>
  <c r="AF156" i="56"/>
  <c r="Z161" i="56"/>
  <c r="AF161" i="56"/>
  <c r="X162" i="56"/>
  <c r="AB163" i="56"/>
  <c r="V161" i="56"/>
  <c r="AG161" i="56"/>
  <c r="Z162" i="56"/>
  <c r="AG162" i="56"/>
  <c r="AB162" i="56"/>
  <c r="W162" i="56"/>
  <c r="Y162" i="56"/>
  <c r="AF162" i="56"/>
  <c r="V168" i="56"/>
  <c r="AE168" i="56"/>
  <c r="V169" i="56"/>
  <c r="AB169" i="56"/>
  <c r="AG169" i="56"/>
  <c r="AA168" i="56"/>
  <c r="AC169" i="56"/>
  <c r="W168" i="56"/>
  <c r="Z168" i="56"/>
  <c r="W152" i="56"/>
  <c r="AA152" i="56"/>
  <c r="AD161" i="56"/>
  <c r="AG168" i="56"/>
  <c r="Z169" i="56"/>
  <c r="AF169" i="56"/>
  <c r="W169" i="56"/>
  <c r="AA169" i="56"/>
  <c r="H172" i="56"/>
  <c r="Z170" i="56"/>
  <c r="AD170" i="56"/>
  <c r="W170" i="56"/>
  <c r="AA170" i="56"/>
  <c r="AE170" i="56"/>
  <c r="X170" i="56"/>
  <c r="AB170" i="56"/>
  <c r="AF170" i="56"/>
  <c r="Y170" i="56"/>
  <c r="AC170" i="56"/>
  <c r="Y13" i="54"/>
  <c r="AF14" i="54"/>
  <c r="AB14" i="54"/>
  <c r="X14" i="54"/>
  <c r="AD14" i="54"/>
  <c r="Z14" i="54"/>
  <c r="AG14" i="54"/>
  <c r="AC14" i="54"/>
  <c r="Y14" i="54"/>
  <c r="AA14" i="54"/>
  <c r="AE16" i="54"/>
  <c r="AG17" i="54"/>
  <c r="Y21" i="54"/>
  <c r="AF22" i="54"/>
  <c r="AB22" i="54"/>
  <c r="X22" i="54"/>
  <c r="AE22" i="54"/>
  <c r="AD22" i="54"/>
  <c r="Z22" i="54"/>
  <c r="AG22" i="54"/>
  <c r="AC22" i="54"/>
  <c r="Y22" i="54"/>
  <c r="AA22" i="54"/>
  <c r="Y5" i="54"/>
  <c r="L5" i="54"/>
  <c r="X5" i="54"/>
  <c r="AD13" i="54"/>
  <c r="AF20" i="54"/>
  <c r="AB20" i="54"/>
  <c r="X20" i="54"/>
  <c r="AD20" i="54"/>
  <c r="Z20" i="54"/>
  <c r="AG20" i="54"/>
  <c r="AC20" i="54"/>
  <c r="Y20" i="54"/>
  <c r="AA20" i="54"/>
  <c r="AD21" i="54"/>
  <c r="AC21" i="54"/>
  <c r="Y11" i="54"/>
  <c r="AF12" i="54"/>
  <c r="AB12" i="54"/>
  <c r="X12" i="54"/>
  <c r="AD12" i="54"/>
  <c r="Z12" i="54"/>
  <c r="AG12" i="54"/>
  <c r="AC12" i="54"/>
  <c r="Y12" i="54"/>
  <c r="AA12" i="54"/>
  <c r="AC13" i="54"/>
  <c r="AD11" i="54"/>
  <c r="AC11" i="54"/>
  <c r="AE12" i="54"/>
  <c r="AG13" i="54"/>
  <c r="Y17" i="54"/>
  <c r="AF18" i="54"/>
  <c r="AB18" i="54"/>
  <c r="X18" i="54"/>
  <c r="AD18" i="54"/>
  <c r="Z18" i="54"/>
  <c r="AG18" i="54"/>
  <c r="AC18" i="54"/>
  <c r="Y18" i="54"/>
  <c r="AA18" i="54"/>
  <c r="AC19" i="54"/>
  <c r="AE20" i="54"/>
  <c r="AG21" i="54"/>
  <c r="AE50" i="54"/>
  <c r="AE54" i="54" s="1"/>
  <c r="Q54" i="54"/>
  <c r="AG11" i="54"/>
  <c r="AF16" i="54"/>
  <c r="AB16" i="54"/>
  <c r="X16" i="54"/>
  <c r="AD16" i="54"/>
  <c r="Z16" i="54"/>
  <c r="AG16" i="54"/>
  <c r="AC16" i="54"/>
  <c r="Y16" i="54"/>
  <c r="AA16" i="54"/>
  <c r="AD65" i="54"/>
  <c r="W24" i="54"/>
  <c r="AA24" i="54"/>
  <c r="AE24" i="54"/>
  <c r="W15" i="54"/>
  <c r="AA15" i="54"/>
  <c r="AE15" i="54"/>
  <c r="W19" i="54"/>
  <c r="AA19" i="54"/>
  <c r="AE19" i="54"/>
  <c r="W23" i="54"/>
  <c r="AA23" i="54"/>
  <c r="AE23" i="54"/>
  <c r="Y24" i="54"/>
  <c r="AC24" i="54"/>
  <c r="AG24" i="54"/>
  <c r="W25" i="54"/>
  <c r="AA25" i="54"/>
  <c r="AE25" i="54"/>
  <c r="Y26" i="54"/>
  <c r="AC26" i="54"/>
  <c r="AG26" i="54"/>
  <c r="W27" i="54"/>
  <c r="AA27" i="54"/>
  <c r="AE27" i="54"/>
  <c r="Y28" i="54"/>
  <c r="AC28" i="54"/>
  <c r="AG28" i="54"/>
  <c r="AA29" i="54"/>
  <c r="AF36" i="54"/>
  <c r="AB36" i="54"/>
  <c r="X36" i="54"/>
  <c r="W36" i="54"/>
  <c r="AC36" i="54"/>
  <c r="AA37" i="54"/>
  <c r="AF37" i="54"/>
  <c r="AF44" i="54"/>
  <c r="AB44" i="54"/>
  <c r="X44" i="54"/>
  <c r="W44" i="54"/>
  <c r="AC44" i="54"/>
  <c r="AA45" i="54"/>
  <c r="AF45" i="54"/>
  <c r="W26" i="54"/>
  <c r="AA26" i="54"/>
  <c r="AE26" i="54"/>
  <c r="W28" i="54"/>
  <c r="AA28" i="54"/>
  <c r="AE28" i="54"/>
  <c r="AD29" i="54"/>
  <c r="Z29" i="54"/>
  <c r="X29" i="54"/>
  <c r="AC29" i="54"/>
  <c r="W13" i="54"/>
  <c r="AA13" i="54"/>
  <c r="AE13" i="54"/>
  <c r="W17" i="54"/>
  <c r="AA17" i="54"/>
  <c r="AE17" i="54"/>
  <c r="W21" i="54"/>
  <c r="AA21" i="54"/>
  <c r="AE21" i="54"/>
  <c r="Z32" i="54"/>
  <c r="AE32" i="54"/>
  <c r="AD33" i="54"/>
  <c r="Z33" i="54"/>
  <c r="X33" i="54"/>
  <c r="AC33" i="54"/>
  <c r="V34" i="54"/>
  <c r="Z40" i="54"/>
  <c r="AE40" i="54"/>
  <c r="AD41" i="54"/>
  <c r="Z41" i="54"/>
  <c r="X41" i="54"/>
  <c r="AC41" i="54"/>
  <c r="V42" i="54"/>
  <c r="W57" i="54"/>
  <c r="W60" i="54" s="1"/>
  <c r="AB65" i="54"/>
  <c r="X13" i="54"/>
  <c r="AB13" i="54"/>
  <c r="AF13" i="54"/>
  <c r="X15" i="54"/>
  <c r="AB15" i="54"/>
  <c r="AF15" i="54"/>
  <c r="X17" i="54"/>
  <c r="AB17" i="54"/>
  <c r="AF17" i="54"/>
  <c r="X19" i="54"/>
  <c r="AB19" i="54"/>
  <c r="AF19" i="54"/>
  <c r="X21" i="54"/>
  <c r="AB21" i="54"/>
  <c r="AF21" i="54"/>
  <c r="X23" i="54"/>
  <c r="AB23" i="54"/>
  <c r="AF23" i="54"/>
  <c r="Z24" i="54"/>
  <c r="AD24" i="54"/>
  <c r="X25" i="54"/>
  <c r="AB25" i="54"/>
  <c r="AF25" i="54"/>
  <c r="Z26" i="54"/>
  <c r="AD26" i="54"/>
  <c r="X27" i="54"/>
  <c r="AB27" i="54"/>
  <c r="AF27" i="54"/>
  <c r="Z28" i="54"/>
  <c r="AD28" i="54"/>
  <c r="W29" i="54"/>
  <c r="AB29" i="54"/>
  <c r="AG29" i="54"/>
  <c r="AF30" i="54"/>
  <c r="AB30" i="54"/>
  <c r="X30" i="54"/>
  <c r="W30" i="54"/>
  <c r="AC30" i="54"/>
  <c r="AA31" i="54"/>
  <c r="AA32" i="54"/>
  <c r="Y33" i="54"/>
  <c r="AE33" i="54"/>
  <c r="Z34" i="54"/>
  <c r="AD35" i="54"/>
  <c r="Z35" i="54"/>
  <c r="X35" i="54"/>
  <c r="AC35" i="54"/>
  <c r="Y36" i="54"/>
  <c r="AD36" i="54"/>
  <c r="W37" i="54"/>
  <c r="AB37" i="54"/>
  <c r="AF38" i="54"/>
  <c r="AB38" i="54"/>
  <c r="X38" i="54"/>
  <c r="W38" i="54"/>
  <c r="AC38" i="54"/>
  <c r="AA39" i="54"/>
  <c r="AA40" i="54"/>
  <c r="Y41" i="54"/>
  <c r="AE41" i="54"/>
  <c r="Z42" i="54"/>
  <c r="AD43" i="54"/>
  <c r="Z43" i="54"/>
  <c r="X43" i="54"/>
  <c r="AC43" i="54"/>
  <c r="Y44" i="54"/>
  <c r="AD44" i="54"/>
  <c r="W45" i="54"/>
  <c r="AB45" i="54"/>
  <c r="AG51" i="54"/>
  <c r="AC51" i="54"/>
  <c r="Y51" i="54"/>
  <c r="AA51" i="54"/>
  <c r="AF51" i="54"/>
  <c r="AD56" i="54"/>
  <c r="Z56" i="54"/>
  <c r="V56" i="54"/>
  <c r="AE56" i="54"/>
  <c r="Y56" i="54"/>
  <c r="AB56" i="54"/>
  <c r="O60" i="54"/>
  <c r="AM193" i="54"/>
  <c r="AD66" i="54"/>
  <c r="X66" i="54"/>
  <c r="AE66" i="54"/>
  <c r="Y68" i="54"/>
  <c r="AD68" i="54"/>
  <c r="X74" i="54"/>
  <c r="AG75" i="54"/>
  <c r="AC75" i="54"/>
  <c r="Y75" i="54"/>
  <c r="AE75" i="54"/>
  <c r="Z75" i="54"/>
  <c r="AD75" i="54"/>
  <c r="X75" i="54"/>
  <c r="AF75" i="54"/>
  <c r="AA75" i="54"/>
  <c r="AB75" i="54"/>
  <c r="AF40" i="54"/>
  <c r="AB40" i="54"/>
  <c r="X40" i="54"/>
  <c r="W40" i="54"/>
  <c r="AC40" i="54"/>
  <c r="AE44" i="54"/>
  <c r="AD45" i="54"/>
  <c r="Z45" i="54"/>
  <c r="X45" i="54"/>
  <c r="AC45" i="54"/>
  <c r="M60" i="54"/>
  <c r="AA57" i="54"/>
  <c r="AA60" i="54" s="1"/>
  <c r="AF58" i="54"/>
  <c r="X58" i="54"/>
  <c r="AE58" i="54"/>
  <c r="Z58" i="54"/>
  <c r="W58" i="54"/>
  <c r="AD58" i="54"/>
  <c r="Z66" i="54"/>
  <c r="AF66" i="54"/>
  <c r="Y66" i="54"/>
  <c r="AG66" i="54"/>
  <c r="Z68" i="54"/>
  <c r="AF32" i="54"/>
  <c r="AB32" i="54"/>
  <c r="X32" i="54"/>
  <c r="W32" i="54"/>
  <c r="AC32" i="54"/>
  <c r="AE36" i="54"/>
  <c r="AD37" i="54"/>
  <c r="Z37" i="54"/>
  <c r="X37" i="54"/>
  <c r="AC37" i="54"/>
  <c r="Z13" i="54"/>
  <c r="Z15" i="54"/>
  <c r="Z17" i="54"/>
  <c r="Z19" i="54"/>
  <c r="Z21" i="54"/>
  <c r="Z23" i="54"/>
  <c r="X24" i="54"/>
  <c r="AB24" i="54"/>
  <c r="Z25" i="54"/>
  <c r="X26" i="54"/>
  <c r="AB26" i="54"/>
  <c r="Z27" i="54"/>
  <c r="X28" i="54"/>
  <c r="AB28" i="54"/>
  <c r="Y29" i="54"/>
  <c r="AE29" i="54"/>
  <c r="AE30" i="54"/>
  <c r="AD31" i="54"/>
  <c r="Z31" i="54"/>
  <c r="X31" i="54"/>
  <c r="AC31" i="54"/>
  <c r="Y32" i="54"/>
  <c r="AD32" i="54"/>
  <c r="W33" i="54"/>
  <c r="AB33" i="54"/>
  <c r="AG33" i="54"/>
  <c r="AF34" i="54"/>
  <c r="AB34" i="54"/>
  <c r="X34" i="54"/>
  <c r="W34" i="54"/>
  <c r="AC34" i="54"/>
  <c r="AA36" i="54"/>
  <c r="AG36" i="54"/>
  <c r="Y37" i="54"/>
  <c r="AE37" i="54"/>
  <c r="AE38" i="54"/>
  <c r="AD39" i="54"/>
  <c r="Z39" i="54"/>
  <c r="X39" i="54"/>
  <c r="AC39" i="54"/>
  <c r="Y40" i="54"/>
  <c r="AD40" i="54"/>
  <c r="W41" i="54"/>
  <c r="AB41" i="54"/>
  <c r="AG41" i="54"/>
  <c r="AF42" i="54"/>
  <c r="AB42" i="54"/>
  <c r="X42" i="54"/>
  <c r="W42" i="54"/>
  <c r="AC42" i="54"/>
  <c r="AA44" i="54"/>
  <c r="AG44" i="54"/>
  <c r="Y45" i="54"/>
  <c r="AE45" i="54"/>
  <c r="AM54" i="54"/>
  <c r="Z52" i="54"/>
  <c r="X52" i="54"/>
  <c r="AC52" i="54"/>
  <c r="AB57" i="54"/>
  <c r="AB60" i="54" s="1"/>
  <c r="Y58" i="54"/>
  <c r="AG58" i="54"/>
  <c r="V66" i="54"/>
  <c r="AG67" i="54"/>
  <c r="AC67" i="54"/>
  <c r="Y67" i="54"/>
  <c r="AE67" i="54"/>
  <c r="Z67" i="54"/>
  <c r="W67" i="54"/>
  <c r="AD67" i="54"/>
  <c r="AG69" i="54"/>
  <c r="AC69" i="54"/>
  <c r="Y69" i="54"/>
  <c r="AD69" i="54"/>
  <c r="X69" i="54"/>
  <c r="W69" i="54"/>
  <c r="AE69" i="54"/>
  <c r="Z72" i="54"/>
  <c r="AG73" i="54"/>
  <c r="AC73" i="54"/>
  <c r="Y73" i="54"/>
  <c r="AF73" i="54"/>
  <c r="AA73" i="54"/>
  <c r="X73" i="54"/>
  <c r="AE73" i="54"/>
  <c r="Z74" i="54"/>
  <c r="AF74" i="54"/>
  <c r="V77" i="54"/>
  <c r="AD74" i="54"/>
  <c r="Z77" i="54"/>
  <c r="V79" i="54"/>
  <c r="Z80" i="54"/>
  <c r="AG81" i="54"/>
  <c r="AC81" i="54"/>
  <c r="Y81" i="54"/>
  <c r="W81" i="54"/>
  <c r="AB81" i="54"/>
  <c r="AD82" i="54"/>
  <c r="AG82" i="54"/>
  <c r="Z96" i="54"/>
  <c r="AF96" i="54"/>
  <c r="AC96" i="54"/>
  <c r="Z104" i="54"/>
  <c r="AF104" i="54"/>
  <c r="AC104" i="54"/>
  <c r="AC106" i="54"/>
  <c r="Z82" i="54"/>
  <c r="X82" i="54"/>
  <c r="AC82" i="54"/>
  <c r="AG83" i="54"/>
  <c r="AC83" i="54"/>
  <c r="AD83" i="54"/>
  <c r="Y83" i="54"/>
  <c r="W83" i="54"/>
  <c r="AB83" i="54"/>
  <c r="V96" i="54"/>
  <c r="AG97" i="54"/>
  <c r="AC97" i="54"/>
  <c r="Y97" i="54"/>
  <c r="AF97" i="54"/>
  <c r="AA97" i="54"/>
  <c r="AE97" i="54"/>
  <c r="Z97" i="54"/>
  <c r="X97" i="54"/>
  <c r="AG99" i="54"/>
  <c r="AC99" i="54"/>
  <c r="Y99" i="54"/>
  <c r="AE99" i="54"/>
  <c r="Z99" i="54"/>
  <c r="AD99" i="54"/>
  <c r="X99" i="54"/>
  <c r="W99" i="54"/>
  <c r="V104" i="54"/>
  <c r="AE104" i="54"/>
  <c r="AG105" i="54"/>
  <c r="AC105" i="54"/>
  <c r="Y105" i="54"/>
  <c r="AF105" i="54"/>
  <c r="AA105" i="54"/>
  <c r="AE105" i="54"/>
  <c r="Z105" i="54"/>
  <c r="X105" i="54"/>
  <c r="AG107" i="54"/>
  <c r="AC107" i="54"/>
  <c r="Y107" i="54"/>
  <c r="AE107" i="54"/>
  <c r="Z107" i="54"/>
  <c r="AD107" i="54"/>
  <c r="X107" i="54"/>
  <c r="W107" i="54"/>
  <c r="V109" i="54"/>
  <c r="V112" i="54"/>
  <c r="Z76" i="54"/>
  <c r="AG77" i="54"/>
  <c r="AC77" i="54"/>
  <c r="Y77" i="54"/>
  <c r="W77" i="54"/>
  <c r="AB77" i="54"/>
  <c r="Z81" i="54"/>
  <c r="AE81" i="54"/>
  <c r="V82" i="54"/>
  <c r="X83" i="54"/>
  <c r="AE83" i="54"/>
  <c r="Z86" i="54"/>
  <c r="Y86" i="54"/>
  <c r="AG87" i="54"/>
  <c r="AC87" i="54"/>
  <c r="Y87" i="54"/>
  <c r="AF87" i="54"/>
  <c r="AA87" i="54"/>
  <c r="X87" i="54"/>
  <c r="AE87" i="54"/>
  <c r="Z88" i="54"/>
  <c r="AF88" i="54"/>
  <c r="AG88" i="54"/>
  <c r="Z90" i="54"/>
  <c r="X96" i="54"/>
  <c r="AB97" i="54"/>
  <c r="Y98" i="54"/>
  <c r="AD98" i="54"/>
  <c r="X98" i="54"/>
  <c r="AA99" i="54"/>
  <c r="X104" i="54"/>
  <c r="AB105" i="54"/>
  <c r="Y106" i="54"/>
  <c r="AD106" i="54"/>
  <c r="X106" i="54"/>
  <c r="AA107" i="54"/>
  <c r="V68" i="54"/>
  <c r="Z70" i="54"/>
  <c r="AG71" i="54"/>
  <c r="AC71" i="54"/>
  <c r="Y71" i="54"/>
  <c r="W71" i="54"/>
  <c r="AB71" i="54"/>
  <c r="AD72" i="54"/>
  <c r="V76" i="54"/>
  <c r="X77" i="54"/>
  <c r="AD77" i="54"/>
  <c r="Z78" i="54"/>
  <c r="AG79" i="54"/>
  <c r="AC79" i="54"/>
  <c r="Y79" i="54"/>
  <c r="W79" i="54"/>
  <c r="AB79" i="54"/>
  <c r="AD80" i="54"/>
  <c r="AA81" i="54"/>
  <c r="AF81" i="54"/>
  <c r="Z83" i="54"/>
  <c r="AF83" i="54"/>
  <c r="V86" i="54"/>
  <c r="AB86" i="54"/>
  <c r="AG86" i="54"/>
  <c r="Z87" i="54"/>
  <c r="V88" i="54"/>
  <c r="AG89" i="54"/>
  <c r="AC89" i="54"/>
  <c r="Y89" i="54"/>
  <c r="AE89" i="54"/>
  <c r="Z89" i="54"/>
  <c r="AD89" i="54"/>
  <c r="AG91" i="54"/>
  <c r="AC91" i="54"/>
  <c r="Y91" i="54"/>
  <c r="AD91" i="54"/>
  <c r="X91" i="54"/>
  <c r="AE91" i="54"/>
  <c r="V93" i="54"/>
  <c r="AD97" i="54"/>
  <c r="Z98" i="54"/>
  <c r="AF98" i="54"/>
  <c r="AB99" i="54"/>
  <c r="V101" i="54"/>
  <c r="AD105" i="54"/>
  <c r="Z106" i="54"/>
  <c r="AF106" i="54"/>
  <c r="AB107" i="54"/>
  <c r="Y49" i="54"/>
  <c r="AC49" i="54"/>
  <c r="W52" i="54"/>
  <c r="AA52" i="54"/>
  <c r="Y55" i="54"/>
  <c r="AC55" i="54"/>
  <c r="W66" i="54"/>
  <c r="AA66" i="54"/>
  <c r="AA68" i="54"/>
  <c r="AA70" i="54"/>
  <c r="W72" i="54"/>
  <c r="AA72" i="54"/>
  <c r="W74" i="54"/>
  <c r="AA74" i="54"/>
  <c r="AA76" i="54"/>
  <c r="AA78" i="54"/>
  <c r="W80" i="54"/>
  <c r="AA80" i="54"/>
  <c r="W82" i="54"/>
  <c r="AA82" i="54"/>
  <c r="Z84" i="54"/>
  <c r="AG85" i="54"/>
  <c r="AC85" i="54"/>
  <c r="Y85" i="54"/>
  <c r="W85" i="54"/>
  <c r="AB85" i="54"/>
  <c r="AD86" i="54"/>
  <c r="V90" i="54"/>
  <c r="Z92" i="54"/>
  <c r="AG93" i="54"/>
  <c r="AC93" i="54"/>
  <c r="Y93" i="54"/>
  <c r="W93" i="54"/>
  <c r="AB93" i="54"/>
  <c r="AD94" i="54"/>
  <c r="AA95" i="54"/>
  <c r="V98" i="54"/>
  <c r="Z100" i="54"/>
  <c r="AG101" i="54"/>
  <c r="AC101" i="54"/>
  <c r="Y101" i="54"/>
  <c r="W101" i="54"/>
  <c r="AB101" i="54"/>
  <c r="AD102" i="54"/>
  <c r="AA103" i="54"/>
  <c r="V106" i="54"/>
  <c r="Z108" i="54"/>
  <c r="AG109" i="54"/>
  <c r="AC109" i="54"/>
  <c r="Y109" i="54"/>
  <c r="W109" i="54"/>
  <c r="AB109" i="54"/>
  <c r="AD110" i="54"/>
  <c r="AA111" i="54"/>
  <c r="Z113" i="54"/>
  <c r="AE113" i="54"/>
  <c r="V114" i="54"/>
  <c r="X115" i="54"/>
  <c r="AD115" i="54"/>
  <c r="Z116" i="54"/>
  <c r="AG117" i="54"/>
  <c r="AC117" i="54"/>
  <c r="Y117" i="54"/>
  <c r="W117" i="54"/>
  <c r="AB117" i="54"/>
  <c r="AD118" i="54"/>
  <c r="Y119" i="54"/>
  <c r="AD119" i="54"/>
  <c r="W120" i="54"/>
  <c r="AB120" i="54"/>
  <c r="AF121" i="54"/>
  <c r="AB121" i="54"/>
  <c r="X121" i="54"/>
  <c r="W121" i="54"/>
  <c r="AC121" i="54"/>
  <c r="AA122" i="54"/>
  <c r="AF122" i="54"/>
  <c r="AA123" i="54"/>
  <c r="AG124" i="54"/>
  <c r="AC124" i="54"/>
  <c r="Y124" i="54"/>
  <c r="W124" i="54"/>
  <c r="AB124" i="54"/>
  <c r="AD125" i="54"/>
  <c r="AA126" i="54"/>
  <c r="Z128" i="54"/>
  <c r="AE128" i="54"/>
  <c r="V129" i="54"/>
  <c r="X130" i="54"/>
  <c r="AD130" i="54"/>
  <c r="Z131" i="54"/>
  <c r="AG132" i="54"/>
  <c r="AC132" i="54"/>
  <c r="Y132" i="54"/>
  <c r="W132" i="54"/>
  <c r="AB132" i="54"/>
  <c r="AD133" i="54"/>
  <c r="AA134" i="54"/>
  <c r="Z136" i="54"/>
  <c r="AE136" i="54"/>
  <c r="V137" i="54"/>
  <c r="X138" i="54"/>
  <c r="AD138" i="54"/>
  <c r="Z139" i="54"/>
  <c r="AG140" i="54"/>
  <c r="AC140" i="54"/>
  <c r="Y140" i="54"/>
  <c r="W140" i="54"/>
  <c r="AB140" i="54"/>
  <c r="AD141" i="54"/>
  <c r="AA142" i="54"/>
  <c r="Z144" i="54"/>
  <c r="AE144" i="54"/>
  <c r="AB145" i="54"/>
  <c r="AD146" i="54"/>
  <c r="X146" i="54"/>
  <c r="AA147" i="54"/>
  <c r="Y148" i="54"/>
  <c r="AD148" i="54"/>
  <c r="AA149" i="54"/>
  <c r="AB153" i="54"/>
  <c r="AG154" i="54"/>
  <c r="AG155" i="54"/>
  <c r="AC155" i="54"/>
  <c r="Y155" i="54"/>
  <c r="AE155" i="54"/>
  <c r="Z155" i="54"/>
  <c r="AD155" i="54"/>
  <c r="X155" i="54"/>
  <c r="W155" i="54"/>
  <c r="AB164" i="54"/>
  <c r="AA167" i="54"/>
  <c r="X204" i="54"/>
  <c r="Z94" i="54"/>
  <c r="AG95" i="54"/>
  <c r="AC95" i="54"/>
  <c r="Y95" i="54"/>
  <c r="W95" i="54"/>
  <c r="AB95" i="54"/>
  <c r="AD96" i="54"/>
  <c r="Z102" i="54"/>
  <c r="AG103" i="54"/>
  <c r="AC103" i="54"/>
  <c r="Y103" i="54"/>
  <c r="W103" i="54"/>
  <c r="AB103" i="54"/>
  <c r="AD104" i="54"/>
  <c r="Z110" i="54"/>
  <c r="AG111" i="54"/>
  <c r="AC111" i="54"/>
  <c r="Y111" i="54"/>
  <c r="W111" i="54"/>
  <c r="AB111" i="54"/>
  <c r="AD112" i="54"/>
  <c r="AA113" i="54"/>
  <c r="Z115" i="54"/>
  <c r="AE115" i="54"/>
  <c r="Z118" i="54"/>
  <c r="Z119" i="54"/>
  <c r="AE119" i="54"/>
  <c r="AD120" i="54"/>
  <c r="Z120" i="54"/>
  <c r="X120" i="54"/>
  <c r="AC120" i="54"/>
  <c r="W122" i="54"/>
  <c r="AB122" i="54"/>
  <c r="AF123" i="54"/>
  <c r="AB123" i="54"/>
  <c r="X123" i="54"/>
  <c r="W123" i="54"/>
  <c r="AC123" i="54"/>
  <c r="Z125" i="54"/>
  <c r="AG126" i="54"/>
  <c r="AC126" i="54"/>
  <c r="Y126" i="54"/>
  <c r="W126" i="54"/>
  <c r="AB126" i="54"/>
  <c r="AD127" i="54"/>
  <c r="AA128" i="54"/>
  <c r="Z130" i="54"/>
  <c r="AE130" i="54"/>
  <c r="Z133" i="54"/>
  <c r="AG134" i="54"/>
  <c r="AC134" i="54"/>
  <c r="Y134" i="54"/>
  <c r="W134" i="54"/>
  <c r="AB134" i="54"/>
  <c r="AD135" i="54"/>
  <c r="AA136" i="54"/>
  <c r="Z138" i="54"/>
  <c r="AE138" i="54"/>
  <c r="Z141" i="54"/>
  <c r="AG142" i="54"/>
  <c r="AC142" i="54"/>
  <c r="Y142" i="54"/>
  <c r="W142" i="54"/>
  <c r="AB142" i="54"/>
  <c r="AD143" i="54"/>
  <c r="AA144" i="54"/>
  <c r="X145" i="54"/>
  <c r="AD145" i="54"/>
  <c r="Z146" i="54"/>
  <c r="AF146" i="54"/>
  <c r="Z148" i="54"/>
  <c r="X152" i="54"/>
  <c r="AE152" i="54"/>
  <c r="W153" i="54"/>
  <c r="Y154" i="54"/>
  <c r="AD154" i="54"/>
  <c r="X154" i="54"/>
  <c r="Z163" i="54"/>
  <c r="AC167" i="54"/>
  <c r="I199" i="54"/>
  <c r="W197" i="54"/>
  <c r="Z112" i="54"/>
  <c r="X112" i="54"/>
  <c r="AC112" i="54"/>
  <c r="AG113" i="54"/>
  <c r="AC113" i="54"/>
  <c r="Y113" i="54"/>
  <c r="W113" i="54"/>
  <c r="AB113" i="54"/>
  <c r="AD114" i="54"/>
  <c r="AB114" i="54"/>
  <c r="AG114" i="54"/>
  <c r="AA115" i="54"/>
  <c r="AA119" i="54"/>
  <c r="Y120" i="54"/>
  <c r="AE121" i="54"/>
  <c r="AD122" i="54"/>
  <c r="Z122" i="54"/>
  <c r="X122" i="54"/>
  <c r="AC122" i="54"/>
  <c r="Z127" i="54"/>
  <c r="X127" i="54"/>
  <c r="AC127" i="54"/>
  <c r="AG128" i="54"/>
  <c r="AC128" i="54"/>
  <c r="Y128" i="54"/>
  <c r="W128" i="54"/>
  <c r="AB128" i="54"/>
  <c r="AD129" i="54"/>
  <c r="AB129" i="54"/>
  <c r="AG129" i="54"/>
  <c r="AA130" i="54"/>
  <c r="Z135" i="54"/>
  <c r="X135" i="54"/>
  <c r="AC135" i="54"/>
  <c r="AG136" i="54"/>
  <c r="AC136" i="54"/>
  <c r="Y136" i="54"/>
  <c r="W136" i="54"/>
  <c r="AB136" i="54"/>
  <c r="AD137" i="54"/>
  <c r="AB137" i="54"/>
  <c r="AG137" i="54"/>
  <c r="AA138" i="54"/>
  <c r="Z143" i="54"/>
  <c r="X143" i="54"/>
  <c r="AC143" i="54"/>
  <c r="AG144" i="54"/>
  <c r="AC144" i="54"/>
  <c r="Y144" i="54"/>
  <c r="W144" i="54"/>
  <c r="AB144" i="54"/>
  <c r="V146" i="54"/>
  <c r="AG147" i="54"/>
  <c r="AC147" i="54"/>
  <c r="Y147" i="54"/>
  <c r="AE147" i="54"/>
  <c r="Z147" i="54"/>
  <c r="W147" i="54"/>
  <c r="AD147" i="54"/>
  <c r="AG149" i="54"/>
  <c r="AC149" i="54"/>
  <c r="Y149" i="54"/>
  <c r="AD149" i="54"/>
  <c r="X149" i="54"/>
  <c r="W149" i="54"/>
  <c r="AE149" i="54"/>
  <c r="Z152" i="54"/>
  <c r="Y152" i="54"/>
  <c r="AG153" i="54"/>
  <c r="AC153" i="54"/>
  <c r="Y153" i="54"/>
  <c r="AF153" i="54"/>
  <c r="AA153" i="54"/>
  <c r="X153" i="54"/>
  <c r="AE153" i="54"/>
  <c r="Z154" i="54"/>
  <c r="AF154" i="54"/>
  <c r="AB154" i="54"/>
  <c r="V157" i="54"/>
  <c r="Z114" i="54"/>
  <c r="X114" i="54"/>
  <c r="AC114" i="54"/>
  <c r="AG115" i="54"/>
  <c r="AC115" i="54"/>
  <c r="Y115" i="54"/>
  <c r="W115" i="54"/>
  <c r="AB115" i="54"/>
  <c r="AF119" i="54"/>
  <c r="AB119" i="54"/>
  <c r="X119" i="54"/>
  <c r="W119" i="54"/>
  <c r="AC119" i="54"/>
  <c r="AE123" i="54"/>
  <c r="Z129" i="54"/>
  <c r="X129" i="54"/>
  <c r="AC129" i="54"/>
  <c r="AG130" i="54"/>
  <c r="AC130" i="54"/>
  <c r="Y130" i="54"/>
  <c r="W130" i="54"/>
  <c r="AB130" i="54"/>
  <c r="Z137" i="54"/>
  <c r="X137" i="54"/>
  <c r="AC137" i="54"/>
  <c r="AG138" i="54"/>
  <c r="AC138" i="54"/>
  <c r="Y138" i="54"/>
  <c r="W138" i="54"/>
  <c r="AB138" i="54"/>
  <c r="Y143" i="54"/>
  <c r="X144" i="54"/>
  <c r="AD144" i="54"/>
  <c r="Z149" i="54"/>
  <c r="AF149" i="54"/>
  <c r="V152" i="54"/>
  <c r="AB152" i="54"/>
  <c r="AG152" i="54"/>
  <c r="Z153" i="54"/>
  <c r="V154" i="54"/>
  <c r="AC154" i="54"/>
  <c r="Z167" i="54"/>
  <c r="Z156" i="54"/>
  <c r="AG157" i="54"/>
  <c r="AC157" i="54"/>
  <c r="Y157" i="54"/>
  <c r="W157" i="54"/>
  <c r="AB157" i="54"/>
  <c r="AC160" i="54"/>
  <c r="AD162" i="54"/>
  <c r="Z162" i="54"/>
  <c r="AF162" i="54"/>
  <c r="AA162" i="54"/>
  <c r="X162" i="54"/>
  <c r="AE162" i="54"/>
  <c r="W163" i="54"/>
  <c r="AD163" i="54"/>
  <c r="W164" i="54"/>
  <c r="AC164" i="54"/>
  <c r="AA165" i="54"/>
  <c r="V167" i="54"/>
  <c r="AE168" i="54"/>
  <c r="AA169" i="54"/>
  <c r="V169" i="54"/>
  <c r="Y170" i="54"/>
  <c r="AG170" i="54"/>
  <c r="AF171" i="54"/>
  <c r="AB171" i="54"/>
  <c r="X171" i="54"/>
  <c r="AG171" i="54"/>
  <c r="AA171" i="54"/>
  <c r="Y171" i="54"/>
  <c r="AE171" i="54"/>
  <c r="AD172" i="54"/>
  <c r="Z172" i="54"/>
  <c r="AE172" i="54"/>
  <c r="Y172" i="54"/>
  <c r="X172" i="54"/>
  <c r="AF172" i="54"/>
  <c r="AF175" i="54"/>
  <c r="AB175" i="54"/>
  <c r="X175" i="54"/>
  <c r="AD175" i="54"/>
  <c r="Y175" i="54"/>
  <c r="W175" i="54"/>
  <c r="AE175" i="54"/>
  <c r="AD176" i="54"/>
  <c r="Z176" i="54"/>
  <c r="AG176" i="54"/>
  <c r="AB176" i="54"/>
  <c r="W176" i="54"/>
  <c r="Y176" i="54"/>
  <c r="AF176" i="54"/>
  <c r="AB178" i="54"/>
  <c r="Z179" i="54"/>
  <c r="AA180" i="54"/>
  <c r="AG180" i="54"/>
  <c r="AF181" i="54"/>
  <c r="AB181" i="54"/>
  <c r="X181" i="54"/>
  <c r="AE181" i="54"/>
  <c r="Z181" i="54"/>
  <c r="W181" i="54"/>
  <c r="AD181" i="54"/>
  <c r="Z183" i="54"/>
  <c r="AG183" i="54"/>
  <c r="AA184" i="54"/>
  <c r="AE185" i="54"/>
  <c r="AG185" i="54"/>
  <c r="AC187" i="54"/>
  <c r="AB188" i="54"/>
  <c r="Y189" i="54"/>
  <c r="AG189" i="54"/>
  <c r="Y190" i="54"/>
  <c r="AF190" i="54"/>
  <c r="AC191" i="54"/>
  <c r="Z196" i="54"/>
  <c r="AG204" i="54"/>
  <c r="AD205" i="54"/>
  <c r="AD206" i="54"/>
  <c r="Z206" i="54"/>
  <c r="AE206" i="54"/>
  <c r="Y206" i="54"/>
  <c r="AB206" i="54"/>
  <c r="AG206" i="54"/>
  <c r="AA206" i="54"/>
  <c r="X206" i="54"/>
  <c r="W84" i="54"/>
  <c r="AA84" i="54"/>
  <c r="AA86" i="54"/>
  <c r="W88" i="54"/>
  <c r="AA88" i="54"/>
  <c r="AA90" i="54"/>
  <c r="AA92" i="54"/>
  <c r="W94" i="54"/>
  <c r="AA94" i="54"/>
  <c r="W96" i="54"/>
  <c r="AA96" i="54"/>
  <c r="AA98" i="54"/>
  <c r="AA100" i="54"/>
  <c r="W102" i="54"/>
  <c r="AA102" i="54"/>
  <c r="W104" i="54"/>
  <c r="AA104" i="54"/>
  <c r="AA106" i="54"/>
  <c r="AA108" i="54"/>
  <c r="AA110" i="54"/>
  <c r="W112" i="54"/>
  <c r="AA112" i="54"/>
  <c r="AA114" i="54"/>
  <c r="AA116" i="54"/>
  <c r="AA118" i="54"/>
  <c r="AA125" i="54"/>
  <c r="W127" i="54"/>
  <c r="AA127" i="54"/>
  <c r="AA129" i="54"/>
  <c r="AA131" i="54"/>
  <c r="AA133" i="54"/>
  <c r="W135" i="54"/>
  <c r="AA135" i="54"/>
  <c r="AA137" i="54"/>
  <c r="AA139" i="54"/>
  <c r="W141" i="54"/>
  <c r="AA141" i="54"/>
  <c r="W143" i="54"/>
  <c r="AA143" i="54"/>
  <c r="AG145" i="54"/>
  <c r="AC145" i="54"/>
  <c r="AA145" i="54"/>
  <c r="AF145" i="54"/>
  <c r="V148" i="54"/>
  <c r="Z150" i="54"/>
  <c r="AG151" i="54"/>
  <c r="AC151" i="54"/>
  <c r="Y151" i="54"/>
  <c r="W151" i="54"/>
  <c r="AB151" i="54"/>
  <c r="AD152" i="54"/>
  <c r="V156" i="54"/>
  <c r="X157" i="54"/>
  <c r="AD157" i="54"/>
  <c r="Z158" i="54"/>
  <c r="AF159" i="54"/>
  <c r="AB159" i="54"/>
  <c r="AD159" i="54"/>
  <c r="Y159" i="54"/>
  <c r="W159" i="54"/>
  <c r="AC159" i="54"/>
  <c r="X160" i="54"/>
  <c r="AA161" i="54"/>
  <c r="Y162" i="54"/>
  <c r="AG162" i="54"/>
  <c r="AF163" i="54"/>
  <c r="AB163" i="54"/>
  <c r="X163" i="54"/>
  <c r="AG163" i="54"/>
  <c r="AA163" i="54"/>
  <c r="Y163" i="54"/>
  <c r="AE163" i="54"/>
  <c r="AD164" i="54"/>
  <c r="Z164" i="54"/>
  <c r="AE164" i="54"/>
  <c r="Y164" i="54"/>
  <c r="X164" i="54"/>
  <c r="AF164" i="54"/>
  <c r="AF167" i="54"/>
  <c r="AB167" i="54"/>
  <c r="X167" i="54"/>
  <c r="AD167" i="54"/>
  <c r="Y167" i="54"/>
  <c r="AE167" i="54"/>
  <c r="AD168" i="54"/>
  <c r="Z168" i="54"/>
  <c r="AG168" i="54"/>
  <c r="AB168" i="54"/>
  <c r="W168" i="54"/>
  <c r="Y168" i="54"/>
  <c r="AF168" i="54"/>
  <c r="AB170" i="54"/>
  <c r="Z171" i="54"/>
  <c r="AA172" i="54"/>
  <c r="AG172" i="54"/>
  <c r="AF173" i="54"/>
  <c r="AB173" i="54"/>
  <c r="X173" i="54"/>
  <c r="AE173" i="54"/>
  <c r="Z173" i="54"/>
  <c r="AD173" i="54"/>
  <c r="Z175" i="54"/>
  <c r="AG175" i="54"/>
  <c r="AA176" i="54"/>
  <c r="AE177" i="54"/>
  <c r="W178" i="54"/>
  <c r="AC179" i="54"/>
  <c r="AB180" i="54"/>
  <c r="Y181" i="54"/>
  <c r="AG181" i="54"/>
  <c r="Y182" i="54"/>
  <c r="AF182" i="54"/>
  <c r="AA183" i="54"/>
  <c r="AC184" i="54"/>
  <c r="Z185" i="54"/>
  <c r="AD186" i="54"/>
  <c r="Z186" i="54"/>
  <c r="AF186" i="54"/>
  <c r="AA186" i="54"/>
  <c r="X186" i="54"/>
  <c r="AE186" i="54"/>
  <c r="W187" i="54"/>
  <c r="W188" i="54"/>
  <c r="AA189" i="54"/>
  <c r="AA190" i="54"/>
  <c r="AG190" i="54"/>
  <c r="AE190" i="54"/>
  <c r="AE205" i="54"/>
  <c r="AC206" i="54"/>
  <c r="AB208" i="54"/>
  <c r="Y208" i="54"/>
  <c r="AD209" i="54"/>
  <c r="Z209" i="54"/>
  <c r="AG209" i="54"/>
  <c r="AB209" i="54"/>
  <c r="W209" i="54"/>
  <c r="AE209" i="54"/>
  <c r="X209" i="54"/>
  <c r="Y209" i="54"/>
  <c r="AF209" i="54"/>
  <c r="AC209" i="54"/>
  <c r="AD160" i="54"/>
  <c r="Z160" i="54"/>
  <c r="AG160" i="54"/>
  <c r="AB160" i="54"/>
  <c r="W160" i="54"/>
  <c r="Y160" i="54"/>
  <c r="AF160" i="54"/>
  <c r="AG164" i="54"/>
  <c r="AF165" i="54"/>
  <c r="AB165" i="54"/>
  <c r="X165" i="54"/>
  <c r="AE165" i="54"/>
  <c r="Z165" i="54"/>
  <c r="W165" i="54"/>
  <c r="AD165" i="54"/>
  <c r="AG167" i="54"/>
  <c r="W170" i="54"/>
  <c r="AB172" i="54"/>
  <c r="AA175" i="54"/>
  <c r="AC176" i="54"/>
  <c r="Z177" i="54"/>
  <c r="AD178" i="54"/>
  <c r="Z178" i="54"/>
  <c r="AF178" i="54"/>
  <c r="AA178" i="54"/>
  <c r="X178" i="54"/>
  <c r="AE178" i="54"/>
  <c r="W179" i="54"/>
  <c r="W180" i="54"/>
  <c r="AA182" i="54"/>
  <c r="AG182" i="54"/>
  <c r="X184" i="54"/>
  <c r="AA185" i="54"/>
  <c r="AF187" i="54"/>
  <c r="AB187" i="54"/>
  <c r="X187" i="54"/>
  <c r="AG187" i="54"/>
  <c r="AA187" i="54"/>
  <c r="Y187" i="54"/>
  <c r="AE187" i="54"/>
  <c r="AD188" i="54"/>
  <c r="Z188" i="54"/>
  <c r="AE188" i="54"/>
  <c r="Y188" i="54"/>
  <c r="X188" i="54"/>
  <c r="AF188" i="54"/>
  <c r="AB190" i="54"/>
  <c r="AF191" i="54"/>
  <c r="AB191" i="54"/>
  <c r="X191" i="54"/>
  <c r="AE191" i="54"/>
  <c r="Z191" i="54"/>
  <c r="AD191" i="54"/>
  <c r="Y191" i="54"/>
  <c r="W191" i="54"/>
  <c r="X196" i="54"/>
  <c r="AB196" i="54"/>
  <c r="AF196" i="54"/>
  <c r="AF206" i="54"/>
  <c r="AD212" i="54"/>
  <c r="AC168" i="54"/>
  <c r="AD170" i="54"/>
  <c r="Z170" i="54"/>
  <c r="AF170" i="54"/>
  <c r="AA170" i="54"/>
  <c r="X170" i="54"/>
  <c r="AE170" i="54"/>
  <c r="AA177" i="54"/>
  <c r="V177" i="54"/>
  <c r="AF179" i="54"/>
  <c r="AB179" i="54"/>
  <c r="X179" i="54"/>
  <c r="AG179" i="54"/>
  <c r="AA179" i="54"/>
  <c r="Y179" i="54"/>
  <c r="AE179" i="54"/>
  <c r="AD180" i="54"/>
  <c r="Z180" i="54"/>
  <c r="AE180" i="54"/>
  <c r="Y180" i="54"/>
  <c r="X180" i="54"/>
  <c r="AF180" i="54"/>
  <c r="AF183" i="54"/>
  <c r="AB183" i="54"/>
  <c r="X183" i="54"/>
  <c r="AD183" i="54"/>
  <c r="Y183" i="54"/>
  <c r="W183" i="54"/>
  <c r="AE183" i="54"/>
  <c r="AD184" i="54"/>
  <c r="Z184" i="54"/>
  <c r="AG184" i="54"/>
  <c r="AB184" i="54"/>
  <c r="W184" i="54"/>
  <c r="Y184" i="54"/>
  <c r="AF184" i="54"/>
  <c r="AF189" i="54"/>
  <c r="AB189" i="54"/>
  <c r="X189" i="54"/>
  <c r="AE189" i="54"/>
  <c r="Z189" i="54"/>
  <c r="W189" i="54"/>
  <c r="AD189" i="54"/>
  <c r="AE196" i="54"/>
  <c r="AD196" i="54"/>
  <c r="Y196" i="54"/>
  <c r="AC196" i="54"/>
  <c r="AG196" i="54"/>
  <c r="AG197" i="54"/>
  <c r="AC197" i="54"/>
  <c r="Y197" i="54"/>
  <c r="AF197" i="54"/>
  <c r="AB197" i="54"/>
  <c r="X197" i="54"/>
  <c r="AE204" i="54"/>
  <c r="AF205" i="54"/>
  <c r="AB205" i="54"/>
  <c r="X205" i="54"/>
  <c r="AG205" i="54"/>
  <c r="AA205" i="54"/>
  <c r="AC205" i="54"/>
  <c r="Z205" i="54"/>
  <c r="Y205" i="54"/>
  <c r="W146" i="54"/>
  <c r="AA146" i="54"/>
  <c r="AA148" i="54"/>
  <c r="W150" i="54"/>
  <c r="AA150" i="54"/>
  <c r="W152" i="54"/>
  <c r="AA152" i="54"/>
  <c r="W154" i="54"/>
  <c r="AA154" i="54"/>
  <c r="AA156" i="54"/>
  <c r="W158" i="54"/>
  <c r="AA158" i="54"/>
  <c r="AF161" i="54"/>
  <c r="AB161" i="54"/>
  <c r="X161" i="54"/>
  <c r="W161" i="54"/>
  <c r="AC161" i="54"/>
  <c r="AD166" i="54"/>
  <c r="Z166" i="54"/>
  <c r="X166" i="54"/>
  <c r="AC166" i="54"/>
  <c r="AF169" i="54"/>
  <c r="AB169" i="54"/>
  <c r="X169" i="54"/>
  <c r="W169" i="54"/>
  <c r="AC169" i="54"/>
  <c r="AD174" i="54"/>
  <c r="Z174" i="54"/>
  <c r="X174" i="54"/>
  <c r="AC174" i="54"/>
  <c r="AF177" i="54"/>
  <c r="AB177" i="54"/>
  <c r="X177" i="54"/>
  <c r="W177" i="54"/>
  <c r="AC177" i="54"/>
  <c r="AD182" i="54"/>
  <c r="Z182" i="54"/>
  <c r="X182" i="54"/>
  <c r="AC182" i="54"/>
  <c r="AF185" i="54"/>
  <c r="AB185" i="54"/>
  <c r="X185" i="54"/>
  <c r="W185" i="54"/>
  <c r="AC185" i="54"/>
  <c r="AD190" i="54"/>
  <c r="Z190" i="54"/>
  <c r="X190" i="54"/>
  <c r="AC190" i="54"/>
  <c r="T196" i="54"/>
  <c r="AF207" i="54"/>
  <c r="AB207" i="54"/>
  <c r="X207" i="54"/>
  <c r="AE207" i="54"/>
  <c r="Z207" i="54"/>
  <c r="W207" i="54"/>
  <c r="AD207" i="54"/>
  <c r="W208" i="54"/>
  <c r="AE208" i="54"/>
  <c r="AD211" i="54"/>
  <c r="Z211" i="54"/>
  <c r="AF211" i="54"/>
  <c r="AA211" i="54"/>
  <c r="AG211" i="54"/>
  <c r="Y211" i="54"/>
  <c r="X211" i="54"/>
  <c r="W212" i="54"/>
  <c r="W196" i="54"/>
  <c r="AG208" i="54"/>
  <c r="V210" i="54"/>
  <c r="AB211" i="54"/>
  <c r="Z212" i="54"/>
  <c r="AC212" i="54"/>
  <c r="AF214" i="54"/>
  <c r="AB214" i="54"/>
  <c r="X214" i="54"/>
  <c r="AE214" i="54"/>
  <c r="Z214" i="54"/>
  <c r="AA214" i="54"/>
  <c r="AG214" i="54"/>
  <c r="Y214" i="54"/>
  <c r="AC214" i="54"/>
  <c r="AD214" i="54"/>
  <c r="V219" i="54"/>
  <c r="AE195" i="54"/>
  <c r="AA195" i="54"/>
  <c r="W195" i="54"/>
  <c r="Z195" i="54"/>
  <c r="AF195" i="54"/>
  <c r="AF208" i="54"/>
  <c r="AD208" i="54"/>
  <c r="Z208" i="54"/>
  <c r="X208" i="54"/>
  <c r="AC208" i="54"/>
  <c r="AA210" i="54"/>
  <c r="AF212" i="54"/>
  <c r="AB212" i="54"/>
  <c r="X212" i="54"/>
  <c r="AG212" i="54"/>
  <c r="AA212" i="54"/>
  <c r="Y212" i="54"/>
  <c r="AE212" i="54"/>
  <c r="AD213" i="54"/>
  <c r="Z213" i="54"/>
  <c r="AE213" i="54"/>
  <c r="Y213" i="54"/>
  <c r="X213" i="54"/>
  <c r="AF213" i="54"/>
  <c r="AF216" i="54"/>
  <c r="AB216" i="54"/>
  <c r="X216" i="54"/>
  <c r="AD216" i="54"/>
  <c r="Y216" i="54"/>
  <c r="W216" i="54"/>
  <c r="AE216" i="54"/>
  <c r="AA217" i="54"/>
  <c r="AF219" i="54"/>
  <c r="AB219" i="54"/>
  <c r="X219" i="54"/>
  <c r="AD219" i="54"/>
  <c r="Y219" i="54"/>
  <c r="AA219" i="54"/>
  <c r="AG219" i="54"/>
  <c r="Z219" i="54"/>
  <c r="W219" i="54"/>
  <c r="AD220" i="54"/>
  <c r="Z220" i="54"/>
  <c r="AG220" i="54"/>
  <c r="AB220" i="54"/>
  <c r="W220" i="54"/>
  <c r="AC220" i="54"/>
  <c r="AA220" i="54"/>
  <c r="Y220" i="54"/>
  <c r="AF225" i="54"/>
  <c r="AB225" i="54"/>
  <c r="X225" i="54"/>
  <c r="AE225" i="54"/>
  <c r="Z225" i="54"/>
  <c r="AC225" i="54"/>
  <c r="AA225" i="54"/>
  <c r="AG225" i="54"/>
  <c r="Y225" i="54"/>
  <c r="AD225" i="54"/>
  <c r="AB213" i="54"/>
  <c r="AC219" i="54"/>
  <c r="AE220" i="54"/>
  <c r="AG221" i="54"/>
  <c r="AA221" i="54"/>
  <c r="AF217" i="54"/>
  <c r="AB217" i="54"/>
  <c r="X217" i="54"/>
  <c r="AE217" i="54"/>
  <c r="Z217" i="54"/>
  <c r="AG217" i="54"/>
  <c r="Y217" i="54"/>
  <c r="W217" i="54"/>
  <c r="AE219" i="54"/>
  <c r="AF220" i="54"/>
  <c r="V221" i="54"/>
  <c r="AF231" i="54"/>
  <c r="AB231" i="54"/>
  <c r="X231" i="54"/>
  <c r="AE231" i="54"/>
  <c r="Z231" i="54"/>
  <c r="AD231" i="54"/>
  <c r="Y231" i="54"/>
  <c r="AG231" i="54"/>
  <c r="AA231" i="54"/>
  <c r="AC231" i="54"/>
  <c r="AC233" i="54"/>
  <c r="AE233" i="54"/>
  <c r="X233" i="54"/>
  <c r="Z233" i="54"/>
  <c r="AF233" i="54"/>
  <c r="AB235" i="54"/>
  <c r="AG235" i="54"/>
  <c r="X235" i="54"/>
  <c r="Z235" i="54"/>
  <c r="AF235" i="54"/>
  <c r="AE221" i="54"/>
  <c r="AC223" i="54"/>
  <c r="AB224" i="54"/>
  <c r="Y226" i="54"/>
  <c r="AF226" i="54"/>
  <c r="AE227" i="54"/>
  <c r="AD228" i="54"/>
  <c r="Z228" i="54"/>
  <c r="AE228" i="54"/>
  <c r="Y228" i="54"/>
  <c r="AG228" i="54"/>
  <c r="AB228" i="54"/>
  <c r="W228" i="54"/>
  <c r="AA228" i="54"/>
  <c r="AF232" i="54"/>
  <c r="AB233" i="54"/>
  <c r="AM259" i="54"/>
  <c r="AF210" i="54"/>
  <c r="AB210" i="54"/>
  <c r="X210" i="54"/>
  <c r="W210" i="54"/>
  <c r="AC210" i="54"/>
  <c r="AD215" i="54"/>
  <c r="Z215" i="54"/>
  <c r="X215" i="54"/>
  <c r="AC215" i="54"/>
  <c r="Y218" i="54"/>
  <c r="AF218" i="54"/>
  <c r="Z221" i="54"/>
  <c r="AD222" i="54"/>
  <c r="Z222" i="54"/>
  <c r="AF222" i="54"/>
  <c r="AA222" i="54"/>
  <c r="X222" i="54"/>
  <c r="AE222" i="54"/>
  <c r="W223" i="54"/>
  <c r="W224" i="54"/>
  <c r="AA226" i="54"/>
  <c r="AG226" i="54"/>
  <c r="AC228" i="54"/>
  <c r="Y233" i="54"/>
  <c r="V234" i="54"/>
  <c r="AC235" i="54"/>
  <c r="AF223" i="54"/>
  <c r="AB223" i="54"/>
  <c r="X223" i="54"/>
  <c r="AG223" i="54"/>
  <c r="AA223" i="54"/>
  <c r="Y223" i="54"/>
  <c r="AE223" i="54"/>
  <c r="AD224" i="54"/>
  <c r="Z224" i="54"/>
  <c r="AE224" i="54"/>
  <c r="Y224" i="54"/>
  <c r="X224" i="54"/>
  <c r="AF224" i="54"/>
  <c r="AF227" i="54"/>
  <c r="AB227" i="54"/>
  <c r="X227" i="54"/>
  <c r="AG227" i="54"/>
  <c r="AA227" i="54"/>
  <c r="AD227" i="54"/>
  <c r="Y227" i="54"/>
  <c r="Z227" i="54"/>
  <c r="W231" i="54"/>
  <c r="AG233" i="54"/>
  <c r="AD218" i="54"/>
  <c r="Z218" i="54"/>
  <c r="X218" i="54"/>
  <c r="AC218" i="54"/>
  <c r="AF221" i="54"/>
  <c r="AB221" i="54"/>
  <c r="X221" i="54"/>
  <c r="W221" i="54"/>
  <c r="AC221" i="54"/>
  <c r="AD226" i="54"/>
  <c r="Z226" i="54"/>
  <c r="X226" i="54"/>
  <c r="AC226" i="54"/>
  <c r="AF229" i="54"/>
  <c r="AB229" i="54"/>
  <c r="X229" i="54"/>
  <c r="W229" i="54"/>
  <c r="AC229" i="54"/>
  <c r="AA230" i="54"/>
  <c r="Y232" i="54"/>
  <c r="AE232" i="54"/>
  <c r="AD233" i="54"/>
  <c r="Y235" i="54"/>
  <c r="AD235" i="54"/>
  <c r="V239" i="54"/>
  <c r="AG240" i="54"/>
  <c r="AC240" i="54"/>
  <c r="Y240" i="54"/>
  <c r="AE240" i="54"/>
  <c r="Z240" i="54"/>
  <c r="AB240" i="54"/>
  <c r="AA240" i="54"/>
  <c r="AF240" i="54"/>
  <c r="X240" i="54"/>
  <c r="AD240" i="54"/>
  <c r="Z229" i="54"/>
  <c r="AE229" i="54"/>
  <c r="AD230" i="54"/>
  <c r="Z230" i="54"/>
  <c r="X230" i="54"/>
  <c r="AC230" i="54"/>
  <c r="W232" i="54"/>
  <c r="AB232" i="54"/>
  <c r="V233" i="54"/>
  <c r="AG234" i="54"/>
  <c r="AC234" i="54"/>
  <c r="Y234" i="54"/>
  <c r="AE234" i="54"/>
  <c r="Z234" i="54"/>
  <c r="W234" i="54"/>
  <c r="AD234" i="54"/>
  <c r="AG236" i="54"/>
  <c r="AC236" i="54"/>
  <c r="Y236" i="54"/>
  <c r="AD236" i="54"/>
  <c r="X236" i="54"/>
  <c r="W236" i="54"/>
  <c r="AE236" i="54"/>
  <c r="V237" i="54"/>
  <c r="AG242" i="54"/>
  <c r="AC242" i="54"/>
  <c r="Y242" i="54"/>
  <c r="AD242" i="54"/>
  <c r="X242" i="54"/>
  <c r="AB242" i="54"/>
  <c r="AA242" i="54"/>
  <c r="AF242" i="54"/>
  <c r="Z242" i="54"/>
  <c r="AE242" i="54"/>
  <c r="AD232" i="54"/>
  <c r="Z232" i="54"/>
  <c r="X232" i="54"/>
  <c r="AC232" i="54"/>
  <c r="AE235" i="54"/>
  <c r="Z236" i="54"/>
  <c r="AF236" i="54"/>
  <c r="V238" i="54"/>
  <c r="V243" i="54"/>
  <c r="V235" i="54"/>
  <c r="Z237" i="54"/>
  <c r="AG238" i="54"/>
  <c r="AC238" i="54"/>
  <c r="Y238" i="54"/>
  <c r="W238" i="54"/>
  <c r="AB238" i="54"/>
  <c r="AC239" i="54"/>
  <c r="AB241" i="54"/>
  <c r="AE247" i="54"/>
  <c r="X247" i="54"/>
  <c r="AG247" i="54"/>
  <c r="AC247" i="54"/>
  <c r="Z247" i="54"/>
  <c r="AD239" i="54"/>
  <c r="X239" i="54"/>
  <c r="AD241" i="54"/>
  <c r="Z239" i="54"/>
  <c r="AF239" i="54"/>
  <c r="Z241" i="54"/>
  <c r="V244" i="54"/>
  <c r="V245" i="54"/>
  <c r="W233" i="54"/>
  <c r="AA233" i="54"/>
  <c r="AA235" i="54"/>
  <c r="W237" i="54"/>
  <c r="AA237" i="54"/>
  <c r="V241" i="54"/>
  <c r="Z243" i="54"/>
  <c r="AD244" i="54"/>
  <c r="AC244" i="54"/>
  <c r="Y244" i="54"/>
  <c r="W244" i="54"/>
  <c r="AB244" i="54"/>
  <c r="AD245" i="54"/>
  <c r="Y245" i="54"/>
  <c r="AG245" i="54"/>
  <c r="Z245" i="54"/>
  <c r="X245" i="54"/>
  <c r="AF246" i="54"/>
  <c r="AA246" i="54"/>
  <c r="Z246" i="54"/>
  <c r="X246" i="54"/>
  <c r="AB247" i="54"/>
  <c r="Y247" i="54"/>
  <c r="AD247" i="54"/>
  <c r="AF247" i="54"/>
  <c r="V248" i="54"/>
  <c r="Z249" i="54"/>
  <c r="X253" i="54"/>
  <c r="Y255" i="54"/>
  <c r="AD255" i="54"/>
  <c r="X255" i="54"/>
  <c r="AA256" i="54"/>
  <c r="W239" i="54"/>
  <c r="AA239" i="54"/>
  <c r="AA241" i="54"/>
  <c r="W243" i="54"/>
  <c r="AA243" i="54"/>
  <c r="V247" i="54"/>
  <c r="AE248" i="54"/>
  <c r="Z248" i="54"/>
  <c r="W248" i="54"/>
  <c r="AD248" i="54"/>
  <c r="AD250" i="54"/>
  <c r="X250" i="54"/>
  <c r="W250" i="54"/>
  <c r="AE250" i="54"/>
  <c r="Y253" i="54"/>
  <c r="Z255" i="54"/>
  <c r="AF255" i="54"/>
  <c r="AB255" i="54"/>
  <c r="Z253" i="54"/>
  <c r="AF253" i="54"/>
  <c r="AC253" i="54"/>
  <c r="AD249" i="54"/>
  <c r="AA250" i="54"/>
  <c r="V253" i="54"/>
  <c r="AB253" i="54"/>
  <c r="AG253" i="54"/>
  <c r="AF254" i="54"/>
  <c r="AA254" i="54"/>
  <c r="AE254" i="54"/>
  <c r="Z254" i="54"/>
  <c r="X254" i="54"/>
  <c r="AG255" i="54"/>
  <c r="AE256" i="54"/>
  <c r="Z256" i="54"/>
  <c r="AD256" i="54"/>
  <c r="X256" i="54"/>
  <c r="W256" i="54"/>
  <c r="AA262" i="54"/>
  <c r="AG262" i="54"/>
  <c r="AD273" i="54"/>
  <c r="Z269" i="54"/>
  <c r="Z273" i="54" s="1"/>
  <c r="L273" i="54"/>
  <c r="AE269" i="54"/>
  <c r="AE273" i="54" s="1"/>
  <c r="Q273" i="54"/>
  <c r="V255" i="54"/>
  <c r="AE262" i="54"/>
  <c r="V249" i="54"/>
  <c r="AD253" i="54"/>
  <c r="AF262" i="54"/>
  <c r="V273" i="54"/>
  <c r="P273" i="54"/>
  <c r="Y269" i="54"/>
  <c r="W271" i="54"/>
  <c r="AE245" i="54"/>
  <c r="AA245" i="54"/>
  <c r="W245" i="54"/>
  <c r="AG246" i="54"/>
  <c r="AC246" i="54"/>
  <c r="Y246" i="54"/>
  <c r="AG248" i="54"/>
  <c r="AC248" i="54"/>
  <c r="Y248" i="54"/>
  <c r="AG250" i="54"/>
  <c r="AC250" i="54"/>
  <c r="Y250" i="54"/>
  <c r="AG252" i="54"/>
  <c r="AC252" i="54"/>
  <c r="Y252" i="54"/>
  <c r="AG254" i="54"/>
  <c r="AC254" i="54"/>
  <c r="Y254" i="54"/>
  <c r="AG256" i="54"/>
  <c r="AC256" i="54"/>
  <c r="Y256" i="54"/>
  <c r="AE265" i="54"/>
  <c r="AA265" i="54"/>
  <c r="W265" i="54"/>
  <c r="AG271" i="54"/>
  <c r="AG273" i="54" s="1"/>
  <c r="AC271" i="54"/>
  <c r="AC273" i="54" s="1"/>
  <c r="Y271" i="54"/>
  <c r="W247" i="54"/>
  <c r="AA247" i="54"/>
  <c r="AA249" i="54"/>
  <c r="W251" i="54"/>
  <c r="AA251" i="54"/>
  <c r="W253" i="54"/>
  <c r="AA253" i="54"/>
  <c r="AA255" i="54"/>
  <c r="AA257" i="54"/>
  <c r="AA266" i="54"/>
  <c r="W199" i="54" l="1"/>
  <c r="AH30" i="56"/>
  <c r="T175" i="54"/>
  <c r="Q264" i="54"/>
  <c r="T216" i="54"/>
  <c r="AL30" i="56"/>
  <c r="AM30" i="56" s="1"/>
  <c r="AN30" i="56" s="1"/>
  <c r="AF158" i="56"/>
  <c r="T181" i="54"/>
  <c r="T161" i="56"/>
  <c r="S273" i="54"/>
  <c r="K165" i="56"/>
  <c r="AC172" i="56"/>
  <c r="AH52" i="54"/>
  <c r="AL52" i="54" s="1"/>
  <c r="AN52" i="54" s="1"/>
  <c r="AH148" i="56"/>
  <c r="AL82" i="56"/>
  <c r="AM82" i="56" s="1"/>
  <c r="AB165" i="56"/>
  <c r="AL86" i="56"/>
  <c r="AM86" i="56" s="1"/>
  <c r="AH75" i="56"/>
  <c r="W264" i="54"/>
  <c r="AH124" i="54"/>
  <c r="AL124" i="54" s="1"/>
  <c r="AN124" i="54" s="1"/>
  <c r="AL71" i="56"/>
  <c r="AM71" i="56" s="1"/>
  <c r="T12" i="56"/>
  <c r="AM275" i="54"/>
  <c r="T140" i="54"/>
  <c r="Y165" i="56"/>
  <c r="AL129" i="56"/>
  <c r="AM129" i="56" s="1"/>
  <c r="AH265" i="54"/>
  <c r="AH161" i="54"/>
  <c r="AL161" i="54" s="1"/>
  <c r="AN161" i="54" s="1"/>
  <c r="Y199" i="54"/>
  <c r="AH141" i="54"/>
  <c r="AL141" i="54" s="1"/>
  <c r="AN141" i="54" s="1"/>
  <c r="AH84" i="54"/>
  <c r="AL84" i="54" s="1"/>
  <c r="AN84" i="54" s="1"/>
  <c r="AE120" i="56"/>
  <c r="K273" i="54"/>
  <c r="AH216" i="54"/>
  <c r="AL216" i="54" s="1"/>
  <c r="AN216" i="54" s="1"/>
  <c r="T124" i="54"/>
  <c r="H165" i="56"/>
  <c r="T132" i="54"/>
  <c r="AL127" i="56"/>
  <c r="AH32" i="56"/>
  <c r="AH27" i="56"/>
  <c r="AH22" i="56"/>
  <c r="K199" i="54"/>
  <c r="AH155" i="54"/>
  <c r="AL155" i="54" s="1"/>
  <c r="AN155" i="54" s="1"/>
  <c r="AH71" i="54"/>
  <c r="AL71" i="54" s="1"/>
  <c r="AN71" i="54" s="1"/>
  <c r="T168" i="56"/>
  <c r="O172" i="56"/>
  <c r="AH251" i="54"/>
  <c r="AL251" i="54" s="1"/>
  <c r="AN251" i="54" s="1"/>
  <c r="AB264" i="54"/>
  <c r="AC264" i="54"/>
  <c r="AH229" i="54"/>
  <c r="AL229" i="54" s="1"/>
  <c r="AN229" i="54" s="1"/>
  <c r="AB259" i="54"/>
  <c r="AH158" i="54"/>
  <c r="AL158" i="54" s="1"/>
  <c r="AN158" i="54" s="1"/>
  <c r="AH150" i="54"/>
  <c r="AL150" i="54" s="1"/>
  <c r="AN150" i="54" s="1"/>
  <c r="AH252" i="54"/>
  <c r="AL252" i="54" s="1"/>
  <c r="AN252" i="54" s="1"/>
  <c r="AE259" i="54"/>
  <c r="AH185" i="54"/>
  <c r="AL185" i="54" s="1"/>
  <c r="AN185" i="54" s="1"/>
  <c r="AH151" i="54"/>
  <c r="AL151" i="54" s="1"/>
  <c r="AN151" i="54" s="1"/>
  <c r="AH143" i="54"/>
  <c r="AL143" i="54" s="1"/>
  <c r="AN143" i="54" s="1"/>
  <c r="AH135" i="54"/>
  <c r="AL135" i="54" s="1"/>
  <c r="AN135" i="54" s="1"/>
  <c r="AH127" i="54"/>
  <c r="AL127" i="54" s="1"/>
  <c r="AN127" i="54" s="1"/>
  <c r="AH102" i="54"/>
  <c r="AL102" i="54" s="1"/>
  <c r="AN102" i="54" s="1"/>
  <c r="AH94" i="54"/>
  <c r="AL94" i="54" s="1"/>
  <c r="AN94" i="54" s="1"/>
  <c r="AH175" i="54"/>
  <c r="AL175" i="54" s="1"/>
  <c r="AN175" i="54" s="1"/>
  <c r="AH140" i="54"/>
  <c r="AL140" i="54" s="1"/>
  <c r="AN140" i="54" s="1"/>
  <c r="AH67" i="54"/>
  <c r="AL67" i="54" s="1"/>
  <c r="AN67" i="54" s="1"/>
  <c r="AH38" i="54"/>
  <c r="AL38" i="54" s="1"/>
  <c r="AN38" i="54" s="1"/>
  <c r="AH30" i="54"/>
  <c r="AL30" i="54" s="1"/>
  <c r="AN30" i="54" s="1"/>
  <c r="AG47" i="54"/>
  <c r="X165" i="56"/>
  <c r="AH141" i="56"/>
  <c r="AB158" i="56"/>
  <c r="Y158" i="56"/>
  <c r="AD158" i="56"/>
  <c r="AH128" i="56"/>
  <c r="AL65" i="56"/>
  <c r="AM65" i="56" s="1"/>
  <c r="AH78" i="56"/>
  <c r="AL72" i="56"/>
  <c r="AM72" i="56" s="1"/>
  <c r="AH68" i="56"/>
  <c r="AL49" i="56"/>
  <c r="AM49" i="56" s="1"/>
  <c r="AH16" i="56"/>
  <c r="AL22" i="56"/>
  <c r="AM22" i="56" s="1"/>
  <c r="AL17" i="56"/>
  <c r="AM17" i="56" s="1"/>
  <c r="AD39" i="56"/>
  <c r="AH13" i="56"/>
  <c r="AH236" i="54"/>
  <c r="AL236" i="54" s="1"/>
  <c r="AN236" i="54" s="1"/>
  <c r="AH181" i="54"/>
  <c r="AL181" i="54" s="1"/>
  <c r="AN181" i="54" s="1"/>
  <c r="AH117" i="54"/>
  <c r="AL117" i="54" s="1"/>
  <c r="AN117" i="54" s="1"/>
  <c r="AH74" i="54"/>
  <c r="AL74" i="54" s="1"/>
  <c r="AN74" i="54" s="1"/>
  <c r="AC158" i="56"/>
  <c r="AH96" i="56"/>
  <c r="AH88" i="56"/>
  <c r="AH92" i="56"/>
  <c r="AL68" i="56"/>
  <c r="AM68" i="56" s="1"/>
  <c r="AL63" i="56"/>
  <c r="AM63" i="56" s="1"/>
  <c r="Z39" i="56"/>
  <c r="AH271" i="54"/>
  <c r="AL271" i="54" s="1"/>
  <c r="AN271" i="54" s="1"/>
  <c r="AG158" i="56"/>
  <c r="AL139" i="56"/>
  <c r="AM139" i="56" s="1"/>
  <c r="AH136" i="56"/>
  <c r="AH256" i="54"/>
  <c r="AL256" i="54" s="1"/>
  <c r="AN256" i="54" s="1"/>
  <c r="AH207" i="54"/>
  <c r="AL207" i="54" s="1"/>
  <c r="AN207" i="54" s="1"/>
  <c r="AH132" i="54"/>
  <c r="AL132" i="54" s="1"/>
  <c r="AN132" i="54" s="1"/>
  <c r="AH121" i="54"/>
  <c r="AH85" i="54"/>
  <c r="AL85" i="54" s="1"/>
  <c r="AN85" i="54" s="1"/>
  <c r="AH80" i="54"/>
  <c r="AL80" i="54" s="1"/>
  <c r="AN80" i="54" s="1"/>
  <c r="AH72" i="54"/>
  <c r="AL72" i="54" s="1"/>
  <c r="AN72" i="54" s="1"/>
  <c r="AH55" i="54"/>
  <c r="AH49" i="54"/>
  <c r="AG172" i="56"/>
  <c r="AA158" i="56"/>
  <c r="AL136" i="56"/>
  <c r="AM136" i="56" s="1"/>
  <c r="AH114" i="56"/>
  <c r="AL92" i="56"/>
  <c r="AM92" i="56" s="1"/>
  <c r="Q172" i="56"/>
  <c r="O165" i="56"/>
  <c r="T141" i="56"/>
  <c r="T139" i="56"/>
  <c r="AH139" i="56"/>
  <c r="T136" i="56"/>
  <c r="J158" i="56"/>
  <c r="AL128" i="56"/>
  <c r="AM128" i="56" s="1"/>
  <c r="O158" i="56"/>
  <c r="T110" i="56"/>
  <c r="T109" i="56"/>
  <c r="T104" i="56"/>
  <c r="X93" i="56"/>
  <c r="T93" i="56"/>
  <c r="T91" i="56"/>
  <c r="V91" i="56"/>
  <c r="AH90" i="56"/>
  <c r="AL90" i="56"/>
  <c r="AM90" i="56" s="1"/>
  <c r="X83" i="56"/>
  <c r="T83" i="56"/>
  <c r="T62" i="56"/>
  <c r="V62" i="56"/>
  <c r="R120" i="56"/>
  <c r="AF56" i="56"/>
  <c r="AF120" i="56" s="1"/>
  <c r="T82" i="56"/>
  <c r="AN82" i="56" s="1"/>
  <c r="AH74" i="56"/>
  <c r="T72" i="56"/>
  <c r="T71" i="56"/>
  <c r="AN71" i="56" s="1"/>
  <c r="AL75" i="56"/>
  <c r="AM75" i="56" s="1"/>
  <c r="T87" i="56"/>
  <c r="T75" i="56"/>
  <c r="AL67" i="56"/>
  <c r="AM67" i="56" s="1"/>
  <c r="AH67" i="56"/>
  <c r="T60" i="56"/>
  <c r="T61" i="56"/>
  <c r="AE48" i="56"/>
  <c r="Q51" i="56"/>
  <c r="S120" i="56"/>
  <c r="AG56" i="56"/>
  <c r="AG120" i="56" s="1"/>
  <c r="AL47" i="56"/>
  <c r="AM47" i="56" s="1"/>
  <c r="AN47" i="56" s="1"/>
  <c r="AH47" i="56"/>
  <c r="AD42" i="56"/>
  <c r="AD45" i="56" s="1"/>
  <c r="P45" i="56"/>
  <c r="I45" i="56"/>
  <c r="W42" i="56"/>
  <c r="W45" i="56" s="1"/>
  <c r="AL46" i="56"/>
  <c r="AM46" i="56" s="1"/>
  <c r="AN46" i="56" s="1"/>
  <c r="AH46" i="56"/>
  <c r="T57" i="56"/>
  <c r="AC45" i="56"/>
  <c r="K45" i="56"/>
  <c r="T25" i="56"/>
  <c r="V25" i="56"/>
  <c r="T49" i="56"/>
  <c r="AL32" i="56"/>
  <c r="AM32" i="56" s="1"/>
  <c r="T23" i="56"/>
  <c r="V23" i="56"/>
  <c r="V19" i="56"/>
  <c r="T19" i="56"/>
  <c r="J39" i="56"/>
  <c r="X12" i="56"/>
  <c r="X39" i="56" s="1"/>
  <c r="M39" i="56"/>
  <c r="AA12" i="56"/>
  <c r="AA39" i="56" s="1"/>
  <c r="AL13" i="56"/>
  <c r="AM13" i="56" s="1"/>
  <c r="AL27" i="56"/>
  <c r="AM27" i="56" s="1"/>
  <c r="R165" i="56"/>
  <c r="W172" i="56"/>
  <c r="AA172" i="56"/>
  <c r="L172" i="56"/>
  <c r="Z165" i="56"/>
  <c r="L165" i="56"/>
  <c r="Z158" i="56"/>
  <c r="T143" i="56"/>
  <c r="T127" i="56"/>
  <c r="AH129" i="56"/>
  <c r="AH125" i="56"/>
  <c r="W94" i="56"/>
  <c r="T94" i="56"/>
  <c r="T114" i="56"/>
  <c r="AH127" i="56"/>
  <c r="AL114" i="56"/>
  <c r="AM114" i="56" s="1"/>
  <c r="W84" i="56"/>
  <c r="T84" i="56"/>
  <c r="W76" i="56"/>
  <c r="T76" i="56"/>
  <c r="W69" i="56"/>
  <c r="T69" i="56"/>
  <c r="V89" i="56"/>
  <c r="T89" i="56"/>
  <c r="T85" i="56"/>
  <c r="V85" i="56"/>
  <c r="T58" i="56"/>
  <c r="V58" i="56"/>
  <c r="Q120" i="56"/>
  <c r="I120" i="56"/>
  <c r="AL78" i="56"/>
  <c r="AM78" i="56" s="1"/>
  <c r="T98" i="56"/>
  <c r="T88" i="56"/>
  <c r="AL88" i="56"/>
  <c r="AM88" i="56" s="1"/>
  <c r="AL79" i="56"/>
  <c r="AM79" i="56" s="1"/>
  <c r="AH79" i="56"/>
  <c r="AH71" i="56"/>
  <c r="AH86" i="56"/>
  <c r="AH65" i="56"/>
  <c r="T67" i="56"/>
  <c r="AH63" i="56"/>
  <c r="AH61" i="56"/>
  <c r="AL61" i="56"/>
  <c r="AM61" i="56" s="1"/>
  <c r="AN61" i="56" s="1"/>
  <c r="AD48" i="56"/>
  <c r="P51" i="56"/>
  <c r="K51" i="56"/>
  <c r="Y48" i="56"/>
  <c r="AG45" i="56"/>
  <c r="P120" i="56"/>
  <c r="AD56" i="56"/>
  <c r="AD120" i="56" s="1"/>
  <c r="AH49" i="56"/>
  <c r="X42" i="56"/>
  <c r="X45" i="56" s="1"/>
  <c r="J45" i="56"/>
  <c r="M45" i="56"/>
  <c r="AA42" i="56"/>
  <c r="AA45" i="56" s="1"/>
  <c r="V59" i="56"/>
  <c r="T59" i="56"/>
  <c r="M51" i="56"/>
  <c r="AA48" i="56"/>
  <c r="W24" i="56"/>
  <c r="AL24" i="56" s="1"/>
  <c r="AM24" i="56" s="1"/>
  <c r="T24" i="56"/>
  <c r="AH57" i="56"/>
  <c r="AL57" i="56"/>
  <c r="AM57" i="56" s="1"/>
  <c r="O45" i="56"/>
  <c r="Z120" i="56"/>
  <c r="J51" i="56"/>
  <c r="V33" i="56"/>
  <c r="T33" i="56"/>
  <c r="AH31" i="56"/>
  <c r="AL31" i="56"/>
  <c r="AM31" i="56" s="1"/>
  <c r="T22" i="56"/>
  <c r="T15" i="56"/>
  <c r="V15" i="56"/>
  <c r="O39" i="56"/>
  <c r="AC12" i="56"/>
  <c r="AC39" i="56" s="1"/>
  <c r="T17" i="56"/>
  <c r="AN17" i="56" s="1"/>
  <c r="I39" i="56"/>
  <c r="W12" i="56"/>
  <c r="AL16" i="56"/>
  <c r="AM16" i="56" s="1"/>
  <c r="I172" i="56"/>
  <c r="M172" i="56"/>
  <c r="T169" i="56"/>
  <c r="AG165" i="56"/>
  <c r="T152" i="56"/>
  <c r="J165" i="56"/>
  <c r="AL148" i="56"/>
  <c r="AM148" i="56" s="1"/>
  <c r="T131" i="56"/>
  <c r="T129" i="56"/>
  <c r="AN129" i="56" s="1"/>
  <c r="T133" i="56"/>
  <c r="T117" i="56"/>
  <c r="T106" i="56"/>
  <c r="V97" i="56"/>
  <c r="T97" i="56"/>
  <c r="T81" i="56"/>
  <c r="V81" i="56"/>
  <c r="T70" i="56"/>
  <c r="V70" i="56"/>
  <c r="AA120" i="56"/>
  <c r="J120" i="56"/>
  <c r="X56" i="56"/>
  <c r="X120" i="56" s="1"/>
  <c r="AL96" i="56"/>
  <c r="AM96" i="56" s="1"/>
  <c r="T96" i="56"/>
  <c r="AH87" i="56"/>
  <c r="AL87" i="56"/>
  <c r="AM87" i="56" s="1"/>
  <c r="AN87" i="56" s="1"/>
  <c r="T74" i="56"/>
  <c r="AH82" i="56"/>
  <c r="T79" i="56"/>
  <c r="AL74" i="56"/>
  <c r="AM74" i="56" s="1"/>
  <c r="V64" i="56"/>
  <c r="T64" i="56"/>
  <c r="T86" i="56"/>
  <c r="AN86" i="56" s="1"/>
  <c r="T68" i="56"/>
  <c r="AN68" i="56" s="1"/>
  <c r="I51" i="56"/>
  <c r="W48" i="56"/>
  <c r="O51" i="56"/>
  <c r="AC48" i="56"/>
  <c r="H120" i="56"/>
  <c r="V56" i="56"/>
  <c r="T56" i="56"/>
  <c r="Z42" i="56"/>
  <c r="Z45" i="56" s="1"/>
  <c r="L45" i="56"/>
  <c r="Q45" i="56"/>
  <c r="AE42" i="56"/>
  <c r="AE45" i="56" s="1"/>
  <c r="T35" i="56"/>
  <c r="V35" i="56"/>
  <c r="Y120" i="56"/>
  <c r="AL37" i="56"/>
  <c r="AM37" i="56" s="1"/>
  <c r="AH37" i="56"/>
  <c r="T32" i="56"/>
  <c r="L120" i="56"/>
  <c r="T31" i="56"/>
  <c r="P39" i="56"/>
  <c r="K39" i="56"/>
  <c r="Y12" i="56"/>
  <c r="Y39" i="56" s="1"/>
  <c r="R39" i="56"/>
  <c r="AF12" i="56"/>
  <c r="AF39" i="56" s="1"/>
  <c r="T21" i="56"/>
  <c r="V21" i="56"/>
  <c r="T13" i="56"/>
  <c r="AG39" i="56"/>
  <c r="X5" i="56"/>
  <c r="K5" i="56"/>
  <c r="AH17" i="56"/>
  <c r="Z172" i="56"/>
  <c r="AE172" i="56"/>
  <c r="S165" i="56"/>
  <c r="N165" i="56"/>
  <c r="AF165" i="56"/>
  <c r="AC165" i="56"/>
  <c r="T148" i="56"/>
  <c r="T145" i="56"/>
  <c r="T147" i="56"/>
  <c r="T128" i="56"/>
  <c r="Q158" i="56"/>
  <c r="W80" i="56"/>
  <c r="T80" i="56"/>
  <c r="W73" i="56"/>
  <c r="AH73" i="56" s="1"/>
  <c r="AJ73" i="56" s="1"/>
  <c r="T73" i="56"/>
  <c r="T90" i="56"/>
  <c r="T77" i="56"/>
  <c r="V77" i="56"/>
  <c r="T66" i="56"/>
  <c r="V66" i="56"/>
  <c r="M120" i="56"/>
  <c r="N120" i="56"/>
  <c r="AB56" i="56"/>
  <c r="AB120" i="56" s="1"/>
  <c r="T92" i="56"/>
  <c r="AH72" i="56"/>
  <c r="T65" i="56"/>
  <c r="AN65" i="56" s="1"/>
  <c r="T78" i="56"/>
  <c r="T63" i="56"/>
  <c r="AN63" i="56" s="1"/>
  <c r="L51" i="56"/>
  <c r="Z48" i="56"/>
  <c r="S51" i="56"/>
  <c r="AG48" i="56"/>
  <c r="O120" i="56"/>
  <c r="AC56" i="56"/>
  <c r="AC120" i="56" s="1"/>
  <c r="V48" i="56"/>
  <c r="H51" i="56"/>
  <c r="T48" i="56"/>
  <c r="T51" i="56" s="1"/>
  <c r="T43" i="56"/>
  <c r="V43" i="56"/>
  <c r="R45" i="56"/>
  <c r="AF42" i="56"/>
  <c r="AF45" i="56" s="1"/>
  <c r="AH60" i="56"/>
  <c r="AL60" i="56"/>
  <c r="AM60" i="56" s="1"/>
  <c r="AN60" i="56" s="1"/>
  <c r="V42" i="56"/>
  <c r="H45" i="56"/>
  <c r="T42" i="56"/>
  <c r="T45" i="56" s="1"/>
  <c r="T36" i="56"/>
  <c r="W36" i="56"/>
  <c r="W28" i="56"/>
  <c r="T28" i="56"/>
  <c r="T20" i="56"/>
  <c r="W20" i="56"/>
  <c r="K120" i="56"/>
  <c r="T37" i="56"/>
  <c r="Y45" i="56"/>
  <c r="R51" i="56"/>
  <c r="N45" i="56"/>
  <c r="S45" i="56"/>
  <c r="AH34" i="56"/>
  <c r="AL34" i="56"/>
  <c r="AM34" i="56" s="1"/>
  <c r="AN34" i="56" s="1"/>
  <c r="T29" i="56"/>
  <c r="V29" i="56"/>
  <c r="T27" i="56"/>
  <c r="H39" i="56"/>
  <c r="AH24" i="56"/>
  <c r="L39" i="56"/>
  <c r="T26" i="56"/>
  <c r="V26" i="56"/>
  <c r="V18" i="56"/>
  <c r="T18" i="56"/>
  <c r="V14" i="56"/>
  <c r="T14" i="56"/>
  <c r="N39" i="56"/>
  <c r="AB12" i="56"/>
  <c r="AB39" i="56" s="1"/>
  <c r="Q39" i="56"/>
  <c r="AE12" i="56"/>
  <c r="AE39" i="56" s="1"/>
  <c r="T16" i="56"/>
  <c r="S39" i="56"/>
  <c r="V170" i="56"/>
  <c r="AH170" i="56" s="1"/>
  <c r="T170" i="56"/>
  <c r="M165" i="56"/>
  <c r="AA161" i="56"/>
  <c r="AA165" i="56" s="1"/>
  <c r="W161" i="56"/>
  <c r="W165" i="56" s="1"/>
  <c r="I165" i="56"/>
  <c r="P172" i="56"/>
  <c r="AD168" i="56"/>
  <c r="AD172" i="56" s="1"/>
  <c r="K172" i="56"/>
  <c r="Y168" i="56"/>
  <c r="Y172" i="56" s="1"/>
  <c r="J172" i="56"/>
  <c r="J174" i="56" s="1"/>
  <c r="X168" i="56"/>
  <c r="X172" i="56" s="1"/>
  <c r="N172" i="56"/>
  <c r="AB168" i="56"/>
  <c r="AB172" i="56" s="1"/>
  <c r="R172" i="56"/>
  <c r="AF168" i="56"/>
  <c r="AF172" i="56" s="1"/>
  <c r="AL169" i="56"/>
  <c r="AH169" i="56"/>
  <c r="T162" i="56"/>
  <c r="V162" i="56"/>
  <c r="P165" i="56"/>
  <c r="AD162" i="56"/>
  <c r="AD165" i="56" s="1"/>
  <c r="V163" i="56"/>
  <c r="AH163" i="56" s="1"/>
  <c r="T163" i="56"/>
  <c r="T156" i="56"/>
  <c r="W156" i="56"/>
  <c r="T155" i="56"/>
  <c r="V155" i="56"/>
  <c r="AH152" i="56"/>
  <c r="AL152" i="56"/>
  <c r="AM152" i="56" s="1"/>
  <c r="V154" i="56"/>
  <c r="T154" i="56"/>
  <c r="V150" i="56"/>
  <c r="T150" i="56"/>
  <c r="T149" i="56"/>
  <c r="V149" i="56"/>
  <c r="W158" i="56"/>
  <c r="AL141" i="56"/>
  <c r="AM141" i="56" s="1"/>
  <c r="AN141" i="56" s="1"/>
  <c r="T153" i="56"/>
  <c r="V153" i="56"/>
  <c r="V151" i="56"/>
  <c r="T151" i="56"/>
  <c r="V146" i="56"/>
  <c r="T146" i="56"/>
  <c r="T137" i="56"/>
  <c r="W137" i="56"/>
  <c r="AL143" i="56"/>
  <c r="AM143" i="56" s="1"/>
  <c r="AH143" i="56"/>
  <c r="T142" i="56"/>
  <c r="V142" i="56"/>
  <c r="T134" i="56"/>
  <c r="V134" i="56"/>
  <c r="AL147" i="56"/>
  <c r="AM147" i="56" s="1"/>
  <c r="AN147" i="56" s="1"/>
  <c r="AH147" i="56"/>
  <c r="AL145" i="56"/>
  <c r="AM145" i="56" s="1"/>
  <c r="AN145" i="56" s="1"/>
  <c r="AH145" i="56"/>
  <c r="V144" i="56"/>
  <c r="T144" i="56"/>
  <c r="V140" i="56"/>
  <c r="T140" i="56"/>
  <c r="W115" i="56"/>
  <c r="AL115" i="56" s="1"/>
  <c r="AM115" i="56" s="1"/>
  <c r="T115" i="56"/>
  <c r="W111" i="56"/>
  <c r="T111" i="56"/>
  <c r="T138" i="56"/>
  <c r="V138" i="56"/>
  <c r="T132" i="56"/>
  <c r="V132" i="56"/>
  <c r="AL131" i="56"/>
  <c r="AM131" i="56" s="1"/>
  <c r="AN131" i="56" s="1"/>
  <c r="AH131" i="56"/>
  <c r="M158" i="56"/>
  <c r="AA126" i="56"/>
  <c r="AH115" i="56"/>
  <c r="T112" i="56"/>
  <c r="V112" i="56"/>
  <c r="W102" i="56"/>
  <c r="AH102" i="56" s="1"/>
  <c r="T102" i="56"/>
  <c r="R158" i="56"/>
  <c r="AF126" i="56"/>
  <c r="K158" i="56"/>
  <c r="Y126" i="56"/>
  <c r="I158" i="56"/>
  <c r="W126" i="56"/>
  <c r="N158" i="56"/>
  <c r="AB126" i="56"/>
  <c r="S158" i="56"/>
  <c r="AG126" i="56"/>
  <c r="H158" i="56"/>
  <c r="T126" i="56"/>
  <c r="V126" i="56"/>
  <c r="L158" i="56"/>
  <c r="Z126" i="56"/>
  <c r="P158" i="56"/>
  <c r="AD126" i="56"/>
  <c r="T135" i="56"/>
  <c r="V135" i="56"/>
  <c r="AH133" i="56"/>
  <c r="AL133" i="56"/>
  <c r="AM133" i="56" s="1"/>
  <c r="AN133" i="56" s="1"/>
  <c r="T130" i="56"/>
  <c r="V130" i="56"/>
  <c r="V113" i="56"/>
  <c r="T113" i="56"/>
  <c r="AL110" i="56"/>
  <c r="AM110" i="56" s="1"/>
  <c r="AN110" i="56" s="1"/>
  <c r="AH110" i="56"/>
  <c r="T99" i="56"/>
  <c r="V99" i="56"/>
  <c r="AL117" i="56"/>
  <c r="AM117" i="56" s="1"/>
  <c r="AH117" i="56"/>
  <c r="AM127" i="56"/>
  <c r="V118" i="56"/>
  <c r="T118" i="56"/>
  <c r="T116" i="56"/>
  <c r="V116" i="56"/>
  <c r="T107" i="56"/>
  <c r="V107" i="56"/>
  <c r="AL109" i="56"/>
  <c r="AM109" i="56" s="1"/>
  <c r="AN109" i="56" s="1"/>
  <c r="AH109" i="56"/>
  <c r="T103" i="56"/>
  <c r="V103" i="56"/>
  <c r="AH103" i="56" s="1"/>
  <c r="V101" i="56"/>
  <c r="T101" i="56"/>
  <c r="AH98" i="56"/>
  <c r="AL98" i="56"/>
  <c r="AM98" i="56" s="1"/>
  <c r="T95" i="56"/>
  <c r="V95" i="56"/>
  <c r="AH106" i="56"/>
  <c r="AL106" i="56"/>
  <c r="AM106" i="56" s="1"/>
  <c r="T105" i="56"/>
  <c r="V105" i="56"/>
  <c r="V108" i="56"/>
  <c r="T108" i="56"/>
  <c r="AL104" i="56"/>
  <c r="AM104" i="56" s="1"/>
  <c r="AN104" i="56" s="1"/>
  <c r="AH104" i="56"/>
  <c r="V100" i="56"/>
  <c r="T100" i="56"/>
  <c r="AL121" i="54"/>
  <c r="AN121" i="54" s="1"/>
  <c r="T266" i="54"/>
  <c r="W266" i="54"/>
  <c r="AH266" i="54" s="1"/>
  <c r="W257" i="54"/>
  <c r="AH257" i="54" s="1"/>
  <c r="AL257" i="54" s="1"/>
  <c r="AN257" i="54" s="1"/>
  <c r="T257" i="54"/>
  <c r="W249" i="54"/>
  <c r="AH249" i="54" s="1"/>
  <c r="AL249" i="54" s="1"/>
  <c r="AN249" i="54" s="1"/>
  <c r="T249" i="54"/>
  <c r="P264" i="54"/>
  <c r="AD262" i="54"/>
  <c r="AD264" i="54" s="1"/>
  <c r="Y273" i="54"/>
  <c r="AF264" i="54"/>
  <c r="O264" i="54"/>
  <c r="AE264" i="54"/>
  <c r="N264" i="54"/>
  <c r="AA264" i="54"/>
  <c r="T247" i="54"/>
  <c r="AH245" i="54"/>
  <c r="AL245" i="54" s="1"/>
  <c r="AN245" i="54" s="1"/>
  <c r="T243" i="54"/>
  <c r="V242" i="54"/>
  <c r="AH242" i="54" s="1"/>
  <c r="AL242" i="54" s="1"/>
  <c r="AN242" i="54" s="1"/>
  <c r="T242" i="54"/>
  <c r="AH237" i="54"/>
  <c r="AL237" i="54" s="1"/>
  <c r="AN237" i="54" s="1"/>
  <c r="AH233" i="54"/>
  <c r="AL233" i="54" s="1"/>
  <c r="AN233" i="54" s="1"/>
  <c r="X259" i="54"/>
  <c r="T229" i="54"/>
  <c r="V227" i="54"/>
  <c r="AH227" i="54" s="1"/>
  <c r="AL227" i="54" s="1"/>
  <c r="AN227" i="54" s="1"/>
  <c r="T227" i="54"/>
  <c r="T228" i="54"/>
  <c r="V228" i="54"/>
  <c r="AH228" i="54" s="1"/>
  <c r="AL228" i="54" s="1"/>
  <c r="AN228" i="54" s="1"/>
  <c r="AF259" i="54"/>
  <c r="V225" i="54"/>
  <c r="AH225" i="54" s="1"/>
  <c r="AL225" i="54" s="1"/>
  <c r="AN225" i="54" s="1"/>
  <c r="T225" i="54"/>
  <c r="V208" i="54"/>
  <c r="AH208" i="54" s="1"/>
  <c r="AL208" i="54" s="1"/>
  <c r="AN208" i="54" s="1"/>
  <c r="T208" i="54"/>
  <c r="T214" i="54"/>
  <c r="V214" i="54"/>
  <c r="AH214" i="54" s="1"/>
  <c r="AL214" i="54" s="1"/>
  <c r="AN214" i="54" s="1"/>
  <c r="T182" i="54"/>
  <c r="V182" i="54"/>
  <c r="AH182" i="54" s="1"/>
  <c r="AL182" i="54" s="1"/>
  <c r="AN182" i="54" s="1"/>
  <c r="T166" i="54"/>
  <c r="V166" i="54"/>
  <c r="AH166" i="54" s="1"/>
  <c r="AL166" i="54" s="1"/>
  <c r="AN166" i="54" s="1"/>
  <c r="Q259" i="54"/>
  <c r="V197" i="54"/>
  <c r="T197" i="54"/>
  <c r="H199" i="54"/>
  <c r="AC199" i="54"/>
  <c r="T185" i="54"/>
  <c r="T180" i="54"/>
  <c r="V180" i="54"/>
  <c r="AH180" i="54" s="1"/>
  <c r="AL180" i="54" s="1"/>
  <c r="AN180" i="54" s="1"/>
  <c r="N259" i="54"/>
  <c r="AB204" i="54"/>
  <c r="R259" i="54"/>
  <c r="AF204" i="54"/>
  <c r="AF199" i="54"/>
  <c r="X199" i="54"/>
  <c r="T161" i="54"/>
  <c r="P199" i="54"/>
  <c r="AD197" i="54"/>
  <c r="AD199" i="54" s="1"/>
  <c r="T150" i="54"/>
  <c r="T157" i="54"/>
  <c r="T122" i="54"/>
  <c r="V122" i="54"/>
  <c r="AH122" i="54" s="1"/>
  <c r="AL122" i="54" s="1"/>
  <c r="AN122" i="54" s="1"/>
  <c r="T151" i="54"/>
  <c r="V113" i="54"/>
  <c r="AH113" i="54" s="1"/>
  <c r="AL113" i="54" s="1"/>
  <c r="AN113" i="54" s="1"/>
  <c r="T113" i="54"/>
  <c r="T117" i="54"/>
  <c r="T76" i="54"/>
  <c r="W76" i="54"/>
  <c r="W68" i="54"/>
  <c r="AH68" i="54" s="1"/>
  <c r="AL68" i="54" s="1"/>
  <c r="AN68" i="54" s="1"/>
  <c r="T68" i="54"/>
  <c r="T101" i="54"/>
  <c r="AH88" i="54"/>
  <c r="AL88" i="54" s="1"/>
  <c r="AN88" i="54" s="1"/>
  <c r="T82" i="54"/>
  <c r="T80" i="54"/>
  <c r="T112" i="54"/>
  <c r="V97" i="54"/>
  <c r="AH97" i="54" s="1"/>
  <c r="AL97" i="54" s="1"/>
  <c r="AN97" i="54" s="1"/>
  <c r="T97" i="54"/>
  <c r="V99" i="54"/>
  <c r="AH99" i="54" s="1"/>
  <c r="AL99" i="54" s="1"/>
  <c r="AN99" i="54" s="1"/>
  <c r="T99" i="54"/>
  <c r="V83" i="54"/>
  <c r="AH83" i="54" s="1"/>
  <c r="AL83" i="54" s="1"/>
  <c r="AN83" i="54" s="1"/>
  <c r="T83" i="54"/>
  <c r="V73" i="54"/>
  <c r="AH73" i="54" s="1"/>
  <c r="AL73" i="54" s="1"/>
  <c r="AN73" i="54" s="1"/>
  <c r="T73" i="54"/>
  <c r="L193" i="54"/>
  <c r="Z65" i="54"/>
  <c r="Z193" i="54" s="1"/>
  <c r="T39" i="54"/>
  <c r="V39" i="54"/>
  <c r="AH39" i="54" s="1"/>
  <c r="AL39" i="54" s="1"/>
  <c r="AN39" i="54" s="1"/>
  <c r="V36" i="54"/>
  <c r="AH36" i="54" s="1"/>
  <c r="AL36" i="54" s="1"/>
  <c r="AN36" i="54" s="1"/>
  <c r="T36" i="54"/>
  <c r="T21" i="54"/>
  <c r="V21" i="54"/>
  <c r="AH21" i="54" s="1"/>
  <c r="AL21" i="54" s="1"/>
  <c r="AN21" i="54" s="1"/>
  <c r="T17" i="54"/>
  <c r="V17" i="54"/>
  <c r="AH17" i="54" s="1"/>
  <c r="AL17" i="54" s="1"/>
  <c r="AN17" i="54" s="1"/>
  <c r="T13" i="54"/>
  <c r="V13" i="54"/>
  <c r="AH13" i="54" s="1"/>
  <c r="AL13" i="54" s="1"/>
  <c r="AN13" i="54" s="1"/>
  <c r="T71" i="54"/>
  <c r="H193" i="54"/>
  <c r="T65" i="54"/>
  <c r="V65" i="54"/>
  <c r="O193" i="54"/>
  <c r="AC65" i="54"/>
  <c r="AC193" i="54" s="1"/>
  <c r="AA50" i="54"/>
  <c r="AA54" i="54" s="1"/>
  <c r="M54" i="54"/>
  <c r="AF50" i="54"/>
  <c r="AF54" i="54" s="1"/>
  <c r="R54" i="54"/>
  <c r="V58" i="54"/>
  <c r="T58" i="54"/>
  <c r="Q60" i="54"/>
  <c r="AE57" i="54"/>
  <c r="AE60" i="54" s="1"/>
  <c r="T43" i="54"/>
  <c r="V43" i="54"/>
  <c r="AH43" i="54" s="1"/>
  <c r="AL43" i="54" s="1"/>
  <c r="AN43" i="54" s="1"/>
  <c r="T35" i="54"/>
  <c r="V35" i="54"/>
  <c r="AH35" i="54" s="1"/>
  <c r="AL35" i="54" s="1"/>
  <c r="AN35" i="54" s="1"/>
  <c r="J47" i="54"/>
  <c r="X11" i="54"/>
  <c r="X47" i="54" s="1"/>
  <c r="I60" i="54"/>
  <c r="P54" i="54"/>
  <c r="AD50" i="54"/>
  <c r="AD54" i="54" s="1"/>
  <c r="W11" i="54"/>
  <c r="W47" i="54" s="1"/>
  <c r="I47" i="54"/>
  <c r="T16" i="54"/>
  <c r="V16" i="54"/>
  <c r="AH16" i="54" s="1"/>
  <c r="AL16" i="54" s="1"/>
  <c r="AN16" i="54" s="1"/>
  <c r="T30" i="54"/>
  <c r="T18" i="54"/>
  <c r="V18" i="54"/>
  <c r="AH18" i="54" s="1"/>
  <c r="AL18" i="54" s="1"/>
  <c r="AN18" i="54" s="1"/>
  <c r="P47" i="54"/>
  <c r="Y47" i="54"/>
  <c r="T38" i="54"/>
  <c r="T20" i="54"/>
  <c r="V20" i="54"/>
  <c r="AH20" i="54" s="1"/>
  <c r="AL20" i="54" s="1"/>
  <c r="AN20" i="54" s="1"/>
  <c r="M5" i="54"/>
  <c r="Z5" i="54"/>
  <c r="M273" i="54"/>
  <c r="AA270" i="54"/>
  <c r="AA273" i="54" s="1"/>
  <c r="J273" i="54"/>
  <c r="X269" i="54"/>
  <c r="T269" i="54"/>
  <c r="J264" i="54"/>
  <c r="X262" i="54"/>
  <c r="X264" i="54" s="1"/>
  <c r="R264" i="54"/>
  <c r="I264" i="54"/>
  <c r="M264" i="54"/>
  <c r="V254" i="54"/>
  <c r="AH254" i="54" s="1"/>
  <c r="AL254" i="54" s="1"/>
  <c r="AN254" i="54" s="1"/>
  <c r="T254" i="54"/>
  <c r="AH247" i="54"/>
  <c r="AL247" i="54" s="1"/>
  <c r="AN247" i="54" s="1"/>
  <c r="W241" i="54"/>
  <c r="AH241" i="54" s="1"/>
  <c r="AL241" i="54" s="1"/>
  <c r="AN241" i="54" s="1"/>
  <c r="T241" i="54"/>
  <c r="AH248" i="54"/>
  <c r="AL248" i="54" s="1"/>
  <c r="AN248" i="54" s="1"/>
  <c r="T248" i="54"/>
  <c r="T246" i="54"/>
  <c r="V246" i="54"/>
  <c r="AH246" i="54" s="1"/>
  <c r="AL246" i="54" s="1"/>
  <c r="AN246" i="54" s="1"/>
  <c r="AH244" i="54"/>
  <c r="AL244" i="54" s="1"/>
  <c r="AN244" i="54" s="1"/>
  <c r="AH243" i="54"/>
  <c r="AL243" i="54" s="1"/>
  <c r="AN243" i="54" s="1"/>
  <c r="T232" i="54"/>
  <c r="V232" i="54"/>
  <c r="AH232" i="54" s="1"/>
  <c r="AL232" i="54" s="1"/>
  <c r="AN232" i="54" s="1"/>
  <c r="T230" i="54"/>
  <c r="V230" i="54"/>
  <c r="AH230" i="54" s="1"/>
  <c r="AL230" i="54" s="1"/>
  <c r="AN230" i="54" s="1"/>
  <c r="T239" i="54"/>
  <c r="T226" i="54"/>
  <c r="V226" i="54"/>
  <c r="Y259" i="54"/>
  <c r="AH221" i="54"/>
  <c r="AL221" i="54" s="1"/>
  <c r="AN221" i="54" s="1"/>
  <c r="T220" i="54"/>
  <c r="V220" i="54"/>
  <c r="AH220" i="54" s="1"/>
  <c r="AL220" i="54" s="1"/>
  <c r="AN220" i="54" s="1"/>
  <c r="T219" i="54"/>
  <c r="AH210" i="54"/>
  <c r="AL210" i="54" s="1"/>
  <c r="AN210" i="54" s="1"/>
  <c r="V205" i="54"/>
  <c r="AH205" i="54" s="1"/>
  <c r="AL205" i="54" s="1"/>
  <c r="AN205" i="54" s="1"/>
  <c r="T205" i="54"/>
  <c r="AA197" i="54"/>
  <c r="AA199" i="54" s="1"/>
  <c r="M199" i="54"/>
  <c r="V179" i="54"/>
  <c r="AH179" i="54" s="1"/>
  <c r="AL179" i="54" s="1"/>
  <c r="AN179" i="54" s="1"/>
  <c r="T179" i="54"/>
  <c r="T170" i="54"/>
  <c r="V170" i="54"/>
  <c r="AH170" i="54" s="1"/>
  <c r="AL170" i="54" s="1"/>
  <c r="AN170" i="54" s="1"/>
  <c r="I259" i="54"/>
  <c r="W204" i="54"/>
  <c r="H259" i="54"/>
  <c r="T204" i="54"/>
  <c r="V204" i="54"/>
  <c r="R199" i="54"/>
  <c r="J199" i="54"/>
  <c r="V189" i="54"/>
  <c r="AH189" i="54" s="1"/>
  <c r="AL189" i="54" s="1"/>
  <c r="AN189" i="54" s="1"/>
  <c r="T189" i="54"/>
  <c r="T209" i="54"/>
  <c r="V209" i="54"/>
  <c r="AH209" i="54" s="1"/>
  <c r="AL209" i="54" s="1"/>
  <c r="AN209" i="54" s="1"/>
  <c r="Q199" i="54"/>
  <c r="AE197" i="54"/>
  <c r="AE199" i="54" s="1"/>
  <c r="T186" i="54"/>
  <c r="V186" i="54"/>
  <c r="AH186" i="54" s="1"/>
  <c r="AL186" i="54" s="1"/>
  <c r="AN186" i="54" s="1"/>
  <c r="T169" i="54"/>
  <c r="V165" i="54"/>
  <c r="AH165" i="54" s="1"/>
  <c r="AL165" i="54" s="1"/>
  <c r="AN165" i="54" s="1"/>
  <c r="T165" i="54"/>
  <c r="T145" i="54"/>
  <c r="W145" i="54"/>
  <c r="AH145" i="54" s="1"/>
  <c r="AL145" i="54" s="1"/>
  <c r="AN145" i="54" s="1"/>
  <c r="W139" i="54"/>
  <c r="AH139" i="54" s="1"/>
  <c r="AL139" i="54" s="1"/>
  <c r="AN139" i="54" s="1"/>
  <c r="T139" i="54"/>
  <c r="W131" i="54"/>
  <c r="AH131" i="54" s="1"/>
  <c r="AL131" i="54" s="1"/>
  <c r="AN131" i="54" s="1"/>
  <c r="T131" i="54"/>
  <c r="T118" i="54"/>
  <c r="W118" i="54"/>
  <c r="AH118" i="54" s="1"/>
  <c r="W114" i="54"/>
  <c r="T114" i="54"/>
  <c r="W110" i="54"/>
  <c r="AH110" i="54" s="1"/>
  <c r="AL110" i="54" s="1"/>
  <c r="AN110" i="54" s="1"/>
  <c r="T110" i="54"/>
  <c r="T106" i="54"/>
  <c r="W106" i="54"/>
  <c r="AH106" i="54" s="1"/>
  <c r="AL106" i="54" s="1"/>
  <c r="AN106" i="54" s="1"/>
  <c r="T98" i="54"/>
  <c r="W98" i="54"/>
  <c r="AH98" i="54" s="1"/>
  <c r="AL98" i="54" s="1"/>
  <c r="AN98" i="54" s="1"/>
  <c r="W90" i="54"/>
  <c r="AH90" i="54" s="1"/>
  <c r="AL90" i="54" s="1"/>
  <c r="AN90" i="54" s="1"/>
  <c r="T90" i="54"/>
  <c r="W86" i="54"/>
  <c r="AH86" i="54" s="1"/>
  <c r="AL86" i="54" s="1"/>
  <c r="AN86" i="54" s="1"/>
  <c r="T86" i="54"/>
  <c r="T177" i="54"/>
  <c r="T172" i="54"/>
  <c r="V172" i="54"/>
  <c r="AH172" i="54" s="1"/>
  <c r="AL172" i="54" s="1"/>
  <c r="AN172" i="54" s="1"/>
  <c r="AH157" i="54"/>
  <c r="AL157" i="54" s="1"/>
  <c r="AN157" i="54" s="1"/>
  <c r="T130" i="54"/>
  <c r="V130" i="54"/>
  <c r="AH130" i="54" s="1"/>
  <c r="AL130" i="54" s="1"/>
  <c r="AN130" i="54" s="1"/>
  <c r="T115" i="54"/>
  <c r="V115" i="54"/>
  <c r="AH115" i="54" s="1"/>
  <c r="AL115" i="54" s="1"/>
  <c r="AN115" i="54" s="1"/>
  <c r="V149" i="54"/>
  <c r="AH149" i="54" s="1"/>
  <c r="AL149" i="54" s="1"/>
  <c r="AN149" i="54" s="1"/>
  <c r="T149" i="54"/>
  <c r="V144" i="54"/>
  <c r="AH144" i="54" s="1"/>
  <c r="AL144" i="54" s="1"/>
  <c r="AN144" i="54" s="1"/>
  <c r="T144" i="54"/>
  <c r="V136" i="54"/>
  <c r="AH136" i="54" s="1"/>
  <c r="AL136" i="54" s="1"/>
  <c r="AN136" i="54" s="1"/>
  <c r="T136" i="54"/>
  <c r="V128" i="54"/>
  <c r="AH128" i="54" s="1"/>
  <c r="AL128" i="54" s="1"/>
  <c r="AN128" i="54" s="1"/>
  <c r="T128" i="54"/>
  <c r="J259" i="54"/>
  <c r="V142" i="54"/>
  <c r="AH142" i="54" s="1"/>
  <c r="AL142" i="54" s="1"/>
  <c r="AN142" i="54" s="1"/>
  <c r="T142" i="54"/>
  <c r="V134" i="54"/>
  <c r="AH134" i="54" s="1"/>
  <c r="AL134" i="54" s="1"/>
  <c r="AN134" i="54" s="1"/>
  <c r="T134" i="54"/>
  <c r="V126" i="54"/>
  <c r="AH126" i="54" s="1"/>
  <c r="AL126" i="54" s="1"/>
  <c r="AN126" i="54" s="1"/>
  <c r="T126" i="54"/>
  <c r="T121" i="54"/>
  <c r="AH114" i="54"/>
  <c r="AL114" i="54" s="1"/>
  <c r="AN114" i="54" s="1"/>
  <c r="V111" i="54"/>
  <c r="AH111" i="54" s="1"/>
  <c r="AL111" i="54" s="1"/>
  <c r="AN111" i="54" s="1"/>
  <c r="T111" i="54"/>
  <c r="T95" i="54"/>
  <c r="V95" i="54"/>
  <c r="AH95" i="54" s="1"/>
  <c r="AL95" i="54" s="1"/>
  <c r="AN95" i="54" s="1"/>
  <c r="AH101" i="54"/>
  <c r="AL101" i="54" s="1"/>
  <c r="AN101" i="54" s="1"/>
  <c r="W89" i="54"/>
  <c r="AH89" i="54" s="1"/>
  <c r="AL89" i="54" s="1"/>
  <c r="AN89" i="54" s="1"/>
  <c r="T89" i="54"/>
  <c r="T84" i="54"/>
  <c r="AH76" i="54"/>
  <c r="AL76" i="54" s="1"/>
  <c r="AN76" i="54" s="1"/>
  <c r="AH82" i="54"/>
  <c r="AL82" i="54" s="1"/>
  <c r="AN82" i="54" s="1"/>
  <c r="AH112" i="54"/>
  <c r="AL112" i="54" s="1"/>
  <c r="AN112" i="54" s="1"/>
  <c r="T85" i="54"/>
  <c r="AH79" i="54"/>
  <c r="AL79" i="54" s="1"/>
  <c r="AN79" i="54" s="1"/>
  <c r="T77" i="54"/>
  <c r="AH69" i="54"/>
  <c r="AL69" i="54" s="1"/>
  <c r="AN69" i="54" s="1"/>
  <c r="S60" i="54"/>
  <c r="O54" i="54"/>
  <c r="AC50" i="54"/>
  <c r="AC54" i="54" s="1"/>
  <c r="T31" i="54"/>
  <c r="V31" i="54"/>
  <c r="AH31" i="54" s="1"/>
  <c r="AL31" i="54" s="1"/>
  <c r="AN31" i="54" s="1"/>
  <c r="L47" i="54"/>
  <c r="Z11" i="54"/>
  <c r="Z47" i="54" s="1"/>
  <c r="T37" i="54"/>
  <c r="V37" i="54"/>
  <c r="AH37" i="54" s="1"/>
  <c r="AL37" i="54" s="1"/>
  <c r="AN37" i="54" s="1"/>
  <c r="M193" i="54"/>
  <c r="AA65" i="54"/>
  <c r="AA193" i="54" s="1"/>
  <c r="S193" i="54"/>
  <c r="AG65" i="54"/>
  <c r="AG193" i="54" s="1"/>
  <c r="H54" i="54"/>
  <c r="T50" i="54"/>
  <c r="V50" i="54"/>
  <c r="T72" i="54"/>
  <c r="T67" i="54"/>
  <c r="R60" i="54"/>
  <c r="AF57" i="54"/>
  <c r="AF60" i="54" s="1"/>
  <c r="T57" i="54"/>
  <c r="T60" i="54" s="1"/>
  <c r="V57" i="54"/>
  <c r="H60" i="54"/>
  <c r="V51" i="54"/>
  <c r="AH51" i="54" s="1"/>
  <c r="AL51" i="54" s="1"/>
  <c r="AN51" i="54" s="1"/>
  <c r="T51" i="54"/>
  <c r="L54" i="54"/>
  <c r="Z50" i="54"/>
  <c r="Z54" i="54" s="1"/>
  <c r="T26" i="54"/>
  <c r="V26" i="54"/>
  <c r="AH26" i="54" s="1"/>
  <c r="AL26" i="54" s="1"/>
  <c r="AN26" i="54" s="1"/>
  <c r="AB193" i="54"/>
  <c r="T41" i="54"/>
  <c r="V41" i="54"/>
  <c r="AH41" i="54" s="1"/>
  <c r="AL41" i="54" s="1"/>
  <c r="AN41" i="54" s="1"/>
  <c r="T33" i="54"/>
  <c r="V33" i="54"/>
  <c r="AH33" i="54" s="1"/>
  <c r="AL33" i="54" s="1"/>
  <c r="AN33" i="54" s="1"/>
  <c r="T29" i="54"/>
  <c r="V29" i="54"/>
  <c r="AH29" i="54" s="1"/>
  <c r="AL29" i="54" s="1"/>
  <c r="AN29" i="54" s="1"/>
  <c r="K54" i="54"/>
  <c r="Y50" i="54"/>
  <c r="Y54" i="54" s="1"/>
  <c r="AD193" i="54"/>
  <c r="AC47" i="54"/>
  <c r="K47" i="54"/>
  <c r="T14" i="54"/>
  <c r="V14" i="54"/>
  <c r="AH14" i="54" s="1"/>
  <c r="AL14" i="54" s="1"/>
  <c r="AN14" i="54" s="1"/>
  <c r="I273" i="54"/>
  <c r="W270" i="54"/>
  <c r="T270" i="54"/>
  <c r="T255" i="54"/>
  <c r="W255" i="54"/>
  <c r="AH255" i="54" s="1"/>
  <c r="AL255" i="54" s="1"/>
  <c r="AN255" i="54" s="1"/>
  <c r="N273" i="54"/>
  <c r="AB269" i="54"/>
  <c r="AB273" i="54" s="1"/>
  <c r="T262" i="54"/>
  <c r="H264" i="54"/>
  <c r="V262" i="54"/>
  <c r="O273" i="54"/>
  <c r="K264" i="54"/>
  <c r="S264" i="54"/>
  <c r="Y264" i="54"/>
  <c r="T253" i="54"/>
  <c r="T252" i="54"/>
  <c r="T244" i="54"/>
  <c r="T238" i="54"/>
  <c r="V240" i="54"/>
  <c r="AH240" i="54" s="1"/>
  <c r="AL240" i="54" s="1"/>
  <c r="AN240" i="54" s="1"/>
  <c r="T240" i="54"/>
  <c r="AH239" i="54"/>
  <c r="AL239" i="54" s="1"/>
  <c r="AN239" i="54" s="1"/>
  <c r="Z259" i="54"/>
  <c r="T224" i="54"/>
  <c r="V224" i="54"/>
  <c r="AH224" i="54" s="1"/>
  <c r="AL224" i="54" s="1"/>
  <c r="AN224" i="54" s="1"/>
  <c r="AG259" i="54"/>
  <c r="T222" i="54"/>
  <c r="V222" i="54"/>
  <c r="AH222" i="54" s="1"/>
  <c r="AL222" i="54" s="1"/>
  <c r="AN222" i="54" s="1"/>
  <c r="T215" i="54"/>
  <c r="V215" i="54"/>
  <c r="AH215" i="54" s="1"/>
  <c r="AL215" i="54" s="1"/>
  <c r="AN215" i="54" s="1"/>
  <c r="V231" i="54"/>
  <c r="AH231" i="54" s="1"/>
  <c r="AL231" i="54" s="1"/>
  <c r="AN231" i="54" s="1"/>
  <c r="T231" i="54"/>
  <c r="T221" i="54"/>
  <c r="T213" i="54"/>
  <c r="V213" i="54"/>
  <c r="AH213" i="54" s="1"/>
  <c r="AL213" i="54" s="1"/>
  <c r="AN213" i="54" s="1"/>
  <c r="AH195" i="54"/>
  <c r="AH219" i="54"/>
  <c r="AL219" i="54" s="1"/>
  <c r="AN219" i="54" s="1"/>
  <c r="T210" i="54"/>
  <c r="T190" i="54"/>
  <c r="V190" i="54"/>
  <c r="AH190" i="54" s="1"/>
  <c r="AL190" i="54" s="1"/>
  <c r="AN190" i="54" s="1"/>
  <c r="T174" i="54"/>
  <c r="V174" i="54"/>
  <c r="AH174" i="54" s="1"/>
  <c r="AL174" i="54" s="1"/>
  <c r="AN174" i="54" s="1"/>
  <c r="L199" i="54"/>
  <c r="Z197" i="54"/>
  <c r="Z199" i="54" s="1"/>
  <c r="S199" i="54"/>
  <c r="T184" i="54"/>
  <c r="V184" i="54"/>
  <c r="AH184" i="54" s="1"/>
  <c r="AL184" i="54" s="1"/>
  <c r="AN184" i="54" s="1"/>
  <c r="O259" i="54"/>
  <c r="AC204" i="54"/>
  <c r="L259" i="54"/>
  <c r="Z204" i="54"/>
  <c r="AB199" i="54"/>
  <c r="AH196" i="54"/>
  <c r="AL196" i="54" s="1"/>
  <c r="T188" i="54"/>
  <c r="V188" i="54"/>
  <c r="AH188" i="54" s="1"/>
  <c r="AL188" i="54" s="1"/>
  <c r="AN188" i="54" s="1"/>
  <c r="T178" i="54"/>
  <c r="V178" i="54"/>
  <c r="AH178" i="54" s="1"/>
  <c r="AL178" i="54" s="1"/>
  <c r="AN178" i="54" s="1"/>
  <c r="T160" i="54"/>
  <c r="V160" i="54"/>
  <c r="AH160" i="54" s="1"/>
  <c r="AL160" i="54" s="1"/>
  <c r="AN160" i="54" s="1"/>
  <c r="T207" i="54"/>
  <c r="T191" i="54"/>
  <c r="V191" i="54"/>
  <c r="AH191" i="54" s="1"/>
  <c r="AL191" i="54" s="1"/>
  <c r="AN191" i="54" s="1"/>
  <c r="T164" i="54"/>
  <c r="V164" i="54"/>
  <c r="AH164" i="54" s="1"/>
  <c r="AL164" i="54" s="1"/>
  <c r="AN164" i="54" s="1"/>
  <c r="AH159" i="54"/>
  <c r="AL159" i="54" s="1"/>
  <c r="AN159" i="54" s="1"/>
  <c r="T206" i="54"/>
  <c r="V206" i="54"/>
  <c r="AH206" i="54" s="1"/>
  <c r="AL206" i="54" s="1"/>
  <c r="AN206" i="54" s="1"/>
  <c r="V171" i="54"/>
  <c r="AH171" i="54" s="1"/>
  <c r="AL171" i="54" s="1"/>
  <c r="AN171" i="54" s="1"/>
  <c r="T171" i="54"/>
  <c r="AH169" i="54"/>
  <c r="AL169" i="54" s="1"/>
  <c r="AN169" i="54" s="1"/>
  <c r="T154" i="54"/>
  <c r="T146" i="54"/>
  <c r="T119" i="54"/>
  <c r="V119" i="54"/>
  <c r="AH119" i="54" s="1"/>
  <c r="AL119" i="54" s="1"/>
  <c r="AN119" i="54" s="1"/>
  <c r="T120" i="54"/>
  <c r="V120" i="54"/>
  <c r="AH120" i="54" s="1"/>
  <c r="AL120" i="54" s="1"/>
  <c r="AN120" i="54" s="1"/>
  <c r="O199" i="54"/>
  <c r="V123" i="54"/>
  <c r="AH123" i="54" s="1"/>
  <c r="AL123" i="54" s="1"/>
  <c r="AN123" i="54" s="1"/>
  <c r="T123" i="54"/>
  <c r="W78" i="54"/>
  <c r="AH78" i="54" s="1"/>
  <c r="AL78" i="54" s="1"/>
  <c r="AN78" i="54" s="1"/>
  <c r="T78" i="54"/>
  <c r="W70" i="54"/>
  <c r="AH70" i="54" s="1"/>
  <c r="AL70" i="54" s="1"/>
  <c r="AN70" i="54" s="1"/>
  <c r="T70" i="54"/>
  <c r="T93" i="54"/>
  <c r="W91" i="54"/>
  <c r="AH91" i="54" s="1"/>
  <c r="AL91" i="54" s="1"/>
  <c r="AN91" i="54" s="1"/>
  <c r="T91" i="54"/>
  <c r="T74" i="54"/>
  <c r="T102" i="54"/>
  <c r="T87" i="54"/>
  <c r="V87" i="54"/>
  <c r="AH87" i="54" s="1"/>
  <c r="AL87" i="54" s="1"/>
  <c r="AN87" i="54" s="1"/>
  <c r="T109" i="54"/>
  <c r="T104" i="54"/>
  <c r="T96" i="54"/>
  <c r="AH77" i="54"/>
  <c r="AL77" i="54" s="1"/>
  <c r="AN77" i="54" s="1"/>
  <c r="T66" i="54"/>
  <c r="W50" i="54"/>
  <c r="W54" i="54" s="1"/>
  <c r="I54" i="54"/>
  <c r="T27" i="54"/>
  <c r="V27" i="54"/>
  <c r="AH27" i="54" s="1"/>
  <c r="AL27" i="54" s="1"/>
  <c r="AN27" i="54" s="1"/>
  <c r="T25" i="54"/>
  <c r="V25" i="54"/>
  <c r="AH25" i="54" s="1"/>
  <c r="AL25" i="54" s="1"/>
  <c r="AN25" i="54" s="1"/>
  <c r="T23" i="54"/>
  <c r="V23" i="54"/>
  <c r="AH23" i="54" s="1"/>
  <c r="AL23" i="54" s="1"/>
  <c r="AN23" i="54" s="1"/>
  <c r="T19" i="54"/>
  <c r="V19" i="54"/>
  <c r="AH19" i="54" s="1"/>
  <c r="AL19" i="54" s="1"/>
  <c r="AN19" i="54" s="1"/>
  <c r="T15" i="54"/>
  <c r="V15" i="54"/>
  <c r="AH15" i="54" s="1"/>
  <c r="AL15" i="54" s="1"/>
  <c r="AN15" i="54" s="1"/>
  <c r="H47" i="54"/>
  <c r="T11" i="54"/>
  <c r="V11" i="54"/>
  <c r="Q193" i="54"/>
  <c r="AE65" i="54"/>
  <c r="AE193" i="54" s="1"/>
  <c r="R193" i="54"/>
  <c r="AF65" i="54"/>
  <c r="AF193" i="54" s="1"/>
  <c r="J54" i="54"/>
  <c r="X50" i="54"/>
  <c r="X54" i="54" s="1"/>
  <c r="V75" i="54"/>
  <c r="AH75" i="54" s="1"/>
  <c r="AL75" i="54" s="1"/>
  <c r="AN75" i="54" s="1"/>
  <c r="T75" i="54"/>
  <c r="T69" i="54"/>
  <c r="I193" i="54"/>
  <c r="W65" i="54"/>
  <c r="J60" i="54"/>
  <c r="X57" i="54"/>
  <c r="X60" i="54" s="1"/>
  <c r="L60" i="54"/>
  <c r="Z57" i="54"/>
  <c r="Z60" i="54" s="1"/>
  <c r="T52" i="54"/>
  <c r="R47" i="54"/>
  <c r="AF11" i="54"/>
  <c r="AF47" i="54" s="1"/>
  <c r="N193" i="54"/>
  <c r="AH42" i="54"/>
  <c r="AL42" i="54" s="1"/>
  <c r="AN42" i="54" s="1"/>
  <c r="AH34" i="54"/>
  <c r="AL34" i="54" s="1"/>
  <c r="AN34" i="54" s="1"/>
  <c r="Q47" i="54"/>
  <c r="AE11" i="54"/>
  <c r="AE47" i="54" s="1"/>
  <c r="P193" i="54"/>
  <c r="O47" i="54"/>
  <c r="T12" i="54"/>
  <c r="V12" i="54"/>
  <c r="AH12" i="54" s="1"/>
  <c r="AL12" i="54" s="1"/>
  <c r="AN12" i="54" s="1"/>
  <c r="R273" i="54"/>
  <c r="AF269" i="54"/>
  <c r="AF273" i="54" s="1"/>
  <c r="L264" i="54"/>
  <c r="Z262" i="54"/>
  <c r="Z264" i="54" s="1"/>
  <c r="T271" i="54"/>
  <c r="AG264" i="54"/>
  <c r="T256" i="54"/>
  <c r="AH253" i="54"/>
  <c r="AL253" i="54" s="1"/>
  <c r="AN253" i="54" s="1"/>
  <c r="T251" i="54"/>
  <c r="V250" i="54"/>
  <c r="AH250" i="54" s="1"/>
  <c r="AL250" i="54" s="1"/>
  <c r="AN250" i="54" s="1"/>
  <c r="T250" i="54"/>
  <c r="T235" i="54"/>
  <c r="W235" i="54"/>
  <c r="W259" i="54" s="1"/>
  <c r="T245" i="54"/>
  <c r="AH238" i="54"/>
  <c r="AL238" i="54" s="1"/>
  <c r="AN238" i="54" s="1"/>
  <c r="T237" i="54"/>
  <c r="T233" i="54"/>
  <c r="T236" i="54"/>
  <c r="AC259" i="54"/>
  <c r="AD259" i="54"/>
  <c r="T218" i="54"/>
  <c r="V218" i="54"/>
  <c r="AH218" i="54" s="1"/>
  <c r="AL218" i="54" s="1"/>
  <c r="AN218" i="54" s="1"/>
  <c r="V223" i="54"/>
  <c r="AH223" i="54" s="1"/>
  <c r="AL223" i="54" s="1"/>
  <c r="AN223" i="54" s="1"/>
  <c r="T223" i="54"/>
  <c r="AH234" i="54"/>
  <c r="AL234" i="54" s="1"/>
  <c r="AN234" i="54" s="1"/>
  <c r="AA259" i="54"/>
  <c r="T234" i="54"/>
  <c r="T217" i="54"/>
  <c r="V217" i="54"/>
  <c r="AH217" i="54" s="1"/>
  <c r="AL217" i="54" s="1"/>
  <c r="AN217" i="54" s="1"/>
  <c r="V212" i="54"/>
  <c r="AH212" i="54" s="1"/>
  <c r="AL212" i="54" s="1"/>
  <c r="AN212" i="54" s="1"/>
  <c r="T212" i="54"/>
  <c r="T211" i="54"/>
  <c r="V211" i="54"/>
  <c r="AH211" i="54" s="1"/>
  <c r="AL211" i="54" s="1"/>
  <c r="AN211" i="54" s="1"/>
  <c r="T199" i="54"/>
  <c r="T156" i="54"/>
  <c r="W156" i="54"/>
  <c r="AH156" i="54" s="1"/>
  <c r="AL156" i="54" s="1"/>
  <c r="AN156" i="54" s="1"/>
  <c r="T148" i="54"/>
  <c r="W148" i="54"/>
  <c r="AH148" i="54" s="1"/>
  <c r="AL148" i="54" s="1"/>
  <c r="AN148" i="54" s="1"/>
  <c r="AG199" i="54"/>
  <c r="AH177" i="54"/>
  <c r="AL177" i="54" s="1"/>
  <c r="AN177" i="54" s="1"/>
  <c r="K259" i="54"/>
  <c r="Y204" i="54"/>
  <c r="M259" i="54"/>
  <c r="AA204" i="54"/>
  <c r="P259" i="54"/>
  <c r="AD204" i="54"/>
  <c r="N199" i="54"/>
  <c r="T187" i="54"/>
  <c r="V187" i="54"/>
  <c r="AH187" i="54" s="1"/>
  <c r="AL187" i="54" s="1"/>
  <c r="AN187" i="54" s="1"/>
  <c r="V183" i="54"/>
  <c r="AH183" i="54" s="1"/>
  <c r="AL183" i="54" s="1"/>
  <c r="AN183" i="54" s="1"/>
  <c r="T183" i="54"/>
  <c r="W173" i="54"/>
  <c r="AH173" i="54" s="1"/>
  <c r="AL173" i="54" s="1"/>
  <c r="AN173" i="54" s="1"/>
  <c r="T173" i="54"/>
  <c r="T168" i="54"/>
  <c r="V168" i="54"/>
  <c r="AH168" i="54" s="1"/>
  <c r="AL168" i="54" s="1"/>
  <c r="AN168" i="54" s="1"/>
  <c r="W167" i="54"/>
  <c r="AH167" i="54" s="1"/>
  <c r="AL167" i="54" s="1"/>
  <c r="AN167" i="54" s="1"/>
  <c r="T167" i="54"/>
  <c r="T163" i="54"/>
  <c r="V163" i="54"/>
  <c r="AH163" i="54" s="1"/>
  <c r="AL163" i="54" s="1"/>
  <c r="AN163" i="54" s="1"/>
  <c r="W137" i="54"/>
  <c r="AH137" i="54" s="1"/>
  <c r="AL137" i="54" s="1"/>
  <c r="AN137" i="54" s="1"/>
  <c r="T137" i="54"/>
  <c r="T133" i="54"/>
  <c r="W133" i="54"/>
  <c r="AH133" i="54" s="1"/>
  <c r="AL133" i="54" s="1"/>
  <c r="AN133" i="54" s="1"/>
  <c r="W129" i="54"/>
  <c r="AH129" i="54" s="1"/>
  <c r="AL129" i="54" s="1"/>
  <c r="AN129" i="54" s="1"/>
  <c r="T129" i="54"/>
  <c r="T125" i="54"/>
  <c r="W125" i="54"/>
  <c r="AH125" i="54" s="1"/>
  <c r="AL125" i="54" s="1"/>
  <c r="AN125" i="54" s="1"/>
  <c r="W116" i="54"/>
  <c r="AH116" i="54" s="1"/>
  <c r="AL116" i="54" s="1"/>
  <c r="AN116" i="54" s="1"/>
  <c r="T116" i="54"/>
  <c r="T108" i="54"/>
  <c r="W108" i="54"/>
  <c r="AH108" i="54" s="1"/>
  <c r="AL108" i="54" s="1"/>
  <c r="AN108" i="54" s="1"/>
  <c r="W100" i="54"/>
  <c r="AH100" i="54" s="1"/>
  <c r="AL100" i="54" s="1"/>
  <c r="AN100" i="54" s="1"/>
  <c r="T100" i="54"/>
  <c r="W92" i="54"/>
  <c r="AH92" i="54" s="1"/>
  <c r="AL92" i="54" s="1"/>
  <c r="AN92" i="54" s="1"/>
  <c r="T92" i="54"/>
  <c r="S259" i="54"/>
  <c r="T176" i="54"/>
  <c r="V176" i="54"/>
  <c r="AH176" i="54" s="1"/>
  <c r="AL176" i="54" s="1"/>
  <c r="AN176" i="54" s="1"/>
  <c r="T162" i="54"/>
  <c r="V162" i="54"/>
  <c r="AH162" i="54" s="1"/>
  <c r="AL162" i="54" s="1"/>
  <c r="AN162" i="54" s="1"/>
  <c r="T159" i="54"/>
  <c r="T158" i="54"/>
  <c r="AH154" i="54"/>
  <c r="AL154" i="54" s="1"/>
  <c r="AN154" i="54" s="1"/>
  <c r="AH152" i="54"/>
  <c r="AL152" i="54" s="1"/>
  <c r="AN152" i="54" s="1"/>
  <c r="T141" i="54"/>
  <c r="T153" i="54"/>
  <c r="V153" i="54"/>
  <c r="AH153" i="54" s="1"/>
  <c r="AL153" i="54" s="1"/>
  <c r="AN153" i="54" s="1"/>
  <c r="AH146" i="54"/>
  <c r="AL146" i="54" s="1"/>
  <c r="AN146" i="54" s="1"/>
  <c r="T138" i="54"/>
  <c r="V138" i="54"/>
  <c r="AH138" i="54" s="1"/>
  <c r="AL138" i="54" s="1"/>
  <c r="AN138" i="54" s="1"/>
  <c r="V147" i="54"/>
  <c r="AH147" i="54" s="1"/>
  <c r="AL147" i="54" s="1"/>
  <c r="AN147" i="54" s="1"/>
  <c r="T147" i="54"/>
  <c r="T155" i="54"/>
  <c r="T143" i="54"/>
  <c r="T135" i="54"/>
  <c r="T127" i="54"/>
  <c r="T103" i="54"/>
  <c r="V103" i="54"/>
  <c r="AH103" i="54" s="1"/>
  <c r="AL103" i="54" s="1"/>
  <c r="AN103" i="54" s="1"/>
  <c r="AH93" i="54"/>
  <c r="AL93" i="54" s="1"/>
  <c r="AN93" i="54" s="1"/>
  <c r="T88" i="54"/>
  <c r="V81" i="54"/>
  <c r="AH81" i="54" s="1"/>
  <c r="AL81" i="54" s="1"/>
  <c r="AN81" i="54" s="1"/>
  <c r="T81" i="54"/>
  <c r="T94" i="54"/>
  <c r="T152" i="54"/>
  <c r="AH109" i="54"/>
  <c r="AL109" i="54" s="1"/>
  <c r="AN109" i="54" s="1"/>
  <c r="V105" i="54"/>
  <c r="AH105" i="54" s="1"/>
  <c r="AL105" i="54" s="1"/>
  <c r="AN105" i="54" s="1"/>
  <c r="T105" i="54"/>
  <c r="AH104" i="54"/>
  <c r="AL104" i="54" s="1"/>
  <c r="AN104" i="54" s="1"/>
  <c r="AH96" i="54"/>
  <c r="AL96" i="54" s="1"/>
  <c r="AN96" i="54" s="1"/>
  <c r="V107" i="54"/>
  <c r="AH107" i="54" s="1"/>
  <c r="AL107" i="54" s="1"/>
  <c r="AN107" i="54" s="1"/>
  <c r="T107" i="54"/>
  <c r="AH66" i="54"/>
  <c r="AL66" i="54" s="1"/>
  <c r="AN66" i="54" s="1"/>
  <c r="V44" i="54"/>
  <c r="AH44" i="54" s="1"/>
  <c r="AL44" i="54" s="1"/>
  <c r="AN44" i="54" s="1"/>
  <c r="T44" i="54"/>
  <c r="T79" i="54"/>
  <c r="J193" i="54"/>
  <c r="X65" i="54"/>
  <c r="X193" i="54" s="1"/>
  <c r="K193" i="54"/>
  <c r="Y65" i="54"/>
  <c r="Y193" i="54" s="1"/>
  <c r="AB58" i="54"/>
  <c r="N60" i="54"/>
  <c r="S54" i="54"/>
  <c r="AG50" i="54"/>
  <c r="AG54" i="54" s="1"/>
  <c r="N54" i="54"/>
  <c r="AB50" i="54"/>
  <c r="AB54" i="54" s="1"/>
  <c r="T45" i="54"/>
  <c r="V45" i="54"/>
  <c r="AH45" i="54" s="1"/>
  <c r="AL45" i="54" s="1"/>
  <c r="AN45" i="54" s="1"/>
  <c r="Y57" i="54"/>
  <c r="Y60" i="54" s="1"/>
  <c r="K60" i="54"/>
  <c r="P60" i="54"/>
  <c r="AD57" i="54"/>
  <c r="AD60" i="54" s="1"/>
  <c r="AH56" i="54"/>
  <c r="V40" i="54"/>
  <c r="AH40" i="54" s="1"/>
  <c r="AL40" i="54" s="1"/>
  <c r="AN40" i="54" s="1"/>
  <c r="T40" i="54"/>
  <c r="V32" i="54"/>
  <c r="AH32" i="54" s="1"/>
  <c r="AL32" i="54" s="1"/>
  <c r="AN32" i="54" s="1"/>
  <c r="T32" i="54"/>
  <c r="T28" i="54"/>
  <c r="V28" i="54"/>
  <c r="AH28" i="54" s="1"/>
  <c r="AL28" i="54" s="1"/>
  <c r="T24" i="54"/>
  <c r="V24" i="54"/>
  <c r="AH24" i="54" s="1"/>
  <c r="AL24" i="54" s="1"/>
  <c r="AN24" i="54" s="1"/>
  <c r="N47" i="54"/>
  <c r="AB11" i="54"/>
  <c r="AB47" i="54" s="1"/>
  <c r="M47" i="54"/>
  <c r="AA11" i="54"/>
  <c r="AA47" i="54" s="1"/>
  <c r="T34" i="54"/>
  <c r="S47" i="54"/>
  <c r="T42" i="54"/>
  <c r="AD47" i="54"/>
  <c r="V22" i="54"/>
  <c r="AH22" i="54" s="1"/>
  <c r="AL22" i="54" s="1"/>
  <c r="AN22" i="54" s="1"/>
  <c r="T22" i="54"/>
  <c r="AN49" i="56" l="1"/>
  <c r="AL102" i="56"/>
  <c r="AM102" i="56" s="1"/>
  <c r="AN24" i="56"/>
  <c r="AN143" i="56"/>
  <c r="X174" i="56"/>
  <c r="Z275" i="54"/>
  <c r="V172" i="56"/>
  <c r="AN98" i="56"/>
  <c r="AN92" i="56"/>
  <c r="AN22" i="56"/>
  <c r="AN57" i="56"/>
  <c r="AN72" i="56"/>
  <c r="AL73" i="56"/>
  <c r="AM73" i="56" s="1"/>
  <c r="AN73" i="56" s="1"/>
  <c r="Q275" i="54"/>
  <c r="AN196" i="54"/>
  <c r="AN115" i="56"/>
  <c r="V165" i="56"/>
  <c r="P275" i="54"/>
  <c r="T39" i="56"/>
  <c r="AG174" i="56"/>
  <c r="T172" i="56"/>
  <c r="AN136" i="56"/>
  <c r="K275" i="54"/>
  <c r="T165" i="56"/>
  <c r="AM165" i="56" s="1"/>
  <c r="AN165" i="56" s="1"/>
  <c r="AN139" i="56"/>
  <c r="AC275" i="54"/>
  <c r="H174" i="56"/>
  <c r="AH168" i="56"/>
  <c r="AH172" i="56" s="1"/>
  <c r="AF174" i="56"/>
  <c r="Z174" i="56"/>
  <c r="AN67" i="56"/>
  <c r="AN37" i="56"/>
  <c r="AG275" i="54"/>
  <c r="S275" i="54"/>
  <c r="AD275" i="54"/>
  <c r="L275" i="54"/>
  <c r="AE275" i="54"/>
  <c r="AN106" i="56"/>
  <c r="AN117" i="56"/>
  <c r="V158" i="56"/>
  <c r="AN152" i="56"/>
  <c r="AC174" i="56"/>
  <c r="AN96" i="56"/>
  <c r="O174" i="56"/>
  <c r="AD174" i="56"/>
  <c r="AL43" i="56"/>
  <c r="AM43" i="56" s="1"/>
  <c r="AN43" i="56" s="1"/>
  <c r="AH43" i="56"/>
  <c r="AL48" i="56"/>
  <c r="AH48" i="56"/>
  <c r="AH35" i="56"/>
  <c r="AL35" i="56"/>
  <c r="AM35" i="56" s="1"/>
  <c r="AN35" i="56" s="1"/>
  <c r="AH64" i="56"/>
  <c r="AL64" i="56"/>
  <c r="AM64" i="56" s="1"/>
  <c r="AN64" i="56" s="1"/>
  <c r="AL70" i="56"/>
  <c r="AM70" i="56" s="1"/>
  <c r="AN70" i="56" s="1"/>
  <c r="AH70" i="56"/>
  <c r="W39" i="56"/>
  <c r="AL12" i="56"/>
  <c r="AH12" i="56"/>
  <c r="AN31" i="56"/>
  <c r="AL33" i="56"/>
  <c r="AM33" i="56" s="1"/>
  <c r="AN33" i="56" s="1"/>
  <c r="AH33" i="56"/>
  <c r="AN79" i="56"/>
  <c r="AN78" i="56"/>
  <c r="AH89" i="56"/>
  <c r="AL89" i="56"/>
  <c r="AM89" i="56" s="1"/>
  <c r="AN89" i="56" s="1"/>
  <c r="AL76" i="56"/>
  <c r="AM76" i="56" s="1"/>
  <c r="AN76" i="56" s="1"/>
  <c r="AH76" i="56"/>
  <c r="AA174" i="56"/>
  <c r="AN27" i="56"/>
  <c r="AL23" i="56"/>
  <c r="AM23" i="56" s="1"/>
  <c r="AN23" i="56" s="1"/>
  <c r="AH23" i="56"/>
  <c r="AL25" i="56"/>
  <c r="AM25" i="56" s="1"/>
  <c r="AN25" i="56" s="1"/>
  <c r="AH25" i="56"/>
  <c r="AL93" i="56"/>
  <c r="AM93" i="56" s="1"/>
  <c r="AN93" i="56" s="1"/>
  <c r="AH93" i="56"/>
  <c r="Q174" i="56"/>
  <c r="AN102" i="56"/>
  <c r="AL111" i="56"/>
  <c r="AM111" i="56" s="1"/>
  <c r="AN111" i="56" s="1"/>
  <c r="AH111" i="56"/>
  <c r="R174" i="56"/>
  <c r="P174" i="56"/>
  <c r="AH18" i="56"/>
  <c r="AL18" i="56"/>
  <c r="AM18" i="56" s="1"/>
  <c r="AN18" i="56" s="1"/>
  <c r="AH29" i="56"/>
  <c r="AL29" i="56"/>
  <c r="AH66" i="56"/>
  <c r="AL66" i="56"/>
  <c r="AM66" i="56" s="1"/>
  <c r="AN66" i="56" s="1"/>
  <c r="AH80" i="56"/>
  <c r="AL80" i="56"/>
  <c r="AM80" i="56" s="1"/>
  <c r="AN80" i="56" s="1"/>
  <c r="AN74" i="56"/>
  <c r="AH97" i="56"/>
  <c r="AL97" i="56"/>
  <c r="M174" i="56"/>
  <c r="AH15" i="56"/>
  <c r="AL15" i="56"/>
  <c r="AM15" i="56" s="1"/>
  <c r="AN15" i="56" s="1"/>
  <c r="AN88" i="56"/>
  <c r="AH85" i="56"/>
  <c r="AL85" i="56"/>
  <c r="AM85" i="56" s="1"/>
  <c r="AN85" i="56" s="1"/>
  <c r="AN13" i="56"/>
  <c r="AL91" i="56"/>
  <c r="AM91" i="56" s="1"/>
  <c r="AN91" i="56" s="1"/>
  <c r="AH91" i="56"/>
  <c r="AN128" i="56"/>
  <c r="T158" i="56"/>
  <c r="AH137" i="56"/>
  <c r="AL137" i="56"/>
  <c r="AM137" i="56" s="1"/>
  <c r="AN137" i="56" s="1"/>
  <c r="AH156" i="56"/>
  <c r="AL156" i="56"/>
  <c r="AM156" i="56" s="1"/>
  <c r="AN156" i="56" s="1"/>
  <c r="AH162" i="56"/>
  <c r="AB174" i="56"/>
  <c r="Y174" i="56"/>
  <c r="AL26" i="56"/>
  <c r="AM26" i="56" s="1"/>
  <c r="AN26" i="56" s="1"/>
  <c r="AH26" i="56"/>
  <c r="AH28" i="56"/>
  <c r="AL28" i="56"/>
  <c r="AM28" i="56" s="1"/>
  <c r="AN28" i="56" s="1"/>
  <c r="S174" i="56"/>
  <c r="T120" i="56"/>
  <c r="AL81" i="56"/>
  <c r="AM81" i="56" s="1"/>
  <c r="AN81" i="56" s="1"/>
  <c r="AH81" i="56"/>
  <c r="I174" i="56"/>
  <c r="AL69" i="56"/>
  <c r="AM69" i="56" s="1"/>
  <c r="AN69" i="56" s="1"/>
  <c r="AH69" i="56"/>
  <c r="AL84" i="56"/>
  <c r="AM84" i="56" s="1"/>
  <c r="AN84" i="56" s="1"/>
  <c r="AH84" i="56"/>
  <c r="AN32" i="56"/>
  <c r="W120" i="56"/>
  <c r="AL83" i="56"/>
  <c r="AM83" i="56" s="1"/>
  <c r="AN83" i="56" s="1"/>
  <c r="AH83" i="56"/>
  <c r="AH95" i="56"/>
  <c r="AL95" i="56"/>
  <c r="AM95" i="56" s="1"/>
  <c r="AN95" i="56" s="1"/>
  <c r="AH161" i="56"/>
  <c r="N174" i="56"/>
  <c r="K174" i="56"/>
  <c r="AL14" i="56"/>
  <c r="AM14" i="56" s="1"/>
  <c r="AN14" i="56" s="1"/>
  <c r="AH14" i="56"/>
  <c r="V39" i="56"/>
  <c r="AH20" i="56"/>
  <c r="AL20" i="56"/>
  <c r="AM20" i="56" s="1"/>
  <c r="AN20" i="56" s="1"/>
  <c r="AL36" i="56"/>
  <c r="AM36" i="56" s="1"/>
  <c r="AN36" i="56" s="1"/>
  <c r="AH36" i="56"/>
  <c r="AH42" i="56"/>
  <c r="AL42" i="56"/>
  <c r="V45" i="56"/>
  <c r="AL77" i="56"/>
  <c r="AM77" i="56" s="1"/>
  <c r="AN77" i="56" s="1"/>
  <c r="AH77" i="56"/>
  <c r="AE174" i="56"/>
  <c r="L5" i="56"/>
  <c r="Y5" i="56"/>
  <c r="AL21" i="56"/>
  <c r="AM21" i="56" s="1"/>
  <c r="AN21" i="56" s="1"/>
  <c r="AH21" i="56"/>
  <c r="V120" i="56"/>
  <c r="AL56" i="56"/>
  <c r="AH56" i="56"/>
  <c r="AN148" i="56"/>
  <c r="AN16" i="56"/>
  <c r="AL59" i="56"/>
  <c r="AM59" i="56" s="1"/>
  <c r="AN59" i="56" s="1"/>
  <c r="AH59" i="56"/>
  <c r="AL58" i="56"/>
  <c r="AM58" i="56" s="1"/>
  <c r="AN58" i="56" s="1"/>
  <c r="AH58" i="56"/>
  <c r="AN114" i="56"/>
  <c r="AL94" i="56"/>
  <c r="AM94" i="56" s="1"/>
  <c r="AN94" i="56" s="1"/>
  <c r="AH94" i="56"/>
  <c r="L174" i="56"/>
  <c r="AH19" i="56"/>
  <c r="AL19" i="56"/>
  <c r="AM19" i="56" s="1"/>
  <c r="AN19" i="56" s="1"/>
  <c r="AN75" i="56"/>
  <c r="AL62" i="56"/>
  <c r="AM62" i="56" s="1"/>
  <c r="AN62" i="56" s="1"/>
  <c r="AH62" i="56"/>
  <c r="AN90" i="56"/>
  <c r="AL100" i="56"/>
  <c r="AM100" i="56" s="1"/>
  <c r="AN100" i="56" s="1"/>
  <c r="AH100" i="56"/>
  <c r="AL108" i="56"/>
  <c r="AM108" i="56" s="1"/>
  <c r="AN108" i="56" s="1"/>
  <c r="AH108" i="56"/>
  <c r="AL105" i="56"/>
  <c r="AM105" i="56" s="1"/>
  <c r="AN105" i="56" s="1"/>
  <c r="AH105" i="56"/>
  <c r="AH101" i="56"/>
  <c r="AL101" i="56"/>
  <c r="AM101" i="56" s="1"/>
  <c r="AN101" i="56" s="1"/>
  <c r="AL107" i="56"/>
  <c r="AM107" i="56" s="1"/>
  <c r="AN107" i="56" s="1"/>
  <c r="AH107" i="56"/>
  <c r="AH116" i="56"/>
  <c r="AL116" i="56"/>
  <c r="AM116" i="56" s="1"/>
  <c r="AN116" i="56" s="1"/>
  <c r="AH118" i="56"/>
  <c r="AL118" i="56"/>
  <c r="AM118" i="56" s="1"/>
  <c r="AN118" i="56" s="1"/>
  <c r="AN127" i="56"/>
  <c r="AL99" i="56"/>
  <c r="AM99" i="56" s="1"/>
  <c r="AN99" i="56" s="1"/>
  <c r="AH99" i="56"/>
  <c r="AL113" i="56"/>
  <c r="AM113" i="56" s="1"/>
  <c r="AN113" i="56" s="1"/>
  <c r="AH113" i="56"/>
  <c r="AH130" i="56"/>
  <c r="AL130" i="56"/>
  <c r="AL135" i="56"/>
  <c r="AM135" i="56" s="1"/>
  <c r="AN135" i="56" s="1"/>
  <c r="AH135" i="56"/>
  <c r="AL126" i="56"/>
  <c r="AH126" i="56"/>
  <c r="AL112" i="56"/>
  <c r="AM112" i="56" s="1"/>
  <c r="AN112" i="56" s="1"/>
  <c r="AH112" i="56"/>
  <c r="AL132" i="56"/>
  <c r="AM132" i="56" s="1"/>
  <c r="AN132" i="56" s="1"/>
  <c r="AH132" i="56"/>
  <c r="AL138" i="56"/>
  <c r="AM138" i="56" s="1"/>
  <c r="AN138" i="56" s="1"/>
  <c r="AH138" i="56"/>
  <c r="AH140" i="56"/>
  <c r="AL140" i="56"/>
  <c r="AM140" i="56" s="1"/>
  <c r="AN140" i="56" s="1"/>
  <c r="AL144" i="56"/>
  <c r="AM144" i="56" s="1"/>
  <c r="AN144" i="56" s="1"/>
  <c r="AH144" i="56"/>
  <c r="AL134" i="56"/>
  <c r="AM134" i="56" s="1"/>
  <c r="AN134" i="56" s="1"/>
  <c r="AH134" i="56"/>
  <c r="AH142" i="56"/>
  <c r="AL142" i="56"/>
  <c r="AM142" i="56" s="1"/>
  <c r="AN142" i="56" s="1"/>
  <c r="AL146" i="56"/>
  <c r="AM146" i="56" s="1"/>
  <c r="AN146" i="56" s="1"/>
  <c r="AH146" i="56"/>
  <c r="AH151" i="56"/>
  <c r="AL151" i="56"/>
  <c r="AM151" i="56" s="1"/>
  <c r="AN151" i="56" s="1"/>
  <c r="AL153" i="56"/>
  <c r="AM153" i="56" s="1"/>
  <c r="AN153" i="56" s="1"/>
  <c r="AH153" i="56"/>
  <c r="AH149" i="56"/>
  <c r="AL149" i="56"/>
  <c r="AM149" i="56" s="1"/>
  <c r="AN149" i="56" s="1"/>
  <c r="AL150" i="56"/>
  <c r="AM150" i="56" s="1"/>
  <c r="AN150" i="56" s="1"/>
  <c r="AH150" i="56"/>
  <c r="AL154" i="56"/>
  <c r="AM154" i="56" s="1"/>
  <c r="AN154" i="56" s="1"/>
  <c r="AH154" i="56"/>
  <c r="AH155" i="56"/>
  <c r="AL155" i="56"/>
  <c r="AM155" i="56" s="1"/>
  <c r="AN155" i="56" s="1"/>
  <c r="AM169" i="56"/>
  <c r="AL172" i="56"/>
  <c r="U199" i="54"/>
  <c r="AH235" i="54"/>
  <c r="AL235" i="54" s="1"/>
  <c r="AN235" i="54" s="1"/>
  <c r="R275" i="54"/>
  <c r="O275" i="54"/>
  <c r="T264" i="54"/>
  <c r="U264" i="54" s="1"/>
  <c r="U60" i="54"/>
  <c r="J275" i="54"/>
  <c r="AB275" i="54"/>
  <c r="V54" i="54"/>
  <c r="AH50" i="54"/>
  <c r="AL118" i="54"/>
  <c r="AN118" i="54" s="1"/>
  <c r="AJ118" i="54"/>
  <c r="V259" i="54"/>
  <c r="AH226" i="54"/>
  <c r="AJ123" i="54"/>
  <c r="AN28" i="54"/>
  <c r="V47" i="54"/>
  <c r="AH11" i="54"/>
  <c r="V264" i="54"/>
  <c r="AH262" i="54"/>
  <c r="AH264" i="54" s="1"/>
  <c r="N275" i="54"/>
  <c r="W273" i="54"/>
  <c r="AH270" i="54"/>
  <c r="AL270" i="54" s="1"/>
  <c r="T54" i="54"/>
  <c r="U54" i="54" s="1"/>
  <c r="AH204" i="54"/>
  <c r="AL204" i="54" s="1"/>
  <c r="AA275" i="54"/>
  <c r="AA5" i="54"/>
  <c r="N5" i="54"/>
  <c r="V193" i="54"/>
  <c r="AH65" i="54"/>
  <c r="AH197" i="54"/>
  <c r="AL197" i="54" s="1"/>
  <c r="AN197" i="54" s="1"/>
  <c r="V199" i="54"/>
  <c r="Y275" i="54"/>
  <c r="AF275" i="54"/>
  <c r="W193" i="54"/>
  <c r="T47" i="54"/>
  <c r="H275" i="54"/>
  <c r="I275" i="54"/>
  <c r="V60" i="54"/>
  <c r="AH57" i="54"/>
  <c r="T259" i="54"/>
  <c r="U259" i="54" s="1"/>
  <c r="T273" i="54"/>
  <c r="X273" i="54"/>
  <c r="X275" i="54" s="1"/>
  <c r="AH269" i="54"/>
  <c r="M275" i="54"/>
  <c r="AH58" i="54"/>
  <c r="AL58" i="54" s="1"/>
  <c r="AN58" i="54" s="1"/>
  <c r="T193" i="54"/>
  <c r="U193" i="54" s="1"/>
  <c r="AH158" i="56" l="1"/>
  <c r="V174" i="56"/>
  <c r="W174" i="56"/>
  <c r="AH273" i="54"/>
  <c r="AH165" i="56"/>
  <c r="AM56" i="56"/>
  <c r="AL120" i="56"/>
  <c r="T174" i="56"/>
  <c r="W275" i="54"/>
  <c r="AL199" i="54"/>
  <c r="T275" i="54"/>
  <c r="AM126" i="56"/>
  <c r="AL158" i="56"/>
  <c r="AM12" i="56"/>
  <c r="AL39" i="56"/>
  <c r="AN199" i="54"/>
  <c r="AH45" i="56"/>
  <c r="V275" i="54"/>
  <c r="M5" i="56"/>
  <c r="Z5" i="56"/>
  <c r="AM97" i="56"/>
  <c r="AM130" i="56"/>
  <c r="AH120" i="56"/>
  <c r="AL45" i="56"/>
  <c r="AM42" i="56"/>
  <c r="AL51" i="56"/>
  <c r="AM48" i="56"/>
  <c r="AM29" i="56"/>
  <c r="AH39" i="56"/>
  <c r="AM172" i="56"/>
  <c r="AN169" i="56"/>
  <c r="AN172" i="56" s="1"/>
  <c r="AN270" i="54"/>
  <c r="AL273" i="54"/>
  <c r="AH259" i="54"/>
  <c r="AL226" i="54"/>
  <c r="AN226" i="54" s="1"/>
  <c r="AL50" i="54"/>
  <c r="AH54" i="54"/>
  <c r="AH193" i="54"/>
  <c r="AL65" i="54"/>
  <c r="AL193" i="54" s="1"/>
  <c r="AH199" i="54"/>
  <c r="AH60" i="54"/>
  <c r="AL57" i="54"/>
  <c r="AN204" i="54"/>
  <c r="AH47" i="54"/>
  <c r="AL11" i="54"/>
  <c r="O5" i="54"/>
  <c r="AB5" i="54"/>
  <c r="AL174" i="56" l="1"/>
  <c r="AN126" i="56"/>
  <c r="AM158" i="56"/>
  <c r="AH275" i="54"/>
  <c r="AN11" i="54"/>
  <c r="AN47" i="54" s="1"/>
  <c r="AL47" i="54"/>
  <c r="AN12" i="56"/>
  <c r="AM39" i="56"/>
  <c r="AN56" i="56"/>
  <c r="AM120" i="56"/>
  <c r="AH174" i="56"/>
  <c r="AN29" i="56"/>
  <c r="AM45" i="56"/>
  <c r="AN42" i="56"/>
  <c r="AN45" i="56" s="1"/>
  <c r="B128" i="31" s="1"/>
  <c r="Z10" i="31" s="1"/>
  <c r="N5" i="56"/>
  <c r="AA5" i="56"/>
  <c r="AM51" i="56"/>
  <c r="AN48" i="56"/>
  <c r="AN51" i="56" s="1"/>
  <c r="B129" i="31" s="1"/>
  <c r="Z11" i="31" s="1"/>
  <c r="AN130" i="56"/>
  <c r="AN97" i="56"/>
  <c r="AN273" i="54"/>
  <c r="AN259" i="54"/>
  <c r="AC5" i="54"/>
  <c r="P5" i="54"/>
  <c r="AL259" i="54"/>
  <c r="AN57" i="54"/>
  <c r="AL60" i="54"/>
  <c r="AN65" i="54"/>
  <c r="AL54" i="54"/>
  <c r="AN50" i="54"/>
  <c r="AM174" i="56" l="1"/>
  <c r="AN39" i="56"/>
  <c r="B127" i="31" s="1"/>
  <c r="AN120" i="56"/>
  <c r="B132" i="31" s="1"/>
  <c r="Z12" i="31" s="1"/>
  <c r="AN158" i="56"/>
  <c r="B131" i="31" s="1"/>
  <c r="Z16" i="31" s="1"/>
  <c r="AL275" i="54"/>
  <c r="AB5" i="56"/>
  <c r="O5" i="56"/>
  <c r="AN60" i="54"/>
  <c r="AN54" i="54"/>
  <c r="AN193" i="54"/>
  <c r="Q5" i="54"/>
  <c r="AD5" i="54"/>
  <c r="AN275" i="54" l="1"/>
  <c r="B133" i="31"/>
  <c r="Z9" i="31"/>
  <c r="Z21" i="31" s="1"/>
  <c r="Z59" i="31" s="1"/>
  <c r="AN174" i="56"/>
  <c r="AC7" i="1" s="1"/>
  <c r="P5" i="56"/>
  <c r="AC5" i="56"/>
  <c r="AE5" i="54"/>
  <c r="R5" i="54"/>
  <c r="Q5" i="56" l="1"/>
  <c r="AD5" i="56"/>
  <c r="S5" i="54"/>
  <c r="AG5" i="54" s="1"/>
  <c r="AF5" i="54"/>
  <c r="R5" i="56" l="1"/>
  <c r="AE5" i="56"/>
  <c r="AF5" i="56" l="1"/>
  <c r="S5" i="56"/>
  <c r="AG5" i="56" s="1"/>
  <c r="F134" i="1" l="1"/>
  <c r="L134" i="1" s="1"/>
  <c r="D149" i="7" l="1"/>
  <c r="G196" i="7" l="1"/>
  <c r="G198" i="7" s="1"/>
  <c r="D191" i="7"/>
  <c r="G191" i="7"/>
  <c r="D186" i="7"/>
  <c r="G186" i="7"/>
  <c r="C185" i="7"/>
  <c r="C188" i="7" s="1"/>
  <c r="C190" i="7"/>
  <c r="C193" i="7" s="1"/>
  <c r="C195" i="7"/>
  <c r="C198" i="7" s="1"/>
  <c r="E195" i="7"/>
  <c r="D195" i="7"/>
  <c r="E190" i="7"/>
  <c r="D190" i="7"/>
  <c r="E185" i="7"/>
  <c r="D185" i="7"/>
  <c r="G199" i="7" l="1"/>
  <c r="C196" i="7"/>
  <c r="C197" i="7" s="1"/>
  <c r="C191" i="7"/>
  <c r="C192" i="7" s="1"/>
  <c r="C186" i="7"/>
  <c r="C187" i="7" s="1"/>
  <c r="G192" i="7" l="1"/>
  <c r="G193" i="7" s="1"/>
  <c r="G194" i="7" s="1"/>
  <c r="F86" i="7" l="1"/>
  <c r="E22" i="1" l="1"/>
  <c r="D22" i="1"/>
  <c r="C19" i="1"/>
  <c r="C22" i="1"/>
  <c r="C17" i="1"/>
  <c r="C15" i="1"/>
  <c r="C14" i="1"/>
  <c r="C12" i="1"/>
  <c r="C11" i="1"/>
  <c r="C10" i="1"/>
  <c r="AH13" i="29"/>
  <c r="AH17" i="29"/>
  <c r="AH16" i="29"/>
  <c r="AH21" i="29"/>
  <c r="AH29" i="29"/>
  <c r="AH28" i="29"/>
  <c r="AH27" i="29"/>
  <c r="AH26" i="29"/>
  <c r="AH34" i="29"/>
  <c r="AH38" i="29"/>
  <c r="AH44" i="29"/>
  <c r="AH43" i="29"/>
  <c r="AH51" i="29"/>
  <c r="AH55" i="29"/>
  <c r="AH60" i="29"/>
  <c r="AH65" i="29"/>
  <c r="AH69" i="29"/>
  <c r="AH88" i="29"/>
  <c r="AH87" i="29"/>
  <c r="AH86" i="29"/>
  <c r="AH85" i="29"/>
  <c r="AH84" i="29"/>
  <c r="AH83" i="29"/>
  <c r="AH82" i="29"/>
  <c r="AH81" i="29"/>
  <c r="AH80" i="29"/>
  <c r="AH79" i="29"/>
  <c r="AH78" i="29"/>
  <c r="AH92" i="29"/>
  <c r="AH114" i="29"/>
  <c r="AH113" i="29"/>
  <c r="AH112" i="29"/>
  <c r="AH111" i="29"/>
  <c r="AH110" i="29"/>
  <c r="AH109" i="29"/>
  <c r="AH108" i="29"/>
  <c r="AH107" i="29"/>
  <c r="AH106" i="29"/>
  <c r="AH105" i="29"/>
  <c r="AH104" i="29"/>
  <c r="AH103" i="29"/>
  <c r="AH102" i="29"/>
  <c r="AH101" i="29"/>
  <c r="AH100" i="29"/>
  <c r="AH99" i="29"/>
  <c r="AH98" i="29"/>
  <c r="AH97" i="29"/>
  <c r="AH120" i="29"/>
  <c r="AH119" i="29"/>
  <c r="AH125" i="29"/>
  <c r="AH136" i="29"/>
  <c r="AH135" i="29"/>
  <c r="AH134" i="29"/>
  <c r="AH133" i="29"/>
  <c r="AH132" i="29"/>
  <c r="AH131" i="29"/>
  <c r="AH130" i="29"/>
  <c r="AH150" i="29"/>
  <c r="AH149" i="29"/>
  <c r="AH148" i="29"/>
  <c r="AH147" i="29"/>
  <c r="AH146" i="29"/>
  <c r="AH145" i="29"/>
  <c r="AH154" i="29"/>
  <c r="AH177" i="29"/>
  <c r="AH176" i="29"/>
  <c r="AH175" i="29"/>
  <c r="AH174" i="29"/>
  <c r="AH173" i="29"/>
  <c r="AH172" i="29"/>
  <c r="AH171" i="29"/>
  <c r="AH170" i="29"/>
  <c r="AH169" i="29"/>
  <c r="AH168" i="29"/>
  <c r="AH167" i="29"/>
  <c r="AH166" i="29"/>
  <c r="AH165" i="29"/>
  <c r="AH164" i="29"/>
  <c r="AH163" i="29"/>
  <c r="AH211" i="29"/>
  <c r="AH210" i="29"/>
  <c r="AH209" i="29"/>
  <c r="AH208" i="29"/>
  <c r="AH207" i="29"/>
  <c r="AH206" i="29"/>
  <c r="AH205" i="29"/>
  <c r="AH204" i="29"/>
  <c r="AH203" i="29"/>
  <c r="AH202" i="29"/>
  <c r="AH201" i="29"/>
  <c r="AH200" i="29"/>
  <c r="AH199" i="29"/>
  <c r="AH198" i="29"/>
  <c r="AH197" i="29"/>
  <c r="AH196" i="29"/>
  <c r="AH195" i="29"/>
  <c r="AH194" i="29"/>
  <c r="AH193" i="29"/>
  <c r="AH192" i="29"/>
  <c r="AH191" i="29"/>
  <c r="AH190" i="29"/>
  <c r="AH189" i="29"/>
  <c r="AH188" i="29"/>
  <c r="AH187" i="29"/>
  <c r="AH186" i="29"/>
  <c r="AH185" i="29"/>
  <c r="AH184" i="29"/>
  <c r="AH183" i="29"/>
  <c r="AH182" i="29"/>
  <c r="AH215" i="29"/>
  <c r="AH229" i="29"/>
  <c r="AH228" i="29"/>
  <c r="AH227" i="29"/>
  <c r="AH226" i="29"/>
  <c r="AH233" i="29"/>
  <c r="AH237" i="29"/>
  <c r="AH245" i="29"/>
  <c r="AH249" i="29"/>
  <c r="AH253" i="29"/>
  <c r="AH259" i="29"/>
  <c r="AH265" i="29"/>
  <c r="AH271" i="29"/>
  <c r="AH13" i="28"/>
  <c r="AH16" i="28"/>
  <c r="AH22" i="28"/>
  <c r="AH21" i="28"/>
  <c r="AH20" i="28"/>
  <c r="AH40" i="28"/>
  <c r="AH39" i="28"/>
  <c r="AH38" i="28"/>
  <c r="AH37" i="28"/>
  <c r="AH36" i="28"/>
  <c r="AH35" i="28"/>
  <c r="AH34" i="28"/>
  <c r="AH33" i="28"/>
  <c r="AH32" i="28"/>
  <c r="AH31" i="28"/>
  <c r="AH30" i="28"/>
  <c r="AH29" i="28"/>
  <c r="AH28" i="28"/>
  <c r="AH27" i="28"/>
  <c r="AH45" i="28"/>
  <c r="AH49" i="28"/>
  <c r="AH55" i="28"/>
  <c r="AH54" i="28"/>
  <c r="AH64" i="28"/>
  <c r="AH63" i="28"/>
  <c r="AH62" i="28"/>
  <c r="AH68" i="28"/>
  <c r="AH75" i="28"/>
  <c r="AH74" i="28"/>
  <c r="AH73" i="28"/>
  <c r="AH81" i="28"/>
  <c r="AH80" i="28"/>
  <c r="AH85" i="28"/>
  <c r="AH104" i="28"/>
  <c r="AH103" i="28"/>
  <c r="AH102" i="28"/>
  <c r="AH101" i="28"/>
  <c r="AH100" i="28"/>
  <c r="AH99" i="28"/>
  <c r="AH98" i="28"/>
  <c r="AH97" i="28"/>
  <c r="AH96" i="28"/>
  <c r="AH95" i="28"/>
  <c r="AH94" i="28"/>
  <c r="AH108" i="28"/>
  <c r="AH131" i="28"/>
  <c r="AH130" i="28"/>
  <c r="AH129" i="28"/>
  <c r="AH128" i="28"/>
  <c r="AH127" i="28"/>
  <c r="AH126" i="28"/>
  <c r="AH125" i="28"/>
  <c r="AH124" i="28"/>
  <c r="AH123" i="28"/>
  <c r="AH122" i="28"/>
  <c r="AH121" i="28"/>
  <c r="AH120" i="28"/>
  <c r="AH119" i="28"/>
  <c r="AH118" i="28"/>
  <c r="AH117" i="28"/>
  <c r="AH116" i="28"/>
  <c r="AH115" i="28"/>
  <c r="AH114" i="28"/>
  <c r="AH113" i="28"/>
  <c r="AH137" i="28"/>
  <c r="AH136" i="28"/>
  <c r="AH142" i="28"/>
  <c r="AH158" i="28"/>
  <c r="AH157" i="28"/>
  <c r="AH156" i="28"/>
  <c r="AH155" i="28"/>
  <c r="AH154" i="28"/>
  <c r="AH153" i="28"/>
  <c r="AH152" i="28"/>
  <c r="AH151" i="28"/>
  <c r="AH150" i="28"/>
  <c r="AH149" i="28"/>
  <c r="AH148" i="28"/>
  <c r="AH147" i="28"/>
  <c r="AH169" i="28"/>
  <c r="AH168" i="28"/>
  <c r="AH167" i="28"/>
  <c r="AH173" i="28"/>
  <c r="AH182" i="28"/>
  <c r="AH213" i="28"/>
  <c r="AH212" i="28"/>
  <c r="AH211" i="28"/>
  <c r="AH210" i="28"/>
  <c r="AH209" i="28"/>
  <c r="AH208" i="28"/>
  <c r="AH207" i="28"/>
  <c r="AH206" i="28"/>
  <c r="AH205" i="28"/>
  <c r="AH204" i="28"/>
  <c r="AH203" i="28"/>
  <c r="AH202" i="28"/>
  <c r="AH201" i="28"/>
  <c r="AH200" i="28"/>
  <c r="AH199" i="28"/>
  <c r="AH198" i="28"/>
  <c r="AH197" i="28"/>
  <c r="AH196" i="28"/>
  <c r="AH195" i="28"/>
  <c r="AH194" i="28"/>
  <c r="AH193" i="28"/>
  <c r="AH192" i="28"/>
  <c r="AH191" i="28"/>
  <c r="AH190" i="28"/>
  <c r="AH189" i="28"/>
  <c r="AH188" i="28"/>
  <c r="AH187" i="28"/>
  <c r="AH217" i="28"/>
  <c r="AH229" i="28"/>
  <c r="AH228" i="28"/>
  <c r="AH233" i="28"/>
  <c r="AH237" i="28"/>
  <c r="AH245" i="28"/>
  <c r="AH249" i="28"/>
  <c r="AH253" i="28"/>
  <c r="AH259" i="28"/>
  <c r="AH265" i="28"/>
  <c r="AH271" i="28"/>
  <c r="AH13" i="27"/>
  <c r="AH30" i="27"/>
  <c r="AH29" i="27"/>
  <c r="AH28" i="27"/>
  <c r="AH27" i="27"/>
  <c r="AH26" i="27"/>
  <c r="AH25" i="27"/>
  <c r="AH24" i="27"/>
  <c r="AH23" i="27"/>
  <c r="AH22" i="27"/>
  <c r="AH21" i="27"/>
  <c r="AH20" i="27"/>
  <c r="AH19" i="27"/>
  <c r="AH18" i="27"/>
  <c r="AH17" i="27"/>
  <c r="AH16" i="27"/>
  <c r="AH34" i="27"/>
  <c r="AH46" i="27"/>
  <c r="AH45" i="27"/>
  <c r="AH44" i="27"/>
  <c r="AH43" i="27"/>
  <c r="AH42" i="27"/>
  <c r="AH41" i="27"/>
  <c r="AH40" i="27"/>
  <c r="AH39" i="27"/>
  <c r="AH51" i="27"/>
  <c r="AH55" i="27"/>
  <c r="AH61" i="27"/>
  <c r="AH60" i="27"/>
  <c r="AH70" i="27"/>
  <c r="AH69" i="27"/>
  <c r="AH68" i="27"/>
  <c r="AH74" i="27"/>
  <c r="AH81" i="27"/>
  <c r="AH80" i="27"/>
  <c r="AH79" i="27"/>
  <c r="AH87" i="27"/>
  <c r="AH86" i="27"/>
  <c r="AH91" i="27"/>
  <c r="AH113" i="27"/>
  <c r="AH112" i="27"/>
  <c r="AH111" i="27"/>
  <c r="AH110" i="27"/>
  <c r="AH109" i="27"/>
  <c r="AH108" i="27"/>
  <c r="AH107" i="27"/>
  <c r="AH106" i="27"/>
  <c r="AH105" i="27"/>
  <c r="AH104" i="27"/>
  <c r="AH103" i="27"/>
  <c r="AH102" i="27"/>
  <c r="AH101" i="27"/>
  <c r="AH100" i="27"/>
  <c r="AH117" i="27"/>
  <c r="AH144" i="27"/>
  <c r="AH143" i="27"/>
  <c r="AH142" i="27"/>
  <c r="AH141" i="27"/>
  <c r="AH140" i="27"/>
  <c r="AH139" i="27"/>
  <c r="AH138" i="27"/>
  <c r="AH137" i="27"/>
  <c r="AH136" i="27"/>
  <c r="AH135" i="27"/>
  <c r="AH134" i="27"/>
  <c r="AH133" i="27"/>
  <c r="AH132" i="27"/>
  <c r="AH131" i="27"/>
  <c r="AH130" i="27"/>
  <c r="AH129" i="27"/>
  <c r="AH128" i="27"/>
  <c r="AH127" i="27"/>
  <c r="AH126" i="27"/>
  <c r="AH125" i="27"/>
  <c r="AH124" i="27"/>
  <c r="AH123" i="27"/>
  <c r="AH122" i="27"/>
  <c r="AH158" i="27"/>
  <c r="AH157" i="27"/>
  <c r="AH156" i="27"/>
  <c r="AH155" i="27"/>
  <c r="AH154" i="27"/>
  <c r="AH153" i="27"/>
  <c r="AH152" i="27"/>
  <c r="AH151" i="27"/>
  <c r="AH150" i="27"/>
  <c r="AH149" i="27"/>
  <c r="AH169" i="27"/>
  <c r="AH168" i="27"/>
  <c r="AH167" i="27"/>
  <c r="AH166" i="27"/>
  <c r="AH165" i="27"/>
  <c r="AH164" i="27"/>
  <c r="AH163" i="27"/>
  <c r="AH183" i="27"/>
  <c r="AH182" i="27"/>
  <c r="AH181" i="27"/>
  <c r="AH180" i="27"/>
  <c r="AH179" i="27"/>
  <c r="AH178" i="27"/>
  <c r="AH177" i="27"/>
  <c r="AH176" i="27"/>
  <c r="AH175" i="27"/>
  <c r="AH174" i="27"/>
  <c r="AH200" i="27"/>
  <c r="AH199" i="27"/>
  <c r="AH198" i="27"/>
  <c r="AH197" i="27"/>
  <c r="AH196" i="27"/>
  <c r="AH195" i="27"/>
  <c r="AH194" i="27"/>
  <c r="AH193" i="27"/>
  <c r="AH192" i="27"/>
  <c r="AH204" i="27"/>
  <c r="AH222" i="27"/>
  <c r="AH221" i="27"/>
  <c r="AH220" i="27"/>
  <c r="AH219" i="27"/>
  <c r="AH218" i="27"/>
  <c r="AH217" i="27"/>
  <c r="AH216" i="27"/>
  <c r="AH215" i="27"/>
  <c r="AH214" i="27"/>
  <c r="AH213" i="27"/>
  <c r="AH273" i="27"/>
  <c r="AH272" i="27"/>
  <c r="AH271" i="27"/>
  <c r="AH270" i="27"/>
  <c r="AH269" i="27"/>
  <c r="AH268" i="27"/>
  <c r="AH267" i="27"/>
  <c r="AH266" i="27"/>
  <c r="AH265" i="27"/>
  <c r="AH264" i="27"/>
  <c r="AH263" i="27"/>
  <c r="AH262" i="27"/>
  <c r="AH261" i="27"/>
  <c r="AH260" i="27"/>
  <c r="AH259" i="27"/>
  <c r="AH258" i="27"/>
  <c r="AH257" i="27"/>
  <c r="AH256" i="27"/>
  <c r="AH255" i="27"/>
  <c r="AH254" i="27"/>
  <c r="AH253" i="27"/>
  <c r="AH252" i="27"/>
  <c r="AH251" i="27"/>
  <c r="AH250" i="27"/>
  <c r="AH249" i="27"/>
  <c r="AH248" i="27"/>
  <c r="AH247" i="27"/>
  <c r="AH246" i="27"/>
  <c r="AH245" i="27"/>
  <c r="AH244" i="27"/>
  <c r="AH243" i="27"/>
  <c r="AH242" i="27"/>
  <c r="AH241" i="27"/>
  <c r="AH240" i="27"/>
  <c r="AH239" i="27"/>
  <c r="AH238" i="27"/>
  <c r="AH237" i="27"/>
  <c r="AH236" i="27"/>
  <c r="AH235" i="27"/>
  <c r="AH234" i="27"/>
  <c r="AH233" i="27"/>
  <c r="AH232" i="27"/>
  <c r="AH231" i="27"/>
  <c r="AH230" i="27"/>
  <c r="AH229" i="27"/>
  <c r="AH228" i="27"/>
  <c r="AH227" i="27"/>
  <c r="AH277" i="27"/>
  <c r="AH291" i="27"/>
  <c r="AH290" i="27"/>
  <c r="AH289" i="27"/>
  <c r="AH288" i="27"/>
  <c r="AH295" i="27"/>
  <c r="AH299" i="27"/>
  <c r="AH307" i="27"/>
  <c r="AH311" i="27"/>
  <c r="AH315" i="27"/>
  <c r="AH321" i="27"/>
  <c r="AH327" i="27"/>
  <c r="AH333" i="27"/>
  <c r="E197" i="7" l="1"/>
  <c r="E198" i="7" s="1"/>
  <c r="E199" i="7" s="1"/>
  <c r="D197" i="7"/>
  <c r="D198" i="7" s="1"/>
  <c r="D199" i="7" s="1"/>
  <c r="F197" i="7"/>
  <c r="F198" i="7" s="1"/>
  <c r="F199" i="7" s="1"/>
  <c r="S58" i="53" l="1"/>
  <c r="U56" i="53"/>
  <c r="U55" i="53"/>
  <c r="V39" i="53" s="1"/>
  <c r="V38" i="53"/>
  <c r="J38" i="53"/>
  <c r="Y67" i="53" s="1"/>
  <c r="V37" i="53"/>
  <c r="V36" i="53"/>
  <c r="V34" i="53"/>
  <c r="V33" i="53"/>
  <c r="V32" i="53"/>
  <c r="V31" i="53"/>
  <c r="V29" i="53"/>
  <c r="V28" i="53"/>
  <c r="V27" i="53"/>
  <c r="V26" i="53"/>
  <c r="V24" i="53"/>
  <c r="V23" i="53"/>
  <c r="V22" i="53"/>
  <c r="V21" i="53"/>
  <c r="V19" i="53"/>
  <c r="V18" i="53"/>
  <c r="V17" i="53"/>
  <c r="V16" i="53"/>
  <c r="P15" i="53"/>
  <c r="P16" i="53" s="1"/>
  <c r="V14" i="53"/>
  <c r="V13" i="53"/>
  <c r="C13" i="53"/>
  <c r="J45" i="53" s="1"/>
  <c r="V12" i="53"/>
  <c r="C12" i="53"/>
  <c r="J44" i="53" s="1"/>
  <c r="V11" i="53"/>
  <c r="C11" i="53"/>
  <c r="J43" i="53" s="1"/>
  <c r="V9" i="53"/>
  <c r="C9" i="53"/>
  <c r="K27" i="53" s="1"/>
  <c r="V8" i="53"/>
  <c r="F8" i="53"/>
  <c r="F9" i="53" s="1"/>
  <c r="F10" i="53" s="1"/>
  <c r="F11" i="53" s="1"/>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F44" i="53" s="1"/>
  <c r="F45" i="53" s="1"/>
  <c r="F46" i="53" s="1"/>
  <c r="F47" i="53" s="1"/>
  <c r="F48" i="53" s="1"/>
  <c r="F49" i="53" s="1"/>
  <c r="C8" i="53"/>
  <c r="I27" i="53" s="1"/>
  <c r="V7" i="53"/>
  <c r="Y6" i="53"/>
  <c r="Y7" i="53" s="1"/>
  <c r="Y8" i="53" s="1"/>
  <c r="Y9" i="53" s="1"/>
  <c r="Y11" i="53" s="1"/>
  <c r="Y12" i="53" s="1"/>
  <c r="Y13" i="53" s="1"/>
  <c r="Y14" i="53" s="1"/>
  <c r="Y16" i="53" s="1"/>
  <c r="Y17" i="53" s="1"/>
  <c r="Y18" i="53" s="1"/>
  <c r="Y19" i="53" s="1"/>
  <c r="Y21" i="53" s="1"/>
  <c r="Y22" i="53" s="1"/>
  <c r="Y23" i="53" s="1"/>
  <c r="Y24" i="53" s="1"/>
  <c r="Y26" i="53" s="1"/>
  <c r="Y27" i="53" s="1"/>
  <c r="Y28" i="53" s="1"/>
  <c r="Y29" i="53" s="1"/>
  <c r="Y31" i="53" s="1"/>
  <c r="Y32" i="53" s="1"/>
  <c r="Y33" i="53" s="1"/>
  <c r="Y34" i="53" s="1"/>
  <c r="Y36" i="53" s="1"/>
  <c r="Y37" i="53" s="1"/>
  <c r="Y38" i="53" s="1"/>
  <c r="Y39" i="53" s="1"/>
  <c r="V6" i="53"/>
  <c r="O6" i="53"/>
  <c r="S58" i="52"/>
  <c r="U56" i="52"/>
  <c r="U55" i="52"/>
  <c r="V39" i="52"/>
  <c r="V38" i="52"/>
  <c r="J38" i="52"/>
  <c r="Y67" i="52" s="1"/>
  <c r="V37" i="52"/>
  <c r="V36" i="52"/>
  <c r="V34" i="52"/>
  <c r="V33" i="52"/>
  <c r="V32" i="52"/>
  <c r="V31" i="52"/>
  <c r="V29" i="52"/>
  <c r="V28" i="52"/>
  <c r="V27" i="52"/>
  <c r="V26" i="52"/>
  <c r="V24" i="52"/>
  <c r="V23" i="52"/>
  <c r="V22" i="52"/>
  <c r="V21" i="52"/>
  <c r="V19" i="52"/>
  <c r="V18" i="52"/>
  <c r="V17" i="52"/>
  <c r="V16" i="52"/>
  <c r="P15" i="52"/>
  <c r="P16" i="52" s="1"/>
  <c r="V14" i="52"/>
  <c r="V13" i="52"/>
  <c r="C13" i="52"/>
  <c r="J45" i="52" s="1"/>
  <c r="V12" i="52"/>
  <c r="C12" i="52"/>
  <c r="J44" i="52" s="1"/>
  <c r="V11" i="52"/>
  <c r="C11" i="52"/>
  <c r="J43" i="52" s="1"/>
  <c r="V9" i="52"/>
  <c r="C9" i="52"/>
  <c r="K27" i="52" s="1"/>
  <c r="V8" i="52"/>
  <c r="F8" i="52"/>
  <c r="F9" i="52" s="1"/>
  <c r="F10" i="52" s="1"/>
  <c r="F11" i="52" s="1"/>
  <c r="F12" i="52" s="1"/>
  <c r="F13" i="52" s="1"/>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F34" i="52" s="1"/>
  <c r="F35" i="52" s="1"/>
  <c r="F36" i="52" s="1"/>
  <c r="F37" i="52" s="1"/>
  <c r="F38" i="52" s="1"/>
  <c r="F39" i="52" s="1"/>
  <c r="F40" i="52" s="1"/>
  <c r="F41" i="52" s="1"/>
  <c r="F42" i="52" s="1"/>
  <c r="F43" i="52" s="1"/>
  <c r="F44" i="52" s="1"/>
  <c r="F45" i="52" s="1"/>
  <c r="F46" i="52" s="1"/>
  <c r="F47" i="52" s="1"/>
  <c r="F48" i="52" s="1"/>
  <c r="F49" i="52" s="1"/>
  <c r="C8" i="52"/>
  <c r="I27" i="52" s="1"/>
  <c r="Y7" i="52"/>
  <c r="Y8" i="52" s="1"/>
  <c r="Y9" i="52" s="1"/>
  <c r="Y11" i="52" s="1"/>
  <c r="Y12" i="52" s="1"/>
  <c r="Y13" i="52" s="1"/>
  <c r="Y14" i="52" s="1"/>
  <c r="Y16" i="52" s="1"/>
  <c r="Y17" i="52" s="1"/>
  <c r="Y18" i="52" s="1"/>
  <c r="Y19" i="52" s="1"/>
  <c r="Y21" i="52" s="1"/>
  <c r="Y22" i="52" s="1"/>
  <c r="Y23" i="52" s="1"/>
  <c r="Y24" i="52" s="1"/>
  <c r="Y26" i="52" s="1"/>
  <c r="Y27" i="52" s="1"/>
  <c r="Y28" i="52" s="1"/>
  <c r="Y29" i="52" s="1"/>
  <c r="Y31" i="52" s="1"/>
  <c r="Y32" i="52" s="1"/>
  <c r="Y33" i="52" s="1"/>
  <c r="Y34" i="52" s="1"/>
  <c r="Y36" i="52" s="1"/>
  <c r="Y37" i="52" s="1"/>
  <c r="Y38" i="52" s="1"/>
  <c r="Y39" i="52" s="1"/>
  <c r="V7" i="52"/>
  <c r="Y6" i="52"/>
  <c r="V6" i="52"/>
  <c r="O6" i="52"/>
  <c r="S58" i="51"/>
  <c r="U56" i="51"/>
  <c r="U55" i="51"/>
  <c r="V39" i="51"/>
  <c r="V38" i="51"/>
  <c r="J38" i="51"/>
  <c r="Y67" i="51" s="1"/>
  <c r="V37" i="51"/>
  <c r="V36" i="51"/>
  <c r="V34" i="51"/>
  <c r="V33" i="51"/>
  <c r="V32" i="51"/>
  <c r="V31" i="51"/>
  <c r="V29" i="51"/>
  <c r="V28" i="51"/>
  <c r="V27" i="51"/>
  <c r="V26" i="51"/>
  <c r="V24" i="51"/>
  <c r="V23" i="51"/>
  <c r="V22" i="51"/>
  <c r="V21" i="51"/>
  <c r="V19" i="51"/>
  <c r="V18" i="51"/>
  <c r="V17" i="51"/>
  <c r="V16" i="51"/>
  <c r="P16" i="51"/>
  <c r="P15" i="51"/>
  <c r="V14" i="51"/>
  <c r="V13" i="51"/>
  <c r="C13" i="51"/>
  <c r="J45" i="51" s="1"/>
  <c r="V12" i="51"/>
  <c r="C12" i="51"/>
  <c r="J44" i="51" s="1"/>
  <c r="V11" i="51"/>
  <c r="C11" i="51"/>
  <c r="J43" i="51" s="1"/>
  <c r="V9" i="51"/>
  <c r="C9" i="51"/>
  <c r="K27" i="51" s="1"/>
  <c r="V8" i="51"/>
  <c r="F8" i="51"/>
  <c r="F9" i="51" s="1"/>
  <c r="F10" i="51" s="1"/>
  <c r="F11" i="51" s="1"/>
  <c r="F12" i="51" s="1"/>
  <c r="F13" i="51" s="1"/>
  <c r="F14" i="51" s="1"/>
  <c r="F15" i="51" s="1"/>
  <c r="F16" i="51" s="1"/>
  <c r="F17" i="51" s="1"/>
  <c r="F18" i="51" s="1"/>
  <c r="F19" i="51" s="1"/>
  <c r="F20" i="51" s="1"/>
  <c r="F21" i="51" s="1"/>
  <c r="F22" i="51" s="1"/>
  <c r="F23" i="51" s="1"/>
  <c r="F24" i="51" s="1"/>
  <c r="F25" i="51" s="1"/>
  <c r="F26" i="51" s="1"/>
  <c r="F27" i="51" s="1"/>
  <c r="F28" i="51" s="1"/>
  <c r="F29" i="51" s="1"/>
  <c r="F30" i="51" s="1"/>
  <c r="F31" i="51" s="1"/>
  <c r="F32" i="51" s="1"/>
  <c r="F33" i="51" s="1"/>
  <c r="F34" i="51" s="1"/>
  <c r="F35" i="51" s="1"/>
  <c r="F36" i="51" s="1"/>
  <c r="F37" i="51" s="1"/>
  <c r="F38" i="51" s="1"/>
  <c r="F39" i="51" s="1"/>
  <c r="F40" i="51" s="1"/>
  <c r="F41" i="51" s="1"/>
  <c r="F42" i="51" s="1"/>
  <c r="F43" i="51" s="1"/>
  <c r="F44" i="51" s="1"/>
  <c r="F45" i="51" s="1"/>
  <c r="F46" i="51" s="1"/>
  <c r="F47" i="51" s="1"/>
  <c r="F48" i="51" s="1"/>
  <c r="F49" i="51" s="1"/>
  <c r="C8" i="51"/>
  <c r="I27" i="51" s="1"/>
  <c r="V7" i="51"/>
  <c r="Y6" i="51"/>
  <c r="Y7" i="51" s="1"/>
  <c r="Y8" i="51" s="1"/>
  <c r="Y9" i="51" s="1"/>
  <c r="Y11" i="51" s="1"/>
  <c r="Y12" i="51" s="1"/>
  <c r="Y13" i="51" s="1"/>
  <c r="Y14" i="51" s="1"/>
  <c r="Y16" i="51" s="1"/>
  <c r="Y17" i="51" s="1"/>
  <c r="Y18" i="51" s="1"/>
  <c r="Y19" i="51" s="1"/>
  <c r="Y21" i="51" s="1"/>
  <c r="Y22" i="51" s="1"/>
  <c r="Y23" i="51" s="1"/>
  <c r="Y24" i="51" s="1"/>
  <c r="Y26" i="51" s="1"/>
  <c r="Y27" i="51" s="1"/>
  <c r="Y28" i="51" s="1"/>
  <c r="Y29" i="51" s="1"/>
  <c r="Y31" i="51" s="1"/>
  <c r="Y32" i="51" s="1"/>
  <c r="Y33" i="51" s="1"/>
  <c r="Y34" i="51" s="1"/>
  <c r="Y36" i="51" s="1"/>
  <c r="Y37" i="51" s="1"/>
  <c r="Y38" i="51" s="1"/>
  <c r="Y39" i="51" s="1"/>
  <c r="V6" i="51"/>
  <c r="O6" i="51"/>
  <c r="H19" i="20"/>
  <c r="H18" i="20"/>
  <c r="H17" i="20"/>
  <c r="H15" i="20"/>
  <c r="H116" i="20"/>
  <c r="H108" i="20"/>
  <c r="H107" i="20"/>
  <c r="H106" i="20"/>
  <c r="H105" i="20"/>
  <c r="H125" i="20"/>
  <c r="H124" i="20"/>
  <c r="H123" i="20"/>
  <c r="H130" i="20"/>
  <c r="H140" i="20"/>
  <c r="H139" i="20"/>
  <c r="H138" i="20"/>
  <c r="H137" i="20"/>
  <c r="H136" i="20"/>
  <c r="H135" i="20"/>
  <c r="H134" i="20"/>
  <c r="H148" i="20"/>
  <c r="H228" i="20"/>
  <c r="H246" i="20"/>
  <c r="H237" i="20"/>
  <c r="H270" i="20"/>
  <c r="H276" i="20"/>
  <c r="H275" i="20"/>
  <c r="H297" i="20"/>
  <c r="H310" i="20"/>
  <c r="C93" i="8"/>
  <c r="C91" i="8"/>
  <c r="G308" i="20"/>
  <c r="H306" i="20"/>
  <c r="C297" i="20"/>
  <c r="J297" i="20" s="1"/>
  <c r="G278" i="20"/>
  <c r="G127" i="20"/>
  <c r="G132" i="20"/>
  <c r="G142" i="20"/>
  <c r="C62" i="8"/>
  <c r="C60" i="8"/>
  <c r="C9" i="8"/>
  <c r="AC9" i="53" l="1"/>
  <c r="AC21" i="52"/>
  <c r="D9" i="8"/>
  <c r="AC7" i="51"/>
  <c r="AC6" i="53"/>
  <c r="AC13" i="53"/>
  <c r="L27" i="53"/>
  <c r="AC7" i="53"/>
  <c r="AC37" i="53"/>
  <c r="AC29" i="53"/>
  <c r="AC28" i="53"/>
  <c r="AC27" i="53"/>
  <c r="I26" i="53"/>
  <c r="AC33" i="53"/>
  <c r="AC26" i="53"/>
  <c r="AC39" i="53"/>
  <c r="AC38" i="53"/>
  <c r="AC36" i="53"/>
  <c r="AC34" i="53"/>
  <c r="AC32" i="53"/>
  <c r="AC31" i="53"/>
  <c r="AC23" i="53"/>
  <c r="AC11" i="53"/>
  <c r="AC24" i="53"/>
  <c r="AC22" i="53"/>
  <c r="AC21" i="53"/>
  <c r="AC18" i="53"/>
  <c r="AC17" i="53"/>
  <c r="AC16" i="53"/>
  <c r="AC12" i="53"/>
  <c r="AC19" i="53"/>
  <c r="AC8" i="53"/>
  <c r="AC14" i="53"/>
  <c r="K38" i="53"/>
  <c r="Z67" i="53" s="1"/>
  <c r="L27" i="52"/>
  <c r="AC16" i="52"/>
  <c r="AC18" i="52"/>
  <c r="AC22" i="52"/>
  <c r="AC6" i="52"/>
  <c r="AC12" i="52"/>
  <c r="AC24" i="52"/>
  <c r="AC7" i="52"/>
  <c r="AC17" i="52"/>
  <c r="AC37" i="52"/>
  <c r="AC29" i="52"/>
  <c r="AC28" i="52"/>
  <c r="AC27" i="52"/>
  <c r="I26" i="52"/>
  <c r="AC33" i="52"/>
  <c r="AC39" i="52"/>
  <c r="AC38" i="52"/>
  <c r="AC36" i="52"/>
  <c r="AC31" i="52"/>
  <c r="AC19" i="52"/>
  <c r="AC14" i="52"/>
  <c r="AC13" i="52"/>
  <c r="AC34" i="52"/>
  <c r="AC26" i="52"/>
  <c r="AC23" i="52"/>
  <c r="AC11" i="52"/>
  <c r="AC32" i="52"/>
  <c r="AC8" i="52"/>
  <c r="AC9" i="52"/>
  <c r="K38" i="52"/>
  <c r="Z67" i="52" s="1"/>
  <c r="L27" i="51"/>
  <c r="AC6" i="51"/>
  <c r="AC9" i="51"/>
  <c r="AC37" i="51"/>
  <c r="AC29" i="51"/>
  <c r="AC28" i="51"/>
  <c r="AC27" i="51"/>
  <c r="I26" i="51"/>
  <c r="AC33" i="51"/>
  <c r="AC26" i="51"/>
  <c r="AC39" i="51"/>
  <c r="AC38" i="51"/>
  <c r="AC36" i="51"/>
  <c r="AC34" i="51"/>
  <c r="AC32" i="51"/>
  <c r="AC31" i="51"/>
  <c r="AC23" i="51"/>
  <c r="AC24" i="51"/>
  <c r="AC22" i="51"/>
  <c r="AC21" i="51"/>
  <c r="AC18" i="51"/>
  <c r="AC17" i="51"/>
  <c r="AC16" i="51"/>
  <c r="AC12" i="51"/>
  <c r="AC19" i="51"/>
  <c r="AC14" i="51"/>
  <c r="AC13" i="51"/>
  <c r="AC8" i="51"/>
  <c r="AC11" i="51"/>
  <c r="K38" i="51"/>
  <c r="Z67" i="51" s="1"/>
  <c r="I28" i="53" l="1"/>
  <c r="I28" i="52"/>
  <c r="I28" i="51"/>
  <c r="G73" i="49" l="1"/>
  <c r="G79" i="49"/>
  <c r="G78" i="49"/>
  <c r="G77" i="49"/>
  <c r="H304" i="49"/>
  <c r="G285" i="49"/>
  <c r="G293" i="49"/>
  <c r="G292" i="49"/>
  <c r="G291" i="49"/>
  <c r="L302" i="49"/>
  <c r="L293" i="49"/>
  <c r="L292" i="49"/>
  <c r="L291" i="49"/>
  <c r="L285" i="49"/>
  <c r="L280" i="49"/>
  <c r="L294" i="49"/>
  <c r="F281" i="49"/>
  <c r="H274" i="49"/>
  <c r="G16" i="49"/>
  <c r="G15" i="49"/>
  <c r="G14" i="49"/>
  <c r="G13" i="49"/>
  <c r="G12" i="49"/>
  <c r="G11" i="49"/>
  <c r="G10" i="49"/>
  <c r="G9" i="49"/>
  <c r="H18" i="49"/>
  <c r="H17" i="49"/>
  <c r="G272" i="49"/>
  <c r="G271" i="49"/>
  <c r="G267" i="49"/>
  <c r="G266" i="49"/>
  <c r="G265" i="49"/>
  <c r="G264" i="49"/>
  <c r="G262" i="49"/>
  <c r="G261" i="49"/>
  <c r="G260" i="49"/>
  <c r="E23" i="50"/>
  <c r="F259" i="49" s="1"/>
  <c r="G274" i="49" l="1"/>
  <c r="G251" i="49" l="1"/>
  <c r="G255" i="49"/>
  <c r="G254" i="49"/>
  <c r="G250" i="49"/>
  <c r="G249" i="49"/>
  <c r="G247" i="49"/>
  <c r="G245" i="49"/>
  <c r="G243" i="49"/>
  <c r="G242" i="49"/>
  <c r="G241" i="49"/>
  <c r="G239" i="49"/>
  <c r="G238" i="49"/>
  <c r="G234" i="49"/>
  <c r="G233" i="49"/>
  <c r="H231" i="49"/>
  <c r="G224" i="49"/>
  <c r="G223" i="49"/>
  <c r="G222" i="49"/>
  <c r="G220" i="49"/>
  <c r="G214" i="49"/>
  <c r="G213" i="49"/>
  <c r="G211" i="49"/>
  <c r="G204" i="49"/>
  <c r="H123" i="49"/>
  <c r="H128" i="49"/>
  <c r="H138" i="49"/>
  <c r="H142" i="49"/>
  <c r="H148" i="49"/>
  <c r="G190" i="49"/>
  <c r="G189" i="49"/>
  <c r="G188" i="49"/>
  <c r="G187" i="49"/>
  <c r="G186" i="49"/>
  <c r="G185" i="49"/>
  <c r="G184" i="49"/>
  <c r="L178" i="49"/>
  <c r="G178" i="49"/>
  <c r="G179" i="49"/>
  <c r="G168" i="49"/>
  <c r="G157" i="49" l="1"/>
  <c r="G156" i="49"/>
  <c r="G152" i="49"/>
  <c r="G146" i="49"/>
  <c r="G145" i="49"/>
  <c r="G144" i="49"/>
  <c r="G140" i="49"/>
  <c r="G142" i="49" s="1"/>
  <c r="G136" i="49"/>
  <c r="G135" i="49"/>
  <c r="G134" i="49"/>
  <c r="G133" i="49"/>
  <c r="G132" i="49"/>
  <c r="G131" i="49"/>
  <c r="G130" i="49"/>
  <c r="G126" i="49"/>
  <c r="G125" i="49"/>
  <c r="G118" i="49"/>
  <c r="G117" i="49"/>
  <c r="G113" i="49"/>
  <c r="G109" i="49"/>
  <c r="G108" i="49"/>
  <c r="G98" i="49"/>
  <c r="H45" i="49"/>
  <c r="H58" i="49"/>
  <c r="H63" i="49"/>
  <c r="H81" i="49"/>
  <c r="E14" i="50"/>
  <c r="D14" i="50"/>
  <c r="C14" i="50"/>
  <c r="D15" i="50" l="1"/>
  <c r="E15" i="50"/>
  <c r="G128" i="49"/>
  <c r="G138" i="49"/>
  <c r="G148" i="49"/>
  <c r="G81" i="49" l="1"/>
  <c r="G61" i="49"/>
  <c r="G60" i="49"/>
  <c r="G63" i="49" s="1"/>
  <c r="G56" i="49"/>
  <c r="L272" i="49"/>
  <c r="L271" i="49"/>
  <c r="K270" i="49"/>
  <c r="L267" i="49"/>
  <c r="L266" i="49"/>
  <c r="L265" i="49"/>
  <c r="L264" i="49"/>
  <c r="L262" i="49"/>
  <c r="L261" i="49"/>
  <c r="L260" i="49"/>
  <c r="L255" i="49"/>
  <c r="L254" i="49"/>
  <c r="L251" i="49"/>
  <c r="L250" i="49"/>
  <c r="L249" i="49"/>
  <c r="L247" i="49"/>
  <c r="L245" i="49"/>
  <c r="L243" i="49"/>
  <c r="L242" i="49"/>
  <c r="L241" i="49"/>
  <c r="L239" i="49"/>
  <c r="L238" i="49"/>
  <c r="L234" i="49"/>
  <c r="L229" i="49"/>
  <c r="L225" i="49"/>
  <c r="L224" i="49"/>
  <c r="L223" i="49"/>
  <c r="L222" i="49"/>
  <c r="L220" i="49"/>
  <c r="L215" i="49"/>
  <c r="L214" i="49"/>
  <c r="L213" i="49"/>
  <c r="L211" i="49"/>
  <c r="L206" i="49"/>
  <c r="L205" i="49"/>
  <c r="L204" i="49"/>
  <c r="L190" i="49"/>
  <c r="L189" i="49"/>
  <c r="L188" i="49"/>
  <c r="L187" i="49"/>
  <c r="L186" i="49"/>
  <c r="L185" i="49"/>
  <c r="L184" i="49"/>
  <c r="L182" i="49"/>
  <c r="L179" i="49"/>
  <c r="L170" i="49"/>
  <c r="L169" i="49"/>
  <c r="L168" i="49"/>
  <c r="L167" i="49"/>
  <c r="L166" i="49"/>
  <c r="L165" i="49"/>
  <c r="L159" i="49"/>
  <c r="L157" i="49"/>
  <c r="L156" i="49"/>
  <c r="L152" i="49"/>
  <c r="L146" i="49"/>
  <c r="L145" i="49"/>
  <c r="L144" i="49"/>
  <c r="L140" i="49"/>
  <c r="L136" i="49"/>
  <c r="L135" i="49"/>
  <c r="L134" i="49"/>
  <c r="L133" i="49"/>
  <c r="L132" i="49"/>
  <c r="L131" i="49"/>
  <c r="L130" i="49"/>
  <c r="L126" i="49"/>
  <c r="L125" i="49"/>
  <c r="L120" i="49"/>
  <c r="L118" i="49"/>
  <c r="L117" i="49"/>
  <c r="L113" i="49"/>
  <c r="L111" i="49"/>
  <c r="L109" i="49"/>
  <c r="L102" i="49"/>
  <c r="L79" i="49"/>
  <c r="L78" i="49"/>
  <c r="L77" i="49"/>
  <c r="L73" i="49"/>
  <c r="L72" i="49"/>
  <c r="L61" i="49"/>
  <c r="L60" i="49"/>
  <c r="C7" i="50"/>
  <c r="E8" i="50" s="1"/>
  <c r="G43" i="49"/>
  <c r="G42" i="49"/>
  <c r="G41" i="49"/>
  <c r="G45" i="49" s="1"/>
  <c r="G18" i="49"/>
  <c r="H39" i="50"/>
  <c r="C39" i="50"/>
  <c r="E39" i="50" s="1"/>
  <c r="D8" i="50" l="1"/>
  <c r="H40" i="50"/>
  <c r="G39" i="50"/>
  <c r="G40" i="50" s="1"/>
  <c r="E40" i="50"/>
  <c r="D40" i="50"/>
  <c r="H259" i="49" l="1"/>
  <c r="H269" i="49" s="1"/>
  <c r="H281" i="49"/>
  <c r="I281" i="49"/>
  <c r="I259" i="49"/>
  <c r="G7" i="50"/>
  <c r="G8" i="50" s="1"/>
  <c r="H198" i="49"/>
  <c r="H163" i="49"/>
  <c r="H172" i="49" s="1"/>
  <c r="H7" i="50"/>
  <c r="H8" i="50" s="1"/>
  <c r="I163" i="49"/>
  <c r="I198" i="49"/>
  <c r="H283" i="49" l="1"/>
  <c r="L281" i="49"/>
  <c r="C224" i="49" l="1"/>
  <c r="K224" i="49" s="1"/>
  <c r="C306" i="49"/>
  <c r="I304" i="49"/>
  <c r="F304" i="49"/>
  <c r="F287" i="49"/>
  <c r="E287" i="49"/>
  <c r="I287" i="49"/>
  <c r="F283" i="49"/>
  <c r="I274" i="49"/>
  <c r="F274" i="49"/>
  <c r="E274" i="49"/>
  <c r="F269" i="49"/>
  <c r="L263" i="49"/>
  <c r="L259" i="49"/>
  <c r="F231" i="49"/>
  <c r="I231" i="49"/>
  <c r="L198" i="49"/>
  <c r="L181" i="49"/>
  <c r="F172" i="49"/>
  <c r="L164" i="49"/>
  <c r="F148" i="49"/>
  <c r="E148" i="49"/>
  <c r="F142" i="49"/>
  <c r="E142" i="49"/>
  <c r="I142" i="49"/>
  <c r="I138" i="49"/>
  <c r="F138" i="49"/>
  <c r="E138" i="49"/>
  <c r="F128" i="49"/>
  <c r="E128" i="49"/>
  <c r="I128" i="49"/>
  <c r="F123" i="49"/>
  <c r="L119" i="49"/>
  <c r="L108" i="49"/>
  <c r="L98" i="49"/>
  <c r="L96" i="49"/>
  <c r="E93" i="49"/>
  <c r="F81" i="49"/>
  <c r="E81" i="49"/>
  <c r="F63" i="49"/>
  <c r="E63" i="49"/>
  <c r="F58" i="49"/>
  <c r="L56" i="49"/>
  <c r="L47" i="49"/>
  <c r="F45" i="49"/>
  <c r="E45" i="49"/>
  <c r="L43" i="49"/>
  <c r="L42" i="49"/>
  <c r="L41" i="49"/>
  <c r="V351" i="1"/>
  <c r="V346" i="1"/>
  <c r="V341" i="1"/>
  <c r="V335" i="1"/>
  <c r="V326" i="1"/>
  <c r="V321" i="1"/>
  <c r="V320" i="1"/>
  <c r="V315" i="1"/>
  <c r="V310" i="1"/>
  <c r="V309" i="1"/>
  <c r="V304" i="1"/>
  <c r="V303" i="1"/>
  <c r="V302" i="1"/>
  <c r="V301" i="1"/>
  <c r="V300" i="1"/>
  <c r="V299" i="1"/>
  <c r="V298" i="1"/>
  <c r="V297" i="1"/>
  <c r="V296" i="1"/>
  <c r="V295" i="1"/>
  <c r="V290" i="1"/>
  <c r="V289" i="1"/>
  <c r="V288" i="1"/>
  <c r="V287" i="1"/>
  <c r="V286" i="1"/>
  <c r="V285" i="1"/>
  <c r="V284" i="1"/>
  <c r="V283" i="1"/>
  <c r="V282" i="1"/>
  <c r="V281" i="1"/>
  <c r="V280" i="1"/>
  <c r="V279" i="1"/>
  <c r="V278" i="1"/>
  <c r="V277" i="1"/>
  <c r="V276" i="1"/>
  <c r="V275" i="1"/>
  <c r="V274" i="1"/>
  <c r="V273" i="1"/>
  <c r="V272" i="1"/>
  <c r="V271" i="1"/>
  <c r="V270" i="1"/>
  <c r="V269" i="1"/>
  <c r="V268" i="1"/>
  <c r="V263" i="1"/>
  <c r="V237" i="1"/>
  <c r="V236" i="1"/>
  <c r="V235" i="1"/>
  <c r="V234" i="1"/>
  <c r="V229" i="1"/>
  <c r="V228" i="1"/>
  <c r="V223" i="1"/>
  <c r="V218" i="1"/>
  <c r="V217" i="1"/>
  <c r="V216" i="1"/>
  <c r="V215" i="1"/>
  <c r="V214" i="1"/>
  <c r="V213" i="1"/>
  <c r="V212" i="1"/>
  <c r="V211" i="1"/>
  <c r="V210" i="1"/>
  <c r="V209" i="1"/>
  <c r="V208" i="1"/>
  <c r="V207" i="1"/>
  <c r="V206" i="1"/>
  <c r="V201" i="1"/>
  <c r="V196" i="1"/>
  <c r="V195" i="1"/>
  <c r="V194" i="1"/>
  <c r="V193" i="1"/>
  <c r="V192" i="1"/>
  <c r="V184" i="1"/>
  <c r="V183" i="1"/>
  <c r="V182" i="1"/>
  <c r="V181" i="1"/>
  <c r="V176" i="1"/>
  <c r="V175" i="1"/>
  <c r="V174" i="1"/>
  <c r="V169" i="1"/>
  <c r="V168" i="1"/>
  <c r="V167" i="1"/>
  <c r="V162" i="1"/>
  <c r="V157" i="1"/>
  <c r="V156" i="1"/>
  <c r="V155" i="1"/>
  <c r="V154" i="1"/>
  <c r="V153" i="1"/>
  <c r="V152" i="1"/>
  <c r="V151" i="1"/>
  <c r="V150" i="1"/>
  <c r="V149" i="1"/>
  <c r="V148" i="1"/>
  <c r="V143" i="1"/>
  <c r="V142" i="1"/>
  <c r="V137" i="1"/>
  <c r="V136" i="1"/>
  <c r="V135" i="1"/>
  <c r="V133" i="1"/>
  <c r="V132" i="1"/>
  <c r="V127" i="1"/>
  <c r="V126" i="1"/>
  <c r="V125" i="1"/>
  <c r="V124" i="1"/>
  <c r="V123" i="1"/>
  <c r="V122" i="1"/>
  <c r="V121" i="1"/>
  <c r="V120" i="1"/>
  <c r="V119" i="1"/>
  <c r="V118" i="1"/>
  <c r="V117" i="1"/>
  <c r="V116" i="1"/>
  <c r="V111" i="1"/>
  <c r="V110" i="1"/>
  <c r="V109" i="1"/>
  <c r="V108" i="1"/>
  <c r="V103" i="1"/>
  <c r="V97" i="1"/>
  <c r="V96" i="1"/>
  <c r="V89" i="1"/>
  <c r="V87" i="1"/>
  <c r="V82" i="1"/>
  <c r="V81" i="1"/>
  <c r="V80" i="1"/>
  <c r="V79" i="1"/>
  <c r="V78" i="1"/>
  <c r="V73" i="1"/>
  <c r="V68" i="1"/>
  <c r="V67" i="1"/>
  <c r="V62" i="1"/>
  <c r="V61" i="1"/>
  <c r="V56" i="1"/>
  <c r="V55" i="1"/>
  <c r="V54" i="1"/>
  <c r="V53" i="1"/>
  <c r="V52" i="1"/>
  <c r="V47" i="1"/>
  <c r="V40" i="1"/>
  <c r="V39" i="1"/>
  <c r="V38" i="1"/>
  <c r="V30" i="1"/>
  <c r="V29" i="1"/>
  <c r="V22" i="1"/>
  <c r="V21" i="1"/>
  <c r="V20" i="1"/>
  <c r="V19" i="1"/>
  <c r="V18" i="1"/>
  <c r="Y17" i="1"/>
  <c r="V17" i="1"/>
  <c r="V16" i="1"/>
  <c r="V15" i="1"/>
  <c r="V14" i="1"/>
  <c r="V13" i="1"/>
  <c r="V12" i="1"/>
  <c r="V11" i="1"/>
  <c r="P133" i="1"/>
  <c r="Z133" i="1" s="1"/>
  <c r="O133" i="1"/>
  <c r="Y133" i="1" s="1"/>
  <c r="O19" i="1"/>
  <c r="Y19" i="1" s="1"/>
  <c r="P18" i="1"/>
  <c r="Z18" i="1" s="1"/>
  <c r="P17" i="1"/>
  <c r="Z17" i="1" s="1"/>
  <c r="O17" i="1"/>
  <c r="P16" i="1"/>
  <c r="Z16" i="1" s="1"/>
  <c r="O16" i="1"/>
  <c r="Y16" i="1" s="1"/>
  <c r="P15" i="1"/>
  <c r="Z15" i="1" s="1"/>
  <c r="O15" i="1"/>
  <c r="Y15" i="1" s="1"/>
  <c r="P14" i="1"/>
  <c r="Z14" i="1" s="1"/>
  <c r="O14" i="1"/>
  <c r="Y14" i="1" s="1"/>
  <c r="P13" i="1"/>
  <c r="Z13" i="1" s="1"/>
  <c r="O13" i="1"/>
  <c r="Y13" i="1" s="1"/>
  <c r="P12" i="1"/>
  <c r="Z12" i="1" s="1"/>
  <c r="O12" i="1"/>
  <c r="Y12" i="1" s="1"/>
  <c r="P11" i="1"/>
  <c r="Z11" i="1" s="1"/>
  <c r="O11" i="1"/>
  <c r="Y11" i="1" s="1"/>
  <c r="F16" i="1"/>
  <c r="F133" i="1"/>
  <c r="I172" i="49" l="1"/>
  <c r="L163" i="49"/>
  <c r="L95" i="49"/>
  <c r="I58" i="49"/>
  <c r="L55" i="49"/>
  <c r="I283" i="49"/>
  <c r="I63" i="49"/>
  <c r="I123" i="49"/>
  <c r="I148" i="49"/>
  <c r="I45" i="49"/>
  <c r="I81" i="49"/>
  <c r="I269" i="49"/>
  <c r="C351" i="1"/>
  <c r="D351" i="1"/>
  <c r="O351" i="1" s="1"/>
  <c r="Y351" i="1" s="1"/>
  <c r="E351" i="1"/>
  <c r="P351" i="1" s="1"/>
  <c r="Z351" i="1" s="1"/>
  <c r="F351" i="1" l="1"/>
  <c r="L351" i="1" s="1"/>
  <c r="N351" i="1"/>
  <c r="B91" i="31"/>
  <c r="B87" i="31"/>
  <c r="P16" i="35"/>
  <c r="P17" i="35"/>
  <c r="P18" i="35"/>
  <c r="T18" i="35" s="1"/>
  <c r="V18" i="35" s="1"/>
  <c r="P19" i="35"/>
  <c r="P20" i="35"/>
  <c r="P21" i="35"/>
  <c r="P22" i="35"/>
  <c r="T22" i="35" s="1"/>
  <c r="V22" i="35" s="1"/>
  <c r="P23" i="35"/>
  <c r="T23" i="35" s="1"/>
  <c r="V23" i="35" s="1"/>
  <c r="P24" i="35"/>
  <c r="P25" i="35"/>
  <c r="T25" i="35"/>
  <c r="V25" i="35" s="1"/>
  <c r="T24" i="35"/>
  <c r="V24" i="35" s="1"/>
  <c r="T21" i="35"/>
  <c r="V21" i="35" s="1"/>
  <c r="T20" i="35"/>
  <c r="V20" i="35" s="1"/>
  <c r="T19" i="35"/>
  <c r="V19" i="35" s="1"/>
  <c r="T17" i="35"/>
  <c r="V17" i="35" s="1"/>
  <c r="T16" i="35"/>
  <c r="V16" i="35" s="1"/>
  <c r="P28" i="35"/>
  <c r="T28" i="35" s="1"/>
  <c r="V28" i="35" s="1"/>
  <c r="P29" i="35"/>
  <c r="T29" i="35" s="1"/>
  <c r="V29" i="35" s="1"/>
  <c r="P30" i="35"/>
  <c r="P31" i="35"/>
  <c r="P32" i="35"/>
  <c r="T32" i="35" s="1"/>
  <c r="V32" i="35" s="1"/>
  <c r="P33" i="35"/>
  <c r="T33" i="35" s="1"/>
  <c r="V33" i="35" s="1"/>
  <c r="P34" i="35"/>
  <c r="P35" i="35"/>
  <c r="T35" i="35" s="1"/>
  <c r="V35" i="35" s="1"/>
  <c r="P36" i="35"/>
  <c r="T36" i="35" s="1"/>
  <c r="V36" i="35" s="1"/>
  <c r="T34" i="35"/>
  <c r="V34" i="35" s="1"/>
  <c r="T31" i="35"/>
  <c r="V31" i="35" s="1"/>
  <c r="T30" i="35"/>
  <c r="V30" i="35" s="1"/>
  <c r="P39" i="35"/>
  <c r="P40" i="35"/>
  <c r="T40" i="35" s="1"/>
  <c r="V40" i="35" s="1"/>
  <c r="P41" i="35"/>
  <c r="P42" i="35"/>
  <c r="T42" i="35" s="1"/>
  <c r="V42" i="35" s="1"/>
  <c r="P43" i="35"/>
  <c r="T43" i="35"/>
  <c r="V43" i="35" s="1"/>
  <c r="T41" i="35"/>
  <c r="V41" i="35" s="1"/>
  <c r="T39" i="35"/>
  <c r="V39" i="35" s="1"/>
  <c r="P46" i="35"/>
  <c r="T46" i="35" s="1"/>
  <c r="V46" i="35" s="1"/>
  <c r="P47" i="35"/>
  <c r="P48" i="35"/>
  <c r="P49" i="35"/>
  <c r="T49" i="35" s="1"/>
  <c r="V49" i="35" s="1"/>
  <c r="T48" i="35"/>
  <c r="V48" i="35" s="1"/>
  <c r="T47" i="35"/>
  <c r="V47" i="35" s="1"/>
  <c r="P52" i="35"/>
  <c r="T52" i="35" s="1"/>
  <c r="V52" i="35" s="1"/>
  <c r="P59" i="35"/>
  <c r="T59" i="35" s="1"/>
  <c r="V59" i="35" s="1"/>
  <c r="P60" i="35"/>
  <c r="P61" i="35"/>
  <c r="P62" i="35"/>
  <c r="T62" i="35" s="1"/>
  <c r="V62" i="35" s="1"/>
  <c r="P63" i="35"/>
  <c r="T63" i="35" s="1"/>
  <c r="V63" i="35" s="1"/>
  <c r="P64" i="35"/>
  <c r="P65" i="35"/>
  <c r="P66" i="35"/>
  <c r="T66" i="35" s="1"/>
  <c r="V66" i="35" s="1"/>
  <c r="P67" i="35"/>
  <c r="T67" i="35" s="1"/>
  <c r="V67" i="35" s="1"/>
  <c r="P68" i="35"/>
  <c r="P69" i="35"/>
  <c r="P70" i="35"/>
  <c r="T70" i="35" s="1"/>
  <c r="V70" i="35" s="1"/>
  <c r="P71" i="35"/>
  <c r="T71" i="35" s="1"/>
  <c r="V71" i="35" s="1"/>
  <c r="P72" i="35"/>
  <c r="P73" i="35"/>
  <c r="P74" i="35"/>
  <c r="T74" i="35" s="1"/>
  <c r="V74" i="35" s="1"/>
  <c r="P75" i="35"/>
  <c r="T75" i="35" s="1"/>
  <c r="V75" i="35" s="1"/>
  <c r="P76" i="35"/>
  <c r="P77" i="35"/>
  <c r="T77" i="35" s="1"/>
  <c r="V77" i="35" s="1"/>
  <c r="P78" i="35"/>
  <c r="P79" i="35"/>
  <c r="T79" i="35" s="1"/>
  <c r="V79" i="35" s="1"/>
  <c r="P80" i="35"/>
  <c r="P81" i="35"/>
  <c r="T81" i="35" s="1"/>
  <c r="V81" i="35" s="1"/>
  <c r="P82" i="35"/>
  <c r="T82" i="35" s="1"/>
  <c r="V82" i="35" s="1"/>
  <c r="P83" i="35"/>
  <c r="T83" i="35" s="1"/>
  <c r="V83" i="35" s="1"/>
  <c r="P84" i="35"/>
  <c r="P85" i="35"/>
  <c r="T85" i="35" s="1"/>
  <c r="V85" i="35" s="1"/>
  <c r="P86" i="35"/>
  <c r="P87" i="35"/>
  <c r="T87" i="35" s="1"/>
  <c r="V87" i="35" s="1"/>
  <c r="P88" i="35"/>
  <c r="P89" i="35"/>
  <c r="T89" i="35" s="1"/>
  <c r="V89" i="35" s="1"/>
  <c r="P90" i="35"/>
  <c r="T90" i="35" s="1"/>
  <c r="V90" i="35" s="1"/>
  <c r="P91" i="35"/>
  <c r="T91" i="35" s="1"/>
  <c r="V91" i="35" s="1"/>
  <c r="P92" i="35"/>
  <c r="P93" i="35"/>
  <c r="T93" i="35" s="1"/>
  <c r="V93" i="35" s="1"/>
  <c r="P94" i="35"/>
  <c r="P95" i="35"/>
  <c r="T95" i="35" s="1"/>
  <c r="V95" i="35" s="1"/>
  <c r="P96" i="35"/>
  <c r="T96" i="35"/>
  <c r="V96" i="35" s="1"/>
  <c r="T94" i="35"/>
  <c r="V94" i="35" s="1"/>
  <c r="T92" i="35"/>
  <c r="V92" i="35" s="1"/>
  <c r="T88" i="35"/>
  <c r="V88" i="35" s="1"/>
  <c r="T86" i="35"/>
  <c r="V86" i="35" s="1"/>
  <c r="T84" i="35"/>
  <c r="V84" i="35" s="1"/>
  <c r="T80" i="35"/>
  <c r="V80" i="35" s="1"/>
  <c r="T78" i="35"/>
  <c r="V78" i="35" s="1"/>
  <c r="T76" i="35"/>
  <c r="V76" i="35" s="1"/>
  <c r="T73" i="35"/>
  <c r="V73" i="35" s="1"/>
  <c r="T72" i="35"/>
  <c r="V72" i="35" s="1"/>
  <c r="T69" i="35"/>
  <c r="V69" i="35" s="1"/>
  <c r="T68" i="35"/>
  <c r="V68" i="35" s="1"/>
  <c r="T65" i="35"/>
  <c r="V65" i="35" s="1"/>
  <c r="T64" i="35"/>
  <c r="V64" i="35" s="1"/>
  <c r="T61" i="35"/>
  <c r="V61" i="35" s="1"/>
  <c r="T60" i="35"/>
  <c r="V60" i="35" s="1"/>
  <c r="P99" i="35"/>
  <c r="T99" i="35" s="1"/>
  <c r="V99" i="35" s="1"/>
  <c r="P102" i="35"/>
  <c r="T102" i="35"/>
  <c r="V102" i="35" s="1"/>
  <c r="P105" i="35"/>
  <c r="T105" i="35" s="1"/>
  <c r="V105" i="35" s="1"/>
  <c r="P106" i="35"/>
  <c r="P107" i="35"/>
  <c r="P108" i="35"/>
  <c r="T108" i="35" s="1"/>
  <c r="V108" i="35" s="1"/>
  <c r="T107" i="35"/>
  <c r="V107" i="35" s="1"/>
  <c r="T106" i="35"/>
  <c r="V106" i="35" s="1"/>
  <c r="P111" i="35"/>
  <c r="T111" i="35" s="1"/>
  <c r="V111" i="35" s="1"/>
  <c r="T114" i="35"/>
  <c r="V114" i="35" s="1"/>
  <c r="P114" i="35"/>
  <c r="P117" i="35"/>
  <c r="T117" i="35" s="1"/>
  <c r="V117" i="35" s="1"/>
  <c r="P120" i="35"/>
  <c r="T120" i="35" s="1"/>
  <c r="V120" i="35" s="1"/>
  <c r="P123" i="35"/>
  <c r="T123" i="35" s="1"/>
  <c r="V123" i="35" s="1"/>
  <c r="P124" i="35"/>
  <c r="T124" i="35"/>
  <c r="V124" i="35" s="1"/>
  <c r="P130" i="35"/>
  <c r="T130" i="35" s="1"/>
  <c r="V130" i="35" s="1"/>
  <c r="P134" i="35"/>
  <c r="T134" i="35" s="1"/>
  <c r="V134" i="35" s="1"/>
  <c r="P137" i="35"/>
  <c r="T137" i="35" s="1"/>
  <c r="V137" i="35" s="1"/>
  <c r="P138" i="35"/>
  <c r="P139" i="35"/>
  <c r="T139" i="35" s="1"/>
  <c r="V139" i="35" s="1"/>
  <c r="P140" i="35"/>
  <c r="T140" i="35" s="1"/>
  <c r="V140" i="35" s="1"/>
  <c r="P141" i="35"/>
  <c r="T141" i="35" s="1"/>
  <c r="V141" i="35" s="1"/>
  <c r="P142" i="35"/>
  <c r="P143" i="35"/>
  <c r="P144" i="35"/>
  <c r="T144" i="35" s="1"/>
  <c r="V144" i="35" s="1"/>
  <c r="P145" i="35"/>
  <c r="T145" i="35" s="1"/>
  <c r="V145" i="35" s="1"/>
  <c r="T143" i="35"/>
  <c r="V143" i="35" s="1"/>
  <c r="T142" i="35"/>
  <c r="V142" i="35" s="1"/>
  <c r="T138" i="35"/>
  <c r="V138" i="35" s="1"/>
  <c r="P148" i="35"/>
  <c r="T148" i="35" s="1"/>
  <c r="V148" i="35" s="1"/>
  <c r="P151" i="35"/>
  <c r="P152" i="35"/>
  <c r="T152" i="35" s="1"/>
  <c r="V152" i="35" s="1"/>
  <c r="P153" i="35"/>
  <c r="T153" i="35" s="1"/>
  <c r="V153" i="35" s="1"/>
  <c r="P154" i="35"/>
  <c r="T154" i="35" s="1"/>
  <c r="V154" i="35" s="1"/>
  <c r="P155" i="35"/>
  <c r="P156" i="35"/>
  <c r="T156" i="35" s="1"/>
  <c r="V156" i="35" s="1"/>
  <c r="T155" i="35"/>
  <c r="V155" i="35" s="1"/>
  <c r="T151" i="35"/>
  <c r="V151" i="35" s="1"/>
  <c r="P163" i="35"/>
  <c r="T163" i="35" s="1"/>
  <c r="V163" i="35" s="1"/>
  <c r="T166" i="35"/>
  <c r="V166" i="35" s="1"/>
  <c r="P166" i="35"/>
  <c r="P169" i="35"/>
  <c r="T169" i="35" s="1"/>
  <c r="V169" i="35" s="1"/>
  <c r="P172" i="35"/>
  <c r="T172" i="35" s="1"/>
  <c r="V172" i="35" s="1"/>
  <c r="P175" i="35"/>
  <c r="T175" i="35" s="1"/>
  <c r="V175" i="35" s="1"/>
  <c r="P178" i="35"/>
  <c r="T178" i="35" s="1"/>
  <c r="V178" i="35" s="1"/>
  <c r="P181" i="35"/>
  <c r="T181" i="35" s="1"/>
  <c r="V181" i="35" s="1"/>
  <c r="P187" i="35"/>
  <c r="T187" i="35" s="1"/>
  <c r="V187" i="35" s="1"/>
  <c r="P190" i="35"/>
  <c r="T190" i="35" s="1"/>
  <c r="V190" i="35" s="1"/>
  <c r="P193" i="35"/>
  <c r="T193" i="35" s="1"/>
  <c r="V193" i="35" s="1"/>
  <c r="P196" i="35"/>
  <c r="T196" i="35" s="1"/>
  <c r="V196" i="35" s="1"/>
  <c r="P199" i="35"/>
  <c r="T199" i="35" s="1"/>
  <c r="V199" i="35" s="1"/>
  <c r="P202" i="35"/>
  <c r="T202" i="35" s="1"/>
  <c r="V202" i="35" s="1"/>
  <c r="P205" i="35"/>
  <c r="T205" i="35" s="1"/>
  <c r="V205" i="35" s="1"/>
  <c r="P209" i="35"/>
  <c r="T209" i="35"/>
  <c r="V209" i="35" s="1"/>
  <c r="Q351" i="1" l="1"/>
  <c r="X351" i="1"/>
  <c r="AA351" i="1" s="1"/>
  <c r="C171" i="7"/>
  <c r="AB351" i="1" l="1"/>
  <c r="AE351" i="1"/>
  <c r="AF351" i="1" s="1"/>
  <c r="AE175" i="1"/>
  <c r="G131" i="48"/>
  <c r="G130" i="48"/>
  <c r="G129" i="48"/>
  <c r="AS51" i="48"/>
  <c r="AQ51" i="48"/>
  <c r="AS50" i="48"/>
  <c r="AQ50" i="48"/>
  <c r="AS49" i="48"/>
  <c r="AQ49" i="48"/>
  <c r="AS48" i="48"/>
  <c r="AQ48" i="48"/>
  <c r="AS47" i="48"/>
  <c r="AQ47" i="48"/>
  <c r="AS46" i="48"/>
  <c r="AQ46" i="48"/>
  <c r="AS45" i="48"/>
  <c r="AQ45" i="48"/>
  <c r="AS44" i="48"/>
  <c r="AQ44" i="48"/>
  <c r="AS43" i="48"/>
  <c r="AQ43" i="48"/>
  <c r="AS42" i="48"/>
  <c r="AQ42" i="48"/>
  <c r="AS41" i="48"/>
  <c r="AQ41" i="48"/>
  <c r="AS40" i="48"/>
  <c r="AQ40" i="48"/>
  <c r="AS39" i="48"/>
  <c r="AQ39" i="48"/>
  <c r="AS38" i="48"/>
  <c r="AQ38" i="48"/>
  <c r="AS37" i="48"/>
  <c r="AQ37" i="48"/>
  <c r="AS36" i="48"/>
  <c r="AQ36" i="48"/>
  <c r="AS35" i="48"/>
  <c r="AQ35" i="48"/>
  <c r="AS34" i="48"/>
  <c r="AQ34" i="48"/>
  <c r="AS33" i="48"/>
  <c r="AQ33" i="48"/>
  <c r="AS32" i="48"/>
  <c r="AQ32" i="48"/>
  <c r="AS31" i="48"/>
  <c r="AQ31" i="48"/>
  <c r="AS30" i="48"/>
  <c r="AQ30" i="48"/>
  <c r="AS29" i="48"/>
  <c r="AQ29" i="48"/>
  <c r="AS28" i="48"/>
  <c r="AQ28" i="48"/>
  <c r="AS27" i="48"/>
  <c r="AQ27" i="48"/>
  <c r="AS26" i="48"/>
  <c r="AQ26" i="48"/>
  <c r="AS25" i="48"/>
  <c r="AQ25" i="48"/>
  <c r="AS24" i="48"/>
  <c r="AQ24" i="48"/>
  <c r="AS23" i="48"/>
  <c r="AQ23" i="48"/>
  <c r="AS22" i="48"/>
  <c r="AQ22" i="48"/>
  <c r="AS21" i="48"/>
  <c r="AQ21" i="48"/>
  <c r="AS20" i="48"/>
  <c r="AQ20" i="48"/>
  <c r="G17" i="48"/>
  <c r="E17" i="48"/>
  <c r="D17" i="48"/>
  <c r="E16" i="48"/>
  <c r="D16" i="48"/>
  <c r="J8" i="48"/>
  <c r="G8" i="48"/>
  <c r="C8" i="48"/>
  <c r="Q5" i="48"/>
  <c r="U4" i="48"/>
  <c r="B5" i="48"/>
  <c r="Q4" i="48"/>
  <c r="Y4" i="48"/>
  <c r="AI351" i="1" l="1"/>
  <c r="G132" i="48"/>
  <c r="C62" i="1" l="1"/>
  <c r="N62" i="1" l="1"/>
  <c r="E150" i="7"/>
  <c r="C150" i="7"/>
  <c r="X62" i="1" l="1"/>
  <c r="E86" i="47"/>
  <c r="C85" i="47"/>
  <c r="D84" i="47"/>
  <c r="E84" i="47" s="1"/>
  <c r="E83" i="47"/>
  <c r="E82" i="47"/>
  <c r="D82" i="47"/>
  <c r="E81" i="47"/>
  <c r="E80" i="47"/>
  <c r="E79" i="47"/>
  <c r="D79" i="47"/>
  <c r="E78" i="47"/>
  <c r="E77" i="47"/>
  <c r="E76" i="47"/>
  <c r="E75" i="47"/>
  <c r="E74" i="47"/>
  <c r="D74" i="47"/>
  <c r="E73" i="47"/>
  <c r="E72" i="47"/>
  <c r="E71" i="47"/>
  <c r="E70" i="47"/>
  <c r="D70" i="47"/>
  <c r="E69" i="47"/>
  <c r="E68" i="47"/>
  <c r="E67" i="47"/>
  <c r="D67" i="47"/>
  <c r="E66" i="47"/>
  <c r="E65" i="47"/>
  <c r="E64" i="47"/>
  <c r="E63" i="47"/>
  <c r="E62" i="47"/>
  <c r="E61" i="47"/>
  <c r="E60" i="47"/>
  <c r="E59" i="47"/>
  <c r="E58" i="47"/>
  <c r="E57" i="47"/>
  <c r="E56" i="47"/>
  <c r="D56" i="47"/>
  <c r="D55" i="47"/>
  <c r="E55" i="47" s="1"/>
  <c r="E54" i="47"/>
  <c r="D53" i="47"/>
  <c r="E53" i="47" s="1"/>
  <c r="E52" i="47"/>
  <c r="D52" i="47"/>
  <c r="D51" i="47"/>
  <c r="E51" i="47" s="1"/>
  <c r="E50" i="47"/>
  <c r="E49" i="47"/>
  <c r="E48" i="47"/>
  <c r="E47" i="47"/>
  <c r="E46" i="47"/>
  <c r="E45" i="47"/>
  <c r="D44" i="47"/>
  <c r="E44" i="47" s="1"/>
  <c r="E43" i="47"/>
  <c r="E42" i="47"/>
  <c r="D41" i="47"/>
  <c r="E41" i="47" s="1"/>
  <c r="E40" i="47"/>
  <c r="E39" i="47"/>
  <c r="D39" i="47"/>
  <c r="D38" i="47"/>
  <c r="E38" i="47" s="1"/>
  <c r="E37" i="47"/>
  <c r="D36" i="47"/>
  <c r="E36" i="47" s="1"/>
  <c r="E35" i="47"/>
  <c r="D35" i="47"/>
  <c r="E34" i="47"/>
  <c r="E33" i="47"/>
  <c r="E32" i="47"/>
  <c r="E31" i="47"/>
  <c r="E30" i="47"/>
  <c r="D29" i="47"/>
  <c r="E29" i="47" s="1"/>
  <c r="E28" i="47"/>
  <c r="D27" i="47"/>
  <c r="E27" i="47" s="1"/>
  <c r="E26" i="47"/>
  <c r="D26" i="47"/>
  <c r="D25" i="47"/>
  <c r="E25" i="47" s="1"/>
  <c r="E24" i="47"/>
  <c r="E23" i="47"/>
  <c r="E22" i="47"/>
  <c r="E21" i="47"/>
  <c r="E20" i="47"/>
  <c r="E19" i="47"/>
  <c r="E18" i="47"/>
  <c r="E17" i="47"/>
  <c r="E16" i="47"/>
  <c r="E15" i="47"/>
  <c r="E14" i="47"/>
  <c r="E13" i="47"/>
  <c r="E12" i="47"/>
  <c r="E11" i="47"/>
  <c r="D6" i="47"/>
  <c r="E85" i="47" l="1"/>
  <c r="E87" i="47" s="1"/>
  <c r="D85" i="47"/>
  <c r="D34" i="31" l="1"/>
  <c r="C34" i="31"/>
  <c r="B34" i="31"/>
  <c r="D49" i="31"/>
  <c r="H168" i="1" s="1"/>
  <c r="D53" i="31"/>
  <c r="H278" i="1" s="1"/>
  <c r="AS55" i="46"/>
  <c r="AQ55" i="46"/>
  <c r="AS54" i="46"/>
  <c r="AQ54" i="46"/>
  <c r="AS53" i="46"/>
  <c r="AQ53" i="46"/>
  <c r="AS52" i="46"/>
  <c r="AQ52" i="46"/>
  <c r="AS51" i="46"/>
  <c r="AQ51" i="46"/>
  <c r="AS50" i="46"/>
  <c r="AQ50" i="46"/>
  <c r="AS49" i="46"/>
  <c r="AQ49" i="46"/>
  <c r="AS48" i="46"/>
  <c r="AQ48" i="46"/>
  <c r="AS47" i="46"/>
  <c r="AQ47" i="46"/>
  <c r="AS46" i="46"/>
  <c r="AQ46" i="46"/>
  <c r="AS45" i="46"/>
  <c r="AQ45" i="46"/>
  <c r="AS44" i="46"/>
  <c r="AQ44" i="46"/>
  <c r="AS43" i="46"/>
  <c r="AQ43" i="46"/>
  <c r="AS42" i="46"/>
  <c r="AQ42" i="46"/>
  <c r="AS41" i="46"/>
  <c r="AQ41" i="46"/>
  <c r="AS40" i="46"/>
  <c r="AQ40" i="46"/>
  <c r="AS39" i="46"/>
  <c r="AQ39" i="46"/>
  <c r="AS38" i="46"/>
  <c r="AQ38" i="46"/>
  <c r="AS37" i="46"/>
  <c r="AQ37" i="46"/>
  <c r="AS36" i="46"/>
  <c r="AQ36" i="46"/>
  <c r="AS35" i="46"/>
  <c r="AQ35" i="46"/>
  <c r="AS34" i="46"/>
  <c r="AQ34" i="46"/>
  <c r="AS33" i="46"/>
  <c r="AQ33" i="46"/>
  <c r="AS32" i="46"/>
  <c r="AQ32" i="46"/>
  <c r="AS31" i="46"/>
  <c r="AQ31" i="46"/>
  <c r="AS30" i="46"/>
  <c r="AQ30" i="46"/>
  <c r="AS29" i="46"/>
  <c r="AQ29" i="46"/>
  <c r="AS28" i="46"/>
  <c r="AQ28" i="46"/>
  <c r="AS27" i="46"/>
  <c r="AQ27" i="46"/>
  <c r="AS26" i="46"/>
  <c r="AQ26" i="46"/>
  <c r="AS25" i="46"/>
  <c r="AQ25" i="46"/>
  <c r="AS24" i="46"/>
  <c r="AQ24" i="46"/>
  <c r="AS23" i="46"/>
  <c r="AQ23" i="46"/>
  <c r="AS22" i="46"/>
  <c r="AQ22" i="46"/>
  <c r="AS21" i="46"/>
  <c r="AQ21" i="46"/>
  <c r="AS20" i="46"/>
  <c r="AQ20" i="46"/>
  <c r="G17" i="46"/>
  <c r="E17" i="46"/>
  <c r="D17" i="46"/>
  <c r="E16" i="46"/>
  <c r="D16" i="46"/>
  <c r="J8" i="46"/>
  <c r="G8" i="46"/>
  <c r="C8" i="46"/>
  <c r="D86" i="45"/>
  <c r="D87" i="45" s="1"/>
  <c r="AS55" i="45"/>
  <c r="AQ55" i="45"/>
  <c r="AS54" i="45"/>
  <c r="AQ54" i="45"/>
  <c r="AS53" i="45"/>
  <c r="AQ53" i="45"/>
  <c r="AS52" i="45"/>
  <c r="AQ52" i="45"/>
  <c r="AS51" i="45"/>
  <c r="AQ51" i="45"/>
  <c r="AS50" i="45"/>
  <c r="AQ50" i="45"/>
  <c r="AS49" i="45"/>
  <c r="AQ49" i="45"/>
  <c r="AS48" i="45"/>
  <c r="AQ48" i="45"/>
  <c r="AS47" i="45"/>
  <c r="AQ47" i="45"/>
  <c r="AS46" i="45"/>
  <c r="AQ46" i="45"/>
  <c r="AS45" i="45"/>
  <c r="AQ45" i="45"/>
  <c r="AS44" i="45"/>
  <c r="AQ44" i="45"/>
  <c r="AS43" i="45"/>
  <c r="AQ43" i="45"/>
  <c r="AS42" i="45"/>
  <c r="AQ42" i="45"/>
  <c r="AS41" i="45"/>
  <c r="AQ41" i="45"/>
  <c r="AS40" i="45"/>
  <c r="AQ40" i="45"/>
  <c r="AS39" i="45"/>
  <c r="AQ39" i="45"/>
  <c r="AS38" i="45"/>
  <c r="AQ38" i="45"/>
  <c r="AS37" i="45"/>
  <c r="AQ37" i="45"/>
  <c r="AS36" i="45"/>
  <c r="AQ36" i="45"/>
  <c r="AS35" i="45"/>
  <c r="AQ35" i="45"/>
  <c r="AS34" i="45"/>
  <c r="AQ34" i="45"/>
  <c r="AS33" i="45"/>
  <c r="AQ33" i="45"/>
  <c r="AS32" i="45"/>
  <c r="AQ32" i="45"/>
  <c r="AS31" i="45"/>
  <c r="AQ31" i="45"/>
  <c r="AS30" i="45"/>
  <c r="AQ30" i="45"/>
  <c r="AS29" i="45"/>
  <c r="AQ29" i="45"/>
  <c r="AS28" i="45"/>
  <c r="AQ28" i="45"/>
  <c r="AS27" i="45"/>
  <c r="AQ27" i="45"/>
  <c r="AS26" i="45"/>
  <c r="AQ26" i="45"/>
  <c r="AS25" i="45"/>
  <c r="AQ25" i="45"/>
  <c r="AS24" i="45"/>
  <c r="AQ24" i="45"/>
  <c r="AS23" i="45"/>
  <c r="AQ23" i="45"/>
  <c r="AS22" i="45"/>
  <c r="AQ22" i="45"/>
  <c r="AS21" i="45"/>
  <c r="AQ21" i="45"/>
  <c r="AS20" i="45"/>
  <c r="AQ20" i="45"/>
  <c r="G17" i="45"/>
  <c r="E17" i="45"/>
  <c r="D17" i="45"/>
  <c r="E16" i="45"/>
  <c r="D16" i="45"/>
  <c r="J8" i="45"/>
  <c r="G8" i="45"/>
  <c r="C8" i="45"/>
  <c r="D50" i="31"/>
  <c r="H272" i="1" s="1"/>
  <c r="AS433" i="44"/>
  <c r="AQ433" i="44"/>
  <c r="AS432" i="44"/>
  <c r="AQ432" i="44"/>
  <c r="AS431" i="44"/>
  <c r="AQ431" i="44"/>
  <c r="AS430" i="44"/>
  <c r="AQ430" i="44"/>
  <c r="AS429" i="44"/>
  <c r="AQ429" i="44"/>
  <c r="AS428" i="44"/>
  <c r="AQ428" i="44"/>
  <c r="AS427" i="44"/>
  <c r="AQ427" i="44"/>
  <c r="AS426" i="44"/>
  <c r="AQ426" i="44"/>
  <c r="AS425" i="44"/>
  <c r="AQ425" i="44"/>
  <c r="AS424" i="44"/>
  <c r="AQ424" i="44"/>
  <c r="AS423" i="44"/>
  <c r="AQ423" i="44"/>
  <c r="AS422" i="44"/>
  <c r="AQ422" i="44"/>
  <c r="AS421" i="44"/>
  <c r="AQ421" i="44"/>
  <c r="AS420" i="44"/>
  <c r="AQ420" i="44"/>
  <c r="AS419" i="44"/>
  <c r="AQ419" i="44"/>
  <c r="AS418" i="44"/>
  <c r="AQ418" i="44"/>
  <c r="AS417" i="44"/>
  <c r="AQ417" i="44"/>
  <c r="AS416" i="44"/>
  <c r="AQ416" i="44"/>
  <c r="AS415" i="44"/>
  <c r="AQ415" i="44"/>
  <c r="AS414" i="44"/>
  <c r="AQ414" i="44"/>
  <c r="AS413" i="44"/>
  <c r="AQ413" i="44"/>
  <c r="AS412" i="44"/>
  <c r="AQ412" i="44"/>
  <c r="AS411" i="44"/>
  <c r="AQ411" i="44"/>
  <c r="AS410" i="44"/>
  <c r="AQ410" i="44"/>
  <c r="AS409" i="44"/>
  <c r="AQ409" i="44"/>
  <c r="AS408" i="44"/>
  <c r="AQ408" i="44"/>
  <c r="AS407" i="44"/>
  <c r="AQ407" i="44"/>
  <c r="AS406" i="44"/>
  <c r="AQ406" i="44"/>
  <c r="AS405" i="44"/>
  <c r="AQ405" i="44"/>
  <c r="AS404" i="44"/>
  <c r="AQ404" i="44"/>
  <c r="AS403" i="44"/>
  <c r="AQ403" i="44"/>
  <c r="AS402" i="44"/>
  <c r="AQ402" i="44"/>
  <c r="AS401" i="44"/>
  <c r="AQ401" i="44"/>
  <c r="AS400" i="44"/>
  <c r="AQ400" i="44"/>
  <c r="AS399" i="44"/>
  <c r="AQ399" i="44"/>
  <c r="AS398" i="44"/>
  <c r="AQ398" i="44"/>
  <c r="AS397" i="44"/>
  <c r="AQ397" i="44"/>
  <c r="AS396" i="44"/>
  <c r="AQ396" i="44"/>
  <c r="AS395" i="44"/>
  <c r="AQ395" i="44"/>
  <c r="AS394" i="44"/>
  <c r="AQ394" i="44"/>
  <c r="AS393" i="44"/>
  <c r="AQ393" i="44"/>
  <c r="AS392" i="44"/>
  <c r="AQ392" i="44"/>
  <c r="AS391" i="44"/>
  <c r="AQ391" i="44"/>
  <c r="AS390" i="44"/>
  <c r="AQ390" i="44"/>
  <c r="AS389" i="44"/>
  <c r="AQ389" i="44"/>
  <c r="AS388" i="44"/>
  <c r="AQ388" i="44"/>
  <c r="AS387" i="44"/>
  <c r="AQ387" i="44"/>
  <c r="AS386" i="44"/>
  <c r="AQ386" i="44"/>
  <c r="AS385" i="44"/>
  <c r="AQ385" i="44"/>
  <c r="AS384" i="44"/>
  <c r="AQ384" i="44"/>
  <c r="AS383" i="44"/>
  <c r="AQ383" i="44"/>
  <c r="AS382" i="44"/>
  <c r="AQ382" i="44"/>
  <c r="AS381" i="44"/>
  <c r="AQ381" i="44"/>
  <c r="AS380" i="44"/>
  <c r="AQ380" i="44"/>
  <c r="AS379" i="44"/>
  <c r="AQ379" i="44"/>
  <c r="AS378" i="44"/>
  <c r="AQ378" i="44"/>
  <c r="AS377" i="44"/>
  <c r="AQ377" i="44"/>
  <c r="AS376" i="44"/>
  <c r="AQ376" i="44"/>
  <c r="AS375" i="44"/>
  <c r="AQ375" i="44"/>
  <c r="AS374" i="44"/>
  <c r="AQ374" i="44"/>
  <c r="AS373" i="44"/>
  <c r="AQ373" i="44"/>
  <c r="AS372" i="44"/>
  <c r="AQ372" i="44"/>
  <c r="AS371" i="44"/>
  <c r="AQ371" i="44"/>
  <c r="AS370" i="44"/>
  <c r="AQ370" i="44"/>
  <c r="AS369" i="44"/>
  <c r="AQ369" i="44"/>
  <c r="AS368" i="44"/>
  <c r="AQ368" i="44"/>
  <c r="AS367" i="44"/>
  <c r="AQ367" i="44"/>
  <c r="AS366" i="44"/>
  <c r="AQ366" i="44"/>
  <c r="AS365" i="44"/>
  <c r="AQ365" i="44"/>
  <c r="AS364" i="44"/>
  <c r="AQ364" i="44"/>
  <c r="AS363" i="44"/>
  <c r="AQ363" i="44"/>
  <c r="AS362" i="44"/>
  <c r="AQ362" i="44"/>
  <c r="AS361" i="44"/>
  <c r="AQ361" i="44"/>
  <c r="AS360" i="44"/>
  <c r="AQ360" i="44"/>
  <c r="AS359" i="44"/>
  <c r="AQ359" i="44"/>
  <c r="AS358" i="44"/>
  <c r="AQ358" i="44"/>
  <c r="AS357" i="44"/>
  <c r="AQ357" i="44"/>
  <c r="AS356" i="44"/>
  <c r="AQ356" i="44"/>
  <c r="AS355" i="44"/>
  <c r="AQ355" i="44"/>
  <c r="AS354" i="44"/>
  <c r="AQ354" i="44"/>
  <c r="AS353" i="44"/>
  <c r="AQ353" i="44"/>
  <c r="AS352" i="44"/>
  <c r="AQ352" i="44"/>
  <c r="AS351" i="44"/>
  <c r="AQ351" i="44"/>
  <c r="AS350" i="44"/>
  <c r="AQ350" i="44"/>
  <c r="AS349" i="44"/>
  <c r="AQ349" i="44"/>
  <c r="AS348" i="44"/>
  <c r="AQ348" i="44"/>
  <c r="AS347" i="44"/>
  <c r="AQ347" i="44"/>
  <c r="AS346" i="44"/>
  <c r="AQ346" i="44"/>
  <c r="AS345" i="44"/>
  <c r="AQ345" i="44"/>
  <c r="AS344" i="44"/>
  <c r="AQ344" i="44"/>
  <c r="AS343" i="44"/>
  <c r="AQ343" i="44"/>
  <c r="AS342" i="44"/>
  <c r="AQ342" i="44"/>
  <c r="AS341" i="44"/>
  <c r="AQ341" i="44"/>
  <c r="AS340" i="44"/>
  <c r="AQ340" i="44"/>
  <c r="AS339" i="44"/>
  <c r="AQ339" i="44"/>
  <c r="AS338" i="44"/>
  <c r="AQ338" i="44"/>
  <c r="AS337" i="44"/>
  <c r="AQ337" i="44"/>
  <c r="AS336" i="44"/>
  <c r="AQ336" i="44"/>
  <c r="AS335" i="44"/>
  <c r="AQ335" i="44"/>
  <c r="AS334" i="44"/>
  <c r="AQ334" i="44"/>
  <c r="AS333" i="44"/>
  <c r="AQ333" i="44"/>
  <c r="AS332" i="44"/>
  <c r="AQ332" i="44"/>
  <c r="AS331" i="44"/>
  <c r="AQ331" i="44"/>
  <c r="AS330" i="44"/>
  <c r="AQ330" i="44"/>
  <c r="AS329" i="44"/>
  <c r="AQ329" i="44"/>
  <c r="AS328" i="44"/>
  <c r="AQ328" i="44"/>
  <c r="AS327" i="44"/>
  <c r="AQ327" i="44"/>
  <c r="AS326" i="44"/>
  <c r="AQ326" i="44"/>
  <c r="AS325" i="44"/>
  <c r="AQ325" i="44"/>
  <c r="AS324" i="44"/>
  <c r="AQ324" i="44"/>
  <c r="AS323" i="44"/>
  <c r="AQ323" i="44"/>
  <c r="AS322" i="44"/>
  <c r="AQ322" i="44"/>
  <c r="AS321" i="44"/>
  <c r="AQ321" i="44"/>
  <c r="AS320" i="44"/>
  <c r="AQ320" i="44"/>
  <c r="AS319" i="44"/>
  <c r="AQ319" i="44"/>
  <c r="AS318" i="44"/>
  <c r="AQ318" i="44"/>
  <c r="AS317" i="44"/>
  <c r="AQ317" i="44"/>
  <c r="AS316" i="44"/>
  <c r="AQ316" i="44"/>
  <c r="AS315" i="44"/>
  <c r="AQ315" i="44"/>
  <c r="AS314" i="44"/>
  <c r="AQ314" i="44"/>
  <c r="AS313" i="44"/>
  <c r="AQ313" i="44"/>
  <c r="AS312" i="44"/>
  <c r="AQ312" i="44"/>
  <c r="AS311" i="44"/>
  <c r="AQ311" i="44"/>
  <c r="AS310" i="44"/>
  <c r="AQ310" i="44"/>
  <c r="AS309" i="44"/>
  <c r="AQ309" i="44"/>
  <c r="AS308" i="44"/>
  <c r="AQ308" i="44"/>
  <c r="AS307" i="44"/>
  <c r="AQ307" i="44"/>
  <c r="AS306" i="44"/>
  <c r="AQ306" i="44"/>
  <c r="AS305" i="44"/>
  <c r="AQ305" i="44"/>
  <c r="AS304" i="44"/>
  <c r="AQ304" i="44"/>
  <c r="AS303" i="44"/>
  <c r="AQ303" i="44"/>
  <c r="AS302" i="44"/>
  <c r="AQ302" i="44"/>
  <c r="AS301" i="44"/>
  <c r="AQ301" i="44"/>
  <c r="AS300" i="44"/>
  <c r="AQ300" i="44"/>
  <c r="AS299" i="44"/>
  <c r="AQ299" i="44"/>
  <c r="AS298" i="44"/>
  <c r="AQ298" i="44"/>
  <c r="AS297" i="44"/>
  <c r="AQ297" i="44"/>
  <c r="AS296" i="44"/>
  <c r="AQ296" i="44"/>
  <c r="AS295" i="44"/>
  <c r="AQ295" i="44"/>
  <c r="AS294" i="44"/>
  <c r="AQ294" i="44"/>
  <c r="AS293" i="44"/>
  <c r="AQ293" i="44"/>
  <c r="AS292" i="44"/>
  <c r="AQ292" i="44"/>
  <c r="AS291" i="44"/>
  <c r="AQ291" i="44"/>
  <c r="AS290" i="44"/>
  <c r="AQ290" i="44"/>
  <c r="AS289" i="44"/>
  <c r="AQ289" i="44"/>
  <c r="AS288" i="44"/>
  <c r="AQ288" i="44"/>
  <c r="AS287" i="44"/>
  <c r="AQ287" i="44"/>
  <c r="AS286" i="44"/>
  <c r="AQ286" i="44"/>
  <c r="AS285" i="44"/>
  <c r="AQ285" i="44"/>
  <c r="AS284" i="44"/>
  <c r="AQ284" i="44"/>
  <c r="AS283" i="44"/>
  <c r="AQ283" i="44"/>
  <c r="AS282" i="44"/>
  <c r="AQ282" i="44"/>
  <c r="AS281" i="44"/>
  <c r="AQ281" i="44"/>
  <c r="AS280" i="44"/>
  <c r="AQ280" i="44"/>
  <c r="AS279" i="44"/>
  <c r="AQ279" i="44"/>
  <c r="AS278" i="44"/>
  <c r="AQ278" i="44"/>
  <c r="AS277" i="44"/>
  <c r="AQ277" i="44"/>
  <c r="AS276" i="44"/>
  <c r="AQ276" i="44"/>
  <c r="AS275" i="44"/>
  <c r="AQ275" i="44"/>
  <c r="AS274" i="44"/>
  <c r="AQ274" i="44"/>
  <c r="AS273" i="44"/>
  <c r="AQ273" i="44"/>
  <c r="AS272" i="44"/>
  <c r="AQ272" i="44"/>
  <c r="AS271" i="44"/>
  <c r="AQ271" i="44"/>
  <c r="AS270" i="44"/>
  <c r="AQ270" i="44"/>
  <c r="AS269" i="44"/>
  <c r="AQ269" i="44"/>
  <c r="AS268" i="44"/>
  <c r="AQ268" i="44"/>
  <c r="AS267" i="44"/>
  <c r="AQ267" i="44"/>
  <c r="AS266" i="44"/>
  <c r="AQ266" i="44"/>
  <c r="AS265" i="44"/>
  <c r="AQ265" i="44"/>
  <c r="AS264" i="44"/>
  <c r="AQ264" i="44"/>
  <c r="AS263" i="44"/>
  <c r="AQ263" i="44"/>
  <c r="AS262" i="44"/>
  <c r="AQ262" i="44"/>
  <c r="AS261" i="44"/>
  <c r="AQ261" i="44"/>
  <c r="AS260" i="44"/>
  <c r="AQ260" i="44"/>
  <c r="AS259" i="44"/>
  <c r="AQ259" i="44"/>
  <c r="AS258" i="44"/>
  <c r="AQ258" i="44"/>
  <c r="AS257" i="44"/>
  <c r="AQ257" i="44"/>
  <c r="AS256" i="44"/>
  <c r="AQ256" i="44"/>
  <c r="AS255" i="44"/>
  <c r="AQ255" i="44"/>
  <c r="AS254" i="44"/>
  <c r="AQ254" i="44"/>
  <c r="AS253" i="44"/>
  <c r="AQ253" i="44"/>
  <c r="AS252" i="44"/>
  <c r="AQ252" i="44"/>
  <c r="AS251" i="44"/>
  <c r="AQ251" i="44"/>
  <c r="AS250" i="44"/>
  <c r="AQ250" i="44"/>
  <c r="AS249" i="44"/>
  <c r="AQ249" i="44"/>
  <c r="AS248" i="44"/>
  <c r="AQ248" i="44"/>
  <c r="AS247" i="44"/>
  <c r="AQ247" i="44"/>
  <c r="AS246" i="44"/>
  <c r="AQ246" i="44"/>
  <c r="AS245" i="44"/>
  <c r="AQ245" i="44"/>
  <c r="AS244" i="44"/>
  <c r="AQ244" i="44"/>
  <c r="AS243" i="44"/>
  <c r="AQ243" i="44"/>
  <c r="AS242" i="44"/>
  <c r="AQ242" i="44"/>
  <c r="AS241" i="44"/>
  <c r="AQ241" i="44"/>
  <c r="AS240" i="44"/>
  <c r="AQ240" i="44"/>
  <c r="AS239" i="44"/>
  <c r="AQ239" i="44"/>
  <c r="AS238" i="44"/>
  <c r="AQ238" i="44"/>
  <c r="AS237" i="44"/>
  <c r="AQ237" i="44"/>
  <c r="AS236" i="44"/>
  <c r="AQ236" i="44"/>
  <c r="AS235" i="44"/>
  <c r="AQ235" i="44"/>
  <c r="AS234" i="44"/>
  <c r="AQ234" i="44"/>
  <c r="AS233" i="44"/>
  <c r="AQ233" i="44"/>
  <c r="AS232" i="44"/>
  <c r="AQ232" i="44"/>
  <c r="AS231" i="44"/>
  <c r="AQ231" i="44"/>
  <c r="AS230" i="44"/>
  <c r="AQ230" i="44"/>
  <c r="AS229" i="44"/>
  <c r="AQ229" i="44"/>
  <c r="AS228" i="44"/>
  <c r="AQ228" i="44"/>
  <c r="AS227" i="44"/>
  <c r="AQ227" i="44"/>
  <c r="AS226" i="44"/>
  <c r="AQ226" i="44"/>
  <c r="AS225" i="44"/>
  <c r="AQ225" i="44"/>
  <c r="AS224" i="44"/>
  <c r="AQ224" i="44"/>
  <c r="AS223" i="44"/>
  <c r="AQ223" i="44"/>
  <c r="AS222" i="44"/>
  <c r="AQ222" i="44"/>
  <c r="AS221" i="44"/>
  <c r="AQ221" i="44"/>
  <c r="AS220" i="44"/>
  <c r="AQ220" i="44"/>
  <c r="AS219" i="44"/>
  <c r="AQ219" i="44"/>
  <c r="AS218" i="44"/>
  <c r="AQ218" i="44"/>
  <c r="AS217" i="44"/>
  <c r="AQ217" i="44"/>
  <c r="AS216" i="44"/>
  <c r="AQ216" i="44"/>
  <c r="AS215" i="44"/>
  <c r="AQ215" i="44"/>
  <c r="AS214" i="44"/>
  <c r="AQ214" i="44"/>
  <c r="AS213" i="44"/>
  <c r="AQ213" i="44"/>
  <c r="AS212" i="44"/>
  <c r="AQ212" i="44"/>
  <c r="AS211" i="44"/>
  <c r="AQ211" i="44"/>
  <c r="AS210" i="44"/>
  <c r="AQ210" i="44"/>
  <c r="AS209" i="44"/>
  <c r="AQ209" i="44"/>
  <c r="AS208" i="44"/>
  <c r="AQ208" i="44"/>
  <c r="AS207" i="44"/>
  <c r="AQ207" i="44"/>
  <c r="AS206" i="44"/>
  <c r="AQ206" i="44"/>
  <c r="AS205" i="44"/>
  <c r="AQ205" i="44"/>
  <c r="AS204" i="44"/>
  <c r="AQ204" i="44"/>
  <c r="AS203" i="44"/>
  <c r="AQ203" i="44"/>
  <c r="AS202" i="44"/>
  <c r="AQ202" i="44"/>
  <c r="AS201" i="44"/>
  <c r="AQ201" i="44"/>
  <c r="AS200" i="44"/>
  <c r="AQ200" i="44"/>
  <c r="AS199" i="44"/>
  <c r="AQ199" i="44"/>
  <c r="AS198" i="44"/>
  <c r="AQ198" i="44"/>
  <c r="AS197" i="44"/>
  <c r="AQ197" i="44"/>
  <c r="AS196" i="44"/>
  <c r="AQ196" i="44"/>
  <c r="AS195" i="44"/>
  <c r="AQ195" i="44"/>
  <c r="AS194" i="44"/>
  <c r="AQ194" i="44"/>
  <c r="AS193" i="44"/>
  <c r="AQ193" i="44"/>
  <c r="AS192" i="44"/>
  <c r="AQ192" i="44"/>
  <c r="AS191" i="44"/>
  <c r="AQ191" i="44"/>
  <c r="AS190" i="44"/>
  <c r="AQ190" i="44"/>
  <c r="AS189" i="44"/>
  <c r="AQ189" i="44"/>
  <c r="AS188" i="44"/>
  <c r="AQ188" i="44"/>
  <c r="AS187" i="44"/>
  <c r="AQ187" i="44"/>
  <c r="AS186" i="44"/>
  <c r="AQ186" i="44"/>
  <c r="AS185" i="44"/>
  <c r="AQ185" i="44"/>
  <c r="AS184" i="44"/>
  <c r="AQ184" i="44"/>
  <c r="AS183" i="44"/>
  <c r="AQ183" i="44"/>
  <c r="AS182" i="44"/>
  <c r="AQ182" i="44"/>
  <c r="AS181" i="44"/>
  <c r="AQ181" i="44"/>
  <c r="AS180" i="44"/>
  <c r="AQ180" i="44"/>
  <c r="AS179" i="44"/>
  <c r="AQ179" i="44"/>
  <c r="AS178" i="44"/>
  <c r="AQ178" i="44"/>
  <c r="AS177" i="44"/>
  <c r="AQ177" i="44"/>
  <c r="AS176" i="44"/>
  <c r="AQ176" i="44"/>
  <c r="AS175" i="44"/>
  <c r="AQ175" i="44"/>
  <c r="AS174" i="44"/>
  <c r="AQ174" i="44"/>
  <c r="AS173" i="44"/>
  <c r="AQ173" i="44"/>
  <c r="AS172" i="44"/>
  <c r="AQ172" i="44"/>
  <c r="AS171" i="44"/>
  <c r="AQ171" i="44"/>
  <c r="AS170" i="44"/>
  <c r="AQ170" i="44"/>
  <c r="AS169" i="44"/>
  <c r="AQ169" i="44"/>
  <c r="AS168" i="44"/>
  <c r="AQ168" i="44"/>
  <c r="AS167" i="44"/>
  <c r="AQ167" i="44"/>
  <c r="AS166" i="44"/>
  <c r="AQ166" i="44"/>
  <c r="AS165" i="44"/>
  <c r="AQ165" i="44"/>
  <c r="AS164" i="44"/>
  <c r="AQ164" i="44"/>
  <c r="AS163" i="44"/>
  <c r="AQ163" i="44"/>
  <c r="AS162" i="44"/>
  <c r="AQ162" i="44"/>
  <c r="AS161" i="44"/>
  <c r="AQ161" i="44"/>
  <c r="AS160" i="44"/>
  <c r="AQ160" i="44"/>
  <c r="AS159" i="44"/>
  <c r="AQ159" i="44"/>
  <c r="AS158" i="44"/>
  <c r="AQ158" i="44"/>
  <c r="AS157" i="44"/>
  <c r="AQ157" i="44"/>
  <c r="AS156" i="44"/>
  <c r="AQ156" i="44"/>
  <c r="AS155" i="44"/>
  <c r="AQ155" i="44"/>
  <c r="AS154" i="44"/>
  <c r="AQ154" i="44"/>
  <c r="AS153" i="44"/>
  <c r="AQ153" i="44"/>
  <c r="AS152" i="44"/>
  <c r="AQ152" i="44"/>
  <c r="AS151" i="44"/>
  <c r="AQ151" i="44"/>
  <c r="AS150" i="44"/>
  <c r="AQ150" i="44"/>
  <c r="AS149" i="44"/>
  <c r="AQ149" i="44"/>
  <c r="AS148" i="44"/>
  <c r="AQ148" i="44"/>
  <c r="AS147" i="44"/>
  <c r="AQ147" i="44"/>
  <c r="AS146" i="44"/>
  <c r="AQ146" i="44"/>
  <c r="AS145" i="44"/>
  <c r="AQ145" i="44"/>
  <c r="AS144" i="44"/>
  <c r="AQ144" i="44"/>
  <c r="AS143" i="44"/>
  <c r="AQ143" i="44"/>
  <c r="AS142" i="44"/>
  <c r="AQ142" i="44"/>
  <c r="AS141" i="44"/>
  <c r="AQ141" i="44"/>
  <c r="AS140" i="44"/>
  <c r="AQ140" i="44"/>
  <c r="AS139" i="44"/>
  <c r="AQ139" i="44"/>
  <c r="AS138" i="44"/>
  <c r="AQ138" i="44"/>
  <c r="AS137" i="44"/>
  <c r="AQ137" i="44"/>
  <c r="AS136" i="44"/>
  <c r="AQ136" i="44"/>
  <c r="AS135" i="44"/>
  <c r="AQ135" i="44"/>
  <c r="AS134" i="44"/>
  <c r="AQ134" i="44"/>
  <c r="AS133" i="44"/>
  <c r="AQ133" i="44"/>
  <c r="AS132" i="44"/>
  <c r="AQ132" i="44"/>
  <c r="AS131" i="44"/>
  <c r="AQ131" i="44"/>
  <c r="AS130" i="44"/>
  <c r="AQ130" i="44"/>
  <c r="AS129" i="44"/>
  <c r="AQ129" i="44"/>
  <c r="AS128" i="44"/>
  <c r="AQ128" i="44"/>
  <c r="AS127" i="44"/>
  <c r="AQ127" i="44"/>
  <c r="AS126" i="44"/>
  <c r="AQ126" i="44"/>
  <c r="AS125" i="44"/>
  <c r="AQ125" i="44"/>
  <c r="AS124" i="44"/>
  <c r="AQ124" i="44"/>
  <c r="AS123" i="44"/>
  <c r="AQ123" i="44"/>
  <c r="AS122" i="44"/>
  <c r="AQ122" i="44"/>
  <c r="AS121" i="44"/>
  <c r="AQ121" i="44"/>
  <c r="AS120" i="44"/>
  <c r="AQ120" i="44"/>
  <c r="AS119" i="44"/>
  <c r="AQ119" i="44"/>
  <c r="AS118" i="44"/>
  <c r="AQ118" i="44"/>
  <c r="AS117" i="44"/>
  <c r="AQ117" i="44"/>
  <c r="AS116" i="44"/>
  <c r="AQ116" i="44"/>
  <c r="AS115" i="44"/>
  <c r="AQ115" i="44"/>
  <c r="AS114" i="44"/>
  <c r="AQ114" i="44"/>
  <c r="AS113" i="44"/>
  <c r="AQ113" i="44"/>
  <c r="AS112" i="44"/>
  <c r="AQ112" i="44"/>
  <c r="AS111" i="44"/>
  <c r="AQ111" i="44"/>
  <c r="AS110" i="44"/>
  <c r="AQ110" i="44"/>
  <c r="AS109" i="44"/>
  <c r="AQ109" i="44"/>
  <c r="AS108" i="44"/>
  <c r="AQ108" i="44"/>
  <c r="AS107" i="44"/>
  <c r="AQ107" i="44"/>
  <c r="AS106" i="44"/>
  <c r="AQ106" i="44"/>
  <c r="AS105" i="44"/>
  <c r="AQ105" i="44"/>
  <c r="AS104" i="44"/>
  <c r="AQ104" i="44"/>
  <c r="AS103" i="44"/>
  <c r="AQ103" i="44"/>
  <c r="AS102" i="44"/>
  <c r="AQ102" i="44"/>
  <c r="AS101" i="44"/>
  <c r="AQ101" i="44"/>
  <c r="AS100" i="44"/>
  <c r="AQ100" i="44"/>
  <c r="AS99" i="44"/>
  <c r="AQ99" i="44"/>
  <c r="AS98" i="44"/>
  <c r="AQ98" i="44"/>
  <c r="AS97" i="44"/>
  <c r="AQ97" i="44"/>
  <c r="AS96" i="44"/>
  <c r="AQ96" i="44"/>
  <c r="AS95" i="44"/>
  <c r="AQ95" i="44"/>
  <c r="AS94" i="44"/>
  <c r="AQ94" i="44"/>
  <c r="AS93" i="44"/>
  <c r="AQ93" i="44"/>
  <c r="AS92" i="44"/>
  <c r="AQ92" i="44"/>
  <c r="AS91" i="44"/>
  <c r="AQ91" i="44"/>
  <c r="AS90" i="44"/>
  <c r="AQ90" i="44"/>
  <c r="AS89" i="44"/>
  <c r="AQ89" i="44"/>
  <c r="AS88" i="44"/>
  <c r="AQ88" i="44"/>
  <c r="AS87" i="44"/>
  <c r="AQ87" i="44"/>
  <c r="AS86" i="44"/>
  <c r="AQ86" i="44"/>
  <c r="AS85" i="44"/>
  <c r="AQ85" i="44"/>
  <c r="AS84" i="44"/>
  <c r="AQ84" i="44"/>
  <c r="AS83" i="44"/>
  <c r="AQ83" i="44"/>
  <c r="AS82" i="44"/>
  <c r="AQ82" i="44"/>
  <c r="AS81" i="44"/>
  <c r="AQ81" i="44"/>
  <c r="AS80" i="44"/>
  <c r="AQ80" i="44"/>
  <c r="AS79" i="44"/>
  <c r="AQ79" i="44"/>
  <c r="AS78" i="44"/>
  <c r="AQ78" i="44"/>
  <c r="AS77" i="44"/>
  <c r="AQ77" i="44"/>
  <c r="AS76" i="44"/>
  <c r="AQ76" i="44"/>
  <c r="AS75" i="44"/>
  <c r="AQ75" i="44"/>
  <c r="AS74" i="44"/>
  <c r="AQ74" i="44"/>
  <c r="AS73" i="44"/>
  <c r="AQ73" i="44"/>
  <c r="AS72" i="44"/>
  <c r="AQ72" i="44"/>
  <c r="AS71" i="44"/>
  <c r="AQ71" i="44"/>
  <c r="AS70" i="44"/>
  <c r="AQ70" i="44"/>
  <c r="AS69" i="44"/>
  <c r="AQ69" i="44"/>
  <c r="AS68" i="44"/>
  <c r="AQ68" i="44"/>
  <c r="AS67" i="44"/>
  <c r="AQ67" i="44"/>
  <c r="AS66" i="44"/>
  <c r="AQ66" i="44"/>
  <c r="AS65" i="44"/>
  <c r="AQ65" i="44"/>
  <c r="AS64" i="44"/>
  <c r="AQ64" i="44"/>
  <c r="AS63" i="44"/>
  <c r="AQ63" i="44"/>
  <c r="AS62" i="44"/>
  <c r="AQ62" i="44"/>
  <c r="AS61" i="44"/>
  <c r="AQ61" i="44"/>
  <c r="AS60" i="44"/>
  <c r="AQ60" i="44"/>
  <c r="AS59" i="44"/>
  <c r="AQ59" i="44"/>
  <c r="AS58" i="44"/>
  <c r="AQ58" i="44"/>
  <c r="AS57" i="44"/>
  <c r="AQ57" i="44"/>
  <c r="AS56" i="44"/>
  <c r="AQ56" i="44"/>
  <c r="AS55" i="44"/>
  <c r="AQ55" i="44"/>
  <c r="AS54" i="44"/>
  <c r="AQ54" i="44"/>
  <c r="AS53" i="44"/>
  <c r="AQ53" i="44"/>
  <c r="AS52" i="44"/>
  <c r="AQ52" i="44"/>
  <c r="AS51" i="44"/>
  <c r="AQ51" i="44"/>
  <c r="AS50" i="44"/>
  <c r="AQ50" i="44"/>
  <c r="AS49" i="44"/>
  <c r="AQ49" i="44"/>
  <c r="AS48" i="44"/>
  <c r="AQ48" i="44"/>
  <c r="AS47" i="44"/>
  <c r="AQ47" i="44"/>
  <c r="AS46" i="44"/>
  <c r="AQ46" i="44"/>
  <c r="AS45" i="44"/>
  <c r="AQ45" i="44"/>
  <c r="AS44" i="44"/>
  <c r="AQ44" i="44"/>
  <c r="AS43" i="44"/>
  <c r="AQ43" i="44"/>
  <c r="AS42" i="44"/>
  <c r="AQ42" i="44"/>
  <c r="AS41" i="44"/>
  <c r="AQ41" i="44"/>
  <c r="AS40" i="44"/>
  <c r="AQ40" i="44"/>
  <c r="AS39" i="44"/>
  <c r="AQ39" i="44"/>
  <c r="AS38" i="44"/>
  <c r="AQ38" i="44"/>
  <c r="AS37" i="44"/>
  <c r="AQ37" i="44"/>
  <c r="AS36" i="44"/>
  <c r="AQ36" i="44"/>
  <c r="AS35" i="44"/>
  <c r="AQ35" i="44"/>
  <c r="AS34" i="44"/>
  <c r="AQ34" i="44"/>
  <c r="AS33" i="44"/>
  <c r="AQ33" i="44"/>
  <c r="AS32" i="44"/>
  <c r="AQ32" i="44"/>
  <c r="AS31" i="44"/>
  <c r="AQ31" i="44"/>
  <c r="AS30" i="44"/>
  <c r="AQ30" i="44"/>
  <c r="AS29" i="44"/>
  <c r="AQ29" i="44"/>
  <c r="AS28" i="44"/>
  <c r="AQ28" i="44"/>
  <c r="AS27" i="44"/>
  <c r="AQ27" i="44"/>
  <c r="AS26" i="44"/>
  <c r="AQ26" i="44"/>
  <c r="AS25" i="44"/>
  <c r="AQ25" i="44"/>
  <c r="AS24" i="44"/>
  <c r="AQ24" i="44"/>
  <c r="AS23" i="44"/>
  <c r="AQ23" i="44"/>
  <c r="AS22" i="44"/>
  <c r="AQ22" i="44"/>
  <c r="AS21" i="44"/>
  <c r="AQ21" i="44"/>
  <c r="AS20" i="44"/>
  <c r="AQ20" i="44"/>
  <c r="G17" i="44"/>
  <c r="E17" i="44"/>
  <c r="D17" i="44"/>
  <c r="E16" i="44"/>
  <c r="D16" i="44"/>
  <c r="J8" i="44"/>
  <c r="G8" i="44"/>
  <c r="C8" i="44"/>
  <c r="D96" i="43"/>
  <c r="E76" i="43"/>
  <c r="AS70" i="43"/>
  <c r="AQ70" i="43"/>
  <c r="AS69" i="43"/>
  <c r="AQ69" i="43"/>
  <c r="AS68" i="43"/>
  <c r="AQ68" i="43"/>
  <c r="AS67" i="43"/>
  <c r="AQ67" i="43"/>
  <c r="AS66" i="43"/>
  <c r="AQ66" i="43"/>
  <c r="AS65" i="43"/>
  <c r="AQ65" i="43"/>
  <c r="AS64" i="43"/>
  <c r="AQ64" i="43"/>
  <c r="AS63" i="43"/>
  <c r="AQ63" i="43"/>
  <c r="AS62" i="43"/>
  <c r="AQ62" i="43"/>
  <c r="AS61" i="43"/>
  <c r="AQ61" i="43"/>
  <c r="AS60" i="43"/>
  <c r="AQ60" i="43"/>
  <c r="AS59" i="43"/>
  <c r="AQ59" i="43"/>
  <c r="AS58" i="43"/>
  <c r="AQ58" i="43"/>
  <c r="AS57" i="43"/>
  <c r="AQ57" i="43"/>
  <c r="AS56" i="43"/>
  <c r="AQ56" i="43"/>
  <c r="AS55" i="43"/>
  <c r="AQ55" i="43"/>
  <c r="AS54" i="43"/>
  <c r="AQ54" i="43"/>
  <c r="AS53" i="43"/>
  <c r="AQ53" i="43"/>
  <c r="AS52" i="43"/>
  <c r="AQ52" i="43"/>
  <c r="AS51" i="43"/>
  <c r="AQ51" i="43"/>
  <c r="AS50" i="43"/>
  <c r="AQ50" i="43"/>
  <c r="AS49" i="43"/>
  <c r="AQ49" i="43"/>
  <c r="AS48" i="43"/>
  <c r="AQ48" i="43"/>
  <c r="AS47" i="43"/>
  <c r="AQ47" i="43"/>
  <c r="AS46" i="43"/>
  <c r="AQ46" i="43"/>
  <c r="AS45" i="43"/>
  <c r="AQ45" i="43"/>
  <c r="AS44" i="43"/>
  <c r="AQ44" i="43"/>
  <c r="AS43" i="43"/>
  <c r="AQ43" i="43"/>
  <c r="AS42" i="43"/>
  <c r="AQ42" i="43"/>
  <c r="AS41" i="43"/>
  <c r="AQ41" i="43"/>
  <c r="AS40" i="43"/>
  <c r="AQ40" i="43"/>
  <c r="AS39" i="43"/>
  <c r="AQ39" i="43"/>
  <c r="AS38" i="43"/>
  <c r="AQ38" i="43"/>
  <c r="AS37" i="43"/>
  <c r="AQ37" i="43"/>
  <c r="AS36" i="43"/>
  <c r="AQ36" i="43"/>
  <c r="AS35" i="43"/>
  <c r="AQ35" i="43"/>
  <c r="AS34" i="43"/>
  <c r="AQ34" i="43"/>
  <c r="AS33" i="43"/>
  <c r="AQ33" i="43"/>
  <c r="AS32" i="43"/>
  <c r="AQ32" i="43"/>
  <c r="AS31" i="43"/>
  <c r="AQ31" i="43"/>
  <c r="AS30" i="43"/>
  <c r="AQ30" i="43"/>
  <c r="AS29" i="43"/>
  <c r="AQ29" i="43"/>
  <c r="AS28" i="43"/>
  <c r="AQ28" i="43"/>
  <c r="AS27" i="43"/>
  <c r="AQ27" i="43"/>
  <c r="AS26" i="43"/>
  <c r="AQ26" i="43"/>
  <c r="AS25" i="43"/>
  <c r="AQ25" i="43"/>
  <c r="AS24" i="43"/>
  <c r="AQ24" i="43"/>
  <c r="AS23" i="43"/>
  <c r="AQ23" i="43"/>
  <c r="AS22" i="43"/>
  <c r="AQ22" i="43"/>
  <c r="AS21" i="43"/>
  <c r="AQ21" i="43"/>
  <c r="AS20" i="43"/>
  <c r="AQ20" i="43"/>
  <c r="G17" i="43"/>
  <c r="E17" i="43"/>
  <c r="D17" i="43"/>
  <c r="E16" i="43"/>
  <c r="D16" i="43"/>
  <c r="J8" i="43"/>
  <c r="G8" i="43"/>
  <c r="C8" i="43"/>
  <c r="Q4" i="44"/>
  <c r="B5" i="45"/>
  <c r="U4" i="43"/>
  <c r="B5" i="44"/>
  <c r="Q4" i="46"/>
  <c r="Y4" i="43"/>
  <c r="U4" i="44"/>
  <c r="Y4" i="46"/>
  <c r="Q5" i="46"/>
  <c r="B5" i="43"/>
  <c r="Q5" i="44"/>
  <c r="Q4" i="43"/>
  <c r="Q5" i="43"/>
  <c r="U4" i="46"/>
  <c r="Q4" i="45"/>
  <c r="B5" i="46"/>
  <c r="Y4" i="45"/>
  <c r="Y4" i="44"/>
  <c r="U4" i="45"/>
  <c r="Q5" i="45"/>
  <c r="D79" i="45" l="1"/>
  <c r="D88" i="45"/>
  <c r="E18" i="41" l="1"/>
  <c r="D18" i="41"/>
  <c r="E17" i="41"/>
  <c r="E16" i="41" s="1"/>
  <c r="D17" i="41"/>
  <c r="D16" i="41" s="1"/>
  <c r="E15" i="41"/>
  <c r="E14" i="41"/>
  <c r="D15" i="41"/>
  <c r="D14" i="41"/>
  <c r="E12" i="41"/>
  <c r="E11" i="41"/>
  <c r="E10" i="41" s="1"/>
  <c r="G11" i="41" s="1"/>
  <c r="D12" i="41"/>
  <c r="D11" i="41"/>
  <c r="E9" i="41"/>
  <c r="E8" i="41"/>
  <c r="D9" i="41"/>
  <c r="D8" i="41"/>
  <c r="G17" i="41" l="1"/>
  <c r="D178" i="7"/>
  <c r="E7" i="41"/>
  <c r="G9" i="41" s="1"/>
  <c r="D7" i="41"/>
  <c r="D10" i="41"/>
  <c r="D13" i="41"/>
  <c r="E13" i="41"/>
  <c r="G12" i="41"/>
  <c r="G10" i="41" s="1"/>
  <c r="G18" i="41"/>
  <c r="G16" i="41" s="1"/>
  <c r="D20" i="41" l="1"/>
  <c r="E20" i="41"/>
  <c r="D24" i="41" s="1"/>
  <c r="E178" i="7"/>
  <c r="G8" i="41"/>
  <c r="G7" i="41" s="1"/>
  <c r="C178" i="7"/>
  <c r="G14" i="41"/>
  <c r="G15" i="41"/>
  <c r="D25" i="41"/>
  <c r="D23" i="41" l="1"/>
  <c r="I178" i="7"/>
  <c r="E179" i="7" s="1"/>
  <c r="G13" i="41"/>
  <c r="C179" i="7" l="1"/>
  <c r="F179" i="7"/>
  <c r="H179" i="7"/>
  <c r="G179" i="7"/>
  <c r="D179" i="7"/>
  <c r="H14" i="7"/>
  <c r="F116" i="31"/>
  <c r="C119" i="31"/>
  <c r="Y10" i="31" l="1"/>
  <c r="F119" i="31"/>
  <c r="Y14" i="31" s="1"/>
  <c r="Y21" i="31" l="1"/>
  <c r="AG133" i="1" l="1"/>
  <c r="AF133" i="1"/>
  <c r="C118" i="49" s="1"/>
  <c r="K118" i="49" s="1"/>
  <c r="AD17" i="1" l="1"/>
  <c r="AD133" i="1" s="1"/>
  <c r="AC17" i="1"/>
  <c r="AC133" i="1" s="1"/>
  <c r="C9" i="22" l="1"/>
  <c r="C8" i="22"/>
  <c r="B50" i="40"/>
  <c r="C49" i="40"/>
  <c r="B48" i="40"/>
  <c r="C48" i="40" s="1"/>
  <c r="B55" i="40" l="1"/>
  <c r="B57" i="40" s="1"/>
  <c r="H49" i="7" l="1"/>
  <c r="F171" i="7" l="1"/>
  <c r="F50" i="7" l="1"/>
  <c r="C48" i="7"/>
  <c r="C31" i="8" s="1"/>
  <c r="E31" i="8" s="1"/>
  <c r="F159" i="7" l="1"/>
  <c r="E159" i="7"/>
  <c r="F158" i="7"/>
  <c r="H161" i="7"/>
  <c r="G161" i="7"/>
  <c r="F161" i="7"/>
  <c r="E161" i="7"/>
  <c r="D161" i="7"/>
  <c r="C161" i="7"/>
  <c r="H160" i="7"/>
  <c r="G160" i="7"/>
  <c r="F160" i="7"/>
  <c r="E160" i="7"/>
  <c r="D160" i="7"/>
  <c r="C160" i="7"/>
  <c r="H159" i="7"/>
  <c r="G159" i="7"/>
  <c r="D159" i="7"/>
  <c r="C159" i="7"/>
  <c r="H158" i="7"/>
  <c r="G158" i="7"/>
  <c r="E158" i="7"/>
  <c r="D158" i="7"/>
  <c r="C158" i="7"/>
  <c r="H157" i="7"/>
  <c r="G157" i="7"/>
  <c r="F157" i="7"/>
  <c r="E157" i="7"/>
  <c r="D157" i="7"/>
  <c r="C157" i="7"/>
  <c r="H156" i="7"/>
  <c r="G156" i="7"/>
  <c r="F156" i="7"/>
  <c r="E156" i="7"/>
  <c r="D156" i="7"/>
  <c r="C156" i="7"/>
  <c r="M29" i="38"/>
  <c r="C29" i="38"/>
  <c r="D27" i="38" s="1"/>
  <c r="E27" i="38" s="1"/>
  <c r="F27" i="38" s="1"/>
  <c r="N25" i="38"/>
  <c r="O25" i="38" s="1"/>
  <c r="N23" i="38"/>
  <c r="O23" i="38" s="1"/>
  <c r="D22" i="38"/>
  <c r="E22" i="38" s="1"/>
  <c r="F22" i="38" s="1"/>
  <c r="N21" i="38"/>
  <c r="O21" i="38" s="1"/>
  <c r="Q21" i="38" s="1"/>
  <c r="D20" i="38"/>
  <c r="E20" i="38" s="1"/>
  <c r="N19" i="38"/>
  <c r="O19" i="38" s="1"/>
  <c r="Q19" i="38" s="1"/>
  <c r="D18" i="38"/>
  <c r="E18" i="38" s="1"/>
  <c r="F18" i="38" s="1"/>
  <c r="N17" i="38"/>
  <c r="O17" i="38" s="1"/>
  <c r="D16" i="38"/>
  <c r="E16" i="38" s="1"/>
  <c r="F16" i="38" s="1"/>
  <c r="N15" i="38"/>
  <c r="O15" i="38" s="1"/>
  <c r="N14" i="38"/>
  <c r="O14" i="38" s="1"/>
  <c r="P14" i="38" s="1"/>
  <c r="D14" i="38"/>
  <c r="E14" i="38" s="1"/>
  <c r="F14" i="38" s="1"/>
  <c r="D12" i="38"/>
  <c r="E12" i="38" s="1"/>
  <c r="F12" i="38" s="1"/>
  <c r="N11" i="38"/>
  <c r="O11" i="38" s="1"/>
  <c r="N10" i="38"/>
  <c r="D10" i="38"/>
  <c r="E10" i="38" s="1"/>
  <c r="G20" i="38" l="1"/>
  <c r="F20" i="38"/>
  <c r="H20" i="38" s="1"/>
  <c r="P11" i="38"/>
  <c r="P15" i="38"/>
  <c r="P23" i="38"/>
  <c r="F10" i="38"/>
  <c r="P21" i="38"/>
  <c r="R21" i="38" s="1"/>
  <c r="P19" i="38"/>
  <c r="R19" i="38" s="1"/>
  <c r="P25" i="38"/>
  <c r="P17" i="38"/>
  <c r="N29" i="38"/>
  <c r="N27" i="38"/>
  <c r="O27" i="38" s="1"/>
  <c r="O10" i="38"/>
  <c r="P10" i="38" s="1"/>
  <c r="D24" i="38"/>
  <c r="E24" i="38" s="1"/>
  <c r="F24" i="38" s="1"/>
  <c r="D26" i="38"/>
  <c r="E26" i="38" s="1"/>
  <c r="F26" i="38" s="1"/>
  <c r="D11" i="38"/>
  <c r="E11" i="38" s="1"/>
  <c r="F11" i="38" s="1"/>
  <c r="N12" i="38"/>
  <c r="O12" i="38" s="1"/>
  <c r="D13" i="38"/>
  <c r="E13" i="38" s="1"/>
  <c r="N13" i="38"/>
  <c r="O13" i="38" s="1"/>
  <c r="P13" i="38" s="1"/>
  <c r="D15" i="38"/>
  <c r="E15" i="38" s="1"/>
  <c r="F15" i="38" s="1"/>
  <c r="N16" i="38"/>
  <c r="O16" i="38" s="1"/>
  <c r="D17" i="38"/>
  <c r="E17" i="38" s="1"/>
  <c r="F17" i="38" s="1"/>
  <c r="N18" i="38"/>
  <c r="O18" i="38" s="1"/>
  <c r="D19" i="38"/>
  <c r="E19" i="38" s="1"/>
  <c r="N20" i="38"/>
  <c r="O20" i="38" s="1"/>
  <c r="Q20" i="38" s="1"/>
  <c r="D21" i="38"/>
  <c r="E21" i="38" s="1"/>
  <c r="N22" i="38"/>
  <c r="O22" i="38" s="1"/>
  <c r="D23" i="38"/>
  <c r="E23" i="38" s="1"/>
  <c r="F23" i="38" s="1"/>
  <c r="N24" i="38"/>
  <c r="O24" i="38" s="1"/>
  <c r="D25" i="38"/>
  <c r="E25" i="38" s="1"/>
  <c r="F25" i="38" s="1"/>
  <c r="N26" i="38"/>
  <c r="O26" i="38" s="1"/>
  <c r="C105" i="31" l="1"/>
  <c r="G19" i="38"/>
  <c r="F19" i="38"/>
  <c r="H19" i="38" s="1"/>
  <c r="G21" i="38"/>
  <c r="D105" i="31" s="1"/>
  <c r="J189" i="1" s="1"/>
  <c r="F21" i="38"/>
  <c r="H21" i="38" s="1"/>
  <c r="D106" i="31" s="1"/>
  <c r="E29" i="38"/>
  <c r="F13" i="38"/>
  <c r="P24" i="38"/>
  <c r="P12" i="38"/>
  <c r="P20" i="38"/>
  <c r="R20" i="38" s="1"/>
  <c r="R29" i="38" s="1"/>
  <c r="P16" i="38"/>
  <c r="D29" i="38"/>
  <c r="O29" i="38"/>
  <c r="P26" i="38"/>
  <c r="P22" i="38"/>
  <c r="P18" i="38"/>
  <c r="P27" i="38"/>
  <c r="I189" i="1" l="1"/>
  <c r="C106" i="31"/>
  <c r="F105" i="31" s="1"/>
  <c r="F29" i="38"/>
  <c r="B106" i="31"/>
  <c r="H29" i="38"/>
  <c r="G29" i="38"/>
  <c r="P29" i="38"/>
  <c r="Q29" i="38"/>
  <c r="Q31" i="38" s="1"/>
  <c r="H189" i="1" s="1"/>
  <c r="G31" i="38" l="1"/>
  <c r="C45" i="7"/>
  <c r="C28" i="8" l="1"/>
  <c r="D28" i="8" s="1"/>
  <c r="H163" i="7"/>
  <c r="H164" i="7"/>
  <c r="G163" i="7"/>
  <c r="G164" i="7"/>
  <c r="B79" i="37" l="1"/>
  <c r="B78" i="37"/>
  <c r="B80" i="37" l="1"/>
  <c r="B81" i="37"/>
  <c r="S98" i="1" s="1"/>
  <c r="V98" i="1" s="1"/>
  <c r="E149" i="7"/>
  <c r="C149" i="7"/>
  <c r="E148" i="7"/>
  <c r="C148" i="7"/>
  <c r="E147" i="7"/>
  <c r="D147" i="7"/>
  <c r="C147" i="7"/>
  <c r="G52" i="7" l="1"/>
  <c r="C10" i="8" l="1"/>
  <c r="E10" i="8" l="1"/>
  <c r="G65" i="37"/>
  <c r="G66" i="37" s="1"/>
  <c r="V243" i="1"/>
  <c r="V253" i="1"/>
  <c r="G48" i="37"/>
  <c r="G49" i="37" s="1"/>
  <c r="B36" i="37"/>
  <c r="B22" i="37"/>
  <c r="S336" i="1" s="1"/>
  <c r="V336" i="1" s="1"/>
  <c r="B21" i="37"/>
  <c r="S334" i="1" s="1"/>
  <c r="V334" i="1" s="1"/>
  <c r="B20" i="37"/>
  <c r="S333" i="1" s="1"/>
  <c r="V333" i="1" s="1"/>
  <c r="B19" i="37"/>
  <c r="S332" i="1" s="1"/>
  <c r="V332" i="1" s="1"/>
  <c r="B18" i="37"/>
  <c r="S331" i="1" l="1"/>
  <c r="B25" i="37"/>
  <c r="V331" i="1"/>
  <c r="S338" i="1"/>
  <c r="B28" i="37" l="1"/>
  <c r="G115" i="7" l="1"/>
  <c r="F111" i="7"/>
  <c r="F121" i="7"/>
  <c r="H122" i="7"/>
  <c r="G122" i="7"/>
  <c r="H115" i="7"/>
  <c r="H80" i="7"/>
  <c r="G80" i="7"/>
  <c r="H87" i="7"/>
  <c r="G87" i="7"/>
  <c r="X32" i="26" l="1"/>
  <c r="Y32" i="26"/>
  <c r="P32" i="26"/>
  <c r="O32" i="26"/>
  <c r="AD348" i="1" l="1"/>
  <c r="AC348" i="1"/>
  <c r="AD343" i="1"/>
  <c r="AC343" i="1"/>
  <c r="AD312" i="1"/>
  <c r="AC312" i="1"/>
  <c r="AD159" i="1"/>
  <c r="AC159" i="1"/>
  <c r="AD164" i="1"/>
  <c r="AC164" i="1"/>
  <c r="I44" i="7" l="1"/>
  <c r="E48" i="7"/>
  <c r="D48" i="7"/>
  <c r="E47" i="7"/>
  <c r="D47" i="7"/>
  <c r="C47" i="7"/>
  <c r="C30" i="8" s="1"/>
  <c r="F30" i="8" s="1"/>
  <c r="F33" i="8" s="1"/>
  <c r="E46" i="7"/>
  <c r="D46" i="7"/>
  <c r="D66" i="7" s="1"/>
  <c r="C46" i="7"/>
  <c r="E45" i="7"/>
  <c r="D45" i="7"/>
  <c r="E43" i="7"/>
  <c r="D43" i="7"/>
  <c r="C43" i="7"/>
  <c r="C26" i="8" s="1"/>
  <c r="D26" i="8" s="1"/>
  <c r="E66" i="7" l="1"/>
  <c r="C29" i="8"/>
  <c r="E29" i="8" s="1"/>
  <c r="C66" i="7"/>
  <c r="E68" i="7"/>
  <c r="C68" i="7"/>
  <c r="D68" i="7"/>
  <c r="I48" i="7"/>
  <c r="I45" i="7"/>
  <c r="D54" i="7"/>
  <c r="E54" i="7"/>
  <c r="I46" i="7"/>
  <c r="I47" i="7"/>
  <c r="D17" i="7" l="1"/>
  <c r="E25" i="7"/>
  <c r="D25" i="7"/>
  <c r="F25" i="7"/>
  <c r="C25" i="7"/>
  <c r="E17" i="7" l="1"/>
  <c r="I25" i="7"/>
  <c r="AK14" i="36" l="1"/>
  <c r="AK15" i="36"/>
  <c r="AK16" i="36"/>
  <c r="AK17" i="36"/>
  <c r="AK18" i="36"/>
  <c r="AK19" i="36"/>
  <c r="AK20" i="36"/>
  <c r="AK21" i="36"/>
  <c r="AK22" i="36"/>
  <c r="AK23"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AK48" i="36"/>
  <c r="AK49" i="36"/>
  <c r="AK13" i="36"/>
  <c r="AJ50" i="36"/>
  <c r="AJ39" i="36"/>
  <c r="AJ31" i="36"/>
  <c r="AJ19" i="36"/>
  <c r="AJ18" i="36"/>
  <c r="AI14" i="36"/>
  <c r="AI15" i="36"/>
  <c r="AI16" i="36"/>
  <c r="AI17" i="36"/>
  <c r="AI18" i="36"/>
  <c r="AI19" i="36"/>
  <c r="AI20" i="36"/>
  <c r="AI21" i="36"/>
  <c r="AI22" i="36"/>
  <c r="AI23"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I48" i="36"/>
  <c r="AI13" i="36"/>
  <c r="AD8" i="36"/>
  <c r="C12" i="8" l="1"/>
  <c r="C11" i="8"/>
  <c r="C7" i="8"/>
  <c r="F11" i="8" l="1"/>
  <c r="E12" i="8"/>
  <c r="E16" i="8" s="1"/>
  <c r="C8" i="8"/>
  <c r="F19" i="8" s="1"/>
  <c r="D7" i="8"/>
  <c r="C37" i="7"/>
  <c r="F37" i="7"/>
  <c r="D37" i="7"/>
  <c r="E37" i="7"/>
  <c r="C33" i="7"/>
  <c r="D33" i="7"/>
  <c r="E33" i="7"/>
  <c r="C29" i="7"/>
  <c r="E29" i="7"/>
  <c r="D29" i="7"/>
  <c r="C27" i="7"/>
  <c r="E27" i="7"/>
  <c r="D27" i="7"/>
  <c r="J46" i="26"/>
  <c r="E19" i="8" l="1"/>
  <c r="C16" i="8"/>
  <c r="E18" i="8" s="1"/>
  <c r="D20" i="8"/>
  <c r="E20" i="8"/>
  <c r="F16" i="8"/>
  <c r="F20" i="8"/>
  <c r="D8" i="8"/>
  <c r="D19" i="8" s="1"/>
  <c r="S46" i="26"/>
  <c r="X46" i="26" s="1"/>
  <c r="I33" i="7"/>
  <c r="C31" i="7"/>
  <c r="D192" i="7" s="1"/>
  <c r="D193" i="7" s="1"/>
  <c r="D194" i="7" s="1"/>
  <c r="E31" i="7"/>
  <c r="F192" i="7" s="1"/>
  <c r="F193" i="7" s="1"/>
  <c r="F194" i="7" s="1"/>
  <c r="D31" i="7"/>
  <c r="E192" i="7" s="1"/>
  <c r="E193" i="7" s="1"/>
  <c r="E194" i="7" s="1"/>
  <c r="I29" i="7"/>
  <c r="I27" i="7"/>
  <c r="F18" i="8" l="1"/>
  <c r="D16" i="8"/>
  <c r="D18" i="8" s="1"/>
  <c r="I31" i="7"/>
  <c r="I49" i="7"/>
  <c r="I52" i="7"/>
  <c r="F51" i="7"/>
  <c r="I50" i="7"/>
  <c r="I51" i="7" l="1"/>
  <c r="F64" i="7"/>
  <c r="D64" i="7"/>
  <c r="E64" i="7"/>
  <c r="C64" i="7"/>
  <c r="AF50" i="36"/>
  <c r="AD50" i="36"/>
  <c r="AB50" i="36"/>
  <c r="Z50" i="36"/>
  <c r="X50" i="36"/>
  <c r="V50" i="36"/>
  <c r="T50" i="36"/>
  <c r="R50" i="36"/>
  <c r="P50" i="36"/>
  <c r="N50" i="36"/>
  <c r="L50" i="36"/>
  <c r="J50" i="36"/>
  <c r="AH48" i="36"/>
  <c r="AH47" i="36"/>
  <c r="AH46" i="36"/>
  <c r="AH45" i="36"/>
  <c r="AH44" i="36"/>
  <c r="AH43" i="36"/>
  <c r="AH42" i="36"/>
  <c r="AH41" i="36"/>
  <c r="AH40" i="36"/>
  <c r="AH39" i="36"/>
  <c r="AH38" i="36"/>
  <c r="AH37" i="36"/>
  <c r="AH36" i="36"/>
  <c r="AH35" i="36"/>
  <c r="AH34" i="36"/>
  <c r="AH33" i="36"/>
  <c r="AH32" i="36"/>
  <c r="AH31" i="36"/>
  <c r="AH30" i="36"/>
  <c r="AH29" i="36"/>
  <c r="AH28" i="36"/>
  <c r="AH27" i="36"/>
  <c r="AH26" i="36"/>
  <c r="AH25" i="36"/>
  <c r="AH24" i="36"/>
  <c r="AI24" i="36" s="1"/>
  <c r="AH23" i="36"/>
  <c r="AH22" i="36"/>
  <c r="AH21" i="36"/>
  <c r="AH20" i="36"/>
  <c r="AH19" i="36"/>
  <c r="AH18" i="36"/>
  <c r="AH17" i="36"/>
  <c r="AH16" i="36"/>
  <c r="AH15" i="36"/>
  <c r="AH14" i="36"/>
  <c r="AH13" i="36"/>
  <c r="AF3" i="36"/>
  <c r="AF12" i="36" s="1"/>
  <c r="AD3" i="36"/>
  <c r="AD12" i="36" s="1"/>
  <c r="AB3" i="36"/>
  <c r="AB12" i="36" s="1"/>
  <c r="Z3" i="36"/>
  <c r="Z12" i="36" s="1"/>
  <c r="X3" i="36"/>
  <c r="X12" i="36" s="1"/>
  <c r="V3" i="36"/>
  <c r="V12" i="36" s="1"/>
  <c r="T3" i="36"/>
  <c r="T12" i="36" s="1"/>
  <c r="R3" i="36"/>
  <c r="R12" i="36" s="1"/>
  <c r="P3" i="36"/>
  <c r="P12" i="36" s="1"/>
  <c r="N3" i="36"/>
  <c r="N12" i="36" s="1"/>
  <c r="L3" i="36"/>
  <c r="L12" i="36" s="1"/>
  <c r="J3" i="36"/>
  <c r="J12" i="36" s="1"/>
  <c r="AH2" i="36"/>
  <c r="B5" i="36"/>
  <c r="B4" i="36"/>
  <c r="AK24" i="36" l="1"/>
  <c r="AK50" i="36" s="1"/>
  <c r="AI50" i="36"/>
  <c r="AH50" i="36"/>
  <c r="B92" i="31" l="1"/>
  <c r="B88" i="31"/>
  <c r="V113" i="35"/>
  <c r="V177" i="35"/>
  <c r="V183" i="35"/>
  <c r="V198" i="35"/>
  <c r="V211" i="35"/>
  <c r="S221" i="35"/>
  <c r="R221" i="35"/>
  <c r="N221" i="35"/>
  <c r="L221" i="35"/>
  <c r="J221" i="35"/>
  <c r="P221" i="35"/>
  <c r="S211" i="35"/>
  <c r="R211" i="35"/>
  <c r="N211" i="35"/>
  <c r="L211" i="35"/>
  <c r="J211" i="35"/>
  <c r="S207" i="35"/>
  <c r="R207" i="35"/>
  <c r="N207" i="35"/>
  <c r="L207" i="35"/>
  <c r="J207" i="35"/>
  <c r="S204" i="35"/>
  <c r="R204" i="35"/>
  <c r="N204" i="35"/>
  <c r="L204" i="35"/>
  <c r="J204" i="35"/>
  <c r="S201" i="35"/>
  <c r="R201" i="35"/>
  <c r="N201" i="35"/>
  <c r="L201" i="35"/>
  <c r="J201" i="35"/>
  <c r="S198" i="35"/>
  <c r="R198" i="35"/>
  <c r="N198" i="35"/>
  <c r="L198" i="35"/>
  <c r="J198" i="35"/>
  <c r="S195" i="35"/>
  <c r="R195" i="35"/>
  <c r="N195" i="35"/>
  <c r="L195" i="35"/>
  <c r="J195" i="35"/>
  <c r="S192" i="35"/>
  <c r="R192" i="35"/>
  <c r="N192" i="35"/>
  <c r="L192" i="35"/>
  <c r="J192" i="35"/>
  <c r="S189" i="35"/>
  <c r="R189" i="35"/>
  <c r="N189" i="35"/>
  <c r="L189" i="35"/>
  <c r="J189" i="35"/>
  <c r="S183" i="35"/>
  <c r="R183" i="35"/>
  <c r="N183" i="35"/>
  <c r="L183" i="35"/>
  <c r="J183" i="35"/>
  <c r="S180" i="35"/>
  <c r="R180" i="35"/>
  <c r="N180" i="35"/>
  <c r="L180" i="35"/>
  <c r="J180" i="35"/>
  <c r="S177" i="35"/>
  <c r="R177" i="35"/>
  <c r="N177" i="35"/>
  <c r="L177" i="35"/>
  <c r="J177" i="35"/>
  <c r="S174" i="35"/>
  <c r="R174" i="35"/>
  <c r="N174" i="35"/>
  <c r="L174" i="35"/>
  <c r="J174" i="35"/>
  <c r="S171" i="35"/>
  <c r="R171" i="35"/>
  <c r="N171" i="35"/>
  <c r="L171" i="35"/>
  <c r="J171" i="35"/>
  <c r="S168" i="35"/>
  <c r="R168" i="35"/>
  <c r="N168" i="35"/>
  <c r="L168" i="35"/>
  <c r="J168" i="35"/>
  <c r="S165" i="35"/>
  <c r="R165" i="35"/>
  <c r="N165" i="35"/>
  <c r="L165" i="35"/>
  <c r="J165" i="35"/>
  <c r="S158" i="35"/>
  <c r="R158" i="35"/>
  <c r="N158" i="35"/>
  <c r="L158" i="35"/>
  <c r="J158" i="35"/>
  <c r="S150" i="35"/>
  <c r="R150" i="35"/>
  <c r="N150" i="35"/>
  <c r="L150" i="35"/>
  <c r="J150" i="35"/>
  <c r="S147" i="35"/>
  <c r="R147" i="35"/>
  <c r="N147" i="35"/>
  <c r="L147" i="35"/>
  <c r="J147" i="35"/>
  <c r="S136" i="35"/>
  <c r="R136" i="35"/>
  <c r="N136" i="35"/>
  <c r="L136" i="35"/>
  <c r="J136" i="35"/>
  <c r="S132" i="35"/>
  <c r="R132" i="35"/>
  <c r="N132" i="35"/>
  <c r="L132" i="35"/>
  <c r="J132" i="35"/>
  <c r="S126" i="35"/>
  <c r="R126" i="35"/>
  <c r="N126" i="35"/>
  <c r="L126" i="35"/>
  <c r="J126" i="35"/>
  <c r="S122" i="35"/>
  <c r="R122" i="35"/>
  <c r="N122" i="35"/>
  <c r="L122" i="35"/>
  <c r="J122" i="35"/>
  <c r="S119" i="35"/>
  <c r="R119" i="35"/>
  <c r="N119" i="35"/>
  <c r="L119" i="35"/>
  <c r="J119" i="35"/>
  <c r="S116" i="35"/>
  <c r="R116" i="35"/>
  <c r="N116" i="35"/>
  <c r="L116" i="35"/>
  <c r="J116" i="35"/>
  <c r="S113" i="35"/>
  <c r="R113" i="35"/>
  <c r="N113" i="35"/>
  <c r="L113" i="35"/>
  <c r="J113" i="35"/>
  <c r="S110" i="35"/>
  <c r="R110" i="35"/>
  <c r="N110" i="35"/>
  <c r="L110" i="35"/>
  <c r="J110" i="35"/>
  <c r="S104" i="35"/>
  <c r="R104" i="35"/>
  <c r="N104" i="35"/>
  <c r="L104" i="35"/>
  <c r="J104" i="35"/>
  <c r="S101" i="35"/>
  <c r="R101" i="35"/>
  <c r="N101" i="35"/>
  <c r="L101" i="35"/>
  <c r="J101" i="35"/>
  <c r="S98" i="35"/>
  <c r="R98" i="35"/>
  <c r="N98" i="35"/>
  <c r="L98" i="35"/>
  <c r="J98" i="35"/>
  <c r="S54" i="35"/>
  <c r="R54" i="35"/>
  <c r="N54" i="35"/>
  <c r="L54" i="35"/>
  <c r="J54" i="35"/>
  <c r="S51" i="35"/>
  <c r="R51" i="35"/>
  <c r="N51" i="35"/>
  <c r="L51" i="35"/>
  <c r="J51" i="35"/>
  <c r="S45" i="35"/>
  <c r="R45" i="35"/>
  <c r="N45" i="35"/>
  <c r="L45" i="35"/>
  <c r="J45" i="35"/>
  <c r="S38" i="35"/>
  <c r="R38" i="35"/>
  <c r="N38" i="35"/>
  <c r="L38" i="35"/>
  <c r="J38" i="35"/>
  <c r="S27" i="35"/>
  <c r="R27" i="35"/>
  <c r="N27" i="35"/>
  <c r="L27" i="35"/>
  <c r="L56" i="35" s="1"/>
  <c r="J27" i="35"/>
  <c r="B7" i="35"/>
  <c r="T13" i="35" s="1"/>
  <c r="S13" i="35" s="1"/>
  <c r="R13" i="35" s="1"/>
  <c r="T3" i="35"/>
  <c r="P3" i="35"/>
  <c r="N3" i="35"/>
  <c r="L3" i="35"/>
  <c r="J3" i="35"/>
  <c r="P2" i="35"/>
  <c r="T2" i="35" s="1"/>
  <c r="V2" i="35" s="1"/>
  <c r="P227" i="33"/>
  <c r="P228" i="33"/>
  <c r="T228" i="33"/>
  <c r="V228" i="33" s="1"/>
  <c r="V227" i="33"/>
  <c r="T227" i="33"/>
  <c r="P16" i="33"/>
  <c r="P17" i="33"/>
  <c r="T17" i="33" s="1"/>
  <c r="V17" i="33" s="1"/>
  <c r="P18" i="33"/>
  <c r="T18" i="33" s="1"/>
  <c r="V18" i="33" s="1"/>
  <c r="P19" i="33"/>
  <c r="P20" i="33"/>
  <c r="P21" i="33"/>
  <c r="T21" i="33" s="1"/>
  <c r="V21" i="33" s="1"/>
  <c r="P22" i="33"/>
  <c r="T22" i="33" s="1"/>
  <c r="V22" i="33" s="1"/>
  <c r="P23" i="33"/>
  <c r="P24" i="33"/>
  <c r="P25" i="33"/>
  <c r="T25" i="33" s="1"/>
  <c r="V25" i="33" s="1"/>
  <c r="P26" i="33"/>
  <c r="T26" i="33" s="1"/>
  <c r="V26" i="33" s="1"/>
  <c r="T24" i="33"/>
  <c r="V24" i="33" s="1"/>
  <c r="T23" i="33"/>
  <c r="V23" i="33" s="1"/>
  <c r="T20" i="33"/>
  <c r="V20" i="33" s="1"/>
  <c r="T19" i="33"/>
  <c r="V19" i="33" s="1"/>
  <c r="T16" i="33"/>
  <c r="V16" i="33" s="1"/>
  <c r="P29" i="33"/>
  <c r="T29" i="33" s="1"/>
  <c r="V29" i="33" s="1"/>
  <c r="P30" i="33"/>
  <c r="T30" i="33" s="1"/>
  <c r="V30" i="33" s="1"/>
  <c r="P31" i="33"/>
  <c r="P32" i="33"/>
  <c r="P33" i="33"/>
  <c r="T33" i="33" s="1"/>
  <c r="V33" i="33" s="1"/>
  <c r="P34" i="33"/>
  <c r="T34" i="33" s="1"/>
  <c r="V34" i="33" s="1"/>
  <c r="P35" i="33"/>
  <c r="P36" i="33"/>
  <c r="P37" i="33"/>
  <c r="T37" i="33" s="1"/>
  <c r="V37" i="33" s="1"/>
  <c r="T36" i="33"/>
  <c r="V36" i="33" s="1"/>
  <c r="T35" i="33"/>
  <c r="V35" i="33" s="1"/>
  <c r="T32" i="33"/>
  <c r="V32" i="33" s="1"/>
  <c r="T31" i="33"/>
  <c r="V31" i="33" s="1"/>
  <c r="P40" i="33"/>
  <c r="T40" i="33" s="1"/>
  <c r="V40" i="33" s="1"/>
  <c r="P41" i="33"/>
  <c r="T41" i="33" s="1"/>
  <c r="V41" i="33" s="1"/>
  <c r="P42" i="33"/>
  <c r="T42" i="33" s="1"/>
  <c r="V42" i="33" s="1"/>
  <c r="P43" i="33"/>
  <c r="P44" i="33"/>
  <c r="T44" i="33" s="1"/>
  <c r="V44" i="33" s="1"/>
  <c r="T43" i="33"/>
  <c r="V43" i="33" s="1"/>
  <c r="P47" i="33"/>
  <c r="T47" i="33" s="1"/>
  <c r="V47" i="33" s="1"/>
  <c r="P48" i="33"/>
  <c r="P49" i="33"/>
  <c r="T49" i="33" s="1"/>
  <c r="V49" i="33" s="1"/>
  <c r="P50" i="33"/>
  <c r="T50" i="33" s="1"/>
  <c r="V50" i="33" s="1"/>
  <c r="T48" i="33"/>
  <c r="V48" i="33" s="1"/>
  <c r="P53" i="33"/>
  <c r="T53" i="33" s="1"/>
  <c r="V53" i="33" s="1"/>
  <c r="P60" i="33"/>
  <c r="P61" i="33"/>
  <c r="P62" i="33"/>
  <c r="P63" i="33"/>
  <c r="P64" i="33"/>
  <c r="P65" i="33"/>
  <c r="P66" i="33"/>
  <c r="P67" i="33"/>
  <c r="T67" i="33" s="1"/>
  <c r="V67" i="33" s="1"/>
  <c r="P68" i="33"/>
  <c r="P69" i="33"/>
  <c r="P70" i="33"/>
  <c r="T70" i="33" s="1"/>
  <c r="V70" i="33" s="1"/>
  <c r="P71" i="33"/>
  <c r="P72" i="33"/>
  <c r="P73" i="33"/>
  <c r="P74" i="33"/>
  <c r="P75" i="33"/>
  <c r="T75" i="33" s="1"/>
  <c r="V75" i="33" s="1"/>
  <c r="P76" i="33"/>
  <c r="P77" i="33"/>
  <c r="P78" i="33"/>
  <c r="T78" i="33" s="1"/>
  <c r="V78" i="33" s="1"/>
  <c r="P79" i="33"/>
  <c r="P80" i="33"/>
  <c r="P81" i="33"/>
  <c r="P82" i="33"/>
  <c r="P83" i="33"/>
  <c r="T83" i="33" s="1"/>
  <c r="V83" i="33" s="1"/>
  <c r="P84" i="33"/>
  <c r="P85" i="33"/>
  <c r="P86" i="33"/>
  <c r="T86" i="33" s="1"/>
  <c r="V86" i="33" s="1"/>
  <c r="P87" i="33"/>
  <c r="P88" i="33"/>
  <c r="P89" i="33"/>
  <c r="P90" i="33"/>
  <c r="P91" i="33"/>
  <c r="T91" i="33" s="1"/>
  <c r="V91" i="33" s="1"/>
  <c r="P92" i="33"/>
  <c r="P93" i="33"/>
  <c r="P94" i="33"/>
  <c r="T94" i="33" s="1"/>
  <c r="V94" i="33" s="1"/>
  <c r="P95" i="33"/>
  <c r="P96" i="33"/>
  <c r="T96" i="33" s="1"/>
  <c r="V96" i="33" s="1"/>
  <c r="P97" i="33"/>
  <c r="T97" i="33"/>
  <c r="V97" i="33" s="1"/>
  <c r="T95" i="33"/>
  <c r="V95" i="33" s="1"/>
  <c r="T93" i="33"/>
  <c r="V93" i="33" s="1"/>
  <c r="T92" i="33"/>
  <c r="V92" i="33" s="1"/>
  <c r="V90" i="33"/>
  <c r="T90" i="33"/>
  <c r="T89" i="33"/>
  <c r="V89" i="33" s="1"/>
  <c r="T88" i="33"/>
  <c r="V88" i="33" s="1"/>
  <c r="T87" i="33"/>
  <c r="V87" i="33" s="1"/>
  <c r="T85" i="33"/>
  <c r="V85" i="33" s="1"/>
  <c r="T84" i="33"/>
  <c r="V84" i="33" s="1"/>
  <c r="V82" i="33"/>
  <c r="T82" i="33"/>
  <c r="T81" i="33"/>
  <c r="V81" i="33" s="1"/>
  <c r="T80" i="33"/>
  <c r="V80" i="33" s="1"/>
  <c r="T79" i="33"/>
  <c r="V79" i="33" s="1"/>
  <c r="T77" i="33"/>
  <c r="V77" i="33" s="1"/>
  <c r="T76" i="33"/>
  <c r="V76" i="33" s="1"/>
  <c r="V74" i="33"/>
  <c r="T74" i="33"/>
  <c r="T73" i="33"/>
  <c r="V73" i="33" s="1"/>
  <c r="T72" i="33"/>
  <c r="V72" i="33" s="1"/>
  <c r="T71" i="33"/>
  <c r="V71" i="33" s="1"/>
  <c r="T69" i="33"/>
  <c r="V69" i="33" s="1"/>
  <c r="T68" i="33"/>
  <c r="V68" i="33" s="1"/>
  <c r="V66" i="33"/>
  <c r="T66" i="33"/>
  <c r="T65" i="33"/>
  <c r="V65" i="33" s="1"/>
  <c r="T64" i="33"/>
  <c r="V64" i="33" s="1"/>
  <c r="T63" i="33"/>
  <c r="V63" i="33" s="1"/>
  <c r="V62" i="33"/>
  <c r="T62" i="33"/>
  <c r="T61" i="33"/>
  <c r="V61" i="33" s="1"/>
  <c r="T60" i="33"/>
  <c r="V60" i="33" s="1"/>
  <c r="P100" i="33"/>
  <c r="T100" i="33" s="1"/>
  <c r="V100" i="33" s="1"/>
  <c r="P103" i="33"/>
  <c r="T103" i="33" s="1"/>
  <c r="V103" i="33" s="1"/>
  <c r="P106" i="33"/>
  <c r="T106" i="33" s="1"/>
  <c r="V106" i="33" s="1"/>
  <c r="P107" i="33"/>
  <c r="P108" i="33"/>
  <c r="P109" i="33"/>
  <c r="T109" i="33" s="1"/>
  <c r="V109" i="33" s="1"/>
  <c r="T108" i="33"/>
  <c r="V108" i="33" s="1"/>
  <c r="V107" i="33"/>
  <c r="T107" i="33"/>
  <c r="P112" i="33"/>
  <c r="T112" i="33" s="1"/>
  <c r="V112" i="33" s="1"/>
  <c r="P115" i="33"/>
  <c r="T115" i="33" s="1"/>
  <c r="V115" i="33" s="1"/>
  <c r="P118" i="33"/>
  <c r="T118" i="33" s="1"/>
  <c r="V118" i="33" s="1"/>
  <c r="P121" i="33"/>
  <c r="T121" i="33" s="1"/>
  <c r="V121" i="33" s="1"/>
  <c r="P124" i="33"/>
  <c r="T124" i="33" s="1"/>
  <c r="V124" i="33" s="1"/>
  <c r="P125" i="33"/>
  <c r="T125" i="33" s="1"/>
  <c r="V125" i="33" s="1"/>
  <c r="P131" i="33"/>
  <c r="T131" i="33" s="1"/>
  <c r="V131" i="33" s="1"/>
  <c r="P135" i="33"/>
  <c r="T135" i="33" s="1"/>
  <c r="V135" i="33" s="1"/>
  <c r="P138" i="33"/>
  <c r="T138" i="33" s="1"/>
  <c r="V138" i="33" s="1"/>
  <c r="P139" i="33"/>
  <c r="T139" i="33" s="1"/>
  <c r="V139" i="33" s="1"/>
  <c r="P140" i="33"/>
  <c r="P141" i="33"/>
  <c r="P142" i="33"/>
  <c r="T142" i="33" s="1"/>
  <c r="V142" i="33" s="1"/>
  <c r="P143" i="33"/>
  <c r="T143" i="33" s="1"/>
  <c r="V143" i="33" s="1"/>
  <c r="P144" i="33"/>
  <c r="P145" i="33"/>
  <c r="P146" i="33"/>
  <c r="T146" i="33" s="1"/>
  <c r="V146" i="33" s="1"/>
  <c r="T145" i="33"/>
  <c r="V145" i="33" s="1"/>
  <c r="T144" i="33"/>
  <c r="V144" i="33" s="1"/>
  <c r="T141" i="33"/>
  <c r="V141" i="33" s="1"/>
  <c r="T140" i="33"/>
  <c r="V140" i="33" s="1"/>
  <c r="P149" i="33"/>
  <c r="T149" i="33" s="1"/>
  <c r="V149" i="33" s="1"/>
  <c r="P152" i="33"/>
  <c r="P153" i="33"/>
  <c r="T153" i="33" s="1"/>
  <c r="V153" i="33" s="1"/>
  <c r="P154" i="33"/>
  <c r="T154" i="33" s="1"/>
  <c r="V154" i="33" s="1"/>
  <c r="P155" i="33"/>
  <c r="P156" i="33"/>
  <c r="P157" i="33"/>
  <c r="T157" i="33" s="1"/>
  <c r="V157" i="33" s="1"/>
  <c r="P158" i="33"/>
  <c r="T158" i="33" s="1"/>
  <c r="V158" i="33" s="1"/>
  <c r="P159" i="33"/>
  <c r="P160" i="33"/>
  <c r="P161" i="33"/>
  <c r="T161" i="33" s="1"/>
  <c r="V161" i="33" s="1"/>
  <c r="P162" i="33"/>
  <c r="T162" i="33" s="1"/>
  <c r="V162" i="33" s="1"/>
  <c r="T160" i="33"/>
  <c r="V160" i="33" s="1"/>
  <c r="T159" i="33"/>
  <c r="V159" i="33" s="1"/>
  <c r="T156" i="33"/>
  <c r="V156" i="33" s="1"/>
  <c r="T155" i="33"/>
  <c r="V155" i="33" s="1"/>
  <c r="T152" i="33"/>
  <c r="V152" i="33" s="1"/>
  <c r="T169" i="33"/>
  <c r="V169" i="33" s="1"/>
  <c r="P169" i="33"/>
  <c r="P172" i="33"/>
  <c r="T172" i="33" s="1"/>
  <c r="V172" i="33" s="1"/>
  <c r="P175" i="33"/>
  <c r="T175" i="33" s="1"/>
  <c r="V175" i="33" s="1"/>
  <c r="P176" i="33"/>
  <c r="P177" i="33"/>
  <c r="T177" i="33"/>
  <c r="V177" i="33" s="1"/>
  <c r="T176" i="33"/>
  <c r="V176" i="33" s="1"/>
  <c r="P180" i="33"/>
  <c r="T180" i="33" s="1"/>
  <c r="V180" i="33" s="1"/>
  <c r="P183" i="33"/>
  <c r="T183" i="33" s="1"/>
  <c r="V183" i="33" s="1"/>
  <c r="P186" i="33"/>
  <c r="T186" i="33" s="1"/>
  <c r="V186" i="33" s="1"/>
  <c r="P189" i="33"/>
  <c r="T189" i="33" s="1"/>
  <c r="V189" i="33" s="1"/>
  <c r="P195" i="33"/>
  <c r="T195" i="33" s="1"/>
  <c r="V195" i="33" s="1"/>
  <c r="P198" i="33"/>
  <c r="T198" i="33" s="1"/>
  <c r="V198" i="33" s="1"/>
  <c r="P201" i="33"/>
  <c r="T201" i="33" s="1"/>
  <c r="V201" i="33" s="1"/>
  <c r="T204" i="33"/>
  <c r="V204" i="33" s="1"/>
  <c r="P204" i="33"/>
  <c r="P207" i="33"/>
  <c r="T207" i="33" s="1"/>
  <c r="V207" i="33" s="1"/>
  <c r="P210" i="33"/>
  <c r="T210" i="33" s="1"/>
  <c r="V210" i="33" s="1"/>
  <c r="P213" i="33"/>
  <c r="T213" i="33" s="1"/>
  <c r="V213" i="33" s="1"/>
  <c r="P217" i="33"/>
  <c r="T217" i="33"/>
  <c r="V217" i="33" s="1"/>
  <c r="A8" i="35"/>
  <c r="A6" i="35"/>
  <c r="A4" i="35"/>
  <c r="A5" i="35"/>
  <c r="B4" i="35"/>
  <c r="B5" i="35"/>
  <c r="A7" i="35"/>
  <c r="B6" i="35"/>
  <c r="P168" i="35" l="1"/>
  <c r="P38" i="35"/>
  <c r="P54" i="35"/>
  <c r="P110" i="35"/>
  <c r="P113" i="35"/>
  <c r="P136" i="35"/>
  <c r="P201" i="35"/>
  <c r="P180" i="35"/>
  <c r="N213" i="35"/>
  <c r="P195" i="35"/>
  <c r="P104" i="35"/>
  <c r="R160" i="35"/>
  <c r="J213" i="35"/>
  <c r="S213" i="35"/>
  <c r="S56" i="35"/>
  <c r="P177" i="35"/>
  <c r="L213" i="35"/>
  <c r="P211" i="35"/>
  <c r="N56" i="35"/>
  <c r="P150" i="35"/>
  <c r="P171" i="35"/>
  <c r="R213" i="35"/>
  <c r="P207" i="35"/>
  <c r="T132" i="35"/>
  <c r="T110" i="35"/>
  <c r="T54" i="35"/>
  <c r="V54" i="35"/>
  <c r="T158" i="35"/>
  <c r="T101" i="35"/>
  <c r="V38" i="35"/>
  <c r="P27" i="35"/>
  <c r="P122" i="35"/>
  <c r="P126" i="35"/>
  <c r="L160" i="35"/>
  <c r="L185" i="35" s="1"/>
  <c r="S160" i="35"/>
  <c r="P158" i="35"/>
  <c r="P174" i="35"/>
  <c r="P192" i="35"/>
  <c r="P101" i="35"/>
  <c r="P116" i="35"/>
  <c r="N160" i="35"/>
  <c r="P147" i="35"/>
  <c r="P183" i="35"/>
  <c r="P189" i="35"/>
  <c r="P198" i="35"/>
  <c r="P119" i="35"/>
  <c r="P132" i="35"/>
  <c r="P204" i="35"/>
  <c r="J160" i="35"/>
  <c r="R3" i="35"/>
  <c r="T27" i="35"/>
  <c r="V27" i="35"/>
  <c r="T45" i="35"/>
  <c r="V45" i="35"/>
  <c r="T51" i="35"/>
  <c r="V51" i="35"/>
  <c r="D10" i="35"/>
  <c r="N128" i="35"/>
  <c r="V116" i="35"/>
  <c r="T116" i="35"/>
  <c r="V122" i="35"/>
  <c r="T122" i="35"/>
  <c r="T168" i="35"/>
  <c r="V168" i="35"/>
  <c r="V180" i="35"/>
  <c r="T180" i="35"/>
  <c r="V192" i="35"/>
  <c r="T192" i="35"/>
  <c r="V207" i="35"/>
  <c r="T207" i="35"/>
  <c r="S3" i="35"/>
  <c r="J56" i="35"/>
  <c r="R56" i="35"/>
  <c r="R128" i="35" s="1"/>
  <c r="V136" i="35"/>
  <c r="T136" i="35"/>
  <c r="P160" i="35"/>
  <c r="V147" i="35"/>
  <c r="V150" i="35"/>
  <c r="T150" i="35"/>
  <c r="N185" i="35"/>
  <c r="N215" i="35" s="1"/>
  <c r="T189" i="35"/>
  <c r="V189" i="35"/>
  <c r="T38" i="35"/>
  <c r="P45" i="35"/>
  <c r="P51" i="35"/>
  <c r="T98" i="35"/>
  <c r="J128" i="35"/>
  <c r="S128" i="35"/>
  <c r="V104" i="35"/>
  <c r="T104" i="35"/>
  <c r="T119" i="35"/>
  <c r="V119" i="35"/>
  <c r="V165" i="35"/>
  <c r="T165" i="35"/>
  <c r="R185" i="35"/>
  <c r="R215" i="35" s="1"/>
  <c r="V195" i="35"/>
  <c r="T195" i="35"/>
  <c r="V204" i="35"/>
  <c r="T204" i="35"/>
  <c r="V98" i="35"/>
  <c r="L128" i="35"/>
  <c r="V126" i="35"/>
  <c r="J185" i="35"/>
  <c r="J215" i="35" s="1"/>
  <c r="S185" i="35"/>
  <c r="S215" i="35" s="1"/>
  <c r="V171" i="35"/>
  <c r="T174" i="35"/>
  <c r="V174" i="35"/>
  <c r="T201" i="35"/>
  <c r="V201" i="35"/>
  <c r="V101" i="35"/>
  <c r="T126" i="35"/>
  <c r="V132" i="35"/>
  <c r="V158" i="35"/>
  <c r="T171" i="35"/>
  <c r="T183" i="35"/>
  <c r="T198" i="35"/>
  <c r="T211" i="35"/>
  <c r="P98" i="35"/>
  <c r="T113" i="35"/>
  <c r="T147" i="35"/>
  <c r="P165" i="35"/>
  <c r="V110" i="35"/>
  <c r="T177" i="35"/>
  <c r="P185" i="35" l="1"/>
  <c r="P213" i="35"/>
  <c r="P215" i="35" s="1"/>
  <c r="L215" i="35"/>
  <c r="P56" i="35"/>
  <c r="P128" i="35" s="1"/>
  <c r="P217" i="35" s="1"/>
  <c r="V56" i="35"/>
  <c r="V128" i="35" s="1"/>
  <c r="L217" i="35"/>
  <c r="J217" i="35"/>
  <c r="T160" i="35"/>
  <c r="T185" i="35" s="1"/>
  <c r="V213" i="35"/>
  <c r="V160" i="35"/>
  <c r="V185" i="35" s="1"/>
  <c r="T221" i="35"/>
  <c r="V221" i="35"/>
  <c r="S217" i="35"/>
  <c r="T213" i="35"/>
  <c r="R217" i="35"/>
  <c r="N217" i="35"/>
  <c r="T56" i="35"/>
  <c r="T128" i="35" s="1"/>
  <c r="T215" i="35" l="1"/>
  <c r="V215" i="35"/>
  <c r="T217" i="35"/>
  <c r="V217" i="35"/>
  <c r="AC15" i="1" l="1"/>
  <c r="AC13" i="1"/>
  <c r="AC14" i="1"/>
  <c r="AC12" i="1"/>
  <c r="AC11" i="1"/>
  <c r="AC10" i="1"/>
  <c r="AD15" i="1"/>
  <c r="AD13" i="1"/>
  <c r="AD14" i="1"/>
  <c r="AD12" i="1"/>
  <c r="AD11" i="1"/>
  <c r="AD10" i="1"/>
  <c r="B63" i="31" l="1"/>
  <c r="P22" i="1"/>
  <c r="Z22" i="1" s="1"/>
  <c r="O22" i="1"/>
  <c r="Y22" i="1" s="1"/>
  <c r="F17" i="1"/>
  <c r="F15" i="1"/>
  <c r="F14" i="1"/>
  <c r="F12" i="1"/>
  <c r="F11" i="1"/>
  <c r="F10" i="1"/>
  <c r="N22" i="1" l="1"/>
  <c r="F22" i="1"/>
  <c r="L22" i="1" s="1"/>
  <c r="E156" i="1"/>
  <c r="D156" i="1"/>
  <c r="C156" i="1"/>
  <c r="E155" i="1"/>
  <c r="D155" i="1"/>
  <c r="C155" i="1"/>
  <c r="E154" i="1"/>
  <c r="D154" i="1"/>
  <c r="C154" i="1"/>
  <c r="E304" i="1"/>
  <c r="P304" i="1" s="1"/>
  <c r="Z304" i="1" s="1"/>
  <c r="E303" i="1"/>
  <c r="P303" i="1" s="1"/>
  <c r="Z303" i="1" s="1"/>
  <c r="E302" i="1"/>
  <c r="P302" i="1" s="1"/>
  <c r="Z302" i="1" s="1"/>
  <c r="E301" i="1"/>
  <c r="P301" i="1" s="1"/>
  <c r="Z301" i="1" s="1"/>
  <c r="E300" i="1"/>
  <c r="P300" i="1" s="1"/>
  <c r="Z300" i="1" s="1"/>
  <c r="C304" i="1"/>
  <c r="C303" i="1"/>
  <c r="C302" i="1"/>
  <c r="C301" i="1"/>
  <c r="C300" i="1"/>
  <c r="C299" i="1"/>
  <c r="X22" i="1" l="1"/>
  <c r="Q22" i="1"/>
  <c r="O154" i="1"/>
  <c r="Y154" i="1" s="1"/>
  <c r="AF154" i="1" s="1"/>
  <c r="P155" i="1"/>
  <c r="Z155" i="1" s="1"/>
  <c r="N300" i="1"/>
  <c r="N304" i="1"/>
  <c r="P154" i="1"/>
  <c r="Z154" i="1" s="1"/>
  <c r="AG154" i="1" s="1"/>
  <c r="N156" i="1"/>
  <c r="F156" i="1"/>
  <c r="L156" i="1" s="1"/>
  <c r="C77" i="31"/>
  <c r="C80" i="31"/>
  <c r="E80" i="31" s="1"/>
  <c r="V58" i="31" s="1"/>
  <c r="H303" i="1" s="1"/>
  <c r="N303" i="1" s="1"/>
  <c r="X303" i="1" s="1"/>
  <c r="C79" i="31"/>
  <c r="N155" i="1"/>
  <c r="F155" i="1"/>
  <c r="L155" i="1" s="1"/>
  <c r="O156" i="1"/>
  <c r="Y156" i="1" s="1"/>
  <c r="AF156" i="1" s="1"/>
  <c r="C78" i="31"/>
  <c r="F154" i="1"/>
  <c r="L154" i="1" s="1"/>
  <c r="N154" i="1"/>
  <c r="O155" i="1"/>
  <c r="Y155" i="1" s="1"/>
  <c r="AF155" i="1" s="1"/>
  <c r="P156" i="1"/>
  <c r="Z156" i="1" s="1"/>
  <c r="AG156" i="1" s="1"/>
  <c r="C306" i="20"/>
  <c r="J306" i="20" s="1"/>
  <c r="C275" i="20"/>
  <c r="J275" i="20" s="1"/>
  <c r="C246" i="20"/>
  <c r="J246" i="20" s="1"/>
  <c r="C140" i="20"/>
  <c r="J140" i="20" s="1"/>
  <c r="C139" i="20"/>
  <c r="J139" i="20" s="1"/>
  <c r="C138" i="20"/>
  <c r="J138" i="20" s="1"/>
  <c r="C137" i="20"/>
  <c r="J137" i="20" s="1"/>
  <c r="C136" i="20"/>
  <c r="J136" i="20" s="1"/>
  <c r="C135" i="20"/>
  <c r="J135" i="20" s="1"/>
  <c r="C116" i="20"/>
  <c r="J116" i="20" s="1"/>
  <c r="C107" i="20"/>
  <c r="J107" i="20" s="1"/>
  <c r="C106" i="20"/>
  <c r="J106" i="20" s="1"/>
  <c r="C105" i="20"/>
  <c r="J105" i="20" s="1"/>
  <c r="V230" i="33"/>
  <c r="T230" i="33"/>
  <c r="S230" i="33"/>
  <c r="R230" i="33"/>
  <c r="P230" i="33"/>
  <c r="N230" i="33"/>
  <c r="L230" i="33"/>
  <c r="J230" i="33"/>
  <c r="S219" i="33"/>
  <c r="R219" i="33"/>
  <c r="N219" i="33"/>
  <c r="L219" i="33"/>
  <c r="J219" i="33"/>
  <c r="S215" i="33"/>
  <c r="R215" i="33"/>
  <c r="N215" i="33"/>
  <c r="L215" i="33"/>
  <c r="J215" i="33"/>
  <c r="P215" i="33" s="1"/>
  <c r="S212" i="33"/>
  <c r="R212" i="33"/>
  <c r="N212" i="33"/>
  <c r="L212" i="33"/>
  <c r="J212" i="33"/>
  <c r="V212" i="33"/>
  <c r="S209" i="33"/>
  <c r="R209" i="33"/>
  <c r="N209" i="33"/>
  <c r="L209" i="33"/>
  <c r="J209" i="33"/>
  <c r="S206" i="33"/>
  <c r="R206" i="33"/>
  <c r="N206" i="33"/>
  <c r="L206" i="33"/>
  <c r="J206" i="33"/>
  <c r="S203" i="33"/>
  <c r="R203" i="33"/>
  <c r="N203" i="33"/>
  <c r="L203" i="33"/>
  <c r="J203" i="33"/>
  <c r="S200" i="33"/>
  <c r="R200" i="33"/>
  <c r="N200" i="33"/>
  <c r="L200" i="33"/>
  <c r="J200" i="33"/>
  <c r="V200" i="33"/>
  <c r="S197" i="33"/>
  <c r="S221" i="33" s="1"/>
  <c r="R197" i="33"/>
  <c r="N197" i="33"/>
  <c r="L197" i="33"/>
  <c r="J197" i="33"/>
  <c r="J221" i="33" s="1"/>
  <c r="S191" i="33"/>
  <c r="R191" i="33"/>
  <c r="N191" i="33"/>
  <c r="L191" i="33"/>
  <c r="J191" i="33"/>
  <c r="S188" i="33"/>
  <c r="R188" i="33"/>
  <c r="N188" i="33"/>
  <c r="L188" i="33"/>
  <c r="J188" i="33"/>
  <c r="S185" i="33"/>
  <c r="R185" i="33"/>
  <c r="N185" i="33"/>
  <c r="L185" i="33"/>
  <c r="J185" i="33"/>
  <c r="V185" i="33"/>
  <c r="S182" i="33"/>
  <c r="R182" i="33"/>
  <c r="N182" i="33"/>
  <c r="L182" i="33"/>
  <c r="P182" i="33" s="1"/>
  <c r="J182" i="33"/>
  <c r="S179" i="33"/>
  <c r="R179" i="33"/>
  <c r="N179" i="33"/>
  <c r="L179" i="33"/>
  <c r="J179" i="33"/>
  <c r="S174" i="33"/>
  <c r="R174" i="33"/>
  <c r="N174" i="33"/>
  <c r="L174" i="33"/>
  <c r="J174" i="33"/>
  <c r="S171" i="33"/>
  <c r="R171" i="33"/>
  <c r="N171" i="33"/>
  <c r="L171" i="33"/>
  <c r="J171" i="33"/>
  <c r="P171" i="33" s="1"/>
  <c r="S164" i="33"/>
  <c r="R164" i="33"/>
  <c r="N164" i="33"/>
  <c r="L164" i="33"/>
  <c r="J164" i="33"/>
  <c r="S151" i="33"/>
  <c r="R151" i="33"/>
  <c r="N151" i="33"/>
  <c r="L151" i="33"/>
  <c r="J151" i="33"/>
  <c r="S148" i="33"/>
  <c r="R148" i="33"/>
  <c r="N148" i="33"/>
  <c r="L148" i="33"/>
  <c r="J148" i="33"/>
  <c r="S137" i="33"/>
  <c r="R137" i="33"/>
  <c r="N137" i="33"/>
  <c r="L137" i="33"/>
  <c r="J137" i="33"/>
  <c r="V137" i="33"/>
  <c r="S133" i="33"/>
  <c r="R133" i="33"/>
  <c r="N133" i="33"/>
  <c r="L133" i="33"/>
  <c r="J133" i="33"/>
  <c r="S127" i="33"/>
  <c r="R127" i="33"/>
  <c r="N127" i="33"/>
  <c r="L127" i="33"/>
  <c r="J127" i="33"/>
  <c r="S123" i="33"/>
  <c r="R123" i="33"/>
  <c r="N123" i="33"/>
  <c r="L123" i="33"/>
  <c r="J123" i="33"/>
  <c r="V123" i="33"/>
  <c r="S120" i="33"/>
  <c r="R120" i="33"/>
  <c r="N120" i="33"/>
  <c r="L120" i="33"/>
  <c r="J120" i="33"/>
  <c r="S117" i="33"/>
  <c r="R117" i="33"/>
  <c r="N117" i="33"/>
  <c r="L117" i="33"/>
  <c r="J117" i="33"/>
  <c r="S114" i="33"/>
  <c r="R114" i="33"/>
  <c r="N114" i="33"/>
  <c r="L114" i="33"/>
  <c r="J114" i="33"/>
  <c r="S111" i="33"/>
  <c r="R111" i="33"/>
  <c r="N111" i="33"/>
  <c r="L111" i="33"/>
  <c r="J111" i="33"/>
  <c r="S105" i="33"/>
  <c r="R105" i="33"/>
  <c r="N105" i="33"/>
  <c r="L105" i="33"/>
  <c r="J105" i="33"/>
  <c r="V105" i="33"/>
  <c r="S102" i="33"/>
  <c r="R102" i="33"/>
  <c r="N102" i="33"/>
  <c r="L102" i="33"/>
  <c r="J102" i="33"/>
  <c r="S99" i="33"/>
  <c r="R99" i="33"/>
  <c r="N99" i="33"/>
  <c r="L99" i="33"/>
  <c r="J99" i="33"/>
  <c r="S55" i="33"/>
  <c r="R55" i="33"/>
  <c r="N55" i="33"/>
  <c r="L55" i="33"/>
  <c r="J55" i="33"/>
  <c r="T55" i="33"/>
  <c r="S52" i="33"/>
  <c r="R52" i="33"/>
  <c r="N52" i="33"/>
  <c r="L52" i="33"/>
  <c r="J52" i="33"/>
  <c r="S46" i="33"/>
  <c r="R46" i="33"/>
  <c r="N46" i="33"/>
  <c r="L46" i="33"/>
  <c r="J46" i="33"/>
  <c r="V46" i="33"/>
  <c r="S39" i="33"/>
  <c r="R39" i="33"/>
  <c r="N39" i="33"/>
  <c r="L39" i="33"/>
  <c r="J39" i="33"/>
  <c r="S28" i="33"/>
  <c r="R28" i="33"/>
  <c r="N28" i="33"/>
  <c r="L28" i="33"/>
  <c r="J28" i="33"/>
  <c r="B7" i="33"/>
  <c r="D10" i="33" s="1"/>
  <c r="T3" i="33"/>
  <c r="P3" i="33"/>
  <c r="N3" i="33"/>
  <c r="L3" i="33"/>
  <c r="J3" i="33"/>
  <c r="P2" i="33"/>
  <c r="T2" i="33" s="1"/>
  <c r="V2" i="33" s="1"/>
  <c r="A8" i="33"/>
  <c r="A6" i="33"/>
  <c r="A4" i="33"/>
  <c r="A5" i="33"/>
  <c r="A7" i="33"/>
  <c r="B4" i="33"/>
  <c r="B5" i="33"/>
  <c r="B6" i="33"/>
  <c r="AA22" i="1" l="1"/>
  <c r="X156" i="1"/>
  <c r="AA156" i="1" s="1"/>
  <c r="Q156" i="1"/>
  <c r="X304" i="1"/>
  <c r="AG155" i="1"/>
  <c r="Q154" i="1"/>
  <c r="X154" i="1"/>
  <c r="AA154" i="1" s="1"/>
  <c r="Q155" i="1"/>
  <c r="X155" i="1"/>
  <c r="AA155" i="1" s="1"/>
  <c r="X300" i="1"/>
  <c r="AE156" i="1"/>
  <c r="P114" i="33"/>
  <c r="P127" i="33"/>
  <c r="P203" i="33"/>
  <c r="P120" i="33"/>
  <c r="P151" i="33"/>
  <c r="N221" i="33"/>
  <c r="R57" i="33"/>
  <c r="P206" i="33"/>
  <c r="P174" i="33"/>
  <c r="P212" i="33"/>
  <c r="P55" i="33"/>
  <c r="P148" i="33"/>
  <c r="P179" i="33"/>
  <c r="P188" i="33"/>
  <c r="P209" i="33"/>
  <c r="R221" i="33"/>
  <c r="T114" i="33"/>
  <c r="V114" i="33"/>
  <c r="T127" i="33"/>
  <c r="V127" i="33"/>
  <c r="T151" i="33"/>
  <c r="V151" i="33"/>
  <c r="T171" i="33"/>
  <c r="V171" i="33"/>
  <c r="L57" i="33"/>
  <c r="L129" i="33" s="1"/>
  <c r="P52" i="33"/>
  <c r="V55" i="33"/>
  <c r="P102" i="33"/>
  <c r="P105" i="33"/>
  <c r="P111" i="33"/>
  <c r="P123" i="33"/>
  <c r="J166" i="33"/>
  <c r="S166" i="33"/>
  <c r="P185" i="33"/>
  <c r="P46" i="33"/>
  <c r="V52" i="33"/>
  <c r="P117" i="33"/>
  <c r="P133" i="33"/>
  <c r="P137" i="33"/>
  <c r="P164" i="33"/>
  <c r="N166" i="33"/>
  <c r="P197" i="33"/>
  <c r="P200" i="33"/>
  <c r="R166" i="33"/>
  <c r="R193" i="33" s="1"/>
  <c r="R223" i="33" s="1"/>
  <c r="P191" i="33"/>
  <c r="P219" i="33"/>
  <c r="T39" i="33"/>
  <c r="V39" i="33"/>
  <c r="V28" i="33"/>
  <c r="S3" i="33"/>
  <c r="T28" i="33"/>
  <c r="R129" i="33"/>
  <c r="T117" i="33"/>
  <c r="V117" i="33"/>
  <c r="V133" i="33"/>
  <c r="T133" i="33"/>
  <c r="T148" i="33"/>
  <c r="V148" i="33"/>
  <c r="J193" i="33"/>
  <c r="J223" i="33" s="1"/>
  <c r="V179" i="33"/>
  <c r="T179" i="33"/>
  <c r="V197" i="33"/>
  <c r="T197" i="33"/>
  <c r="V206" i="33"/>
  <c r="T206" i="33"/>
  <c r="N57" i="33"/>
  <c r="N129" i="33" s="1"/>
  <c r="T46" i="33"/>
  <c r="P166" i="33"/>
  <c r="P193" i="33" s="1"/>
  <c r="T164" i="33"/>
  <c r="V164" i="33"/>
  <c r="S193" i="33"/>
  <c r="S223" i="33" s="1"/>
  <c r="T203" i="33"/>
  <c r="V203" i="33"/>
  <c r="T13" i="33"/>
  <c r="S13" i="33" s="1"/>
  <c r="R13" i="33" s="1"/>
  <c r="T52" i="33"/>
  <c r="V102" i="33"/>
  <c r="T102" i="33"/>
  <c r="T111" i="33"/>
  <c r="V111" i="33"/>
  <c r="V120" i="33"/>
  <c r="T120" i="33"/>
  <c r="N193" i="33"/>
  <c r="N223" i="33" s="1"/>
  <c r="T174" i="33"/>
  <c r="V174" i="33"/>
  <c r="V182" i="33"/>
  <c r="T182" i="33"/>
  <c r="V191" i="33"/>
  <c r="T191" i="33"/>
  <c r="P221" i="33"/>
  <c r="V209" i="33"/>
  <c r="T209" i="33"/>
  <c r="V219" i="33"/>
  <c r="T219" i="33"/>
  <c r="R3" i="33"/>
  <c r="J57" i="33"/>
  <c r="J129" i="33" s="1"/>
  <c r="J225" i="33" s="1"/>
  <c r="P28" i="33"/>
  <c r="S57" i="33"/>
  <c r="S129" i="33" s="1"/>
  <c r="P39" i="33"/>
  <c r="T99" i="33"/>
  <c r="V99" i="33"/>
  <c r="T188" i="33"/>
  <c r="V188" i="33"/>
  <c r="T215" i="33"/>
  <c r="V215" i="33"/>
  <c r="P99" i="33"/>
  <c r="L166" i="33"/>
  <c r="L193" i="33" s="1"/>
  <c r="T185" i="33"/>
  <c r="T200" i="33"/>
  <c r="T212" i="33"/>
  <c r="T105" i="33"/>
  <c r="T123" i="33"/>
  <c r="T137" i="33"/>
  <c r="L221" i="33"/>
  <c r="AE155" i="1" l="1"/>
  <c r="AE154" i="1"/>
  <c r="AI154" i="1" s="1"/>
  <c r="AI156" i="1"/>
  <c r="AI155" i="1"/>
  <c r="P223" i="33"/>
  <c r="N225" i="33"/>
  <c r="V166" i="33"/>
  <c r="V193" i="33" s="1"/>
  <c r="T166" i="33"/>
  <c r="T193" i="33" s="1"/>
  <c r="S225" i="33"/>
  <c r="P57" i="33"/>
  <c r="P129" i="33" s="1"/>
  <c r="P225" i="33" s="1"/>
  <c r="R225" i="33"/>
  <c r="L223" i="33"/>
  <c r="L225" i="33" s="1"/>
  <c r="V221" i="33"/>
  <c r="V57" i="33"/>
  <c r="V129" i="33" s="1"/>
  <c r="T221" i="33"/>
  <c r="T57" i="33"/>
  <c r="T129" i="33" s="1"/>
  <c r="T223" i="33" l="1"/>
  <c r="T225" i="33" s="1"/>
  <c r="V223" i="33"/>
  <c r="V225" i="33" s="1"/>
  <c r="AF16" i="1" l="1"/>
  <c r="C15" i="49" s="1"/>
  <c r="K15" i="49" s="1"/>
  <c r="AG16" i="1"/>
  <c r="AB58" i="31"/>
  <c r="AB41" i="31"/>
  <c r="AB40" i="31"/>
  <c r="AB39" i="31"/>
  <c r="AB38" i="31"/>
  <c r="AB37" i="31"/>
  <c r="AB36" i="31"/>
  <c r="AB33" i="31"/>
  <c r="AB31" i="31"/>
  <c r="AB29" i="31"/>
  <c r="AB27" i="31"/>
  <c r="AB26" i="31"/>
  <c r="AA21" i="31"/>
  <c r="X21" i="31"/>
  <c r="W21" i="31"/>
  <c r="V21" i="31"/>
  <c r="U21" i="31"/>
  <c r="T21" i="31"/>
  <c r="S21" i="31"/>
  <c r="D13" i="31" l="1"/>
  <c r="J13" i="31" s="1"/>
  <c r="D17" i="31"/>
  <c r="J17" i="31" s="1"/>
  <c r="L17" i="31" s="1"/>
  <c r="D14" i="31"/>
  <c r="AB13" i="1" s="1"/>
  <c r="D18" i="31"/>
  <c r="D11" i="31"/>
  <c r="AB12" i="1" s="1"/>
  <c r="D15" i="31"/>
  <c r="J15" i="31" s="1"/>
  <c r="D19" i="31"/>
  <c r="I21" i="31"/>
  <c r="D12" i="31"/>
  <c r="AB14" i="1" s="1"/>
  <c r="E21" i="31"/>
  <c r="H21" i="31"/>
  <c r="G21" i="31"/>
  <c r="C21" i="31"/>
  <c r="F21" i="31"/>
  <c r="D10" i="31"/>
  <c r="AB11" i="1" s="1"/>
  <c r="C18" i="20"/>
  <c r="D16" i="31"/>
  <c r="AB15" i="1" s="1"/>
  <c r="X59" i="31"/>
  <c r="B89" i="31"/>
  <c r="AB35" i="31"/>
  <c r="B93" i="31"/>
  <c r="B21" i="31"/>
  <c r="D9" i="31"/>
  <c r="AB10" i="1" s="1"/>
  <c r="H16" i="1" l="1"/>
  <c r="R17" i="31"/>
  <c r="AB17" i="31" s="1"/>
  <c r="J18" i="31"/>
  <c r="AB17" i="1"/>
  <c r="J10" i="31"/>
  <c r="J19" i="31"/>
  <c r="J14" i="31"/>
  <c r="L14" i="31" s="1"/>
  <c r="H13" i="1" s="1"/>
  <c r="J16" i="31"/>
  <c r="J12" i="31"/>
  <c r="J11" i="31"/>
  <c r="D21" i="31"/>
  <c r="B65" i="31" s="1"/>
  <c r="J9" i="31"/>
  <c r="B95" i="31"/>
  <c r="AB133" i="1" l="1"/>
  <c r="C121" i="20" s="1"/>
  <c r="H133" i="1"/>
  <c r="E121" i="20"/>
  <c r="H121" i="20" s="1"/>
  <c r="J121" i="20" s="1"/>
  <c r="N16" i="1"/>
  <c r="L16" i="1"/>
  <c r="R14" i="31"/>
  <c r="AB14" i="31" s="1"/>
  <c r="J21" i="31"/>
  <c r="Q16" i="1" l="1"/>
  <c r="X16" i="1"/>
  <c r="AB268" i="1"/>
  <c r="C237" i="20" s="1"/>
  <c r="J237" i="20" s="1"/>
  <c r="AA16" i="1" l="1"/>
  <c r="AE16" i="1"/>
  <c r="C346" i="1"/>
  <c r="N346" i="1" s="1"/>
  <c r="C341" i="1"/>
  <c r="C336" i="1"/>
  <c r="C335" i="1"/>
  <c r="C334" i="1"/>
  <c r="C333" i="1"/>
  <c r="C332" i="1"/>
  <c r="C331" i="1"/>
  <c r="C326" i="1"/>
  <c r="C321" i="1"/>
  <c r="C320" i="1"/>
  <c r="C315" i="1"/>
  <c r="C310" i="1"/>
  <c r="C309" i="1"/>
  <c r="C298" i="1"/>
  <c r="C296" i="1"/>
  <c r="C295" i="1"/>
  <c r="C290" i="1"/>
  <c r="C289" i="1"/>
  <c r="C288" i="1"/>
  <c r="C287" i="1"/>
  <c r="C286" i="1"/>
  <c r="C285" i="1"/>
  <c r="C284" i="1"/>
  <c r="C283" i="1"/>
  <c r="C282" i="1"/>
  <c r="C281" i="1"/>
  <c r="C280" i="1"/>
  <c r="C279" i="1"/>
  <c r="C278" i="1"/>
  <c r="C277" i="1"/>
  <c r="C276" i="1"/>
  <c r="C275" i="1"/>
  <c r="C274" i="1"/>
  <c r="C273" i="1"/>
  <c r="C272" i="1"/>
  <c r="C271" i="1"/>
  <c r="C270" i="1"/>
  <c r="C269" i="1"/>
  <c r="C268" i="1"/>
  <c r="C263" i="1"/>
  <c r="C258" i="1"/>
  <c r="AB16" i="1" l="1"/>
  <c r="N268" i="1"/>
  <c r="N280" i="1"/>
  <c r="X280" i="1" s="1"/>
  <c r="N288" i="1"/>
  <c r="X288" i="1" s="1"/>
  <c r="C74" i="31"/>
  <c r="N315" i="1"/>
  <c r="N331" i="1"/>
  <c r="X331" i="1" s="1"/>
  <c r="N335" i="1"/>
  <c r="X335" i="1" s="1"/>
  <c r="C50" i="31"/>
  <c r="N272" i="1"/>
  <c r="X272" i="1" s="1"/>
  <c r="N284" i="1"/>
  <c r="X284" i="1" s="1"/>
  <c r="N269" i="1"/>
  <c r="N277" i="1"/>
  <c r="X277" i="1" s="1"/>
  <c r="N281" i="1"/>
  <c r="X281" i="1" s="1"/>
  <c r="N285" i="1"/>
  <c r="X285" i="1" s="1"/>
  <c r="N289" i="1"/>
  <c r="X289" i="1" s="1"/>
  <c r="C76" i="31"/>
  <c r="N320" i="1"/>
  <c r="X320" i="1" s="1"/>
  <c r="N336" i="1"/>
  <c r="N276" i="1"/>
  <c r="X276" i="1" s="1"/>
  <c r="C52" i="37"/>
  <c r="D52" i="37" s="1"/>
  <c r="S258" i="1" s="1"/>
  <c r="N258" i="1"/>
  <c r="N270" i="1"/>
  <c r="C53" i="31"/>
  <c r="N278" i="1"/>
  <c r="N282" i="1"/>
  <c r="C54" i="31"/>
  <c r="N286" i="1"/>
  <c r="N290" i="1"/>
  <c r="N309" i="1"/>
  <c r="X309" i="1" s="1"/>
  <c r="N321" i="1"/>
  <c r="N333" i="1"/>
  <c r="N341" i="1"/>
  <c r="B97" i="31"/>
  <c r="B99" i="31" s="1"/>
  <c r="W42" i="31" s="1"/>
  <c r="N271" i="1"/>
  <c r="AI52" i="36"/>
  <c r="AI53" i="36" s="1"/>
  <c r="N279" i="1"/>
  <c r="N283" i="1"/>
  <c r="N287" i="1"/>
  <c r="C73" i="31"/>
  <c r="N310" i="1"/>
  <c r="N326" i="1"/>
  <c r="N334" i="1"/>
  <c r="X346" i="1"/>
  <c r="C51" i="31"/>
  <c r="D51" i="31"/>
  <c r="H273" i="1" s="1"/>
  <c r="N273" i="1" s="1"/>
  <c r="X273" i="1" s="1"/>
  <c r="C52" i="31"/>
  <c r="D52" i="31"/>
  <c r="H274" i="1" s="1"/>
  <c r="N274" i="1" s="1"/>
  <c r="B42" i="31"/>
  <c r="E346" i="1"/>
  <c r="P346" i="1" s="1"/>
  <c r="Z346" i="1" s="1"/>
  <c r="E341" i="1"/>
  <c r="P341" i="1" s="1"/>
  <c r="Z341" i="1" s="1"/>
  <c r="E336" i="1"/>
  <c r="P336" i="1" s="1"/>
  <c r="Z336" i="1" s="1"/>
  <c r="E335" i="1"/>
  <c r="P335" i="1" s="1"/>
  <c r="Z335" i="1" s="1"/>
  <c r="E334" i="1"/>
  <c r="P334" i="1" s="1"/>
  <c r="Z334" i="1" s="1"/>
  <c r="E333" i="1"/>
  <c r="P333" i="1" s="1"/>
  <c r="Z333" i="1" s="1"/>
  <c r="E332" i="1"/>
  <c r="E331" i="1"/>
  <c r="P331" i="1" s="1"/>
  <c r="Z331" i="1" s="1"/>
  <c r="E326" i="1"/>
  <c r="P326" i="1" s="1"/>
  <c r="Z326" i="1" s="1"/>
  <c r="E321" i="1"/>
  <c r="P321" i="1" s="1"/>
  <c r="Z321" i="1" s="1"/>
  <c r="E320" i="1"/>
  <c r="P320" i="1" s="1"/>
  <c r="E315" i="1"/>
  <c r="P315" i="1" s="1"/>
  <c r="Z315" i="1" s="1"/>
  <c r="E310" i="1"/>
  <c r="P310" i="1" s="1"/>
  <c r="Z310" i="1" s="1"/>
  <c r="E309" i="1"/>
  <c r="P309" i="1" s="1"/>
  <c r="Z309" i="1" s="1"/>
  <c r="E299" i="1"/>
  <c r="P299" i="1" s="1"/>
  <c r="Z299" i="1" s="1"/>
  <c r="E298" i="1"/>
  <c r="P298" i="1" s="1"/>
  <c r="Z298" i="1" s="1"/>
  <c r="E297" i="1"/>
  <c r="P297" i="1" s="1"/>
  <c r="Z297" i="1" s="1"/>
  <c r="E296" i="1"/>
  <c r="P296" i="1" s="1"/>
  <c r="Z296" i="1" s="1"/>
  <c r="E295" i="1"/>
  <c r="P295" i="1" s="1"/>
  <c r="Z295" i="1" s="1"/>
  <c r="E290" i="1"/>
  <c r="P290" i="1" s="1"/>
  <c r="Z290" i="1" s="1"/>
  <c r="E289" i="1"/>
  <c r="P289" i="1" s="1"/>
  <c r="Z289" i="1" s="1"/>
  <c r="E288" i="1"/>
  <c r="P288" i="1" s="1"/>
  <c r="E287" i="1"/>
  <c r="P287" i="1" s="1"/>
  <c r="Z287" i="1" s="1"/>
  <c r="E286" i="1"/>
  <c r="P286" i="1" s="1"/>
  <c r="Z286" i="1" s="1"/>
  <c r="E285" i="1"/>
  <c r="P285" i="1" s="1"/>
  <c r="Z285" i="1" s="1"/>
  <c r="E284" i="1"/>
  <c r="P284" i="1" s="1"/>
  <c r="E283" i="1"/>
  <c r="P283" i="1" s="1"/>
  <c r="Z283" i="1" s="1"/>
  <c r="E282" i="1"/>
  <c r="P282" i="1" s="1"/>
  <c r="Z282" i="1" s="1"/>
  <c r="E281" i="1"/>
  <c r="P281" i="1" s="1"/>
  <c r="Z281" i="1" s="1"/>
  <c r="E280" i="1"/>
  <c r="P280" i="1" s="1"/>
  <c r="E279" i="1"/>
  <c r="P279" i="1" s="1"/>
  <c r="Z279" i="1" s="1"/>
  <c r="E278" i="1"/>
  <c r="P278" i="1" s="1"/>
  <c r="Z278" i="1" s="1"/>
  <c r="E277" i="1"/>
  <c r="P277" i="1" s="1"/>
  <c r="Z277" i="1" s="1"/>
  <c r="E276" i="1"/>
  <c r="P276" i="1" s="1"/>
  <c r="E275" i="1"/>
  <c r="P275" i="1" s="1"/>
  <c r="Z275" i="1" s="1"/>
  <c r="E274" i="1"/>
  <c r="P274" i="1" s="1"/>
  <c r="Z274" i="1" s="1"/>
  <c r="E273" i="1"/>
  <c r="P273" i="1" s="1"/>
  <c r="Z273" i="1" s="1"/>
  <c r="E272" i="1"/>
  <c r="P272" i="1" s="1"/>
  <c r="E271" i="1"/>
  <c r="P271" i="1" s="1"/>
  <c r="Z271" i="1" s="1"/>
  <c r="E270" i="1"/>
  <c r="P270" i="1" s="1"/>
  <c r="Z270" i="1" s="1"/>
  <c r="E269" i="1"/>
  <c r="P269" i="1" s="1"/>
  <c r="Z269" i="1" s="1"/>
  <c r="E268" i="1"/>
  <c r="P268" i="1" s="1"/>
  <c r="Z268" i="1" s="1"/>
  <c r="E263" i="1"/>
  <c r="P263" i="1" s="1"/>
  <c r="Z263" i="1" s="1"/>
  <c r="E258" i="1"/>
  <c r="P258" i="1" s="1"/>
  <c r="Z258" i="1" s="1"/>
  <c r="E257" i="1"/>
  <c r="P257" i="1" s="1"/>
  <c r="Z257" i="1" s="1"/>
  <c r="E256" i="1"/>
  <c r="P256" i="1" s="1"/>
  <c r="Z256" i="1" s="1"/>
  <c r="E255" i="1"/>
  <c r="P255" i="1" s="1"/>
  <c r="Z255" i="1" s="1"/>
  <c r="E254" i="1"/>
  <c r="E253" i="1"/>
  <c r="P253" i="1" s="1"/>
  <c r="Z253" i="1" s="1"/>
  <c r="E252" i="1"/>
  <c r="P252" i="1" s="1"/>
  <c r="Z252" i="1" s="1"/>
  <c r="E247" i="1"/>
  <c r="P247" i="1" s="1"/>
  <c r="Z247" i="1" s="1"/>
  <c r="E246" i="1"/>
  <c r="P246" i="1" s="1"/>
  <c r="Z246" i="1" s="1"/>
  <c r="E245" i="1"/>
  <c r="P245" i="1" s="1"/>
  <c r="Z245" i="1" s="1"/>
  <c r="E244" i="1"/>
  <c r="E243" i="1"/>
  <c r="P243" i="1" s="1"/>
  <c r="Z243" i="1" s="1"/>
  <c r="E242" i="1"/>
  <c r="P242" i="1" s="1"/>
  <c r="Z242" i="1" s="1"/>
  <c r="E237" i="1"/>
  <c r="P237" i="1" s="1"/>
  <c r="Z237" i="1" s="1"/>
  <c r="E236" i="1"/>
  <c r="P236" i="1" s="1"/>
  <c r="Z236" i="1" s="1"/>
  <c r="E235" i="1"/>
  <c r="P235" i="1" s="1"/>
  <c r="E234" i="1"/>
  <c r="P234" i="1" s="1"/>
  <c r="Z234" i="1" s="1"/>
  <c r="E229" i="1"/>
  <c r="P229" i="1" s="1"/>
  <c r="Z229" i="1" s="1"/>
  <c r="E228" i="1"/>
  <c r="P228" i="1" s="1"/>
  <c r="Z228" i="1" s="1"/>
  <c r="E223" i="1"/>
  <c r="P223" i="1" s="1"/>
  <c r="Z223" i="1" s="1"/>
  <c r="E218" i="1"/>
  <c r="P218" i="1" s="1"/>
  <c r="Z218" i="1" s="1"/>
  <c r="E217" i="1"/>
  <c r="P217" i="1" s="1"/>
  <c r="Z217" i="1" s="1"/>
  <c r="E216" i="1"/>
  <c r="P216" i="1" s="1"/>
  <c r="Z216" i="1" s="1"/>
  <c r="E215" i="1"/>
  <c r="P215" i="1" s="1"/>
  <c r="Z215" i="1" s="1"/>
  <c r="E214" i="1"/>
  <c r="P214" i="1" s="1"/>
  <c r="Z214" i="1" s="1"/>
  <c r="E213" i="1"/>
  <c r="P213" i="1" s="1"/>
  <c r="Z213" i="1" s="1"/>
  <c r="E212" i="1"/>
  <c r="P212" i="1" s="1"/>
  <c r="Z212" i="1" s="1"/>
  <c r="E211" i="1"/>
  <c r="P211" i="1" s="1"/>
  <c r="Z211" i="1" s="1"/>
  <c r="E210" i="1"/>
  <c r="P210" i="1" s="1"/>
  <c r="Z210" i="1" s="1"/>
  <c r="E209" i="1"/>
  <c r="P209" i="1" s="1"/>
  <c r="Z209" i="1" s="1"/>
  <c r="E208" i="1"/>
  <c r="P208" i="1" s="1"/>
  <c r="Z208" i="1" s="1"/>
  <c r="E207" i="1"/>
  <c r="P207" i="1" s="1"/>
  <c r="Z207" i="1" s="1"/>
  <c r="E206" i="1"/>
  <c r="P206" i="1" s="1"/>
  <c r="Z206" i="1" s="1"/>
  <c r="E201" i="1"/>
  <c r="E196" i="1"/>
  <c r="P196" i="1" s="1"/>
  <c r="Z196" i="1" s="1"/>
  <c r="E195" i="1"/>
  <c r="P195" i="1" s="1"/>
  <c r="Z195" i="1" s="1"/>
  <c r="E194" i="1"/>
  <c r="P194" i="1" s="1"/>
  <c r="E193" i="1"/>
  <c r="P193" i="1" s="1"/>
  <c r="Z193" i="1" s="1"/>
  <c r="E192" i="1"/>
  <c r="P192" i="1" s="1"/>
  <c r="Z192" i="1" s="1"/>
  <c r="E191" i="1"/>
  <c r="P191" i="1" s="1"/>
  <c r="E190" i="1"/>
  <c r="P190" i="1" s="1"/>
  <c r="E189" i="1"/>
  <c r="P189" i="1" s="1"/>
  <c r="E184" i="1"/>
  <c r="P184" i="1" s="1"/>
  <c r="Z184" i="1" s="1"/>
  <c r="E183" i="1"/>
  <c r="P183" i="1" s="1"/>
  <c r="Z183" i="1" s="1"/>
  <c r="E182" i="1"/>
  <c r="P182" i="1" s="1"/>
  <c r="Z182" i="1" s="1"/>
  <c r="E181" i="1"/>
  <c r="P181" i="1" s="1"/>
  <c r="Z181" i="1" s="1"/>
  <c r="E176" i="1"/>
  <c r="P176" i="1" s="1"/>
  <c r="Z176" i="1" s="1"/>
  <c r="E175" i="1"/>
  <c r="P175" i="1" s="1"/>
  <c r="Z175" i="1" s="1"/>
  <c r="E174" i="1"/>
  <c r="P174" i="1" s="1"/>
  <c r="Z174" i="1" s="1"/>
  <c r="E169" i="1"/>
  <c r="P169" i="1" s="1"/>
  <c r="Z169" i="1" s="1"/>
  <c r="E168" i="1"/>
  <c r="P168" i="1" s="1"/>
  <c r="Z168" i="1" s="1"/>
  <c r="E167" i="1"/>
  <c r="P167" i="1" s="1"/>
  <c r="E162" i="1"/>
  <c r="P162" i="1" s="1"/>
  <c r="Z162" i="1" s="1"/>
  <c r="E157" i="1"/>
  <c r="P157" i="1" s="1"/>
  <c r="Z157" i="1" s="1"/>
  <c r="E153" i="1"/>
  <c r="P153" i="1" s="1"/>
  <c r="Z153" i="1" s="1"/>
  <c r="E152" i="1"/>
  <c r="P152" i="1" s="1"/>
  <c r="Z152" i="1" s="1"/>
  <c r="E151" i="1"/>
  <c r="P151" i="1" s="1"/>
  <c r="Z151" i="1" s="1"/>
  <c r="E150" i="1"/>
  <c r="P150" i="1" s="1"/>
  <c r="Z150" i="1" s="1"/>
  <c r="E149" i="1"/>
  <c r="P149" i="1" s="1"/>
  <c r="E148" i="1"/>
  <c r="P148" i="1" s="1"/>
  <c r="Z148" i="1" s="1"/>
  <c r="E143" i="1"/>
  <c r="P143" i="1" s="1"/>
  <c r="Z143" i="1" s="1"/>
  <c r="E142" i="1"/>
  <c r="P142" i="1" s="1"/>
  <c r="Z142" i="1" s="1"/>
  <c r="E137" i="1"/>
  <c r="P137" i="1" s="1"/>
  <c r="Z137" i="1" s="1"/>
  <c r="E136" i="1"/>
  <c r="P136" i="1" s="1"/>
  <c r="Z136" i="1" s="1"/>
  <c r="E135" i="1"/>
  <c r="P135" i="1" s="1"/>
  <c r="Z135" i="1" s="1"/>
  <c r="E132" i="1"/>
  <c r="P132" i="1" s="1"/>
  <c r="Z132" i="1" s="1"/>
  <c r="E127" i="1"/>
  <c r="P127" i="1" s="1"/>
  <c r="Z127" i="1" s="1"/>
  <c r="E126" i="1"/>
  <c r="P126" i="1" s="1"/>
  <c r="Z126" i="1" s="1"/>
  <c r="E125" i="1"/>
  <c r="P125" i="1" s="1"/>
  <c r="Z125" i="1" s="1"/>
  <c r="E124" i="1"/>
  <c r="P124" i="1" s="1"/>
  <c r="Z124" i="1" s="1"/>
  <c r="E123" i="1"/>
  <c r="P123" i="1" s="1"/>
  <c r="Z123" i="1" s="1"/>
  <c r="E122" i="1"/>
  <c r="P122" i="1" s="1"/>
  <c r="Z122" i="1" s="1"/>
  <c r="E121" i="1"/>
  <c r="P121" i="1" s="1"/>
  <c r="Z121" i="1" s="1"/>
  <c r="E120" i="1"/>
  <c r="P120" i="1" s="1"/>
  <c r="Z120" i="1" s="1"/>
  <c r="E119" i="1"/>
  <c r="E118" i="1"/>
  <c r="P118" i="1" s="1"/>
  <c r="Z118" i="1" s="1"/>
  <c r="E117" i="1"/>
  <c r="P117" i="1" s="1"/>
  <c r="Z117" i="1" s="1"/>
  <c r="E116" i="1"/>
  <c r="P116" i="1" s="1"/>
  <c r="Z116" i="1" s="1"/>
  <c r="E111" i="1"/>
  <c r="P111" i="1" s="1"/>
  <c r="Z111" i="1" s="1"/>
  <c r="E110" i="1"/>
  <c r="P110" i="1" s="1"/>
  <c r="Z110" i="1" s="1"/>
  <c r="E109" i="1"/>
  <c r="P109" i="1" s="1"/>
  <c r="E108" i="1"/>
  <c r="P108" i="1" s="1"/>
  <c r="Z108" i="1" s="1"/>
  <c r="E103" i="1"/>
  <c r="P103" i="1" s="1"/>
  <c r="Z103" i="1" s="1"/>
  <c r="E98" i="1"/>
  <c r="P98" i="1" s="1"/>
  <c r="Z98" i="1" s="1"/>
  <c r="E97" i="1"/>
  <c r="P97" i="1" s="1"/>
  <c r="Z97" i="1" s="1"/>
  <c r="E96" i="1"/>
  <c r="P96" i="1" s="1"/>
  <c r="E95" i="1"/>
  <c r="P95" i="1" s="1"/>
  <c r="E94" i="1"/>
  <c r="P94" i="1" s="1"/>
  <c r="E89" i="1"/>
  <c r="P89" i="1" s="1"/>
  <c r="Z89" i="1" s="1"/>
  <c r="E88" i="1"/>
  <c r="P88" i="1" s="1"/>
  <c r="E87" i="1"/>
  <c r="P87" i="1" s="1"/>
  <c r="E82" i="1"/>
  <c r="P82" i="1" s="1"/>
  <c r="Z82" i="1" s="1"/>
  <c r="E81" i="1"/>
  <c r="E80" i="1"/>
  <c r="P80" i="1" s="1"/>
  <c r="Z80" i="1" s="1"/>
  <c r="E79" i="1"/>
  <c r="E78" i="1"/>
  <c r="E73" i="1"/>
  <c r="E68" i="1"/>
  <c r="P68" i="1" s="1"/>
  <c r="E67" i="1"/>
  <c r="P67" i="1" s="1"/>
  <c r="Z67" i="1" s="1"/>
  <c r="E62" i="1"/>
  <c r="P62" i="1" s="1"/>
  <c r="Z62" i="1" s="1"/>
  <c r="E61" i="1"/>
  <c r="P61" i="1" s="1"/>
  <c r="Z61" i="1" s="1"/>
  <c r="E56" i="1"/>
  <c r="P56" i="1" s="1"/>
  <c r="Z56" i="1" s="1"/>
  <c r="E55" i="1"/>
  <c r="P55" i="1" s="1"/>
  <c r="Z55" i="1" s="1"/>
  <c r="E54" i="1"/>
  <c r="P54" i="1" s="1"/>
  <c r="Z54" i="1" s="1"/>
  <c r="E53" i="1"/>
  <c r="E52" i="1"/>
  <c r="P52" i="1" s="1"/>
  <c r="Z52" i="1" s="1"/>
  <c r="E47" i="1"/>
  <c r="P47" i="1" s="1"/>
  <c r="Z47" i="1" s="1"/>
  <c r="E46" i="1"/>
  <c r="P46" i="1" s="1"/>
  <c r="E45" i="1"/>
  <c r="P45" i="1" s="1"/>
  <c r="E40" i="1"/>
  <c r="E39" i="1"/>
  <c r="E38" i="1"/>
  <c r="E37" i="1"/>
  <c r="E36" i="1"/>
  <c r="E35" i="1"/>
  <c r="E30" i="1"/>
  <c r="P30" i="1" s="1"/>
  <c r="Z30" i="1" s="1"/>
  <c r="E29" i="1"/>
  <c r="P29" i="1" s="1"/>
  <c r="Z29" i="1" s="1"/>
  <c r="D346" i="1"/>
  <c r="O346" i="1" s="1"/>
  <c r="Y346" i="1" s="1"/>
  <c r="D341" i="1"/>
  <c r="O341" i="1" s="1"/>
  <c r="Y341" i="1" s="1"/>
  <c r="D336" i="1"/>
  <c r="O336" i="1" s="1"/>
  <c r="Y336" i="1" s="1"/>
  <c r="D335" i="1"/>
  <c r="O335" i="1" s="1"/>
  <c r="D334" i="1"/>
  <c r="O334" i="1" s="1"/>
  <c r="Y334" i="1" s="1"/>
  <c r="D333" i="1"/>
  <c r="O333" i="1" s="1"/>
  <c r="Y333" i="1" s="1"/>
  <c r="D332" i="1"/>
  <c r="F332" i="1" s="1"/>
  <c r="D331" i="1"/>
  <c r="O331" i="1" s="1"/>
  <c r="D326" i="1"/>
  <c r="O326" i="1" s="1"/>
  <c r="Y326" i="1" s="1"/>
  <c r="D321" i="1"/>
  <c r="O321" i="1" s="1"/>
  <c r="Y321" i="1" s="1"/>
  <c r="D320" i="1"/>
  <c r="O320" i="1" s="1"/>
  <c r="Y320" i="1" s="1"/>
  <c r="D315" i="1"/>
  <c r="O315" i="1" s="1"/>
  <c r="Y315" i="1" s="1"/>
  <c r="D310" i="1"/>
  <c r="O310" i="1" s="1"/>
  <c r="Y310" i="1" s="1"/>
  <c r="D309" i="1"/>
  <c r="O309" i="1" s="1"/>
  <c r="D304" i="1"/>
  <c r="D303" i="1"/>
  <c r="D302" i="1"/>
  <c r="D301" i="1"/>
  <c r="D300" i="1"/>
  <c r="D299" i="1"/>
  <c r="D298" i="1"/>
  <c r="O298" i="1" s="1"/>
  <c r="Y298" i="1" s="1"/>
  <c r="D297" i="1"/>
  <c r="O297" i="1" s="1"/>
  <c r="D296" i="1"/>
  <c r="O296" i="1" s="1"/>
  <c r="Y296" i="1" s="1"/>
  <c r="D295" i="1"/>
  <c r="O295" i="1" s="1"/>
  <c r="D290" i="1"/>
  <c r="O290" i="1" s="1"/>
  <c r="Y290" i="1" s="1"/>
  <c r="D289" i="1"/>
  <c r="O289" i="1" s="1"/>
  <c r="D288" i="1"/>
  <c r="O288" i="1" s="1"/>
  <c r="Y288" i="1" s="1"/>
  <c r="D287" i="1"/>
  <c r="O287" i="1" s="1"/>
  <c r="Y287" i="1" s="1"/>
  <c r="D286" i="1"/>
  <c r="O286" i="1" s="1"/>
  <c r="Y286" i="1" s="1"/>
  <c r="D285" i="1"/>
  <c r="O285" i="1" s="1"/>
  <c r="D284" i="1"/>
  <c r="O284" i="1" s="1"/>
  <c r="Y284" i="1" s="1"/>
  <c r="D283" i="1"/>
  <c r="O283" i="1" s="1"/>
  <c r="Y283" i="1" s="1"/>
  <c r="D282" i="1"/>
  <c r="O282" i="1" s="1"/>
  <c r="Y282" i="1" s="1"/>
  <c r="D281" i="1"/>
  <c r="O281" i="1" s="1"/>
  <c r="D280" i="1"/>
  <c r="O280" i="1" s="1"/>
  <c r="Y280" i="1" s="1"/>
  <c r="D279" i="1"/>
  <c r="O279" i="1" s="1"/>
  <c r="Y279" i="1" s="1"/>
  <c r="D278" i="1"/>
  <c r="O278" i="1" s="1"/>
  <c r="Y278" i="1" s="1"/>
  <c r="D277" i="1"/>
  <c r="O277" i="1" s="1"/>
  <c r="D276" i="1"/>
  <c r="O276" i="1" s="1"/>
  <c r="Y276" i="1" s="1"/>
  <c r="D275" i="1"/>
  <c r="O275" i="1" s="1"/>
  <c r="Y275" i="1" s="1"/>
  <c r="D274" i="1"/>
  <c r="O274" i="1" s="1"/>
  <c r="Y274" i="1" s="1"/>
  <c r="D273" i="1"/>
  <c r="O273" i="1" s="1"/>
  <c r="D272" i="1"/>
  <c r="O272" i="1" s="1"/>
  <c r="Y272" i="1" s="1"/>
  <c r="D271" i="1"/>
  <c r="O271" i="1" s="1"/>
  <c r="Y271" i="1" s="1"/>
  <c r="D270" i="1"/>
  <c r="O270" i="1" s="1"/>
  <c r="Y270" i="1" s="1"/>
  <c r="D269" i="1"/>
  <c r="O269" i="1" s="1"/>
  <c r="Y269" i="1" s="1"/>
  <c r="D268" i="1"/>
  <c r="O268" i="1" s="1"/>
  <c r="Y268" i="1" s="1"/>
  <c r="D263" i="1"/>
  <c r="D258" i="1"/>
  <c r="O258" i="1" s="1"/>
  <c r="Y258" i="1" s="1"/>
  <c r="D257" i="1"/>
  <c r="O257" i="1" s="1"/>
  <c r="D256" i="1"/>
  <c r="O256" i="1" s="1"/>
  <c r="Y256" i="1" s="1"/>
  <c r="D255" i="1"/>
  <c r="O255" i="1" s="1"/>
  <c r="Y255" i="1" s="1"/>
  <c r="D254" i="1"/>
  <c r="D253" i="1"/>
  <c r="O253" i="1" s="1"/>
  <c r="D252" i="1"/>
  <c r="O252" i="1" s="1"/>
  <c r="Y252" i="1" s="1"/>
  <c r="D247" i="1"/>
  <c r="O247" i="1" s="1"/>
  <c r="Y247" i="1" s="1"/>
  <c r="D246" i="1"/>
  <c r="O246" i="1" s="1"/>
  <c r="D245" i="1"/>
  <c r="O245" i="1" s="1"/>
  <c r="Y245" i="1" s="1"/>
  <c r="D244" i="1"/>
  <c r="D243" i="1"/>
  <c r="O243" i="1" s="1"/>
  <c r="Y243" i="1" s="1"/>
  <c r="D242" i="1"/>
  <c r="O242" i="1" s="1"/>
  <c r="D237" i="1"/>
  <c r="O237" i="1" s="1"/>
  <c r="Y237" i="1" s="1"/>
  <c r="D236" i="1"/>
  <c r="O236" i="1" s="1"/>
  <c r="D235" i="1"/>
  <c r="O235" i="1" s="1"/>
  <c r="Y235" i="1" s="1"/>
  <c r="D234" i="1"/>
  <c r="O234" i="1" s="1"/>
  <c r="Y234" i="1" s="1"/>
  <c r="D229" i="1"/>
  <c r="O229" i="1" s="1"/>
  <c r="Y229" i="1" s="1"/>
  <c r="D228" i="1"/>
  <c r="O228" i="1" s="1"/>
  <c r="D223" i="1"/>
  <c r="O223" i="1" s="1"/>
  <c r="Y223" i="1" s="1"/>
  <c r="D218" i="1"/>
  <c r="O218" i="1" s="1"/>
  <c r="Y218" i="1" s="1"/>
  <c r="D217" i="1"/>
  <c r="O217" i="1" s="1"/>
  <c r="D216" i="1"/>
  <c r="O216" i="1" s="1"/>
  <c r="Y216" i="1" s="1"/>
  <c r="D215" i="1"/>
  <c r="O215" i="1" s="1"/>
  <c r="Y215" i="1" s="1"/>
  <c r="D214" i="1"/>
  <c r="O214" i="1" s="1"/>
  <c r="Y214" i="1" s="1"/>
  <c r="D213" i="1"/>
  <c r="O213" i="1" s="1"/>
  <c r="D212" i="1"/>
  <c r="O212" i="1" s="1"/>
  <c r="Y212" i="1" s="1"/>
  <c r="D211" i="1"/>
  <c r="O211" i="1" s="1"/>
  <c r="Y211" i="1" s="1"/>
  <c r="D210" i="1"/>
  <c r="O210" i="1" s="1"/>
  <c r="Y210" i="1" s="1"/>
  <c r="D209" i="1"/>
  <c r="O209" i="1" s="1"/>
  <c r="D208" i="1"/>
  <c r="O208" i="1" s="1"/>
  <c r="Y208" i="1" s="1"/>
  <c r="D207" i="1"/>
  <c r="O207" i="1" s="1"/>
  <c r="Y207" i="1" s="1"/>
  <c r="D206" i="1"/>
  <c r="O206" i="1" s="1"/>
  <c r="Y206" i="1" s="1"/>
  <c r="D201" i="1"/>
  <c r="D196" i="1"/>
  <c r="O196" i="1" s="1"/>
  <c r="Y196" i="1" s="1"/>
  <c r="D195" i="1"/>
  <c r="O195" i="1" s="1"/>
  <c r="D194" i="1"/>
  <c r="O194" i="1" s="1"/>
  <c r="Y194" i="1" s="1"/>
  <c r="D193" i="1"/>
  <c r="O193" i="1" s="1"/>
  <c r="Y193" i="1" s="1"/>
  <c r="D192" i="1"/>
  <c r="O192" i="1" s="1"/>
  <c r="Y192" i="1" s="1"/>
  <c r="D191" i="1"/>
  <c r="O191" i="1" s="1"/>
  <c r="D190" i="1"/>
  <c r="O190" i="1" s="1"/>
  <c r="D189" i="1"/>
  <c r="O189" i="1" s="1"/>
  <c r="D184" i="1"/>
  <c r="O184" i="1" s="1"/>
  <c r="Y184" i="1" s="1"/>
  <c r="D183" i="1"/>
  <c r="O183" i="1" s="1"/>
  <c r="D182" i="1"/>
  <c r="O182" i="1" s="1"/>
  <c r="Y182" i="1" s="1"/>
  <c r="D181" i="1"/>
  <c r="O181" i="1" s="1"/>
  <c r="Y181" i="1" s="1"/>
  <c r="D176" i="1"/>
  <c r="O176" i="1" s="1"/>
  <c r="Y176" i="1" s="1"/>
  <c r="D175" i="1"/>
  <c r="O175" i="1" s="1"/>
  <c r="Y175" i="1" s="1"/>
  <c r="D174" i="1"/>
  <c r="O174" i="1" s="1"/>
  <c r="Y174" i="1" s="1"/>
  <c r="D169" i="1"/>
  <c r="O169" i="1" s="1"/>
  <c r="Y169" i="1" s="1"/>
  <c r="D168" i="1"/>
  <c r="O168" i="1" s="1"/>
  <c r="D167" i="1"/>
  <c r="O167" i="1" s="1"/>
  <c r="Y167" i="1" s="1"/>
  <c r="D162" i="1"/>
  <c r="O162" i="1" s="1"/>
  <c r="Y162" i="1" s="1"/>
  <c r="D157" i="1"/>
  <c r="O157" i="1" s="1"/>
  <c r="Y157" i="1" s="1"/>
  <c r="D153" i="1"/>
  <c r="O153" i="1" s="1"/>
  <c r="D152" i="1"/>
  <c r="O152" i="1" s="1"/>
  <c r="Y152" i="1" s="1"/>
  <c r="D151" i="1"/>
  <c r="O151" i="1" s="1"/>
  <c r="Y151" i="1" s="1"/>
  <c r="D150" i="1"/>
  <c r="O150" i="1" s="1"/>
  <c r="Y150" i="1" s="1"/>
  <c r="D149" i="1"/>
  <c r="O149" i="1" s="1"/>
  <c r="Y149" i="1" s="1"/>
  <c r="D148" i="1"/>
  <c r="O148" i="1" s="1"/>
  <c r="Y148" i="1" s="1"/>
  <c r="D143" i="1"/>
  <c r="O143" i="1" s="1"/>
  <c r="Y143" i="1" s="1"/>
  <c r="D142" i="1"/>
  <c r="O142" i="1" s="1"/>
  <c r="D137" i="1"/>
  <c r="O137" i="1" s="1"/>
  <c r="Y137" i="1" s="1"/>
  <c r="D136" i="1"/>
  <c r="O136" i="1" s="1"/>
  <c r="D135" i="1"/>
  <c r="O135" i="1" s="1"/>
  <c r="Y135" i="1" s="1"/>
  <c r="D132" i="1"/>
  <c r="O132" i="1" s="1"/>
  <c r="Y132" i="1" s="1"/>
  <c r="D127" i="1"/>
  <c r="O127" i="1" s="1"/>
  <c r="Y127" i="1" s="1"/>
  <c r="D126" i="1"/>
  <c r="O126" i="1" s="1"/>
  <c r="D125" i="1"/>
  <c r="O125" i="1" s="1"/>
  <c r="Y125" i="1" s="1"/>
  <c r="D124" i="1"/>
  <c r="O124" i="1" s="1"/>
  <c r="Y124" i="1" s="1"/>
  <c r="D123" i="1"/>
  <c r="O123" i="1" s="1"/>
  <c r="Y123" i="1" s="1"/>
  <c r="D122" i="1"/>
  <c r="O122" i="1" s="1"/>
  <c r="D121" i="1"/>
  <c r="O121" i="1" s="1"/>
  <c r="Y121" i="1" s="1"/>
  <c r="D120" i="1"/>
  <c r="O120" i="1" s="1"/>
  <c r="Y120" i="1" s="1"/>
  <c r="D119" i="1"/>
  <c r="O119" i="1" s="1"/>
  <c r="Y119" i="1" s="1"/>
  <c r="D118" i="1"/>
  <c r="O118" i="1" s="1"/>
  <c r="D117" i="1"/>
  <c r="O117" i="1" s="1"/>
  <c r="Y117" i="1" s="1"/>
  <c r="D116" i="1"/>
  <c r="O116" i="1" s="1"/>
  <c r="Y116" i="1" s="1"/>
  <c r="D111" i="1"/>
  <c r="O111" i="1" s="1"/>
  <c r="Y111" i="1" s="1"/>
  <c r="D110" i="1"/>
  <c r="O110" i="1" s="1"/>
  <c r="Y110" i="1" s="1"/>
  <c r="D109" i="1"/>
  <c r="O109" i="1" s="1"/>
  <c r="Y109" i="1" s="1"/>
  <c r="D108" i="1"/>
  <c r="O108" i="1" s="1"/>
  <c r="Y108" i="1" s="1"/>
  <c r="D103" i="1"/>
  <c r="O103" i="1" s="1"/>
  <c r="Y103" i="1" s="1"/>
  <c r="D98" i="1"/>
  <c r="O98" i="1" s="1"/>
  <c r="Y98" i="1" s="1"/>
  <c r="D97" i="1"/>
  <c r="O97" i="1" s="1"/>
  <c r="D96" i="1"/>
  <c r="O96" i="1" s="1"/>
  <c r="Y96" i="1" s="1"/>
  <c r="D95" i="1"/>
  <c r="O95" i="1" s="1"/>
  <c r="D94" i="1"/>
  <c r="O94" i="1" s="1"/>
  <c r="D89" i="1"/>
  <c r="O89" i="1" s="1"/>
  <c r="Y89" i="1" s="1"/>
  <c r="D87" i="1"/>
  <c r="O87" i="1" s="1"/>
  <c r="Y87" i="1" s="1"/>
  <c r="D88" i="1"/>
  <c r="O88" i="1" s="1"/>
  <c r="D82" i="1"/>
  <c r="O82" i="1" s="1"/>
  <c r="Y82" i="1" s="1"/>
  <c r="D81" i="1"/>
  <c r="O81" i="1" s="1"/>
  <c r="Y81" i="1" s="1"/>
  <c r="D80" i="1"/>
  <c r="O80" i="1" s="1"/>
  <c r="Y80" i="1" s="1"/>
  <c r="D79" i="1"/>
  <c r="D78" i="1"/>
  <c r="D73" i="1"/>
  <c r="D68" i="1"/>
  <c r="O68" i="1" s="1"/>
  <c r="Y68" i="1" s="1"/>
  <c r="D67" i="1"/>
  <c r="O67" i="1" s="1"/>
  <c r="Y67" i="1" s="1"/>
  <c r="D62" i="1"/>
  <c r="D61" i="1"/>
  <c r="O61" i="1" s="1"/>
  <c r="D56" i="1"/>
  <c r="O56" i="1" s="1"/>
  <c r="Y56" i="1" s="1"/>
  <c r="D55" i="1"/>
  <c r="O55" i="1" s="1"/>
  <c r="D54" i="1"/>
  <c r="O54" i="1" s="1"/>
  <c r="Y54" i="1" s="1"/>
  <c r="D53" i="1"/>
  <c r="D52" i="1"/>
  <c r="O52" i="1" s="1"/>
  <c r="Y52" i="1" s="1"/>
  <c r="D47" i="1"/>
  <c r="O47" i="1" s="1"/>
  <c r="Y47" i="1" s="1"/>
  <c r="D46" i="1"/>
  <c r="O46" i="1" s="1"/>
  <c r="D45" i="1"/>
  <c r="O45" i="1" s="1"/>
  <c r="D40" i="1"/>
  <c r="D39" i="1"/>
  <c r="D38" i="1"/>
  <c r="D37" i="1"/>
  <c r="D36" i="1"/>
  <c r="D35" i="1"/>
  <c r="D30" i="1"/>
  <c r="O30" i="1" s="1"/>
  <c r="Y30" i="1" s="1"/>
  <c r="D29" i="1"/>
  <c r="O29" i="1" s="1"/>
  <c r="E21" i="1"/>
  <c r="P21" i="1" s="1"/>
  <c r="Z21" i="1" s="1"/>
  <c r="D21" i="1"/>
  <c r="O21" i="1" s="1"/>
  <c r="Y21" i="1" s="1"/>
  <c r="C297" i="1"/>
  <c r="C257" i="1"/>
  <c r="C256" i="1"/>
  <c r="C255" i="1"/>
  <c r="C254" i="1"/>
  <c r="C253" i="1"/>
  <c r="C252" i="1"/>
  <c r="C247" i="1"/>
  <c r="C246" i="1"/>
  <c r="C245" i="1"/>
  <c r="C244" i="1"/>
  <c r="C243" i="1"/>
  <c r="C242" i="1"/>
  <c r="C237" i="1"/>
  <c r="C236" i="1"/>
  <c r="C235" i="1"/>
  <c r="C234" i="1"/>
  <c r="C229" i="1"/>
  <c r="C228" i="1"/>
  <c r="C223" i="1"/>
  <c r="C218" i="1"/>
  <c r="C217" i="1"/>
  <c r="C216" i="1"/>
  <c r="C215" i="1"/>
  <c r="C214" i="1"/>
  <c r="C213" i="1"/>
  <c r="C212" i="1"/>
  <c r="C211" i="1"/>
  <c r="C210" i="1"/>
  <c r="C209" i="1"/>
  <c r="C208" i="1"/>
  <c r="C207" i="1"/>
  <c r="C206" i="1"/>
  <c r="C201" i="1"/>
  <c r="C196" i="1"/>
  <c r="C195" i="1"/>
  <c r="C194" i="1"/>
  <c r="C193" i="1"/>
  <c r="C192" i="1"/>
  <c r="C191" i="1"/>
  <c r="C190" i="1"/>
  <c r="C189" i="1"/>
  <c r="C184" i="1"/>
  <c r="C183" i="1"/>
  <c r="C182" i="1"/>
  <c r="C181" i="1"/>
  <c r="C176" i="1"/>
  <c r="C175" i="1"/>
  <c r="C174" i="1"/>
  <c r="C169" i="1"/>
  <c r="C168" i="1"/>
  <c r="C167" i="1"/>
  <c r="C162" i="1"/>
  <c r="C157" i="1"/>
  <c r="C153" i="1"/>
  <c r="C152" i="1"/>
  <c r="C151" i="1"/>
  <c r="C150" i="1"/>
  <c r="C149" i="1"/>
  <c r="C148" i="1"/>
  <c r="C143" i="1"/>
  <c r="C142" i="1"/>
  <c r="B121" i="31" s="1"/>
  <c r="Y28" i="31" s="1"/>
  <c r="Y59" i="31" s="1"/>
  <c r="C137" i="1"/>
  <c r="C136" i="1"/>
  <c r="C135" i="1"/>
  <c r="C132" i="1"/>
  <c r="C127" i="1"/>
  <c r="C126" i="1"/>
  <c r="C125" i="1"/>
  <c r="C124" i="1"/>
  <c r="C123" i="1"/>
  <c r="C122" i="1"/>
  <c r="C121" i="1"/>
  <c r="C120" i="1"/>
  <c r="C119" i="1"/>
  <c r="C118" i="1"/>
  <c r="C117" i="1"/>
  <c r="C116" i="1"/>
  <c r="C111" i="1"/>
  <c r="C110" i="1"/>
  <c r="C109" i="1"/>
  <c r="C108" i="1"/>
  <c r="C103" i="1"/>
  <c r="C98" i="1"/>
  <c r="C97" i="1"/>
  <c r="C96" i="1"/>
  <c r="C95" i="1"/>
  <c r="C94" i="1"/>
  <c r="C89" i="1"/>
  <c r="C88" i="1"/>
  <c r="C87" i="1"/>
  <c r="C82" i="1"/>
  <c r="C81" i="1"/>
  <c r="C80" i="1"/>
  <c r="C79" i="1"/>
  <c r="C78" i="1"/>
  <c r="C73" i="1"/>
  <c r="C68" i="1"/>
  <c r="C67" i="1"/>
  <c r="C61" i="1"/>
  <c r="C56" i="1"/>
  <c r="C55" i="1"/>
  <c r="C54" i="1"/>
  <c r="C53" i="1"/>
  <c r="C52" i="1"/>
  <c r="C47" i="1"/>
  <c r="C46" i="1"/>
  <c r="C45" i="1"/>
  <c r="C40" i="1"/>
  <c r="C39" i="1"/>
  <c r="C38" i="1"/>
  <c r="C37" i="1"/>
  <c r="C36" i="1"/>
  <c r="C35" i="1"/>
  <c r="C30" i="1"/>
  <c r="C29" i="1"/>
  <c r="K15" i="31"/>
  <c r="L15" i="31" s="1"/>
  <c r="K16" i="31"/>
  <c r="L16" i="31" s="1"/>
  <c r="H15" i="1" s="1"/>
  <c r="C21" i="1"/>
  <c r="K18" i="31"/>
  <c r="L18" i="31" s="1"/>
  <c r="K12" i="31"/>
  <c r="L12" i="31" s="1"/>
  <c r="H14" i="1" s="1"/>
  <c r="K11" i="31"/>
  <c r="L11" i="31" s="1"/>
  <c r="H12" i="1" s="1"/>
  <c r="K10" i="31"/>
  <c r="L10" i="31" s="1"/>
  <c r="H11" i="1" s="1"/>
  <c r="K9" i="31"/>
  <c r="C18" i="1"/>
  <c r="C13" i="1"/>
  <c r="E87" i="31" s="1"/>
  <c r="AE164" i="1"/>
  <c r="AI352" i="1"/>
  <c r="AI349" i="1"/>
  <c r="AI344" i="1"/>
  <c r="AI339" i="1"/>
  <c r="AI329" i="1"/>
  <c r="AI324" i="1"/>
  <c r="AI318" i="1"/>
  <c r="AI313" i="1"/>
  <c r="AI293" i="1"/>
  <c r="AI266" i="1"/>
  <c r="AI261" i="1"/>
  <c r="AI250" i="1"/>
  <c r="AI240" i="1"/>
  <c r="AI232" i="1"/>
  <c r="AI226" i="1"/>
  <c r="AI221" i="1"/>
  <c r="AI199" i="1"/>
  <c r="AI187" i="1"/>
  <c r="AI179" i="1"/>
  <c r="AI172" i="1"/>
  <c r="AI165" i="1"/>
  <c r="AI160" i="1"/>
  <c r="AI146" i="1"/>
  <c r="AI140" i="1"/>
  <c r="AI130" i="1"/>
  <c r="AI114" i="1"/>
  <c r="AI106" i="1"/>
  <c r="AI101" i="1"/>
  <c r="AI92" i="1"/>
  <c r="AI85" i="1"/>
  <c r="AI76" i="1"/>
  <c r="AI71" i="1"/>
  <c r="AI65" i="1"/>
  <c r="AI59" i="1"/>
  <c r="AI50" i="1"/>
  <c r="AI34" i="1"/>
  <c r="U24" i="1"/>
  <c r="T24" i="1"/>
  <c r="S24" i="1"/>
  <c r="U32" i="1"/>
  <c r="T32" i="1"/>
  <c r="S32" i="1"/>
  <c r="AH348" i="1"/>
  <c r="AG348" i="1"/>
  <c r="AE348" i="1"/>
  <c r="AB348" i="1"/>
  <c r="U348" i="1"/>
  <c r="T348" i="1"/>
  <c r="S348" i="1"/>
  <c r="AH343" i="1"/>
  <c r="U343" i="1"/>
  <c r="T343" i="1"/>
  <c r="S343" i="1"/>
  <c r="AH338" i="1"/>
  <c r="U338" i="1"/>
  <c r="T338" i="1"/>
  <c r="AH328" i="1"/>
  <c r="U328" i="1"/>
  <c r="T328" i="1"/>
  <c r="S328" i="1"/>
  <c r="AH323" i="1"/>
  <c r="U323" i="1"/>
  <c r="T323" i="1"/>
  <c r="S323" i="1"/>
  <c r="AH317" i="1"/>
  <c r="U317" i="1"/>
  <c r="T317" i="1"/>
  <c r="S317" i="1"/>
  <c r="AH312" i="1"/>
  <c r="U312" i="1"/>
  <c r="T312" i="1"/>
  <c r="S312" i="1"/>
  <c r="AH306" i="1"/>
  <c r="U306" i="1"/>
  <c r="T306" i="1"/>
  <c r="S306" i="1"/>
  <c r="AH292" i="1"/>
  <c r="U292" i="1"/>
  <c r="T292" i="1"/>
  <c r="S292" i="1"/>
  <c r="AH265" i="1"/>
  <c r="U265" i="1"/>
  <c r="T265" i="1"/>
  <c r="S265" i="1"/>
  <c r="AH260" i="1"/>
  <c r="U260" i="1"/>
  <c r="T260" i="1"/>
  <c r="AH249" i="1"/>
  <c r="U249" i="1"/>
  <c r="T249" i="1"/>
  <c r="AH239" i="1"/>
  <c r="U239" i="1"/>
  <c r="T239" i="1"/>
  <c r="S239" i="1"/>
  <c r="AH231" i="1"/>
  <c r="U231" i="1"/>
  <c r="T231" i="1"/>
  <c r="S231" i="1"/>
  <c r="AH225" i="1"/>
  <c r="U225" i="1"/>
  <c r="T225" i="1"/>
  <c r="S225" i="1"/>
  <c r="AH220" i="1"/>
  <c r="U220" i="1"/>
  <c r="T220" i="1"/>
  <c r="S220" i="1"/>
  <c r="AH203" i="1"/>
  <c r="U203" i="1"/>
  <c r="T203" i="1"/>
  <c r="S203" i="1"/>
  <c r="AH198" i="1"/>
  <c r="AH186" i="1"/>
  <c r="U186" i="1"/>
  <c r="T186" i="1"/>
  <c r="S186" i="1"/>
  <c r="AH178" i="1"/>
  <c r="U178" i="1"/>
  <c r="T178" i="1"/>
  <c r="S178" i="1"/>
  <c r="AH171" i="1"/>
  <c r="U171" i="1"/>
  <c r="T171" i="1"/>
  <c r="S171" i="1"/>
  <c r="AH164" i="1"/>
  <c r="U164" i="1"/>
  <c r="T164" i="1"/>
  <c r="S164" i="1"/>
  <c r="AH159" i="1"/>
  <c r="U159" i="1"/>
  <c r="T159" i="1"/>
  <c r="S159" i="1"/>
  <c r="AH145" i="1"/>
  <c r="U145" i="1"/>
  <c r="T145" i="1"/>
  <c r="S145" i="1"/>
  <c r="AH139" i="1"/>
  <c r="U139" i="1"/>
  <c r="T139" i="1"/>
  <c r="S139" i="1"/>
  <c r="AH129" i="1"/>
  <c r="U129" i="1"/>
  <c r="T129" i="1"/>
  <c r="S129" i="1"/>
  <c r="AH113" i="1"/>
  <c r="U113" i="1"/>
  <c r="T113" i="1"/>
  <c r="S113" i="1"/>
  <c r="AH105" i="1"/>
  <c r="U105" i="1"/>
  <c r="T105" i="1"/>
  <c r="S105" i="1"/>
  <c r="AH100" i="1"/>
  <c r="AH91" i="1"/>
  <c r="AH84" i="1"/>
  <c r="U84" i="1"/>
  <c r="T84" i="1"/>
  <c r="S84" i="1"/>
  <c r="AH75" i="1"/>
  <c r="U75" i="1"/>
  <c r="T75" i="1"/>
  <c r="S75" i="1"/>
  <c r="AH70" i="1"/>
  <c r="U70" i="1"/>
  <c r="T70" i="1"/>
  <c r="S70" i="1"/>
  <c r="AH64" i="1"/>
  <c r="U64" i="1"/>
  <c r="T64" i="1"/>
  <c r="S64" i="1"/>
  <c r="U58" i="1"/>
  <c r="T58" i="1"/>
  <c r="S58" i="1"/>
  <c r="AH49" i="1"/>
  <c r="V348" i="1"/>
  <c r="V317" i="1"/>
  <c r="V265" i="1"/>
  <c r="V225" i="1"/>
  <c r="V203" i="1"/>
  <c r="V164" i="1"/>
  <c r="V105" i="1"/>
  <c r="V75" i="1"/>
  <c r="V10" i="1"/>
  <c r="F132" i="1" l="1"/>
  <c r="C14" i="51"/>
  <c r="J46" i="51" s="1"/>
  <c r="J47" i="51" s="1"/>
  <c r="C14" i="52"/>
  <c r="J46" i="52" s="1"/>
  <c r="J47" i="52" s="1"/>
  <c r="C14" i="22"/>
  <c r="C14" i="53"/>
  <c r="J46" i="53" s="1"/>
  <c r="J47" i="53" s="1"/>
  <c r="F263" i="1"/>
  <c r="AI16" i="1"/>
  <c r="H263" i="1"/>
  <c r="N263" i="1" s="1"/>
  <c r="X263" i="1" s="1"/>
  <c r="C15" i="20"/>
  <c r="K19" i="31"/>
  <c r="L19" i="31" s="1"/>
  <c r="R19" i="31" s="1"/>
  <c r="AB19" i="31" s="1"/>
  <c r="F21" i="1"/>
  <c r="AK52" i="36"/>
  <c r="N11" i="1"/>
  <c r="L11" i="1"/>
  <c r="N12" i="1"/>
  <c r="L12" i="1"/>
  <c r="L14" i="1"/>
  <c r="N14" i="1"/>
  <c r="Q274" i="1"/>
  <c r="X274" i="1"/>
  <c r="AA274" i="1" s="1"/>
  <c r="N52" i="1"/>
  <c r="F52" i="1"/>
  <c r="L52" i="1" s="1"/>
  <c r="N56" i="1"/>
  <c r="F56" i="1"/>
  <c r="L56" i="1" s="1"/>
  <c r="F73" i="1"/>
  <c r="F81" i="1"/>
  <c r="N89" i="1"/>
  <c r="F89" i="1"/>
  <c r="L89" i="1" s="1"/>
  <c r="N97" i="1"/>
  <c r="X97" i="1" s="1"/>
  <c r="F97" i="1"/>
  <c r="L97" i="1" s="1"/>
  <c r="N109" i="1"/>
  <c r="X109" i="1" s="1"/>
  <c r="F109" i="1"/>
  <c r="L109" i="1" s="1"/>
  <c r="N117" i="1"/>
  <c r="F117" i="1"/>
  <c r="L117" i="1" s="1"/>
  <c r="N121" i="1"/>
  <c r="F121" i="1"/>
  <c r="L121" i="1" s="1"/>
  <c r="N125" i="1"/>
  <c r="F125" i="1"/>
  <c r="L125" i="1" s="1"/>
  <c r="N135" i="1"/>
  <c r="F135" i="1"/>
  <c r="L135" i="1" s="1"/>
  <c r="N143" i="1"/>
  <c r="F143" i="1"/>
  <c r="L143" i="1" s="1"/>
  <c r="F151" i="1"/>
  <c r="L151" i="1" s="1"/>
  <c r="N151" i="1"/>
  <c r="F162" i="1"/>
  <c r="N174" i="1"/>
  <c r="F174" i="1"/>
  <c r="L174" i="1" s="1"/>
  <c r="AB32" i="31"/>
  <c r="N182" i="1"/>
  <c r="F182" i="1"/>
  <c r="L182" i="1" s="1"/>
  <c r="N190" i="1"/>
  <c r="F190" i="1"/>
  <c r="L190" i="1" s="1"/>
  <c r="F194" i="1"/>
  <c r="L194" i="1" s="1"/>
  <c r="N194" i="1"/>
  <c r="X194" i="1" s="1"/>
  <c r="F206" i="1"/>
  <c r="L206" i="1" s="1"/>
  <c r="N206" i="1"/>
  <c r="N210" i="1"/>
  <c r="F210" i="1"/>
  <c r="L210" i="1" s="1"/>
  <c r="N214" i="1"/>
  <c r="F214" i="1"/>
  <c r="L214" i="1" s="1"/>
  <c r="N218" i="1"/>
  <c r="F218" i="1"/>
  <c r="L218" i="1" s="1"/>
  <c r="N234" i="1"/>
  <c r="F234" i="1"/>
  <c r="L234" i="1" s="1"/>
  <c r="N242" i="1"/>
  <c r="Q242" i="1" s="1"/>
  <c r="F242" i="1"/>
  <c r="L242" i="1" s="1"/>
  <c r="N246" i="1"/>
  <c r="F246" i="1"/>
  <c r="L246" i="1" s="1"/>
  <c r="C48" i="37"/>
  <c r="D48" i="37" s="1"/>
  <c r="S254" i="1" s="1"/>
  <c r="F254" i="1"/>
  <c r="C50" i="37"/>
  <c r="D50" i="37" s="1"/>
  <c r="S256" i="1" s="1"/>
  <c r="N256" i="1"/>
  <c r="Q256" i="1" s="1"/>
  <c r="F256" i="1"/>
  <c r="L256" i="1" s="1"/>
  <c r="Y142" i="1"/>
  <c r="C37" i="31"/>
  <c r="Y209" i="1"/>
  <c r="Y213" i="1"/>
  <c r="Y217" i="1"/>
  <c r="Y253" i="1"/>
  <c r="Y257" i="1"/>
  <c r="Q273" i="1"/>
  <c r="Y273" i="1"/>
  <c r="AA273" i="1" s="1"/>
  <c r="Q277" i="1"/>
  <c r="Y277" i="1"/>
  <c r="AA277" i="1" s="1"/>
  <c r="Q281" i="1"/>
  <c r="Y281" i="1"/>
  <c r="AA281" i="1" s="1"/>
  <c r="Q285" i="1"/>
  <c r="Y285" i="1"/>
  <c r="AA285" i="1" s="1"/>
  <c r="Q289" i="1"/>
  <c r="Y289" i="1"/>
  <c r="AA289" i="1" s="1"/>
  <c r="Y297" i="1"/>
  <c r="O301" i="1"/>
  <c r="Y301" i="1" s="1"/>
  <c r="F301" i="1"/>
  <c r="Q309" i="1"/>
  <c r="Y309" i="1"/>
  <c r="AA309" i="1" s="1"/>
  <c r="Z87" i="1"/>
  <c r="Z149" i="1"/>
  <c r="Q272" i="1"/>
  <c r="Z272" i="1"/>
  <c r="AA272" i="1" s="1"/>
  <c r="Q276" i="1"/>
  <c r="Z276" i="1"/>
  <c r="AA276" i="1" s="1"/>
  <c r="Q280" i="1"/>
  <c r="Z280" i="1"/>
  <c r="AA280" i="1" s="1"/>
  <c r="Q284" i="1"/>
  <c r="Z284" i="1"/>
  <c r="AA284" i="1" s="1"/>
  <c r="Q288" i="1"/>
  <c r="Z288" i="1"/>
  <c r="AA288" i="1" s="1"/>
  <c r="Q346" i="1"/>
  <c r="Q326" i="1"/>
  <c r="X326" i="1"/>
  <c r="F283" i="1"/>
  <c r="L283" i="1" s="1"/>
  <c r="F275" i="1"/>
  <c r="X271" i="1"/>
  <c r="AA271" i="1" s="1"/>
  <c r="Q271" i="1"/>
  <c r="F341" i="1"/>
  <c r="L341" i="1" s="1"/>
  <c r="F321" i="1"/>
  <c r="L321" i="1" s="1"/>
  <c r="F290" i="1"/>
  <c r="L290" i="1" s="1"/>
  <c r="Q278" i="1"/>
  <c r="X278" i="1"/>
  <c r="AA278" i="1" s="1"/>
  <c r="F270" i="1"/>
  <c r="L270" i="1" s="1"/>
  <c r="X258" i="1"/>
  <c r="AA258" i="1" s="1"/>
  <c r="V258" i="1"/>
  <c r="Q336" i="1"/>
  <c r="X336" i="1"/>
  <c r="AA336" i="1" s="1"/>
  <c r="F289" i="1"/>
  <c r="L289" i="1" s="1"/>
  <c r="F281" i="1"/>
  <c r="L281" i="1" s="1"/>
  <c r="F273" i="1"/>
  <c r="L273" i="1" s="1"/>
  <c r="F284" i="1"/>
  <c r="L284" i="1" s="1"/>
  <c r="F280" i="1"/>
  <c r="L280" i="1" s="1"/>
  <c r="F36" i="1"/>
  <c r="F29" i="1"/>
  <c r="L29" i="1" s="1"/>
  <c r="N29" i="1"/>
  <c r="X29" i="1" s="1"/>
  <c r="F37" i="1"/>
  <c r="N45" i="1"/>
  <c r="Q45" i="1" s="1"/>
  <c r="F45" i="1"/>
  <c r="L45" i="1" s="1"/>
  <c r="F53" i="1"/>
  <c r="F61" i="1"/>
  <c r="L61" i="1" s="1"/>
  <c r="N61" i="1"/>
  <c r="X61" i="1" s="1"/>
  <c r="F78" i="1"/>
  <c r="F82" i="1"/>
  <c r="N82" i="1"/>
  <c r="F94" i="1"/>
  <c r="L94" i="1" s="1"/>
  <c r="N94" i="1"/>
  <c r="F98" i="1"/>
  <c r="L98" i="1" s="1"/>
  <c r="N98" i="1"/>
  <c r="N110" i="1"/>
  <c r="F110" i="1"/>
  <c r="L110" i="1" s="1"/>
  <c r="F118" i="1"/>
  <c r="L118" i="1" s="1"/>
  <c r="N118" i="1"/>
  <c r="X118" i="1" s="1"/>
  <c r="N122" i="1"/>
  <c r="X122" i="1" s="1"/>
  <c r="F122" i="1"/>
  <c r="L122" i="1" s="1"/>
  <c r="F126" i="1"/>
  <c r="L126" i="1" s="1"/>
  <c r="N126" i="1"/>
  <c r="X126" i="1" s="1"/>
  <c r="N136" i="1"/>
  <c r="X136" i="1" s="1"/>
  <c r="F136" i="1"/>
  <c r="L136" i="1" s="1"/>
  <c r="N148" i="1"/>
  <c r="F148" i="1"/>
  <c r="L148" i="1" s="1"/>
  <c r="N152" i="1"/>
  <c r="F152" i="1"/>
  <c r="L152" i="1" s="1"/>
  <c r="N167" i="1"/>
  <c r="X167" i="1" s="1"/>
  <c r="F167" i="1"/>
  <c r="L167" i="1" s="1"/>
  <c r="N175" i="1"/>
  <c r="F175" i="1"/>
  <c r="L175" i="1" s="1"/>
  <c r="N183" i="1"/>
  <c r="X183" i="1" s="1"/>
  <c r="F183" i="1"/>
  <c r="L183" i="1" s="1"/>
  <c r="N191" i="1"/>
  <c r="F191" i="1"/>
  <c r="L191" i="1" s="1"/>
  <c r="N195" i="1"/>
  <c r="X195" i="1" s="1"/>
  <c r="F195" i="1"/>
  <c r="L195" i="1" s="1"/>
  <c r="N207" i="1"/>
  <c r="F207" i="1"/>
  <c r="L207" i="1" s="1"/>
  <c r="N211" i="1"/>
  <c r="F211" i="1"/>
  <c r="L211" i="1" s="1"/>
  <c r="N215" i="1"/>
  <c r="F215" i="1"/>
  <c r="L215" i="1" s="1"/>
  <c r="N223" i="1"/>
  <c r="F223" i="1"/>
  <c r="L223" i="1" s="1"/>
  <c r="N235" i="1"/>
  <c r="X235" i="1" s="1"/>
  <c r="F235" i="1"/>
  <c r="L235" i="1" s="1"/>
  <c r="N243" i="1"/>
  <c r="F243" i="1"/>
  <c r="L243" i="1" s="1"/>
  <c r="N247" i="1"/>
  <c r="Q247" i="1" s="1"/>
  <c r="F247" i="1"/>
  <c r="L247" i="1" s="1"/>
  <c r="C51" i="37"/>
  <c r="D51" i="37" s="1"/>
  <c r="S257" i="1" s="1"/>
  <c r="N257" i="1"/>
  <c r="Q257" i="1" s="1"/>
  <c r="F257" i="1"/>
  <c r="L257" i="1" s="1"/>
  <c r="Y29" i="1"/>
  <c r="AA29" i="1" s="1"/>
  <c r="Y61" i="1"/>
  <c r="D75" i="1"/>
  <c r="O73" i="1"/>
  <c r="Y73" i="1" s="1"/>
  <c r="Q97" i="1"/>
  <c r="Y97" i="1"/>
  <c r="AA97" i="1" s="1"/>
  <c r="Y242" i="1"/>
  <c r="Q246" i="1"/>
  <c r="Y246" i="1"/>
  <c r="O302" i="1"/>
  <c r="Y302" i="1" s="1"/>
  <c r="F302" i="1"/>
  <c r="Z68" i="1"/>
  <c r="Z96" i="1"/>
  <c r="D37" i="31"/>
  <c r="F334" i="1"/>
  <c r="L334" i="1" s="1"/>
  <c r="F310" i="1"/>
  <c r="L310" i="1" s="1"/>
  <c r="X283" i="1"/>
  <c r="AA283" i="1" s="1"/>
  <c r="Q283" i="1"/>
  <c r="Q341" i="1"/>
  <c r="X341" i="1"/>
  <c r="AA341" i="1" s="1"/>
  <c r="Q321" i="1"/>
  <c r="X321" i="1"/>
  <c r="AA321" i="1" s="1"/>
  <c r="Q290" i="1"/>
  <c r="X290" i="1"/>
  <c r="AA290" i="1" s="1"/>
  <c r="F282" i="1"/>
  <c r="L282" i="1" s="1"/>
  <c r="Q270" i="1"/>
  <c r="X270" i="1"/>
  <c r="AA270" i="1" s="1"/>
  <c r="F276" i="1"/>
  <c r="L276" i="1" s="1"/>
  <c r="F298" i="1"/>
  <c r="F335" i="1"/>
  <c r="L335" i="1" s="1"/>
  <c r="F315" i="1"/>
  <c r="L315" i="1" s="1"/>
  <c r="F40" i="1"/>
  <c r="K13" i="31"/>
  <c r="L13" i="31" s="1"/>
  <c r="R13" i="31" s="1"/>
  <c r="AB13" i="31" s="1"/>
  <c r="N13" i="1"/>
  <c r="F13" i="1"/>
  <c r="L13" i="1" s="1"/>
  <c r="F30" i="1"/>
  <c r="L30" i="1" s="1"/>
  <c r="N30" i="1"/>
  <c r="F38" i="1"/>
  <c r="N46" i="1"/>
  <c r="Q46" i="1" s="1"/>
  <c r="F46" i="1"/>
  <c r="L46" i="1" s="1"/>
  <c r="N54" i="1"/>
  <c r="F54" i="1"/>
  <c r="L54" i="1" s="1"/>
  <c r="N67" i="1"/>
  <c r="F67" i="1"/>
  <c r="L67" i="1" s="1"/>
  <c r="F79" i="1"/>
  <c r="N87" i="1"/>
  <c r="X87" i="1" s="1"/>
  <c r="F87" i="1"/>
  <c r="L87" i="1" s="1"/>
  <c r="N95" i="1"/>
  <c r="Q95" i="1" s="1"/>
  <c r="F95" i="1"/>
  <c r="L95" i="1" s="1"/>
  <c r="F103" i="1"/>
  <c r="L103" i="1" s="1"/>
  <c r="N103" i="1"/>
  <c r="N111" i="1"/>
  <c r="F111" i="1"/>
  <c r="L111" i="1" s="1"/>
  <c r="H119" i="1"/>
  <c r="J119" i="1" s="1"/>
  <c r="P119" i="1" s="1"/>
  <c r="Z119" i="1" s="1"/>
  <c r="F119" i="1"/>
  <c r="N123" i="1"/>
  <c r="F123" i="1"/>
  <c r="L123" i="1" s="1"/>
  <c r="N127" i="1"/>
  <c r="F127" i="1"/>
  <c r="L127" i="1" s="1"/>
  <c r="N137" i="1"/>
  <c r="F137" i="1"/>
  <c r="L137" i="1" s="1"/>
  <c r="F149" i="1"/>
  <c r="L149" i="1" s="1"/>
  <c r="N149" i="1"/>
  <c r="X149" i="1" s="1"/>
  <c r="N153" i="1"/>
  <c r="X153" i="1" s="1"/>
  <c r="F153" i="1"/>
  <c r="L153" i="1" s="1"/>
  <c r="C49" i="31"/>
  <c r="C55" i="31" s="1"/>
  <c r="N168" i="1"/>
  <c r="X168" i="1" s="1"/>
  <c r="F168" i="1"/>
  <c r="L168" i="1" s="1"/>
  <c r="N176" i="1"/>
  <c r="F176" i="1"/>
  <c r="L176" i="1" s="1"/>
  <c r="F184" i="1"/>
  <c r="L184" i="1" s="1"/>
  <c r="N184" i="1"/>
  <c r="N192" i="1"/>
  <c r="F192" i="1"/>
  <c r="L192" i="1" s="1"/>
  <c r="N196" i="1"/>
  <c r="F196" i="1"/>
  <c r="L196" i="1" s="1"/>
  <c r="N208" i="1"/>
  <c r="F208" i="1"/>
  <c r="L208" i="1" s="1"/>
  <c r="N212" i="1"/>
  <c r="F212" i="1"/>
  <c r="L212" i="1" s="1"/>
  <c r="N216" i="1"/>
  <c r="F216" i="1"/>
  <c r="L216" i="1" s="1"/>
  <c r="N228" i="1"/>
  <c r="X228" i="1" s="1"/>
  <c r="F228" i="1"/>
  <c r="L228" i="1" s="1"/>
  <c r="N236" i="1"/>
  <c r="X236" i="1" s="1"/>
  <c r="F236" i="1"/>
  <c r="L236" i="1" s="1"/>
  <c r="F244" i="1"/>
  <c r="C46" i="37"/>
  <c r="D46" i="37" s="1"/>
  <c r="N252" i="1"/>
  <c r="Q252" i="1" s="1"/>
  <c r="F252" i="1"/>
  <c r="L252" i="1" s="1"/>
  <c r="C49" i="37"/>
  <c r="D49" i="37" s="1"/>
  <c r="S255" i="1" s="1"/>
  <c r="N255" i="1"/>
  <c r="Q255" i="1" s="1"/>
  <c r="F255" i="1"/>
  <c r="L255" i="1" s="1"/>
  <c r="C75" i="31"/>
  <c r="C81" i="31" s="1"/>
  <c r="F297" i="1"/>
  <c r="O62" i="1"/>
  <c r="F62" i="1"/>
  <c r="L62" i="1" s="1"/>
  <c r="Y118" i="1"/>
  <c r="Q122" i="1"/>
  <c r="Y122" i="1"/>
  <c r="AA122" i="1" s="1"/>
  <c r="Y126" i="1"/>
  <c r="Q136" i="1"/>
  <c r="Y136" i="1"/>
  <c r="Q183" i="1"/>
  <c r="Y183" i="1"/>
  <c r="Q191" i="1"/>
  <c r="Y195" i="1"/>
  <c r="AA195" i="1" s="1"/>
  <c r="D265" i="1"/>
  <c r="O263" i="1"/>
  <c r="Y263" i="1" s="1"/>
  <c r="Y295" i="1"/>
  <c r="O299" i="1"/>
  <c r="F299" i="1"/>
  <c r="O303" i="1"/>
  <c r="F303" i="1"/>
  <c r="L303" i="1" s="1"/>
  <c r="Q331" i="1"/>
  <c r="Y331" i="1"/>
  <c r="AA331" i="1" s="1"/>
  <c r="Q335" i="1"/>
  <c r="Y335" i="1"/>
  <c r="AA335" i="1" s="1"/>
  <c r="Q109" i="1"/>
  <c r="Z109" i="1"/>
  <c r="AA109" i="1" s="1"/>
  <c r="Q190" i="1"/>
  <c r="Q194" i="1"/>
  <c r="Z194" i="1"/>
  <c r="AA194" i="1" s="1"/>
  <c r="Q334" i="1"/>
  <c r="X334" i="1"/>
  <c r="AA334" i="1" s="1"/>
  <c r="Q310" i="1"/>
  <c r="X310" i="1"/>
  <c r="AA310" i="1" s="1"/>
  <c r="F287" i="1"/>
  <c r="L287" i="1" s="1"/>
  <c r="F279" i="1"/>
  <c r="L279" i="1" s="1"/>
  <c r="F333" i="1"/>
  <c r="L333" i="1" s="1"/>
  <c r="F309" i="1"/>
  <c r="L309" i="1" s="1"/>
  <c r="F286" i="1"/>
  <c r="L286" i="1" s="1"/>
  <c r="Q282" i="1"/>
  <c r="X282" i="1"/>
  <c r="AA282" i="1" s="1"/>
  <c r="F274" i="1"/>
  <c r="L274" i="1" s="1"/>
  <c r="F258" i="1"/>
  <c r="L258" i="1" s="1"/>
  <c r="F285" i="1"/>
  <c r="L285" i="1" s="1"/>
  <c r="F277" i="1"/>
  <c r="L277" i="1" s="1"/>
  <c r="F269" i="1"/>
  <c r="L269" i="1" s="1"/>
  <c r="F272" i="1"/>
  <c r="L272" i="1" s="1"/>
  <c r="Q315" i="1"/>
  <c r="X315" i="1"/>
  <c r="AA315" i="1" s="1"/>
  <c r="F288" i="1"/>
  <c r="L288" i="1" s="1"/>
  <c r="F268" i="1"/>
  <c r="L268" i="1" s="1"/>
  <c r="N18" i="1"/>
  <c r="F35" i="1"/>
  <c r="F39" i="1"/>
  <c r="N47" i="1"/>
  <c r="F47" i="1"/>
  <c r="L47" i="1" s="1"/>
  <c r="N55" i="1"/>
  <c r="X55" i="1" s="1"/>
  <c r="F55" i="1"/>
  <c r="L55" i="1" s="1"/>
  <c r="N68" i="1"/>
  <c r="X68" i="1" s="1"/>
  <c r="AA68" i="1" s="1"/>
  <c r="F68" i="1"/>
  <c r="L68" i="1" s="1"/>
  <c r="N80" i="1"/>
  <c r="F80" i="1"/>
  <c r="L80" i="1" s="1"/>
  <c r="N88" i="1"/>
  <c r="Q88" i="1" s="1"/>
  <c r="F88" i="1"/>
  <c r="L88" i="1" s="1"/>
  <c r="N96" i="1"/>
  <c r="X96" i="1" s="1"/>
  <c r="F96" i="1"/>
  <c r="L96" i="1" s="1"/>
  <c r="F108" i="1"/>
  <c r="L108" i="1" s="1"/>
  <c r="N108" i="1"/>
  <c r="F116" i="1"/>
  <c r="L116" i="1" s="1"/>
  <c r="N116" i="1"/>
  <c r="N120" i="1"/>
  <c r="F120" i="1"/>
  <c r="L120" i="1" s="1"/>
  <c r="N124" i="1"/>
  <c r="F124" i="1"/>
  <c r="L124" i="1" s="1"/>
  <c r="F142" i="1"/>
  <c r="N150" i="1"/>
  <c r="F150" i="1"/>
  <c r="L150" i="1" s="1"/>
  <c r="N157" i="1"/>
  <c r="F157" i="1"/>
  <c r="L157" i="1" s="1"/>
  <c r="N169" i="1"/>
  <c r="F169" i="1"/>
  <c r="L169" i="1" s="1"/>
  <c r="N181" i="1"/>
  <c r="F181" i="1"/>
  <c r="L181" i="1" s="1"/>
  <c r="N189" i="1"/>
  <c r="Q189" i="1" s="1"/>
  <c r="F189" i="1"/>
  <c r="L189" i="1" s="1"/>
  <c r="F193" i="1"/>
  <c r="L193" i="1" s="1"/>
  <c r="N193" i="1"/>
  <c r="B37" i="31"/>
  <c r="F201" i="1"/>
  <c r="N209" i="1"/>
  <c r="X209" i="1" s="1"/>
  <c r="F209" i="1"/>
  <c r="L209" i="1" s="1"/>
  <c r="N213" i="1"/>
  <c r="X213" i="1" s="1"/>
  <c r="F213" i="1"/>
  <c r="L213" i="1" s="1"/>
  <c r="N217" i="1"/>
  <c r="X217" i="1" s="1"/>
  <c r="F217" i="1"/>
  <c r="L217" i="1" s="1"/>
  <c r="N229" i="1"/>
  <c r="F229" i="1"/>
  <c r="L229" i="1" s="1"/>
  <c r="N237" i="1"/>
  <c r="F237" i="1"/>
  <c r="L237" i="1" s="1"/>
  <c r="N245" i="1"/>
  <c r="Q245" i="1" s="1"/>
  <c r="F245" i="1"/>
  <c r="L245" i="1" s="1"/>
  <c r="C47" i="37"/>
  <c r="N253" i="1"/>
  <c r="X253" i="1" s="1"/>
  <c r="AA253" i="1" s="1"/>
  <c r="F253" i="1"/>
  <c r="L253" i="1" s="1"/>
  <c r="Q55" i="1"/>
  <c r="Y55" i="1"/>
  <c r="Q153" i="1"/>
  <c r="Y153" i="1"/>
  <c r="Q168" i="1"/>
  <c r="Y168" i="1"/>
  <c r="AA168" i="1" s="1"/>
  <c r="Q228" i="1"/>
  <c r="Y228" i="1"/>
  <c r="AA228" i="1" s="1"/>
  <c r="Y236" i="1"/>
  <c r="AA236" i="1" s="1"/>
  <c r="O300" i="1"/>
  <c r="F300" i="1"/>
  <c r="L300" i="1" s="1"/>
  <c r="O304" i="1"/>
  <c r="F304" i="1"/>
  <c r="L304" i="1" s="1"/>
  <c r="Q167" i="1"/>
  <c r="Z167" i="1"/>
  <c r="AA167" i="1" s="1"/>
  <c r="Q235" i="1"/>
  <c r="Z235" i="1"/>
  <c r="AA235" i="1" s="1"/>
  <c r="Q320" i="1"/>
  <c r="Z320" i="1"/>
  <c r="AA320" i="1" s="1"/>
  <c r="AA346" i="1"/>
  <c r="F326" i="1"/>
  <c r="L326" i="1" s="1"/>
  <c r="F295" i="1"/>
  <c r="Q287" i="1"/>
  <c r="X287" i="1"/>
  <c r="AA287" i="1" s="1"/>
  <c r="X279" i="1"/>
  <c r="AA279" i="1" s="1"/>
  <c r="Q279" i="1"/>
  <c r="F271" i="1"/>
  <c r="L271" i="1" s="1"/>
  <c r="Q333" i="1"/>
  <c r="X333" i="1"/>
  <c r="AA333" i="1" s="1"/>
  <c r="Q286" i="1"/>
  <c r="X286" i="1"/>
  <c r="AA286" i="1" s="1"/>
  <c r="F278" i="1"/>
  <c r="L278" i="1" s="1"/>
  <c r="Q258" i="1"/>
  <c r="F336" i="1"/>
  <c r="L336" i="1" s="1"/>
  <c r="F320" i="1"/>
  <c r="L320" i="1" s="1"/>
  <c r="Q269" i="1"/>
  <c r="X269" i="1"/>
  <c r="AA269" i="1" s="1"/>
  <c r="F331" i="1"/>
  <c r="L331" i="1" s="1"/>
  <c r="F296" i="1"/>
  <c r="Q268" i="1"/>
  <c r="X268" i="1"/>
  <c r="AA268" i="1" s="1"/>
  <c r="J81" i="1"/>
  <c r="D55" i="31"/>
  <c r="T43" i="31" s="1"/>
  <c r="R16" i="31"/>
  <c r="AB16" i="31" s="1"/>
  <c r="H17" i="1"/>
  <c r="R18" i="31"/>
  <c r="AB18" i="31" s="1"/>
  <c r="H19" i="1"/>
  <c r="R15" i="31"/>
  <c r="AB15" i="31" s="1"/>
  <c r="H21" i="1"/>
  <c r="J73" i="1"/>
  <c r="P73" i="1" s="1"/>
  <c r="Z73" i="1" s="1"/>
  <c r="H73" i="1"/>
  <c r="N73" i="1" s="1"/>
  <c r="B43" i="31"/>
  <c r="AK53" i="36"/>
  <c r="AB42" i="31"/>
  <c r="W59" i="31"/>
  <c r="R10" i="31"/>
  <c r="AB10" i="31" s="1"/>
  <c r="L9" i="31"/>
  <c r="H10" i="1" s="1"/>
  <c r="H24" i="1" s="1"/>
  <c r="K21" i="31"/>
  <c r="R11" i="31"/>
  <c r="AB11" i="31" s="1"/>
  <c r="R12" i="31"/>
  <c r="AB12" i="31" s="1"/>
  <c r="V24" i="1"/>
  <c r="V145" i="1"/>
  <c r="V312" i="1"/>
  <c r="V231" i="1"/>
  <c r="V323" i="1"/>
  <c r="V343" i="1"/>
  <c r="V129" i="1"/>
  <c r="V328" i="1"/>
  <c r="V338" i="1"/>
  <c r="V306" i="1"/>
  <c r="V70" i="1"/>
  <c r="V58" i="1"/>
  <c r="V84" i="1"/>
  <c r="V113" i="1"/>
  <c r="V32" i="1"/>
  <c r="V64" i="1"/>
  <c r="V159" i="1"/>
  <c r="V171" i="1"/>
  <c r="V186" i="1"/>
  <c r="V178" i="1"/>
  <c r="V239" i="1"/>
  <c r="V292" i="1"/>
  <c r="V220" i="1"/>
  <c r="V139" i="1"/>
  <c r="P81" i="1" l="1"/>
  <c r="Z81" i="1" s="1"/>
  <c r="H81" i="1"/>
  <c r="N81" i="1" s="1"/>
  <c r="X81" i="1" s="1"/>
  <c r="AA81" i="1" s="1"/>
  <c r="Q29" i="1"/>
  <c r="Q236" i="1"/>
  <c r="AA96" i="1"/>
  <c r="Q195" i="1"/>
  <c r="AA87" i="1"/>
  <c r="L263" i="1"/>
  <c r="Q94" i="1"/>
  <c r="AA61" i="1"/>
  <c r="L82" i="1"/>
  <c r="J53" i="1"/>
  <c r="P53" i="1" s="1"/>
  <c r="Z53" i="1" s="1"/>
  <c r="I53" i="1"/>
  <c r="O53" i="1" s="1"/>
  <c r="Y53" i="1" s="1"/>
  <c r="H53" i="1"/>
  <c r="N53" i="1" s="1"/>
  <c r="X53" i="1" s="1"/>
  <c r="Q61" i="1"/>
  <c r="AA55" i="1"/>
  <c r="AA126" i="1"/>
  <c r="AA118" i="1"/>
  <c r="AA149" i="1"/>
  <c r="Q126" i="1"/>
  <c r="Q118" i="1"/>
  <c r="N21" i="1"/>
  <c r="L21" i="1"/>
  <c r="N17" i="1"/>
  <c r="L17" i="1"/>
  <c r="Q12" i="1"/>
  <c r="X12" i="1"/>
  <c r="AA12" i="1" s="1"/>
  <c r="N19" i="1"/>
  <c r="N15" i="1"/>
  <c r="L15" i="1"/>
  <c r="X14" i="1"/>
  <c r="AA14" i="1" s="1"/>
  <c r="Q14" i="1"/>
  <c r="X11" i="1"/>
  <c r="AA11" i="1" s="1"/>
  <c r="Q11" i="1"/>
  <c r="AA326" i="1"/>
  <c r="AF326" i="1" s="1"/>
  <c r="C53" i="37"/>
  <c r="L119" i="1"/>
  <c r="N119" i="1"/>
  <c r="Q119" i="1" s="1"/>
  <c r="Q73" i="1"/>
  <c r="X73" i="1"/>
  <c r="AA73" i="1" s="1"/>
  <c r="Y300" i="1"/>
  <c r="AA300" i="1" s="1"/>
  <c r="Q300" i="1"/>
  <c r="Q229" i="1"/>
  <c r="X229" i="1"/>
  <c r="AA229" i="1" s="1"/>
  <c r="X116" i="1"/>
  <c r="AA116" i="1" s="1"/>
  <c r="Q116" i="1"/>
  <c r="Y62" i="1"/>
  <c r="AA62" i="1" s="1"/>
  <c r="Q62" i="1"/>
  <c r="V255" i="1"/>
  <c r="X255" i="1"/>
  <c r="AA255" i="1" s="1"/>
  <c r="Q184" i="1"/>
  <c r="X184" i="1"/>
  <c r="AA184" i="1" s="1"/>
  <c r="AA153" i="1"/>
  <c r="Q137" i="1"/>
  <c r="X137" i="1"/>
  <c r="AA137" i="1" s="1"/>
  <c r="Q123" i="1"/>
  <c r="X123" i="1"/>
  <c r="AA123" i="1" s="1"/>
  <c r="AA213" i="1"/>
  <c r="V256" i="1"/>
  <c r="X256" i="1"/>
  <c r="AA256" i="1" s="1"/>
  <c r="Q206" i="1"/>
  <c r="X206" i="1"/>
  <c r="AA206" i="1" s="1"/>
  <c r="Q143" i="1"/>
  <c r="X143" i="1"/>
  <c r="AA143" i="1" s="1"/>
  <c r="Q125" i="1"/>
  <c r="X125" i="1"/>
  <c r="AA125" i="1" s="1"/>
  <c r="Q117" i="1"/>
  <c r="X117" i="1"/>
  <c r="AA117" i="1" s="1"/>
  <c r="L81" i="1"/>
  <c r="Q56" i="1"/>
  <c r="X56" i="1"/>
  <c r="AA56" i="1" s="1"/>
  <c r="Q169" i="1"/>
  <c r="X169" i="1"/>
  <c r="AA169" i="1" s="1"/>
  <c r="Q150" i="1"/>
  <c r="X150" i="1"/>
  <c r="AA150" i="1" s="1"/>
  <c r="X124" i="1"/>
  <c r="AA124" i="1" s="1"/>
  <c r="Q124" i="1"/>
  <c r="X80" i="1"/>
  <c r="AA80" i="1" s="1"/>
  <c r="Q80" i="1"/>
  <c r="X18" i="1"/>
  <c r="Q303" i="1"/>
  <c r="Y303" i="1"/>
  <c r="AA303" i="1" s="1"/>
  <c r="Q212" i="1"/>
  <c r="X212" i="1"/>
  <c r="AA212" i="1" s="1"/>
  <c r="Q196" i="1"/>
  <c r="X196" i="1"/>
  <c r="AA196" i="1" s="1"/>
  <c r="Q111" i="1"/>
  <c r="X111" i="1"/>
  <c r="AA111" i="1" s="1"/>
  <c r="Q54" i="1"/>
  <c r="X54" i="1"/>
  <c r="AA54" i="1" s="1"/>
  <c r="Q13" i="1"/>
  <c r="X13" i="1"/>
  <c r="AA13" i="1" s="1"/>
  <c r="Q68" i="1"/>
  <c r="Q215" i="1"/>
  <c r="X215" i="1"/>
  <c r="AA215" i="1" s="1"/>
  <c r="X207" i="1"/>
  <c r="AA207" i="1" s="1"/>
  <c r="Q207" i="1"/>
  <c r="Q175" i="1"/>
  <c r="X175" i="1"/>
  <c r="AA175" i="1" s="1"/>
  <c r="X152" i="1"/>
  <c r="AA152" i="1" s="1"/>
  <c r="Q152" i="1"/>
  <c r="AA136" i="1"/>
  <c r="Q110" i="1"/>
  <c r="X110" i="1"/>
  <c r="AA110" i="1" s="1"/>
  <c r="Q87" i="1"/>
  <c r="Q253" i="1"/>
  <c r="Q213" i="1"/>
  <c r="X234" i="1"/>
  <c r="AA234" i="1" s="1"/>
  <c r="Q234" i="1"/>
  <c r="Q214" i="1"/>
  <c r="X214" i="1"/>
  <c r="AA214" i="1" s="1"/>
  <c r="Q151" i="1"/>
  <c r="X151" i="1"/>
  <c r="AA151" i="1" s="1"/>
  <c r="L73" i="1"/>
  <c r="AA263" i="1"/>
  <c r="Y304" i="1"/>
  <c r="AA304" i="1" s="1"/>
  <c r="Q304" i="1"/>
  <c r="Q237" i="1"/>
  <c r="X237" i="1"/>
  <c r="AA237" i="1" s="1"/>
  <c r="X193" i="1"/>
  <c r="AA193" i="1" s="1"/>
  <c r="Q193" i="1"/>
  <c r="X108" i="1"/>
  <c r="AA108" i="1" s="1"/>
  <c r="Q108" i="1"/>
  <c r="Q127" i="1"/>
  <c r="X127" i="1"/>
  <c r="AA127" i="1" s="1"/>
  <c r="X119" i="1"/>
  <c r="AA119" i="1" s="1"/>
  <c r="Q103" i="1"/>
  <c r="X103" i="1"/>
  <c r="AA103" i="1" s="1"/>
  <c r="Q30" i="1"/>
  <c r="X30" i="1"/>
  <c r="AA30" i="1" s="1"/>
  <c r="Q96" i="1"/>
  <c r="Q98" i="1"/>
  <c r="X98" i="1"/>
  <c r="AA98" i="1" s="1"/>
  <c r="Q82" i="1"/>
  <c r="X82" i="1"/>
  <c r="AA82" i="1" s="1"/>
  <c r="Q149" i="1"/>
  <c r="AA217" i="1"/>
  <c r="AA209" i="1"/>
  <c r="Q174" i="1"/>
  <c r="X174" i="1"/>
  <c r="AA174" i="1" s="1"/>
  <c r="Q135" i="1"/>
  <c r="X135" i="1"/>
  <c r="AA135" i="1" s="1"/>
  <c r="Q121" i="1"/>
  <c r="X121" i="1"/>
  <c r="AA121" i="1" s="1"/>
  <c r="Q89" i="1"/>
  <c r="X89" i="1"/>
  <c r="AA89" i="1" s="1"/>
  <c r="Q52" i="1"/>
  <c r="X52" i="1"/>
  <c r="AA52" i="1" s="1"/>
  <c r="Q263" i="1"/>
  <c r="X181" i="1"/>
  <c r="AA181" i="1" s="1"/>
  <c r="Q181" i="1"/>
  <c r="Q157" i="1"/>
  <c r="X157" i="1"/>
  <c r="AA157" i="1" s="1"/>
  <c r="X120" i="1"/>
  <c r="AA120" i="1" s="1"/>
  <c r="Q120" i="1"/>
  <c r="Q47" i="1"/>
  <c r="X47" i="1"/>
  <c r="AA47" i="1" s="1"/>
  <c r="Y299" i="1"/>
  <c r="Q216" i="1"/>
  <c r="X216" i="1"/>
  <c r="AA216" i="1" s="1"/>
  <c r="Q208" i="1"/>
  <c r="X208" i="1"/>
  <c r="AA208" i="1" s="1"/>
  <c r="Q192" i="1"/>
  <c r="X192" i="1"/>
  <c r="AA192" i="1" s="1"/>
  <c r="Q176" i="1"/>
  <c r="X176" i="1"/>
  <c r="X67" i="1"/>
  <c r="AA67" i="1" s="1"/>
  <c r="Q67" i="1"/>
  <c r="V257" i="1"/>
  <c r="X257" i="1"/>
  <c r="AA257" i="1" s="1"/>
  <c r="Q243" i="1"/>
  <c r="X243" i="1"/>
  <c r="AA243" i="1" s="1"/>
  <c r="Q223" i="1"/>
  <c r="X223" i="1"/>
  <c r="AA223" i="1" s="1"/>
  <c r="X211" i="1"/>
  <c r="AA211" i="1" s="1"/>
  <c r="Q211" i="1"/>
  <c r="AA183" i="1"/>
  <c r="X148" i="1"/>
  <c r="AA148" i="1" s="1"/>
  <c r="Q148" i="1"/>
  <c r="Q217" i="1"/>
  <c r="Q209" i="1"/>
  <c r="V254" i="1"/>
  <c r="Q218" i="1"/>
  <c r="X218" i="1"/>
  <c r="AA218" i="1" s="1"/>
  <c r="Q210" i="1"/>
  <c r="X210" i="1"/>
  <c r="AA210" i="1" s="1"/>
  <c r="Q182" i="1"/>
  <c r="X182" i="1"/>
  <c r="AA182" i="1" s="1"/>
  <c r="S252" i="1"/>
  <c r="D53" i="37"/>
  <c r="B44" i="31"/>
  <c r="S56" i="31" s="1"/>
  <c r="R9" i="31"/>
  <c r="L21" i="31"/>
  <c r="AH217" i="29"/>
  <c r="AH251" i="29"/>
  <c r="AH261" i="29"/>
  <c r="AH273" i="29"/>
  <c r="AH279" i="29"/>
  <c r="AF279" i="29"/>
  <c r="AD279" i="29"/>
  <c r="AB279" i="29"/>
  <c r="Z279" i="29"/>
  <c r="X279" i="29"/>
  <c r="V279" i="29"/>
  <c r="T279" i="29"/>
  <c r="R279" i="29"/>
  <c r="P279" i="29"/>
  <c r="N279" i="29"/>
  <c r="L279" i="29"/>
  <c r="J279" i="29"/>
  <c r="AG275" i="29"/>
  <c r="AA275" i="29"/>
  <c r="U275" i="29"/>
  <c r="O275" i="29"/>
  <c r="AG273" i="29"/>
  <c r="AF273" i="29"/>
  <c r="AD273" i="29"/>
  <c r="AB273" i="29"/>
  <c r="AA273" i="29"/>
  <c r="Z273" i="29"/>
  <c r="X273" i="29"/>
  <c r="V273" i="29"/>
  <c r="U273" i="29"/>
  <c r="T273" i="29"/>
  <c r="R273" i="29"/>
  <c r="P273" i="29"/>
  <c r="O273" i="29"/>
  <c r="N273" i="29"/>
  <c r="L273" i="29"/>
  <c r="J273" i="29"/>
  <c r="AG269" i="29"/>
  <c r="AA269" i="29"/>
  <c r="U269" i="29"/>
  <c r="O269" i="29"/>
  <c r="AH267" i="29"/>
  <c r="AG267" i="29"/>
  <c r="AF267" i="29"/>
  <c r="AD267" i="29"/>
  <c r="AB267" i="29"/>
  <c r="AA267" i="29"/>
  <c r="Z267" i="29"/>
  <c r="X267" i="29"/>
  <c r="V267" i="29"/>
  <c r="U267" i="29"/>
  <c r="T267" i="29"/>
  <c r="R267" i="29"/>
  <c r="P267" i="29"/>
  <c r="O267" i="29"/>
  <c r="N267" i="29"/>
  <c r="L267" i="29"/>
  <c r="J267" i="29"/>
  <c r="AG263" i="29"/>
  <c r="AA263" i="29"/>
  <c r="U263" i="29"/>
  <c r="O263" i="29"/>
  <c r="AG261" i="29"/>
  <c r="AF261" i="29"/>
  <c r="AD261" i="29"/>
  <c r="AB261" i="29"/>
  <c r="AA261" i="29"/>
  <c r="Z261" i="29"/>
  <c r="X261" i="29"/>
  <c r="V261" i="29"/>
  <c r="U261" i="29"/>
  <c r="T261" i="29"/>
  <c r="R261" i="29"/>
  <c r="P261" i="29"/>
  <c r="O261" i="29"/>
  <c r="N261" i="29"/>
  <c r="L261" i="29"/>
  <c r="J261" i="29"/>
  <c r="AG257" i="29"/>
  <c r="AA257" i="29"/>
  <c r="U257" i="29"/>
  <c r="O257" i="29"/>
  <c r="AG255" i="29"/>
  <c r="AF255" i="29"/>
  <c r="AD255" i="29"/>
  <c r="AB255" i="29"/>
  <c r="AA255" i="29"/>
  <c r="Z255" i="29"/>
  <c r="X255" i="29"/>
  <c r="V255" i="29"/>
  <c r="U255" i="29"/>
  <c r="T255" i="29"/>
  <c r="R255" i="29"/>
  <c r="P255" i="29"/>
  <c r="O255" i="29"/>
  <c r="N255" i="29"/>
  <c r="L255" i="29"/>
  <c r="J255" i="29"/>
  <c r="AH255" i="29"/>
  <c r="AG251" i="29"/>
  <c r="AF251" i="29"/>
  <c r="AD251" i="29"/>
  <c r="AB251" i="29"/>
  <c r="AA251" i="29"/>
  <c r="Z251" i="29"/>
  <c r="X251" i="29"/>
  <c r="V251" i="29"/>
  <c r="U251" i="29"/>
  <c r="T251" i="29"/>
  <c r="R251" i="29"/>
  <c r="P251" i="29"/>
  <c r="O251" i="29"/>
  <c r="N251" i="29"/>
  <c r="L251" i="29"/>
  <c r="J251" i="29"/>
  <c r="AG247" i="29"/>
  <c r="AF247" i="29"/>
  <c r="AD247" i="29"/>
  <c r="AB247" i="29"/>
  <c r="AA247" i="29"/>
  <c r="Z247" i="29"/>
  <c r="X247" i="29"/>
  <c r="V247" i="29"/>
  <c r="U247" i="29"/>
  <c r="T247" i="29"/>
  <c r="R247" i="29"/>
  <c r="P247" i="29"/>
  <c r="O247" i="29"/>
  <c r="N247" i="29"/>
  <c r="L247" i="29"/>
  <c r="J247" i="29"/>
  <c r="AH247" i="29"/>
  <c r="AG243" i="29"/>
  <c r="AA243" i="29"/>
  <c r="U243" i="29"/>
  <c r="O243" i="29"/>
  <c r="AG241" i="29"/>
  <c r="AA241" i="29"/>
  <c r="U241" i="29"/>
  <c r="O241" i="29"/>
  <c r="AG239" i="29"/>
  <c r="AF239" i="29"/>
  <c r="AD239" i="29"/>
  <c r="AB239" i="29"/>
  <c r="AA239" i="29"/>
  <c r="Z239" i="29"/>
  <c r="X239" i="29"/>
  <c r="V239" i="29"/>
  <c r="U239" i="29"/>
  <c r="T239" i="29"/>
  <c r="R239" i="29"/>
  <c r="P239" i="29"/>
  <c r="O239" i="29"/>
  <c r="N239" i="29"/>
  <c r="L239" i="29"/>
  <c r="J239" i="29"/>
  <c r="AG235" i="29"/>
  <c r="AF235" i="29"/>
  <c r="AD235" i="29"/>
  <c r="AB235" i="29"/>
  <c r="AA235" i="29"/>
  <c r="Z235" i="29"/>
  <c r="X235" i="29"/>
  <c r="V235" i="29"/>
  <c r="U235" i="29"/>
  <c r="T235" i="29"/>
  <c r="R235" i="29"/>
  <c r="P235" i="29"/>
  <c r="O235" i="29"/>
  <c r="N235" i="29"/>
  <c r="L235" i="29"/>
  <c r="J235" i="29"/>
  <c r="AG231" i="29"/>
  <c r="AF231" i="29"/>
  <c r="AF241" i="29" s="1"/>
  <c r="AD231" i="29"/>
  <c r="AD241" i="29" s="1"/>
  <c r="AB231" i="29"/>
  <c r="AB241" i="29" s="1"/>
  <c r="AA231" i="29"/>
  <c r="Z231" i="29"/>
  <c r="Z241" i="29" s="1"/>
  <c r="X231" i="29"/>
  <c r="X241" i="29" s="1"/>
  <c r="V231" i="29"/>
  <c r="V241" i="29" s="1"/>
  <c r="U231" i="29"/>
  <c r="T231" i="29"/>
  <c r="T241" i="29" s="1"/>
  <c r="R231" i="29"/>
  <c r="R241" i="29" s="1"/>
  <c r="P231" i="29"/>
  <c r="P241" i="29" s="1"/>
  <c r="O231" i="29"/>
  <c r="N231" i="29"/>
  <c r="N241" i="29" s="1"/>
  <c r="L231" i="29"/>
  <c r="L241" i="29" s="1"/>
  <c r="J231" i="29"/>
  <c r="J241" i="29" s="1"/>
  <c r="AF217" i="29"/>
  <c r="AD217" i="29"/>
  <c r="AB217" i="29"/>
  <c r="Z217" i="29"/>
  <c r="X217" i="29"/>
  <c r="V217" i="29"/>
  <c r="T217" i="29"/>
  <c r="R217" i="29"/>
  <c r="P217" i="29"/>
  <c r="N217" i="29"/>
  <c r="L217" i="29"/>
  <c r="J217" i="29"/>
  <c r="AF213" i="29"/>
  <c r="AD213" i="29"/>
  <c r="AB213" i="29"/>
  <c r="Z213" i="29"/>
  <c r="X213" i="29"/>
  <c r="V213" i="29"/>
  <c r="T213" i="29"/>
  <c r="R213" i="29"/>
  <c r="P213" i="29"/>
  <c r="N213" i="29"/>
  <c r="L213" i="29"/>
  <c r="J213" i="29"/>
  <c r="AH213" i="29"/>
  <c r="AF179" i="29"/>
  <c r="AD179" i="29"/>
  <c r="AB179" i="29"/>
  <c r="Z179" i="29"/>
  <c r="X179" i="29"/>
  <c r="V179" i="29"/>
  <c r="T179" i="29"/>
  <c r="R179" i="29"/>
  <c r="P179" i="29"/>
  <c r="N179" i="29"/>
  <c r="L179" i="29"/>
  <c r="J179" i="29"/>
  <c r="AF156" i="29"/>
  <c r="AD156" i="29"/>
  <c r="AB156" i="29"/>
  <c r="Z156" i="29"/>
  <c r="X156" i="29"/>
  <c r="V156" i="29"/>
  <c r="T156" i="29"/>
  <c r="R156" i="29"/>
  <c r="P156" i="29"/>
  <c r="N156" i="29"/>
  <c r="L156" i="29"/>
  <c r="J156" i="29"/>
  <c r="AH156" i="29"/>
  <c r="AF152" i="29"/>
  <c r="AD152" i="29"/>
  <c r="AB152" i="29"/>
  <c r="Z152" i="29"/>
  <c r="X152" i="29"/>
  <c r="V152" i="29"/>
  <c r="T152" i="29"/>
  <c r="R152" i="29"/>
  <c r="P152" i="29"/>
  <c r="N152" i="29"/>
  <c r="L152" i="29"/>
  <c r="J152" i="29"/>
  <c r="AH152" i="29"/>
  <c r="AH142" i="29"/>
  <c r="AF142" i="29"/>
  <c r="AD142" i="29"/>
  <c r="AB142" i="29"/>
  <c r="Z142" i="29"/>
  <c r="X142" i="29"/>
  <c r="V142" i="29"/>
  <c r="T142" i="29"/>
  <c r="R142" i="29"/>
  <c r="P142" i="29"/>
  <c r="N142" i="29"/>
  <c r="L142" i="29"/>
  <c r="J142" i="29"/>
  <c r="AF138" i="29"/>
  <c r="AD138" i="29"/>
  <c r="AB138" i="29"/>
  <c r="Z138" i="29"/>
  <c r="X138" i="29"/>
  <c r="V138" i="29"/>
  <c r="T138" i="29"/>
  <c r="R138" i="29"/>
  <c r="P138" i="29"/>
  <c r="N138" i="29"/>
  <c r="L138" i="29"/>
  <c r="J138" i="29"/>
  <c r="AH138" i="29"/>
  <c r="AF127" i="29"/>
  <c r="AD127" i="29"/>
  <c r="AB127" i="29"/>
  <c r="Z127" i="29"/>
  <c r="X127" i="29"/>
  <c r="V127" i="29"/>
  <c r="T127" i="29"/>
  <c r="R127" i="29"/>
  <c r="P127" i="29"/>
  <c r="N127" i="29"/>
  <c r="L127" i="29"/>
  <c r="J127" i="29"/>
  <c r="AH127" i="29"/>
  <c r="AF122" i="29"/>
  <c r="AD122" i="29"/>
  <c r="AB122" i="29"/>
  <c r="Z122" i="29"/>
  <c r="X122" i="29"/>
  <c r="V122" i="29"/>
  <c r="T122" i="29"/>
  <c r="R122" i="29"/>
  <c r="P122" i="29"/>
  <c r="N122" i="29"/>
  <c r="L122" i="29"/>
  <c r="J122" i="29"/>
  <c r="AH122" i="29"/>
  <c r="AF116" i="29"/>
  <c r="AD116" i="29"/>
  <c r="AB116" i="29"/>
  <c r="Z116" i="29"/>
  <c r="X116" i="29"/>
  <c r="V116" i="29"/>
  <c r="T116" i="29"/>
  <c r="R116" i="29"/>
  <c r="P116" i="29"/>
  <c r="N116" i="29"/>
  <c r="L116" i="29"/>
  <c r="J116" i="29"/>
  <c r="AH116" i="29"/>
  <c r="AF94" i="29"/>
  <c r="AD94" i="29"/>
  <c r="AB94" i="29"/>
  <c r="Z94" i="29"/>
  <c r="X94" i="29"/>
  <c r="V94" i="29"/>
  <c r="T94" i="29"/>
  <c r="R94" i="29"/>
  <c r="P94" i="29"/>
  <c r="N94" i="29"/>
  <c r="L94" i="29"/>
  <c r="J94" i="29"/>
  <c r="AH94" i="29"/>
  <c r="AF90" i="29"/>
  <c r="AD90" i="29"/>
  <c r="AB90" i="29"/>
  <c r="Z90" i="29"/>
  <c r="X90" i="29"/>
  <c r="V90" i="29"/>
  <c r="T90" i="29"/>
  <c r="R90" i="29"/>
  <c r="P90" i="29"/>
  <c r="N90" i="29"/>
  <c r="L90" i="29"/>
  <c r="J90" i="29"/>
  <c r="AH90" i="29"/>
  <c r="AF71" i="29"/>
  <c r="AD71" i="29"/>
  <c r="AB71" i="29"/>
  <c r="Z71" i="29"/>
  <c r="X71" i="29"/>
  <c r="V71" i="29"/>
  <c r="T71" i="29"/>
  <c r="R71" i="29"/>
  <c r="P71" i="29"/>
  <c r="N71" i="29"/>
  <c r="L71" i="29"/>
  <c r="J71" i="29"/>
  <c r="AH71" i="29"/>
  <c r="AF67" i="29"/>
  <c r="AD67" i="29"/>
  <c r="AB67" i="29"/>
  <c r="Z67" i="29"/>
  <c r="X67" i="29"/>
  <c r="V67" i="29"/>
  <c r="T67" i="29"/>
  <c r="R67" i="29"/>
  <c r="P67" i="29"/>
  <c r="N67" i="29"/>
  <c r="L67" i="29"/>
  <c r="J67" i="29"/>
  <c r="AH67" i="29"/>
  <c r="AF62" i="29"/>
  <c r="AD62" i="29"/>
  <c r="AB62" i="29"/>
  <c r="Z62" i="29"/>
  <c r="X62" i="29"/>
  <c r="V62" i="29"/>
  <c r="T62" i="29"/>
  <c r="R62" i="29"/>
  <c r="P62" i="29"/>
  <c r="N62" i="29"/>
  <c r="L62" i="29"/>
  <c r="J62" i="29"/>
  <c r="AH62" i="29"/>
  <c r="AH57" i="29"/>
  <c r="AF57" i="29"/>
  <c r="AD57" i="29"/>
  <c r="AB57" i="29"/>
  <c r="Z57" i="29"/>
  <c r="X57" i="29"/>
  <c r="V57" i="29"/>
  <c r="T57" i="29"/>
  <c r="R57" i="29"/>
  <c r="P57" i="29"/>
  <c r="N57" i="29"/>
  <c r="L57" i="29"/>
  <c r="J57" i="29"/>
  <c r="AF53" i="29"/>
  <c r="AD53" i="29"/>
  <c r="AB53" i="29"/>
  <c r="Z53" i="29"/>
  <c r="X53" i="29"/>
  <c r="V53" i="29"/>
  <c r="T53" i="29"/>
  <c r="R53" i="29"/>
  <c r="P53" i="29"/>
  <c r="N53" i="29"/>
  <c r="L53" i="29"/>
  <c r="J53" i="29"/>
  <c r="AH53" i="29"/>
  <c r="AF46" i="29"/>
  <c r="AD46" i="29"/>
  <c r="AB46" i="29"/>
  <c r="Z46" i="29"/>
  <c r="X46" i="29"/>
  <c r="V46" i="29"/>
  <c r="T46" i="29"/>
  <c r="R46" i="29"/>
  <c r="P46" i="29"/>
  <c r="N46" i="29"/>
  <c r="L46" i="29"/>
  <c r="J46" i="29"/>
  <c r="AH46" i="29"/>
  <c r="AF40" i="29"/>
  <c r="AD40" i="29"/>
  <c r="AB40" i="29"/>
  <c r="Z40" i="29"/>
  <c r="X40" i="29"/>
  <c r="V40" i="29"/>
  <c r="T40" i="29"/>
  <c r="R40" i="29"/>
  <c r="P40" i="29"/>
  <c r="N40" i="29"/>
  <c r="L40" i="29"/>
  <c r="J40" i="29"/>
  <c r="AH40" i="29"/>
  <c r="AF36" i="29"/>
  <c r="AD36" i="29"/>
  <c r="AB36" i="29"/>
  <c r="Z36" i="29"/>
  <c r="X36" i="29"/>
  <c r="V36" i="29"/>
  <c r="T36" i="29"/>
  <c r="R36" i="29"/>
  <c r="P36" i="29"/>
  <c r="N36" i="29"/>
  <c r="L36" i="29"/>
  <c r="J36" i="29"/>
  <c r="AH36" i="29"/>
  <c r="AF31" i="29"/>
  <c r="AD31" i="29"/>
  <c r="AB31" i="29"/>
  <c r="Z31" i="29"/>
  <c r="X31" i="29"/>
  <c r="V31" i="29"/>
  <c r="T31" i="29"/>
  <c r="R31" i="29"/>
  <c r="P31" i="29"/>
  <c r="N31" i="29"/>
  <c r="L31" i="29"/>
  <c r="J31" i="29"/>
  <c r="AH31" i="29"/>
  <c r="E20" i="1" s="1"/>
  <c r="P20" i="1" s="1"/>
  <c r="Z20" i="1" s="1"/>
  <c r="AF23" i="29"/>
  <c r="AD23" i="29"/>
  <c r="AB23" i="29"/>
  <c r="Z23" i="29"/>
  <c r="X23" i="29"/>
  <c r="V23" i="29"/>
  <c r="T23" i="29"/>
  <c r="R23" i="29"/>
  <c r="P23" i="29"/>
  <c r="N23" i="29"/>
  <c r="L23" i="29"/>
  <c r="J23" i="29"/>
  <c r="AH23" i="29"/>
  <c r="AH19" i="29"/>
  <c r="E19" i="1" s="1"/>
  <c r="AF19" i="29"/>
  <c r="AD19" i="29"/>
  <c r="AB19" i="29"/>
  <c r="Z19" i="29"/>
  <c r="X19" i="29"/>
  <c r="V19" i="29"/>
  <c r="T19" i="29"/>
  <c r="R19" i="29"/>
  <c r="P19" i="29"/>
  <c r="N19" i="29"/>
  <c r="L19" i="29"/>
  <c r="J19" i="29"/>
  <c r="AF3" i="29"/>
  <c r="AF12" i="29" s="1"/>
  <c r="AD3" i="29"/>
  <c r="AD12" i="29" s="1"/>
  <c r="AB3" i="29"/>
  <c r="AB12" i="29" s="1"/>
  <c r="Z3" i="29"/>
  <c r="Z12" i="29" s="1"/>
  <c r="X3" i="29"/>
  <c r="X12" i="29" s="1"/>
  <c r="V3" i="29"/>
  <c r="V12" i="29" s="1"/>
  <c r="T3" i="29"/>
  <c r="T12" i="29" s="1"/>
  <c r="R3" i="29"/>
  <c r="R12" i="29" s="1"/>
  <c r="P3" i="29"/>
  <c r="P12" i="29" s="1"/>
  <c r="N3" i="29"/>
  <c r="N12" i="29" s="1"/>
  <c r="L3" i="29"/>
  <c r="L12" i="29" s="1"/>
  <c r="J3" i="29"/>
  <c r="J12" i="29" s="1"/>
  <c r="AH2" i="29"/>
  <c r="AH175" i="28"/>
  <c r="AH219" i="28"/>
  <c r="AH251" i="28"/>
  <c r="AH261" i="28"/>
  <c r="AH273" i="28"/>
  <c r="AH279" i="28"/>
  <c r="AF279" i="28"/>
  <c r="AD279" i="28"/>
  <c r="AB279" i="28"/>
  <c r="Z279" i="28"/>
  <c r="X279" i="28"/>
  <c r="V279" i="28"/>
  <c r="T279" i="28"/>
  <c r="R279" i="28"/>
  <c r="P279" i="28"/>
  <c r="N279" i="28"/>
  <c r="L279" i="28"/>
  <c r="J279" i="28"/>
  <c r="AG275" i="28"/>
  <c r="AA275" i="28"/>
  <c r="U275" i="28"/>
  <c r="O275" i="28"/>
  <c r="AG273" i="28"/>
  <c r="AF273" i="28"/>
  <c r="AD273" i="28"/>
  <c r="AB273" i="28"/>
  <c r="AA273" i="28"/>
  <c r="Z273" i="28"/>
  <c r="X273" i="28"/>
  <c r="V273" i="28"/>
  <c r="U273" i="28"/>
  <c r="T273" i="28"/>
  <c r="R273" i="28"/>
  <c r="P273" i="28"/>
  <c r="O273" i="28"/>
  <c r="N273" i="28"/>
  <c r="L273" i="28"/>
  <c r="J273" i="28"/>
  <c r="AG269" i="28"/>
  <c r="AA269" i="28"/>
  <c r="U269" i="28"/>
  <c r="O269" i="28"/>
  <c r="AH267" i="28"/>
  <c r="AG267" i="28"/>
  <c r="AF267" i="28"/>
  <c r="AD267" i="28"/>
  <c r="AB267" i="28"/>
  <c r="AA267" i="28"/>
  <c r="Z267" i="28"/>
  <c r="X267" i="28"/>
  <c r="V267" i="28"/>
  <c r="U267" i="28"/>
  <c r="T267" i="28"/>
  <c r="R267" i="28"/>
  <c r="P267" i="28"/>
  <c r="O267" i="28"/>
  <c r="N267" i="28"/>
  <c r="L267" i="28"/>
  <c r="J267" i="28"/>
  <c r="AG263" i="28"/>
  <c r="AA263" i="28"/>
  <c r="U263" i="28"/>
  <c r="O263" i="28"/>
  <c r="AG261" i="28"/>
  <c r="AF261" i="28"/>
  <c r="AD261" i="28"/>
  <c r="AB261" i="28"/>
  <c r="AA261" i="28"/>
  <c r="Z261" i="28"/>
  <c r="X261" i="28"/>
  <c r="V261" i="28"/>
  <c r="U261" i="28"/>
  <c r="T261" i="28"/>
  <c r="R261" i="28"/>
  <c r="P261" i="28"/>
  <c r="O261" i="28"/>
  <c r="N261" i="28"/>
  <c r="L261" i="28"/>
  <c r="J261" i="28"/>
  <c r="AG257" i="28"/>
  <c r="AA257" i="28"/>
  <c r="U257" i="28"/>
  <c r="O257" i="28"/>
  <c r="AG255" i="28"/>
  <c r="AF255" i="28"/>
  <c r="AD255" i="28"/>
  <c r="AB255" i="28"/>
  <c r="AA255" i="28"/>
  <c r="Z255" i="28"/>
  <c r="X255" i="28"/>
  <c r="V255" i="28"/>
  <c r="U255" i="28"/>
  <c r="T255" i="28"/>
  <c r="R255" i="28"/>
  <c r="P255" i="28"/>
  <c r="O255" i="28"/>
  <c r="N255" i="28"/>
  <c r="L255" i="28"/>
  <c r="J255" i="28"/>
  <c r="AH255" i="28"/>
  <c r="AG251" i="28"/>
  <c r="AF251" i="28"/>
  <c r="AD251" i="28"/>
  <c r="AB251" i="28"/>
  <c r="AA251" i="28"/>
  <c r="Z251" i="28"/>
  <c r="X251" i="28"/>
  <c r="V251" i="28"/>
  <c r="U251" i="28"/>
  <c r="T251" i="28"/>
  <c r="R251" i="28"/>
  <c r="P251" i="28"/>
  <c r="O251" i="28"/>
  <c r="N251" i="28"/>
  <c r="L251" i="28"/>
  <c r="J251" i="28"/>
  <c r="AG247" i="28"/>
  <c r="AF247" i="28"/>
  <c r="AD247" i="28"/>
  <c r="AB247" i="28"/>
  <c r="AA247" i="28"/>
  <c r="Z247" i="28"/>
  <c r="X247" i="28"/>
  <c r="V247" i="28"/>
  <c r="U247" i="28"/>
  <c r="T247" i="28"/>
  <c r="R247" i="28"/>
  <c r="P247" i="28"/>
  <c r="O247" i="28"/>
  <c r="N247" i="28"/>
  <c r="L247" i="28"/>
  <c r="J247" i="28"/>
  <c r="AH247" i="28"/>
  <c r="AG243" i="28"/>
  <c r="AA243" i="28"/>
  <c r="U243" i="28"/>
  <c r="O243" i="28"/>
  <c r="AG241" i="28"/>
  <c r="AA241" i="28"/>
  <c r="U241" i="28"/>
  <c r="O241" i="28"/>
  <c r="AG239" i="28"/>
  <c r="AF239" i="28"/>
  <c r="AD239" i="28"/>
  <c r="AB239" i="28"/>
  <c r="AA239" i="28"/>
  <c r="Z239" i="28"/>
  <c r="X239" i="28"/>
  <c r="V239" i="28"/>
  <c r="U239" i="28"/>
  <c r="T239" i="28"/>
  <c r="R239" i="28"/>
  <c r="P239" i="28"/>
  <c r="O239" i="28"/>
  <c r="N239" i="28"/>
  <c r="L239" i="28"/>
  <c r="J239" i="28"/>
  <c r="AH239" i="28" s="1"/>
  <c r="AG235" i="28"/>
  <c r="AF235" i="28"/>
  <c r="AD235" i="28"/>
  <c r="AB235" i="28"/>
  <c r="AA235" i="28"/>
  <c r="Z235" i="28"/>
  <c r="X235" i="28"/>
  <c r="V235" i="28"/>
  <c r="U235" i="28"/>
  <c r="T235" i="28"/>
  <c r="R235" i="28"/>
  <c r="P235" i="28"/>
  <c r="O235" i="28"/>
  <c r="N235" i="28"/>
  <c r="L235" i="28"/>
  <c r="J235" i="28"/>
  <c r="AH235" i="28" s="1"/>
  <c r="AG231" i="28"/>
  <c r="AF231" i="28"/>
  <c r="AF241" i="28" s="1"/>
  <c r="AD231" i="28"/>
  <c r="AD241" i="28" s="1"/>
  <c r="AB231" i="28"/>
  <c r="AB241" i="28" s="1"/>
  <c r="AA231" i="28"/>
  <c r="Z231" i="28"/>
  <c r="Z241" i="28" s="1"/>
  <c r="X231" i="28"/>
  <c r="X241" i="28" s="1"/>
  <c r="V231" i="28"/>
  <c r="V241" i="28" s="1"/>
  <c r="U231" i="28"/>
  <c r="T231" i="28"/>
  <c r="T241" i="28" s="1"/>
  <c r="R231" i="28"/>
  <c r="R241" i="28" s="1"/>
  <c r="P231" i="28"/>
  <c r="P241" i="28" s="1"/>
  <c r="O231" i="28"/>
  <c r="N231" i="28"/>
  <c r="N241" i="28" s="1"/>
  <c r="L231" i="28"/>
  <c r="L241" i="28" s="1"/>
  <c r="J231" i="28"/>
  <c r="J241" i="28" s="1"/>
  <c r="AF219" i="28"/>
  <c r="AD219" i="28"/>
  <c r="AB219" i="28"/>
  <c r="Z219" i="28"/>
  <c r="X219" i="28"/>
  <c r="V219" i="28"/>
  <c r="T219" i="28"/>
  <c r="R219" i="28"/>
  <c r="P219" i="28"/>
  <c r="N219" i="28"/>
  <c r="L219" i="28"/>
  <c r="J219" i="28"/>
  <c r="AF215" i="28"/>
  <c r="AD215" i="28"/>
  <c r="AB215" i="28"/>
  <c r="Z215" i="28"/>
  <c r="X215" i="28"/>
  <c r="V215" i="28"/>
  <c r="T215" i="28"/>
  <c r="R215" i="28"/>
  <c r="P215" i="28"/>
  <c r="N215" i="28"/>
  <c r="L215" i="28"/>
  <c r="J215" i="28"/>
  <c r="AF184" i="28"/>
  <c r="AF221" i="28" s="1"/>
  <c r="AD184" i="28"/>
  <c r="AB184" i="28"/>
  <c r="AB221" i="28" s="1"/>
  <c r="Z184" i="28"/>
  <c r="X184" i="28"/>
  <c r="X221" i="28" s="1"/>
  <c r="V184" i="28"/>
  <c r="T184" i="28"/>
  <c r="T221" i="28" s="1"/>
  <c r="R184" i="28"/>
  <c r="P184" i="28"/>
  <c r="P221" i="28" s="1"/>
  <c r="N184" i="28"/>
  <c r="L184" i="28"/>
  <c r="L221" i="28" s="1"/>
  <c r="J184" i="28"/>
  <c r="AH184" i="28"/>
  <c r="AF175" i="28"/>
  <c r="AD175" i="28"/>
  <c r="AB175" i="28"/>
  <c r="Z175" i="28"/>
  <c r="X175" i="28"/>
  <c r="V175" i="28"/>
  <c r="T175" i="28"/>
  <c r="R175" i="28"/>
  <c r="P175" i="28"/>
  <c r="N175" i="28"/>
  <c r="L175" i="28"/>
  <c r="J175" i="28"/>
  <c r="AF171" i="28"/>
  <c r="AD171" i="28"/>
  <c r="AB171" i="28"/>
  <c r="Z171" i="28"/>
  <c r="X171" i="28"/>
  <c r="V171" i="28"/>
  <c r="T171" i="28"/>
  <c r="R171" i="28"/>
  <c r="P171" i="28"/>
  <c r="N171" i="28"/>
  <c r="L171" i="28"/>
  <c r="J171" i="28"/>
  <c r="AH171" i="28"/>
  <c r="AH164" i="28"/>
  <c r="AF164" i="28"/>
  <c r="AD164" i="28"/>
  <c r="AB164" i="28"/>
  <c r="Z164" i="28"/>
  <c r="X164" i="28"/>
  <c r="V164" i="28"/>
  <c r="T164" i="28"/>
  <c r="R164" i="28"/>
  <c r="P164" i="28"/>
  <c r="N164" i="28"/>
  <c r="L164" i="28"/>
  <c r="J164" i="28"/>
  <c r="AF160" i="28"/>
  <c r="AD160" i="28"/>
  <c r="AB160" i="28"/>
  <c r="Z160" i="28"/>
  <c r="X160" i="28"/>
  <c r="V160" i="28"/>
  <c r="T160" i="28"/>
  <c r="R160" i="28"/>
  <c r="P160" i="28"/>
  <c r="N160" i="28"/>
  <c r="L160" i="28"/>
  <c r="J160" i="28"/>
  <c r="AH160" i="28"/>
  <c r="AF144" i="28"/>
  <c r="AD144" i="28"/>
  <c r="AB144" i="28"/>
  <c r="Z144" i="28"/>
  <c r="X144" i="28"/>
  <c r="V144" i="28"/>
  <c r="T144" i="28"/>
  <c r="R144" i="28"/>
  <c r="P144" i="28"/>
  <c r="N144" i="28"/>
  <c r="L144" i="28"/>
  <c r="J144" i="28"/>
  <c r="AH144" i="28"/>
  <c r="AF139" i="28"/>
  <c r="AD139" i="28"/>
  <c r="AB139" i="28"/>
  <c r="Z139" i="28"/>
  <c r="X139" i="28"/>
  <c r="V139" i="28"/>
  <c r="T139" i="28"/>
  <c r="R139" i="28"/>
  <c r="P139" i="28"/>
  <c r="N139" i="28"/>
  <c r="L139" i="28"/>
  <c r="J139" i="28"/>
  <c r="AH139" i="28"/>
  <c r="AF133" i="28"/>
  <c r="AD133" i="28"/>
  <c r="AB133" i="28"/>
  <c r="Z133" i="28"/>
  <c r="X133" i="28"/>
  <c r="V133" i="28"/>
  <c r="T133" i="28"/>
  <c r="R133" i="28"/>
  <c r="P133" i="28"/>
  <c r="N133" i="28"/>
  <c r="L133" i="28"/>
  <c r="J133" i="28"/>
  <c r="AF110" i="28"/>
  <c r="AD110" i="28"/>
  <c r="AB110" i="28"/>
  <c r="Z110" i="28"/>
  <c r="X110" i="28"/>
  <c r="V110" i="28"/>
  <c r="T110" i="28"/>
  <c r="R110" i="28"/>
  <c r="P110" i="28"/>
  <c r="N110" i="28"/>
  <c r="L110" i="28"/>
  <c r="J110" i="28"/>
  <c r="AH110" i="28"/>
  <c r="AF106" i="28"/>
  <c r="AD106" i="28"/>
  <c r="AB106" i="28"/>
  <c r="Z106" i="28"/>
  <c r="X106" i="28"/>
  <c r="V106" i="28"/>
  <c r="T106" i="28"/>
  <c r="R106" i="28"/>
  <c r="P106" i="28"/>
  <c r="N106" i="28"/>
  <c r="L106" i="28"/>
  <c r="J106" i="28"/>
  <c r="AH106" i="28"/>
  <c r="AF87" i="28"/>
  <c r="AD87" i="28"/>
  <c r="AB87" i="28"/>
  <c r="Z87" i="28"/>
  <c r="X87" i="28"/>
  <c r="V87" i="28"/>
  <c r="T87" i="28"/>
  <c r="R87" i="28"/>
  <c r="P87" i="28"/>
  <c r="N87" i="28"/>
  <c r="L87" i="28"/>
  <c r="J87" i="28"/>
  <c r="AH87" i="28"/>
  <c r="AF83" i="28"/>
  <c r="AD83" i="28"/>
  <c r="AB83" i="28"/>
  <c r="Z83" i="28"/>
  <c r="X83" i="28"/>
  <c r="V83" i="28"/>
  <c r="T83" i="28"/>
  <c r="R83" i="28"/>
  <c r="P83" i="28"/>
  <c r="N83" i="28"/>
  <c r="L83" i="28"/>
  <c r="J83" i="28"/>
  <c r="AH83" i="28"/>
  <c r="AF77" i="28"/>
  <c r="AD77" i="28"/>
  <c r="AB77" i="28"/>
  <c r="Z77" i="28"/>
  <c r="X77" i="28"/>
  <c r="V77" i="28"/>
  <c r="T77" i="28"/>
  <c r="R77" i="28"/>
  <c r="P77" i="28"/>
  <c r="N77" i="28"/>
  <c r="L77" i="28"/>
  <c r="J77" i="28"/>
  <c r="AH77" i="28"/>
  <c r="AF70" i="28"/>
  <c r="AD70" i="28"/>
  <c r="AB70" i="28"/>
  <c r="Z70" i="28"/>
  <c r="X70" i="28"/>
  <c r="V70" i="28"/>
  <c r="T70" i="28"/>
  <c r="R70" i="28"/>
  <c r="P70" i="28"/>
  <c r="N70" i="28"/>
  <c r="L70" i="28"/>
  <c r="J70" i="28"/>
  <c r="AH70" i="28"/>
  <c r="AF66" i="28"/>
  <c r="AD66" i="28"/>
  <c r="AB66" i="28"/>
  <c r="Z66" i="28"/>
  <c r="X66" i="28"/>
  <c r="V66" i="28"/>
  <c r="T66" i="28"/>
  <c r="R66" i="28"/>
  <c r="P66" i="28"/>
  <c r="N66" i="28"/>
  <c r="L66" i="28"/>
  <c r="J66" i="28"/>
  <c r="AH66" i="28"/>
  <c r="AF57" i="28"/>
  <c r="AD57" i="28"/>
  <c r="AB57" i="28"/>
  <c r="Z57" i="28"/>
  <c r="X57" i="28"/>
  <c r="V57" i="28"/>
  <c r="T57" i="28"/>
  <c r="R57" i="28"/>
  <c r="P57" i="28"/>
  <c r="N57" i="28"/>
  <c r="L57" i="28"/>
  <c r="J57" i="28"/>
  <c r="AH57" i="28"/>
  <c r="AF51" i="28"/>
  <c r="AD51" i="28"/>
  <c r="AB51" i="28"/>
  <c r="Z51" i="28"/>
  <c r="X51" i="28"/>
  <c r="V51" i="28"/>
  <c r="T51" i="28"/>
  <c r="R51" i="28"/>
  <c r="P51" i="28"/>
  <c r="N51" i="28"/>
  <c r="L51" i="28"/>
  <c r="J51" i="28"/>
  <c r="AH51" i="28"/>
  <c r="AF47" i="28"/>
  <c r="AD47" i="28"/>
  <c r="AB47" i="28"/>
  <c r="Z47" i="28"/>
  <c r="X47" i="28"/>
  <c r="V47" i="28"/>
  <c r="T47" i="28"/>
  <c r="R47" i="28"/>
  <c r="P47" i="28"/>
  <c r="N47" i="28"/>
  <c r="L47" i="28"/>
  <c r="J47" i="28"/>
  <c r="AH47" i="28"/>
  <c r="AF42" i="28"/>
  <c r="AD42" i="28"/>
  <c r="AB42" i="28"/>
  <c r="Z42" i="28"/>
  <c r="X42" i="28"/>
  <c r="V42" i="28"/>
  <c r="T42" i="28"/>
  <c r="R42" i="28"/>
  <c r="P42" i="28"/>
  <c r="N42" i="28"/>
  <c r="L42" i="28"/>
  <c r="J42" i="28"/>
  <c r="AH42" i="28"/>
  <c r="D20" i="1" s="1"/>
  <c r="O20" i="1" s="1"/>
  <c r="Y20" i="1" s="1"/>
  <c r="AF24" i="28"/>
  <c r="AD24" i="28"/>
  <c r="AB24" i="28"/>
  <c r="Z24" i="28"/>
  <c r="X24" i="28"/>
  <c r="V24" i="28"/>
  <c r="T24" i="28"/>
  <c r="R24" i="28"/>
  <c r="P24" i="28"/>
  <c r="N24" i="28"/>
  <c r="L24" i="28"/>
  <c r="J24" i="28"/>
  <c r="AH24" i="28"/>
  <c r="D18" i="1" s="1"/>
  <c r="AF18" i="28"/>
  <c r="AD18" i="28"/>
  <c r="AB18" i="28"/>
  <c r="Z18" i="28"/>
  <c r="X18" i="28"/>
  <c r="V18" i="28"/>
  <c r="T18" i="28"/>
  <c r="R18" i="28"/>
  <c r="P18" i="28"/>
  <c r="N18" i="28"/>
  <c r="L18" i="28"/>
  <c r="J18" i="28"/>
  <c r="AH18" i="28"/>
  <c r="AF3" i="28"/>
  <c r="AF12" i="28" s="1"/>
  <c r="AD3" i="28"/>
  <c r="AD12" i="28" s="1"/>
  <c r="AB3" i="28"/>
  <c r="AB12" i="28" s="1"/>
  <c r="Z3" i="28"/>
  <c r="Z12" i="28" s="1"/>
  <c r="X3" i="28"/>
  <c r="X12" i="28" s="1"/>
  <c r="V3" i="28"/>
  <c r="V12" i="28" s="1"/>
  <c r="T3" i="28"/>
  <c r="T12" i="28" s="1"/>
  <c r="R3" i="28"/>
  <c r="R12" i="28" s="1"/>
  <c r="P3" i="28"/>
  <c r="P12" i="28" s="1"/>
  <c r="N3" i="28"/>
  <c r="N12" i="28" s="1"/>
  <c r="L3" i="28"/>
  <c r="L12" i="28" s="1"/>
  <c r="J3" i="28"/>
  <c r="J12" i="28" s="1"/>
  <c r="AH2" i="28"/>
  <c r="B4" i="29"/>
  <c r="B5" i="28"/>
  <c r="B5" i="29"/>
  <c r="B4" i="28"/>
  <c r="Q81" i="1" l="1"/>
  <c r="H275" i="1"/>
  <c r="N275" i="1" s="1"/>
  <c r="AB56" i="31"/>
  <c r="AA176" i="1"/>
  <c r="AB176" i="1"/>
  <c r="AA53" i="1"/>
  <c r="L53" i="1"/>
  <c r="P19" i="1"/>
  <c r="Z19" i="1" s="1"/>
  <c r="F19" i="1"/>
  <c r="L19" i="1" s="1"/>
  <c r="Q53" i="1"/>
  <c r="AH235" i="29"/>
  <c r="O18" i="1"/>
  <c r="F18" i="1"/>
  <c r="L18" i="1" s="1"/>
  <c r="Q19" i="1"/>
  <c r="X19" i="1"/>
  <c r="AA19" i="1" s="1"/>
  <c r="Q17" i="1"/>
  <c r="X17" i="1"/>
  <c r="AA17" i="1" s="1"/>
  <c r="X15" i="1"/>
  <c r="AA15" i="1" s="1"/>
  <c r="Q15" i="1"/>
  <c r="Q21" i="1"/>
  <c r="X21" i="1"/>
  <c r="X252" i="1"/>
  <c r="AA252" i="1" s="1"/>
  <c r="V252" i="1"/>
  <c r="V260" i="1" s="1"/>
  <c r="X275" i="1"/>
  <c r="AA275" i="1" s="1"/>
  <c r="Q275" i="1"/>
  <c r="L275" i="1"/>
  <c r="S260" i="1"/>
  <c r="AH239" i="29"/>
  <c r="N219" i="29"/>
  <c r="V219" i="29"/>
  <c r="AD219" i="29"/>
  <c r="J59" i="28"/>
  <c r="R59" i="28"/>
  <c r="Z59" i="28"/>
  <c r="AH89" i="28"/>
  <c r="P89" i="28"/>
  <c r="X89" i="28"/>
  <c r="AF89" i="28"/>
  <c r="N177" i="28"/>
  <c r="V177" i="28"/>
  <c r="AD177" i="28"/>
  <c r="AB43" i="31"/>
  <c r="AB9" i="31"/>
  <c r="L48" i="29"/>
  <c r="T48" i="29"/>
  <c r="AB48" i="29"/>
  <c r="J73" i="29"/>
  <c r="R73" i="29"/>
  <c r="Z73" i="29"/>
  <c r="P158" i="29"/>
  <c r="X158" i="29"/>
  <c r="AF158" i="29"/>
  <c r="J219" i="29"/>
  <c r="R219" i="29"/>
  <c r="AH179" i="29"/>
  <c r="AH219" i="29" s="1"/>
  <c r="P48" i="29"/>
  <c r="X48" i="29"/>
  <c r="AF48" i="29"/>
  <c r="N73" i="29"/>
  <c r="V73" i="29"/>
  <c r="AD73" i="29"/>
  <c r="L158" i="29"/>
  <c r="T158" i="29"/>
  <c r="AB158" i="29"/>
  <c r="Z219" i="29"/>
  <c r="J48" i="29"/>
  <c r="R48" i="29"/>
  <c r="Z48" i="29"/>
  <c r="AH73" i="29"/>
  <c r="P73" i="29"/>
  <c r="X73" i="29"/>
  <c r="AF73" i="29"/>
  <c r="N158" i="29"/>
  <c r="V158" i="29"/>
  <c r="L219" i="29"/>
  <c r="T219" i="29"/>
  <c r="AB219" i="29"/>
  <c r="N48" i="29"/>
  <c r="V48" i="29"/>
  <c r="AD48" i="29"/>
  <c r="L73" i="29"/>
  <c r="L75" i="29" s="1"/>
  <c r="T73" i="29"/>
  <c r="AB73" i="29"/>
  <c r="J158" i="29"/>
  <c r="R158" i="29"/>
  <c r="Z158" i="29"/>
  <c r="P219" i="29"/>
  <c r="X219" i="29"/>
  <c r="AF219" i="29"/>
  <c r="AH48" i="29"/>
  <c r="AH158" i="29"/>
  <c r="AD158" i="29"/>
  <c r="AH231" i="29"/>
  <c r="AH241" i="29" s="1"/>
  <c r="AH133" i="28"/>
  <c r="AH177" i="28" s="1"/>
  <c r="L59" i="28"/>
  <c r="T59" i="28"/>
  <c r="AB59" i="28"/>
  <c r="J89" i="28"/>
  <c r="R89" i="28"/>
  <c r="Z89" i="28"/>
  <c r="P177" i="28"/>
  <c r="X177" i="28"/>
  <c r="AF177" i="28"/>
  <c r="N221" i="28"/>
  <c r="V221" i="28"/>
  <c r="AD221" i="28"/>
  <c r="N59" i="28"/>
  <c r="V59" i="28"/>
  <c r="AD59" i="28"/>
  <c r="L89" i="28"/>
  <c r="T89" i="28"/>
  <c r="AB89" i="28"/>
  <c r="J177" i="28"/>
  <c r="R177" i="28"/>
  <c r="Z177" i="28"/>
  <c r="P59" i="28"/>
  <c r="P91" i="28" s="1"/>
  <c r="X59" i="28"/>
  <c r="AF59" i="28"/>
  <c r="N89" i="28"/>
  <c r="V89" i="28"/>
  <c r="AD89" i="28"/>
  <c r="L177" i="28"/>
  <c r="T177" i="28"/>
  <c r="AB177" i="28"/>
  <c r="J221" i="28"/>
  <c r="R221" i="28"/>
  <c r="Z221" i="28"/>
  <c r="AH59" i="28"/>
  <c r="AH215" i="28"/>
  <c r="AH221" i="28" s="1"/>
  <c r="AH231" i="28"/>
  <c r="AH241" i="28" s="1"/>
  <c r="AH341" i="27"/>
  <c r="AF341" i="27"/>
  <c r="AD341" i="27"/>
  <c r="AB341" i="27"/>
  <c r="Z341" i="27"/>
  <c r="X341" i="27"/>
  <c r="V341" i="27"/>
  <c r="T341" i="27"/>
  <c r="R341" i="27"/>
  <c r="P341" i="27"/>
  <c r="N341" i="27"/>
  <c r="L341" i="27"/>
  <c r="J341" i="27"/>
  <c r="AG337" i="27"/>
  <c r="AA337" i="27"/>
  <c r="U337" i="27"/>
  <c r="O337" i="27"/>
  <c r="AH335" i="27"/>
  <c r="AG335" i="27"/>
  <c r="AF335" i="27"/>
  <c r="AD335" i="27"/>
  <c r="AB335" i="27"/>
  <c r="AA335" i="27"/>
  <c r="Z335" i="27"/>
  <c r="X335" i="27"/>
  <c r="V335" i="27"/>
  <c r="U335" i="27"/>
  <c r="T335" i="27"/>
  <c r="R335" i="27"/>
  <c r="P335" i="27"/>
  <c r="O335" i="27"/>
  <c r="N335" i="27"/>
  <c r="L335" i="27"/>
  <c r="J335" i="27"/>
  <c r="AG331" i="27"/>
  <c r="AA331" i="27"/>
  <c r="U331" i="27"/>
  <c r="O331" i="27"/>
  <c r="AG329" i="27"/>
  <c r="AF329" i="27"/>
  <c r="AD329" i="27"/>
  <c r="AB329" i="27"/>
  <c r="AA329" i="27"/>
  <c r="Z329" i="27"/>
  <c r="X329" i="27"/>
  <c r="V329" i="27"/>
  <c r="U329" i="27"/>
  <c r="T329" i="27"/>
  <c r="R329" i="27"/>
  <c r="P329" i="27"/>
  <c r="O329" i="27"/>
  <c r="N329" i="27"/>
  <c r="L329" i="27"/>
  <c r="J329" i="27"/>
  <c r="AH329" i="27"/>
  <c r="AG325" i="27"/>
  <c r="AA325" i="27"/>
  <c r="U325" i="27"/>
  <c r="O325" i="27"/>
  <c r="AH323" i="27"/>
  <c r="AG323" i="27"/>
  <c r="AF323" i="27"/>
  <c r="AD323" i="27"/>
  <c r="AB323" i="27"/>
  <c r="AA323" i="27"/>
  <c r="Z323" i="27"/>
  <c r="X323" i="27"/>
  <c r="V323" i="27"/>
  <c r="U323" i="27"/>
  <c r="T323" i="27"/>
  <c r="R323" i="27"/>
  <c r="P323" i="27"/>
  <c r="O323" i="27"/>
  <c r="N323" i="27"/>
  <c r="L323" i="27"/>
  <c r="J323" i="27"/>
  <c r="AG319" i="27"/>
  <c r="AA319" i="27"/>
  <c r="U319" i="27"/>
  <c r="O319" i="27"/>
  <c r="AG317" i="27"/>
  <c r="AF317" i="27"/>
  <c r="AD317" i="27"/>
  <c r="AB317" i="27"/>
  <c r="AA317" i="27"/>
  <c r="Z317" i="27"/>
  <c r="X317" i="27"/>
  <c r="V317" i="27"/>
  <c r="U317" i="27"/>
  <c r="T317" i="27"/>
  <c r="R317" i="27"/>
  <c r="P317" i="27"/>
  <c r="O317" i="27"/>
  <c r="N317" i="27"/>
  <c r="L317" i="27"/>
  <c r="J317" i="27"/>
  <c r="AH317" i="27"/>
  <c r="AG313" i="27"/>
  <c r="AF313" i="27"/>
  <c r="AD313" i="27"/>
  <c r="AB313" i="27"/>
  <c r="AA313" i="27"/>
  <c r="Z313" i="27"/>
  <c r="X313" i="27"/>
  <c r="V313" i="27"/>
  <c r="U313" i="27"/>
  <c r="T313" i="27"/>
  <c r="R313" i="27"/>
  <c r="P313" i="27"/>
  <c r="O313" i="27"/>
  <c r="N313" i="27"/>
  <c r="L313" i="27"/>
  <c r="J313" i="27"/>
  <c r="AH313" i="27"/>
  <c r="AG309" i="27"/>
  <c r="AF309" i="27"/>
  <c r="AD309" i="27"/>
  <c r="AB309" i="27"/>
  <c r="AA309" i="27"/>
  <c r="Z309" i="27"/>
  <c r="X309" i="27"/>
  <c r="V309" i="27"/>
  <c r="U309" i="27"/>
  <c r="T309" i="27"/>
  <c r="R309" i="27"/>
  <c r="P309" i="27"/>
  <c r="O309" i="27"/>
  <c r="N309" i="27"/>
  <c r="L309" i="27"/>
  <c r="J309" i="27"/>
  <c r="AH309" i="27"/>
  <c r="AG305" i="27"/>
  <c r="AA305" i="27"/>
  <c r="U305" i="27"/>
  <c r="O305" i="27"/>
  <c r="AG303" i="27"/>
  <c r="AA303" i="27"/>
  <c r="U303" i="27"/>
  <c r="O303" i="27"/>
  <c r="AG301" i="27"/>
  <c r="AF301" i="27"/>
  <c r="AD301" i="27"/>
  <c r="AB301" i="27"/>
  <c r="AA301" i="27"/>
  <c r="Z301" i="27"/>
  <c r="X301" i="27"/>
  <c r="V301" i="27"/>
  <c r="U301" i="27"/>
  <c r="T301" i="27"/>
  <c r="R301" i="27"/>
  <c r="P301" i="27"/>
  <c r="O301" i="27"/>
  <c r="N301" i="27"/>
  <c r="L301" i="27"/>
  <c r="J301" i="27"/>
  <c r="AH301" i="27" s="1"/>
  <c r="AG297" i="27"/>
  <c r="AF297" i="27"/>
  <c r="AD297" i="27"/>
  <c r="AB297" i="27"/>
  <c r="AA297" i="27"/>
  <c r="Z297" i="27"/>
  <c r="X297" i="27"/>
  <c r="V297" i="27"/>
  <c r="U297" i="27"/>
  <c r="T297" i="27"/>
  <c r="R297" i="27"/>
  <c r="P297" i="27"/>
  <c r="O297" i="27"/>
  <c r="N297" i="27"/>
  <c r="L297" i="27"/>
  <c r="J297" i="27"/>
  <c r="AH297" i="27" s="1"/>
  <c r="AG293" i="27"/>
  <c r="AF293" i="27"/>
  <c r="AF303" i="27" s="1"/>
  <c r="AD293" i="27"/>
  <c r="AD303" i="27" s="1"/>
  <c r="AB293" i="27"/>
  <c r="AB303" i="27" s="1"/>
  <c r="AA293" i="27"/>
  <c r="Z293" i="27"/>
  <c r="Z303" i="27" s="1"/>
  <c r="X293" i="27"/>
  <c r="X303" i="27" s="1"/>
  <c r="V293" i="27"/>
  <c r="V303" i="27" s="1"/>
  <c r="U293" i="27"/>
  <c r="T293" i="27"/>
  <c r="T303" i="27" s="1"/>
  <c r="R293" i="27"/>
  <c r="R303" i="27" s="1"/>
  <c r="P293" i="27"/>
  <c r="P303" i="27" s="1"/>
  <c r="O293" i="27"/>
  <c r="N293" i="27"/>
  <c r="N303" i="27" s="1"/>
  <c r="L293" i="27"/>
  <c r="L303" i="27" s="1"/>
  <c r="J293" i="27"/>
  <c r="J303" i="27" s="1"/>
  <c r="AF279" i="27"/>
  <c r="AD279" i="27"/>
  <c r="AB279" i="27"/>
  <c r="Z279" i="27"/>
  <c r="X279" i="27"/>
  <c r="V279" i="27"/>
  <c r="T279" i="27"/>
  <c r="R279" i="27"/>
  <c r="P279" i="27"/>
  <c r="N279" i="27"/>
  <c r="L279" i="27"/>
  <c r="J279" i="27"/>
  <c r="AH279" i="27"/>
  <c r="AF275" i="27"/>
  <c r="AD275" i="27"/>
  <c r="AB275" i="27"/>
  <c r="Z275" i="27"/>
  <c r="X275" i="27"/>
  <c r="V275" i="27"/>
  <c r="T275" i="27"/>
  <c r="R275" i="27"/>
  <c r="P275" i="27"/>
  <c r="N275" i="27"/>
  <c r="L275" i="27"/>
  <c r="J275" i="27"/>
  <c r="AF224" i="27"/>
  <c r="AF281" i="27" s="1"/>
  <c r="AD224" i="27"/>
  <c r="AD281" i="27" s="1"/>
  <c r="AB224" i="27"/>
  <c r="AB281" i="27" s="1"/>
  <c r="Z224" i="27"/>
  <c r="X224" i="27"/>
  <c r="X281" i="27" s="1"/>
  <c r="V224" i="27"/>
  <c r="V281" i="27" s="1"/>
  <c r="T224" i="27"/>
  <c r="T281" i="27" s="1"/>
  <c r="R224" i="27"/>
  <c r="P224" i="27"/>
  <c r="P281" i="27" s="1"/>
  <c r="N224" i="27"/>
  <c r="N281" i="27" s="1"/>
  <c r="L224" i="27"/>
  <c r="L281" i="27" s="1"/>
  <c r="J224" i="27"/>
  <c r="AH224" i="27"/>
  <c r="AF206" i="27"/>
  <c r="AD206" i="27"/>
  <c r="AB206" i="27"/>
  <c r="Z206" i="27"/>
  <c r="X206" i="27"/>
  <c r="V206" i="27"/>
  <c r="T206" i="27"/>
  <c r="R206" i="27"/>
  <c r="P206" i="27"/>
  <c r="N206" i="27"/>
  <c r="L206" i="27"/>
  <c r="J206" i="27"/>
  <c r="AH206" i="27"/>
  <c r="AF202" i="27"/>
  <c r="AD202" i="27"/>
  <c r="AB202" i="27"/>
  <c r="Z202" i="27"/>
  <c r="X202" i="27"/>
  <c r="V202" i="27"/>
  <c r="T202" i="27"/>
  <c r="R202" i="27"/>
  <c r="P202" i="27"/>
  <c r="N202" i="27"/>
  <c r="L202" i="27"/>
  <c r="J202" i="27"/>
  <c r="AH202" i="27"/>
  <c r="AH189" i="27"/>
  <c r="AF189" i="27"/>
  <c r="AD189" i="27"/>
  <c r="AB189" i="27"/>
  <c r="Z189" i="27"/>
  <c r="X189" i="27"/>
  <c r="V189" i="27"/>
  <c r="T189" i="27"/>
  <c r="R189" i="27"/>
  <c r="P189" i="27"/>
  <c r="N189" i="27"/>
  <c r="L189" i="27"/>
  <c r="J189" i="27"/>
  <c r="AF185" i="27"/>
  <c r="AD185" i="27"/>
  <c r="AB185" i="27"/>
  <c r="Z185" i="27"/>
  <c r="X185" i="27"/>
  <c r="V185" i="27"/>
  <c r="T185" i="27"/>
  <c r="R185" i="27"/>
  <c r="P185" i="27"/>
  <c r="N185" i="27"/>
  <c r="L185" i="27"/>
  <c r="J185" i="27"/>
  <c r="AH185" i="27"/>
  <c r="AF171" i="27"/>
  <c r="AD171" i="27"/>
  <c r="AB171" i="27"/>
  <c r="Z171" i="27"/>
  <c r="X171" i="27"/>
  <c r="V171" i="27"/>
  <c r="T171" i="27"/>
  <c r="R171" i="27"/>
  <c r="P171" i="27"/>
  <c r="N171" i="27"/>
  <c r="L171" i="27"/>
  <c r="J171" i="27"/>
  <c r="AH171" i="27"/>
  <c r="AF160" i="27"/>
  <c r="AD160" i="27"/>
  <c r="AB160" i="27"/>
  <c r="Z160" i="27"/>
  <c r="X160" i="27"/>
  <c r="V160" i="27"/>
  <c r="T160" i="27"/>
  <c r="R160" i="27"/>
  <c r="P160" i="27"/>
  <c r="N160" i="27"/>
  <c r="L160" i="27"/>
  <c r="J160" i="27"/>
  <c r="AH160" i="27"/>
  <c r="AF146" i="27"/>
  <c r="AD146" i="27"/>
  <c r="AB146" i="27"/>
  <c r="Z146" i="27"/>
  <c r="X146" i="27"/>
  <c r="V146" i="27"/>
  <c r="T146" i="27"/>
  <c r="R146" i="27"/>
  <c r="P146" i="27"/>
  <c r="N146" i="27"/>
  <c r="L146" i="27"/>
  <c r="J146" i="27"/>
  <c r="AH146" i="27"/>
  <c r="AH119" i="27"/>
  <c r="AF119" i="27"/>
  <c r="AD119" i="27"/>
  <c r="AB119" i="27"/>
  <c r="Z119" i="27"/>
  <c r="X119" i="27"/>
  <c r="V119" i="27"/>
  <c r="T119" i="27"/>
  <c r="R119" i="27"/>
  <c r="P119" i="27"/>
  <c r="N119" i="27"/>
  <c r="L119" i="27"/>
  <c r="J119" i="27"/>
  <c r="AF115" i="27"/>
  <c r="AD115" i="27"/>
  <c r="AD208" i="27" s="1"/>
  <c r="AB115" i="27"/>
  <c r="Z115" i="27"/>
  <c r="X115" i="27"/>
  <c r="V115" i="27"/>
  <c r="V208" i="27" s="1"/>
  <c r="T115" i="27"/>
  <c r="R115" i="27"/>
  <c r="P115" i="27"/>
  <c r="N115" i="27"/>
  <c r="N208" i="27" s="1"/>
  <c r="L115" i="27"/>
  <c r="J115" i="27"/>
  <c r="AH115" i="27"/>
  <c r="AH93" i="27"/>
  <c r="AF93" i="27"/>
  <c r="AD93" i="27"/>
  <c r="AB93" i="27"/>
  <c r="Z93" i="27"/>
  <c r="X93" i="27"/>
  <c r="V93" i="27"/>
  <c r="T93" i="27"/>
  <c r="R93" i="27"/>
  <c r="P93" i="27"/>
  <c r="N93" i="27"/>
  <c r="L93" i="27"/>
  <c r="J93" i="27"/>
  <c r="AF89" i="27"/>
  <c r="AD89" i="27"/>
  <c r="AB89" i="27"/>
  <c r="Z89" i="27"/>
  <c r="X89" i="27"/>
  <c r="V89" i="27"/>
  <c r="T89" i="27"/>
  <c r="R89" i="27"/>
  <c r="P89" i="27"/>
  <c r="N89" i="27"/>
  <c r="L89" i="27"/>
  <c r="J89" i="27"/>
  <c r="AH89" i="27"/>
  <c r="AF83" i="27"/>
  <c r="AD83" i="27"/>
  <c r="AB83" i="27"/>
  <c r="Z83" i="27"/>
  <c r="X83" i="27"/>
  <c r="V83" i="27"/>
  <c r="T83" i="27"/>
  <c r="R83" i="27"/>
  <c r="P83" i="27"/>
  <c r="N83" i="27"/>
  <c r="L83" i="27"/>
  <c r="J83" i="27"/>
  <c r="AH83" i="27"/>
  <c r="AH76" i="27"/>
  <c r="AF76" i="27"/>
  <c r="AD76" i="27"/>
  <c r="AB76" i="27"/>
  <c r="Z76" i="27"/>
  <c r="X76" i="27"/>
  <c r="V76" i="27"/>
  <c r="T76" i="27"/>
  <c r="R76" i="27"/>
  <c r="P76" i="27"/>
  <c r="N76" i="27"/>
  <c r="L76" i="27"/>
  <c r="J76" i="27"/>
  <c r="AF72" i="27"/>
  <c r="AF95" i="27" s="1"/>
  <c r="AD72" i="27"/>
  <c r="AB72" i="27"/>
  <c r="Z72" i="27"/>
  <c r="X72" i="27"/>
  <c r="X95" i="27" s="1"/>
  <c r="V72" i="27"/>
  <c r="T72" i="27"/>
  <c r="R72" i="27"/>
  <c r="P72" i="27"/>
  <c r="P95" i="27" s="1"/>
  <c r="N72" i="27"/>
  <c r="L72" i="27"/>
  <c r="J72" i="27"/>
  <c r="AH72" i="27"/>
  <c r="AH95" i="27" s="1"/>
  <c r="AF63" i="27"/>
  <c r="AD63" i="27"/>
  <c r="AB63" i="27"/>
  <c r="Z63" i="27"/>
  <c r="X63" i="27"/>
  <c r="V63" i="27"/>
  <c r="T63" i="27"/>
  <c r="R63" i="27"/>
  <c r="P63" i="27"/>
  <c r="N63" i="27"/>
  <c r="L63" i="27"/>
  <c r="J63" i="27"/>
  <c r="AH63" i="27"/>
  <c r="AH57" i="27"/>
  <c r="AF57" i="27"/>
  <c r="AD57" i="27"/>
  <c r="AB57" i="27"/>
  <c r="Z57" i="27"/>
  <c r="X57" i="27"/>
  <c r="V57" i="27"/>
  <c r="T57" i="27"/>
  <c r="R57" i="27"/>
  <c r="P57" i="27"/>
  <c r="N57" i="27"/>
  <c r="L57" i="27"/>
  <c r="J57" i="27"/>
  <c r="AF53" i="27"/>
  <c r="AD53" i="27"/>
  <c r="AB53" i="27"/>
  <c r="Z53" i="27"/>
  <c r="X53" i="27"/>
  <c r="V53" i="27"/>
  <c r="T53" i="27"/>
  <c r="R53" i="27"/>
  <c r="P53" i="27"/>
  <c r="N53" i="27"/>
  <c r="L53" i="27"/>
  <c r="J53" i="27"/>
  <c r="AH53" i="27"/>
  <c r="AF48" i="27"/>
  <c r="AD48" i="27"/>
  <c r="AB48" i="27"/>
  <c r="Z48" i="27"/>
  <c r="X48" i="27"/>
  <c r="V48" i="27"/>
  <c r="T48" i="27"/>
  <c r="R48" i="27"/>
  <c r="P48" i="27"/>
  <c r="N48" i="27"/>
  <c r="L48" i="27"/>
  <c r="J48" i="27"/>
  <c r="AH48" i="27"/>
  <c r="C20" i="1" s="1"/>
  <c r="AF36" i="27"/>
  <c r="AD36" i="27"/>
  <c r="AB36" i="27"/>
  <c r="Z36" i="27"/>
  <c r="X36" i="27"/>
  <c r="V36" i="27"/>
  <c r="T36" i="27"/>
  <c r="R36" i="27"/>
  <c r="P36" i="27"/>
  <c r="N36" i="27"/>
  <c r="L36" i="27"/>
  <c r="J36" i="27"/>
  <c r="AH36" i="27"/>
  <c r="AF32" i="27"/>
  <c r="AD32" i="27"/>
  <c r="AB32" i="27"/>
  <c r="Z32" i="27"/>
  <c r="X32" i="27"/>
  <c r="V32" i="27"/>
  <c r="T32" i="27"/>
  <c r="R32" i="27"/>
  <c r="P32" i="27"/>
  <c r="N32" i="27"/>
  <c r="L32" i="27"/>
  <c r="J32" i="27"/>
  <c r="AH32" i="27"/>
  <c r="AF3" i="27"/>
  <c r="AF12" i="27" s="1"/>
  <c r="AD3" i="27"/>
  <c r="AD12" i="27" s="1"/>
  <c r="AB3" i="27"/>
  <c r="AB12" i="27" s="1"/>
  <c r="Z3" i="27"/>
  <c r="Z12" i="27" s="1"/>
  <c r="X3" i="27"/>
  <c r="X12" i="27" s="1"/>
  <c r="V3" i="27"/>
  <c r="V12" i="27" s="1"/>
  <c r="T3" i="27"/>
  <c r="T12" i="27" s="1"/>
  <c r="R3" i="27"/>
  <c r="R12" i="27" s="1"/>
  <c r="P3" i="27"/>
  <c r="P12" i="27" s="1"/>
  <c r="N3" i="27"/>
  <c r="N12" i="27" s="1"/>
  <c r="L3" i="27"/>
  <c r="L12" i="27" s="1"/>
  <c r="J3" i="27"/>
  <c r="J12" i="27" s="1"/>
  <c r="AH2" i="27"/>
  <c r="B5" i="27"/>
  <c r="B4" i="27"/>
  <c r="AA21" i="1" l="1"/>
  <c r="J75" i="29"/>
  <c r="AI13" i="29"/>
  <c r="AI16" i="29"/>
  <c r="AI29" i="29"/>
  <c r="AI27" i="29"/>
  <c r="AI34" i="29"/>
  <c r="AI44" i="29"/>
  <c r="AI51" i="29"/>
  <c r="AI60" i="29"/>
  <c r="AI69" i="29"/>
  <c r="AI87" i="29"/>
  <c r="AI85" i="29"/>
  <c r="AI83" i="29"/>
  <c r="AI81" i="29"/>
  <c r="AI79" i="29"/>
  <c r="AI92" i="29"/>
  <c r="AI113" i="29"/>
  <c r="AI111" i="29"/>
  <c r="AI109" i="29"/>
  <c r="AI107" i="29"/>
  <c r="AI105" i="29"/>
  <c r="AI103" i="29"/>
  <c r="AI101" i="29"/>
  <c r="AI99" i="29"/>
  <c r="AI97" i="29"/>
  <c r="AI119" i="29"/>
  <c r="AI136" i="29"/>
  <c r="AI134" i="29"/>
  <c r="AI132" i="29"/>
  <c r="AI130" i="29"/>
  <c r="AI149" i="29"/>
  <c r="AI147" i="29"/>
  <c r="AI145" i="29"/>
  <c r="AI177" i="29"/>
  <c r="AI175" i="29"/>
  <c r="AI173" i="29"/>
  <c r="AI171" i="29"/>
  <c r="AI169" i="29"/>
  <c r="AI167" i="29"/>
  <c r="AI165" i="29"/>
  <c r="AI163" i="29"/>
  <c r="AI210" i="29"/>
  <c r="AI208" i="29"/>
  <c r="AI206" i="29"/>
  <c r="AI204" i="29"/>
  <c r="AI202" i="29"/>
  <c r="AI200" i="29"/>
  <c r="AI198" i="29"/>
  <c r="AI196" i="29"/>
  <c r="AI194" i="29"/>
  <c r="AI192" i="29"/>
  <c r="AI190" i="29"/>
  <c r="AI188" i="29"/>
  <c r="AI186" i="29"/>
  <c r="AI184" i="29"/>
  <c r="AI182" i="29"/>
  <c r="AI229" i="29"/>
  <c r="AI227" i="29"/>
  <c r="AI233" i="29"/>
  <c r="AI245" i="29"/>
  <c r="AI253" i="29"/>
  <c r="AI265" i="29"/>
  <c r="AI17" i="29"/>
  <c r="AI21" i="29"/>
  <c r="AI28" i="29"/>
  <c r="AI26" i="29"/>
  <c r="AI38" i="29"/>
  <c r="AI43" i="29"/>
  <c r="AI55" i="29"/>
  <c r="AI65" i="29"/>
  <c r="AI88" i="29"/>
  <c r="AI86" i="29"/>
  <c r="AI84" i="29"/>
  <c r="AI82" i="29"/>
  <c r="AI80" i="29"/>
  <c r="AI78" i="29"/>
  <c r="AI114" i="29"/>
  <c r="AI112" i="29"/>
  <c r="AI110" i="29"/>
  <c r="AI108" i="29"/>
  <c r="AI106" i="29"/>
  <c r="AI104" i="29"/>
  <c r="AI102" i="29"/>
  <c r="AI100" i="29"/>
  <c r="AI98" i="29"/>
  <c r="AI120" i="29"/>
  <c r="AI125" i="29"/>
  <c r="AI135" i="29"/>
  <c r="AI133" i="29"/>
  <c r="AI131" i="29"/>
  <c r="AI150" i="29"/>
  <c r="AI148" i="29"/>
  <c r="AI146" i="29"/>
  <c r="AI154" i="29"/>
  <c r="AI176" i="29"/>
  <c r="AI174" i="29"/>
  <c r="AI172" i="29"/>
  <c r="AI170" i="29"/>
  <c r="AI168" i="29"/>
  <c r="AI166" i="29"/>
  <c r="AI164" i="29"/>
  <c r="AI211" i="29"/>
  <c r="AI209" i="29"/>
  <c r="AI207" i="29"/>
  <c r="AI205" i="29"/>
  <c r="AI203" i="29"/>
  <c r="AI201" i="29"/>
  <c r="AI199" i="29"/>
  <c r="AI197" i="29"/>
  <c r="AI195" i="29"/>
  <c r="AI193" i="29"/>
  <c r="AI191" i="29"/>
  <c r="AI189" i="29"/>
  <c r="AI187" i="29"/>
  <c r="AI185" i="29"/>
  <c r="AI183" i="29"/>
  <c r="AI215" i="29"/>
  <c r="AI228" i="29"/>
  <c r="AI226" i="29"/>
  <c r="AI237" i="29"/>
  <c r="AI249" i="29"/>
  <c r="AI259" i="29"/>
  <c r="AI271" i="29"/>
  <c r="Z75" i="29"/>
  <c r="Z160" i="29" s="1"/>
  <c r="Z222" i="29" s="1"/>
  <c r="R91" i="28"/>
  <c r="AF91" i="28"/>
  <c r="J91" i="28"/>
  <c r="Y18" i="1"/>
  <c r="AA18" i="1" s="1"/>
  <c r="Q18" i="1"/>
  <c r="AI13" i="28"/>
  <c r="AI22" i="28"/>
  <c r="AI20" i="28"/>
  <c r="AI39" i="28"/>
  <c r="AI37" i="28"/>
  <c r="AI35" i="28"/>
  <c r="AI33" i="28"/>
  <c r="AI31" i="28"/>
  <c r="AI29" i="28"/>
  <c r="AI27" i="28"/>
  <c r="AI49" i="28"/>
  <c r="AI54" i="28"/>
  <c r="AI63" i="28"/>
  <c r="AI68" i="28"/>
  <c r="AI74" i="28"/>
  <c r="AI81" i="28"/>
  <c r="AI85" i="28"/>
  <c r="AI103" i="28"/>
  <c r="AI101" i="28"/>
  <c r="AI99" i="28"/>
  <c r="AI97" i="28"/>
  <c r="AI95" i="28"/>
  <c r="AI108" i="28"/>
  <c r="AI130" i="28"/>
  <c r="AI128" i="28"/>
  <c r="AI126" i="28"/>
  <c r="AI124" i="28"/>
  <c r="AI122" i="28"/>
  <c r="AI120" i="28"/>
  <c r="AI118" i="28"/>
  <c r="AI116" i="28"/>
  <c r="AI114" i="28"/>
  <c r="AI137" i="28"/>
  <c r="AI142" i="28"/>
  <c r="AI157" i="28"/>
  <c r="AI155" i="28"/>
  <c r="AI153" i="28"/>
  <c r="AI151" i="28"/>
  <c r="AI149" i="28"/>
  <c r="AI147" i="28"/>
  <c r="AI168" i="28"/>
  <c r="AI173" i="28"/>
  <c r="AI213" i="28"/>
  <c r="AI211" i="28"/>
  <c r="AI209" i="28"/>
  <c r="AI207" i="28"/>
  <c r="AI205" i="28"/>
  <c r="AI203" i="28"/>
  <c r="AI201" i="28"/>
  <c r="AI199" i="28"/>
  <c r="AI197" i="28"/>
  <c r="AI195" i="28"/>
  <c r="AI193" i="28"/>
  <c r="AI191" i="28"/>
  <c r="AI189" i="28"/>
  <c r="AI187" i="28"/>
  <c r="AI229" i="28"/>
  <c r="AI233" i="28"/>
  <c r="AI245" i="28"/>
  <c r="AI253" i="28"/>
  <c r="AI265" i="28"/>
  <c r="AI16" i="28"/>
  <c r="AI21" i="28"/>
  <c r="AI40" i="28"/>
  <c r="AI38" i="28"/>
  <c r="AI36" i="28"/>
  <c r="AI34" i="28"/>
  <c r="AI32" i="28"/>
  <c r="AI30" i="28"/>
  <c r="AI28" i="28"/>
  <c r="AI45" i="28"/>
  <c r="AI55" i="28"/>
  <c r="AI64" i="28"/>
  <c r="AI62" i="28"/>
  <c r="AI75" i="28"/>
  <c r="AI73" i="28"/>
  <c r="AI80" i="28"/>
  <c r="AI104" i="28"/>
  <c r="AI102" i="28"/>
  <c r="AI100" i="28"/>
  <c r="AI98" i="28"/>
  <c r="AI96" i="28"/>
  <c r="AI94" i="28"/>
  <c r="AI131" i="28"/>
  <c r="AI129" i="28"/>
  <c r="AI127" i="28"/>
  <c r="AI125" i="28"/>
  <c r="AI123" i="28"/>
  <c r="AI121" i="28"/>
  <c r="AI119" i="28"/>
  <c r="AI117" i="28"/>
  <c r="AI115" i="28"/>
  <c r="AI113" i="28"/>
  <c r="AI136" i="28"/>
  <c r="AI158" i="28"/>
  <c r="AI156" i="28"/>
  <c r="AI154" i="28"/>
  <c r="AI152" i="28"/>
  <c r="AI150" i="28"/>
  <c r="AI148" i="28"/>
  <c r="AI169" i="28"/>
  <c r="AI167" i="28"/>
  <c r="AI182" i="28"/>
  <c r="AI212" i="28"/>
  <c r="AI210" i="28"/>
  <c r="AI208" i="28"/>
  <c r="AI206" i="28"/>
  <c r="AI204" i="28"/>
  <c r="AI202" i="28"/>
  <c r="AI200" i="28"/>
  <c r="AI198" i="28"/>
  <c r="AI196" i="28"/>
  <c r="AI194" i="28"/>
  <c r="AI192" i="28"/>
  <c r="AI190" i="28"/>
  <c r="AI188" i="28"/>
  <c r="AI217" i="28"/>
  <c r="AI228" i="28"/>
  <c r="AI237" i="28"/>
  <c r="AI249" i="28"/>
  <c r="AI259" i="28"/>
  <c r="AI271" i="28"/>
  <c r="X91" i="28"/>
  <c r="X179" i="28" s="1"/>
  <c r="X224" i="28" s="1"/>
  <c r="AB91" i="28"/>
  <c r="AB179" i="28" s="1"/>
  <c r="AB224" i="28" s="1"/>
  <c r="Z91" i="28"/>
  <c r="Z179" i="28" s="1"/>
  <c r="Z224" i="28" s="1"/>
  <c r="Z243" i="28" s="1"/>
  <c r="Z257" i="28" s="1"/>
  <c r="Z263" i="28" s="1"/>
  <c r="Z269" i="28" s="1"/>
  <c r="Z275" i="28" s="1"/>
  <c r="F20" i="1"/>
  <c r="L20" i="1" s="1"/>
  <c r="N20" i="1"/>
  <c r="T75" i="29"/>
  <c r="T160" i="29" s="1"/>
  <c r="T222" i="29" s="1"/>
  <c r="N75" i="29"/>
  <c r="N160" i="29" s="1"/>
  <c r="N222" i="29" s="1"/>
  <c r="AF75" i="29"/>
  <c r="AF160" i="29" s="1"/>
  <c r="AD75" i="29"/>
  <c r="L160" i="29"/>
  <c r="L222" i="29" s="1"/>
  <c r="L243" i="29" s="1"/>
  <c r="L257" i="29" s="1"/>
  <c r="L263" i="29" s="1"/>
  <c r="L269" i="29" s="1"/>
  <c r="L275" i="29" s="1"/>
  <c r="P75" i="29"/>
  <c r="P160" i="29" s="1"/>
  <c r="P222" i="29" s="1"/>
  <c r="P243" i="29" s="1"/>
  <c r="P257" i="29" s="1"/>
  <c r="P263" i="29" s="1"/>
  <c r="P269" i="29" s="1"/>
  <c r="P275" i="29" s="1"/>
  <c r="AB75" i="29"/>
  <c r="AB160" i="29" s="1"/>
  <c r="AB222" i="29" s="1"/>
  <c r="AB243" i="29" s="1"/>
  <c r="AB257" i="29" s="1"/>
  <c r="AB263" i="29" s="1"/>
  <c r="AB269" i="29" s="1"/>
  <c r="AB275" i="29" s="1"/>
  <c r="V75" i="29"/>
  <c r="V160" i="29" s="1"/>
  <c r="V222" i="29" s="1"/>
  <c r="X75" i="29"/>
  <c r="X160" i="29" s="1"/>
  <c r="X222" i="29" s="1"/>
  <c r="R75" i="29"/>
  <c r="R160" i="29" s="1"/>
  <c r="R222" i="29" s="1"/>
  <c r="V91" i="28"/>
  <c r="V179" i="28" s="1"/>
  <c r="V224" i="28" s="1"/>
  <c r="AD91" i="28"/>
  <c r="AD179" i="28" s="1"/>
  <c r="AD224" i="28" s="1"/>
  <c r="AD243" i="28" s="1"/>
  <c r="AD257" i="28" s="1"/>
  <c r="AD263" i="28" s="1"/>
  <c r="AD269" i="28" s="1"/>
  <c r="AD275" i="28" s="1"/>
  <c r="R179" i="28"/>
  <c r="R224" i="28" s="1"/>
  <c r="R243" i="28" s="1"/>
  <c r="R257" i="28" s="1"/>
  <c r="R263" i="28" s="1"/>
  <c r="R269" i="28" s="1"/>
  <c r="R275" i="28" s="1"/>
  <c r="L91" i="28"/>
  <c r="L179" i="28" s="1"/>
  <c r="L224" i="28" s="1"/>
  <c r="J208" i="27"/>
  <c r="R208" i="27"/>
  <c r="Z208" i="27"/>
  <c r="Z65" i="27"/>
  <c r="AH65" i="27"/>
  <c r="P65" i="27"/>
  <c r="P97" i="27" s="1"/>
  <c r="X65" i="27"/>
  <c r="X97" i="27" s="1"/>
  <c r="AF65" i="27"/>
  <c r="N95" i="27"/>
  <c r="V95" i="27"/>
  <c r="V97" i="27" s="1"/>
  <c r="V210" i="27" s="1"/>
  <c r="V284" i="27" s="1"/>
  <c r="AD95" i="27"/>
  <c r="J281" i="27"/>
  <c r="R281" i="27"/>
  <c r="Z281" i="27"/>
  <c r="AH208" i="27"/>
  <c r="V65" i="27"/>
  <c r="L95" i="27"/>
  <c r="T95" i="27"/>
  <c r="AB95" i="27"/>
  <c r="N65" i="27"/>
  <c r="N97" i="27" s="1"/>
  <c r="N210" i="27" s="1"/>
  <c r="N284" i="27" s="1"/>
  <c r="N286" i="27" s="1"/>
  <c r="AD65" i="27"/>
  <c r="R65" i="27"/>
  <c r="L65" i="27"/>
  <c r="T65" i="27"/>
  <c r="T97" i="27" s="1"/>
  <c r="AB65" i="27"/>
  <c r="AB97" i="27" s="1"/>
  <c r="J65" i="27"/>
  <c r="T243" i="29"/>
  <c r="T257" i="29" s="1"/>
  <c r="T263" i="29" s="1"/>
  <c r="T269" i="29" s="1"/>
  <c r="T275" i="29" s="1"/>
  <c r="T224" i="29"/>
  <c r="J160" i="29"/>
  <c r="J222" i="29" s="1"/>
  <c r="AF222" i="29"/>
  <c r="AF243" i="29" s="1"/>
  <c r="AF257" i="29" s="1"/>
  <c r="AF263" i="29" s="1"/>
  <c r="AF269" i="29" s="1"/>
  <c r="AF275" i="29" s="1"/>
  <c r="P224" i="29"/>
  <c r="V243" i="29"/>
  <c r="V257" i="29" s="1"/>
  <c r="V263" i="29" s="1"/>
  <c r="V269" i="29" s="1"/>
  <c r="V275" i="29" s="1"/>
  <c r="V224" i="29"/>
  <c r="AB224" i="29"/>
  <c r="X243" i="29"/>
  <c r="X257" i="29" s="1"/>
  <c r="X263" i="29" s="1"/>
  <c r="X269" i="29" s="1"/>
  <c r="X275" i="29" s="1"/>
  <c r="X224" i="29"/>
  <c r="AD160" i="29"/>
  <c r="AD222" i="29" s="1"/>
  <c r="N243" i="29"/>
  <c r="N257" i="29" s="1"/>
  <c r="N263" i="29" s="1"/>
  <c r="N269" i="29" s="1"/>
  <c r="N275" i="29" s="1"/>
  <c r="N224" i="29"/>
  <c r="Z243" i="29"/>
  <c r="Z257" i="29" s="1"/>
  <c r="Z263" i="29" s="1"/>
  <c r="Z269" i="29" s="1"/>
  <c r="Z275" i="29" s="1"/>
  <c r="Z224" i="29"/>
  <c r="AI273" i="29"/>
  <c r="AI261" i="29"/>
  <c r="AI241" i="29"/>
  <c r="AI219" i="29"/>
  <c r="AI158" i="29"/>
  <c r="AI138" i="29"/>
  <c r="AI116" i="29"/>
  <c r="AI267" i="29"/>
  <c r="AI255" i="29"/>
  <c r="AI251" i="29"/>
  <c r="AI247" i="29"/>
  <c r="AI239" i="29"/>
  <c r="AI235" i="29"/>
  <c r="AI231" i="29"/>
  <c r="AI217" i="29"/>
  <c r="AI213" i="29"/>
  <c r="AI179" i="29"/>
  <c r="AI156" i="29"/>
  <c r="AI152" i="29"/>
  <c r="AI142" i="29"/>
  <c r="AI127" i="29"/>
  <c r="AI122" i="29"/>
  <c r="AI94" i="29"/>
  <c r="AI90" i="29"/>
  <c r="AI73" i="29"/>
  <c r="AI57" i="29"/>
  <c r="AI53" i="29"/>
  <c r="AI46" i="29"/>
  <c r="AI23" i="29"/>
  <c r="AI19" i="29"/>
  <c r="AI2" i="29"/>
  <c r="AI71" i="29"/>
  <c r="AI67" i="29"/>
  <c r="AI62" i="29"/>
  <c r="AI48" i="29"/>
  <c r="AI40" i="29"/>
  <c r="AI36" i="29"/>
  <c r="AI31" i="29"/>
  <c r="AH75" i="29"/>
  <c r="AH160" i="29" s="1"/>
  <c r="AH222" i="29" s="1"/>
  <c r="AI222" i="29" s="1"/>
  <c r="P179" i="28"/>
  <c r="P224" i="28" s="1"/>
  <c r="AF179" i="28"/>
  <c r="AF224" i="28" s="1"/>
  <c r="AF243" i="28" s="1"/>
  <c r="AF257" i="28" s="1"/>
  <c r="AF263" i="28" s="1"/>
  <c r="AF269" i="28" s="1"/>
  <c r="AF275" i="28" s="1"/>
  <c r="J179" i="28"/>
  <c r="J224" i="28" s="1"/>
  <c r="J226" i="28" s="1"/>
  <c r="T91" i="28"/>
  <c r="T179" i="28" s="1"/>
  <c r="T224" i="28" s="1"/>
  <c r="N91" i="28"/>
  <c r="N179" i="28" s="1"/>
  <c r="N224" i="28" s="1"/>
  <c r="Z226" i="28"/>
  <c r="AF226" i="28"/>
  <c r="R226" i="28"/>
  <c r="V243" i="28"/>
  <c r="V257" i="28" s="1"/>
  <c r="V263" i="28" s="1"/>
  <c r="V269" i="28" s="1"/>
  <c r="V275" i="28" s="1"/>
  <c r="V226" i="28"/>
  <c r="AB226" i="28"/>
  <c r="AB243" i="28"/>
  <c r="AB257" i="28" s="1"/>
  <c r="AB263" i="28" s="1"/>
  <c r="AB269" i="28" s="1"/>
  <c r="AB275" i="28" s="1"/>
  <c r="AI273" i="28"/>
  <c r="AI261" i="28"/>
  <c r="AI241" i="28"/>
  <c r="AI221" i="28"/>
  <c r="AI184" i="28"/>
  <c r="AI177" i="28"/>
  <c r="AI160" i="28"/>
  <c r="AI267" i="28"/>
  <c r="AI255" i="28"/>
  <c r="AI251" i="28"/>
  <c r="AI247" i="28"/>
  <c r="AI239" i="28"/>
  <c r="AI235" i="28"/>
  <c r="AI231" i="28"/>
  <c r="AI219" i="28"/>
  <c r="AI215" i="28"/>
  <c r="AI175" i="28"/>
  <c r="AI171" i="28"/>
  <c r="AI164" i="28"/>
  <c r="AI144" i="28"/>
  <c r="AI133" i="28"/>
  <c r="AI89" i="28"/>
  <c r="AI57" i="28"/>
  <c r="AI139" i="28"/>
  <c r="AI110" i="28"/>
  <c r="AI106" i="28"/>
  <c r="AI87" i="28"/>
  <c r="AI83" i="28"/>
  <c r="AI77" i="28"/>
  <c r="AI70" i="28"/>
  <c r="AI66" i="28"/>
  <c r="AI59" i="28"/>
  <c r="AI51" i="28"/>
  <c r="AI47" i="28"/>
  <c r="AI42" i="28"/>
  <c r="AI24" i="28"/>
  <c r="AI18" i="28"/>
  <c r="AI2" i="28"/>
  <c r="AH91" i="28"/>
  <c r="AH179" i="28" s="1"/>
  <c r="AH224" i="28" s="1"/>
  <c r="AI335" i="27"/>
  <c r="AI185" i="27"/>
  <c r="AI309" i="27"/>
  <c r="AI189" i="27"/>
  <c r="AI171" i="27"/>
  <c r="AH97" i="27"/>
  <c r="AH210" i="27" s="1"/>
  <c r="AI93" i="27"/>
  <c r="AI48" i="27"/>
  <c r="AI97" i="27"/>
  <c r="N305" i="27"/>
  <c r="N319" i="27" s="1"/>
  <c r="N325" i="27" s="1"/>
  <c r="N331" i="27" s="1"/>
  <c r="N337" i="27" s="1"/>
  <c r="AD97" i="27"/>
  <c r="AD210" i="27" s="1"/>
  <c r="AD284" i="27" s="1"/>
  <c r="L208" i="27"/>
  <c r="T208" i="27"/>
  <c r="T210" i="27" s="1"/>
  <c r="T284" i="27" s="1"/>
  <c r="AB208" i="27"/>
  <c r="AF97" i="27"/>
  <c r="J95" i="27"/>
  <c r="R95" i="27"/>
  <c r="Z95" i="27"/>
  <c r="Z97" i="27" s="1"/>
  <c r="P208" i="27"/>
  <c r="X208" i="27"/>
  <c r="AF208" i="27"/>
  <c r="AH275" i="27"/>
  <c r="AH281" i="27" s="1"/>
  <c r="AH293" i="27"/>
  <c r="AH303" i="27" s="1"/>
  <c r="AI303" i="27" s="1"/>
  <c r="C12" i="22"/>
  <c r="AI160" i="29" l="1"/>
  <c r="X243" i="28"/>
  <c r="X257" i="28" s="1"/>
  <c r="X263" i="28" s="1"/>
  <c r="X269" i="28" s="1"/>
  <c r="X275" i="28" s="1"/>
  <c r="X226" i="28"/>
  <c r="Q20" i="1"/>
  <c r="X20" i="1"/>
  <c r="AA20" i="1" s="1"/>
  <c r="P210" i="27"/>
  <c r="P284" i="27" s="1"/>
  <c r="Z210" i="27"/>
  <c r="Z284" i="27" s="1"/>
  <c r="C25" i="1"/>
  <c r="AI13" i="27"/>
  <c r="AI29" i="27"/>
  <c r="AI27" i="27"/>
  <c r="AI25" i="27"/>
  <c r="AI23" i="27"/>
  <c r="AI21" i="27"/>
  <c r="AI19" i="27"/>
  <c r="AI17" i="27"/>
  <c r="AI34" i="27"/>
  <c r="AI45" i="27"/>
  <c r="AI43" i="27"/>
  <c r="AI41" i="27"/>
  <c r="AI39" i="27"/>
  <c r="AI55" i="27"/>
  <c r="AI60" i="27"/>
  <c r="AI69" i="27"/>
  <c r="AI74" i="27"/>
  <c r="AI80" i="27"/>
  <c r="AI87" i="27"/>
  <c r="AI91" i="27"/>
  <c r="AI112" i="27"/>
  <c r="AI110" i="27"/>
  <c r="AI108" i="27"/>
  <c r="AI106" i="27"/>
  <c r="AI104" i="27"/>
  <c r="AI102" i="27"/>
  <c r="AI100" i="27"/>
  <c r="AI144" i="27"/>
  <c r="AI142" i="27"/>
  <c r="AI140" i="27"/>
  <c r="AI138" i="27"/>
  <c r="AI136" i="27"/>
  <c r="AI134" i="27"/>
  <c r="AI132" i="27"/>
  <c r="AI130" i="27"/>
  <c r="AI128" i="27"/>
  <c r="AI126" i="27"/>
  <c r="AI124" i="27"/>
  <c r="AI122" i="27"/>
  <c r="AI157" i="27"/>
  <c r="AI155" i="27"/>
  <c r="AI153" i="27"/>
  <c r="AI151" i="27"/>
  <c r="AI149" i="27"/>
  <c r="AI168" i="27"/>
  <c r="AI166" i="27"/>
  <c r="AI164" i="27"/>
  <c r="AI183" i="27"/>
  <c r="AI181" i="27"/>
  <c r="AI179" i="27"/>
  <c r="AI177" i="27"/>
  <c r="AI175" i="27"/>
  <c r="AI200" i="27"/>
  <c r="AI198" i="27"/>
  <c r="AI196" i="27"/>
  <c r="AI194" i="27"/>
  <c r="AI192" i="27"/>
  <c r="AI222" i="27"/>
  <c r="AI220" i="27"/>
  <c r="AI218" i="27"/>
  <c r="AI216" i="27"/>
  <c r="AI214" i="27"/>
  <c r="AI273" i="27"/>
  <c r="AI271" i="27"/>
  <c r="AI269" i="27"/>
  <c r="AI267" i="27"/>
  <c r="AI265" i="27"/>
  <c r="AI263" i="27"/>
  <c r="AI261" i="27"/>
  <c r="AI259" i="27"/>
  <c r="AI257" i="27"/>
  <c r="AI255" i="27"/>
  <c r="AI253" i="27"/>
  <c r="AI251" i="27"/>
  <c r="AI249" i="27"/>
  <c r="AI247" i="27"/>
  <c r="AI245" i="27"/>
  <c r="AI243" i="27"/>
  <c r="AI241" i="27"/>
  <c r="AI239" i="27"/>
  <c r="AI237" i="27"/>
  <c r="AI235" i="27"/>
  <c r="AI233" i="27"/>
  <c r="AI231" i="27"/>
  <c r="AI229" i="27"/>
  <c r="AI30" i="27"/>
  <c r="AI28" i="27"/>
  <c r="AI26" i="27"/>
  <c r="AI24" i="27"/>
  <c r="AI22" i="27"/>
  <c r="AI20" i="27"/>
  <c r="AI18" i="27"/>
  <c r="AI16" i="27"/>
  <c r="AI46" i="27"/>
  <c r="AI44" i="27"/>
  <c r="AI42" i="27"/>
  <c r="AI40" i="27"/>
  <c r="AI51" i="27"/>
  <c r="AI61" i="27"/>
  <c r="AI70" i="27"/>
  <c r="AI68" i="27"/>
  <c r="AI81" i="27"/>
  <c r="AI79" i="27"/>
  <c r="AI86" i="27"/>
  <c r="AI113" i="27"/>
  <c r="AI111" i="27"/>
  <c r="AI109" i="27"/>
  <c r="AI107" i="27"/>
  <c r="AI105" i="27"/>
  <c r="AI103" i="27"/>
  <c r="AI101" i="27"/>
  <c r="AI117" i="27"/>
  <c r="AI143" i="27"/>
  <c r="AI141" i="27"/>
  <c r="AI139" i="27"/>
  <c r="AI135" i="27"/>
  <c r="AI127" i="27"/>
  <c r="AI156" i="27"/>
  <c r="AI169" i="27"/>
  <c r="AI182" i="27"/>
  <c r="AI174" i="27"/>
  <c r="AI193" i="27"/>
  <c r="AI217" i="27"/>
  <c r="AI270" i="27"/>
  <c r="AI262" i="27"/>
  <c r="AI254" i="27"/>
  <c r="AI246" i="27"/>
  <c r="AI238" i="27"/>
  <c r="AI230" i="27"/>
  <c r="AI234" i="27"/>
  <c r="AI137" i="27"/>
  <c r="AI129" i="27"/>
  <c r="AI158" i="27"/>
  <c r="AI150" i="27"/>
  <c r="AI163" i="27"/>
  <c r="AI176" i="27"/>
  <c r="AI195" i="27"/>
  <c r="AI219" i="27"/>
  <c r="AI272" i="27"/>
  <c r="AI264" i="27"/>
  <c r="AI256" i="27"/>
  <c r="AI248" i="27"/>
  <c r="AI240" i="27"/>
  <c r="AI232" i="27"/>
  <c r="AI227" i="27"/>
  <c r="AI291" i="27"/>
  <c r="AI289" i="27"/>
  <c r="AI295" i="27"/>
  <c r="AI307" i="27"/>
  <c r="AI315" i="27"/>
  <c r="AI327" i="27"/>
  <c r="AI266" i="27"/>
  <c r="AI131" i="27"/>
  <c r="AI123" i="27"/>
  <c r="AI152" i="27"/>
  <c r="AI165" i="27"/>
  <c r="AI178" i="27"/>
  <c r="AI197" i="27"/>
  <c r="AI221" i="27"/>
  <c r="AI213" i="27"/>
  <c r="AI258" i="27"/>
  <c r="AI133" i="27"/>
  <c r="AI125" i="27"/>
  <c r="AI154" i="27"/>
  <c r="AI167" i="27"/>
  <c r="AI180" i="27"/>
  <c r="AI199" i="27"/>
  <c r="AI204" i="27"/>
  <c r="AI215" i="27"/>
  <c r="AI268" i="27"/>
  <c r="AI260" i="27"/>
  <c r="AI252" i="27"/>
  <c r="AI244" i="27"/>
  <c r="AI236" i="27"/>
  <c r="AI228" i="27"/>
  <c r="AI277" i="27"/>
  <c r="AI290" i="27"/>
  <c r="AI288" i="27"/>
  <c r="AI299" i="27"/>
  <c r="AI311" i="27"/>
  <c r="AI321" i="27"/>
  <c r="AI333" i="27"/>
  <c r="AI250" i="27"/>
  <c r="AI242" i="27"/>
  <c r="AI119" i="27"/>
  <c r="L97" i="27"/>
  <c r="L210" i="27" s="1"/>
  <c r="L284" i="27" s="1"/>
  <c r="AI36" i="27"/>
  <c r="AI57" i="27"/>
  <c r="AI281" i="27"/>
  <c r="AI2" i="27"/>
  <c r="AI76" i="27"/>
  <c r="AI202" i="27"/>
  <c r="AI297" i="27"/>
  <c r="AI317" i="27"/>
  <c r="AI224" i="27"/>
  <c r="AI83" i="27"/>
  <c r="AI63" i="27"/>
  <c r="AI206" i="27"/>
  <c r="AI279" i="27"/>
  <c r="AI313" i="27"/>
  <c r="AI208" i="27"/>
  <c r="AI53" i="27"/>
  <c r="AI115" i="27"/>
  <c r="AI95" i="27"/>
  <c r="AI72" i="27"/>
  <c r="AI32" i="27"/>
  <c r="AI65" i="27"/>
  <c r="AI89" i="27"/>
  <c r="AI146" i="27"/>
  <c r="AI160" i="27"/>
  <c r="AI301" i="27"/>
  <c r="AI329" i="27"/>
  <c r="AI323" i="27"/>
  <c r="AF224" i="29"/>
  <c r="L224" i="29"/>
  <c r="J243" i="28"/>
  <c r="J257" i="28" s="1"/>
  <c r="J263" i="28" s="1"/>
  <c r="J269" i="28" s="1"/>
  <c r="J275" i="28" s="1"/>
  <c r="AD226" i="28"/>
  <c r="L243" i="28"/>
  <c r="L257" i="28" s="1"/>
  <c r="L263" i="28" s="1"/>
  <c r="L269" i="28" s="1"/>
  <c r="L275" i="28" s="1"/>
  <c r="L226" i="28"/>
  <c r="J97" i="27"/>
  <c r="J210" i="27" s="1"/>
  <c r="J284" i="27" s="1"/>
  <c r="R97" i="27"/>
  <c r="R210" i="27" s="1"/>
  <c r="R284" i="27" s="1"/>
  <c r="R305" i="27" s="1"/>
  <c r="R319" i="27" s="1"/>
  <c r="R325" i="27" s="1"/>
  <c r="R331" i="27" s="1"/>
  <c r="R337" i="27" s="1"/>
  <c r="R224" i="29"/>
  <c r="R243" i="29"/>
  <c r="R257" i="29" s="1"/>
  <c r="R263" i="29" s="1"/>
  <c r="R269" i="29" s="1"/>
  <c r="R275" i="29" s="1"/>
  <c r="J224" i="29"/>
  <c r="J243" i="29"/>
  <c r="J257" i="29" s="1"/>
  <c r="J263" i="29" s="1"/>
  <c r="J269" i="29" s="1"/>
  <c r="J275" i="29" s="1"/>
  <c r="AH224" i="29"/>
  <c r="AI224" i="29" s="1"/>
  <c r="AH243" i="29"/>
  <c r="AI75" i="29"/>
  <c r="AD243" i="29"/>
  <c r="AD257" i="29" s="1"/>
  <c r="AD263" i="29" s="1"/>
  <c r="AD269" i="29" s="1"/>
  <c r="AD275" i="29" s="1"/>
  <c r="AD224" i="29"/>
  <c r="P226" i="28"/>
  <c r="P243" i="28"/>
  <c r="P257" i="28" s="1"/>
  <c r="P263" i="28" s="1"/>
  <c r="P269" i="28" s="1"/>
  <c r="P275" i="28" s="1"/>
  <c r="N243" i="28"/>
  <c r="N257" i="28" s="1"/>
  <c r="N263" i="28" s="1"/>
  <c r="N269" i="28" s="1"/>
  <c r="N275" i="28" s="1"/>
  <c r="N226" i="28"/>
  <c r="AI91" i="28"/>
  <c r="T226" i="28"/>
  <c r="T243" i="28"/>
  <c r="T257" i="28" s="1"/>
  <c r="T263" i="28" s="1"/>
  <c r="T269" i="28" s="1"/>
  <c r="T275" i="28" s="1"/>
  <c r="AH226" i="28"/>
  <c r="AI226" i="28" s="1"/>
  <c r="AH243" i="28"/>
  <c r="AI179" i="28"/>
  <c r="AI224" i="28"/>
  <c r="T286" i="27"/>
  <c r="T305" i="27"/>
  <c r="T319" i="27" s="1"/>
  <c r="T325" i="27" s="1"/>
  <c r="T331" i="27" s="1"/>
  <c r="T337" i="27" s="1"/>
  <c r="P286" i="27"/>
  <c r="P305" i="27"/>
  <c r="P319" i="27" s="1"/>
  <c r="P325" i="27" s="1"/>
  <c r="P331" i="27" s="1"/>
  <c r="P337" i="27" s="1"/>
  <c r="Z305" i="27"/>
  <c r="Z319" i="27" s="1"/>
  <c r="Z325" i="27" s="1"/>
  <c r="Z331" i="27" s="1"/>
  <c r="Z337" i="27" s="1"/>
  <c r="Z286" i="27"/>
  <c r="J305" i="27"/>
  <c r="J319" i="27" s="1"/>
  <c r="J325" i="27" s="1"/>
  <c r="J331" i="27" s="1"/>
  <c r="J337" i="27" s="1"/>
  <c r="J286" i="27"/>
  <c r="X210" i="27"/>
  <c r="X284" i="27" s="1"/>
  <c r="AB210" i="27"/>
  <c r="AB284" i="27" s="1"/>
  <c r="AH284" i="27"/>
  <c r="AD305" i="27"/>
  <c r="AD319" i="27" s="1"/>
  <c r="AD325" i="27" s="1"/>
  <c r="AD331" i="27" s="1"/>
  <c r="AD337" i="27" s="1"/>
  <c r="AD286" i="27"/>
  <c r="AI210" i="27"/>
  <c r="AI275" i="27"/>
  <c r="AF210" i="27"/>
  <c r="AF284" i="27" s="1"/>
  <c r="AI293" i="27"/>
  <c r="V305" i="27"/>
  <c r="V319" i="27" s="1"/>
  <c r="V325" i="27" s="1"/>
  <c r="V331" i="27" s="1"/>
  <c r="V337" i="27" s="1"/>
  <c r="V286" i="27"/>
  <c r="L305" i="27" l="1"/>
  <c r="L319" i="27" s="1"/>
  <c r="L325" i="27" s="1"/>
  <c r="L331" i="27" s="1"/>
  <c r="L337" i="27" s="1"/>
  <c r="L286" i="27"/>
  <c r="R286" i="27"/>
  <c r="AH257" i="29"/>
  <c r="AI243" i="29"/>
  <c r="AH257" i="28"/>
  <c r="AI243" i="28"/>
  <c r="AF305" i="27"/>
  <c r="AF319" i="27" s="1"/>
  <c r="AF325" i="27" s="1"/>
  <c r="AF331" i="27" s="1"/>
  <c r="AF337" i="27" s="1"/>
  <c r="AF286" i="27"/>
  <c r="AB286" i="27"/>
  <c r="AB305" i="27"/>
  <c r="AB319" i="27" s="1"/>
  <c r="AB325" i="27" s="1"/>
  <c r="AB331" i="27" s="1"/>
  <c r="AB337" i="27" s="1"/>
  <c r="X305" i="27"/>
  <c r="X319" i="27" s="1"/>
  <c r="X325" i="27" s="1"/>
  <c r="X331" i="27" s="1"/>
  <c r="X337" i="27" s="1"/>
  <c r="X286" i="27"/>
  <c r="AH305" i="27"/>
  <c r="AH286" i="27"/>
  <c r="AI286" i="27" s="1"/>
  <c r="AI284" i="27"/>
  <c r="H7" i="26"/>
  <c r="AH263" i="29" l="1"/>
  <c r="AI257" i="29"/>
  <c r="AH263" i="28"/>
  <c r="AI257" i="28"/>
  <c r="AH319" i="27"/>
  <c r="AI305" i="27"/>
  <c r="AH269" i="29" l="1"/>
  <c r="AI263" i="29"/>
  <c r="AH269" i="28"/>
  <c r="AI263" i="28"/>
  <c r="AH325" i="27"/>
  <c r="AI319" i="27"/>
  <c r="AH275" i="29" l="1"/>
  <c r="AI269" i="29"/>
  <c r="AH275" i="28"/>
  <c r="AI269" i="28"/>
  <c r="AH331" i="27"/>
  <c r="AI325" i="27"/>
  <c r="AI275" i="29" l="1"/>
  <c r="AI275" i="28"/>
  <c r="AH337" i="27"/>
  <c r="AI331" i="27"/>
  <c r="AG287" i="1"/>
  <c r="AF287" i="1"/>
  <c r="C252" i="49" s="1"/>
  <c r="E252" i="49" l="1"/>
  <c r="F252" i="49"/>
  <c r="C348" i="1"/>
  <c r="C203" i="1"/>
  <c r="C75" i="1"/>
  <c r="AI337" i="27"/>
  <c r="G252" i="49" l="1"/>
  <c r="K252" i="49" s="1"/>
  <c r="I252" i="49"/>
  <c r="H252" i="49"/>
  <c r="L252" i="49" l="1"/>
  <c r="S58" i="22"/>
  <c r="U56" i="22"/>
  <c r="U55" i="22"/>
  <c r="V38" i="22" s="1"/>
  <c r="J38" i="22"/>
  <c r="Y67" i="22" s="1"/>
  <c r="J46" i="22"/>
  <c r="C13" i="22"/>
  <c r="J45" i="22" s="1"/>
  <c r="J44" i="22"/>
  <c r="C11" i="22"/>
  <c r="J43" i="22" s="1"/>
  <c r="V9" i="22"/>
  <c r="K27" i="22"/>
  <c r="F8" i="22"/>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I27" i="22"/>
  <c r="Y6" i="22"/>
  <c r="Y7" i="22" s="1"/>
  <c r="Y8" i="22" s="1"/>
  <c r="Y9" i="22" s="1"/>
  <c r="Y11" i="22" s="1"/>
  <c r="Y12" i="22" s="1"/>
  <c r="Y13" i="22" s="1"/>
  <c r="Y14" i="22" s="1"/>
  <c r="Y16" i="22" s="1"/>
  <c r="Y17" i="22" s="1"/>
  <c r="Y18" i="22" s="1"/>
  <c r="Y19" i="22" s="1"/>
  <c r="Y21" i="22" s="1"/>
  <c r="Y22" i="22" s="1"/>
  <c r="Y23" i="22" s="1"/>
  <c r="Y24" i="22" s="1"/>
  <c r="Y26" i="22" s="1"/>
  <c r="Y27" i="22" s="1"/>
  <c r="Y28" i="22" s="1"/>
  <c r="Y29" i="22" s="1"/>
  <c r="Y31" i="22" s="1"/>
  <c r="Y32" i="22" s="1"/>
  <c r="Y33" i="22" s="1"/>
  <c r="Y34" i="22" s="1"/>
  <c r="Y36" i="22" s="1"/>
  <c r="Y37" i="22" s="1"/>
  <c r="Y38" i="22" s="1"/>
  <c r="Y39" i="22" s="1"/>
  <c r="V12" i="22" l="1"/>
  <c r="V6" i="22"/>
  <c r="V7" i="22"/>
  <c r="V14" i="22"/>
  <c r="V23" i="22"/>
  <c r="V8" i="22"/>
  <c r="V11" i="22"/>
  <c r="V24" i="22"/>
  <c r="V13" i="22"/>
  <c r="V18" i="22"/>
  <c r="V29" i="22"/>
  <c r="AC6" i="22"/>
  <c r="V19" i="22"/>
  <c r="V36" i="22"/>
  <c r="V17" i="22"/>
  <c r="V22" i="22"/>
  <c r="V27" i="22"/>
  <c r="V34" i="22"/>
  <c r="V39" i="22"/>
  <c r="V31" i="22"/>
  <c r="V37" i="22"/>
  <c r="V16" i="22"/>
  <c r="V21" i="22"/>
  <c r="V26" i="22"/>
  <c r="V32" i="22"/>
  <c r="V28" i="22"/>
  <c r="V33" i="22"/>
  <c r="AC7" i="22"/>
  <c r="AC11" i="22"/>
  <c r="J47" i="22"/>
  <c r="AC37" i="22"/>
  <c r="AC29" i="22"/>
  <c r="AC28" i="22"/>
  <c r="AC27" i="22"/>
  <c r="I26" i="22"/>
  <c r="AC33" i="22"/>
  <c r="AC39" i="22"/>
  <c r="AC38" i="22"/>
  <c r="AC36" i="22"/>
  <c r="AC34" i="22"/>
  <c r="AC32" i="22"/>
  <c r="AC31" i="22"/>
  <c r="AC19" i="22"/>
  <c r="AC14" i="22"/>
  <c r="AC13" i="22"/>
  <c r="AC26" i="22"/>
  <c r="AC23" i="22"/>
  <c r="AC24" i="22"/>
  <c r="AC22" i="22"/>
  <c r="AC21" i="22"/>
  <c r="AC18" i="22"/>
  <c r="AC17" i="22"/>
  <c r="AC16" i="22"/>
  <c r="AC12" i="22"/>
  <c r="AC9" i="22"/>
  <c r="L27" i="22"/>
  <c r="AC8" i="22"/>
  <c r="K38" i="22"/>
  <c r="Z67" i="22" s="1"/>
  <c r="I28" i="22" l="1"/>
  <c r="H308" i="20" l="1"/>
  <c r="F308" i="20"/>
  <c r="E308" i="20"/>
  <c r="H278" i="20"/>
  <c r="F278" i="20"/>
  <c r="E278" i="20"/>
  <c r="H142" i="20"/>
  <c r="F142" i="20"/>
  <c r="E142" i="20"/>
  <c r="J348" i="1" l="1"/>
  <c r="I348" i="1"/>
  <c r="H348" i="1"/>
  <c r="G348" i="1"/>
  <c r="J343" i="1"/>
  <c r="I343" i="1"/>
  <c r="H343" i="1"/>
  <c r="G343" i="1"/>
  <c r="G338" i="1"/>
  <c r="J328" i="1"/>
  <c r="I328" i="1"/>
  <c r="H328" i="1"/>
  <c r="G328" i="1"/>
  <c r="J323" i="1"/>
  <c r="I323" i="1"/>
  <c r="H323" i="1"/>
  <c r="G323" i="1"/>
  <c r="J317" i="1"/>
  <c r="I317" i="1"/>
  <c r="H317" i="1"/>
  <c r="G317" i="1"/>
  <c r="J312" i="1"/>
  <c r="I312" i="1"/>
  <c r="H312" i="1"/>
  <c r="G312" i="1"/>
  <c r="J306" i="1"/>
  <c r="I306" i="1"/>
  <c r="G306" i="1"/>
  <c r="J292" i="1"/>
  <c r="G292" i="1"/>
  <c r="J265" i="1"/>
  <c r="I265" i="1"/>
  <c r="H265" i="1"/>
  <c r="G265" i="1"/>
  <c r="G260" i="1"/>
  <c r="G249" i="1"/>
  <c r="G239" i="1"/>
  <c r="J231" i="1"/>
  <c r="I231" i="1"/>
  <c r="H231" i="1"/>
  <c r="G231" i="1"/>
  <c r="J225" i="1"/>
  <c r="I225" i="1"/>
  <c r="H225" i="1"/>
  <c r="G225" i="1"/>
  <c r="J220" i="1"/>
  <c r="G220" i="1"/>
  <c r="G203" i="1"/>
  <c r="J198" i="1"/>
  <c r="I198" i="1"/>
  <c r="H198" i="1"/>
  <c r="G198" i="1"/>
  <c r="J186" i="1"/>
  <c r="I186" i="1"/>
  <c r="H186" i="1"/>
  <c r="G186" i="1"/>
  <c r="J178" i="1"/>
  <c r="I178" i="1"/>
  <c r="H178" i="1"/>
  <c r="G178" i="1"/>
  <c r="J171" i="1"/>
  <c r="I171" i="1"/>
  <c r="H171" i="1"/>
  <c r="G171" i="1"/>
  <c r="J164" i="1"/>
  <c r="I164" i="1"/>
  <c r="G164" i="1"/>
  <c r="G159" i="1"/>
  <c r="J145" i="1"/>
  <c r="I145" i="1"/>
  <c r="G145" i="1"/>
  <c r="J139" i="1"/>
  <c r="I139" i="1"/>
  <c r="G139" i="1"/>
  <c r="J129" i="1"/>
  <c r="I129" i="1"/>
  <c r="G129" i="1"/>
  <c r="J113" i="1"/>
  <c r="I113" i="1"/>
  <c r="H113" i="1"/>
  <c r="G113" i="1"/>
  <c r="J105" i="1"/>
  <c r="I105" i="1"/>
  <c r="H105" i="1"/>
  <c r="G105" i="1"/>
  <c r="G100" i="1"/>
  <c r="G84" i="1"/>
  <c r="J75" i="1"/>
  <c r="I75" i="1"/>
  <c r="H75" i="1"/>
  <c r="G75" i="1"/>
  <c r="J70" i="1"/>
  <c r="I70" i="1"/>
  <c r="H70" i="1"/>
  <c r="G70" i="1"/>
  <c r="J64" i="1"/>
  <c r="I64" i="1"/>
  <c r="H64" i="1"/>
  <c r="G64" i="1"/>
  <c r="AH58" i="1"/>
  <c r="G58" i="1"/>
  <c r="G49" i="1"/>
  <c r="AH32" i="1"/>
  <c r="J32" i="1"/>
  <c r="I32" i="1"/>
  <c r="H32" i="1"/>
  <c r="G32" i="1"/>
  <c r="AH24" i="1"/>
  <c r="G24" i="1"/>
  <c r="P344" i="1"/>
  <c r="O344" i="1"/>
  <c r="N344" i="1"/>
  <c r="AF15" i="1"/>
  <c r="C14" i="49" s="1"/>
  <c r="K14" i="49" s="1"/>
  <c r="AG15" i="1"/>
  <c r="AF17" i="1"/>
  <c r="C16" i="49" s="1"/>
  <c r="K16" i="49" s="1"/>
  <c r="AG17" i="1"/>
  <c r="AG18" i="1"/>
  <c r="AF19" i="1"/>
  <c r="C18" i="49" s="1"/>
  <c r="K18" i="49" s="1"/>
  <c r="AG14" i="1"/>
  <c r="AF14" i="1"/>
  <c r="C13" i="49" s="1"/>
  <c r="K13" i="49" s="1"/>
  <c r="AG11" i="1"/>
  <c r="AG12" i="1"/>
  <c r="AG13" i="1"/>
  <c r="P10" i="1"/>
  <c r="Z10" i="1" s="1"/>
  <c r="AG10" i="1" s="1"/>
  <c r="O10" i="1"/>
  <c r="Y10" i="1" s="1"/>
  <c r="L85" i="1"/>
  <c r="AE17" i="1"/>
  <c r="N10" i="1"/>
  <c r="X10" i="1" s="1"/>
  <c r="J24" i="1" l="1"/>
  <c r="AF11" i="1"/>
  <c r="C10" i="49" s="1"/>
  <c r="K10" i="49" s="1"/>
  <c r="AF13" i="1"/>
  <c r="C12" i="49" s="1"/>
  <c r="K12" i="49" s="1"/>
  <c r="C13" i="20"/>
  <c r="C14" i="20"/>
  <c r="C9" i="20"/>
  <c r="AF10" i="1"/>
  <c r="C9" i="49" s="1"/>
  <c r="K9" i="49" s="1"/>
  <c r="AA10" i="1"/>
  <c r="C10" i="20"/>
  <c r="AF12" i="1"/>
  <c r="C11" i="49" s="1"/>
  <c r="K11" i="49" s="1"/>
  <c r="C11" i="20"/>
  <c r="AB18" i="1"/>
  <c r="AE19" i="1"/>
  <c r="J58" i="1"/>
  <c r="AG22" i="1"/>
  <c r="E13" i="20" l="1"/>
  <c r="H13" i="20" s="1"/>
  <c r="G11" i="20"/>
  <c r="H11" i="20" s="1"/>
  <c r="E9" i="20"/>
  <c r="H9" i="20" s="1"/>
  <c r="F10" i="20"/>
  <c r="H10" i="20" s="1"/>
  <c r="E14" i="20"/>
  <c r="H14" i="20" s="1"/>
  <c r="C17" i="20"/>
  <c r="AI12" i="1"/>
  <c r="I58" i="1"/>
  <c r="AI15" i="1"/>
  <c r="AI14" i="1"/>
  <c r="AI10" i="1"/>
  <c r="C19" i="20"/>
  <c r="AE20" i="1"/>
  <c r="AB26" i="1" s="1"/>
  <c r="AB21" i="1" s="1"/>
  <c r="C12" i="20"/>
  <c r="AI11" i="1"/>
  <c r="I24" i="1"/>
  <c r="AC26" i="1" l="1"/>
  <c r="AC21" i="1" s="1"/>
  <c r="AD26" i="1"/>
  <c r="AD21" i="1" s="1"/>
  <c r="AE26" i="1"/>
  <c r="AE21" i="1" s="1"/>
  <c r="F12" i="20"/>
  <c r="H12" i="20" s="1"/>
  <c r="AI13" i="1"/>
  <c r="AF22" i="1"/>
  <c r="C21" i="49" s="1"/>
  <c r="F21" i="49" l="1"/>
  <c r="E21" i="49"/>
  <c r="G21" i="49" l="1"/>
  <c r="K21" i="49" s="1"/>
  <c r="I21" i="49"/>
  <c r="H21" i="49"/>
  <c r="AG341" i="1"/>
  <c r="AF341" i="1"/>
  <c r="C298" i="49" s="1"/>
  <c r="AB341" i="1"/>
  <c r="AG336" i="1"/>
  <c r="AG335" i="1"/>
  <c r="AF335" i="1"/>
  <c r="C293" i="49" s="1"/>
  <c r="K293" i="49" s="1"/>
  <c r="AE335" i="1"/>
  <c r="AG333" i="1"/>
  <c r="AF333" i="1"/>
  <c r="C291" i="49" s="1"/>
  <c r="K291" i="49" s="1"/>
  <c r="AG321" i="1"/>
  <c r="AF321" i="1"/>
  <c r="C281" i="49" s="1"/>
  <c r="E281" i="49" s="1"/>
  <c r="G281" i="49" s="1"/>
  <c r="K281" i="49" s="1"/>
  <c r="AF310" i="1"/>
  <c r="C272" i="49" s="1"/>
  <c r="K272" i="49" s="1"/>
  <c r="AE310" i="1"/>
  <c r="AG304" i="1"/>
  <c r="AF304" i="1"/>
  <c r="C267" i="49" s="1"/>
  <c r="K267" i="49" s="1"/>
  <c r="AF300" i="1"/>
  <c r="AF299" i="1"/>
  <c r="C263" i="49" s="1"/>
  <c r="AG296" i="1"/>
  <c r="AF296" i="1"/>
  <c r="C260" i="49" s="1"/>
  <c r="K260" i="49" s="1"/>
  <c r="AG290" i="1"/>
  <c r="AF290" i="1"/>
  <c r="C255" i="49" s="1"/>
  <c r="K255" i="49" s="1"/>
  <c r="AG289" i="1"/>
  <c r="AF289" i="1"/>
  <c r="C254" i="49" s="1"/>
  <c r="K254" i="49" s="1"/>
  <c r="AG288" i="1"/>
  <c r="AF288" i="1"/>
  <c r="C253" i="49" s="1"/>
  <c r="AG286" i="1"/>
  <c r="AF286" i="1"/>
  <c r="C251" i="49" s="1"/>
  <c r="K251" i="49" s="1"/>
  <c r="AG285" i="1"/>
  <c r="AF285" i="1"/>
  <c r="C250" i="49" s="1"/>
  <c r="K250" i="49" s="1"/>
  <c r="AF284" i="1"/>
  <c r="C249" i="49" s="1"/>
  <c r="K249" i="49" s="1"/>
  <c r="AF283" i="1"/>
  <c r="C248" i="49" s="1"/>
  <c r="AF282" i="1"/>
  <c r="C247" i="49" s="1"/>
  <c r="K247" i="49" s="1"/>
  <c r="AF281" i="1"/>
  <c r="C246" i="49" s="1"/>
  <c r="AF280" i="1"/>
  <c r="C245" i="49" s="1"/>
  <c r="K245" i="49" s="1"/>
  <c r="AF279" i="1"/>
  <c r="C244" i="49" s="1"/>
  <c r="AG278" i="1"/>
  <c r="AF278" i="1"/>
  <c r="C243" i="49" s="1"/>
  <c r="K243" i="49" s="1"/>
  <c r="AG277" i="1"/>
  <c r="AF277" i="1"/>
  <c r="C242" i="49" s="1"/>
  <c r="K242" i="49" s="1"/>
  <c r="AE277" i="1"/>
  <c r="AG276" i="1"/>
  <c r="AF276" i="1"/>
  <c r="C241" i="49" s="1"/>
  <c r="K241" i="49" s="1"/>
  <c r="AG275" i="1"/>
  <c r="AF275" i="1"/>
  <c r="C240" i="49" s="1"/>
  <c r="AF274" i="1"/>
  <c r="C239" i="49" s="1"/>
  <c r="K239" i="49" s="1"/>
  <c r="AF270" i="1"/>
  <c r="C235" i="49" s="1"/>
  <c r="AG269" i="1"/>
  <c r="AF269" i="1"/>
  <c r="C234" i="49" s="1"/>
  <c r="K234" i="49" s="1"/>
  <c r="AG258" i="1"/>
  <c r="AF258" i="1"/>
  <c r="C225" i="49" s="1"/>
  <c r="AE257" i="1"/>
  <c r="AG255" i="1"/>
  <c r="AF255" i="1"/>
  <c r="C222" i="49" s="1"/>
  <c r="K222" i="49" s="1"/>
  <c r="AG253" i="1"/>
  <c r="AF253" i="1"/>
  <c r="C220" i="49" s="1"/>
  <c r="K220" i="49" s="1"/>
  <c r="AE253" i="1"/>
  <c r="AG247" i="1"/>
  <c r="AF247" i="1"/>
  <c r="C215" i="49" s="1"/>
  <c r="C70" i="37"/>
  <c r="D70" i="37" s="1"/>
  <c r="S247" i="1" s="1"/>
  <c r="AG245" i="1"/>
  <c r="AF245" i="1"/>
  <c r="C213" i="49" s="1"/>
  <c r="K213" i="49" s="1"/>
  <c r="AG243" i="1"/>
  <c r="AF243" i="1"/>
  <c r="C211" i="49" s="1"/>
  <c r="K211" i="49" s="1"/>
  <c r="AE243" i="1"/>
  <c r="AF236" i="1"/>
  <c r="C205" i="49" s="1"/>
  <c r="AG228" i="1"/>
  <c r="AF218" i="1"/>
  <c r="C190" i="49" s="1"/>
  <c r="K190" i="49" s="1"/>
  <c r="AG217" i="1"/>
  <c r="AF217" i="1"/>
  <c r="C189" i="49" s="1"/>
  <c r="K189" i="49" s="1"/>
  <c r="AG216" i="1"/>
  <c r="AF216" i="1"/>
  <c r="C188" i="49" s="1"/>
  <c r="K188" i="49" s="1"/>
  <c r="AG215" i="1"/>
  <c r="AF215" i="1"/>
  <c r="C187" i="49" s="1"/>
  <c r="K187" i="49" s="1"/>
  <c r="AG214" i="1"/>
  <c r="AF214" i="1"/>
  <c r="C186" i="49" s="1"/>
  <c r="K186" i="49" s="1"/>
  <c r="AG213" i="1"/>
  <c r="AF213" i="1"/>
  <c r="C185" i="49" s="1"/>
  <c r="K185" i="49" s="1"/>
  <c r="AB212" i="1"/>
  <c r="AF211" i="1"/>
  <c r="C183" i="49" s="1"/>
  <c r="AF210" i="1"/>
  <c r="C182" i="49" s="1"/>
  <c r="AG209" i="1"/>
  <c r="AG208" i="1"/>
  <c r="AG207" i="1"/>
  <c r="E203" i="1"/>
  <c r="AG196" i="1"/>
  <c r="AG195" i="1"/>
  <c r="AG194" i="1"/>
  <c r="AG193" i="1"/>
  <c r="AG192" i="1"/>
  <c r="Y191" i="1"/>
  <c r="Y190" i="1"/>
  <c r="AG184" i="1"/>
  <c r="AG183" i="1"/>
  <c r="AG182" i="1"/>
  <c r="AG176" i="1"/>
  <c r="AG175" i="1"/>
  <c r="AB175" i="1"/>
  <c r="AG174" i="1"/>
  <c r="AF169" i="1"/>
  <c r="C146" i="49" s="1"/>
  <c r="K146" i="49" s="1"/>
  <c r="AE169" i="1"/>
  <c r="AG168" i="1"/>
  <c r="AF168" i="1"/>
  <c r="C145" i="49" s="1"/>
  <c r="K145" i="49" s="1"/>
  <c r="C164" i="1"/>
  <c r="B67" i="31" s="1"/>
  <c r="B68" i="31" s="1"/>
  <c r="AG157" i="1"/>
  <c r="AF157" i="1"/>
  <c r="C136" i="49" s="1"/>
  <c r="K136" i="49" s="1"/>
  <c r="AE157" i="1"/>
  <c r="AG153" i="1"/>
  <c r="AF153" i="1"/>
  <c r="C135" i="49" s="1"/>
  <c r="K135" i="49" s="1"/>
  <c r="AE153" i="1"/>
  <c r="AG152" i="1"/>
  <c r="AG151" i="1"/>
  <c r="AG150" i="1"/>
  <c r="AG149" i="1"/>
  <c r="J159" i="1"/>
  <c r="AG143" i="1"/>
  <c r="AG137" i="1"/>
  <c r="AF137" i="1"/>
  <c r="C121" i="49" s="1"/>
  <c r="E121" i="49" s="1"/>
  <c r="G121" i="49" s="1"/>
  <c r="AG136" i="1"/>
  <c r="AF136" i="1"/>
  <c r="C120" i="49" s="1"/>
  <c r="AG135" i="1"/>
  <c r="AF135" i="1"/>
  <c r="C119" i="49" s="1"/>
  <c r="AE135" i="1"/>
  <c r="AG127" i="1"/>
  <c r="AE127" i="1"/>
  <c r="AG126" i="1"/>
  <c r="AF126" i="1"/>
  <c r="C112" i="49" s="1"/>
  <c r="AG125" i="1"/>
  <c r="AF125" i="1"/>
  <c r="C111" i="49" s="1"/>
  <c r="AG124" i="1"/>
  <c r="AG123" i="1"/>
  <c r="AG122" i="1"/>
  <c r="AF122" i="1"/>
  <c r="C108" i="49" s="1"/>
  <c r="K108" i="49" s="1"/>
  <c r="AG121" i="1"/>
  <c r="AG120" i="1"/>
  <c r="AG119" i="1"/>
  <c r="AF119" i="1"/>
  <c r="C105" i="49" s="1"/>
  <c r="AG118" i="1"/>
  <c r="AG117" i="1"/>
  <c r="AE117" i="1"/>
  <c r="AG111" i="1"/>
  <c r="AF111" i="1"/>
  <c r="C98" i="49" s="1"/>
  <c r="K98" i="49" s="1"/>
  <c r="AF110" i="1"/>
  <c r="C97" i="49" s="1"/>
  <c r="AG109" i="1"/>
  <c r="AG108" i="1"/>
  <c r="AG98" i="1"/>
  <c r="AG97" i="1"/>
  <c r="AG96" i="1"/>
  <c r="Y95" i="1"/>
  <c r="J100" i="1"/>
  <c r="I100" i="1"/>
  <c r="AF89" i="1"/>
  <c r="C79" i="49" s="1"/>
  <c r="K79" i="49" s="1"/>
  <c r="AG82" i="1"/>
  <c r="AF82" i="1"/>
  <c r="C73" i="49" s="1"/>
  <c r="K73" i="49" s="1"/>
  <c r="AG81" i="1"/>
  <c r="AG80" i="1"/>
  <c r="AG68" i="1"/>
  <c r="AG62" i="1"/>
  <c r="AG56" i="1"/>
  <c r="AF56" i="1"/>
  <c r="C51" i="49" s="1"/>
  <c r="AG55" i="1"/>
  <c r="AF55" i="1"/>
  <c r="C50" i="49" s="1"/>
  <c r="AG54" i="1"/>
  <c r="AG53" i="1"/>
  <c r="AF53" i="1"/>
  <c r="C48" i="49" s="1"/>
  <c r="AG47" i="1"/>
  <c r="AF47" i="1"/>
  <c r="C43" i="49" s="1"/>
  <c r="K43" i="49" s="1"/>
  <c r="J49" i="1"/>
  <c r="I49" i="1"/>
  <c r="AG21" i="1"/>
  <c r="AG20" i="1"/>
  <c r="AF21" i="1"/>
  <c r="C20" i="49" s="1"/>
  <c r="E20" i="49" s="1"/>
  <c r="AF20" i="1"/>
  <c r="C19" i="49" s="1"/>
  <c r="F19" i="49" s="1"/>
  <c r="L21" i="49" l="1"/>
  <c r="E253" i="49"/>
  <c r="F253" i="49"/>
  <c r="E205" i="49"/>
  <c r="G205" i="49" s="1"/>
  <c r="K205" i="49" s="1"/>
  <c r="F246" i="49"/>
  <c r="E246" i="49"/>
  <c r="E111" i="49"/>
  <c r="G111" i="49" s="1"/>
  <c r="K111" i="49" s="1"/>
  <c r="E240" i="49"/>
  <c r="F240" i="49"/>
  <c r="E244" i="49"/>
  <c r="F244" i="49"/>
  <c r="E248" i="49"/>
  <c r="F248" i="49"/>
  <c r="F50" i="49"/>
  <c r="F51" i="49"/>
  <c r="F112" i="49"/>
  <c r="E235" i="49"/>
  <c r="F235" i="49"/>
  <c r="F298" i="49"/>
  <c r="H19" i="49"/>
  <c r="L19" i="49" s="1"/>
  <c r="G19" i="49"/>
  <c r="K19" i="49" s="1"/>
  <c r="E119" i="49"/>
  <c r="E215" i="49"/>
  <c r="G215" i="49" s="1"/>
  <c r="K215" i="49" s="1"/>
  <c r="E225" i="49"/>
  <c r="G225" i="49" s="1"/>
  <c r="K225" i="49" s="1"/>
  <c r="F97" i="49"/>
  <c r="E97" i="49"/>
  <c r="E263" i="49"/>
  <c r="G263" i="49" s="1"/>
  <c r="K263" i="49" s="1"/>
  <c r="F183" i="49"/>
  <c r="E183" i="49"/>
  <c r="F105" i="49"/>
  <c r="E120" i="49"/>
  <c r="G120" i="49" s="1"/>
  <c r="K120" i="49" s="1"/>
  <c r="E182" i="49"/>
  <c r="G182" i="49" s="1"/>
  <c r="K182" i="49" s="1"/>
  <c r="F48" i="49"/>
  <c r="E48" i="49"/>
  <c r="X247" i="1"/>
  <c r="AA247" i="1" s="1"/>
  <c r="V247" i="1"/>
  <c r="C188" i="20"/>
  <c r="K184" i="49"/>
  <c r="C300" i="49"/>
  <c r="AC333" i="1"/>
  <c r="AB333" i="1"/>
  <c r="C295" i="20" s="1"/>
  <c r="AE333" i="1"/>
  <c r="AD333" i="1"/>
  <c r="AE255" i="1"/>
  <c r="AB255" i="1"/>
  <c r="AD255" i="1"/>
  <c r="AC255" i="1"/>
  <c r="AE47" i="1"/>
  <c r="AC47" i="1"/>
  <c r="AD47" i="1"/>
  <c r="AB47" i="1"/>
  <c r="AC56" i="1"/>
  <c r="AE56" i="1"/>
  <c r="AD56" i="1"/>
  <c r="AB56" i="1"/>
  <c r="AE55" i="1"/>
  <c r="AD55" i="1"/>
  <c r="AB55" i="1"/>
  <c r="AC55" i="1"/>
  <c r="AF30" i="1"/>
  <c r="AG297" i="1"/>
  <c r="AG299" i="1"/>
  <c r="AG298" i="1"/>
  <c r="AG303" i="1"/>
  <c r="AG300" i="1"/>
  <c r="AI300" i="1" s="1"/>
  <c r="C67" i="37"/>
  <c r="D67" i="37" s="1"/>
  <c r="S245" i="1" s="1"/>
  <c r="C69" i="37"/>
  <c r="D69" i="37" s="1"/>
  <c r="S246" i="1" s="1"/>
  <c r="AC82" i="1"/>
  <c r="AB82" i="1"/>
  <c r="AD82" i="1"/>
  <c r="AF235" i="1"/>
  <c r="C204" i="49" s="1"/>
  <c r="K204" i="49" s="1"/>
  <c r="U30" i="31"/>
  <c r="H162" i="1" s="1"/>
  <c r="C16" i="20"/>
  <c r="AE136" i="1"/>
  <c r="AB290" i="1"/>
  <c r="C302" i="20"/>
  <c r="AF127" i="1"/>
  <c r="C113" i="49" s="1"/>
  <c r="K113" i="49" s="1"/>
  <c r="D225" i="1"/>
  <c r="AF96" i="1"/>
  <c r="C85" i="49" s="1"/>
  <c r="AF108" i="1"/>
  <c r="C95" i="49" s="1"/>
  <c r="AF117" i="1"/>
  <c r="C103" i="49" s="1"/>
  <c r="AF118" i="1"/>
  <c r="C104" i="49" s="1"/>
  <c r="AF182" i="1"/>
  <c r="C157" i="49" s="1"/>
  <c r="K157" i="49" s="1"/>
  <c r="AF192" i="1"/>
  <c r="C166" i="49" s="1"/>
  <c r="AF196" i="1"/>
  <c r="C170" i="49" s="1"/>
  <c r="AI212" i="1"/>
  <c r="AG310" i="1"/>
  <c r="AF54" i="1"/>
  <c r="C49" i="49" s="1"/>
  <c r="C30" i="50" s="1"/>
  <c r="AF80" i="1"/>
  <c r="C71" i="49" s="1"/>
  <c r="AF95" i="1"/>
  <c r="C84" i="49" s="1"/>
  <c r="AF98" i="1"/>
  <c r="C87" i="49" s="1"/>
  <c r="AF120" i="1"/>
  <c r="C106" i="49" s="1"/>
  <c r="AF123" i="1"/>
  <c r="C109" i="49" s="1"/>
  <c r="K109" i="49" s="1"/>
  <c r="AF124" i="1"/>
  <c r="C110" i="49" s="1"/>
  <c r="AF175" i="1"/>
  <c r="C151" i="49" s="1"/>
  <c r="AF195" i="1"/>
  <c r="C169" i="49" s="1"/>
  <c r="AF208" i="1"/>
  <c r="C180" i="49" s="1"/>
  <c r="AF209" i="1"/>
  <c r="C181" i="49" s="1"/>
  <c r="AG273" i="1"/>
  <c r="AF297" i="1"/>
  <c r="C261" i="49" s="1"/>
  <c r="K261" i="49" s="1"/>
  <c r="AF62" i="1"/>
  <c r="C56" i="49" s="1"/>
  <c r="K56" i="49" s="1"/>
  <c r="AF81" i="1"/>
  <c r="C72" i="49" s="1"/>
  <c r="AF97" i="1"/>
  <c r="C86" i="49" s="1"/>
  <c r="AF109" i="1"/>
  <c r="C96" i="49" s="1"/>
  <c r="AF174" i="1"/>
  <c r="C150" i="49" s="1"/>
  <c r="AF184" i="1"/>
  <c r="C159" i="49" s="1"/>
  <c r="AF191" i="1"/>
  <c r="C165" i="49" s="1"/>
  <c r="AF194" i="1"/>
  <c r="C168" i="49" s="1"/>
  <c r="K168" i="49" s="1"/>
  <c r="AF229" i="1"/>
  <c r="C199" i="49" s="1"/>
  <c r="AF272" i="1"/>
  <c r="C237" i="49" s="1"/>
  <c r="C285" i="49"/>
  <c r="K285" i="49" s="1"/>
  <c r="AF336" i="1"/>
  <c r="C294" i="49" s="1"/>
  <c r="E294" i="49" s="1"/>
  <c r="G294" i="49" s="1"/>
  <c r="K294" i="49" s="1"/>
  <c r="AI20" i="1"/>
  <c r="AF68" i="1"/>
  <c r="C61" i="49" s="1"/>
  <c r="K61" i="49" s="1"/>
  <c r="AF121" i="1"/>
  <c r="C107" i="49" s="1"/>
  <c r="AF143" i="1"/>
  <c r="C126" i="49" s="1"/>
  <c r="K126" i="49" s="1"/>
  <c r="AF183" i="1"/>
  <c r="C158" i="49" s="1"/>
  <c r="AF190" i="1"/>
  <c r="C164" i="49" s="1"/>
  <c r="AF193" i="1"/>
  <c r="C167" i="49" s="1"/>
  <c r="AF207" i="1"/>
  <c r="C179" i="49" s="1"/>
  <c r="K179" i="49" s="1"/>
  <c r="AF228" i="1"/>
  <c r="C198" i="49" s="1"/>
  <c r="AF271" i="1"/>
  <c r="C236" i="49" s="1"/>
  <c r="AG272" i="1"/>
  <c r="AG274" i="1"/>
  <c r="AF298" i="1"/>
  <c r="C262" i="49" s="1"/>
  <c r="K262" i="49" s="1"/>
  <c r="AF303" i="1"/>
  <c r="C266" i="49" s="1"/>
  <c r="K266" i="49" s="1"/>
  <c r="C123" i="20"/>
  <c r="J123" i="20" s="1"/>
  <c r="AB169" i="1"/>
  <c r="AB137" i="1"/>
  <c r="C124" i="20"/>
  <c r="J124" i="20" s="1"/>
  <c r="C276" i="20"/>
  <c r="J276" i="20" s="1"/>
  <c r="C228" i="20"/>
  <c r="J228" i="20" s="1"/>
  <c r="AF87" i="1"/>
  <c r="C77" i="49" s="1"/>
  <c r="K77" i="49" s="1"/>
  <c r="D348" i="1"/>
  <c r="E348" i="1"/>
  <c r="C343" i="1"/>
  <c r="D343" i="1"/>
  <c r="E343" i="1"/>
  <c r="D338" i="1"/>
  <c r="E338" i="1"/>
  <c r="C338" i="1"/>
  <c r="D328" i="1"/>
  <c r="E328" i="1"/>
  <c r="C328" i="1"/>
  <c r="C323" i="1"/>
  <c r="D323" i="1"/>
  <c r="E323" i="1"/>
  <c r="E317" i="1"/>
  <c r="C306" i="1"/>
  <c r="C317" i="1"/>
  <c r="D317" i="1"/>
  <c r="C312" i="1"/>
  <c r="D312" i="1"/>
  <c r="E312" i="1"/>
  <c r="E306" i="1"/>
  <c r="D306" i="1"/>
  <c r="AE268" i="1"/>
  <c r="C292" i="1"/>
  <c r="AF268" i="1"/>
  <c r="C233" i="49" s="1"/>
  <c r="D292" i="1"/>
  <c r="E292" i="1"/>
  <c r="C265" i="1"/>
  <c r="E265" i="1"/>
  <c r="E260" i="1"/>
  <c r="C260" i="1"/>
  <c r="D260" i="1"/>
  <c r="E249" i="1"/>
  <c r="C63" i="37"/>
  <c r="C249" i="1"/>
  <c r="D249" i="1"/>
  <c r="C239" i="1"/>
  <c r="AF234" i="1"/>
  <c r="C203" i="49" s="1"/>
  <c r="D239" i="1"/>
  <c r="AG234" i="1"/>
  <c r="E239" i="1"/>
  <c r="D231" i="1"/>
  <c r="E231" i="1"/>
  <c r="C231" i="1"/>
  <c r="C225" i="1"/>
  <c r="E225" i="1"/>
  <c r="C220" i="1"/>
  <c r="AF206" i="1"/>
  <c r="C178" i="49" s="1"/>
  <c r="K178" i="49" s="1"/>
  <c r="D220" i="1"/>
  <c r="E220" i="1"/>
  <c r="D203" i="1"/>
  <c r="E198" i="1"/>
  <c r="C198" i="1"/>
  <c r="D198" i="1"/>
  <c r="E186" i="1"/>
  <c r="C186" i="1"/>
  <c r="D186" i="1"/>
  <c r="D178" i="1"/>
  <c r="E178" i="1"/>
  <c r="C178" i="1"/>
  <c r="E171" i="1"/>
  <c r="C171" i="1"/>
  <c r="D171" i="1"/>
  <c r="D164" i="1"/>
  <c r="D159" i="1"/>
  <c r="E164" i="1"/>
  <c r="C159" i="1"/>
  <c r="AG148" i="1"/>
  <c r="E159" i="1"/>
  <c r="E145" i="1"/>
  <c r="C145" i="1"/>
  <c r="D145" i="1"/>
  <c r="D139" i="1"/>
  <c r="E139" i="1"/>
  <c r="C139" i="1"/>
  <c r="D129" i="1"/>
  <c r="E129" i="1"/>
  <c r="AE116" i="1"/>
  <c r="C129" i="1"/>
  <c r="E113" i="1"/>
  <c r="C113" i="1"/>
  <c r="D113" i="1"/>
  <c r="D105" i="1"/>
  <c r="E105" i="1"/>
  <c r="C105" i="1"/>
  <c r="C100" i="1"/>
  <c r="D100" i="1"/>
  <c r="Z94" i="1"/>
  <c r="E100" i="1"/>
  <c r="C91" i="1"/>
  <c r="D84" i="1"/>
  <c r="E84" i="1"/>
  <c r="C84" i="1"/>
  <c r="E75" i="1"/>
  <c r="E70" i="1"/>
  <c r="C70" i="1"/>
  <c r="D70" i="1"/>
  <c r="C64" i="1"/>
  <c r="D64" i="1"/>
  <c r="E64" i="1"/>
  <c r="D58" i="1"/>
  <c r="E58" i="1"/>
  <c r="C58" i="1"/>
  <c r="Z45" i="1"/>
  <c r="E49" i="1"/>
  <c r="C49" i="1"/>
  <c r="Y45" i="1"/>
  <c r="D49" i="1"/>
  <c r="D32" i="1"/>
  <c r="C32" i="1"/>
  <c r="E32" i="1"/>
  <c r="C24" i="1"/>
  <c r="E24" i="1"/>
  <c r="D24" i="1"/>
  <c r="AF150" i="1"/>
  <c r="C132" i="49" s="1"/>
  <c r="K132" i="49" s="1"/>
  <c r="AE150" i="1"/>
  <c r="AF149" i="1"/>
  <c r="C131" i="49" s="1"/>
  <c r="K131" i="49" s="1"/>
  <c r="AE149" i="1"/>
  <c r="AE152" i="1"/>
  <c r="AF152" i="1"/>
  <c r="C134" i="49" s="1"/>
  <c r="K134" i="49" s="1"/>
  <c r="H49" i="1"/>
  <c r="AE151" i="1"/>
  <c r="AF151" i="1"/>
  <c r="C133" i="49" s="1"/>
  <c r="K133" i="49" s="1"/>
  <c r="G240" i="49" l="1"/>
  <c r="K240" i="49" s="1"/>
  <c r="G246" i="49"/>
  <c r="K246" i="49" s="1"/>
  <c r="E159" i="49"/>
  <c r="G159" i="49" s="1"/>
  <c r="K159" i="49" s="1"/>
  <c r="E72" i="49"/>
  <c r="G72" i="49" s="1"/>
  <c r="K72" i="49" s="1"/>
  <c r="F110" i="49"/>
  <c r="E110" i="49"/>
  <c r="I235" i="49"/>
  <c r="H235" i="49"/>
  <c r="I244" i="49"/>
  <c r="H244" i="49"/>
  <c r="E236" i="49"/>
  <c r="F236" i="49"/>
  <c r="F71" i="49"/>
  <c r="E71" i="49"/>
  <c r="G235" i="49"/>
  <c r="K235" i="49" s="1"/>
  <c r="I51" i="49"/>
  <c r="H51" i="49"/>
  <c r="G51" i="49"/>
  <c r="K51" i="49" s="1"/>
  <c r="I248" i="49"/>
  <c r="H248" i="49"/>
  <c r="G244" i="49"/>
  <c r="K244" i="49" s="1"/>
  <c r="I246" i="49"/>
  <c r="H246" i="49"/>
  <c r="I253" i="49"/>
  <c r="H253" i="49"/>
  <c r="E96" i="49"/>
  <c r="G96" i="49" s="1"/>
  <c r="K96" i="49" s="1"/>
  <c r="H298" i="49"/>
  <c r="I298" i="49"/>
  <c r="I300" i="49" s="1"/>
  <c r="G298" i="49"/>
  <c r="F300" i="49"/>
  <c r="G248" i="49"/>
  <c r="K248" i="49" s="1"/>
  <c r="G253" i="49"/>
  <c r="K253" i="49" s="1"/>
  <c r="I112" i="49"/>
  <c r="H112" i="49"/>
  <c r="G112" i="49"/>
  <c r="K112" i="49" s="1"/>
  <c r="H50" i="49"/>
  <c r="I50" i="49"/>
  <c r="G50" i="49"/>
  <c r="K50" i="49" s="1"/>
  <c r="I240" i="49"/>
  <c r="H240" i="49"/>
  <c r="H20" i="49"/>
  <c r="I20" i="49"/>
  <c r="I23" i="49" s="1"/>
  <c r="F23" i="49"/>
  <c r="G20" i="49"/>
  <c r="K20" i="49" s="1"/>
  <c r="H23" i="49"/>
  <c r="E295" i="20"/>
  <c r="G295" i="20"/>
  <c r="F295" i="20"/>
  <c r="G188" i="20"/>
  <c r="F188" i="20"/>
  <c r="E188" i="20"/>
  <c r="E16" i="20"/>
  <c r="H16" i="20" s="1"/>
  <c r="G183" i="49"/>
  <c r="K183" i="49" s="1"/>
  <c r="G48" i="49"/>
  <c r="K48" i="49" s="1"/>
  <c r="G97" i="49"/>
  <c r="K97" i="49" s="1"/>
  <c r="E198" i="49"/>
  <c r="E158" i="49"/>
  <c r="F158" i="49"/>
  <c r="F199" i="49"/>
  <c r="E199" i="49" s="1"/>
  <c r="G199" i="49" s="1"/>
  <c r="K199" i="49" s="1"/>
  <c r="E150" i="49"/>
  <c r="F150" i="49"/>
  <c r="F180" i="49"/>
  <c r="E170" i="49"/>
  <c r="G170" i="49" s="1"/>
  <c r="K170" i="49" s="1"/>
  <c r="F103" i="49"/>
  <c r="H105" i="49"/>
  <c r="L105" i="49" s="1"/>
  <c r="G105" i="49"/>
  <c r="K105" i="49" s="1"/>
  <c r="H97" i="49"/>
  <c r="I97" i="49"/>
  <c r="I100" i="49" s="1"/>
  <c r="F100" i="49"/>
  <c r="E169" i="49"/>
  <c r="G169" i="49" s="1"/>
  <c r="K169" i="49" s="1"/>
  <c r="E95" i="49"/>
  <c r="E167" i="49"/>
  <c r="G167" i="49" s="1"/>
  <c r="K167" i="49" s="1"/>
  <c r="F107" i="49"/>
  <c r="E107" i="49"/>
  <c r="E165" i="49"/>
  <c r="G165" i="49" s="1"/>
  <c r="K165" i="49" s="1"/>
  <c r="F86" i="49"/>
  <c r="E86" i="49"/>
  <c r="F151" i="49"/>
  <c r="E151" i="49"/>
  <c r="F87" i="49"/>
  <c r="E87" i="49"/>
  <c r="E85" i="49"/>
  <c r="F85" i="49"/>
  <c r="G119" i="49"/>
  <c r="E123" i="49"/>
  <c r="F203" i="49"/>
  <c r="E203" i="49"/>
  <c r="E106" i="49"/>
  <c r="F106" i="49"/>
  <c r="E166" i="49"/>
  <c r="G166" i="49" s="1"/>
  <c r="K166" i="49" s="1"/>
  <c r="E164" i="49"/>
  <c r="G164" i="49" s="1"/>
  <c r="K164" i="49" s="1"/>
  <c r="E237" i="49"/>
  <c r="F237" i="49"/>
  <c r="E181" i="49"/>
  <c r="F84" i="49"/>
  <c r="E84" i="49"/>
  <c r="F104" i="49"/>
  <c r="I183" i="49"/>
  <c r="H183" i="49"/>
  <c r="E30" i="50"/>
  <c r="D30" i="50"/>
  <c r="E49" i="49" s="1"/>
  <c r="I48" i="49"/>
  <c r="H48" i="49"/>
  <c r="AK30" i="1"/>
  <c r="C28" i="49"/>
  <c r="C29" i="50" s="1"/>
  <c r="C32" i="50" s="1"/>
  <c r="C125" i="20"/>
  <c r="J125" i="20" s="1"/>
  <c r="Y46" i="1"/>
  <c r="X46" i="1"/>
  <c r="V46" i="1"/>
  <c r="X245" i="1"/>
  <c r="AA245" i="1" s="1"/>
  <c r="V245" i="1"/>
  <c r="T198" i="1"/>
  <c r="Y189" i="1"/>
  <c r="C150" i="20"/>
  <c r="Z190" i="1"/>
  <c r="AG190" i="1" s="1"/>
  <c r="Z191" i="1"/>
  <c r="AG191" i="1" s="1"/>
  <c r="X191" i="1"/>
  <c r="V191" i="1"/>
  <c r="C75" i="20"/>
  <c r="C287" i="49"/>
  <c r="Z95" i="1"/>
  <c r="AG95" i="1" s="1"/>
  <c r="X190" i="1"/>
  <c r="V190" i="1"/>
  <c r="N162" i="1"/>
  <c r="L162" i="1"/>
  <c r="T100" i="1"/>
  <c r="Y94" i="1"/>
  <c r="Z46" i="1"/>
  <c r="AG46" i="1" s="1"/>
  <c r="V95" i="1"/>
  <c r="X95" i="1"/>
  <c r="C259" i="20"/>
  <c r="X246" i="1"/>
  <c r="AA246" i="1" s="1"/>
  <c r="V246" i="1"/>
  <c r="E26" i="1"/>
  <c r="D33" i="31"/>
  <c r="D35" i="31" s="1"/>
  <c r="D38" i="31" s="1"/>
  <c r="J201" i="1" s="1"/>
  <c r="P201" i="1" s="1"/>
  <c r="Z201" i="1" s="1"/>
  <c r="D26" i="1"/>
  <c r="C33" i="31"/>
  <c r="C35" i="31" s="1"/>
  <c r="C38" i="31" s="1"/>
  <c r="I201" i="1" s="1"/>
  <c r="O201" i="1" s="1"/>
  <c r="Y201" i="1" s="1"/>
  <c r="C26" i="1"/>
  <c r="B33" i="31"/>
  <c r="AE143" i="1"/>
  <c r="AB143" i="1"/>
  <c r="AE139" i="1"/>
  <c r="H132" i="1"/>
  <c r="D63" i="37"/>
  <c r="AF176" i="1"/>
  <c r="C152" i="49" s="1"/>
  <c r="K152" i="49" s="1"/>
  <c r="AI17" i="1"/>
  <c r="AB30" i="31"/>
  <c r="U59" i="31"/>
  <c r="T49" i="1"/>
  <c r="AI157" i="1"/>
  <c r="AI277" i="1"/>
  <c r="AI153" i="1"/>
  <c r="U100" i="1"/>
  <c r="AI82" i="1"/>
  <c r="AI341" i="1"/>
  <c r="U49" i="1"/>
  <c r="T88" i="1"/>
  <c r="U88" i="1"/>
  <c r="Z88" i="1" s="1"/>
  <c r="AB312" i="1"/>
  <c r="AB286" i="1"/>
  <c r="AI137" i="1"/>
  <c r="AI169" i="1"/>
  <c r="AI136" i="1"/>
  <c r="AI135" i="1"/>
  <c r="O58" i="1"/>
  <c r="P100" i="1"/>
  <c r="O225" i="1"/>
  <c r="P49" i="1"/>
  <c r="P58" i="1"/>
  <c r="P64" i="1"/>
  <c r="P75" i="1"/>
  <c r="O100" i="1"/>
  <c r="O171" i="1"/>
  <c r="P171" i="1"/>
  <c r="Z171" i="1"/>
  <c r="P178" i="1"/>
  <c r="Z178" i="1"/>
  <c r="O186" i="1"/>
  <c r="P186" i="1"/>
  <c r="P225" i="1"/>
  <c r="O231" i="1"/>
  <c r="P265" i="1"/>
  <c r="O306" i="1"/>
  <c r="P312" i="1"/>
  <c r="O24" i="1"/>
  <c r="O49" i="1"/>
  <c r="P105" i="1"/>
  <c r="O113" i="1"/>
  <c r="Y113" i="1"/>
  <c r="P113" i="1"/>
  <c r="Z113" i="1"/>
  <c r="P129" i="1"/>
  <c r="O139" i="1"/>
  <c r="AF132" i="1"/>
  <c r="C117" i="49" s="1"/>
  <c r="K117" i="49" s="1"/>
  <c r="P323" i="1"/>
  <c r="P328" i="1"/>
  <c r="O343" i="1"/>
  <c r="P348" i="1"/>
  <c r="Z348" i="1"/>
  <c r="P70" i="1"/>
  <c r="AG67" i="1"/>
  <c r="O164" i="1"/>
  <c r="O178" i="1"/>
  <c r="P231" i="1"/>
  <c r="O265" i="1"/>
  <c r="P292" i="1"/>
  <c r="P306" i="1"/>
  <c r="Z306" i="1"/>
  <c r="O312" i="1"/>
  <c r="O317" i="1"/>
  <c r="O348" i="1"/>
  <c r="Y348" i="1"/>
  <c r="O64" i="1"/>
  <c r="O70" i="1"/>
  <c r="AF67" i="1"/>
  <c r="C60" i="49" s="1"/>
  <c r="K60" i="49" s="1"/>
  <c r="O75" i="1"/>
  <c r="P145" i="1"/>
  <c r="AF189" i="1"/>
  <c r="C163" i="49" s="1"/>
  <c r="P220" i="1"/>
  <c r="P24" i="1"/>
  <c r="P32" i="1"/>
  <c r="O32" i="1"/>
  <c r="AF29" i="1"/>
  <c r="C27" i="49" s="1"/>
  <c r="O105" i="1"/>
  <c r="O129" i="1"/>
  <c r="P139" i="1"/>
  <c r="O145" i="1"/>
  <c r="P164" i="1"/>
  <c r="P317" i="1"/>
  <c r="O323" i="1"/>
  <c r="O328" i="1"/>
  <c r="P343" i="1"/>
  <c r="AE118" i="1"/>
  <c r="N348" i="1"/>
  <c r="N343" i="1"/>
  <c r="N328" i="1"/>
  <c r="N323" i="1"/>
  <c r="N317" i="1"/>
  <c r="N312" i="1"/>
  <c r="AE309" i="1"/>
  <c r="N265" i="1"/>
  <c r="N231" i="1"/>
  <c r="N225" i="1"/>
  <c r="N186" i="1"/>
  <c r="N178" i="1"/>
  <c r="N171" i="1"/>
  <c r="N113" i="1"/>
  <c r="N105" i="1"/>
  <c r="N75" i="1"/>
  <c r="N70" i="1"/>
  <c r="N64" i="1"/>
  <c r="N32" i="1"/>
  <c r="P198" i="1"/>
  <c r="O198" i="1"/>
  <c r="N198" i="1"/>
  <c r="I292" i="1"/>
  <c r="H292" i="1"/>
  <c r="I220" i="1"/>
  <c r="H164" i="1"/>
  <c r="I159" i="1"/>
  <c r="P159" i="1"/>
  <c r="H159" i="1"/>
  <c r="AE119" i="1"/>
  <c r="H129" i="1"/>
  <c r="H100" i="1"/>
  <c r="E75" i="20" l="1"/>
  <c r="F75" i="20"/>
  <c r="G75" i="20"/>
  <c r="L112" i="49"/>
  <c r="L240" i="49"/>
  <c r="L20" i="49"/>
  <c r="L248" i="49"/>
  <c r="L253" i="49"/>
  <c r="L51" i="49"/>
  <c r="L50" i="49"/>
  <c r="L246" i="49"/>
  <c r="E27" i="49"/>
  <c r="F27" i="49"/>
  <c r="I71" i="49"/>
  <c r="H71" i="49"/>
  <c r="H300" i="49"/>
  <c r="L298" i="49"/>
  <c r="L244" i="49"/>
  <c r="G110" i="49"/>
  <c r="K110" i="49" s="1"/>
  <c r="I236" i="49"/>
  <c r="H236" i="49"/>
  <c r="I110" i="49"/>
  <c r="H110" i="49"/>
  <c r="G300" i="49"/>
  <c r="K298" i="49"/>
  <c r="G71" i="49"/>
  <c r="K71" i="49" s="1"/>
  <c r="G236" i="49"/>
  <c r="K236" i="49" s="1"/>
  <c r="L235" i="49"/>
  <c r="Y88" i="1"/>
  <c r="AF88" i="1" s="1"/>
  <c r="C78" i="49" s="1"/>
  <c r="K78" i="49" s="1"/>
  <c r="I24" i="49"/>
  <c r="H24" i="49"/>
  <c r="AA191" i="1"/>
  <c r="H188" i="20"/>
  <c r="J188" i="20" s="1"/>
  <c r="H295" i="20"/>
  <c r="J295" i="20" s="1"/>
  <c r="G150" i="20"/>
  <c r="F150" i="20"/>
  <c r="E150" i="20"/>
  <c r="G84" i="49"/>
  <c r="K84" i="49" s="1"/>
  <c r="G87" i="49"/>
  <c r="K87" i="49" s="1"/>
  <c r="L183" i="49"/>
  <c r="G151" i="49"/>
  <c r="K151" i="49" s="1"/>
  <c r="G107" i="49"/>
  <c r="K107" i="49" s="1"/>
  <c r="G203" i="49"/>
  <c r="H86" i="49"/>
  <c r="I86" i="49"/>
  <c r="H150" i="49"/>
  <c r="I150" i="49"/>
  <c r="F154" i="49"/>
  <c r="H104" i="49"/>
  <c r="L104" i="49" s="1"/>
  <c r="G104" i="49"/>
  <c r="K104" i="49" s="1"/>
  <c r="G237" i="49"/>
  <c r="E257" i="49"/>
  <c r="G85" i="49"/>
  <c r="K85" i="49" s="1"/>
  <c r="G86" i="49"/>
  <c r="K86" i="49" s="1"/>
  <c r="H100" i="49"/>
  <c r="L97" i="49"/>
  <c r="G158" i="49"/>
  <c r="E161" i="49"/>
  <c r="G181" i="49"/>
  <c r="K181" i="49" s="1"/>
  <c r="E192" i="49"/>
  <c r="H199" i="49"/>
  <c r="I199" i="49"/>
  <c r="I201" i="49" s="1"/>
  <c r="F201" i="49"/>
  <c r="H106" i="49"/>
  <c r="I106" i="49"/>
  <c r="I203" i="49"/>
  <c r="I208" i="49" s="1"/>
  <c r="H203" i="49"/>
  <c r="F208" i="49"/>
  <c r="H151" i="49"/>
  <c r="I151" i="49"/>
  <c r="H107" i="49"/>
  <c r="I107" i="49"/>
  <c r="G95" i="49"/>
  <c r="E100" i="49"/>
  <c r="G150" i="49"/>
  <c r="E154" i="49"/>
  <c r="G198" i="49"/>
  <c r="E201" i="49"/>
  <c r="G123" i="49"/>
  <c r="K119" i="49"/>
  <c r="E163" i="49"/>
  <c r="H84" i="49"/>
  <c r="I84" i="49"/>
  <c r="H237" i="49"/>
  <c r="I237" i="49"/>
  <c r="F257" i="49"/>
  <c r="G106" i="49"/>
  <c r="H85" i="49"/>
  <c r="I85" i="49"/>
  <c r="H87" i="49"/>
  <c r="I87" i="49"/>
  <c r="G103" i="49"/>
  <c r="K103" i="49" s="1"/>
  <c r="H103" i="49"/>
  <c r="L103" i="49" s="1"/>
  <c r="F115" i="49"/>
  <c r="G180" i="49"/>
  <c r="I180" i="49"/>
  <c r="I192" i="49" s="1"/>
  <c r="H180" i="49"/>
  <c r="F192" i="49"/>
  <c r="I158" i="49"/>
  <c r="I161" i="49" s="1"/>
  <c r="H158" i="49"/>
  <c r="F161" i="49"/>
  <c r="L48" i="49"/>
  <c r="H30" i="50"/>
  <c r="G30" i="50"/>
  <c r="F49" i="49"/>
  <c r="G49" i="49" s="1"/>
  <c r="E29" i="50"/>
  <c r="D29" i="50"/>
  <c r="AA46" i="1"/>
  <c r="X189" i="1"/>
  <c r="V189" i="1"/>
  <c r="V198" i="1" s="1"/>
  <c r="AF46" i="1"/>
  <c r="C42" i="49" s="1"/>
  <c r="K42" i="49" s="1"/>
  <c r="V45" i="1"/>
  <c r="V49" i="1" s="1"/>
  <c r="X45" i="1"/>
  <c r="AA45" i="1" s="1"/>
  <c r="C255" i="20"/>
  <c r="U198" i="1"/>
  <c r="Z189" i="1"/>
  <c r="AG189" i="1" s="1"/>
  <c r="Q162" i="1"/>
  <c r="X162" i="1"/>
  <c r="AA162" i="1" s="1"/>
  <c r="V94" i="1"/>
  <c r="V100" i="1" s="1"/>
  <c r="X94" i="1"/>
  <c r="AA94" i="1" s="1"/>
  <c r="V88" i="1"/>
  <c r="V91" i="1" s="1"/>
  <c r="X88" i="1"/>
  <c r="AA88" i="1" s="1"/>
  <c r="AA95" i="1"/>
  <c r="AA190" i="1"/>
  <c r="N133" i="1"/>
  <c r="L133" i="1"/>
  <c r="AD245" i="1"/>
  <c r="AE245" i="1"/>
  <c r="AC245" i="1"/>
  <c r="AB245" i="1"/>
  <c r="Z328" i="1"/>
  <c r="Z49" i="1"/>
  <c r="AG45" i="1"/>
  <c r="AG49" i="1" s="1"/>
  <c r="Y49" i="1"/>
  <c r="AF45" i="1"/>
  <c r="C41" i="49" s="1"/>
  <c r="K41" i="49" s="1"/>
  <c r="AE46" i="1"/>
  <c r="AD46" i="1"/>
  <c r="AB46" i="1"/>
  <c r="AC46" i="1"/>
  <c r="X171" i="1"/>
  <c r="AE167" i="1"/>
  <c r="Z317" i="1"/>
  <c r="AG315" i="1"/>
  <c r="Y317" i="1"/>
  <c r="AF315" i="1"/>
  <c r="C276" i="49" s="1"/>
  <c r="Y32" i="1"/>
  <c r="AK29" i="1"/>
  <c r="Z32" i="1"/>
  <c r="S242" i="1"/>
  <c r="Y225" i="1"/>
  <c r="AF223" i="1"/>
  <c r="Z312" i="1"/>
  <c r="AG309" i="1"/>
  <c r="AG312" i="1" s="1"/>
  <c r="Z225" i="1"/>
  <c r="AG223" i="1"/>
  <c r="AG225" i="1" s="1"/>
  <c r="Y306" i="1"/>
  <c r="AF295" i="1"/>
  <c r="C259" i="49" s="1"/>
  <c r="Y312" i="1"/>
  <c r="AF309" i="1"/>
  <c r="X225" i="1"/>
  <c r="AE223" i="1"/>
  <c r="AE225" i="1" s="1"/>
  <c r="Y292" i="1"/>
  <c r="AF273" i="1"/>
  <c r="C238" i="49" s="1"/>
  <c r="K238" i="49" s="1"/>
  <c r="Z164" i="1"/>
  <c r="AG162" i="1"/>
  <c r="AG164" i="1" s="1"/>
  <c r="Y265" i="1"/>
  <c r="AF263" i="1"/>
  <c r="Y164" i="1"/>
  <c r="AF162" i="1"/>
  <c r="AI310" i="1"/>
  <c r="Y231" i="1"/>
  <c r="AF231" i="1"/>
  <c r="AG206" i="1"/>
  <c r="Z231" i="1"/>
  <c r="Z145" i="1"/>
  <c r="Z343" i="1"/>
  <c r="AF343" i="1"/>
  <c r="Y145" i="1"/>
  <c r="Z292" i="1"/>
  <c r="AG268" i="1"/>
  <c r="AI268" i="1" s="1"/>
  <c r="Z70" i="1"/>
  <c r="Y343" i="1"/>
  <c r="AE343" i="1"/>
  <c r="Y70" i="1"/>
  <c r="AF70" i="1"/>
  <c r="Y328" i="1"/>
  <c r="T91" i="1"/>
  <c r="Z24" i="1"/>
  <c r="AG19" i="1"/>
  <c r="S100" i="1"/>
  <c r="S198" i="1"/>
  <c r="U91" i="1"/>
  <c r="X198" i="1"/>
  <c r="Z91" i="1"/>
  <c r="S91" i="1"/>
  <c r="S49" i="1"/>
  <c r="Z220" i="1"/>
  <c r="AF331" i="1"/>
  <c r="C289" i="49" s="1"/>
  <c r="Z129" i="1"/>
  <c r="AG116" i="1"/>
  <c r="Z265" i="1"/>
  <c r="AG263" i="1"/>
  <c r="AF242" i="1"/>
  <c r="C210" i="49" s="1"/>
  <c r="Z186" i="1"/>
  <c r="AG181" i="1"/>
  <c r="AG331" i="1"/>
  <c r="Z139" i="1"/>
  <c r="AG132" i="1"/>
  <c r="Y105" i="1"/>
  <c r="AF103" i="1"/>
  <c r="AG252" i="1"/>
  <c r="Y178" i="1"/>
  <c r="Z64" i="1"/>
  <c r="AG61" i="1"/>
  <c r="AF252" i="1"/>
  <c r="C219" i="49" s="1"/>
  <c r="Y198" i="1"/>
  <c r="AF198" i="1"/>
  <c r="Y139" i="1"/>
  <c r="AF139" i="1"/>
  <c r="Z105" i="1"/>
  <c r="AG103" i="1"/>
  <c r="AG242" i="1"/>
  <c r="Y186" i="1"/>
  <c r="AF181" i="1"/>
  <c r="Y129" i="1"/>
  <c r="AF116" i="1"/>
  <c r="C102" i="49" s="1"/>
  <c r="Z75" i="1"/>
  <c r="AG73" i="1"/>
  <c r="Z58" i="1"/>
  <c r="AG52" i="1"/>
  <c r="Y100" i="1"/>
  <c r="AF94" i="1"/>
  <c r="Z100" i="1"/>
  <c r="AG94" i="1"/>
  <c r="Y75" i="1"/>
  <c r="AF73" i="1"/>
  <c r="Y64" i="1"/>
  <c r="AF61" i="1"/>
  <c r="Y58" i="1"/>
  <c r="AF52" i="1"/>
  <c r="C47" i="49" s="1"/>
  <c r="E47" i="49" s="1"/>
  <c r="AF18" i="1"/>
  <c r="C17" i="49" s="1"/>
  <c r="Y24" i="1"/>
  <c r="Z323" i="1"/>
  <c r="AG320" i="1"/>
  <c r="Y323" i="1"/>
  <c r="AF320" i="1"/>
  <c r="AI286" i="1"/>
  <c r="X323" i="1"/>
  <c r="X186" i="1"/>
  <c r="X178" i="1"/>
  <c r="X64" i="1"/>
  <c r="X75" i="1"/>
  <c r="X105" i="1"/>
  <c r="X265" i="1"/>
  <c r="AI151" i="1"/>
  <c r="AI150" i="1"/>
  <c r="AI149" i="1"/>
  <c r="AI152" i="1"/>
  <c r="O220" i="1"/>
  <c r="Y220" i="1"/>
  <c r="Z159" i="1"/>
  <c r="AF167" i="1"/>
  <c r="Y171" i="1"/>
  <c r="X32" i="1"/>
  <c r="X348" i="1"/>
  <c r="AG343" i="1"/>
  <c r="X343" i="1"/>
  <c r="X328" i="1"/>
  <c r="X317" i="1"/>
  <c r="X312" i="1"/>
  <c r="X231" i="1"/>
  <c r="X129" i="1"/>
  <c r="X113" i="1"/>
  <c r="X70" i="1"/>
  <c r="C108" i="20"/>
  <c r="J108" i="20" s="1"/>
  <c r="C148" i="20"/>
  <c r="J148" i="20" s="1"/>
  <c r="N220" i="1"/>
  <c r="N164" i="1"/>
  <c r="N159" i="1"/>
  <c r="AE148" i="1"/>
  <c r="O159" i="1"/>
  <c r="N100" i="1"/>
  <c r="N49" i="1"/>
  <c r="O292" i="1"/>
  <c r="N129" i="1"/>
  <c r="N292" i="1"/>
  <c r="I257" i="49" l="1"/>
  <c r="L236" i="49"/>
  <c r="H27" i="49"/>
  <c r="I27" i="49"/>
  <c r="G27" i="49"/>
  <c r="K27" i="49" s="1"/>
  <c r="L110" i="49"/>
  <c r="L71" i="49"/>
  <c r="E17" i="49"/>
  <c r="C23" i="49"/>
  <c r="H150" i="20"/>
  <c r="J150" i="20" s="1"/>
  <c r="E255" i="20"/>
  <c r="G255" i="20"/>
  <c r="F255" i="20"/>
  <c r="I115" i="49"/>
  <c r="L151" i="49"/>
  <c r="L85" i="49"/>
  <c r="F289" i="49"/>
  <c r="E289" i="49"/>
  <c r="K95" i="49"/>
  <c r="G100" i="49"/>
  <c r="H201" i="49"/>
  <c r="L199" i="49"/>
  <c r="G161" i="49"/>
  <c r="K158" i="49"/>
  <c r="G192" i="49"/>
  <c r="K180" i="49"/>
  <c r="K106" i="49"/>
  <c r="H115" i="49"/>
  <c r="L106" i="49"/>
  <c r="E259" i="49"/>
  <c r="C23" i="50"/>
  <c r="D23" i="50" s="1"/>
  <c r="L87" i="49"/>
  <c r="L84" i="49"/>
  <c r="G154" i="49"/>
  <c r="K150" i="49"/>
  <c r="L107" i="49"/>
  <c r="H208" i="49"/>
  <c r="L203" i="49"/>
  <c r="G257" i="49"/>
  <c r="K237" i="49"/>
  <c r="I154" i="49"/>
  <c r="E102" i="49"/>
  <c r="H161" i="49"/>
  <c r="L158" i="49"/>
  <c r="H257" i="49"/>
  <c r="L237" i="49"/>
  <c r="G201" i="49"/>
  <c r="K198" i="49"/>
  <c r="L86" i="49"/>
  <c r="F219" i="49"/>
  <c r="E219" i="49"/>
  <c r="F210" i="49"/>
  <c r="E210" i="49"/>
  <c r="H192" i="49"/>
  <c r="L180" i="49"/>
  <c r="G163" i="49"/>
  <c r="E172" i="49"/>
  <c r="L150" i="49"/>
  <c r="H154" i="49"/>
  <c r="K203" i="49"/>
  <c r="K49" i="49"/>
  <c r="F28" i="49"/>
  <c r="F30" i="49" s="1"/>
  <c r="G29" i="50"/>
  <c r="H29" i="50"/>
  <c r="G47" i="49"/>
  <c r="K47" i="49" s="1"/>
  <c r="E53" i="49"/>
  <c r="I49" i="49"/>
  <c r="I53" i="49" s="1"/>
  <c r="H49" i="49"/>
  <c r="F53" i="49"/>
  <c r="D32" i="50"/>
  <c r="D33" i="50" s="1"/>
  <c r="E28" i="49"/>
  <c r="E32" i="50"/>
  <c r="E33" i="50" s="1"/>
  <c r="AF171" i="1"/>
  <c r="C144" i="49"/>
  <c r="K144" i="49" s="1"/>
  <c r="AF145" i="1"/>
  <c r="C125" i="49"/>
  <c r="K125" i="49" s="1"/>
  <c r="AF265" i="1"/>
  <c r="C229" i="49"/>
  <c r="AF312" i="1"/>
  <c r="C271" i="49"/>
  <c r="K271" i="49" s="1"/>
  <c r="AF225" i="1"/>
  <c r="C194" i="49"/>
  <c r="AF323" i="1"/>
  <c r="C280" i="49"/>
  <c r="E280" i="49" s="1"/>
  <c r="AF64" i="1"/>
  <c r="C55" i="49"/>
  <c r="E55" i="49" s="1"/>
  <c r="AF105" i="1"/>
  <c r="C91" i="49"/>
  <c r="AF75" i="1"/>
  <c r="C65" i="49"/>
  <c r="AF100" i="1"/>
  <c r="C83" i="49"/>
  <c r="AF186" i="1"/>
  <c r="C156" i="49"/>
  <c r="K156" i="49" s="1"/>
  <c r="AF164" i="1"/>
  <c r="C140" i="49"/>
  <c r="K140" i="49" s="1"/>
  <c r="V242" i="1"/>
  <c r="X242" i="1"/>
  <c r="AA242" i="1" s="1"/>
  <c r="AA189" i="1"/>
  <c r="AA198" i="1" s="1"/>
  <c r="Q133" i="1"/>
  <c r="X133" i="1"/>
  <c r="AA133" i="1" s="1"/>
  <c r="L132" i="1"/>
  <c r="N132" i="1"/>
  <c r="AI19" i="1"/>
  <c r="AC45" i="1"/>
  <c r="AB45" i="1"/>
  <c r="AD45" i="1"/>
  <c r="AE45" i="1"/>
  <c r="AI133" i="1"/>
  <c r="H139" i="1"/>
  <c r="Y159" i="1"/>
  <c r="AF148" i="1"/>
  <c r="AI21" i="1"/>
  <c r="C20" i="20"/>
  <c r="AF346" i="1"/>
  <c r="C278" i="20"/>
  <c r="J278" i="20" s="1"/>
  <c r="AI18" i="1"/>
  <c r="Y91" i="1"/>
  <c r="Z198" i="1"/>
  <c r="X91" i="1"/>
  <c r="AI116" i="1"/>
  <c r="AI118" i="1"/>
  <c r="X100" i="1"/>
  <c r="AA343" i="1"/>
  <c r="AA186" i="1"/>
  <c r="AA323" i="1"/>
  <c r="AA75" i="1"/>
  <c r="AA225" i="1"/>
  <c r="AA178" i="1"/>
  <c r="AA231" i="1"/>
  <c r="AA312" i="1"/>
  <c r="AA328" i="1"/>
  <c r="AA113" i="1"/>
  <c r="AA348" i="1"/>
  <c r="AA265" i="1"/>
  <c r="AA171" i="1"/>
  <c r="AA105" i="1"/>
  <c r="AA64" i="1"/>
  <c r="AA129" i="1"/>
  <c r="AI119" i="1"/>
  <c r="AA317" i="1"/>
  <c r="AA70" i="1"/>
  <c r="AA32" i="1"/>
  <c r="X292" i="1"/>
  <c r="X220" i="1"/>
  <c r="X164" i="1"/>
  <c r="C134" i="20"/>
  <c r="J134" i="20" s="1"/>
  <c r="X159" i="1"/>
  <c r="X49" i="1"/>
  <c r="AE159" i="1"/>
  <c r="F91" i="49" l="1"/>
  <c r="F65" i="49"/>
  <c r="E65" i="49"/>
  <c r="E229" i="49"/>
  <c r="L27" i="49"/>
  <c r="F24" i="49"/>
  <c r="F276" i="49" s="1"/>
  <c r="H276" i="49" s="1"/>
  <c r="G17" i="49"/>
  <c r="E23" i="49"/>
  <c r="E24" i="49" s="1"/>
  <c r="E276" i="49" s="1"/>
  <c r="H255" i="20"/>
  <c r="J255" i="20" s="1"/>
  <c r="E20" i="20"/>
  <c r="G20" i="20"/>
  <c r="F20" i="20"/>
  <c r="G53" i="49"/>
  <c r="G172" i="49"/>
  <c r="K163" i="49"/>
  <c r="G102" i="49"/>
  <c r="E115" i="49"/>
  <c r="G289" i="49"/>
  <c r="F83" i="49"/>
  <c r="E83" i="49"/>
  <c r="G210" i="49"/>
  <c r="K210" i="49" s="1"/>
  <c r="H219" i="49"/>
  <c r="I219" i="49"/>
  <c r="G259" i="49"/>
  <c r="E269" i="49"/>
  <c r="F194" i="49"/>
  <c r="E194" i="49"/>
  <c r="H210" i="49"/>
  <c r="I210" i="49"/>
  <c r="G280" i="49"/>
  <c r="E283" i="49"/>
  <c r="G219" i="49"/>
  <c r="K219" i="49" s="1"/>
  <c r="I289" i="49"/>
  <c r="H289" i="49"/>
  <c r="L49" i="49"/>
  <c r="H53" i="49"/>
  <c r="G55" i="49"/>
  <c r="E58" i="49"/>
  <c r="G32" i="50"/>
  <c r="G33" i="50" s="1"/>
  <c r="H28" i="49"/>
  <c r="H32" i="50"/>
  <c r="H33" i="50" s="1"/>
  <c r="I28" i="49"/>
  <c r="I30" i="49" s="1"/>
  <c r="G28" i="49"/>
  <c r="E30" i="49"/>
  <c r="C274" i="49"/>
  <c r="AF348" i="1"/>
  <c r="C302" i="49"/>
  <c r="E302" i="49" s="1"/>
  <c r="AF159" i="1"/>
  <c r="C130" i="49"/>
  <c r="K130" i="49" s="1"/>
  <c r="C45" i="49"/>
  <c r="Q132" i="1"/>
  <c r="X132" i="1"/>
  <c r="AD49" i="1"/>
  <c r="N139" i="1"/>
  <c r="AI346" i="1"/>
  <c r="C308" i="20"/>
  <c r="J308" i="20" s="1"/>
  <c r="AB343" i="1"/>
  <c r="AA91" i="1"/>
  <c r="AB159" i="1"/>
  <c r="AA159" i="1"/>
  <c r="AA100" i="1"/>
  <c r="AA220" i="1"/>
  <c r="AA292" i="1"/>
  <c r="AA164" i="1"/>
  <c r="AB162" i="1"/>
  <c r="AF49" i="1"/>
  <c r="AA49" i="1"/>
  <c r="I65" i="49" l="1"/>
  <c r="I67" i="49" s="1"/>
  <c r="H65" i="49"/>
  <c r="F67" i="49"/>
  <c r="G229" i="49"/>
  <c r="E231" i="49"/>
  <c r="G23" i="49"/>
  <c r="K17" i="49"/>
  <c r="I91" i="49"/>
  <c r="I93" i="49" s="1"/>
  <c r="H91" i="49"/>
  <c r="G91" i="49"/>
  <c r="F93" i="49"/>
  <c r="G65" i="49"/>
  <c r="E67" i="49"/>
  <c r="I276" i="49"/>
  <c r="I278" i="49" s="1"/>
  <c r="AA132" i="1"/>
  <c r="AA139" i="1" s="1"/>
  <c r="AB132" i="1"/>
  <c r="AD132" i="1"/>
  <c r="AC132" i="1"/>
  <c r="AC139" i="1" s="1"/>
  <c r="G276" i="49"/>
  <c r="K276" i="49" s="1"/>
  <c r="F278" i="49"/>
  <c r="E278" i="49"/>
  <c r="H20" i="20"/>
  <c r="K55" i="49"/>
  <c r="G58" i="49"/>
  <c r="L289" i="49"/>
  <c r="L210" i="49"/>
  <c r="L219" i="49"/>
  <c r="H83" i="49"/>
  <c r="I83" i="49"/>
  <c r="I89" i="49" s="1"/>
  <c r="F89" i="49"/>
  <c r="K280" i="49"/>
  <c r="G283" i="49"/>
  <c r="G194" i="49"/>
  <c r="E196" i="49"/>
  <c r="G269" i="49"/>
  <c r="K259" i="49"/>
  <c r="H278" i="49"/>
  <c r="L276" i="49"/>
  <c r="K102" i="49"/>
  <c r="G115" i="49"/>
  <c r="I194" i="49"/>
  <c r="I196" i="49" s="1"/>
  <c r="H194" i="49"/>
  <c r="F196" i="49"/>
  <c r="G83" i="49"/>
  <c r="E89" i="49"/>
  <c r="K289" i="49"/>
  <c r="G302" i="49"/>
  <c r="E304" i="49"/>
  <c r="H30" i="49"/>
  <c r="L28" i="49"/>
  <c r="G30" i="49"/>
  <c r="K28" i="49"/>
  <c r="C138" i="49"/>
  <c r="C304" i="49"/>
  <c r="C144" i="20"/>
  <c r="AD139" i="1"/>
  <c r="X139" i="1"/>
  <c r="C304" i="20"/>
  <c r="AI162" i="1"/>
  <c r="G67" i="49" l="1"/>
  <c r="K65" i="49"/>
  <c r="G231" i="49"/>
  <c r="K229" i="49"/>
  <c r="G93" i="49"/>
  <c r="K91" i="49"/>
  <c r="H67" i="49"/>
  <c r="L65" i="49"/>
  <c r="H93" i="49"/>
  <c r="L91" i="49"/>
  <c r="G278" i="49"/>
  <c r="K302" i="49"/>
  <c r="G304" i="49"/>
  <c r="G89" i="49"/>
  <c r="K83" i="49"/>
  <c r="H196" i="49"/>
  <c r="L194" i="49"/>
  <c r="G196" i="49"/>
  <c r="K194" i="49"/>
  <c r="H89" i="49"/>
  <c r="L83" i="49"/>
  <c r="C123" i="49"/>
  <c r="C142" i="49"/>
  <c r="C120" i="20"/>
  <c r="AB139" i="1"/>
  <c r="AI132" i="1"/>
  <c r="H38" i="1"/>
  <c r="I38" i="1"/>
  <c r="J38" i="1"/>
  <c r="E120" i="20" l="1"/>
  <c r="H120" i="20" s="1"/>
  <c r="J120" i="20" s="1"/>
  <c r="N38" i="1"/>
  <c r="X38" i="1" s="1"/>
  <c r="L38" i="1"/>
  <c r="P38" i="1"/>
  <c r="O38" i="1"/>
  <c r="Y38" i="1" s="1"/>
  <c r="AF38" i="1" s="1"/>
  <c r="I43" i="7"/>
  <c r="H54" i="7"/>
  <c r="H17" i="7"/>
  <c r="G17" i="7"/>
  <c r="F17" i="7"/>
  <c r="C17" i="7"/>
  <c r="C33" i="8"/>
  <c r="F35" i="8" s="1"/>
  <c r="G54" i="7"/>
  <c r="C54" i="7"/>
  <c r="F54" i="7"/>
  <c r="I15" i="7"/>
  <c r="I14" i="7"/>
  <c r="I13" i="7"/>
  <c r="I12" i="7"/>
  <c r="I11" i="7"/>
  <c r="I9" i="7"/>
  <c r="I8" i="7"/>
  <c r="I7" i="7"/>
  <c r="E187" i="7" l="1"/>
  <c r="E188" i="7" s="1"/>
  <c r="E189" i="7" s="1"/>
  <c r="F187" i="7"/>
  <c r="D187" i="7"/>
  <c r="D188" i="7" s="1"/>
  <c r="D189" i="7" s="1"/>
  <c r="G302" i="20"/>
  <c r="G304" i="20" s="1"/>
  <c r="G259" i="20"/>
  <c r="C35" i="49"/>
  <c r="Q38" i="1"/>
  <c r="Z38" i="1"/>
  <c r="H35" i="7"/>
  <c r="AG211" i="1" s="1"/>
  <c r="C35" i="7"/>
  <c r="D35" i="7"/>
  <c r="E35" i="7"/>
  <c r="F35" i="7"/>
  <c r="C23" i="7"/>
  <c r="C173" i="7" s="1"/>
  <c r="E23" i="7"/>
  <c r="D23" i="7"/>
  <c r="C62" i="7"/>
  <c r="E62" i="7"/>
  <c r="D62" i="7"/>
  <c r="F60" i="7"/>
  <c r="AE22" i="1" s="1"/>
  <c r="E60" i="7"/>
  <c r="AD22" i="1" s="1"/>
  <c r="AD24" i="1" s="1"/>
  <c r="D60" i="7"/>
  <c r="AC22" i="1" s="1"/>
  <c r="AC24" i="1" s="1"/>
  <c r="C21" i="7"/>
  <c r="C60" i="7"/>
  <c r="AB22" i="1" s="1"/>
  <c r="AB24" i="1" s="1"/>
  <c r="D58" i="7"/>
  <c r="E58" i="7"/>
  <c r="F21" i="7"/>
  <c r="E21" i="7"/>
  <c r="D21" i="7"/>
  <c r="H58" i="7"/>
  <c r="C58" i="7"/>
  <c r="F58" i="7"/>
  <c r="I54" i="7"/>
  <c r="D33" i="8"/>
  <c r="D35" i="8" s="1"/>
  <c r="I10" i="7"/>
  <c r="J91" i="1"/>
  <c r="I91" i="1"/>
  <c r="H91" i="1"/>
  <c r="AJ328" i="1"/>
  <c r="AJ306" i="1"/>
  <c r="J239" i="1"/>
  <c r="I239" i="1"/>
  <c r="H239" i="1"/>
  <c r="AI117" i="1"/>
  <c r="AH42" i="1"/>
  <c r="AH353" i="1" s="1"/>
  <c r="G187" i="7" l="1"/>
  <c r="G188" i="7" s="1"/>
  <c r="G189" i="7" s="1"/>
  <c r="F188" i="7"/>
  <c r="F189" i="7" s="1"/>
  <c r="AC62" i="1"/>
  <c r="AD62" i="1"/>
  <c r="AE62" i="1"/>
  <c r="AB62" i="1"/>
  <c r="AG271" i="1"/>
  <c r="AG280" i="1"/>
  <c r="AG281" i="1"/>
  <c r="AG30" i="1"/>
  <c r="AG282" i="1"/>
  <c r="AG218" i="1"/>
  <c r="AG270" i="1"/>
  <c r="AG284" i="1"/>
  <c r="AG236" i="1"/>
  <c r="E259" i="20"/>
  <c r="E302" i="20"/>
  <c r="AE326" i="1"/>
  <c r="I17" i="7"/>
  <c r="C19" i="7" s="1"/>
  <c r="D173" i="7"/>
  <c r="D171" i="7"/>
  <c r="AD326" i="1"/>
  <c r="AD328" i="1" s="1"/>
  <c r="AG279" i="1"/>
  <c r="AG283" i="1"/>
  <c r="AG29" i="1"/>
  <c r="E173" i="7"/>
  <c r="E171" i="7"/>
  <c r="AC326" i="1"/>
  <c r="AB326" i="1"/>
  <c r="AG229" i="1"/>
  <c r="AG326" i="1"/>
  <c r="F35" i="49"/>
  <c r="E35" i="49"/>
  <c r="AA38" i="1"/>
  <c r="AG38" i="1"/>
  <c r="AC81" i="1"/>
  <c r="AG210" i="1"/>
  <c r="AD81" i="1"/>
  <c r="AB81" i="1"/>
  <c r="AE81" i="1"/>
  <c r="V46" i="26"/>
  <c r="AD88" i="1"/>
  <c r="Y46" i="26"/>
  <c r="AG88" i="1"/>
  <c r="T46" i="26"/>
  <c r="AB88" i="1"/>
  <c r="AC272" i="1"/>
  <c r="U46" i="26"/>
  <c r="AC88" i="1"/>
  <c r="AD272" i="1"/>
  <c r="AB253" i="1"/>
  <c r="W46" i="26"/>
  <c r="AE88" i="1"/>
  <c r="AB272" i="1"/>
  <c r="AE272" i="1"/>
  <c r="AC271" i="1"/>
  <c r="AC229" i="1"/>
  <c r="AC211" i="1"/>
  <c r="AC210" i="1"/>
  <c r="AC236" i="1"/>
  <c r="AC218" i="1"/>
  <c r="AC30" i="1"/>
  <c r="AC29" i="1"/>
  <c r="AE247" i="1"/>
  <c r="AE196" i="1"/>
  <c r="AE194" i="1"/>
  <c r="AE192" i="1"/>
  <c r="AE191" i="1"/>
  <c r="AE189" i="1"/>
  <c r="AE195" i="1"/>
  <c r="AE193" i="1"/>
  <c r="AE190" i="1"/>
  <c r="AE168" i="1"/>
  <c r="AE171" i="1" s="1"/>
  <c r="AB271" i="1"/>
  <c r="AB229" i="1"/>
  <c r="AB211" i="1"/>
  <c r="AB210" i="1"/>
  <c r="AB236" i="1"/>
  <c r="AB218" i="1"/>
  <c r="AB30" i="1"/>
  <c r="AB29" i="1"/>
  <c r="AC195" i="1"/>
  <c r="AC193" i="1"/>
  <c r="AC190" i="1"/>
  <c r="AC247" i="1"/>
  <c r="AC196" i="1"/>
  <c r="AC194" i="1"/>
  <c r="AC192" i="1"/>
  <c r="AC191" i="1"/>
  <c r="AC189" i="1"/>
  <c r="AC168" i="1"/>
  <c r="AC171" i="1" s="1"/>
  <c r="AE271" i="1"/>
  <c r="AE236" i="1"/>
  <c r="AE218" i="1"/>
  <c r="AE210" i="1"/>
  <c r="AE211" i="1"/>
  <c r="AE229" i="1"/>
  <c r="AE30" i="1"/>
  <c r="AE29" i="1"/>
  <c r="AB196" i="1"/>
  <c r="AB194" i="1"/>
  <c r="C172" i="20" s="1"/>
  <c r="AB192" i="1"/>
  <c r="AB191" i="1"/>
  <c r="AB189" i="1"/>
  <c r="AB247" i="1"/>
  <c r="AB195" i="1"/>
  <c r="AB193" i="1"/>
  <c r="C171" i="20" s="1"/>
  <c r="AB190" i="1"/>
  <c r="C168" i="20" s="1"/>
  <c r="AB168" i="1"/>
  <c r="AD195" i="1"/>
  <c r="AD193" i="1"/>
  <c r="AD190" i="1"/>
  <c r="AD196" i="1"/>
  <c r="AD194" i="1"/>
  <c r="AD192" i="1"/>
  <c r="AD191" i="1"/>
  <c r="AD189" i="1"/>
  <c r="AD247" i="1"/>
  <c r="AD168" i="1"/>
  <c r="AD171" i="1" s="1"/>
  <c r="AD271" i="1"/>
  <c r="AD236" i="1"/>
  <c r="AD218" i="1"/>
  <c r="AD210" i="1"/>
  <c r="AD229" i="1"/>
  <c r="AD211" i="1"/>
  <c r="AD30" i="1"/>
  <c r="AD29" i="1"/>
  <c r="AC284" i="1"/>
  <c r="AC283" i="1"/>
  <c r="AC282" i="1"/>
  <c r="AC270" i="1"/>
  <c r="AC281" i="1"/>
  <c r="AC280" i="1"/>
  <c r="AC279" i="1"/>
  <c r="I35" i="7"/>
  <c r="AB279" i="1"/>
  <c r="AB284" i="1"/>
  <c r="AB283" i="1"/>
  <c r="AB282" i="1"/>
  <c r="AB270" i="1"/>
  <c r="AB281" i="1"/>
  <c r="AB280" i="1"/>
  <c r="AE279" i="1"/>
  <c r="AE270" i="1"/>
  <c r="AE284" i="1"/>
  <c r="AE280" i="1"/>
  <c r="AE282" i="1"/>
  <c r="AE283" i="1"/>
  <c r="AE281" i="1"/>
  <c r="AD282" i="1"/>
  <c r="AD281" i="1"/>
  <c r="AD279" i="1"/>
  <c r="AD270" i="1"/>
  <c r="AD280" i="1"/>
  <c r="AD284" i="1"/>
  <c r="AD283" i="1"/>
  <c r="AB89" i="1"/>
  <c r="AB87" i="1"/>
  <c r="AG89" i="1"/>
  <c r="AG87" i="1"/>
  <c r="AD89" i="1"/>
  <c r="AD87" i="1"/>
  <c r="AC287" i="1"/>
  <c r="AC304" i="1"/>
  <c r="AC234" i="1"/>
  <c r="AC38" i="1"/>
  <c r="AB214" i="1"/>
  <c r="AC214" i="1"/>
  <c r="AC89" i="1"/>
  <c r="AC87" i="1"/>
  <c r="AD287" i="1"/>
  <c r="AD304" i="1"/>
  <c r="AD234" i="1"/>
  <c r="AD38" i="1"/>
  <c r="AE214" i="1"/>
  <c r="AE89" i="1"/>
  <c r="AE87" i="1"/>
  <c r="AD214" i="1"/>
  <c r="AB287" i="1"/>
  <c r="AB304" i="1"/>
  <c r="AB234" i="1"/>
  <c r="AB38" i="1"/>
  <c r="AE287" i="1"/>
  <c r="AE304" i="1"/>
  <c r="AE234" i="1"/>
  <c r="AE38" i="1"/>
  <c r="AB110" i="1"/>
  <c r="AB235" i="1"/>
  <c r="AG235" i="1"/>
  <c r="AG110" i="1"/>
  <c r="AD235" i="1"/>
  <c r="AD110" i="1"/>
  <c r="AC67" i="1"/>
  <c r="AC235" i="1"/>
  <c r="AC110" i="1"/>
  <c r="AD67" i="1"/>
  <c r="AE235" i="1"/>
  <c r="AE110" i="1"/>
  <c r="AB67" i="1"/>
  <c r="AE67" i="1"/>
  <c r="AD321" i="1"/>
  <c r="AB321" i="1"/>
  <c r="AB243" i="1"/>
  <c r="AB223" i="1"/>
  <c r="AC243" i="1"/>
  <c r="AC223" i="1"/>
  <c r="AC225" i="1" s="1"/>
  <c r="AC253" i="1"/>
  <c r="AC321" i="1"/>
  <c r="AD253" i="1"/>
  <c r="AD223" i="1"/>
  <c r="AD225" i="1" s="1"/>
  <c r="AD243" i="1"/>
  <c r="AE321" i="1"/>
  <c r="I23" i="7"/>
  <c r="AB122" i="1"/>
  <c r="AE122" i="1"/>
  <c r="AC122" i="1"/>
  <c r="AD122" i="1"/>
  <c r="I62" i="7"/>
  <c r="E56" i="7"/>
  <c r="D56" i="7"/>
  <c r="AC288" i="1"/>
  <c r="AC285" i="1"/>
  <c r="AC278" i="1"/>
  <c r="AC275" i="1"/>
  <c r="AC258" i="1"/>
  <c r="AC217" i="1"/>
  <c r="AC216" i="1"/>
  <c r="AC215" i="1"/>
  <c r="AC213" i="1"/>
  <c r="AC274" i="1"/>
  <c r="AC273" i="1"/>
  <c r="AC123" i="1"/>
  <c r="AC121" i="1"/>
  <c r="AC120" i="1"/>
  <c r="AC336" i="1"/>
  <c r="AC331" i="1"/>
  <c r="AC320" i="1"/>
  <c r="AC303" i="1"/>
  <c r="AC289" i="1"/>
  <c r="AC276" i="1"/>
  <c r="AC269" i="1"/>
  <c r="AC252" i="1"/>
  <c r="AC242" i="1"/>
  <c r="AC228" i="1"/>
  <c r="AC209" i="1"/>
  <c r="AC208" i="1"/>
  <c r="AC207" i="1"/>
  <c r="AC206" i="1"/>
  <c r="AC184" i="1"/>
  <c r="AC183" i="1"/>
  <c r="AC182" i="1"/>
  <c r="AC181" i="1"/>
  <c r="AC174" i="1"/>
  <c r="AC126" i="1"/>
  <c r="AC125" i="1"/>
  <c r="AC124" i="1"/>
  <c r="AC109" i="1"/>
  <c r="AC108" i="1"/>
  <c r="AC103" i="1"/>
  <c r="AC105" i="1" s="1"/>
  <c r="AC98" i="1"/>
  <c r="AC97" i="1"/>
  <c r="AC96" i="1"/>
  <c r="AC95" i="1"/>
  <c r="AC94" i="1"/>
  <c r="AC80" i="1"/>
  <c r="AC73" i="1"/>
  <c r="AC75" i="1" s="1"/>
  <c r="AC68" i="1"/>
  <c r="AC61" i="1"/>
  <c r="AC54" i="1"/>
  <c r="AC52" i="1"/>
  <c r="AC111" i="1"/>
  <c r="AD258" i="1"/>
  <c r="AD217" i="1"/>
  <c r="AD216" i="1"/>
  <c r="AD215" i="1"/>
  <c r="AD213" i="1"/>
  <c r="AD288" i="1"/>
  <c r="AD285" i="1"/>
  <c r="AD278" i="1"/>
  <c r="AD275" i="1"/>
  <c r="AB274" i="1"/>
  <c r="AB273" i="1"/>
  <c r="AB336" i="1"/>
  <c r="AB331" i="1"/>
  <c r="AB320" i="1"/>
  <c r="C284" i="20" s="1"/>
  <c r="AB303" i="1"/>
  <c r="AB289" i="1"/>
  <c r="AB276" i="1"/>
  <c r="AB269" i="1"/>
  <c r="AB252" i="1"/>
  <c r="AB242" i="1"/>
  <c r="AB228" i="1"/>
  <c r="AB209" i="1"/>
  <c r="AB208" i="1"/>
  <c r="AB207" i="1"/>
  <c r="AB206" i="1"/>
  <c r="AB184" i="1"/>
  <c r="AB183" i="1"/>
  <c r="AB182" i="1"/>
  <c r="AB181" i="1"/>
  <c r="AB174" i="1"/>
  <c r="AB126" i="1"/>
  <c r="AB125" i="1"/>
  <c r="AB124" i="1"/>
  <c r="AB123" i="1"/>
  <c r="AB121" i="1"/>
  <c r="AB120" i="1"/>
  <c r="AB109" i="1"/>
  <c r="AB108" i="1"/>
  <c r="AB103" i="1"/>
  <c r="AB98" i="1"/>
  <c r="AB97" i="1"/>
  <c r="AB96" i="1"/>
  <c r="AB95" i="1"/>
  <c r="AB94" i="1"/>
  <c r="AB80" i="1"/>
  <c r="AB73" i="1"/>
  <c r="AB68" i="1"/>
  <c r="C58" i="20"/>
  <c r="AB61" i="1"/>
  <c r="AB54" i="1"/>
  <c r="AB52" i="1"/>
  <c r="AB111" i="1"/>
  <c r="AD274" i="1"/>
  <c r="AD273" i="1"/>
  <c r="AD336" i="1"/>
  <c r="AD331" i="1"/>
  <c r="AD320" i="1"/>
  <c r="AD303" i="1"/>
  <c r="AD289" i="1"/>
  <c r="AD276" i="1"/>
  <c r="AD269" i="1"/>
  <c r="AD252" i="1"/>
  <c r="AD242" i="1"/>
  <c r="AD228" i="1"/>
  <c r="AD209" i="1"/>
  <c r="AD208" i="1"/>
  <c r="AD207" i="1"/>
  <c r="AD206" i="1"/>
  <c r="AD184" i="1"/>
  <c r="AD183" i="1"/>
  <c r="AD182" i="1"/>
  <c r="AD181" i="1"/>
  <c r="AD174" i="1"/>
  <c r="AD126" i="1"/>
  <c r="AD125" i="1"/>
  <c r="AD124" i="1"/>
  <c r="AD123" i="1"/>
  <c r="AD121" i="1"/>
  <c r="AD120" i="1"/>
  <c r="AD111" i="1"/>
  <c r="AD109" i="1"/>
  <c r="AD108" i="1"/>
  <c r="AD103" i="1"/>
  <c r="AD105" i="1" s="1"/>
  <c r="AD98" i="1"/>
  <c r="AD97" i="1"/>
  <c r="AD96" i="1"/>
  <c r="AD95" i="1"/>
  <c r="AD94" i="1"/>
  <c r="AD80" i="1"/>
  <c r="AD73" i="1"/>
  <c r="AD75" i="1" s="1"/>
  <c r="AD68" i="1"/>
  <c r="AD61" i="1"/>
  <c r="AD54" i="1"/>
  <c r="AD52" i="1"/>
  <c r="AE288" i="1"/>
  <c r="AE285" i="1"/>
  <c r="AE278" i="1"/>
  <c r="AE275" i="1"/>
  <c r="AE258" i="1"/>
  <c r="AE217" i="1"/>
  <c r="AE216" i="1"/>
  <c r="AE215" i="1"/>
  <c r="AE213" i="1"/>
  <c r="AB288" i="1"/>
  <c r="AB285" i="1"/>
  <c r="AB278" i="1"/>
  <c r="AB275" i="1"/>
  <c r="C130" i="20"/>
  <c r="J130" i="20" s="1"/>
  <c r="AB258" i="1"/>
  <c r="AB217" i="1"/>
  <c r="AB216" i="1"/>
  <c r="AB215" i="1"/>
  <c r="AB213" i="1"/>
  <c r="AE274" i="1"/>
  <c r="AE273" i="1"/>
  <c r="AE336" i="1"/>
  <c r="AE331" i="1"/>
  <c r="AE320" i="1"/>
  <c r="AE303" i="1"/>
  <c r="AE289" i="1"/>
  <c r="AE276" i="1"/>
  <c r="AE269" i="1"/>
  <c r="AE252" i="1"/>
  <c r="AE242" i="1"/>
  <c r="AE228" i="1"/>
  <c r="AE209" i="1"/>
  <c r="AE208" i="1"/>
  <c r="AE207" i="1"/>
  <c r="AE206" i="1"/>
  <c r="AE184" i="1"/>
  <c r="AE183" i="1"/>
  <c r="AE182" i="1"/>
  <c r="AE181" i="1"/>
  <c r="AE174" i="1"/>
  <c r="AE126" i="1"/>
  <c r="AE125" i="1"/>
  <c r="AE124" i="1"/>
  <c r="AE123" i="1"/>
  <c r="AE121" i="1"/>
  <c r="AE120" i="1"/>
  <c r="AE109" i="1"/>
  <c r="AE111" i="1"/>
  <c r="AE108" i="1"/>
  <c r="AE103" i="1"/>
  <c r="AE105" i="1" s="1"/>
  <c r="AE98" i="1"/>
  <c r="AE97" i="1"/>
  <c r="AE96" i="1"/>
  <c r="AE95" i="1"/>
  <c r="AE94" i="1"/>
  <c r="AE80" i="1"/>
  <c r="AE73" i="1"/>
  <c r="AE75" i="1" s="1"/>
  <c r="AE68" i="1"/>
  <c r="AE61" i="1"/>
  <c r="AE54" i="1"/>
  <c r="AE52" i="1"/>
  <c r="I21" i="7"/>
  <c r="I58" i="7"/>
  <c r="I60" i="7"/>
  <c r="C155" i="20"/>
  <c r="C142" i="20"/>
  <c r="J142" i="20" s="1"/>
  <c r="G56" i="7"/>
  <c r="F56" i="7"/>
  <c r="C56" i="7"/>
  <c r="H56" i="7"/>
  <c r="E33" i="8"/>
  <c r="E35" i="8" s="1"/>
  <c r="H75" i="20" s="1"/>
  <c r="J75" i="20" s="1"/>
  <c r="H19" i="7"/>
  <c r="P91" i="1"/>
  <c r="G58" i="20" l="1"/>
  <c r="E58" i="20"/>
  <c r="F58" i="20"/>
  <c r="G284" i="20"/>
  <c r="G19" i="7"/>
  <c r="F19" i="7"/>
  <c r="D19" i="7"/>
  <c r="E19" i="7"/>
  <c r="AE70" i="1"/>
  <c r="E284" i="20"/>
  <c r="E304" i="20"/>
  <c r="F259" i="20"/>
  <c r="H259" i="20" s="1"/>
  <c r="J259" i="20" s="1"/>
  <c r="F302" i="20"/>
  <c r="F304" i="20" s="1"/>
  <c r="F284" i="20"/>
  <c r="F172" i="20"/>
  <c r="E172" i="20"/>
  <c r="G172" i="20"/>
  <c r="E155" i="20"/>
  <c r="G155" i="20"/>
  <c r="F155" i="20"/>
  <c r="F168" i="20"/>
  <c r="E168" i="20"/>
  <c r="G168" i="20"/>
  <c r="E171" i="20"/>
  <c r="G171" i="20"/>
  <c r="F171" i="20"/>
  <c r="E172" i="7"/>
  <c r="C172" i="7"/>
  <c r="F172" i="7"/>
  <c r="H172" i="7"/>
  <c r="D172" i="7"/>
  <c r="G172" i="7"/>
  <c r="G35" i="49"/>
  <c r="K35" i="49" s="1"/>
  <c r="H35" i="49"/>
  <c r="I35" i="49"/>
  <c r="C244" i="20"/>
  <c r="C94" i="20"/>
  <c r="C203" i="20"/>
  <c r="C191" i="20"/>
  <c r="C257" i="20"/>
  <c r="C86" i="20"/>
  <c r="C90" i="20"/>
  <c r="C109" i="20"/>
  <c r="C114" i="20"/>
  <c r="C161" i="20"/>
  <c r="C169" i="20"/>
  <c r="C183" i="20"/>
  <c r="C214" i="20"/>
  <c r="C298" i="20"/>
  <c r="C156" i="20"/>
  <c r="C256" i="20"/>
  <c r="C190" i="20"/>
  <c r="C172" i="49"/>
  <c r="C174" i="20"/>
  <c r="C162" i="20"/>
  <c r="C196" i="49"/>
  <c r="C81" i="49"/>
  <c r="C193" i="20"/>
  <c r="C247" i="20"/>
  <c r="C51" i="20"/>
  <c r="C67" i="20"/>
  <c r="C88" i="20"/>
  <c r="C98" i="20"/>
  <c r="C112" i="20"/>
  <c r="C154" i="20"/>
  <c r="C163" i="20"/>
  <c r="C185" i="20"/>
  <c r="C173" i="20"/>
  <c r="C170" i="20"/>
  <c r="C240" i="20"/>
  <c r="C241" i="20"/>
  <c r="C74" i="20"/>
  <c r="C192" i="20"/>
  <c r="C49" i="20"/>
  <c r="C63" i="20"/>
  <c r="C87" i="20"/>
  <c r="C110" i="20"/>
  <c r="C184" i="20"/>
  <c r="C223" i="20"/>
  <c r="C270" i="20"/>
  <c r="J270" i="20" s="1"/>
  <c r="C111" i="20"/>
  <c r="C285" i="20"/>
  <c r="C189" i="20"/>
  <c r="C229" i="20"/>
  <c r="C254" i="20"/>
  <c r="C57" i="20"/>
  <c r="C73" i="20"/>
  <c r="C89" i="20"/>
  <c r="C99" i="20"/>
  <c r="C113" i="20"/>
  <c r="C160" i="20"/>
  <c r="C182" i="20"/>
  <c r="C202" i="20"/>
  <c r="C293" i="20"/>
  <c r="C148" i="49"/>
  <c r="C219" i="20"/>
  <c r="C30" i="49"/>
  <c r="AC198" i="1"/>
  <c r="AD198" i="1"/>
  <c r="AD70" i="1"/>
  <c r="C167" i="20"/>
  <c r="AC70" i="1"/>
  <c r="C271" i="20"/>
  <c r="AI304" i="1"/>
  <c r="AD323" i="1"/>
  <c r="C62" i="20"/>
  <c r="AI67" i="1"/>
  <c r="AI192" i="1"/>
  <c r="G133" i="7"/>
  <c r="H133" i="7"/>
  <c r="C133" i="7"/>
  <c r="C97" i="8" s="1"/>
  <c r="E97" i="8" s="1"/>
  <c r="F133" i="7"/>
  <c r="D133" i="7"/>
  <c r="E133" i="7"/>
  <c r="AD100" i="1"/>
  <c r="AI321" i="1"/>
  <c r="AE178" i="1"/>
  <c r="AC178" i="1"/>
  <c r="C215" i="20"/>
  <c r="AI243" i="1"/>
  <c r="C194" i="20"/>
  <c r="AD178" i="1"/>
  <c r="C198" i="20"/>
  <c r="AB225" i="1"/>
  <c r="AI223" i="1"/>
  <c r="C224" i="20"/>
  <c r="AI253" i="1"/>
  <c r="AC100" i="1"/>
  <c r="AC186" i="1"/>
  <c r="AF178" i="1"/>
  <c r="AC323" i="1"/>
  <c r="AD231" i="1"/>
  <c r="AD64" i="1"/>
  <c r="AD186" i="1"/>
  <c r="AC64" i="1"/>
  <c r="AC231" i="1"/>
  <c r="C242" i="20"/>
  <c r="AI273" i="1"/>
  <c r="C243" i="20"/>
  <c r="AI274" i="1"/>
  <c r="C209" i="20"/>
  <c r="C80" i="20"/>
  <c r="C36" i="20"/>
  <c r="C208" i="20"/>
  <c r="C207" i="20"/>
  <c r="C100" i="20"/>
  <c r="C81" i="20"/>
  <c r="C28" i="20"/>
  <c r="C29" i="20"/>
  <c r="C79" i="20"/>
  <c r="AE186" i="1"/>
  <c r="AE231" i="1"/>
  <c r="AE64" i="1"/>
  <c r="AE100" i="1"/>
  <c r="AE198" i="1"/>
  <c r="C258" i="20"/>
  <c r="AI289" i="1"/>
  <c r="C238" i="20"/>
  <c r="AI269" i="1"/>
  <c r="C245" i="20"/>
  <c r="AI276" i="1"/>
  <c r="C115" i="20"/>
  <c r="AI126" i="1"/>
  <c r="C101" i="20"/>
  <c r="AI111" i="1"/>
  <c r="AI194" i="1"/>
  <c r="AI285" i="1"/>
  <c r="AB100" i="1"/>
  <c r="AB105" i="1"/>
  <c r="AB75" i="1"/>
  <c r="AB178" i="1"/>
  <c r="AB198" i="1"/>
  <c r="AI189" i="1"/>
  <c r="AB323" i="1"/>
  <c r="AB186" i="1"/>
  <c r="AI206" i="1"/>
  <c r="AB231" i="1"/>
  <c r="AB64" i="1"/>
  <c r="AI272" i="1"/>
  <c r="AI271" i="1"/>
  <c r="AI216" i="1"/>
  <c r="P239" i="1"/>
  <c r="O239" i="1"/>
  <c r="AF237" i="1"/>
  <c r="C206" i="49" s="1"/>
  <c r="N239" i="1"/>
  <c r="Q343" i="1"/>
  <c r="I56" i="7"/>
  <c r="H58" i="20" l="1"/>
  <c r="J58" i="20" s="1"/>
  <c r="F285" i="20"/>
  <c r="F238" i="20"/>
  <c r="F224" i="20"/>
  <c r="E206" i="49"/>
  <c r="I19" i="7"/>
  <c r="F97" i="8"/>
  <c r="D97" i="8"/>
  <c r="H171" i="20"/>
  <c r="J171" i="20" s="1"/>
  <c r="G243" i="20"/>
  <c r="E243" i="20"/>
  <c r="G242" i="20"/>
  <c r="E242" i="20"/>
  <c r="G223" i="20"/>
  <c r="E223" i="20"/>
  <c r="G241" i="20"/>
  <c r="E241" i="20"/>
  <c r="E247" i="20"/>
  <c r="G247" i="20"/>
  <c r="F247" i="20"/>
  <c r="G256" i="20"/>
  <c r="E256" i="20"/>
  <c r="F223" i="20"/>
  <c r="F243" i="20"/>
  <c r="F256" i="20"/>
  <c r="G245" i="20"/>
  <c r="E245" i="20"/>
  <c r="G258" i="20"/>
  <c r="E258" i="20"/>
  <c r="G271" i="20"/>
  <c r="E271" i="20"/>
  <c r="G293" i="20"/>
  <c r="E293" i="20"/>
  <c r="G285" i="20"/>
  <c r="G287" i="20" s="1"/>
  <c r="E285" i="20"/>
  <c r="F240" i="20"/>
  <c r="E240" i="20"/>
  <c r="G240" i="20"/>
  <c r="H172" i="20"/>
  <c r="J172" i="20" s="1"/>
  <c r="F241" i="20"/>
  <c r="F271" i="20"/>
  <c r="E254" i="20"/>
  <c r="G254" i="20"/>
  <c r="F254" i="20"/>
  <c r="F298" i="20"/>
  <c r="E298" i="20"/>
  <c r="G298" i="20"/>
  <c r="F245" i="20"/>
  <c r="F293" i="20"/>
  <c r="H284" i="20"/>
  <c r="J284" i="20" s="1"/>
  <c r="G238" i="20"/>
  <c r="E238" i="20"/>
  <c r="G224" i="20"/>
  <c r="E224" i="20"/>
  <c r="E219" i="20"/>
  <c r="G219" i="20"/>
  <c r="F219" i="20"/>
  <c r="F229" i="20"/>
  <c r="E229" i="20"/>
  <c r="G229" i="20"/>
  <c r="E257" i="20"/>
  <c r="G257" i="20"/>
  <c r="F257" i="20"/>
  <c r="F244" i="20"/>
  <c r="E244" i="20"/>
  <c r="G244" i="20"/>
  <c r="H168" i="20"/>
  <c r="J168" i="20" s="1"/>
  <c r="H155" i="20"/>
  <c r="J155" i="20" s="1"/>
  <c r="F258" i="20"/>
  <c r="F242" i="20"/>
  <c r="H302" i="20"/>
  <c r="G79" i="20"/>
  <c r="F79" i="20"/>
  <c r="E79" i="20"/>
  <c r="G100" i="20"/>
  <c r="F100" i="20"/>
  <c r="E100" i="20"/>
  <c r="E80" i="20"/>
  <c r="G80" i="20"/>
  <c r="F80" i="20"/>
  <c r="E62" i="20"/>
  <c r="G62" i="20"/>
  <c r="F62" i="20"/>
  <c r="G113" i="20"/>
  <c r="F113" i="20"/>
  <c r="E113" i="20"/>
  <c r="C60" i="20"/>
  <c r="F57" i="20"/>
  <c r="E57" i="20"/>
  <c r="G57" i="20"/>
  <c r="G60" i="20" s="1"/>
  <c r="G184" i="20"/>
  <c r="F184" i="20"/>
  <c r="E184" i="20"/>
  <c r="F49" i="20"/>
  <c r="E49" i="20"/>
  <c r="G49" i="20"/>
  <c r="E163" i="20"/>
  <c r="G163" i="20"/>
  <c r="F163" i="20"/>
  <c r="F88" i="20"/>
  <c r="E88" i="20"/>
  <c r="G88" i="20"/>
  <c r="G193" i="20"/>
  <c r="F193" i="20"/>
  <c r="E193" i="20"/>
  <c r="G174" i="20"/>
  <c r="F174" i="20"/>
  <c r="E174" i="20"/>
  <c r="F156" i="20"/>
  <c r="E156" i="20"/>
  <c r="G156" i="20"/>
  <c r="G169" i="20"/>
  <c r="F169" i="20"/>
  <c r="E169" i="20"/>
  <c r="G90" i="20"/>
  <c r="F90" i="20"/>
  <c r="E90" i="20"/>
  <c r="G203" i="20"/>
  <c r="F203" i="20"/>
  <c r="E203" i="20"/>
  <c r="F81" i="20"/>
  <c r="E81" i="20"/>
  <c r="G81" i="20"/>
  <c r="F215" i="20"/>
  <c r="E215" i="20"/>
  <c r="G215" i="20"/>
  <c r="E167" i="20"/>
  <c r="G167" i="20"/>
  <c r="F167" i="20"/>
  <c r="E115" i="20"/>
  <c r="G115" i="20"/>
  <c r="F115" i="20"/>
  <c r="E29" i="20"/>
  <c r="F29" i="20"/>
  <c r="G29" i="20"/>
  <c r="G207" i="20"/>
  <c r="F207" i="20"/>
  <c r="E207" i="20"/>
  <c r="F209" i="20"/>
  <c r="E209" i="20"/>
  <c r="G209" i="20"/>
  <c r="E194" i="20"/>
  <c r="G194" i="20"/>
  <c r="F194" i="20"/>
  <c r="F202" i="20"/>
  <c r="E202" i="20"/>
  <c r="G202" i="20"/>
  <c r="F99" i="20"/>
  <c r="E99" i="20"/>
  <c r="G99" i="20"/>
  <c r="E111" i="20"/>
  <c r="G111" i="20"/>
  <c r="F111" i="20"/>
  <c r="G110" i="20"/>
  <c r="F110" i="20"/>
  <c r="E110" i="20"/>
  <c r="G192" i="20"/>
  <c r="F192" i="20"/>
  <c r="E192" i="20"/>
  <c r="G170" i="20"/>
  <c r="F170" i="20"/>
  <c r="E170" i="20"/>
  <c r="G154" i="20"/>
  <c r="G158" i="20" s="1"/>
  <c r="F154" i="20"/>
  <c r="E154" i="20"/>
  <c r="F67" i="20"/>
  <c r="E67" i="20"/>
  <c r="G67" i="20"/>
  <c r="G69" i="20" s="1"/>
  <c r="G161" i="20"/>
  <c r="F161" i="20"/>
  <c r="E161" i="20"/>
  <c r="G86" i="20"/>
  <c r="F86" i="20"/>
  <c r="E86" i="20"/>
  <c r="G94" i="20"/>
  <c r="G96" i="20" s="1"/>
  <c r="F94" i="20"/>
  <c r="E94" i="20"/>
  <c r="G36" i="20"/>
  <c r="E36" i="20"/>
  <c r="G101" i="20"/>
  <c r="F101" i="20"/>
  <c r="E101" i="20"/>
  <c r="E28" i="20"/>
  <c r="F28" i="20"/>
  <c r="G28" i="20"/>
  <c r="E208" i="20"/>
  <c r="G208" i="20"/>
  <c r="F208" i="20"/>
  <c r="F182" i="20"/>
  <c r="E182" i="20"/>
  <c r="G182" i="20"/>
  <c r="G89" i="20"/>
  <c r="F89" i="20"/>
  <c r="E89" i="20"/>
  <c r="E87" i="20"/>
  <c r="G87" i="20"/>
  <c r="F87" i="20"/>
  <c r="F74" i="20"/>
  <c r="E74" i="20"/>
  <c r="G74" i="20"/>
  <c r="G173" i="20"/>
  <c r="F173" i="20"/>
  <c r="E173" i="20"/>
  <c r="F112" i="20"/>
  <c r="E112" i="20"/>
  <c r="G112" i="20"/>
  <c r="E51" i="20"/>
  <c r="G51" i="20"/>
  <c r="F51" i="20"/>
  <c r="E190" i="20"/>
  <c r="G190" i="20"/>
  <c r="F190" i="20"/>
  <c r="E214" i="20"/>
  <c r="G214" i="20"/>
  <c r="F214" i="20"/>
  <c r="G114" i="20"/>
  <c r="F114" i="20"/>
  <c r="E114" i="20"/>
  <c r="F36" i="20"/>
  <c r="E198" i="20"/>
  <c r="G198" i="20"/>
  <c r="F198" i="20"/>
  <c r="F160" i="20"/>
  <c r="E160" i="20"/>
  <c r="G160" i="20"/>
  <c r="E73" i="20"/>
  <c r="G73" i="20"/>
  <c r="F73" i="20"/>
  <c r="G189" i="20"/>
  <c r="F189" i="20"/>
  <c r="E189" i="20"/>
  <c r="E63" i="20"/>
  <c r="F63" i="20"/>
  <c r="G63" i="20"/>
  <c r="G185" i="20"/>
  <c r="F185" i="20"/>
  <c r="E185" i="20"/>
  <c r="E98" i="20"/>
  <c r="G98" i="20"/>
  <c r="F98" i="20"/>
  <c r="G162" i="20"/>
  <c r="F162" i="20"/>
  <c r="E162" i="20"/>
  <c r="E183" i="20"/>
  <c r="G183" i="20"/>
  <c r="F183" i="20"/>
  <c r="G109" i="20"/>
  <c r="F109" i="20"/>
  <c r="E109" i="20"/>
  <c r="F191" i="20"/>
  <c r="E191" i="20"/>
  <c r="G191" i="20"/>
  <c r="L35" i="49"/>
  <c r="C201" i="49"/>
  <c r="C161" i="49"/>
  <c r="C257" i="49"/>
  <c r="C89" i="49"/>
  <c r="C93" i="49"/>
  <c r="C63" i="49"/>
  <c r="C115" i="49"/>
  <c r="C192" i="49"/>
  <c r="C58" i="49"/>
  <c r="C283" i="49"/>
  <c r="C154" i="49"/>
  <c r="C100" i="49"/>
  <c r="C67" i="49"/>
  <c r="AG237" i="1"/>
  <c r="AC237" i="1"/>
  <c r="AB237" i="1"/>
  <c r="AE237" i="1"/>
  <c r="AD237" i="1"/>
  <c r="F164" i="7"/>
  <c r="F163" i="7"/>
  <c r="D163" i="7"/>
  <c r="D164" i="7"/>
  <c r="C163" i="7"/>
  <c r="C164" i="7"/>
  <c r="E164" i="7"/>
  <c r="E163" i="7"/>
  <c r="Z239" i="1"/>
  <c r="Y239" i="1"/>
  <c r="AE129" i="1"/>
  <c r="AF129" i="1"/>
  <c r="AD113" i="1"/>
  <c r="AC113" i="1"/>
  <c r="AD129" i="1"/>
  <c r="AC129" i="1"/>
  <c r="AC91" i="1"/>
  <c r="AD91" i="1"/>
  <c r="AD32" i="1"/>
  <c r="AC32" i="1"/>
  <c r="C42" i="20"/>
  <c r="E42" i="20" s="1"/>
  <c r="C226" i="20"/>
  <c r="C217" i="20"/>
  <c r="C44" i="20"/>
  <c r="E44" i="20" s="1"/>
  <c r="C43" i="20"/>
  <c r="E43" i="20" s="1"/>
  <c r="AE32" i="1"/>
  <c r="AI287" i="1"/>
  <c r="AF32" i="1"/>
  <c r="AF328" i="1"/>
  <c r="AF113" i="1"/>
  <c r="AG91" i="1"/>
  <c r="AF91" i="1"/>
  <c r="AI236" i="1"/>
  <c r="AI218" i="1"/>
  <c r="AE91" i="1"/>
  <c r="AI29" i="1"/>
  <c r="AI234" i="1"/>
  <c r="AI235" i="1"/>
  <c r="AI88" i="1"/>
  <c r="AI30" i="1"/>
  <c r="AI110" i="1"/>
  <c r="AI89" i="1"/>
  <c r="AE113" i="1"/>
  <c r="AI87" i="1"/>
  <c r="AI38" i="1"/>
  <c r="C53" i="20"/>
  <c r="C52" i="20"/>
  <c r="AI343" i="1"/>
  <c r="X239" i="1"/>
  <c r="E52" i="20" l="1"/>
  <c r="F52" i="20"/>
  <c r="G52" i="20"/>
  <c r="G53" i="20"/>
  <c r="F53" i="20"/>
  <c r="E53" i="20"/>
  <c r="H304" i="20"/>
  <c r="J304" i="20" s="1"/>
  <c r="J302" i="20"/>
  <c r="E208" i="49"/>
  <c r="G206" i="49"/>
  <c r="G31" i="20"/>
  <c r="H285" i="20"/>
  <c r="J285" i="20" s="1"/>
  <c r="H182" i="20"/>
  <c r="J182" i="20" s="1"/>
  <c r="H109" i="20"/>
  <c r="J109" i="20" s="1"/>
  <c r="H185" i="20"/>
  <c r="J185" i="20" s="1"/>
  <c r="H98" i="20"/>
  <c r="J98" i="20" s="1"/>
  <c r="H73" i="20"/>
  <c r="J73" i="20" s="1"/>
  <c r="H114" i="20"/>
  <c r="J114" i="20" s="1"/>
  <c r="H190" i="20"/>
  <c r="J190" i="20" s="1"/>
  <c r="H89" i="20"/>
  <c r="J89" i="20" s="1"/>
  <c r="H208" i="20"/>
  <c r="J208" i="20" s="1"/>
  <c r="H101" i="20"/>
  <c r="J101" i="20" s="1"/>
  <c r="H86" i="20"/>
  <c r="J86" i="20" s="1"/>
  <c r="H170" i="20"/>
  <c r="J170" i="20" s="1"/>
  <c r="H202" i="20"/>
  <c r="J202" i="20" s="1"/>
  <c r="H194" i="20"/>
  <c r="J194" i="20" s="1"/>
  <c r="H115" i="20"/>
  <c r="J115" i="20" s="1"/>
  <c r="H209" i="20"/>
  <c r="J209" i="20" s="1"/>
  <c r="H229" i="20"/>
  <c r="J229" i="20" s="1"/>
  <c r="H207" i="20"/>
  <c r="J207" i="20" s="1"/>
  <c r="H81" i="20"/>
  <c r="J81" i="20" s="1"/>
  <c r="H169" i="20"/>
  <c r="J169" i="20" s="1"/>
  <c r="H156" i="20"/>
  <c r="J156" i="20" s="1"/>
  <c r="H113" i="20"/>
  <c r="J113" i="20" s="1"/>
  <c r="H80" i="20"/>
  <c r="J80" i="20" s="1"/>
  <c r="H79" i="20"/>
  <c r="J79" i="20" s="1"/>
  <c r="H244" i="20"/>
  <c r="J244" i="20" s="1"/>
  <c r="H257" i="20"/>
  <c r="J257" i="20" s="1"/>
  <c r="H240" i="20"/>
  <c r="J240" i="20" s="1"/>
  <c r="H258" i="20"/>
  <c r="J258" i="20" s="1"/>
  <c r="H241" i="20"/>
  <c r="J241" i="20" s="1"/>
  <c r="H293" i="20"/>
  <c r="J293" i="20" s="1"/>
  <c r="H242" i="20"/>
  <c r="J242" i="20" s="1"/>
  <c r="H214" i="20"/>
  <c r="J214" i="20" s="1"/>
  <c r="H112" i="20"/>
  <c r="J112" i="20" s="1"/>
  <c r="H94" i="20"/>
  <c r="J94" i="20" s="1"/>
  <c r="H154" i="20"/>
  <c r="J154" i="20" s="1"/>
  <c r="H99" i="20"/>
  <c r="J99" i="20" s="1"/>
  <c r="H29" i="20"/>
  <c r="J29" i="20" s="1"/>
  <c r="H215" i="20"/>
  <c r="J215" i="20" s="1"/>
  <c r="H90" i="20"/>
  <c r="J90" i="20" s="1"/>
  <c r="H193" i="20"/>
  <c r="J193" i="20" s="1"/>
  <c r="H88" i="20"/>
  <c r="J88" i="20" s="1"/>
  <c r="H163" i="20"/>
  <c r="J163" i="20" s="1"/>
  <c r="H184" i="20"/>
  <c r="J184" i="20" s="1"/>
  <c r="H62" i="20"/>
  <c r="J62" i="20" s="1"/>
  <c r="H100" i="20"/>
  <c r="J100" i="20" s="1"/>
  <c r="H238" i="20"/>
  <c r="J238" i="20" s="1"/>
  <c r="E226" i="20"/>
  <c r="G226" i="20"/>
  <c r="F226" i="20"/>
  <c r="H183" i="20"/>
  <c r="J183" i="20" s="1"/>
  <c r="H63" i="20"/>
  <c r="J63" i="20" s="1"/>
  <c r="H160" i="20"/>
  <c r="J160" i="20" s="1"/>
  <c r="H198" i="20"/>
  <c r="J198" i="20" s="1"/>
  <c r="H110" i="20"/>
  <c r="J110" i="20" s="1"/>
  <c r="H203" i="20"/>
  <c r="J203" i="20" s="1"/>
  <c r="H174" i="20"/>
  <c r="J174" i="20" s="1"/>
  <c r="H219" i="20"/>
  <c r="J219" i="20" s="1"/>
  <c r="H271" i="20"/>
  <c r="J271" i="20" s="1"/>
  <c r="H245" i="20"/>
  <c r="J245" i="20" s="1"/>
  <c r="H223" i="20"/>
  <c r="J223" i="20" s="1"/>
  <c r="H243" i="20"/>
  <c r="J243" i="20" s="1"/>
  <c r="H191" i="20"/>
  <c r="J191" i="20" s="1"/>
  <c r="H162" i="20"/>
  <c r="J162" i="20" s="1"/>
  <c r="G103" i="20"/>
  <c r="H189" i="20"/>
  <c r="J189" i="20" s="1"/>
  <c r="H51" i="20"/>
  <c r="J51" i="20" s="1"/>
  <c r="H173" i="20"/>
  <c r="J173" i="20" s="1"/>
  <c r="H74" i="20"/>
  <c r="J74" i="20" s="1"/>
  <c r="H87" i="20"/>
  <c r="J87" i="20" s="1"/>
  <c r="H28" i="20"/>
  <c r="J28" i="20" s="1"/>
  <c r="H36" i="20"/>
  <c r="J36" i="20" s="1"/>
  <c r="H161" i="20"/>
  <c r="J161" i="20" s="1"/>
  <c r="H67" i="20"/>
  <c r="J67" i="20" s="1"/>
  <c r="H192" i="20"/>
  <c r="J192" i="20" s="1"/>
  <c r="H111" i="20"/>
  <c r="J111" i="20" s="1"/>
  <c r="G205" i="20"/>
  <c r="H167" i="20"/>
  <c r="J167" i="20" s="1"/>
  <c r="H49" i="20"/>
  <c r="J49" i="20" s="1"/>
  <c r="H224" i="20"/>
  <c r="J224" i="20" s="1"/>
  <c r="H298" i="20"/>
  <c r="J298" i="20" s="1"/>
  <c r="H254" i="20"/>
  <c r="J254" i="20" s="1"/>
  <c r="H256" i="20"/>
  <c r="J256" i="20" s="1"/>
  <c r="H247" i="20"/>
  <c r="J247" i="20" s="1"/>
  <c r="G165" i="20"/>
  <c r="G118" i="20"/>
  <c r="E83" i="20"/>
  <c r="G43" i="20"/>
  <c r="F43" i="20"/>
  <c r="G44" i="20"/>
  <c r="F44" i="20"/>
  <c r="G42" i="20"/>
  <c r="F42" i="20"/>
  <c r="G176" i="20"/>
  <c r="H57" i="20"/>
  <c r="J57" i="20" s="1"/>
  <c r="G65" i="20"/>
  <c r="F83" i="20"/>
  <c r="G217" i="20"/>
  <c r="F217" i="20"/>
  <c r="E217" i="20"/>
  <c r="G83" i="20"/>
  <c r="G200" i="20"/>
  <c r="G92" i="20"/>
  <c r="C208" i="49"/>
  <c r="L270" i="49"/>
  <c r="AC328" i="1"/>
  <c r="AC49" i="1"/>
  <c r="C210" i="20"/>
  <c r="AD239" i="1"/>
  <c r="AF239" i="1"/>
  <c r="AG239" i="1"/>
  <c r="AC239" i="1"/>
  <c r="AE239" i="1"/>
  <c r="AI45" i="1"/>
  <c r="AI46" i="1"/>
  <c r="AE49" i="1"/>
  <c r="AI333" i="1"/>
  <c r="AI47" i="1"/>
  <c r="AI55" i="1"/>
  <c r="AI255" i="1"/>
  <c r="AI245" i="1"/>
  <c r="AI56" i="1"/>
  <c r="AA239" i="1"/>
  <c r="L343" i="1"/>
  <c r="F343" i="1"/>
  <c r="AG113" i="1"/>
  <c r="AG178" i="1"/>
  <c r="AG105" i="1"/>
  <c r="AG328" i="1"/>
  <c r="AG75" i="1"/>
  <c r="AG70" i="1"/>
  <c r="AG257" i="1"/>
  <c r="AI257" i="1" s="1"/>
  <c r="AG186" i="1"/>
  <c r="AI127" i="1"/>
  <c r="AG265" i="1"/>
  <c r="AI335" i="1"/>
  <c r="AG167" i="1"/>
  <c r="AI167" i="1" s="1"/>
  <c r="AI148" i="1"/>
  <c r="H53" i="20" l="1"/>
  <c r="J53" i="20" s="1"/>
  <c r="H52" i="20"/>
  <c r="J52" i="20" s="1"/>
  <c r="G208" i="49"/>
  <c r="K206" i="49"/>
  <c r="H226" i="20"/>
  <c r="J226" i="20" s="1"/>
  <c r="H43" i="20"/>
  <c r="J43" i="20" s="1"/>
  <c r="H42" i="20"/>
  <c r="J42" i="20" s="1"/>
  <c r="H217" i="20"/>
  <c r="J217" i="20" s="1"/>
  <c r="H44" i="20"/>
  <c r="J44" i="20" s="1"/>
  <c r="G210" i="20"/>
  <c r="G212" i="20" s="1"/>
  <c r="F210" i="20"/>
  <c r="E210" i="20"/>
  <c r="G46" i="20"/>
  <c r="AI237" i="1"/>
  <c r="AG64" i="1"/>
  <c r="AG100" i="1"/>
  <c r="AG171" i="1"/>
  <c r="AG198" i="1"/>
  <c r="AG24" i="1"/>
  <c r="AG231" i="1"/>
  <c r="AG145" i="1"/>
  <c r="AG139" i="1"/>
  <c r="AI290" i="1"/>
  <c r="AG159" i="1"/>
  <c r="AI214" i="1"/>
  <c r="AG323" i="1"/>
  <c r="F346" i="1"/>
  <c r="O91" i="1"/>
  <c r="H210" i="20" l="1"/>
  <c r="J210" i="20" s="1"/>
  <c r="F348" i="1"/>
  <c r="L346" i="1"/>
  <c r="L348" i="1" s="1"/>
  <c r="AG129" i="1"/>
  <c r="AI125" i="1"/>
  <c r="AI174" i="1"/>
  <c r="F317" i="1"/>
  <c r="F225" i="1"/>
  <c r="F159" i="1"/>
  <c r="Q348" i="1"/>
  <c r="C149" i="20"/>
  <c r="E91" i="1"/>
  <c r="G91" i="1"/>
  <c r="D42" i="1"/>
  <c r="E42" i="1"/>
  <c r="G42" i="1"/>
  <c r="G149" i="20" l="1"/>
  <c r="G152" i="20" s="1"/>
  <c r="F149" i="20"/>
  <c r="E149" i="20"/>
  <c r="C128" i="49"/>
  <c r="H78" i="1"/>
  <c r="J78" i="1"/>
  <c r="P78" i="1" s="1"/>
  <c r="Z78" i="1" s="1"/>
  <c r="I78" i="1"/>
  <c r="O78" i="1" s="1"/>
  <c r="Y78" i="1" s="1"/>
  <c r="J79" i="1"/>
  <c r="I79" i="1"/>
  <c r="H79" i="1"/>
  <c r="I254" i="1"/>
  <c r="O254" i="1" s="1"/>
  <c r="Y254" i="1" s="1"/>
  <c r="J254" i="1"/>
  <c r="P254" i="1" s="1"/>
  <c r="Z254" i="1" s="1"/>
  <c r="H254" i="1"/>
  <c r="H332" i="1"/>
  <c r="J332" i="1"/>
  <c r="P332" i="1" s="1"/>
  <c r="Z332" i="1" s="1"/>
  <c r="I332" i="1"/>
  <c r="O332" i="1" s="1"/>
  <c r="Y332" i="1" s="1"/>
  <c r="J244" i="1"/>
  <c r="P244" i="1" s="1"/>
  <c r="Z244" i="1" s="1"/>
  <c r="H244" i="1"/>
  <c r="I244" i="1"/>
  <c r="O244" i="1" s="1"/>
  <c r="Y244" i="1" s="1"/>
  <c r="J36" i="1"/>
  <c r="H36" i="1"/>
  <c r="I36" i="1"/>
  <c r="H40" i="1"/>
  <c r="I40" i="1"/>
  <c r="J40" i="1"/>
  <c r="H37" i="1"/>
  <c r="I37" i="1"/>
  <c r="J37" i="1"/>
  <c r="AI122" i="1"/>
  <c r="AE24" i="1"/>
  <c r="AE312" i="1"/>
  <c r="AI309" i="1"/>
  <c r="AB171" i="1"/>
  <c r="AI168" i="1"/>
  <c r="F338" i="1"/>
  <c r="L231" i="1"/>
  <c r="F231" i="1"/>
  <c r="L164" i="1"/>
  <c r="F164" i="1"/>
  <c r="L64" i="1"/>
  <c r="F64" i="1"/>
  <c r="L10" i="1"/>
  <c r="L159" i="1"/>
  <c r="L225" i="1"/>
  <c r="L317" i="1"/>
  <c r="AI61" i="1"/>
  <c r="AI62" i="1"/>
  <c r="F239" i="1"/>
  <c r="AI54" i="1"/>
  <c r="F105" i="1"/>
  <c r="Q105" i="1"/>
  <c r="AI184" i="1"/>
  <c r="AI182" i="1"/>
  <c r="AI252" i="1"/>
  <c r="F186" i="1"/>
  <c r="F328" i="1"/>
  <c r="AF24" i="1"/>
  <c r="C24" i="49" s="1"/>
  <c r="AI229" i="1"/>
  <c r="AI228" i="1"/>
  <c r="Q10" i="1"/>
  <c r="AI183" i="1"/>
  <c r="AI108" i="1"/>
  <c r="AI52" i="1"/>
  <c r="AI275" i="1"/>
  <c r="AI109" i="1"/>
  <c r="AI213" i="1"/>
  <c r="AI196" i="1"/>
  <c r="AI123" i="1"/>
  <c r="AI95" i="1"/>
  <c r="AI191" i="1"/>
  <c r="AI288" i="1"/>
  <c r="AI247" i="1"/>
  <c r="AI98" i="1"/>
  <c r="AI176" i="1"/>
  <c r="AI331" i="1"/>
  <c r="AI193" i="1"/>
  <c r="AI242" i="1"/>
  <c r="AI278" i="1"/>
  <c r="AI190" i="1"/>
  <c r="AI336" i="1"/>
  <c r="AI81" i="1"/>
  <c r="AI195" i="1"/>
  <c r="AI175" i="1"/>
  <c r="AI217" i="1"/>
  <c r="AI215" i="1"/>
  <c r="AI80" i="1"/>
  <c r="AI121" i="1"/>
  <c r="AI181" i="1"/>
  <c r="AI124" i="1"/>
  <c r="AI208" i="1"/>
  <c r="AI97" i="1"/>
  <c r="AI96" i="1"/>
  <c r="Q159" i="1"/>
  <c r="G353" i="1"/>
  <c r="Q225" i="1"/>
  <c r="Q265" i="1"/>
  <c r="Q328" i="1"/>
  <c r="Q75" i="1"/>
  <c r="C42" i="1"/>
  <c r="E353" i="1"/>
  <c r="H149" i="20" l="1"/>
  <c r="J149" i="20" s="1"/>
  <c r="N36" i="1"/>
  <c r="L36" i="1"/>
  <c r="P37" i="1"/>
  <c r="N37" i="1"/>
  <c r="L37" i="1"/>
  <c r="O36" i="1"/>
  <c r="N244" i="1"/>
  <c r="Q244" i="1" s="1"/>
  <c r="L244" i="1"/>
  <c r="L249" i="1" s="1"/>
  <c r="N332" i="1"/>
  <c r="L332" i="1"/>
  <c r="L338" i="1" s="1"/>
  <c r="P40" i="1"/>
  <c r="Z40" i="1" s="1"/>
  <c r="AG40" i="1" s="1"/>
  <c r="N254" i="1"/>
  <c r="L254" i="1"/>
  <c r="N79" i="1"/>
  <c r="L79" i="1"/>
  <c r="O40" i="1"/>
  <c r="Y40" i="1" s="1"/>
  <c r="AF40" i="1" s="1"/>
  <c r="P36" i="1"/>
  <c r="O79" i="1"/>
  <c r="Y79" i="1" s="1"/>
  <c r="AF79" i="1" s="1"/>
  <c r="C70" i="49" s="1"/>
  <c r="O37" i="1"/>
  <c r="N40" i="1"/>
  <c r="L40" i="1"/>
  <c r="P79" i="1"/>
  <c r="Z79" i="1" s="1"/>
  <c r="AG79" i="1" s="1"/>
  <c r="N78" i="1"/>
  <c r="L78" i="1"/>
  <c r="I84" i="1"/>
  <c r="J84" i="1"/>
  <c r="H84" i="1"/>
  <c r="I249" i="1"/>
  <c r="I338" i="1"/>
  <c r="H260" i="1"/>
  <c r="H249" i="1"/>
  <c r="J338" i="1"/>
  <c r="J260" i="1"/>
  <c r="J249" i="1"/>
  <c r="H338" i="1"/>
  <c r="I260" i="1"/>
  <c r="J35" i="1"/>
  <c r="P35" i="1" s="1"/>
  <c r="I35" i="1"/>
  <c r="O35" i="1" s="1"/>
  <c r="H35" i="1"/>
  <c r="J39" i="1"/>
  <c r="H39" i="1"/>
  <c r="I39" i="1"/>
  <c r="F75" i="1"/>
  <c r="H58" i="1"/>
  <c r="L58" i="1"/>
  <c r="F203" i="1"/>
  <c r="L24" i="1"/>
  <c r="AB20" i="31"/>
  <c r="AI103" i="1"/>
  <c r="C289" i="20"/>
  <c r="AE328" i="1"/>
  <c r="AB129" i="1"/>
  <c r="C200" i="20"/>
  <c r="C152" i="20"/>
  <c r="Q231" i="1"/>
  <c r="L292" i="1"/>
  <c r="Q239" i="1"/>
  <c r="Q317" i="1"/>
  <c r="C205" i="20"/>
  <c r="C118" i="20"/>
  <c r="E152" i="20"/>
  <c r="L323" i="1"/>
  <c r="F323" i="1"/>
  <c r="Q64" i="1"/>
  <c r="L312" i="1"/>
  <c r="F312" i="1"/>
  <c r="F306" i="1"/>
  <c r="F292" i="1"/>
  <c r="Q186" i="1"/>
  <c r="L265" i="1"/>
  <c r="F265" i="1"/>
  <c r="F260" i="1"/>
  <c r="F249" i="1"/>
  <c r="F220" i="1"/>
  <c r="L220" i="1"/>
  <c r="L198" i="1"/>
  <c r="F198" i="1"/>
  <c r="L178" i="1"/>
  <c r="F178" i="1"/>
  <c r="L171" i="1"/>
  <c r="F171" i="1"/>
  <c r="F145" i="1"/>
  <c r="L139" i="1"/>
  <c r="F139" i="1"/>
  <c r="L129" i="1"/>
  <c r="F129" i="1"/>
  <c r="Q113" i="1"/>
  <c r="L113" i="1"/>
  <c r="F113" i="1"/>
  <c r="L100" i="1"/>
  <c r="F100" i="1"/>
  <c r="F84" i="1"/>
  <c r="L70" i="1"/>
  <c r="F70" i="1"/>
  <c r="F58" i="1"/>
  <c r="L49" i="1"/>
  <c r="F49" i="1"/>
  <c r="L32" i="1"/>
  <c r="F32" i="1"/>
  <c r="F24" i="1"/>
  <c r="L328" i="1"/>
  <c r="L186" i="1"/>
  <c r="L105" i="1"/>
  <c r="L75" i="1"/>
  <c r="L239" i="1"/>
  <c r="AI258" i="1"/>
  <c r="Q70" i="1"/>
  <c r="AB113" i="1"/>
  <c r="AI207" i="1"/>
  <c r="AI209" i="1"/>
  <c r="AI303" i="1"/>
  <c r="AI348" i="1"/>
  <c r="AB239" i="1"/>
  <c r="AI225" i="1"/>
  <c r="AI159" i="1"/>
  <c r="Q323" i="1"/>
  <c r="Q171" i="1"/>
  <c r="Q32" i="1"/>
  <c r="Q129" i="1"/>
  <c r="Q312" i="1"/>
  <c r="Q178" i="1"/>
  <c r="N91" i="1"/>
  <c r="Q100" i="1"/>
  <c r="F91" i="1"/>
  <c r="Q139" i="1"/>
  <c r="F42" i="1"/>
  <c r="E355" i="1"/>
  <c r="E357" i="1" s="1"/>
  <c r="C353" i="1"/>
  <c r="C355" i="1" s="1"/>
  <c r="C357" i="1" s="1"/>
  <c r="F70" i="49" l="1"/>
  <c r="E70" i="49"/>
  <c r="L84" i="1"/>
  <c r="G289" i="20"/>
  <c r="G291" i="20" s="1"/>
  <c r="F289" i="20"/>
  <c r="E289" i="20"/>
  <c r="C37" i="49"/>
  <c r="N39" i="1"/>
  <c r="X39" i="1" s="1"/>
  <c r="L39" i="1"/>
  <c r="Y36" i="1"/>
  <c r="AF36" i="1" s="1"/>
  <c r="O39" i="1"/>
  <c r="N35" i="1"/>
  <c r="Q35" i="1" s="1"/>
  <c r="L35" i="1"/>
  <c r="Y37" i="1"/>
  <c r="AF37" i="1" s="1"/>
  <c r="Z36" i="1"/>
  <c r="AG36" i="1" s="1"/>
  <c r="Q254" i="1"/>
  <c r="Q260" i="1" s="1"/>
  <c r="X254" i="1"/>
  <c r="AA254" i="1" s="1"/>
  <c r="Q332" i="1"/>
  <c r="Q338" i="1" s="1"/>
  <c r="X332" i="1"/>
  <c r="AA332" i="1" s="1"/>
  <c r="Z37" i="1"/>
  <c r="AG37" i="1" s="1"/>
  <c r="P39" i="1"/>
  <c r="Z39" i="1" s="1"/>
  <c r="AG39" i="1" s="1"/>
  <c r="V37" i="1"/>
  <c r="X37" i="1"/>
  <c r="V36" i="1"/>
  <c r="X36" i="1"/>
  <c r="Q78" i="1"/>
  <c r="X78" i="1"/>
  <c r="AA78" i="1" s="1"/>
  <c r="Q40" i="1"/>
  <c r="X40" i="1"/>
  <c r="AA40" i="1" s="1"/>
  <c r="Q79" i="1"/>
  <c r="X79" i="1"/>
  <c r="Q37" i="1"/>
  <c r="Q36" i="1"/>
  <c r="L260" i="1"/>
  <c r="O84" i="1"/>
  <c r="P84" i="1"/>
  <c r="N84" i="1"/>
  <c r="O338" i="1"/>
  <c r="O260" i="1"/>
  <c r="P249" i="1"/>
  <c r="P338" i="1"/>
  <c r="N260" i="1"/>
  <c r="O249" i="1"/>
  <c r="N338" i="1"/>
  <c r="P260" i="1"/>
  <c r="C65" i="37"/>
  <c r="N249" i="1"/>
  <c r="Q249" i="1"/>
  <c r="J42" i="1"/>
  <c r="H42" i="1"/>
  <c r="I42" i="1"/>
  <c r="N58" i="1"/>
  <c r="Q58" i="1"/>
  <c r="N24" i="1"/>
  <c r="AB21" i="31"/>
  <c r="R21" i="31"/>
  <c r="R59" i="31" s="1"/>
  <c r="AB328" i="1"/>
  <c r="AI326" i="1"/>
  <c r="AI328" i="1" s="1"/>
  <c r="AI143" i="1"/>
  <c r="AI178" i="1"/>
  <c r="AI120" i="1"/>
  <c r="AI68" i="1"/>
  <c r="AI94" i="1"/>
  <c r="AI100" i="1" s="1"/>
  <c r="AI73" i="1"/>
  <c r="AI75" i="1" s="1"/>
  <c r="AE323" i="1"/>
  <c r="AI320" i="1"/>
  <c r="AI323" i="1" s="1"/>
  <c r="AB70" i="1"/>
  <c r="AI64" i="1"/>
  <c r="Q49" i="1"/>
  <c r="C291" i="20"/>
  <c r="C69" i="20"/>
  <c r="E165" i="20"/>
  <c r="C92" i="20"/>
  <c r="C127" i="20"/>
  <c r="E118" i="20"/>
  <c r="C176" i="20"/>
  <c r="F205" i="20"/>
  <c r="E205" i="20"/>
  <c r="F200" i="20"/>
  <c r="E200" i="20"/>
  <c r="C165" i="20"/>
  <c r="F60" i="20"/>
  <c r="E60" i="20"/>
  <c r="F152" i="20"/>
  <c r="F118" i="20"/>
  <c r="E127" i="20"/>
  <c r="Q198" i="1"/>
  <c r="Q220" i="1"/>
  <c r="AI186" i="1"/>
  <c r="AI113" i="1"/>
  <c r="AI105" i="1"/>
  <c r="Q292" i="1"/>
  <c r="AB32" i="1"/>
  <c r="AG32" i="1"/>
  <c r="AI312" i="1"/>
  <c r="Q91" i="1"/>
  <c r="AB49" i="1"/>
  <c r="AI171" i="1"/>
  <c r="AI139" i="1"/>
  <c r="AI231" i="1"/>
  <c r="F353" i="1"/>
  <c r="F355" i="1" s="1"/>
  <c r="L91" i="1"/>
  <c r="Q84" i="1" l="1"/>
  <c r="G70" i="49"/>
  <c r="K70" i="49" s="1"/>
  <c r="I70" i="49"/>
  <c r="H70" i="49"/>
  <c r="H289" i="20"/>
  <c r="J289" i="20" s="1"/>
  <c r="F37" i="49"/>
  <c r="E37" i="49"/>
  <c r="C34" i="49"/>
  <c r="AA36" i="1"/>
  <c r="AB40" i="1"/>
  <c r="C38" i="20" s="1"/>
  <c r="AA37" i="1"/>
  <c r="C33" i="49"/>
  <c r="AD40" i="1"/>
  <c r="AA79" i="1"/>
  <c r="AA84" i="1" s="1"/>
  <c r="AC79" i="1"/>
  <c r="AD79" i="1"/>
  <c r="AE79" i="1"/>
  <c r="AB79" i="1"/>
  <c r="Q39" i="1"/>
  <c r="Y39" i="1"/>
  <c r="AC40" i="1"/>
  <c r="AE40" i="1"/>
  <c r="X84" i="1"/>
  <c r="AE78" i="1"/>
  <c r="AC78" i="1"/>
  <c r="AD78" i="1"/>
  <c r="AB78" i="1"/>
  <c r="AF78" i="1"/>
  <c r="Y84" i="1"/>
  <c r="AG78" i="1"/>
  <c r="AG84" i="1" s="1"/>
  <c r="Z84" i="1"/>
  <c r="L42" i="1"/>
  <c r="AF244" i="1"/>
  <c r="C212" i="49" s="1"/>
  <c r="Y249" i="1"/>
  <c r="D65" i="37"/>
  <c r="C71" i="37"/>
  <c r="AG332" i="1"/>
  <c r="Z338" i="1"/>
  <c r="AF254" i="1"/>
  <c r="C221" i="49" s="1"/>
  <c r="Y260" i="1"/>
  <c r="AC332" i="1"/>
  <c r="AE332" i="1"/>
  <c r="AB332" i="1"/>
  <c r="AD332" i="1"/>
  <c r="X338" i="1"/>
  <c r="AG254" i="1"/>
  <c r="Z260" i="1"/>
  <c r="AE254" i="1"/>
  <c r="AD254" i="1"/>
  <c r="AC254" i="1"/>
  <c r="AB254" i="1"/>
  <c r="X260" i="1"/>
  <c r="AG244" i="1"/>
  <c r="Z249" i="1"/>
  <c r="AF332" i="1"/>
  <c r="C290" i="49" s="1"/>
  <c r="Y338" i="1"/>
  <c r="AE53" i="1"/>
  <c r="AC53" i="1"/>
  <c r="AD53" i="1"/>
  <c r="AB53" i="1"/>
  <c r="N42" i="1"/>
  <c r="AD39" i="1"/>
  <c r="AB39" i="1"/>
  <c r="AE39" i="1"/>
  <c r="AC39" i="1"/>
  <c r="AB37" i="1"/>
  <c r="AD37" i="1"/>
  <c r="AC37" i="1"/>
  <c r="AE37" i="1"/>
  <c r="AB36" i="1"/>
  <c r="AD36" i="1"/>
  <c r="AC36" i="1"/>
  <c r="AE36" i="1"/>
  <c r="Y35" i="1"/>
  <c r="O42" i="1"/>
  <c r="Z35" i="1"/>
  <c r="P42" i="1"/>
  <c r="X58" i="1"/>
  <c r="X24" i="1"/>
  <c r="AI129" i="1"/>
  <c r="AI239" i="1"/>
  <c r="AI70" i="1"/>
  <c r="C65" i="20"/>
  <c r="AI198" i="1"/>
  <c r="C83" i="20"/>
  <c r="AB91" i="1"/>
  <c r="C287" i="20"/>
  <c r="C212" i="20"/>
  <c r="C158" i="20"/>
  <c r="C103" i="20"/>
  <c r="C96" i="20"/>
  <c r="F291" i="20"/>
  <c r="E291" i="20"/>
  <c r="E176" i="20"/>
  <c r="F92" i="20"/>
  <c r="E92" i="20"/>
  <c r="F69" i="20"/>
  <c r="E69" i="20"/>
  <c r="F65" i="20"/>
  <c r="E65" i="20"/>
  <c r="E132" i="20"/>
  <c r="E287" i="20"/>
  <c r="E212" i="20"/>
  <c r="E158" i="20"/>
  <c r="E103" i="20"/>
  <c r="F127" i="20"/>
  <c r="E96" i="20"/>
  <c r="F176" i="20"/>
  <c r="AI49" i="1"/>
  <c r="AI32" i="1"/>
  <c r="AI91" i="1"/>
  <c r="C310" i="20"/>
  <c r="J310" i="20" s="1"/>
  <c r="L70" i="49" l="1"/>
  <c r="AI40" i="1"/>
  <c r="G38" i="20"/>
  <c r="E38" i="20"/>
  <c r="F38" i="20"/>
  <c r="AC84" i="1"/>
  <c r="F290" i="49"/>
  <c r="E290" i="49"/>
  <c r="F221" i="49"/>
  <c r="E221" i="49"/>
  <c r="F212" i="49"/>
  <c r="E212" i="49"/>
  <c r="G37" i="49"/>
  <c r="K37" i="49" s="1"/>
  <c r="E34" i="49"/>
  <c r="F34" i="49"/>
  <c r="E33" i="49"/>
  <c r="F33" i="49"/>
  <c r="I37" i="49"/>
  <c r="H37" i="49"/>
  <c r="AF84" i="1"/>
  <c r="C69" i="49"/>
  <c r="AE84" i="1"/>
  <c r="AD84" i="1"/>
  <c r="C225" i="20"/>
  <c r="C294" i="20"/>
  <c r="AA39" i="1"/>
  <c r="AF39" i="1"/>
  <c r="V42" i="1"/>
  <c r="X35" i="1"/>
  <c r="AA35" i="1" s="1"/>
  <c r="AI79" i="1"/>
  <c r="C72" i="20"/>
  <c r="C53" i="49"/>
  <c r="C71" i="20"/>
  <c r="AI78" i="1"/>
  <c r="AI84" i="1" s="1"/>
  <c r="AB84" i="1"/>
  <c r="AD263" i="1"/>
  <c r="AD265" i="1" s="1"/>
  <c r="AC263" i="1"/>
  <c r="AC265" i="1" s="1"/>
  <c r="AE263" i="1"/>
  <c r="AE265" i="1" s="1"/>
  <c r="S244" i="1"/>
  <c r="D71" i="37"/>
  <c r="AA260" i="1"/>
  <c r="AI254" i="1"/>
  <c r="AA338" i="1"/>
  <c r="AI332" i="1"/>
  <c r="AB334" i="1"/>
  <c r="C296" i="20" s="1"/>
  <c r="AC334" i="1"/>
  <c r="AC338" i="1" s="1"/>
  <c r="AG334" i="1"/>
  <c r="AG338" i="1" s="1"/>
  <c r="AF334" i="1"/>
  <c r="AD334" i="1"/>
  <c r="AD338" i="1" s="1"/>
  <c r="AE334" i="1"/>
  <c r="AE338" i="1" s="1"/>
  <c r="AB256" i="1"/>
  <c r="AB246" i="1"/>
  <c r="AF246" i="1"/>
  <c r="AC256" i="1"/>
  <c r="AC260" i="1" s="1"/>
  <c r="AE256" i="1"/>
  <c r="AE260" i="1" s="1"/>
  <c r="AD256" i="1"/>
  <c r="AD260" i="1" s="1"/>
  <c r="AG256" i="1"/>
  <c r="AG260" i="1" s="1"/>
  <c r="AC246" i="1"/>
  <c r="AE246" i="1"/>
  <c r="AD246" i="1"/>
  <c r="AG246" i="1"/>
  <c r="AG249" i="1" s="1"/>
  <c r="AF256" i="1"/>
  <c r="C35" i="20"/>
  <c r="AI37" i="1"/>
  <c r="T42" i="1"/>
  <c r="T353" i="1" s="1"/>
  <c r="Q42" i="1"/>
  <c r="U42" i="1"/>
  <c r="U353" i="1" s="1"/>
  <c r="C34" i="20"/>
  <c r="AI36" i="1"/>
  <c r="C37" i="20"/>
  <c r="S42" i="1"/>
  <c r="AG58" i="1"/>
  <c r="AD58" i="1"/>
  <c r="AC58" i="1"/>
  <c r="AE58" i="1"/>
  <c r="AF58" i="1"/>
  <c r="AA58" i="1"/>
  <c r="AA24" i="1"/>
  <c r="AI22" i="1"/>
  <c r="C21" i="20"/>
  <c r="F165" i="20"/>
  <c r="C46" i="20"/>
  <c r="C31" i="20"/>
  <c r="H118" i="20"/>
  <c r="J118" i="20" s="1"/>
  <c r="H152" i="20"/>
  <c r="J152" i="20" s="1"/>
  <c r="H60" i="20"/>
  <c r="J60" i="20" s="1"/>
  <c r="H165" i="20"/>
  <c r="J165" i="20" s="1"/>
  <c r="H200" i="20"/>
  <c r="J200" i="20" s="1"/>
  <c r="H205" i="20"/>
  <c r="J205" i="20" s="1"/>
  <c r="F287" i="20"/>
  <c r="E31" i="20"/>
  <c r="F158" i="20"/>
  <c r="F96" i="20"/>
  <c r="F212" i="20"/>
  <c r="F296" i="20" l="1"/>
  <c r="G296" i="20"/>
  <c r="E296" i="20"/>
  <c r="F69" i="49"/>
  <c r="E69" i="49"/>
  <c r="G294" i="20"/>
  <c r="E294" i="20"/>
  <c r="F294" i="20"/>
  <c r="G225" i="20"/>
  <c r="E225" i="20"/>
  <c r="F225" i="20"/>
  <c r="H38" i="20"/>
  <c r="J38" i="20" s="1"/>
  <c r="G37" i="20"/>
  <c r="E37" i="20"/>
  <c r="F37" i="20"/>
  <c r="G21" i="20"/>
  <c r="G23" i="20" s="1"/>
  <c r="C5" i="53" s="1"/>
  <c r="E21" i="20"/>
  <c r="F21" i="20"/>
  <c r="G71" i="20"/>
  <c r="F71" i="20"/>
  <c r="E71" i="20"/>
  <c r="G34" i="20"/>
  <c r="E34" i="20"/>
  <c r="F34" i="20"/>
  <c r="G35" i="20"/>
  <c r="E35" i="20"/>
  <c r="F35" i="20"/>
  <c r="G72" i="20"/>
  <c r="F72" i="20"/>
  <c r="E72" i="20"/>
  <c r="H212" i="49"/>
  <c r="I212" i="49"/>
  <c r="I217" i="49" s="1"/>
  <c r="F217" i="49"/>
  <c r="G212" i="49"/>
  <c r="E217" i="49"/>
  <c r="I221" i="49"/>
  <c r="I227" i="49" s="1"/>
  <c r="H221" i="49"/>
  <c r="F227" i="49"/>
  <c r="G290" i="49"/>
  <c r="E296" i="49"/>
  <c r="G221" i="49"/>
  <c r="E227" i="49"/>
  <c r="I290" i="49"/>
  <c r="I296" i="49" s="1"/>
  <c r="H290" i="49"/>
  <c r="F296" i="49"/>
  <c r="G34" i="49"/>
  <c r="K34" i="49" s="1"/>
  <c r="G33" i="49"/>
  <c r="K33" i="49" s="1"/>
  <c r="L37" i="49"/>
  <c r="I33" i="49"/>
  <c r="H33" i="49"/>
  <c r="H34" i="49"/>
  <c r="I34" i="49"/>
  <c r="AF249" i="1"/>
  <c r="C214" i="49"/>
  <c r="K214" i="49" s="1"/>
  <c r="AF260" i="1"/>
  <c r="C223" i="49"/>
  <c r="AF338" i="1"/>
  <c r="C292" i="49"/>
  <c r="C36" i="49"/>
  <c r="X244" i="1"/>
  <c r="AA244" i="1" s="1"/>
  <c r="V244" i="1"/>
  <c r="V249" i="1" s="1"/>
  <c r="V353" i="1" s="1"/>
  <c r="AI39" i="1"/>
  <c r="C75" i="49"/>
  <c r="C77" i="20"/>
  <c r="AC25" i="1"/>
  <c r="AB25" i="1"/>
  <c r="AD25" i="1"/>
  <c r="AE25" i="1"/>
  <c r="Z25" i="1"/>
  <c r="Y25" i="1"/>
  <c r="X25" i="1"/>
  <c r="AB263" i="1"/>
  <c r="S249" i="1"/>
  <c r="S353" i="1" s="1"/>
  <c r="B94" i="37" s="1"/>
  <c r="AI334" i="1"/>
  <c r="AI338" i="1" s="1"/>
  <c r="AB338" i="1"/>
  <c r="C218" i="20"/>
  <c r="AI246" i="1"/>
  <c r="AB315" i="1"/>
  <c r="AD315" i="1"/>
  <c r="AC315" i="1"/>
  <c r="AE315" i="1"/>
  <c r="C227" i="20"/>
  <c r="AI256" i="1"/>
  <c r="AI260" i="1" s="1"/>
  <c r="AB260" i="1"/>
  <c r="Z42" i="1"/>
  <c r="AG35" i="1"/>
  <c r="AG42" i="1" s="1"/>
  <c r="AD35" i="1"/>
  <c r="AD42" i="1" s="1"/>
  <c r="AA42" i="1"/>
  <c r="AE35" i="1"/>
  <c r="AE42" i="1" s="1"/>
  <c r="AC35" i="1"/>
  <c r="AC42" i="1" s="1"/>
  <c r="X42" i="1"/>
  <c r="AB35" i="1"/>
  <c r="AF35" i="1"/>
  <c r="C32" i="49" s="1"/>
  <c r="Y42" i="1"/>
  <c r="B35" i="31"/>
  <c r="C50" i="20"/>
  <c r="AI53" i="1"/>
  <c r="AI58" i="1" s="1"/>
  <c r="AB58" i="1"/>
  <c r="H69" i="20"/>
  <c r="J69" i="20" s="1"/>
  <c r="H291" i="20"/>
  <c r="J291" i="20" s="1"/>
  <c r="H127" i="20"/>
  <c r="J127" i="20" s="1"/>
  <c r="H65" i="20"/>
  <c r="J65" i="20" s="1"/>
  <c r="H176" i="20"/>
  <c r="J176" i="20" s="1"/>
  <c r="H92" i="20"/>
  <c r="J92" i="20" s="1"/>
  <c r="F103" i="20"/>
  <c r="F46" i="20"/>
  <c r="E46" i="20"/>
  <c r="F31" i="20"/>
  <c r="H296" i="20" l="1"/>
  <c r="J296" i="20" s="1"/>
  <c r="G227" i="20"/>
  <c r="G231" i="20" s="1"/>
  <c r="F227" i="20"/>
  <c r="F231" i="20" s="1"/>
  <c r="E227" i="20"/>
  <c r="E231" i="20" s="1"/>
  <c r="F218" i="20"/>
  <c r="E218" i="20"/>
  <c r="G218" i="20"/>
  <c r="G69" i="49"/>
  <c r="E75" i="49"/>
  <c r="I69" i="49"/>
  <c r="I75" i="49" s="1"/>
  <c r="H69" i="49"/>
  <c r="F75" i="49"/>
  <c r="G300" i="20"/>
  <c r="H72" i="20"/>
  <c r="J72" i="20" s="1"/>
  <c r="H35" i="20"/>
  <c r="J35" i="20" s="1"/>
  <c r="H37" i="20"/>
  <c r="J37" i="20" s="1"/>
  <c r="H34" i="20"/>
  <c r="J34" i="20" s="1"/>
  <c r="E300" i="20"/>
  <c r="H71" i="20"/>
  <c r="J71" i="20" s="1"/>
  <c r="H21" i="20"/>
  <c r="H294" i="20"/>
  <c r="H225" i="20"/>
  <c r="J225" i="20" s="1"/>
  <c r="F300" i="20"/>
  <c r="G77" i="20"/>
  <c r="G50" i="20"/>
  <c r="G55" i="20" s="1"/>
  <c r="F50" i="20"/>
  <c r="E50" i="20"/>
  <c r="E77" i="20"/>
  <c r="F77" i="20"/>
  <c r="C296" i="49"/>
  <c r="K292" i="49"/>
  <c r="G217" i="49"/>
  <c r="K212" i="49"/>
  <c r="L290" i="49"/>
  <c r="H296" i="49"/>
  <c r="G227" i="49"/>
  <c r="K221" i="49"/>
  <c r="L221" i="49"/>
  <c r="H227" i="49"/>
  <c r="K290" i="49"/>
  <c r="G296" i="49"/>
  <c r="L212" i="49"/>
  <c r="H217" i="49"/>
  <c r="L33" i="49"/>
  <c r="C227" i="49"/>
  <c r="K223" i="49"/>
  <c r="L34" i="49"/>
  <c r="E36" i="49"/>
  <c r="F36" i="49"/>
  <c r="E32" i="49"/>
  <c r="F32" i="49"/>
  <c r="C231" i="49"/>
  <c r="C278" i="49"/>
  <c r="AA25" i="1"/>
  <c r="C233" i="20"/>
  <c r="AB265" i="1"/>
  <c r="AI263" i="1"/>
  <c r="AI265" i="1" s="1"/>
  <c r="AE244" i="1"/>
  <c r="AE249" i="1" s="1"/>
  <c r="AD244" i="1"/>
  <c r="AD249" i="1" s="1"/>
  <c r="AC244" i="1"/>
  <c r="AC249" i="1" s="1"/>
  <c r="AB244" i="1"/>
  <c r="X249" i="1"/>
  <c r="AF42" i="1"/>
  <c r="C300" i="20"/>
  <c r="C231" i="20"/>
  <c r="C33" i="20"/>
  <c r="AI35" i="1"/>
  <c r="AB42" i="1"/>
  <c r="C186" i="20"/>
  <c r="T59" i="31"/>
  <c r="C250" i="20"/>
  <c r="C251" i="20"/>
  <c r="C252" i="20"/>
  <c r="AG317" i="1"/>
  <c r="AC317" i="1"/>
  <c r="C187" i="20"/>
  <c r="C253" i="20"/>
  <c r="AD317" i="1"/>
  <c r="C239" i="20"/>
  <c r="C249" i="20"/>
  <c r="C248" i="20"/>
  <c r="C55" i="20"/>
  <c r="C280" i="20"/>
  <c r="H158" i="20"/>
  <c r="J158" i="20" s="1"/>
  <c r="H212" i="20"/>
  <c r="J212" i="20" s="1"/>
  <c r="H287" i="20"/>
  <c r="J287" i="20" s="1"/>
  <c r="H96" i="20"/>
  <c r="J96" i="20" s="1"/>
  <c r="H103" i="20"/>
  <c r="J103" i="20" s="1"/>
  <c r="H227" i="20" l="1"/>
  <c r="H218" i="20"/>
  <c r="J218" i="20" s="1"/>
  <c r="H300" i="20"/>
  <c r="J300" i="20" s="1"/>
  <c r="J294" i="20"/>
  <c r="H75" i="49"/>
  <c r="L69" i="49"/>
  <c r="G75" i="49"/>
  <c r="K69" i="49"/>
  <c r="H77" i="20"/>
  <c r="J77" i="20" s="1"/>
  <c r="E250" i="20"/>
  <c r="G250" i="20"/>
  <c r="F250" i="20"/>
  <c r="E239" i="20"/>
  <c r="G239" i="20"/>
  <c r="F239" i="20"/>
  <c r="E253" i="20"/>
  <c r="G253" i="20"/>
  <c r="F253" i="20"/>
  <c r="E252" i="20"/>
  <c r="G252" i="20"/>
  <c r="F252" i="20"/>
  <c r="E248" i="20"/>
  <c r="G248" i="20"/>
  <c r="F248" i="20"/>
  <c r="E249" i="20"/>
  <c r="G249" i="20"/>
  <c r="F249" i="20"/>
  <c r="E251" i="20"/>
  <c r="G251" i="20"/>
  <c r="F251" i="20"/>
  <c r="H50" i="20"/>
  <c r="J50" i="20" s="1"/>
  <c r="F187" i="20"/>
  <c r="E187" i="20"/>
  <c r="G187" i="20"/>
  <c r="G33" i="20"/>
  <c r="G40" i="20" s="1"/>
  <c r="E33" i="20"/>
  <c r="F33" i="20"/>
  <c r="F40" i="20" s="1"/>
  <c r="E186" i="20"/>
  <c r="G186" i="20"/>
  <c r="F186" i="20"/>
  <c r="H32" i="49"/>
  <c r="I32" i="49"/>
  <c r="F39" i="49"/>
  <c r="I36" i="49"/>
  <c r="H36" i="49"/>
  <c r="G32" i="49"/>
  <c r="K32" i="49" s="1"/>
  <c r="E39" i="49"/>
  <c r="G36" i="49"/>
  <c r="K36" i="49" s="1"/>
  <c r="C39" i="49"/>
  <c r="C217" i="49"/>
  <c r="C235" i="20"/>
  <c r="AI42" i="1"/>
  <c r="C216" i="20"/>
  <c r="AB249" i="1"/>
  <c r="AA249" i="1"/>
  <c r="AI244" i="1"/>
  <c r="AI249" i="1" s="1"/>
  <c r="AB34" i="31"/>
  <c r="C40" i="20"/>
  <c r="AG220" i="1"/>
  <c r="AG292" i="1"/>
  <c r="AD220" i="1"/>
  <c r="AC220" i="1"/>
  <c r="AD292" i="1"/>
  <c r="AC292" i="1"/>
  <c r="H83" i="20"/>
  <c r="J83" i="20" s="1"/>
  <c r="E55" i="20"/>
  <c r="H31" i="20"/>
  <c r="J31" i="20" s="1"/>
  <c r="H46" i="20"/>
  <c r="J46" i="20" s="1"/>
  <c r="AG295" i="1"/>
  <c r="H231" i="20" l="1"/>
  <c r="J231" i="20" s="1"/>
  <c r="J227" i="20"/>
  <c r="H249" i="20"/>
  <c r="J249" i="20" s="1"/>
  <c r="H239" i="20"/>
  <c r="J239" i="20" s="1"/>
  <c r="H186" i="20"/>
  <c r="J186" i="20" s="1"/>
  <c r="H251" i="20"/>
  <c r="J251" i="20" s="1"/>
  <c r="H253" i="20"/>
  <c r="J253" i="20" s="1"/>
  <c r="H187" i="20"/>
  <c r="J187" i="20" s="1"/>
  <c r="H252" i="20"/>
  <c r="J252" i="20" s="1"/>
  <c r="H33" i="20"/>
  <c r="H248" i="20"/>
  <c r="J248" i="20" s="1"/>
  <c r="G261" i="20"/>
  <c r="H250" i="20"/>
  <c r="J250" i="20" s="1"/>
  <c r="G196" i="20"/>
  <c r="E40" i="20"/>
  <c r="G216" i="20"/>
  <c r="G221" i="20" s="1"/>
  <c r="F216" i="20"/>
  <c r="F221" i="20" s="1"/>
  <c r="E216" i="20"/>
  <c r="L36" i="49"/>
  <c r="L32" i="49"/>
  <c r="I39" i="49"/>
  <c r="G39" i="49"/>
  <c r="H39" i="49"/>
  <c r="C221" i="20"/>
  <c r="F55" i="20"/>
  <c r="H40" i="20" l="1"/>
  <c r="J40" i="20" s="1"/>
  <c r="J33" i="20"/>
  <c r="H216" i="20"/>
  <c r="E221" i="20"/>
  <c r="H55" i="20"/>
  <c r="J55" i="20" s="1"/>
  <c r="H221" i="20" l="1"/>
  <c r="J221" i="20" s="1"/>
  <c r="J216" i="20"/>
  <c r="Q24" i="1"/>
  <c r="Q164" i="1" l="1"/>
  <c r="AB164" i="1" l="1"/>
  <c r="AI164" i="1" l="1"/>
  <c r="C146" i="20" l="1"/>
  <c r="AE220" i="1" l="1"/>
  <c r="AE292" i="1"/>
  <c r="AI284" i="1"/>
  <c r="AI270" i="1"/>
  <c r="AI282" i="1"/>
  <c r="AI210" i="1"/>
  <c r="AI279" i="1"/>
  <c r="AI211" i="1"/>
  <c r="AI280" i="1"/>
  <c r="AI281" i="1"/>
  <c r="AI283" i="1"/>
  <c r="AF317" i="1"/>
  <c r="AE317" i="1"/>
  <c r="AB317" i="1"/>
  <c r="AI24" i="1"/>
  <c r="E23" i="20"/>
  <c r="C23" i="20"/>
  <c r="C5" i="22" s="1"/>
  <c r="C5" i="52" l="1"/>
  <c r="I7" i="52" s="1"/>
  <c r="G24" i="20"/>
  <c r="E24" i="20"/>
  <c r="C24" i="20"/>
  <c r="AI315" i="1"/>
  <c r="AI317" i="1" s="1"/>
  <c r="AF292" i="1"/>
  <c r="AF220" i="1"/>
  <c r="AH25" i="1"/>
  <c r="AB220" i="1"/>
  <c r="J19" i="52" l="1"/>
  <c r="E144" i="20"/>
  <c r="E146" i="20" s="1"/>
  <c r="E280" i="20"/>
  <c r="E282" i="20" s="1"/>
  <c r="E233" i="20"/>
  <c r="G144" i="20"/>
  <c r="G146" i="20" s="1"/>
  <c r="G280" i="20"/>
  <c r="G282" i="20" s="1"/>
  <c r="G233" i="20"/>
  <c r="G235" i="20" s="1"/>
  <c r="AB292" i="1"/>
  <c r="C282" i="20"/>
  <c r="H23" i="20"/>
  <c r="F23" i="20"/>
  <c r="AI292" i="1"/>
  <c r="H24" i="20" l="1"/>
  <c r="J24" i="20" s="1"/>
  <c r="J23" i="20"/>
  <c r="F24" i="20"/>
  <c r="F233" i="20" s="1"/>
  <c r="F235" i="20" s="1"/>
  <c r="C5" i="51"/>
  <c r="I7" i="51" s="1"/>
  <c r="I7" i="53"/>
  <c r="E235" i="20"/>
  <c r="AI220" i="1"/>
  <c r="I7" i="22"/>
  <c r="C261" i="20"/>
  <c r="C196" i="20"/>
  <c r="F144" i="20" l="1"/>
  <c r="H144" i="20" s="1"/>
  <c r="J144" i="20" s="1"/>
  <c r="F280" i="20"/>
  <c r="H280" i="20" s="1"/>
  <c r="J280" i="20" s="1"/>
  <c r="J19" i="51"/>
  <c r="J19" i="53"/>
  <c r="H233" i="20"/>
  <c r="F196" i="20"/>
  <c r="J19" i="22"/>
  <c r="E196" i="20"/>
  <c r="E261" i="20"/>
  <c r="F261" i="20"/>
  <c r="H235" i="20" l="1"/>
  <c r="J235" i="20" s="1"/>
  <c r="J233" i="20"/>
  <c r="F282" i="20"/>
  <c r="F146" i="20"/>
  <c r="H146" i="20"/>
  <c r="J146" i="20" s="1"/>
  <c r="H282" i="20"/>
  <c r="J282" i="20" s="1"/>
  <c r="H196" i="20"/>
  <c r="J196" i="20" s="1"/>
  <c r="H261" i="20" l="1"/>
  <c r="J261" i="20" s="1"/>
  <c r="D91" i="1" l="1"/>
  <c r="D353" i="1" s="1"/>
  <c r="D355" i="1" s="1"/>
  <c r="D357" i="1" s="1"/>
  <c r="AI204" i="1" l="1"/>
  <c r="B38" i="31"/>
  <c r="H201" i="1" l="1"/>
  <c r="S57" i="31"/>
  <c r="S59" i="31" l="1"/>
  <c r="AB57" i="31"/>
  <c r="N201" i="1"/>
  <c r="L201" i="1"/>
  <c r="L203" i="1" s="1"/>
  <c r="J203" i="1"/>
  <c r="J353" i="1" s="1"/>
  <c r="I203" i="1"/>
  <c r="I353" i="1" s="1"/>
  <c r="H203" i="1"/>
  <c r="Q201" i="1" l="1"/>
  <c r="Q203" i="1" s="1"/>
  <c r="X201" i="1"/>
  <c r="AA201" i="1" s="1"/>
  <c r="N203" i="1"/>
  <c r="O203" i="1"/>
  <c r="O353" i="1" s="1"/>
  <c r="P203" i="1"/>
  <c r="P353" i="1" s="1"/>
  <c r="AG201" i="1" l="1"/>
  <c r="AG203" i="1" s="1"/>
  <c r="Z203" i="1"/>
  <c r="Z353" i="1" s="1"/>
  <c r="AF201" i="1"/>
  <c r="Y203" i="1"/>
  <c r="Y353" i="1" s="1"/>
  <c r="AB201" i="1"/>
  <c r="AC201" i="1"/>
  <c r="AC203" i="1" s="1"/>
  <c r="AD201" i="1"/>
  <c r="AD203" i="1" s="1"/>
  <c r="AA203" i="1"/>
  <c r="AE201" i="1"/>
  <c r="AE203" i="1" s="1"/>
  <c r="X203" i="1"/>
  <c r="AF203" i="1" l="1"/>
  <c r="C174" i="49"/>
  <c r="C178" i="20"/>
  <c r="AI201" i="1"/>
  <c r="AI203" i="1" s="1"/>
  <c r="AB203" i="1"/>
  <c r="G178" i="20" l="1"/>
  <c r="G180" i="20" s="1"/>
  <c r="F178" i="20"/>
  <c r="F180" i="20" s="1"/>
  <c r="E178" i="20"/>
  <c r="F174" i="49"/>
  <c r="E174" i="49"/>
  <c r="C176" i="49"/>
  <c r="C180" i="20"/>
  <c r="H178" i="20" l="1"/>
  <c r="E180" i="20"/>
  <c r="G174" i="49"/>
  <c r="E176" i="49"/>
  <c r="E308" i="49" s="1"/>
  <c r="I174" i="49"/>
  <c r="I176" i="49" s="1"/>
  <c r="I308" i="49" s="1"/>
  <c r="I312" i="49" s="1"/>
  <c r="H174" i="49"/>
  <c r="F176" i="49"/>
  <c r="F308" i="49" s="1"/>
  <c r="H180" i="20" l="1"/>
  <c r="J180" i="20" s="1"/>
  <c r="J178" i="20"/>
  <c r="H315" i="49"/>
  <c r="H316" i="49" s="1"/>
  <c r="A138" i="31" s="1"/>
  <c r="H176" i="49"/>
  <c r="L174" i="49"/>
  <c r="L308" i="49" s="1"/>
  <c r="E312" i="49"/>
  <c r="E310" i="49"/>
  <c r="F312" i="49"/>
  <c r="F310" i="49"/>
  <c r="G176" i="49"/>
  <c r="G308" i="49" s="1"/>
  <c r="G312" i="49" s="1"/>
  <c r="K174" i="49"/>
  <c r="AA28" i="31" l="1"/>
  <c r="AA59" i="31" s="1"/>
  <c r="H308" i="49"/>
  <c r="H312" i="49" s="1"/>
  <c r="AB28" i="31"/>
  <c r="H142" i="1" l="1"/>
  <c r="N142" i="1"/>
  <c r="L142" i="1"/>
  <c r="L145" i="1" s="1"/>
  <c r="H145" i="1"/>
  <c r="Q142" i="1" l="1"/>
  <c r="Q145" i="1" s="1"/>
  <c r="X142" i="1"/>
  <c r="N145" i="1"/>
  <c r="AA142" i="1" l="1"/>
  <c r="AE145" i="1"/>
  <c r="X145" i="1"/>
  <c r="J40" i="26"/>
  <c r="J24" i="26"/>
  <c r="B32" i="26"/>
  <c r="AC142" i="1" l="1"/>
  <c r="AD142" i="1"/>
  <c r="AB142" i="1"/>
  <c r="C129" i="20" s="1"/>
  <c r="AA145" i="1"/>
  <c r="O40" i="26"/>
  <c r="G95" i="7" s="1"/>
  <c r="AF302" i="1" s="1"/>
  <c r="C265" i="49" s="1"/>
  <c r="K265" i="49" s="1"/>
  <c r="P40" i="26"/>
  <c r="H95" i="7" s="1"/>
  <c r="AG302" i="1" s="1"/>
  <c r="M40" i="26"/>
  <c r="E95" i="7" s="1"/>
  <c r="AD302" i="1" s="1"/>
  <c r="K40" i="26"/>
  <c r="C95" i="7" s="1"/>
  <c r="N40" i="26"/>
  <c r="F95" i="7" s="1"/>
  <c r="AE302" i="1" s="1"/>
  <c r="L40" i="26"/>
  <c r="D95" i="7" s="1"/>
  <c r="AC302" i="1" s="1"/>
  <c r="J28" i="26"/>
  <c r="J22" i="26"/>
  <c r="L24" i="26"/>
  <c r="K24" i="26"/>
  <c r="M24" i="26"/>
  <c r="J30" i="26"/>
  <c r="J38" i="26"/>
  <c r="J36" i="26"/>
  <c r="S24" i="26"/>
  <c r="D78" i="31" l="1"/>
  <c r="AC145" i="1"/>
  <c r="AD145" i="1"/>
  <c r="AB145" i="1"/>
  <c r="C132" i="20"/>
  <c r="F129" i="20"/>
  <c r="AI142" i="1"/>
  <c r="AI145" i="1" s="1"/>
  <c r="N28" i="26"/>
  <c r="F85" i="7" s="1"/>
  <c r="L28" i="26"/>
  <c r="D85" i="7" s="1"/>
  <c r="M28" i="26"/>
  <c r="E85" i="7" s="1"/>
  <c r="K28" i="26"/>
  <c r="C85" i="7" s="1"/>
  <c r="C53" i="8" s="1"/>
  <c r="E53" i="8" s="1"/>
  <c r="E55" i="8" s="1"/>
  <c r="F264" i="20" s="1"/>
  <c r="K22" i="26"/>
  <c r="L22" i="26"/>
  <c r="D83" i="7" s="1"/>
  <c r="M22" i="26"/>
  <c r="E83" i="7" s="1"/>
  <c r="N22" i="26"/>
  <c r="F83" i="7" s="1"/>
  <c r="L36" i="26"/>
  <c r="D90" i="7" s="1"/>
  <c r="AC298" i="1" s="1"/>
  <c r="O36" i="26"/>
  <c r="G90" i="7" s="1"/>
  <c r="M36" i="26"/>
  <c r="E90" i="7" s="1"/>
  <c r="AD298" i="1" s="1"/>
  <c r="P36" i="26"/>
  <c r="H90" i="7" s="1"/>
  <c r="N36" i="26"/>
  <c r="F90" i="7" s="1"/>
  <c r="AE298" i="1" s="1"/>
  <c r="K36" i="26"/>
  <c r="C90" i="7" s="1"/>
  <c r="AB298" i="1" s="1"/>
  <c r="M38" i="26"/>
  <c r="E91" i="7" s="1"/>
  <c r="AD299" i="1" s="1"/>
  <c r="L38" i="26"/>
  <c r="D91" i="7" s="1"/>
  <c r="AC299" i="1" s="1"/>
  <c r="P38" i="26"/>
  <c r="H91" i="7" s="1"/>
  <c r="O38" i="26"/>
  <c r="G91" i="7" s="1"/>
  <c r="K38" i="26"/>
  <c r="C91" i="7" s="1"/>
  <c r="AB299" i="1" s="1"/>
  <c r="C63" i="8"/>
  <c r="E78" i="31"/>
  <c r="V49" i="31" s="1"/>
  <c r="AB302" i="1"/>
  <c r="N38" i="26"/>
  <c r="F91" i="7" s="1"/>
  <c r="AE299" i="1" s="1"/>
  <c r="U24" i="26"/>
  <c r="T24" i="26"/>
  <c r="V24" i="26"/>
  <c r="M30" i="26"/>
  <c r="E86" i="7" s="1"/>
  <c r="K30" i="26"/>
  <c r="C86" i="7" s="1"/>
  <c r="C54" i="8" s="1"/>
  <c r="F54" i="8" s="1"/>
  <c r="F55" i="8" s="1"/>
  <c r="G264" i="20" s="1"/>
  <c r="L30" i="26"/>
  <c r="D86" i="7" s="1"/>
  <c r="S22" i="26"/>
  <c r="S40" i="26"/>
  <c r="S38" i="26"/>
  <c r="D32" i="26"/>
  <c r="J11" i="26"/>
  <c r="N11" i="26" s="1"/>
  <c r="F77" i="7" s="1"/>
  <c r="H302" i="1" l="1"/>
  <c r="AB49" i="31"/>
  <c r="H129" i="20"/>
  <c r="F132" i="20"/>
  <c r="T22" i="26"/>
  <c r="U22" i="26"/>
  <c r="V22" i="26"/>
  <c r="W22" i="26"/>
  <c r="F118" i="7" s="1"/>
  <c r="C59" i="8"/>
  <c r="D59" i="8" s="1"/>
  <c r="E267" i="20" s="1"/>
  <c r="D76" i="31"/>
  <c r="E76" i="31" s="1"/>
  <c r="V47" i="31" s="1"/>
  <c r="H298" i="1" s="1"/>
  <c r="D77" i="31"/>
  <c r="E77" i="31" s="1"/>
  <c r="V48" i="31" s="1"/>
  <c r="H299" i="1" s="1"/>
  <c r="X38" i="26"/>
  <c r="G126" i="7" s="1"/>
  <c r="T38" i="26"/>
  <c r="C126" i="7" s="1"/>
  <c r="C90" i="8" s="1"/>
  <c r="F90" i="8" s="1"/>
  <c r="U38" i="26"/>
  <c r="D126" i="7" s="1"/>
  <c r="V38" i="26"/>
  <c r="E126" i="7" s="1"/>
  <c r="Y38" i="26"/>
  <c r="H126" i="7" s="1"/>
  <c r="W38" i="26"/>
  <c r="F126" i="7" s="1"/>
  <c r="C58" i="8"/>
  <c r="D58" i="8" s="1"/>
  <c r="E266" i="20" s="1"/>
  <c r="C269" i="20"/>
  <c r="N302" i="1"/>
  <c r="L302" i="1"/>
  <c r="U40" i="26"/>
  <c r="D130" i="7" s="1"/>
  <c r="T40" i="26"/>
  <c r="C130" i="7" s="1"/>
  <c r="C94" i="8" s="1"/>
  <c r="X40" i="26"/>
  <c r="G130" i="7" s="1"/>
  <c r="V40" i="26"/>
  <c r="E130" i="7" s="1"/>
  <c r="Y40" i="26"/>
  <c r="H130" i="7" s="1"/>
  <c r="W40" i="26"/>
  <c r="F130" i="7" s="1"/>
  <c r="F63" i="8"/>
  <c r="G269" i="20" s="1"/>
  <c r="D63" i="8"/>
  <c r="E269" i="20" s="1"/>
  <c r="E63" i="8"/>
  <c r="F269" i="20" s="1"/>
  <c r="C83" i="7"/>
  <c r="C267" i="20"/>
  <c r="K11" i="26"/>
  <c r="C77" i="7" s="1"/>
  <c r="C45" i="8" s="1"/>
  <c r="D45" i="8" s="1"/>
  <c r="L11" i="26"/>
  <c r="D77" i="7" s="1"/>
  <c r="M11" i="26"/>
  <c r="E77" i="7" s="1"/>
  <c r="C266" i="20"/>
  <c r="S28" i="26"/>
  <c r="H132" i="20" l="1"/>
  <c r="J132" i="20" s="1"/>
  <c r="J129" i="20"/>
  <c r="AB47" i="31"/>
  <c r="E58" i="8"/>
  <c r="F266" i="20" s="1"/>
  <c r="W28" i="26"/>
  <c r="U28" i="26"/>
  <c r="D120" i="7" s="1"/>
  <c r="V28" i="26"/>
  <c r="E120" i="7" s="1"/>
  <c r="T28" i="26"/>
  <c r="C120" i="7" s="1"/>
  <c r="C84" i="8" s="1"/>
  <c r="E84" i="8" s="1"/>
  <c r="E86" i="8" s="1"/>
  <c r="F58" i="8"/>
  <c r="G266" i="20" s="1"/>
  <c r="F59" i="8"/>
  <c r="G267" i="20" s="1"/>
  <c r="E59" i="8"/>
  <c r="F267" i="20" s="1"/>
  <c r="AB48" i="31"/>
  <c r="H269" i="20"/>
  <c r="J269" i="20" s="1"/>
  <c r="E90" i="8"/>
  <c r="D90" i="8"/>
  <c r="Q302" i="1"/>
  <c r="X302" i="1"/>
  <c r="AA302" i="1" s="1"/>
  <c r="AI302" i="1" s="1"/>
  <c r="D94" i="8"/>
  <c r="E94" i="8"/>
  <c r="F94" i="8"/>
  <c r="F120" i="7"/>
  <c r="C32" i="26"/>
  <c r="N298" i="1"/>
  <c r="L298" i="1"/>
  <c r="E118" i="7"/>
  <c r="D19" i="26"/>
  <c r="C51" i="8"/>
  <c r="C118" i="7"/>
  <c r="B19" i="26"/>
  <c r="J9" i="26"/>
  <c r="D118" i="7"/>
  <c r="N299" i="1"/>
  <c r="L299" i="1"/>
  <c r="D48" i="26"/>
  <c r="S30" i="26"/>
  <c r="J34" i="26"/>
  <c r="S11" i="26"/>
  <c r="W11" i="26" s="1"/>
  <c r="F112" i="7" s="1"/>
  <c r="J13" i="26"/>
  <c r="H267" i="20" l="1"/>
  <c r="J267" i="20" s="1"/>
  <c r="H266" i="20"/>
  <c r="J266" i="20" s="1"/>
  <c r="N34" i="26"/>
  <c r="F89" i="7" s="1"/>
  <c r="AE297" i="1" s="1"/>
  <c r="P34" i="26"/>
  <c r="H89" i="7" s="1"/>
  <c r="O34" i="26"/>
  <c r="G89" i="7" s="1"/>
  <c r="L34" i="26"/>
  <c r="D89" i="7" s="1"/>
  <c r="AC297" i="1" s="1"/>
  <c r="K34" i="26"/>
  <c r="C89" i="7" s="1"/>
  <c r="M34" i="26"/>
  <c r="E89" i="7" s="1"/>
  <c r="AD297" i="1" s="1"/>
  <c r="D50" i="26"/>
  <c r="D51" i="8"/>
  <c r="K13" i="26"/>
  <c r="C78" i="7" s="1"/>
  <c r="C46" i="8" s="1"/>
  <c r="E46" i="8" s="1"/>
  <c r="E48" i="8" s="1"/>
  <c r="F263" i="20" s="1"/>
  <c r="M13" i="26"/>
  <c r="E78" i="7" s="1"/>
  <c r="L13" i="26"/>
  <c r="D78" i="7" s="1"/>
  <c r="C19" i="26"/>
  <c r="V30" i="26"/>
  <c r="T30" i="26"/>
  <c r="U30" i="26"/>
  <c r="K9" i="26"/>
  <c r="L9" i="26"/>
  <c r="M9" i="26"/>
  <c r="C82" i="8"/>
  <c r="Q298" i="1"/>
  <c r="X298" i="1"/>
  <c r="AA298" i="1" s="1"/>
  <c r="AI298" i="1" s="1"/>
  <c r="U11" i="26"/>
  <c r="D112" i="7" s="1"/>
  <c r="V11" i="26"/>
  <c r="E112" i="7" s="1"/>
  <c r="T11" i="26"/>
  <c r="C112" i="7" s="1"/>
  <c r="C76" i="8" s="1"/>
  <c r="D76" i="8" s="1"/>
  <c r="Q299" i="1"/>
  <c r="X299" i="1"/>
  <c r="AA299" i="1" s="1"/>
  <c r="AI299" i="1" s="1"/>
  <c r="J17" i="26"/>
  <c r="N17" i="26" s="1"/>
  <c r="F78" i="7" s="1"/>
  <c r="F80" i="7" s="1"/>
  <c r="AE295" i="1" s="1"/>
  <c r="AB297" i="1" l="1"/>
  <c r="C265" i="20" s="1"/>
  <c r="D75" i="31"/>
  <c r="E75" i="31" s="1"/>
  <c r="V46" i="31" s="1"/>
  <c r="C57" i="8"/>
  <c r="S36" i="26"/>
  <c r="D76" i="7"/>
  <c r="C121" i="7"/>
  <c r="D82" i="8"/>
  <c r="C76" i="7"/>
  <c r="E121" i="7"/>
  <c r="C48" i="26"/>
  <c r="C50" i="26" s="1"/>
  <c r="B48" i="26"/>
  <c r="B50" i="26" s="1"/>
  <c r="J42" i="26"/>
  <c r="S9" i="26"/>
  <c r="E76" i="7"/>
  <c r="D121" i="7"/>
  <c r="F57" i="8" l="1"/>
  <c r="G265" i="20" s="1"/>
  <c r="E57" i="8"/>
  <c r="F265" i="20" s="1"/>
  <c r="D57" i="8"/>
  <c r="E265" i="20" s="1"/>
  <c r="F19" i="26"/>
  <c r="AB46" i="31"/>
  <c r="H297" i="1"/>
  <c r="J15" i="26"/>
  <c r="J19" i="26" s="1"/>
  <c r="E19" i="26"/>
  <c r="C44" i="8"/>
  <c r="C85" i="8"/>
  <c r="U9" i="26"/>
  <c r="V9" i="26"/>
  <c r="T9" i="26"/>
  <c r="O42" i="26"/>
  <c r="P42" i="26"/>
  <c r="M42" i="26"/>
  <c r="N42" i="26"/>
  <c r="F96" i="7" s="1"/>
  <c r="K42" i="26"/>
  <c r="L42" i="26"/>
  <c r="X36" i="26"/>
  <c r="W36" i="26"/>
  <c r="Y36" i="26"/>
  <c r="T36" i="26"/>
  <c r="U36" i="26"/>
  <c r="V36" i="26"/>
  <c r="H265" i="20" l="1"/>
  <c r="J265" i="20" s="1"/>
  <c r="N15" i="26"/>
  <c r="N19" i="26" s="1"/>
  <c r="L15" i="26"/>
  <c r="L19" i="26" s="1"/>
  <c r="N297" i="1"/>
  <c r="L297" i="1"/>
  <c r="M15" i="26"/>
  <c r="E79" i="7" s="1"/>
  <c r="E80" i="7" s="1"/>
  <c r="AD295" i="1" s="1"/>
  <c r="K15" i="26"/>
  <c r="K19" i="26" s="1"/>
  <c r="O15" i="26"/>
  <c r="O19" i="26" s="1"/>
  <c r="P15" i="26"/>
  <c r="P19" i="26" s="1"/>
  <c r="J20" i="26"/>
  <c r="C125" i="7"/>
  <c r="D111" i="7"/>
  <c r="D44" i="8"/>
  <c r="D48" i="8" s="1"/>
  <c r="E263" i="20" s="1"/>
  <c r="H125" i="7"/>
  <c r="E96" i="7"/>
  <c r="F125" i="7"/>
  <c r="C111" i="7"/>
  <c r="E125" i="7"/>
  <c r="D96" i="7"/>
  <c r="H96" i="7"/>
  <c r="S13" i="26"/>
  <c r="D125" i="7"/>
  <c r="G125" i="7"/>
  <c r="C96" i="7"/>
  <c r="G96" i="7"/>
  <c r="E111" i="7"/>
  <c r="F85" i="8"/>
  <c r="F86" i="8" s="1"/>
  <c r="S17" i="26"/>
  <c r="W17" i="26" s="1"/>
  <c r="F113" i="7" s="1"/>
  <c r="G19" i="26"/>
  <c r="D79" i="7" l="1"/>
  <c r="D80" i="7" s="1"/>
  <c r="AC295" i="1" s="1"/>
  <c r="M19" i="26"/>
  <c r="Q19" i="26" s="1"/>
  <c r="C79" i="7"/>
  <c r="C47" i="8" s="1"/>
  <c r="Q297" i="1"/>
  <c r="X297" i="1"/>
  <c r="AA297" i="1" s="1"/>
  <c r="AI297" i="1" s="1"/>
  <c r="S15" i="26"/>
  <c r="V15" i="26" s="1"/>
  <c r="E114" i="7" s="1"/>
  <c r="C80" i="7"/>
  <c r="C64" i="8"/>
  <c r="J44" i="26"/>
  <c r="E48" i="26"/>
  <c r="T13" i="26"/>
  <c r="V13" i="26"/>
  <c r="U13" i="26"/>
  <c r="C75" i="8"/>
  <c r="C89" i="8"/>
  <c r="S34" i="26"/>
  <c r="T15" i="26" l="1"/>
  <c r="C114" i="7" s="1"/>
  <c r="C78" i="8" s="1"/>
  <c r="F78" i="8" s="1"/>
  <c r="F79" i="8" s="1"/>
  <c r="X15" i="26"/>
  <c r="X19" i="26" s="1"/>
  <c r="S19" i="26"/>
  <c r="X34" i="26"/>
  <c r="G124" i="7" s="1"/>
  <c r="W34" i="26"/>
  <c r="F124" i="7" s="1"/>
  <c r="T34" i="26"/>
  <c r="C124" i="7" s="1"/>
  <c r="C88" i="8" s="1"/>
  <c r="Y34" i="26"/>
  <c r="H124" i="7" s="1"/>
  <c r="U34" i="26"/>
  <c r="D124" i="7" s="1"/>
  <c r="V34" i="26"/>
  <c r="E124" i="7" s="1"/>
  <c r="Y15" i="26"/>
  <c r="Y19" i="26" s="1"/>
  <c r="U15" i="26"/>
  <c r="D114" i="7" s="1"/>
  <c r="W15" i="26"/>
  <c r="W19" i="26" s="1"/>
  <c r="H19" i="26"/>
  <c r="D113" i="7"/>
  <c r="E113" i="7"/>
  <c r="E115" i="7" s="1"/>
  <c r="V19" i="26"/>
  <c r="C113" i="7"/>
  <c r="E64" i="8"/>
  <c r="F64" i="8"/>
  <c r="D64" i="8"/>
  <c r="AB295" i="1"/>
  <c r="D73" i="31"/>
  <c r="D75" i="8"/>
  <c r="D79" i="8" s="1"/>
  <c r="E89" i="8"/>
  <c r="F89" i="8"/>
  <c r="D89" i="8"/>
  <c r="N44" i="26"/>
  <c r="K44" i="26" s="1"/>
  <c r="O44" i="26"/>
  <c r="P44" i="26"/>
  <c r="J48" i="26"/>
  <c r="F47" i="8"/>
  <c r="F48" i="8" s="1"/>
  <c r="G263" i="20" s="1"/>
  <c r="C48" i="8"/>
  <c r="D115" i="7" l="1"/>
  <c r="T19" i="26"/>
  <c r="U19" i="26"/>
  <c r="F114" i="7"/>
  <c r="F115" i="7" s="1"/>
  <c r="S20" i="26"/>
  <c r="D88" i="8"/>
  <c r="E88" i="8"/>
  <c r="F88" i="8"/>
  <c r="J49" i="26"/>
  <c r="M44" i="26"/>
  <c r="E97" i="7" s="1"/>
  <c r="C97" i="7"/>
  <c r="K48" i="26"/>
  <c r="N48" i="26"/>
  <c r="F97" i="7"/>
  <c r="E268" i="20"/>
  <c r="D66" i="8"/>
  <c r="H263" i="20"/>
  <c r="L44" i="26"/>
  <c r="E73" i="31"/>
  <c r="V44" i="31" s="1"/>
  <c r="G268" i="20"/>
  <c r="G273" i="20" s="1"/>
  <c r="G312" i="20" s="1"/>
  <c r="F66" i="8"/>
  <c r="F68" i="8" s="1"/>
  <c r="G97" i="7"/>
  <c r="O48" i="26"/>
  <c r="O50" i="26" s="1"/>
  <c r="H97" i="7"/>
  <c r="P48" i="26"/>
  <c r="P50" i="26" s="1"/>
  <c r="C263" i="20"/>
  <c r="C77" i="8"/>
  <c r="C115" i="7"/>
  <c r="J263" i="20" l="1"/>
  <c r="Z19" i="26"/>
  <c r="M48" i="26"/>
  <c r="C6" i="53"/>
  <c r="I8" i="53" s="1"/>
  <c r="G314" i="20"/>
  <c r="G316" i="20"/>
  <c r="H295" i="1"/>
  <c r="AB44" i="31"/>
  <c r="S42" i="26"/>
  <c r="E77" i="8"/>
  <c r="E79" i="8" s="1"/>
  <c r="C79" i="8"/>
  <c r="AG301" i="1"/>
  <c r="AG306" i="1" s="1"/>
  <c r="AG353" i="1" s="1"/>
  <c r="H98" i="7"/>
  <c r="H100" i="7" s="1"/>
  <c r="D97" i="7"/>
  <c r="D79" i="31" s="1"/>
  <c r="L48" i="26"/>
  <c r="E98" i="7"/>
  <c r="AD301" i="1"/>
  <c r="S44" i="26"/>
  <c r="G48" i="26"/>
  <c r="AE301" i="1"/>
  <c r="F98" i="7"/>
  <c r="AF301" i="1"/>
  <c r="G98" i="7"/>
  <c r="G100" i="7" s="1"/>
  <c r="C65" i="8"/>
  <c r="C98" i="7"/>
  <c r="AB301" i="1"/>
  <c r="Q48" i="26" l="1"/>
  <c r="E79" i="31"/>
  <c r="V50" i="31" s="1"/>
  <c r="AB50" i="31" s="1"/>
  <c r="C268" i="20"/>
  <c r="C264" i="49"/>
  <c r="AF306" i="1"/>
  <c r="AF353" i="1" s="1"/>
  <c r="D98" i="7"/>
  <c r="AC301" i="1"/>
  <c r="W44" i="26"/>
  <c r="F132" i="7" s="1"/>
  <c r="Y44" i="26"/>
  <c r="H132" i="7" s="1"/>
  <c r="X44" i="26"/>
  <c r="G132" i="7" s="1"/>
  <c r="H48" i="26"/>
  <c r="N295" i="1"/>
  <c r="L295" i="1"/>
  <c r="F48" i="26"/>
  <c r="E65" i="8"/>
  <c r="C66" i="8"/>
  <c r="AG355" i="1"/>
  <c r="X42" i="26"/>
  <c r="U42" i="26"/>
  <c r="T42" i="26"/>
  <c r="W42" i="26"/>
  <c r="Y42" i="26"/>
  <c r="V42" i="26"/>
  <c r="S48" i="26"/>
  <c r="I9" i="53"/>
  <c r="K8" i="53"/>
  <c r="I16" i="53"/>
  <c r="V44" i="26" l="1"/>
  <c r="E132" i="7" s="1"/>
  <c r="T44" i="26"/>
  <c r="C132" i="7" s="1"/>
  <c r="C96" i="8" s="1"/>
  <c r="E96" i="8" s="1"/>
  <c r="U44" i="26"/>
  <c r="D132" i="7" s="1"/>
  <c r="Q295" i="1"/>
  <c r="X295" i="1"/>
  <c r="F131" i="7"/>
  <c r="F134" i="7" s="1"/>
  <c r="W48" i="26"/>
  <c r="AF355" i="1"/>
  <c r="F268" i="20"/>
  <c r="E66" i="8"/>
  <c r="E68" i="8" s="1"/>
  <c r="D131" i="7"/>
  <c r="K264" i="49"/>
  <c r="K308" i="49" s="1"/>
  <c r="C269" i="49"/>
  <c r="C308" i="49" s="1"/>
  <c r="C131" i="7"/>
  <c r="S49" i="26"/>
  <c r="E131" i="7"/>
  <c r="H131" i="7"/>
  <c r="H134" i="7" s="1"/>
  <c r="H136" i="7" s="1"/>
  <c r="Y48" i="26"/>
  <c r="Y50" i="26" s="1"/>
  <c r="G131" i="7"/>
  <c r="G134" i="7" s="1"/>
  <c r="G136" i="7" s="1"/>
  <c r="X48" i="26"/>
  <c r="X50" i="26" s="1"/>
  <c r="H301" i="1"/>
  <c r="V48" i="26" l="1"/>
  <c r="U48" i="26"/>
  <c r="D134" i="7"/>
  <c r="E134" i="7"/>
  <c r="T48" i="26"/>
  <c r="H137" i="7"/>
  <c r="G137" i="7"/>
  <c r="C95" i="8"/>
  <c r="C134" i="7"/>
  <c r="H268" i="20"/>
  <c r="F273" i="20"/>
  <c r="F312" i="20" s="1"/>
  <c r="AA295" i="1"/>
  <c r="N301" i="1"/>
  <c r="L301" i="1"/>
  <c r="C309" i="49"/>
  <c r="C312" i="49"/>
  <c r="C313" i="49" s="1"/>
  <c r="J268" i="20" l="1"/>
  <c r="Z48" i="26"/>
  <c r="AI295" i="1"/>
  <c r="E95" i="8"/>
  <c r="E98" i="8" s="1"/>
  <c r="E100" i="8" s="1"/>
  <c r="F318" i="20" s="1"/>
  <c r="C7" i="51" s="1"/>
  <c r="J28" i="51" s="1"/>
  <c r="F95" i="8"/>
  <c r="F98" i="8" s="1"/>
  <c r="F100" i="8" s="1"/>
  <c r="G318" i="20" s="1"/>
  <c r="C7" i="53" s="1"/>
  <c r="J28" i="53" s="1"/>
  <c r="D95" i="8"/>
  <c r="D98" i="8" s="1"/>
  <c r="C98" i="8"/>
  <c r="C6" i="51"/>
  <c r="I8" i="51" s="1"/>
  <c r="F314" i="20"/>
  <c r="F316" i="20"/>
  <c r="X301" i="1"/>
  <c r="Q301" i="1"/>
  <c r="J27" i="53" l="1"/>
  <c r="M27" i="53" s="1"/>
  <c r="K11" i="53" s="1"/>
  <c r="J26" i="53"/>
  <c r="S7" i="53"/>
  <c r="T7" i="53" s="1"/>
  <c r="U7" i="53" s="1"/>
  <c r="W7" i="53" s="1"/>
  <c r="X7" i="53" s="1"/>
  <c r="Z7" i="53" s="1"/>
  <c r="AA7" i="53" s="1"/>
  <c r="AB7" i="53" s="1"/>
  <c r="AD7" i="53" s="1"/>
  <c r="AE7" i="53" s="1"/>
  <c r="AF7" i="53" s="1"/>
  <c r="AG7" i="53" s="1"/>
  <c r="AH7" i="53" s="1"/>
  <c r="S6" i="53"/>
  <c r="T6" i="53" s="1"/>
  <c r="U6" i="53" s="1"/>
  <c r="W6" i="53" s="1"/>
  <c r="X6" i="53" s="1"/>
  <c r="Z6" i="53" s="1"/>
  <c r="AA6" i="53" s="1"/>
  <c r="AB6" i="53" s="1"/>
  <c r="AD6" i="53" s="1"/>
  <c r="AE6" i="53" s="1"/>
  <c r="AF6" i="53" s="1"/>
  <c r="AG6" i="53" s="1"/>
  <c r="AH6" i="53" s="1"/>
  <c r="S9" i="53"/>
  <c r="T9" i="53" s="1"/>
  <c r="U9" i="53" s="1"/>
  <c r="W9" i="53" s="1"/>
  <c r="X9" i="53" s="1"/>
  <c r="Z9" i="53" s="1"/>
  <c r="AA9" i="53" s="1"/>
  <c r="AB9" i="53" s="1"/>
  <c r="AD9" i="53" s="1"/>
  <c r="AE9" i="53" s="1"/>
  <c r="AF9" i="53" s="1"/>
  <c r="AG9" i="53" s="1"/>
  <c r="AH9" i="53" s="1"/>
  <c r="S8" i="53"/>
  <c r="T8" i="53" s="1"/>
  <c r="U8" i="53" s="1"/>
  <c r="W8" i="53" s="1"/>
  <c r="X8" i="53" s="1"/>
  <c r="Z8" i="53" s="1"/>
  <c r="AA8" i="53" s="1"/>
  <c r="AB8" i="53" s="1"/>
  <c r="AD8" i="53" s="1"/>
  <c r="AE8" i="53" s="1"/>
  <c r="AF8" i="53" s="1"/>
  <c r="AG8" i="53" s="1"/>
  <c r="AH8" i="53" s="1"/>
  <c r="J27" i="51"/>
  <c r="M27" i="51" s="1"/>
  <c r="K11" i="51" s="1"/>
  <c r="J26" i="51"/>
  <c r="S9" i="51"/>
  <c r="T9" i="51" s="1"/>
  <c r="U9" i="51" s="1"/>
  <c r="W9" i="51" s="1"/>
  <c r="X9" i="51" s="1"/>
  <c r="Z9" i="51" s="1"/>
  <c r="AA9" i="51" s="1"/>
  <c r="AB9" i="51" s="1"/>
  <c r="AD9" i="51" s="1"/>
  <c r="AE9" i="51" s="1"/>
  <c r="AF9" i="51" s="1"/>
  <c r="AG9" i="51" s="1"/>
  <c r="AH9" i="51" s="1"/>
  <c r="S6" i="51"/>
  <c r="T6" i="51" s="1"/>
  <c r="U6" i="51" s="1"/>
  <c r="W6" i="51" s="1"/>
  <c r="X6" i="51" s="1"/>
  <c r="Z6" i="51" s="1"/>
  <c r="AA6" i="51" s="1"/>
  <c r="AB6" i="51" s="1"/>
  <c r="AD6" i="51" s="1"/>
  <c r="AE6" i="51" s="1"/>
  <c r="AF6" i="51" s="1"/>
  <c r="AG6" i="51" s="1"/>
  <c r="AH6" i="51" s="1"/>
  <c r="S8" i="51"/>
  <c r="T8" i="51" s="1"/>
  <c r="U8" i="51" s="1"/>
  <c r="W8" i="51" s="1"/>
  <c r="X8" i="51" s="1"/>
  <c r="Z8" i="51" s="1"/>
  <c r="AA8" i="51" s="1"/>
  <c r="AB8" i="51" s="1"/>
  <c r="AD8" i="51" s="1"/>
  <c r="AE8" i="51" s="1"/>
  <c r="AF8" i="51" s="1"/>
  <c r="AG8" i="51" s="1"/>
  <c r="AH8" i="51" s="1"/>
  <c r="S7" i="51"/>
  <c r="T7" i="51" s="1"/>
  <c r="U7" i="51" s="1"/>
  <c r="W7" i="51" s="1"/>
  <c r="X7" i="51" s="1"/>
  <c r="Z7" i="51" s="1"/>
  <c r="AA7" i="51" s="1"/>
  <c r="AB7" i="51" s="1"/>
  <c r="AD7" i="51" s="1"/>
  <c r="AE7" i="51" s="1"/>
  <c r="AF7" i="51" s="1"/>
  <c r="AG7" i="51" s="1"/>
  <c r="AH7" i="51" s="1"/>
  <c r="AA301" i="1"/>
  <c r="I9" i="51"/>
  <c r="I16" i="51"/>
  <c r="K8" i="51"/>
  <c r="AI301" i="1" l="1"/>
  <c r="I11" i="51"/>
  <c r="I12" i="51" s="1"/>
  <c r="I14" i="51" s="1"/>
  <c r="M11" i="51"/>
  <c r="I11" i="53"/>
  <c r="I12" i="53" s="1"/>
  <c r="I14" i="53" s="1"/>
  <c r="M11" i="53"/>
  <c r="AO270" i="54" l="1"/>
  <c r="AP270" i="54"/>
  <c r="AT270" i="54" s="1"/>
  <c r="AO271" i="54"/>
  <c r="AO273" i="54" s="1"/>
  <c r="AP271" i="54"/>
  <c r="AT271" i="54" s="1"/>
  <c r="AO272" i="54"/>
  <c r="AP272" i="54"/>
  <c r="AT272" i="54" l="1"/>
  <c r="AQ272" i="54"/>
  <c r="AQ271" i="54"/>
  <c r="AQ270" i="54"/>
  <c r="AQ273" i="54" l="1"/>
  <c r="J26" i="26" l="1"/>
  <c r="E32" i="26"/>
  <c r="E50" i="26" s="1"/>
  <c r="F32" i="26"/>
  <c r="F50" i="26" s="1"/>
  <c r="N26" i="26" l="1"/>
  <c r="L26" i="26"/>
  <c r="K26" i="26"/>
  <c r="M26" i="26"/>
  <c r="J32" i="26"/>
  <c r="G32" i="26"/>
  <c r="G50" i="26" s="1"/>
  <c r="D84" i="7" l="1"/>
  <c r="D87" i="7" s="1"/>
  <c r="L32" i="26"/>
  <c r="L50" i="26" s="1"/>
  <c r="F84" i="7"/>
  <c r="F87" i="7" s="1"/>
  <c r="N32" i="26"/>
  <c r="S26" i="26"/>
  <c r="H32" i="26"/>
  <c r="H50" i="26" s="1"/>
  <c r="E84" i="7"/>
  <c r="E87" i="7" s="1"/>
  <c r="M32" i="26"/>
  <c r="M50" i="26" s="1"/>
  <c r="J33" i="26"/>
  <c r="J50" i="26"/>
  <c r="C84" i="7"/>
  <c r="K32" i="26"/>
  <c r="K50" i="26" s="1"/>
  <c r="C52" i="8" l="1"/>
  <c r="C87" i="7"/>
  <c r="V26" i="26"/>
  <c r="U26" i="26"/>
  <c r="T26" i="26"/>
  <c r="W26" i="26"/>
  <c r="S32" i="26"/>
  <c r="AD296" i="1"/>
  <c r="AD306" i="1" s="1"/>
  <c r="AD353" i="1" s="1"/>
  <c r="E100" i="7"/>
  <c r="AE296" i="1"/>
  <c r="AE306" i="1" s="1"/>
  <c r="AE353" i="1" s="1"/>
  <c r="F100" i="7"/>
  <c r="Q32" i="26"/>
  <c r="N50" i="26"/>
  <c r="AC296" i="1"/>
  <c r="AC306" i="1" s="1"/>
  <c r="AC353" i="1" s="1"/>
  <c r="D100" i="7"/>
  <c r="E119" i="7" l="1"/>
  <c r="E122" i="7" s="1"/>
  <c r="E136" i="7" s="1"/>
  <c r="V32" i="26"/>
  <c r="V50" i="26" s="1"/>
  <c r="F119" i="7"/>
  <c r="F122" i="7" s="1"/>
  <c r="F136" i="7" s="1"/>
  <c r="W32" i="26"/>
  <c r="AE355" i="1"/>
  <c r="C119" i="7"/>
  <c r="T32" i="26"/>
  <c r="T50" i="26" s="1"/>
  <c r="C7" i="22" s="1"/>
  <c r="J28" i="22" s="1"/>
  <c r="AB296" i="1"/>
  <c r="D74" i="31"/>
  <c r="C100" i="7"/>
  <c r="AC355" i="1"/>
  <c r="S33" i="26"/>
  <c r="S50" i="26"/>
  <c r="AD355" i="1"/>
  <c r="D119" i="7"/>
  <c r="D122" i="7" s="1"/>
  <c r="D136" i="7" s="1"/>
  <c r="U32" i="26"/>
  <c r="U50" i="26" s="1"/>
  <c r="D52" i="8"/>
  <c r="D55" i="8" s="1"/>
  <c r="C55" i="8"/>
  <c r="C68" i="8" s="1"/>
  <c r="C264" i="20" l="1"/>
  <c r="AB306" i="1"/>
  <c r="AB353" i="1" s="1"/>
  <c r="E137" i="7"/>
  <c r="C83" i="8"/>
  <c r="C122" i="7"/>
  <c r="C136" i="7" s="1"/>
  <c r="C137" i="7" s="1"/>
  <c r="D137" i="7"/>
  <c r="E74" i="31"/>
  <c r="V45" i="31" s="1"/>
  <c r="D81" i="31"/>
  <c r="E264" i="20"/>
  <c r="D68" i="8"/>
  <c r="S9" i="22"/>
  <c r="T9" i="22" s="1"/>
  <c r="U9" i="22" s="1"/>
  <c r="W9" i="22" s="1"/>
  <c r="X9" i="22" s="1"/>
  <c r="Z9" i="22" s="1"/>
  <c r="AA9" i="22" s="1"/>
  <c r="AB9" i="22" s="1"/>
  <c r="AD9" i="22" s="1"/>
  <c r="AE9" i="22" s="1"/>
  <c r="AF9" i="22" s="1"/>
  <c r="J26" i="22"/>
  <c r="J27" i="22"/>
  <c r="M27" i="22" s="1"/>
  <c r="K11" i="22" s="1"/>
  <c r="S6" i="22"/>
  <c r="T6" i="22" s="1"/>
  <c r="U6" i="22" s="1"/>
  <c r="W6" i="22" s="1"/>
  <c r="X6" i="22" s="1"/>
  <c r="Z6" i="22" s="1"/>
  <c r="AA6" i="22" s="1"/>
  <c r="AB6" i="22" s="1"/>
  <c r="AD6" i="22" s="1"/>
  <c r="AE6" i="22" s="1"/>
  <c r="AF6" i="22" s="1"/>
  <c r="S8" i="22"/>
  <c r="T8" i="22" s="1"/>
  <c r="U8" i="22" s="1"/>
  <c r="W8" i="22" s="1"/>
  <c r="X8" i="22" s="1"/>
  <c r="Z8" i="22" s="1"/>
  <c r="AA8" i="22" s="1"/>
  <c r="AB8" i="22" s="1"/>
  <c r="AD8" i="22" s="1"/>
  <c r="AE8" i="22" s="1"/>
  <c r="AF8" i="22" s="1"/>
  <c r="S7" i="22"/>
  <c r="T7" i="22" s="1"/>
  <c r="U7" i="22" s="1"/>
  <c r="W7" i="22" s="1"/>
  <c r="X7" i="22" s="1"/>
  <c r="Z7" i="22" s="1"/>
  <c r="AA7" i="22" s="1"/>
  <c r="AB7" i="22" s="1"/>
  <c r="AD7" i="22" s="1"/>
  <c r="AE7" i="22" s="1"/>
  <c r="AF7" i="22" s="1"/>
  <c r="Z32" i="26"/>
  <c r="W50" i="26"/>
  <c r="F137" i="7" s="1"/>
  <c r="H296" i="1" l="1"/>
  <c r="AB45" i="31"/>
  <c r="V59" i="31"/>
  <c r="AB59" i="31" s="1"/>
  <c r="AB355" i="1"/>
  <c r="C273" i="20"/>
  <c r="C312" i="20" s="1"/>
  <c r="M11" i="22"/>
  <c r="I11" i="22"/>
  <c r="H264" i="20"/>
  <c r="H273" i="20" s="1"/>
  <c r="E273" i="20"/>
  <c r="E312" i="20" s="1"/>
  <c r="E81" i="31"/>
  <c r="B143" i="31" s="1"/>
  <c r="D82" i="31"/>
  <c r="D83" i="8"/>
  <c r="D86" i="8" s="1"/>
  <c r="D100" i="8" s="1"/>
  <c r="E318" i="20" s="1"/>
  <c r="C86" i="8"/>
  <c r="C100" i="8" s="1"/>
  <c r="C318" i="20" s="1"/>
  <c r="E316" i="20" l="1"/>
  <c r="H316" i="20" s="1"/>
  <c r="I316" i="20" s="1"/>
  <c r="E314" i="20"/>
  <c r="C6" i="52"/>
  <c r="I8" i="52" s="1"/>
  <c r="C6" i="22"/>
  <c r="I8" i="22" s="1"/>
  <c r="C314" i="20"/>
  <c r="C316" i="20"/>
  <c r="C313" i="20"/>
  <c r="L296" i="1"/>
  <c r="L306" i="1" s="1"/>
  <c r="L353" i="1" s="1"/>
  <c r="N296" i="1"/>
  <c r="H306" i="1"/>
  <c r="C7" i="52"/>
  <c r="J28" i="52" s="1"/>
  <c r="H318" i="20"/>
  <c r="J318" i="20" s="1"/>
  <c r="J273" i="20"/>
  <c r="H312" i="20"/>
  <c r="J264" i="20"/>
  <c r="C317" i="20" l="1"/>
  <c r="J317" i="20" s="1"/>
  <c r="J316" i="20"/>
  <c r="J312" i="20"/>
  <c r="H313" i="20"/>
  <c r="J313" i="20" s="1"/>
  <c r="G320" i="20"/>
  <c r="F320" i="20"/>
  <c r="B144" i="31"/>
  <c r="B145" i="31" s="1"/>
  <c r="H307" i="1"/>
  <c r="H353" i="1"/>
  <c r="I9" i="52"/>
  <c r="I16" i="52"/>
  <c r="K8" i="52"/>
  <c r="X296" i="1"/>
  <c r="Q296" i="1"/>
  <c r="Q306" i="1" s="1"/>
  <c r="N306" i="1"/>
  <c r="N353" i="1" s="1"/>
  <c r="S7" i="52"/>
  <c r="T7" i="52" s="1"/>
  <c r="U7" i="52" s="1"/>
  <c r="W7" i="52" s="1"/>
  <c r="X7" i="52" s="1"/>
  <c r="Z7" i="52" s="1"/>
  <c r="AA7" i="52" s="1"/>
  <c r="AB7" i="52" s="1"/>
  <c r="AD7" i="52" s="1"/>
  <c r="AE7" i="52" s="1"/>
  <c r="AF7" i="52" s="1"/>
  <c r="AG7" i="52" s="1"/>
  <c r="AH7" i="52" s="1"/>
  <c r="J27" i="52"/>
  <c r="M27" i="52" s="1"/>
  <c r="K11" i="52" s="1"/>
  <c r="S6" i="52"/>
  <c r="T6" i="52" s="1"/>
  <c r="U6" i="52" s="1"/>
  <c r="W6" i="52" s="1"/>
  <c r="X6" i="52" s="1"/>
  <c r="Z6" i="52" s="1"/>
  <c r="AA6" i="52" s="1"/>
  <c r="AB6" i="52" s="1"/>
  <c r="AD6" i="52" s="1"/>
  <c r="AE6" i="52" s="1"/>
  <c r="AF6" i="52" s="1"/>
  <c r="AG6" i="52" s="1"/>
  <c r="AH6" i="52" s="1"/>
  <c r="S8" i="52"/>
  <c r="T8" i="52" s="1"/>
  <c r="U8" i="52" s="1"/>
  <c r="W8" i="52" s="1"/>
  <c r="X8" i="52" s="1"/>
  <c r="Z8" i="52" s="1"/>
  <c r="AA8" i="52" s="1"/>
  <c r="AB8" i="52" s="1"/>
  <c r="AD8" i="52" s="1"/>
  <c r="AE8" i="52" s="1"/>
  <c r="AF8" i="52" s="1"/>
  <c r="AG8" i="52" s="1"/>
  <c r="AH8" i="52" s="1"/>
  <c r="S9" i="52"/>
  <c r="T9" i="52" s="1"/>
  <c r="U9" i="52" s="1"/>
  <c r="W9" i="52" s="1"/>
  <c r="X9" i="52" s="1"/>
  <c r="Z9" i="52" s="1"/>
  <c r="AA9" i="52" s="1"/>
  <c r="AB9" i="52" s="1"/>
  <c r="AD9" i="52" s="1"/>
  <c r="AE9" i="52" s="1"/>
  <c r="AF9" i="52" s="1"/>
  <c r="AG9" i="52" s="1"/>
  <c r="AH9" i="52" s="1"/>
  <c r="J26" i="52"/>
  <c r="E320" i="20"/>
  <c r="I16" i="22"/>
  <c r="K8" i="22"/>
  <c r="I9" i="22"/>
  <c r="I12" i="22" s="1"/>
  <c r="I14" i="22" s="1"/>
  <c r="AG9" i="22"/>
  <c r="AH9" i="22" s="1"/>
  <c r="AG8" i="22"/>
  <c r="AH8" i="22" s="1"/>
  <c r="AG7" i="22"/>
  <c r="AH7" i="22" s="1"/>
  <c r="AG6" i="22"/>
  <c r="AH6" i="22" s="1"/>
  <c r="Q353" i="1" l="1"/>
  <c r="Q307" i="1"/>
  <c r="M11" i="52"/>
  <c r="I11" i="52"/>
  <c r="I12" i="52" s="1"/>
  <c r="I14" i="52" s="1"/>
  <c r="AA296" i="1"/>
  <c r="X306" i="1"/>
  <c r="X353" i="1" s="1"/>
  <c r="AI296" i="1" l="1"/>
  <c r="AI306" i="1" s="1"/>
  <c r="AI353" i="1" s="1"/>
  <c r="AA306" i="1"/>
  <c r="AA353" i="1" s="1"/>
  <c r="E6" i="20"/>
  <c r="F6" i="20"/>
  <c r="G6" i="20"/>
  <c r="AB7" i="1"/>
  <c r="AD7" i="1"/>
  <c r="AI6" i="22"/>
  <c r="AJ6" i="22"/>
  <c r="AK6" i="22"/>
  <c r="J7" i="22"/>
  <c r="K7" i="22"/>
  <c r="L7" i="22"/>
  <c r="M7" i="22"/>
  <c r="AI7" i="22"/>
  <c r="AJ7" i="22"/>
  <c r="AK7" i="22"/>
  <c r="L8" i="22"/>
  <c r="M8" i="22"/>
  <c r="AI8" i="22"/>
  <c r="AJ8" i="22"/>
  <c r="AK8" i="22"/>
  <c r="K9" i="22"/>
  <c r="M9" i="22"/>
  <c r="AI9" i="22"/>
  <c r="AJ9" i="22"/>
  <c r="AK9" i="22"/>
  <c r="S11" i="22"/>
  <c r="T11" i="22"/>
  <c r="U11" i="22"/>
  <c r="W11" i="22"/>
  <c r="X11" i="22"/>
  <c r="Z11" i="22"/>
  <c r="AA11" i="22"/>
  <c r="AB11" i="22"/>
  <c r="AD11" i="22"/>
  <c r="AE11" i="22"/>
  <c r="AF11" i="22"/>
  <c r="AG11" i="22"/>
  <c r="AH11" i="22"/>
  <c r="AI11" i="22"/>
  <c r="AJ11" i="22"/>
  <c r="AK11" i="22"/>
  <c r="J12" i="22"/>
  <c r="K12" i="22"/>
  <c r="M12" i="22"/>
  <c r="S12" i="22"/>
  <c r="T12" i="22"/>
  <c r="U12" i="22"/>
  <c r="W12" i="22"/>
  <c r="X12" i="22"/>
  <c r="Z12" i="22"/>
  <c r="AA12" i="22"/>
  <c r="AB12" i="22"/>
  <c r="AD12" i="22"/>
  <c r="AE12" i="22"/>
  <c r="AF12" i="22"/>
  <c r="AG12" i="22"/>
  <c r="AH12" i="22"/>
  <c r="AI12" i="22"/>
  <c r="AJ12" i="22"/>
  <c r="AK12" i="22"/>
  <c r="S13" i="22"/>
  <c r="T13" i="22"/>
  <c r="U13" i="22"/>
  <c r="W13" i="22"/>
  <c r="X13" i="22"/>
  <c r="Z13" i="22"/>
  <c r="AA13" i="22"/>
  <c r="AB13" i="22"/>
  <c r="AD13" i="22"/>
  <c r="AE13" i="22"/>
  <c r="AF13" i="22"/>
  <c r="AG13" i="22"/>
  <c r="AH13" i="22"/>
  <c r="AI13" i="22"/>
  <c r="AJ13" i="22"/>
  <c r="AK13" i="22"/>
  <c r="K14" i="22"/>
  <c r="M14" i="22"/>
  <c r="S14" i="22"/>
  <c r="T14" i="22"/>
  <c r="U14" i="22"/>
  <c r="W14" i="22"/>
  <c r="X14" i="22"/>
  <c r="Z14" i="22"/>
  <c r="AA14" i="22"/>
  <c r="AB14" i="22"/>
  <c r="AD14" i="22"/>
  <c r="AE14" i="22"/>
  <c r="AF14" i="22"/>
  <c r="AG14" i="22"/>
  <c r="AH14" i="22"/>
  <c r="AI14" i="22"/>
  <c r="AJ14" i="22"/>
  <c r="AK14" i="22"/>
  <c r="K16" i="22"/>
  <c r="M16" i="22"/>
  <c r="S16" i="22"/>
  <c r="T16" i="22"/>
  <c r="U16" i="22"/>
  <c r="W16" i="22"/>
  <c r="X16" i="22"/>
  <c r="Z16" i="22"/>
  <c r="AA16" i="22"/>
  <c r="AB16" i="22"/>
  <c r="AD16" i="22"/>
  <c r="AE16" i="22"/>
  <c r="AF16" i="22"/>
  <c r="AG16" i="22"/>
  <c r="AH16" i="22"/>
  <c r="AI16" i="22"/>
  <c r="AJ16" i="22"/>
  <c r="AK16" i="22"/>
  <c r="S17" i="22"/>
  <c r="T17" i="22"/>
  <c r="U17" i="22"/>
  <c r="W17" i="22"/>
  <c r="X17" i="22"/>
  <c r="Z17" i="22"/>
  <c r="AA17" i="22"/>
  <c r="AB17" i="22"/>
  <c r="AD17" i="22"/>
  <c r="AE17" i="22"/>
  <c r="AF17" i="22"/>
  <c r="AG17" i="22"/>
  <c r="AH17" i="22"/>
  <c r="AI17" i="22"/>
  <c r="AJ17" i="22"/>
  <c r="AK17" i="22"/>
  <c r="S18" i="22"/>
  <c r="T18" i="22"/>
  <c r="U18" i="22"/>
  <c r="W18" i="22"/>
  <c r="X18" i="22"/>
  <c r="Z18" i="22"/>
  <c r="AA18" i="22"/>
  <c r="AB18" i="22"/>
  <c r="AD18" i="22"/>
  <c r="AE18" i="22"/>
  <c r="AF18" i="22"/>
  <c r="AG18" i="22"/>
  <c r="AH18" i="22"/>
  <c r="AI18" i="22"/>
  <c r="AJ18" i="22"/>
  <c r="AK18" i="22"/>
  <c r="M19" i="22"/>
  <c r="S19" i="22"/>
  <c r="T19" i="22"/>
  <c r="U19" i="22"/>
  <c r="W19" i="22"/>
  <c r="X19" i="22"/>
  <c r="Z19" i="22"/>
  <c r="AA19" i="22"/>
  <c r="AB19" i="22"/>
  <c r="AD19" i="22"/>
  <c r="AE19" i="22"/>
  <c r="AF19" i="22"/>
  <c r="AG19" i="22"/>
  <c r="AH19" i="22"/>
  <c r="AI19" i="22"/>
  <c r="AJ19" i="22"/>
  <c r="AK19" i="22"/>
  <c r="J20" i="22"/>
  <c r="K20" i="22"/>
  <c r="M20" i="22"/>
  <c r="J21" i="22"/>
  <c r="M21" i="22"/>
  <c r="S21" i="22"/>
  <c r="T21" i="22"/>
  <c r="U21" i="22"/>
  <c r="W21" i="22"/>
  <c r="X21" i="22"/>
  <c r="Z21" i="22"/>
  <c r="AA21" i="22"/>
  <c r="AB21" i="22"/>
  <c r="AD21" i="22"/>
  <c r="AE21" i="22"/>
  <c r="AF21" i="22"/>
  <c r="AG21" i="22"/>
  <c r="AH21" i="22"/>
  <c r="AI21" i="22"/>
  <c r="AJ21" i="22"/>
  <c r="AK21" i="22"/>
  <c r="J22" i="22"/>
  <c r="K22" i="22"/>
  <c r="S22" i="22"/>
  <c r="T22" i="22"/>
  <c r="U22" i="22"/>
  <c r="W22" i="22"/>
  <c r="X22" i="22"/>
  <c r="Z22" i="22"/>
  <c r="AA22" i="22"/>
  <c r="AB22" i="22"/>
  <c r="AD22" i="22"/>
  <c r="AE22" i="22"/>
  <c r="AF22" i="22"/>
  <c r="AG22" i="22"/>
  <c r="AH22" i="22"/>
  <c r="AI22" i="22"/>
  <c r="AJ22" i="22"/>
  <c r="AK22" i="22"/>
  <c r="S23" i="22"/>
  <c r="T23" i="22"/>
  <c r="U23" i="22"/>
  <c r="W23" i="22"/>
  <c r="X23" i="22"/>
  <c r="Z23" i="22"/>
  <c r="AA23" i="22"/>
  <c r="AB23" i="22"/>
  <c r="AD23" i="22"/>
  <c r="AE23" i="22"/>
  <c r="AF23" i="22"/>
  <c r="AG23" i="22"/>
  <c r="AH23" i="22"/>
  <c r="AI23" i="22"/>
  <c r="AJ23" i="22"/>
  <c r="AK23" i="22"/>
  <c r="S24" i="22"/>
  <c r="T24" i="22"/>
  <c r="U24" i="22"/>
  <c r="W24" i="22"/>
  <c r="X24" i="22"/>
  <c r="Z24" i="22"/>
  <c r="AA24" i="22"/>
  <c r="AB24" i="22"/>
  <c r="AD24" i="22"/>
  <c r="AE24" i="22"/>
  <c r="AF24" i="22"/>
  <c r="AG24" i="22"/>
  <c r="AH24" i="22"/>
  <c r="AI24" i="22"/>
  <c r="AJ24" i="22"/>
  <c r="AK24" i="22"/>
  <c r="K26" i="22"/>
  <c r="L26" i="22"/>
  <c r="M26" i="22"/>
  <c r="S26" i="22"/>
  <c r="T26" i="22"/>
  <c r="U26" i="22"/>
  <c r="W26" i="22"/>
  <c r="X26" i="22"/>
  <c r="Z26" i="22"/>
  <c r="AA26" i="22"/>
  <c r="AB26" i="22"/>
  <c r="AD26" i="22"/>
  <c r="AE26" i="22"/>
  <c r="AF26" i="22"/>
  <c r="AG26" i="22"/>
  <c r="AH26" i="22"/>
  <c r="AI26" i="22"/>
  <c r="AJ26" i="22"/>
  <c r="AK26" i="22"/>
  <c r="S27" i="22"/>
  <c r="T27" i="22"/>
  <c r="U27" i="22"/>
  <c r="W27" i="22"/>
  <c r="X27" i="22"/>
  <c r="Z27" i="22"/>
  <c r="AA27" i="22"/>
  <c r="AB27" i="22"/>
  <c r="AD27" i="22"/>
  <c r="AE27" i="22"/>
  <c r="AF27" i="22"/>
  <c r="AG27" i="22"/>
  <c r="AH27" i="22"/>
  <c r="AI27" i="22"/>
  <c r="AJ27" i="22"/>
  <c r="AK27" i="22"/>
  <c r="L28" i="22"/>
  <c r="M28" i="22"/>
  <c r="S28" i="22"/>
  <c r="T28" i="22"/>
  <c r="U28" i="22"/>
  <c r="W28" i="22"/>
  <c r="X28" i="22"/>
  <c r="Z28" i="22"/>
  <c r="AA28" i="22"/>
  <c r="AB28" i="22"/>
  <c r="AD28" i="22"/>
  <c r="AE28" i="22"/>
  <c r="AF28" i="22"/>
  <c r="AG28" i="22"/>
  <c r="AH28" i="22"/>
  <c r="AI28" i="22"/>
  <c r="AJ28" i="22"/>
  <c r="AK28" i="22"/>
  <c r="S29" i="22"/>
  <c r="T29" i="22"/>
  <c r="U29" i="22"/>
  <c r="W29" i="22"/>
  <c r="X29" i="22"/>
  <c r="Z29" i="22"/>
  <c r="AA29" i="22"/>
  <c r="AB29" i="22"/>
  <c r="AD29" i="22"/>
  <c r="AE29" i="22"/>
  <c r="AF29" i="22"/>
  <c r="AG29" i="22"/>
  <c r="AH29" i="22"/>
  <c r="AI29" i="22"/>
  <c r="AJ29" i="22"/>
  <c r="AK29" i="22"/>
  <c r="S31" i="22"/>
  <c r="T31" i="22"/>
  <c r="U31" i="22"/>
  <c r="W31" i="22"/>
  <c r="X31" i="22"/>
  <c r="Z31" i="22"/>
  <c r="AA31" i="22"/>
  <c r="AB31" i="22"/>
  <c r="AD31" i="22"/>
  <c r="AE31" i="22"/>
  <c r="AF31" i="22"/>
  <c r="AG31" i="22"/>
  <c r="AH31" i="22"/>
  <c r="AI31" i="22"/>
  <c r="AJ31" i="22"/>
  <c r="AK31" i="22"/>
  <c r="S32" i="22"/>
  <c r="T32" i="22"/>
  <c r="U32" i="22"/>
  <c r="W32" i="22"/>
  <c r="X32" i="22"/>
  <c r="Z32" i="22"/>
  <c r="AA32" i="22"/>
  <c r="AB32" i="22"/>
  <c r="AD32" i="22"/>
  <c r="AE32" i="22"/>
  <c r="AF32" i="22"/>
  <c r="AG32" i="22"/>
  <c r="AH32" i="22"/>
  <c r="AI32" i="22"/>
  <c r="AJ32" i="22"/>
  <c r="AK32" i="22"/>
  <c r="J33" i="22"/>
  <c r="K33" i="22"/>
  <c r="S33" i="22"/>
  <c r="T33" i="22"/>
  <c r="U33" i="22"/>
  <c r="W33" i="22"/>
  <c r="X33" i="22"/>
  <c r="Z33" i="22"/>
  <c r="AA33" i="22"/>
  <c r="AB33" i="22"/>
  <c r="AD33" i="22"/>
  <c r="AE33" i="22"/>
  <c r="AF33" i="22"/>
  <c r="AG33" i="22"/>
  <c r="AH33" i="22"/>
  <c r="AI33" i="22"/>
  <c r="AJ33" i="22"/>
  <c r="AK33" i="22"/>
  <c r="J34" i="22"/>
  <c r="K34" i="22"/>
  <c r="S34" i="22"/>
  <c r="T34" i="22"/>
  <c r="U34" i="22"/>
  <c r="W34" i="22"/>
  <c r="X34" i="22"/>
  <c r="Z34" i="22"/>
  <c r="AA34" i="22"/>
  <c r="AB34" i="22"/>
  <c r="AD34" i="22"/>
  <c r="AE34" i="22"/>
  <c r="AF34" i="22"/>
  <c r="AG34" i="22"/>
  <c r="AH34" i="22"/>
  <c r="AI34" i="22"/>
  <c r="AJ34" i="22"/>
  <c r="AK34" i="22"/>
  <c r="J35" i="22"/>
  <c r="K35" i="22"/>
  <c r="J36" i="22"/>
  <c r="K36" i="22"/>
  <c r="S36" i="22"/>
  <c r="T36" i="22"/>
  <c r="U36" i="22"/>
  <c r="W36" i="22"/>
  <c r="X36" i="22"/>
  <c r="Z36" i="22"/>
  <c r="AA36" i="22"/>
  <c r="AB36" i="22"/>
  <c r="AD36" i="22"/>
  <c r="AE36" i="22"/>
  <c r="AF36" i="22"/>
  <c r="AG36" i="22"/>
  <c r="AH36" i="22"/>
  <c r="AI36" i="22"/>
  <c r="AJ36" i="22"/>
  <c r="AK36" i="22"/>
  <c r="J37" i="22"/>
  <c r="K37" i="22"/>
  <c r="S37" i="22"/>
  <c r="T37" i="22"/>
  <c r="U37" i="22"/>
  <c r="W37" i="22"/>
  <c r="X37" i="22"/>
  <c r="Z37" i="22"/>
  <c r="AA37" i="22"/>
  <c r="AB37" i="22"/>
  <c r="AD37" i="22"/>
  <c r="AE37" i="22"/>
  <c r="AF37" i="22"/>
  <c r="AG37" i="22"/>
  <c r="AH37" i="22"/>
  <c r="AI37" i="22"/>
  <c r="AJ37" i="22"/>
  <c r="AK37" i="22"/>
  <c r="S38" i="22"/>
  <c r="T38" i="22"/>
  <c r="U38" i="22"/>
  <c r="W38" i="22"/>
  <c r="X38" i="22"/>
  <c r="Z38" i="22"/>
  <c r="AA38" i="22"/>
  <c r="AB38" i="22"/>
  <c r="AD38" i="22"/>
  <c r="AE38" i="22"/>
  <c r="AF38" i="22"/>
  <c r="AG38" i="22"/>
  <c r="AH38" i="22"/>
  <c r="AI38" i="22"/>
  <c r="AJ38" i="22"/>
  <c r="AK38" i="22"/>
  <c r="S39" i="22"/>
  <c r="T39" i="22"/>
  <c r="U39" i="22"/>
  <c r="W39" i="22"/>
  <c r="X39" i="22"/>
  <c r="Z39" i="22"/>
  <c r="AA39" i="22"/>
  <c r="AB39" i="22"/>
  <c r="AD39" i="22"/>
  <c r="AE39" i="22"/>
  <c r="AF39" i="22"/>
  <c r="AG39" i="22"/>
  <c r="AH39" i="22"/>
  <c r="AI39" i="22"/>
  <c r="AJ39" i="22"/>
  <c r="AK39" i="22"/>
  <c r="K43" i="22"/>
  <c r="V43" i="22"/>
  <c r="K44" i="22"/>
  <c r="V44" i="22"/>
  <c r="K45" i="22"/>
  <c r="V45" i="22"/>
  <c r="K46" i="22"/>
  <c r="K47" i="22"/>
  <c r="R47" i="22"/>
  <c r="R48" i="22"/>
  <c r="J49" i="22"/>
  <c r="R50" i="22"/>
  <c r="Y62" i="22"/>
  <c r="Z62" i="22"/>
  <c r="Y63" i="22"/>
  <c r="Z63" i="22"/>
  <c r="Y64" i="22"/>
  <c r="Z64" i="22"/>
  <c r="Y65" i="22"/>
  <c r="Z65" i="22"/>
  <c r="Y66" i="22"/>
  <c r="Z66" i="22"/>
  <c r="AI6" i="52"/>
  <c r="AJ6" i="52"/>
  <c r="AK6" i="52"/>
  <c r="J7" i="52"/>
  <c r="K7" i="52"/>
  <c r="L7" i="52"/>
  <c r="M7" i="52"/>
  <c r="AI7" i="52"/>
  <c r="AJ7" i="52"/>
  <c r="AK7" i="52"/>
  <c r="L8" i="52"/>
  <c r="M8" i="52"/>
  <c r="AI8" i="52"/>
  <c r="AJ8" i="52"/>
  <c r="AK8" i="52"/>
  <c r="K9" i="52"/>
  <c r="M9" i="52"/>
  <c r="O9" i="52"/>
  <c r="AI9" i="52"/>
  <c r="AJ9" i="52"/>
  <c r="AK9" i="52"/>
  <c r="P11" i="52"/>
  <c r="S11" i="52"/>
  <c r="T11" i="52"/>
  <c r="U11" i="52"/>
  <c r="W11" i="52"/>
  <c r="X11" i="52"/>
  <c r="Z11" i="52"/>
  <c r="AA11" i="52"/>
  <c r="AB11" i="52"/>
  <c r="AD11" i="52"/>
  <c r="AE11" i="52"/>
  <c r="AF11" i="52"/>
  <c r="AG11" i="52"/>
  <c r="AH11" i="52"/>
  <c r="AI11" i="52"/>
  <c r="AJ11" i="52"/>
  <c r="AK11" i="52"/>
  <c r="J12" i="52"/>
  <c r="K12" i="52"/>
  <c r="M12" i="52"/>
  <c r="O12" i="52"/>
  <c r="P12" i="52"/>
  <c r="S12" i="52"/>
  <c r="T12" i="52"/>
  <c r="U12" i="52"/>
  <c r="W12" i="52"/>
  <c r="X12" i="52"/>
  <c r="Z12" i="52"/>
  <c r="AA12" i="52"/>
  <c r="AB12" i="52"/>
  <c r="AD12" i="52"/>
  <c r="AE12" i="52"/>
  <c r="AF12" i="52"/>
  <c r="AG12" i="52"/>
  <c r="AH12" i="52"/>
  <c r="AI12" i="52"/>
  <c r="AJ12" i="52"/>
  <c r="AK12" i="52"/>
  <c r="P13" i="52"/>
  <c r="S13" i="52"/>
  <c r="T13" i="52"/>
  <c r="U13" i="52"/>
  <c r="W13" i="52"/>
  <c r="X13" i="52"/>
  <c r="Z13" i="52"/>
  <c r="AA13" i="52"/>
  <c r="AB13" i="52"/>
  <c r="AD13" i="52"/>
  <c r="AE13" i="52"/>
  <c r="AF13" i="52"/>
  <c r="AG13" i="52"/>
  <c r="AH13" i="52"/>
  <c r="AI13" i="52"/>
  <c r="AJ13" i="52"/>
  <c r="AK13" i="52"/>
  <c r="K14" i="52"/>
  <c r="M14" i="52"/>
  <c r="S14" i="52"/>
  <c r="T14" i="52"/>
  <c r="U14" i="52"/>
  <c r="W14" i="52"/>
  <c r="X14" i="52"/>
  <c r="Z14" i="52"/>
  <c r="AA14" i="52"/>
  <c r="AB14" i="52"/>
  <c r="AD14" i="52"/>
  <c r="AE14" i="52"/>
  <c r="AF14" i="52"/>
  <c r="AG14" i="52"/>
  <c r="AH14" i="52"/>
  <c r="AI14" i="52"/>
  <c r="AJ14" i="52"/>
  <c r="AK14" i="52"/>
  <c r="K16" i="52"/>
  <c r="M16" i="52"/>
  <c r="S16" i="52"/>
  <c r="T16" i="52"/>
  <c r="U16" i="52"/>
  <c r="W16" i="52"/>
  <c r="X16" i="52"/>
  <c r="Z16" i="52"/>
  <c r="AA16" i="52"/>
  <c r="AB16" i="52"/>
  <c r="AD16" i="52"/>
  <c r="AE16" i="52"/>
  <c r="AF16" i="52"/>
  <c r="AG16" i="52"/>
  <c r="AH16" i="52"/>
  <c r="AI16" i="52"/>
  <c r="AJ16" i="52"/>
  <c r="AK16" i="52"/>
  <c r="S17" i="52"/>
  <c r="T17" i="52"/>
  <c r="U17" i="52"/>
  <c r="W17" i="52"/>
  <c r="X17" i="52"/>
  <c r="Z17" i="52"/>
  <c r="AA17" i="52"/>
  <c r="AB17" i="52"/>
  <c r="AD17" i="52"/>
  <c r="AE17" i="52"/>
  <c r="AF17" i="52"/>
  <c r="AG17" i="52"/>
  <c r="AH17" i="52"/>
  <c r="AI17" i="52"/>
  <c r="AJ17" i="52"/>
  <c r="AK17" i="52"/>
  <c r="S18" i="52"/>
  <c r="T18" i="52"/>
  <c r="U18" i="52"/>
  <c r="W18" i="52"/>
  <c r="X18" i="52"/>
  <c r="Z18" i="52"/>
  <c r="AA18" i="52"/>
  <c r="AB18" i="52"/>
  <c r="AD18" i="52"/>
  <c r="AE18" i="52"/>
  <c r="AF18" i="52"/>
  <c r="AG18" i="52"/>
  <c r="AH18" i="52"/>
  <c r="AI18" i="52"/>
  <c r="AJ18" i="52"/>
  <c r="AK18" i="52"/>
  <c r="M19" i="52"/>
  <c r="S19" i="52"/>
  <c r="T19" i="52"/>
  <c r="U19" i="52"/>
  <c r="W19" i="52"/>
  <c r="X19" i="52"/>
  <c r="Z19" i="52"/>
  <c r="AA19" i="52"/>
  <c r="AB19" i="52"/>
  <c r="AD19" i="52"/>
  <c r="AE19" i="52"/>
  <c r="AF19" i="52"/>
  <c r="AG19" i="52"/>
  <c r="AH19" i="52"/>
  <c r="AI19" i="52"/>
  <c r="AJ19" i="52"/>
  <c r="AK19" i="52"/>
  <c r="J20" i="52"/>
  <c r="K20" i="52"/>
  <c r="M20" i="52"/>
  <c r="J21" i="52"/>
  <c r="M21" i="52"/>
  <c r="S21" i="52"/>
  <c r="T21" i="52"/>
  <c r="U21" i="52"/>
  <c r="W21" i="52"/>
  <c r="X21" i="52"/>
  <c r="Z21" i="52"/>
  <c r="AA21" i="52"/>
  <c r="AB21" i="52"/>
  <c r="AD21" i="52"/>
  <c r="AE21" i="52"/>
  <c r="AF21" i="52"/>
  <c r="AG21" i="52"/>
  <c r="AH21" i="52"/>
  <c r="AI21" i="52"/>
  <c r="AJ21" i="52"/>
  <c r="AK21" i="52"/>
  <c r="J22" i="52"/>
  <c r="K22" i="52"/>
  <c r="S22" i="52"/>
  <c r="T22" i="52"/>
  <c r="U22" i="52"/>
  <c r="W22" i="52"/>
  <c r="X22" i="52"/>
  <c r="Z22" i="52"/>
  <c r="AA22" i="52"/>
  <c r="AB22" i="52"/>
  <c r="AD22" i="52"/>
  <c r="AE22" i="52"/>
  <c r="AF22" i="52"/>
  <c r="AG22" i="52"/>
  <c r="AH22" i="52"/>
  <c r="AI22" i="52"/>
  <c r="AJ22" i="52"/>
  <c r="AK22" i="52"/>
  <c r="S23" i="52"/>
  <c r="T23" i="52"/>
  <c r="U23" i="52"/>
  <c r="W23" i="52"/>
  <c r="X23" i="52"/>
  <c r="Z23" i="52"/>
  <c r="AA23" i="52"/>
  <c r="AB23" i="52"/>
  <c r="AD23" i="52"/>
  <c r="AE23" i="52"/>
  <c r="AF23" i="52"/>
  <c r="AG23" i="52"/>
  <c r="AH23" i="52"/>
  <c r="AI23" i="52"/>
  <c r="AJ23" i="52"/>
  <c r="AK23" i="52"/>
  <c r="S24" i="52"/>
  <c r="T24" i="52"/>
  <c r="U24" i="52"/>
  <c r="W24" i="52"/>
  <c r="X24" i="52"/>
  <c r="Z24" i="52"/>
  <c r="AA24" i="52"/>
  <c r="AB24" i="52"/>
  <c r="AD24" i="52"/>
  <c r="AE24" i="52"/>
  <c r="AF24" i="52"/>
  <c r="AG24" i="52"/>
  <c r="AH24" i="52"/>
  <c r="AI24" i="52"/>
  <c r="AJ24" i="52"/>
  <c r="AK24" i="52"/>
  <c r="K26" i="52"/>
  <c r="L26" i="52"/>
  <c r="M26" i="52"/>
  <c r="S26" i="52"/>
  <c r="T26" i="52"/>
  <c r="U26" i="52"/>
  <c r="W26" i="52"/>
  <c r="X26" i="52"/>
  <c r="Z26" i="52"/>
  <c r="AA26" i="52"/>
  <c r="AB26" i="52"/>
  <c r="AD26" i="52"/>
  <c r="AE26" i="52"/>
  <c r="AF26" i="52"/>
  <c r="AG26" i="52"/>
  <c r="AH26" i="52"/>
  <c r="AI26" i="52"/>
  <c r="AJ26" i="52"/>
  <c r="AK26" i="52"/>
  <c r="S27" i="52"/>
  <c r="T27" i="52"/>
  <c r="U27" i="52"/>
  <c r="W27" i="52"/>
  <c r="X27" i="52"/>
  <c r="Z27" i="52"/>
  <c r="AA27" i="52"/>
  <c r="AB27" i="52"/>
  <c r="AD27" i="52"/>
  <c r="AE27" i="52"/>
  <c r="AF27" i="52"/>
  <c r="AG27" i="52"/>
  <c r="AH27" i="52"/>
  <c r="AI27" i="52"/>
  <c r="AJ27" i="52"/>
  <c r="AK27" i="52"/>
  <c r="L28" i="52"/>
  <c r="M28" i="52"/>
  <c r="S28" i="52"/>
  <c r="T28" i="52"/>
  <c r="U28" i="52"/>
  <c r="W28" i="52"/>
  <c r="X28" i="52"/>
  <c r="Z28" i="52"/>
  <c r="AA28" i="52"/>
  <c r="AB28" i="52"/>
  <c r="AD28" i="52"/>
  <c r="AE28" i="52"/>
  <c r="AF28" i="52"/>
  <c r="AG28" i="52"/>
  <c r="AH28" i="52"/>
  <c r="AI28" i="52"/>
  <c r="AJ28" i="52"/>
  <c r="AK28" i="52"/>
  <c r="S29" i="52"/>
  <c r="T29" i="52"/>
  <c r="U29" i="52"/>
  <c r="W29" i="52"/>
  <c r="X29" i="52"/>
  <c r="Z29" i="52"/>
  <c r="AA29" i="52"/>
  <c r="AB29" i="52"/>
  <c r="AD29" i="52"/>
  <c r="AE29" i="52"/>
  <c r="AF29" i="52"/>
  <c r="AG29" i="52"/>
  <c r="AH29" i="52"/>
  <c r="AI29" i="52"/>
  <c r="AJ29" i="52"/>
  <c r="AK29" i="52"/>
  <c r="S31" i="52"/>
  <c r="T31" i="52"/>
  <c r="U31" i="52"/>
  <c r="W31" i="52"/>
  <c r="X31" i="52"/>
  <c r="Z31" i="52"/>
  <c r="AA31" i="52"/>
  <c r="AB31" i="52"/>
  <c r="AD31" i="52"/>
  <c r="AE31" i="52"/>
  <c r="AF31" i="52"/>
  <c r="AG31" i="52"/>
  <c r="AH31" i="52"/>
  <c r="AI31" i="52"/>
  <c r="AJ31" i="52"/>
  <c r="AK31" i="52"/>
  <c r="S32" i="52"/>
  <c r="T32" i="52"/>
  <c r="U32" i="52"/>
  <c r="W32" i="52"/>
  <c r="X32" i="52"/>
  <c r="Z32" i="52"/>
  <c r="AA32" i="52"/>
  <c r="AB32" i="52"/>
  <c r="AD32" i="52"/>
  <c r="AE32" i="52"/>
  <c r="AF32" i="52"/>
  <c r="AG32" i="52"/>
  <c r="AH32" i="52"/>
  <c r="AI32" i="52"/>
  <c r="AJ32" i="52"/>
  <c r="AK32" i="52"/>
  <c r="J33" i="52"/>
  <c r="K33" i="52"/>
  <c r="S33" i="52"/>
  <c r="T33" i="52"/>
  <c r="U33" i="52"/>
  <c r="W33" i="52"/>
  <c r="X33" i="52"/>
  <c r="Z33" i="52"/>
  <c r="AA33" i="52"/>
  <c r="AB33" i="52"/>
  <c r="AD33" i="52"/>
  <c r="AE33" i="52"/>
  <c r="AF33" i="52"/>
  <c r="AG33" i="52"/>
  <c r="AH33" i="52"/>
  <c r="AI33" i="52"/>
  <c r="AJ33" i="52"/>
  <c r="AK33" i="52"/>
  <c r="J34" i="52"/>
  <c r="K34" i="52"/>
  <c r="S34" i="52"/>
  <c r="T34" i="52"/>
  <c r="U34" i="52"/>
  <c r="W34" i="52"/>
  <c r="X34" i="52"/>
  <c r="Z34" i="52"/>
  <c r="AA34" i="52"/>
  <c r="AB34" i="52"/>
  <c r="AD34" i="52"/>
  <c r="AE34" i="52"/>
  <c r="AF34" i="52"/>
  <c r="AG34" i="52"/>
  <c r="AH34" i="52"/>
  <c r="AI34" i="52"/>
  <c r="AJ34" i="52"/>
  <c r="AK34" i="52"/>
  <c r="J35" i="52"/>
  <c r="K35" i="52"/>
  <c r="J36" i="52"/>
  <c r="K36" i="52"/>
  <c r="S36" i="52"/>
  <c r="T36" i="52"/>
  <c r="U36" i="52"/>
  <c r="W36" i="52"/>
  <c r="X36" i="52"/>
  <c r="Z36" i="52"/>
  <c r="AA36" i="52"/>
  <c r="AB36" i="52"/>
  <c r="AD36" i="52"/>
  <c r="AE36" i="52"/>
  <c r="AF36" i="52"/>
  <c r="AG36" i="52"/>
  <c r="AH36" i="52"/>
  <c r="AI36" i="52"/>
  <c r="AJ36" i="52"/>
  <c r="AK36" i="52"/>
  <c r="J37" i="52"/>
  <c r="K37" i="52"/>
  <c r="S37" i="52"/>
  <c r="T37" i="52"/>
  <c r="U37" i="52"/>
  <c r="W37" i="52"/>
  <c r="X37" i="52"/>
  <c r="Z37" i="52"/>
  <c r="AA37" i="52"/>
  <c r="AB37" i="52"/>
  <c r="AD37" i="52"/>
  <c r="AE37" i="52"/>
  <c r="AF37" i="52"/>
  <c r="AG37" i="52"/>
  <c r="AH37" i="52"/>
  <c r="AI37" i="52"/>
  <c r="AJ37" i="52"/>
  <c r="AK37" i="52"/>
  <c r="S38" i="52"/>
  <c r="T38" i="52"/>
  <c r="U38" i="52"/>
  <c r="W38" i="52"/>
  <c r="X38" i="52"/>
  <c r="Z38" i="52"/>
  <c r="AA38" i="52"/>
  <c r="AB38" i="52"/>
  <c r="AD38" i="52"/>
  <c r="AE38" i="52"/>
  <c r="AF38" i="52"/>
  <c r="AG38" i="52"/>
  <c r="AH38" i="52"/>
  <c r="AI38" i="52"/>
  <c r="AJ38" i="52"/>
  <c r="AK38" i="52"/>
  <c r="S39" i="52"/>
  <c r="T39" i="52"/>
  <c r="U39" i="52"/>
  <c r="W39" i="52"/>
  <c r="X39" i="52"/>
  <c r="Z39" i="52"/>
  <c r="AA39" i="52"/>
  <c r="AB39" i="52"/>
  <c r="AD39" i="52"/>
  <c r="AE39" i="52"/>
  <c r="AF39" i="52"/>
  <c r="AG39" i="52"/>
  <c r="AH39" i="52"/>
  <c r="AI39" i="52"/>
  <c r="AJ39" i="52"/>
  <c r="AK39" i="52"/>
  <c r="K43" i="52"/>
  <c r="V43" i="52"/>
  <c r="K44" i="52"/>
  <c r="V44" i="52"/>
  <c r="K45" i="52"/>
  <c r="V45" i="52"/>
  <c r="K46" i="52"/>
  <c r="K47" i="52"/>
  <c r="R47" i="52"/>
  <c r="R48" i="52"/>
  <c r="J49" i="52"/>
  <c r="R50" i="52"/>
  <c r="Y62" i="52"/>
  <c r="Z62" i="52"/>
  <c r="Y63" i="52"/>
  <c r="Z63" i="52"/>
  <c r="Y64" i="52"/>
  <c r="Z64" i="52"/>
  <c r="Y65" i="52"/>
  <c r="Z65" i="52"/>
  <c r="Y66" i="52"/>
  <c r="Z66" i="52"/>
  <c r="AI6" i="51"/>
  <c r="AJ6" i="51"/>
  <c r="AK6" i="51"/>
  <c r="J7" i="51"/>
  <c r="K7" i="51"/>
  <c r="L7" i="51"/>
  <c r="M7" i="51"/>
  <c r="AI7" i="51"/>
  <c r="AJ7" i="51"/>
  <c r="AK7" i="51"/>
  <c r="L8" i="51"/>
  <c r="M8" i="51"/>
  <c r="AI8" i="51"/>
  <c r="AJ8" i="51"/>
  <c r="AK8" i="51"/>
  <c r="K9" i="51"/>
  <c r="M9" i="51"/>
  <c r="O9" i="51"/>
  <c r="AI9" i="51"/>
  <c r="AJ9" i="51"/>
  <c r="AK9" i="51"/>
  <c r="P11" i="51"/>
  <c r="S11" i="51"/>
  <c r="T11" i="51"/>
  <c r="U11" i="51"/>
  <c r="W11" i="51"/>
  <c r="X11" i="51"/>
  <c r="Z11" i="51"/>
  <c r="AA11" i="51"/>
  <c r="AB11" i="51"/>
  <c r="AD11" i="51"/>
  <c r="AE11" i="51"/>
  <c r="AF11" i="51"/>
  <c r="AG11" i="51"/>
  <c r="AH11" i="51"/>
  <c r="AI11" i="51"/>
  <c r="AJ11" i="51"/>
  <c r="AK11" i="51"/>
  <c r="J12" i="51"/>
  <c r="K12" i="51"/>
  <c r="M12" i="51"/>
  <c r="O12" i="51"/>
  <c r="P12" i="51"/>
  <c r="S12" i="51"/>
  <c r="T12" i="51"/>
  <c r="U12" i="51"/>
  <c r="W12" i="51"/>
  <c r="X12" i="51"/>
  <c r="Z12" i="51"/>
  <c r="AA12" i="51"/>
  <c r="AB12" i="51"/>
  <c r="AD12" i="51"/>
  <c r="AE12" i="51"/>
  <c r="AF12" i="51"/>
  <c r="AG12" i="51"/>
  <c r="AH12" i="51"/>
  <c r="AI12" i="51"/>
  <c r="AJ12" i="51"/>
  <c r="AK12" i="51"/>
  <c r="P13" i="51"/>
  <c r="S13" i="51"/>
  <c r="T13" i="51"/>
  <c r="U13" i="51"/>
  <c r="W13" i="51"/>
  <c r="X13" i="51"/>
  <c r="Z13" i="51"/>
  <c r="AA13" i="51"/>
  <c r="AB13" i="51"/>
  <c r="AD13" i="51"/>
  <c r="AE13" i="51"/>
  <c r="AF13" i="51"/>
  <c r="AG13" i="51"/>
  <c r="AH13" i="51"/>
  <c r="AI13" i="51"/>
  <c r="AJ13" i="51"/>
  <c r="AK13" i="51"/>
  <c r="K14" i="51"/>
  <c r="M14" i="51"/>
  <c r="S14" i="51"/>
  <c r="T14" i="51"/>
  <c r="U14" i="51"/>
  <c r="W14" i="51"/>
  <c r="X14" i="51"/>
  <c r="Z14" i="51"/>
  <c r="AA14" i="51"/>
  <c r="AB14" i="51"/>
  <c r="AD14" i="51"/>
  <c r="AE14" i="51"/>
  <c r="AF14" i="51"/>
  <c r="AG14" i="51"/>
  <c r="AH14" i="51"/>
  <c r="AI14" i="51"/>
  <c r="AJ14" i="51"/>
  <c r="AK14" i="51"/>
  <c r="K16" i="51"/>
  <c r="M16" i="51"/>
  <c r="S16" i="51"/>
  <c r="T16" i="51"/>
  <c r="U16" i="51"/>
  <c r="W16" i="51"/>
  <c r="X16" i="51"/>
  <c r="Z16" i="51"/>
  <c r="AA16" i="51"/>
  <c r="AB16" i="51"/>
  <c r="AD16" i="51"/>
  <c r="AE16" i="51"/>
  <c r="AF16" i="51"/>
  <c r="AG16" i="51"/>
  <c r="AH16" i="51"/>
  <c r="AI16" i="51"/>
  <c r="AJ16" i="51"/>
  <c r="AK16" i="51"/>
  <c r="S17" i="51"/>
  <c r="T17" i="51"/>
  <c r="U17" i="51"/>
  <c r="W17" i="51"/>
  <c r="X17" i="51"/>
  <c r="Z17" i="51"/>
  <c r="AA17" i="51"/>
  <c r="AB17" i="51"/>
  <c r="AD17" i="51"/>
  <c r="AE17" i="51"/>
  <c r="AF17" i="51"/>
  <c r="AG17" i="51"/>
  <c r="AH17" i="51"/>
  <c r="AI17" i="51"/>
  <c r="AJ17" i="51"/>
  <c r="AK17" i="51"/>
  <c r="S18" i="51"/>
  <c r="T18" i="51"/>
  <c r="U18" i="51"/>
  <c r="W18" i="51"/>
  <c r="X18" i="51"/>
  <c r="Z18" i="51"/>
  <c r="AA18" i="51"/>
  <c r="AB18" i="51"/>
  <c r="AD18" i="51"/>
  <c r="AE18" i="51"/>
  <c r="AF18" i="51"/>
  <c r="AG18" i="51"/>
  <c r="AH18" i="51"/>
  <c r="AI18" i="51"/>
  <c r="AJ18" i="51"/>
  <c r="AK18" i="51"/>
  <c r="M19" i="51"/>
  <c r="S19" i="51"/>
  <c r="T19" i="51"/>
  <c r="U19" i="51"/>
  <c r="W19" i="51"/>
  <c r="X19" i="51"/>
  <c r="Z19" i="51"/>
  <c r="AA19" i="51"/>
  <c r="AB19" i="51"/>
  <c r="AD19" i="51"/>
  <c r="AE19" i="51"/>
  <c r="AF19" i="51"/>
  <c r="AG19" i="51"/>
  <c r="AH19" i="51"/>
  <c r="AI19" i="51"/>
  <c r="AJ19" i="51"/>
  <c r="AK19" i="51"/>
  <c r="J20" i="51"/>
  <c r="K20" i="51"/>
  <c r="M20" i="51"/>
  <c r="J21" i="51"/>
  <c r="M21" i="51"/>
  <c r="S21" i="51"/>
  <c r="T21" i="51"/>
  <c r="U21" i="51"/>
  <c r="W21" i="51"/>
  <c r="X21" i="51"/>
  <c r="Z21" i="51"/>
  <c r="AA21" i="51"/>
  <c r="AB21" i="51"/>
  <c r="AD21" i="51"/>
  <c r="AE21" i="51"/>
  <c r="AF21" i="51"/>
  <c r="AG21" i="51"/>
  <c r="AH21" i="51"/>
  <c r="AI21" i="51"/>
  <c r="AJ21" i="51"/>
  <c r="AK21" i="51"/>
  <c r="J22" i="51"/>
  <c r="K22" i="51"/>
  <c r="S22" i="51"/>
  <c r="T22" i="51"/>
  <c r="U22" i="51"/>
  <c r="W22" i="51"/>
  <c r="X22" i="51"/>
  <c r="Z22" i="51"/>
  <c r="AA22" i="51"/>
  <c r="AB22" i="51"/>
  <c r="AD22" i="51"/>
  <c r="AE22" i="51"/>
  <c r="AF22" i="51"/>
  <c r="AG22" i="51"/>
  <c r="AH22" i="51"/>
  <c r="AI22" i="51"/>
  <c r="AJ22" i="51"/>
  <c r="AK22" i="51"/>
  <c r="S23" i="51"/>
  <c r="T23" i="51"/>
  <c r="U23" i="51"/>
  <c r="W23" i="51"/>
  <c r="X23" i="51"/>
  <c r="Z23" i="51"/>
  <c r="AA23" i="51"/>
  <c r="AB23" i="51"/>
  <c r="AD23" i="51"/>
  <c r="AE23" i="51"/>
  <c r="AF23" i="51"/>
  <c r="AG23" i="51"/>
  <c r="AH23" i="51"/>
  <c r="AI23" i="51"/>
  <c r="AJ23" i="51"/>
  <c r="AK23" i="51"/>
  <c r="S24" i="51"/>
  <c r="T24" i="51"/>
  <c r="U24" i="51"/>
  <c r="W24" i="51"/>
  <c r="X24" i="51"/>
  <c r="Z24" i="51"/>
  <c r="AA24" i="51"/>
  <c r="AB24" i="51"/>
  <c r="AD24" i="51"/>
  <c r="AE24" i="51"/>
  <c r="AF24" i="51"/>
  <c r="AG24" i="51"/>
  <c r="AH24" i="51"/>
  <c r="AI24" i="51"/>
  <c r="AJ24" i="51"/>
  <c r="AK24" i="51"/>
  <c r="K26" i="51"/>
  <c r="L26" i="51"/>
  <c r="M26" i="51"/>
  <c r="S26" i="51"/>
  <c r="T26" i="51"/>
  <c r="U26" i="51"/>
  <c r="W26" i="51"/>
  <c r="X26" i="51"/>
  <c r="Z26" i="51"/>
  <c r="AA26" i="51"/>
  <c r="AB26" i="51"/>
  <c r="AD26" i="51"/>
  <c r="AE26" i="51"/>
  <c r="AF26" i="51"/>
  <c r="AG26" i="51"/>
  <c r="AH26" i="51"/>
  <c r="AI26" i="51"/>
  <c r="AJ26" i="51"/>
  <c r="AK26" i="51"/>
  <c r="S27" i="51"/>
  <c r="T27" i="51"/>
  <c r="U27" i="51"/>
  <c r="W27" i="51"/>
  <c r="X27" i="51"/>
  <c r="Z27" i="51"/>
  <c r="AA27" i="51"/>
  <c r="AB27" i="51"/>
  <c r="AD27" i="51"/>
  <c r="AE27" i="51"/>
  <c r="AF27" i="51"/>
  <c r="AG27" i="51"/>
  <c r="AH27" i="51"/>
  <c r="AI27" i="51"/>
  <c r="AJ27" i="51"/>
  <c r="AK27" i="51"/>
  <c r="L28" i="51"/>
  <c r="M28" i="51"/>
  <c r="S28" i="51"/>
  <c r="T28" i="51"/>
  <c r="U28" i="51"/>
  <c r="W28" i="51"/>
  <c r="X28" i="51"/>
  <c r="Z28" i="51"/>
  <c r="AA28" i="51"/>
  <c r="AB28" i="51"/>
  <c r="AD28" i="51"/>
  <c r="AE28" i="51"/>
  <c r="AF28" i="51"/>
  <c r="AG28" i="51"/>
  <c r="AH28" i="51"/>
  <c r="AI28" i="51"/>
  <c r="AJ28" i="51"/>
  <c r="AK28" i="51"/>
  <c r="S29" i="51"/>
  <c r="T29" i="51"/>
  <c r="U29" i="51"/>
  <c r="W29" i="51"/>
  <c r="X29" i="51"/>
  <c r="Z29" i="51"/>
  <c r="AA29" i="51"/>
  <c r="AB29" i="51"/>
  <c r="AD29" i="51"/>
  <c r="AE29" i="51"/>
  <c r="AF29" i="51"/>
  <c r="AG29" i="51"/>
  <c r="AH29" i="51"/>
  <c r="AI29" i="51"/>
  <c r="AJ29" i="51"/>
  <c r="AK29" i="51"/>
  <c r="S31" i="51"/>
  <c r="T31" i="51"/>
  <c r="U31" i="51"/>
  <c r="W31" i="51"/>
  <c r="X31" i="51"/>
  <c r="Z31" i="51"/>
  <c r="AA31" i="51"/>
  <c r="AB31" i="51"/>
  <c r="AD31" i="51"/>
  <c r="AE31" i="51"/>
  <c r="AF31" i="51"/>
  <c r="AG31" i="51"/>
  <c r="AH31" i="51"/>
  <c r="AI31" i="51"/>
  <c r="AJ31" i="51"/>
  <c r="AK31" i="51"/>
  <c r="S32" i="51"/>
  <c r="T32" i="51"/>
  <c r="U32" i="51"/>
  <c r="W32" i="51"/>
  <c r="X32" i="51"/>
  <c r="Z32" i="51"/>
  <c r="AA32" i="51"/>
  <c r="AB32" i="51"/>
  <c r="AD32" i="51"/>
  <c r="AE32" i="51"/>
  <c r="AF32" i="51"/>
  <c r="AG32" i="51"/>
  <c r="AH32" i="51"/>
  <c r="AI32" i="51"/>
  <c r="AJ32" i="51"/>
  <c r="AK32" i="51"/>
  <c r="J33" i="51"/>
  <c r="K33" i="51"/>
  <c r="S33" i="51"/>
  <c r="T33" i="51"/>
  <c r="U33" i="51"/>
  <c r="W33" i="51"/>
  <c r="X33" i="51"/>
  <c r="Z33" i="51"/>
  <c r="AA33" i="51"/>
  <c r="AB33" i="51"/>
  <c r="AD33" i="51"/>
  <c r="AE33" i="51"/>
  <c r="AF33" i="51"/>
  <c r="AG33" i="51"/>
  <c r="AH33" i="51"/>
  <c r="AI33" i="51"/>
  <c r="AJ33" i="51"/>
  <c r="AK33" i="51"/>
  <c r="J34" i="51"/>
  <c r="K34" i="51"/>
  <c r="S34" i="51"/>
  <c r="T34" i="51"/>
  <c r="U34" i="51"/>
  <c r="W34" i="51"/>
  <c r="X34" i="51"/>
  <c r="Z34" i="51"/>
  <c r="AA34" i="51"/>
  <c r="AB34" i="51"/>
  <c r="AD34" i="51"/>
  <c r="AE34" i="51"/>
  <c r="AF34" i="51"/>
  <c r="AG34" i="51"/>
  <c r="AH34" i="51"/>
  <c r="AI34" i="51"/>
  <c r="AJ34" i="51"/>
  <c r="AK34" i="51"/>
  <c r="J35" i="51"/>
  <c r="K35" i="51"/>
  <c r="J36" i="51"/>
  <c r="K36" i="51"/>
  <c r="S36" i="51"/>
  <c r="T36" i="51"/>
  <c r="U36" i="51"/>
  <c r="W36" i="51"/>
  <c r="X36" i="51"/>
  <c r="Z36" i="51"/>
  <c r="AA36" i="51"/>
  <c r="AB36" i="51"/>
  <c r="AD36" i="51"/>
  <c r="AE36" i="51"/>
  <c r="AF36" i="51"/>
  <c r="AG36" i="51"/>
  <c r="AH36" i="51"/>
  <c r="AI36" i="51"/>
  <c r="AJ36" i="51"/>
  <c r="AK36" i="51"/>
  <c r="J37" i="51"/>
  <c r="K37" i="51"/>
  <c r="S37" i="51"/>
  <c r="T37" i="51"/>
  <c r="U37" i="51"/>
  <c r="W37" i="51"/>
  <c r="X37" i="51"/>
  <c r="Z37" i="51"/>
  <c r="AA37" i="51"/>
  <c r="AB37" i="51"/>
  <c r="AD37" i="51"/>
  <c r="AE37" i="51"/>
  <c r="AF37" i="51"/>
  <c r="AG37" i="51"/>
  <c r="AH37" i="51"/>
  <c r="AI37" i="51"/>
  <c r="AJ37" i="51"/>
  <c r="AK37" i="51"/>
  <c r="S38" i="51"/>
  <c r="T38" i="51"/>
  <c r="U38" i="51"/>
  <c r="W38" i="51"/>
  <c r="X38" i="51"/>
  <c r="Z38" i="51"/>
  <c r="AA38" i="51"/>
  <c r="AB38" i="51"/>
  <c r="AD38" i="51"/>
  <c r="AE38" i="51"/>
  <c r="AF38" i="51"/>
  <c r="AG38" i="51"/>
  <c r="AH38" i="51"/>
  <c r="AI38" i="51"/>
  <c r="AJ38" i="51"/>
  <c r="AK38" i="51"/>
  <c r="S39" i="51"/>
  <c r="T39" i="51"/>
  <c r="U39" i="51"/>
  <c r="W39" i="51"/>
  <c r="X39" i="51"/>
  <c r="Z39" i="51"/>
  <c r="AA39" i="51"/>
  <c r="AB39" i="51"/>
  <c r="AD39" i="51"/>
  <c r="AE39" i="51"/>
  <c r="AF39" i="51"/>
  <c r="AG39" i="51"/>
  <c r="AH39" i="51"/>
  <c r="AI39" i="51"/>
  <c r="AJ39" i="51"/>
  <c r="AK39" i="51"/>
  <c r="K43" i="51"/>
  <c r="V43" i="51"/>
  <c r="K44" i="51"/>
  <c r="V44" i="51"/>
  <c r="K45" i="51"/>
  <c r="V45" i="51"/>
  <c r="K46" i="51"/>
  <c r="K47" i="51"/>
  <c r="R47" i="51"/>
  <c r="R48" i="51"/>
  <c r="J49" i="51"/>
  <c r="R50" i="51"/>
  <c r="Y62" i="51"/>
  <c r="Z62" i="51"/>
  <c r="Y63" i="51"/>
  <c r="Z63" i="51"/>
  <c r="Y64" i="51"/>
  <c r="Z64" i="51"/>
  <c r="Y65" i="51"/>
  <c r="Z65" i="51"/>
  <c r="Y66" i="51"/>
  <c r="Z66" i="51"/>
  <c r="AI6" i="53"/>
  <c r="AJ6" i="53"/>
  <c r="AK6" i="53"/>
  <c r="J7" i="53"/>
  <c r="K7" i="53"/>
  <c r="L7" i="53"/>
  <c r="M7" i="53"/>
  <c r="AI7" i="53"/>
  <c r="AJ7" i="53"/>
  <c r="AK7" i="53"/>
  <c r="L8" i="53"/>
  <c r="M8" i="53"/>
  <c r="AI8" i="53"/>
  <c r="AJ8" i="53"/>
  <c r="AK8" i="53"/>
  <c r="K9" i="53"/>
  <c r="M9" i="53"/>
  <c r="O9" i="53"/>
  <c r="AI9" i="53"/>
  <c r="AJ9" i="53"/>
  <c r="AK9" i="53"/>
  <c r="P11" i="53"/>
  <c r="S11" i="53"/>
  <c r="T11" i="53"/>
  <c r="U11" i="53"/>
  <c r="W11" i="53"/>
  <c r="X11" i="53"/>
  <c r="Z11" i="53"/>
  <c r="AA11" i="53"/>
  <c r="AB11" i="53"/>
  <c r="AD11" i="53"/>
  <c r="AE11" i="53"/>
  <c r="AF11" i="53"/>
  <c r="AG11" i="53"/>
  <c r="AH11" i="53"/>
  <c r="AI11" i="53"/>
  <c r="AJ11" i="53"/>
  <c r="AK11" i="53"/>
  <c r="J12" i="53"/>
  <c r="K12" i="53"/>
  <c r="M12" i="53"/>
  <c r="O12" i="53"/>
  <c r="P12" i="53"/>
  <c r="S12" i="53"/>
  <c r="T12" i="53"/>
  <c r="U12" i="53"/>
  <c r="W12" i="53"/>
  <c r="X12" i="53"/>
  <c r="Z12" i="53"/>
  <c r="AA12" i="53"/>
  <c r="AB12" i="53"/>
  <c r="AD12" i="53"/>
  <c r="AE12" i="53"/>
  <c r="AF12" i="53"/>
  <c r="AG12" i="53"/>
  <c r="AH12" i="53"/>
  <c r="AI12" i="53"/>
  <c r="AJ12" i="53"/>
  <c r="AK12" i="53"/>
  <c r="P13" i="53"/>
  <c r="S13" i="53"/>
  <c r="T13" i="53"/>
  <c r="U13" i="53"/>
  <c r="W13" i="53"/>
  <c r="X13" i="53"/>
  <c r="Z13" i="53"/>
  <c r="AA13" i="53"/>
  <c r="AB13" i="53"/>
  <c r="AD13" i="53"/>
  <c r="AE13" i="53"/>
  <c r="AF13" i="53"/>
  <c r="AG13" i="53"/>
  <c r="AH13" i="53"/>
  <c r="AI13" i="53"/>
  <c r="AJ13" i="53"/>
  <c r="AK13" i="53"/>
  <c r="K14" i="53"/>
  <c r="M14" i="53"/>
  <c r="S14" i="53"/>
  <c r="T14" i="53"/>
  <c r="U14" i="53"/>
  <c r="W14" i="53"/>
  <c r="X14" i="53"/>
  <c r="Z14" i="53"/>
  <c r="AA14" i="53"/>
  <c r="AB14" i="53"/>
  <c r="AD14" i="53"/>
  <c r="AE14" i="53"/>
  <c r="AF14" i="53"/>
  <c r="AG14" i="53"/>
  <c r="AH14" i="53"/>
  <c r="AI14" i="53"/>
  <c r="AJ14" i="53"/>
  <c r="AK14" i="53"/>
  <c r="K16" i="53"/>
  <c r="M16" i="53"/>
  <c r="S16" i="53"/>
  <c r="T16" i="53"/>
  <c r="U16" i="53"/>
  <c r="W16" i="53"/>
  <c r="X16" i="53"/>
  <c r="Z16" i="53"/>
  <c r="AA16" i="53"/>
  <c r="AB16" i="53"/>
  <c r="AD16" i="53"/>
  <c r="AE16" i="53"/>
  <c r="AF16" i="53"/>
  <c r="AG16" i="53"/>
  <c r="AH16" i="53"/>
  <c r="AI16" i="53"/>
  <c r="AJ16" i="53"/>
  <c r="AK16" i="53"/>
  <c r="S17" i="53"/>
  <c r="T17" i="53"/>
  <c r="U17" i="53"/>
  <c r="W17" i="53"/>
  <c r="X17" i="53"/>
  <c r="Z17" i="53"/>
  <c r="AA17" i="53"/>
  <c r="AB17" i="53"/>
  <c r="AD17" i="53"/>
  <c r="AE17" i="53"/>
  <c r="AF17" i="53"/>
  <c r="AG17" i="53"/>
  <c r="AH17" i="53"/>
  <c r="AI17" i="53"/>
  <c r="AJ17" i="53"/>
  <c r="AK17" i="53"/>
  <c r="S18" i="53"/>
  <c r="T18" i="53"/>
  <c r="U18" i="53"/>
  <c r="W18" i="53"/>
  <c r="X18" i="53"/>
  <c r="Z18" i="53"/>
  <c r="AA18" i="53"/>
  <c r="AB18" i="53"/>
  <c r="AD18" i="53"/>
  <c r="AE18" i="53"/>
  <c r="AF18" i="53"/>
  <c r="AG18" i="53"/>
  <c r="AH18" i="53"/>
  <c r="AI18" i="53"/>
  <c r="AJ18" i="53"/>
  <c r="AK18" i="53"/>
  <c r="M19" i="53"/>
  <c r="S19" i="53"/>
  <c r="T19" i="53"/>
  <c r="U19" i="53"/>
  <c r="W19" i="53"/>
  <c r="X19" i="53"/>
  <c r="Z19" i="53"/>
  <c r="AA19" i="53"/>
  <c r="AB19" i="53"/>
  <c r="AD19" i="53"/>
  <c r="AE19" i="53"/>
  <c r="AF19" i="53"/>
  <c r="AG19" i="53"/>
  <c r="AH19" i="53"/>
  <c r="AI19" i="53"/>
  <c r="AJ19" i="53"/>
  <c r="AK19" i="53"/>
  <c r="J20" i="53"/>
  <c r="K20" i="53"/>
  <c r="M20" i="53"/>
  <c r="J21" i="53"/>
  <c r="M21" i="53"/>
  <c r="S21" i="53"/>
  <c r="T21" i="53"/>
  <c r="U21" i="53"/>
  <c r="W21" i="53"/>
  <c r="X21" i="53"/>
  <c r="Z21" i="53"/>
  <c r="AA21" i="53"/>
  <c r="AB21" i="53"/>
  <c r="AD21" i="53"/>
  <c r="AE21" i="53"/>
  <c r="AF21" i="53"/>
  <c r="AG21" i="53"/>
  <c r="AH21" i="53"/>
  <c r="AI21" i="53"/>
  <c r="AJ21" i="53"/>
  <c r="AK21" i="53"/>
  <c r="S22" i="53"/>
  <c r="T22" i="53"/>
  <c r="U22" i="53"/>
  <c r="W22" i="53"/>
  <c r="X22" i="53"/>
  <c r="Z22" i="53"/>
  <c r="AA22" i="53"/>
  <c r="AB22" i="53"/>
  <c r="AD22" i="53"/>
  <c r="AE22" i="53"/>
  <c r="AF22" i="53"/>
  <c r="AG22" i="53"/>
  <c r="AH22" i="53"/>
  <c r="AI22" i="53"/>
  <c r="AJ22" i="53"/>
  <c r="AK22" i="53"/>
  <c r="S23" i="53"/>
  <c r="T23" i="53"/>
  <c r="U23" i="53"/>
  <c r="W23" i="53"/>
  <c r="X23" i="53"/>
  <c r="Z23" i="53"/>
  <c r="AA23" i="53"/>
  <c r="AB23" i="53"/>
  <c r="AD23" i="53"/>
  <c r="AE23" i="53"/>
  <c r="AF23" i="53"/>
  <c r="AG23" i="53"/>
  <c r="AH23" i="53"/>
  <c r="AI23" i="53"/>
  <c r="AJ23" i="53"/>
  <c r="AK23" i="53"/>
  <c r="S24" i="53"/>
  <c r="T24" i="53"/>
  <c r="U24" i="53"/>
  <c r="W24" i="53"/>
  <c r="X24" i="53"/>
  <c r="Z24" i="53"/>
  <c r="AA24" i="53"/>
  <c r="AB24" i="53"/>
  <c r="AD24" i="53"/>
  <c r="AE24" i="53"/>
  <c r="AF24" i="53"/>
  <c r="AG24" i="53"/>
  <c r="AH24" i="53"/>
  <c r="AI24" i="53"/>
  <c r="AJ24" i="53"/>
  <c r="AK24" i="53"/>
  <c r="K26" i="53"/>
  <c r="L26" i="53"/>
  <c r="M26" i="53"/>
  <c r="S26" i="53"/>
  <c r="T26" i="53"/>
  <c r="U26" i="53"/>
  <c r="W26" i="53"/>
  <c r="X26" i="53"/>
  <c r="Z26" i="53"/>
  <c r="AA26" i="53"/>
  <c r="AB26" i="53"/>
  <c r="AD26" i="53"/>
  <c r="AE26" i="53"/>
  <c r="AF26" i="53"/>
  <c r="AG26" i="53"/>
  <c r="AH26" i="53"/>
  <c r="AI26" i="53"/>
  <c r="AJ26" i="53"/>
  <c r="AK26" i="53"/>
  <c r="S27" i="53"/>
  <c r="T27" i="53"/>
  <c r="U27" i="53"/>
  <c r="W27" i="53"/>
  <c r="X27" i="53"/>
  <c r="Z27" i="53"/>
  <c r="AA27" i="53"/>
  <c r="AB27" i="53"/>
  <c r="AD27" i="53"/>
  <c r="AE27" i="53"/>
  <c r="AF27" i="53"/>
  <c r="AG27" i="53"/>
  <c r="AH27" i="53"/>
  <c r="AI27" i="53"/>
  <c r="AJ27" i="53"/>
  <c r="AK27" i="53"/>
  <c r="L28" i="53"/>
  <c r="M28" i="53"/>
  <c r="S28" i="53"/>
  <c r="T28" i="53"/>
  <c r="U28" i="53"/>
  <c r="W28" i="53"/>
  <c r="X28" i="53"/>
  <c r="Z28" i="53"/>
  <c r="AA28" i="53"/>
  <c r="AB28" i="53"/>
  <c r="AD28" i="53"/>
  <c r="AE28" i="53"/>
  <c r="AF28" i="53"/>
  <c r="AG28" i="53"/>
  <c r="AH28" i="53"/>
  <c r="AI28" i="53"/>
  <c r="AJ28" i="53"/>
  <c r="AK28" i="53"/>
  <c r="S29" i="53"/>
  <c r="T29" i="53"/>
  <c r="U29" i="53"/>
  <c r="W29" i="53"/>
  <c r="X29" i="53"/>
  <c r="Z29" i="53"/>
  <c r="AA29" i="53"/>
  <c r="AB29" i="53"/>
  <c r="AD29" i="53"/>
  <c r="AE29" i="53"/>
  <c r="AF29" i="53"/>
  <c r="AG29" i="53"/>
  <c r="AH29" i="53"/>
  <c r="AI29" i="53"/>
  <c r="AJ29" i="53"/>
  <c r="AK29" i="53"/>
  <c r="S31" i="53"/>
  <c r="T31" i="53"/>
  <c r="U31" i="53"/>
  <c r="W31" i="53"/>
  <c r="X31" i="53"/>
  <c r="Z31" i="53"/>
  <c r="AA31" i="53"/>
  <c r="AB31" i="53"/>
  <c r="AD31" i="53"/>
  <c r="AE31" i="53"/>
  <c r="AF31" i="53"/>
  <c r="AG31" i="53"/>
  <c r="AH31" i="53"/>
  <c r="AI31" i="53"/>
  <c r="AJ31" i="53"/>
  <c r="AK31" i="53"/>
  <c r="S32" i="53"/>
  <c r="T32" i="53"/>
  <c r="U32" i="53"/>
  <c r="W32" i="53"/>
  <c r="X32" i="53"/>
  <c r="Z32" i="53"/>
  <c r="AA32" i="53"/>
  <c r="AB32" i="53"/>
  <c r="AD32" i="53"/>
  <c r="AE32" i="53"/>
  <c r="AF32" i="53"/>
  <c r="AG32" i="53"/>
  <c r="AH32" i="53"/>
  <c r="AI32" i="53"/>
  <c r="AJ32" i="53"/>
  <c r="AK32" i="53"/>
  <c r="J33" i="53"/>
  <c r="K33" i="53"/>
  <c r="S33" i="53"/>
  <c r="T33" i="53"/>
  <c r="U33" i="53"/>
  <c r="W33" i="53"/>
  <c r="X33" i="53"/>
  <c r="Z33" i="53"/>
  <c r="AA33" i="53"/>
  <c r="AB33" i="53"/>
  <c r="AD33" i="53"/>
  <c r="AE33" i="53"/>
  <c r="AF33" i="53"/>
  <c r="AG33" i="53"/>
  <c r="AH33" i="53"/>
  <c r="AI33" i="53"/>
  <c r="AJ33" i="53"/>
  <c r="AK33" i="53"/>
  <c r="J34" i="53"/>
  <c r="K34" i="53"/>
  <c r="S34" i="53"/>
  <c r="T34" i="53"/>
  <c r="U34" i="53"/>
  <c r="W34" i="53"/>
  <c r="X34" i="53"/>
  <c r="Z34" i="53"/>
  <c r="AA34" i="53"/>
  <c r="AB34" i="53"/>
  <c r="AD34" i="53"/>
  <c r="AE34" i="53"/>
  <c r="AF34" i="53"/>
  <c r="AG34" i="53"/>
  <c r="AH34" i="53"/>
  <c r="AI34" i="53"/>
  <c r="AJ34" i="53"/>
  <c r="AK34" i="53"/>
  <c r="J35" i="53"/>
  <c r="K35" i="53"/>
  <c r="J36" i="53"/>
  <c r="K36" i="53"/>
  <c r="S36" i="53"/>
  <c r="T36" i="53"/>
  <c r="U36" i="53"/>
  <c r="W36" i="53"/>
  <c r="X36" i="53"/>
  <c r="Z36" i="53"/>
  <c r="AA36" i="53"/>
  <c r="AB36" i="53"/>
  <c r="AD36" i="53"/>
  <c r="AE36" i="53"/>
  <c r="AF36" i="53"/>
  <c r="AG36" i="53"/>
  <c r="AH36" i="53"/>
  <c r="AI36" i="53"/>
  <c r="AJ36" i="53"/>
  <c r="AK36" i="53"/>
  <c r="J37" i="53"/>
  <c r="K37" i="53"/>
  <c r="S37" i="53"/>
  <c r="T37" i="53"/>
  <c r="U37" i="53"/>
  <c r="W37" i="53"/>
  <c r="X37" i="53"/>
  <c r="Z37" i="53"/>
  <c r="AA37" i="53"/>
  <c r="AB37" i="53"/>
  <c r="AD37" i="53"/>
  <c r="AE37" i="53"/>
  <c r="AF37" i="53"/>
  <c r="AG37" i="53"/>
  <c r="AH37" i="53"/>
  <c r="AI37" i="53"/>
  <c r="AJ37" i="53"/>
  <c r="AK37" i="53"/>
  <c r="S38" i="53"/>
  <c r="T38" i="53"/>
  <c r="U38" i="53"/>
  <c r="W38" i="53"/>
  <c r="X38" i="53"/>
  <c r="Z38" i="53"/>
  <c r="AA38" i="53"/>
  <c r="AB38" i="53"/>
  <c r="AD38" i="53"/>
  <c r="AE38" i="53"/>
  <c r="AF38" i="53"/>
  <c r="AG38" i="53"/>
  <c r="AH38" i="53"/>
  <c r="AI38" i="53"/>
  <c r="AJ38" i="53"/>
  <c r="AK38" i="53"/>
  <c r="S39" i="53"/>
  <c r="T39" i="53"/>
  <c r="U39" i="53"/>
  <c r="W39" i="53"/>
  <c r="X39" i="53"/>
  <c r="Z39" i="53"/>
  <c r="AA39" i="53"/>
  <c r="AB39" i="53"/>
  <c r="AD39" i="53"/>
  <c r="AE39" i="53"/>
  <c r="AF39" i="53"/>
  <c r="AG39" i="53"/>
  <c r="AH39" i="53"/>
  <c r="AI39" i="53"/>
  <c r="AJ39" i="53"/>
  <c r="AK39" i="53"/>
  <c r="K43" i="53"/>
  <c r="V43" i="53"/>
  <c r="K44" i="53"/>
  <c r="V44" i="53"/>
  <c r="K45" i="53"/>
  <c r="V45" i="53"/>
  <c r="K46" i="53"/>
  <c r="K47" i="53"/>
  <c r="R47" i="53"/>
  <c r="R48" i="53"/>
  <c r="J49" i="53"/>
  <c r="R50" i="53"/>
  <c r="Y62" i="53"/>
  <c r="Z62" i="53"/>
  <c r="Y63" i="53"/>
  <c r="Z63" i="53"/>
  <c r="Y64" i="53"/>
  <c r="Z64" i="53"/>
  <c r="Y65" i="53"/>
  <c r="Z65" i="53"/>
  <c r="Y66" i="53"/>
  <c r="Z66" i="53"/>
  <c r="AL1" i="54"/>
  <c r="AN1" i="54"/>
  <c r="AL2" i="54"/>
  <c r="AL3" i="54"/>
  <c r="AK11" i="54"/>
  <c r="AO11" i="54"/>
  <c r="AP11" i="54"/>
  <c r="AQ11" i="54"/>
  <c r="AT11" i="54"/>
  <c r="AK12" i="54"/>
  <c r="AO12" i="54"/>
  <c r="AP12" i="54"/>
  <c r="AQ12" i="54"/>
  <c r="AT12" i="54"/>
  <c r="AK13" i="54"/>
  <c r="AO13" i="54"/>
  <c r="AP13" i="54"/>
  <c r="AQ13" i="54"/>
  <c r="AT13" i="54"/>
  <c r="AK14" i="54"/>
  <c r="AO14" i="54"/>
  <c r="AP14" i="54"/>
  <c r="AQ14" i="54"/>
  <c r="AT14" i="54"/>
  <c r="AK15" i="54"/>
  <c r="AO15" i="54"/>
  <c r="AP15" i="54"/>
  <c r="AQ15" i="54"/>
  <c r="AT15" i="54"/>
  <c r="AK16" i="54"/>
  <c r="AO16" i="54"/>
  <c r="AP16" i="54"/>
  <c r="AQ16" i="54"/>
  <c r="AT16" i="54"/>
  <c r="AK17" i="54"/>
  <c r="AO17" i="54"/>
  <c r="AP17" i="54"/>
  <c r="AQ17" i="54"/>
  <c r="AT17" i="54"/>
  <c r="AK18" i="54"/>
  <c r="AO18" i="54"/>
  <c r="AP18" i="54"/>
  <c r="AQ18" i="54"/>
  <c r="AT18" i="54"/>
  <c r="AK19" i="54"/>
  <c r="AO19" i="54"/>
  <c r="AP19" i="54"/>
  <c r="AQ19" i="54"/>
  <c r="AT19" i="54"/>
  <c r="AK20" i="54"/>
  <c r="AO20" i="54"/>
  <c r="AP20" i="54"/>
  <c r="AQ20" i="54"/>
  <c r="AT20" i="54"/>
  <c r="AK21" i="54"/>
  <c r="AO21" i="54"/>
  <c r="AP21" i="54"/>
  <c r="AQ21" i="54"/>
  <c r="AT21" i="54"/>
  <c r="AK22" i="54"/>
  <c r="AO22" i="54"/>
  <c r="AP22" i="54"/>
  <c r="AQ22" i="54"/>
  <c r="AT22" i="54"/>
  <c r="AK23" i="54"/>
  <c r="AO23" i="54"/>
  <c r="AP23" i="54"/>
  <c r="AQ23" i="54"/>
  <c r="AT23" i="54"/>
  <c r="AK24" i="54"/>
  <c r="AO24" i="54"/>
  <c r="AP24" i="54"/>
  <c r="AQ24" i="54"/>
  <c r="AT24" i="54"/>
  <c r="AK25" i="54"/>
  <c r="AO25" i="54"/>
  <c r="AP25" i="54"/>
  <c r="AQ25" i="54"/>
  <c r="AT25" i="54"/>
  <c r="AK26" i="54"/>
  <c r="AO26" i="54"/>
  <c r="AP26" i="54"/>
  <c r="AQ26" i="54"/>
  <c r="AT26" i="54"/>
  <c r="AK27" i="54"/>
  <c r="AO27" i="54"/>
  <c r="AP27" i="54"/>
  <c r="AQ27" i="54"/>
  <c r="AT27" i="54"/>
  <c r="AK28" i="54"/>
  <c r="AO28" i="54"/>
  <c r="AP28" i="54"/>
  <c r="AQ28" i="54"/>
  <c r="AT28" i="54"/>
  <c r="AK29" i="54"/>
  <c r="AO29" i="54"/>
  <c r="AP29" i="54"/>
  <c r="AQ29" i="54"/>
  <c r="AT29" i="54"/>
  <c r="AK30" i="54"/>
  <c r="AO30" i="54"/>
  <c r="AP30" i="54"/>
  <c r="AQ30" i="54"/>
  <c r="AT30" i="54"/>
  <c r="AK31" i="54"/>
  <c r="AO31" i="54"/>
  <c r="AP31" i="54"/>
  <c r="AQ31" i="54"/>
  <c r="AT31" i="54"/>
  <c r="AK32" i="54"/>
  <c r="AO32" i="54"/>
  <c r="AP32" i="54"/>
  <c r="AQ32" i="54"/>
  <c r="AT32" i="54"/>
  <c r="AK33" i="54"/>
  <c r="AO33" i="54"/>
  <c r="AP33" i="54"/>
  <c r="AQ33" i="54"/>
  <c r="AT33" i="54"/>
  <c r="AK34" i="54"/>
  <c r="AO34" i="54"/>
  <c r="AP34" i="54"/>
  <c r="AQ34" i="54"/>
  <c r="AT34" i="54"/>
  <c r="AK35" i="54"/>
  <c r="AO35" i="54"/>
  <c r="AP35" i="54"/>
  <c r="AQ35" i="54"/>
  <c r="AT35" i="54"/>
  <c r="AK36" i="54"/>
  <c r="AO36" i="54"/>
  <c r="AP36" i="54"/>
  <c r="AQ36" i="54"/>
  <c r="AT36" i="54"/>
  <c r="AK37" i="54"/>
  <c r="AO37" i="54"/>
  <c r="AP37" i="54"/>
  <c r="AQ37" i="54"/>
  <c r="AT37" i="54"/>
  <c r="AK38" i="54"/>
  <c r="AO38" i="54"/>
  <c r="AP38" i="54"/>
  <c r="AQ38" i="54"/>
  <c r="AT38" i="54"/>
  <c r="AK39" i="54"/>
  <c r="AO39" i="54"/>
  <c r="AP39" i="54"/>
  <c r="AQ39" i="54"/>
  <c r="AT39" i="54"/>
  <c r="AK40" i="54"/>
  <c r="AO40" i="54"/>
  <c r="AP40" i="54"/>
  <c r="AQ40" i="54"/>
  <c r="AT40" i="54"/>
  <c r="AK41" i="54"/>
  <c r="AO41" i="54"/>
  <c r="AP41" i="54"/>
  <c r="AQ41" i="54"/>
  <c r="AT41" i="54"/>
  <c r="AK42" i="54"/>
  <c r="AO42" i="54"/>
  <c r="AP42" i="54"/>
  <c r="AQ42" i="54"/>
  <c r="AT42" i="54"/>
  <c r="AK43" i="54"/>
  <c r="AO43" i="54"/>
  <c r="AP43" i="54"/>
  <c r="AQ43" i="54"/>
  <c r="AT43" i="54"/>
  <c r="AK44" i="54"/>
  <c r="AO44" i="54"/>
  <c r="AP44" i="54"/>
  <c r="AQ44" i="54"/>
  <c r="AT44" i="54"/>
  <c r="AK45" i="54"/>
  <c r="AO45" i="54"/>
  <c r="AP45" i="54"/>
  <c r="AQ45" i="54"/>
  <c r="AT45" i="54"/>
  <c r="AO47" i="54"/>
  <c r="AQ47" i="54"/>
  <c r="AK50" i="54"/>
  <c r="AO50" i="54"/>
  <c r="AP50" i="54"/>
  <c r="AQ50" i="54"/>
  <c r="AT50" i="54"/>
  <c r="AK51" i="54"/>
  <c r="AO51" i="54"/>
  <c r="AP51" i="54"/>
  <c r="AQ51" i="54"/>
  <c r="AT51" i="54"/>
  <c r="AK52" i="54"/>
  <c r="AO52" i="54"/>
  <c r="AP52" i="54"/>
  <c r="AQ52" i="54"/>
  <c r="AT52" i="54"/>
  <c r="AO54" i="54"/>
  <c r="AQ54" i="54"/>
  <c r="AK57" i="54"/>
  <c r="AO57" i="54"/>
  <c r="AP57" i="54"/>
  <c r="AQ57" i="54"/>
  <c r="AT57" i="54"/>
  <c r="AK58" i="54"/>
  <c r="AO58" i="54"/>
  <c r="AP58" i="54"/>
  <c r="AQ58" i="54"/>
  <c r="AT58" i="54"/>
  <c r="AO60" i="54"/>
  <c r="AQ60" i="54"/>
  <c r="AK65" i="54"/>
  <c r="AO65" i="54"/>
  <c r="AP65" i="54"/>
  <c r="AQ65" i="54"/>
  <c r="AT65" i="54"/>
  <c r="AK66" i="54"/>
  <c r="AO66" i="54"/>
  <c r="AP66" i="54"/>
  <c r="AQ66" i="54"/>
  <c r="AT66" i="54"/>
  <c r="AK67" i="54"/>
  <c r="AO67" i="54"/>
  <c r="AP67" i="54"/>
  <c r="AQ67" i="54"/>
  <c r="AT67" i="54"/>
  <c r="AK68" i="54"/>
  <c r="AO68" i="54"/>
  <c r="AP68" i="54"/>
  <c r="AQ68" i="54"/>
  <c r="AT68" i="54"/>
  <c r="AK69" i="54"/>
  <c r="AO69" i="54"/>
  <c r="AP69" i="54"/>
  <c r="AQ69" i="54"/>
  <c r="AT69" i="54"/>
  <c r="AK70" i="54"/>
  <c r="AO70" i="54"/>
  <c r="AP70" i="54"/>
  <c r="AQ70" i="54"/>
  <c r="AT70" i="54"/>
  <c r="AK71" i="54"/>
  <c r="AO71" i="54"/>
  <c r="AP71" i="54"/>
  <c r="AQ71" i="54"/>
  <c r="AT71" i="54"/>
  <c r="AK72" i="54"/>
  <c r="AO72" i="54"/>
  <c r="AP72" i="54"/>
  <c r="AQ72" i="54"/>
  <c r="AT72" i="54"/>
  <c r="AK73" i="54"/>
  <c r="AO73" i="54"/>
  <c r="AP73" i="54"/>
  <c r="AQ73" i="54"/>
  <c r="AT73" i="54"/>
  <c r="AK74" i="54"/>
  <c r="AO74" i="54"/>
  <c r="AP74" i="54"/>
  <c r="AQ74" i="54"/>
  <c r="AT74" i="54"/>
  <c r="AK75" i="54"/>
  <c r="AO75" i="54"/>
  <c r="AP75" i="54"/>
  <c r="AQ75" i="54"/>
  <c r="AT75" i="54"/>
  <c r="AK76" i="54"/>
  <c r="AO76" i="54"/>
  <c r="AP76" i="54"/>
  <c r="AQ76" i="54"/>
  <c r="AT76" i="54"/>
  <c r="AK77" i="54"/>
  <c r="AO77" i="54"/>
  <c r="AP77" i="54"/>
  <c r="AQ77" i="54"/>
  <c r="AT77" i="54"/>
  <c r="AK78" i="54"/>
  <c r="AO78" i="54"/>
  <c r="AP78" i="54"/>
  <c r="AQ78" i="54"/>
  <c r="AT78" i="54"/>
  <c r="AK79" i="54"/>
  <c r="AO79" i="54"/>
  <c r="AP79" i="54"/>
  <c r="AQ79" i="54"/>
  <c r="AT79" i="54"/>
  <c r="AK80" i="54"/>
  <c r="AO80" i="54"/>
  <c r="AP80" i="54"/>
  <c r="AQ80" i="54"/>
  <c r="AT80" i="54"/>
  <c r="AK81" i="54"/>
  <c r="AO81" i="54"/>
  <c r="AP81" i="54"/>
  <c r="AQ81" i="54"/>
  <c r="AT81" i="54"/>
  <c r="AK82" i="54"/>
  <c r="AO82" i="54"/>
  <c r="AP82" i="54"/>
  <c r="AQ82" i="54"/>
  <c r="AT82" i="54"/>
  <c r="AK83" i="54"/>
  <c r="AO83" i="54"/>
  <c r="AP83" i="54"/>
  <c r="AQ83" i="54"/>
  <c r="AT83" i="54"/>
  <c r="AK84" i="54"/>
  <c r="AO84" i="54"/>
  <c r="AP84" i="54"/>
  <c r="AQ84" i="54"/>
  <c r="AT84" i="54"/>
  <c r="AK85" i="54"/>
  <c r="AO85" i="54"/>
  <c r="AP85" i="54"/>
  <c r="AQ85" i="54"/>
  <c r="AT85" i="54"/>
  <c r="AK86" i="54"/>
  <c r="AO86" i="54"/>
  <c r="AP86" i="54"/>
  <c r="AQ86" i="54"/>
  <c r="AT86" i="54"/>
  <c r="AK87" i="54"/>
  <c r="AO87" i="54"/>
  <c r="AP87" i="54"/>
  <c r="AQ87" i="54"/>
  <c r="AT87" i="54"/>
  <c r="AK88" i="54"/>
  <c r="AO88" i="54"/>
  <c r="AP88" i="54"/>
  <c r="AQ88" i="54"/>
  <c r="AT88" i="54"/>
  <c r="AK89" i="54"/>
  <c r="AO89" i="54"/>
  <c r="AP89" i="54"/>
  <c r="AQ89" i="54"/>
  <c r="AT89" i="54"/>
  <c r="AK90" i="54"/>
  <c r="AO90" i="54"/>
  <c r="AP90" i="54"/>
  <c r="AQ90" i="54"/>
  <c r="AT90" i="54"/>
  <c r="AK91" i="54"/>
  <c r="AO91" i="54"/>
  <c r="AP91" i="54"/>
  <c r="AQ91" i="54"/>
  <c r="AT91" i="54"/>
  <c r="AK92" i="54"/>
  <c r="AO92" i="54"/>
  <c r="AP92" i="54"/>
  <c r="AQ92" i="54"/>
  <c r="AT92" i="54"/>
  <c r="AK93" i="54"/>
  <c r="AO93" i="54"/>
  <c r="AP93" i="54"/>
  <c r="AQ93" i="54"/>
  <c r="AT93" i="54"/>
  <c r="AK94" i="54"/>
  <c r="AO94" i="54"/>
  <c r="AP94" i="54"/>
  <c r="AQ94" i="54"/>
  <c r="AT94" i="54"/>
  <c r="AK95" i="54"/>
  <c r="AO95" i="54"/>
  <c r="AP95" i="54"/>
  <c r="AQ95" i="54"/>
  <c r="AT95" i="54"/>
  <c r="AK96" i="54"/>
  <c r="AO96" i="54"/>
  <c r="AP96" i="54"/>
  <c r="AQ96" i="54"/>
  <c r="AT96" i="54"/>
  <c r="AK97" i="54"/>
  <c r="AO97" i="54"/>
  <c r="AP97" i="54"/>
  <c r="AQ97" i="54"/>
  <c r="AT97" i="54"/>
  <c r="AK98" i="54"/>
  <c r="AO98" i="54"/>
  <c r="AP98" i="54"/>
  <c r="AQ98" i="54"/>
  <c r="AT98" i="54"/>
  <c r="AK99" i="54"/>
  <c r="AO99" i="54"/>
  <c r="AP99" i="54"/>
  <c r="AQ99" i="54"/>
  <c r="AT99" i="54"/>
  <c r="AK100" i="54"/>
  <c r="AO100" i="54"/>
  <c r="AP100" i="54"/>
  <c r="AQ100" i="54"/>
  <c r="AT100" i="54"/>
  <c r="AK101" i="54"/>
  <c r="AO101" i="54"/>
  <c r="AP101" i="54"/>
  <c r="AQ101" i="54"/>
  <c r="AT101" i="54"/>
  <c r="AK102" i="54"/>
  <c r="AO102" i="54"/>
  <c r="AP102" i="54"/>
  <c r="AQ102" i="54"/>
  <c r="AT102" i="54"/>
  <c r="AK103" i="54"/>
  <c r="AO103" i="54"/>
  <c r="AP103" i="54"/>
  <c r="AQ103" i="54"/>
  <c r="AT103" i="54"/>
  <c r="AK104" i="54"/>
  <c r="AO104" i="54"/>
  <c r="AP104" i="54"/>
  <c r="AQ104" i="54"/>
  <c r="AT104" i="54"/>
  <c r="AK105" i="54"/>
  <c r="AO105" i="54"/>
  <c r="AP105" i="54"/>
  <c r="AQ105" i="54"/>
  <c r="AT105" i="54"/>
  <c r="AK106" i="54"/>
  <c r="AO106" i="54"/>
  <c r="AP106" i="54"/>
  <c r="AQ106" i="54"/>
  <c r="AT106" i="54"/>
  <c r="AK107" i="54"/>
  <c r="AO107" i="54"/>
  <c r="AP107" i="54"/>
  <c r="AQ107" i="54"/>
  <c r="AT107" i="54"/>
  <c r="AK108" i="54"/>
  <c r="AO108" i="54"/>
  <c r="AP108" i="54"/>
  <c r="AQ108" i="54"/>
  <c r="AT108" i="54"/>
  <c r="AK109" i="54"/>
  <c r="AO109" i="54"/>
  <c r="AP109" i="54"/>
  <c r="AQ109" i="54"/>
  <c r="AT109" i="54"/>
  <c r="AK110" i="54"/>
  <c r="AO110" i="54"/>
  <c r="AP110" i="54"/>
  <c r="AQ110" i="54"/>
  <c r="AT110" i="54"/>
  <c r="AK111" i="54"/>
  <c r="AO111" i="54"/>
  <c r="AP111" i="54"/>
  <c r="AQ111" i="54"/>
  <c r="AT111" i="54"/>
  <c r="AK112" i="54"/>
  <c r="AO112" i="54"/>
  <c r="AP112" i="54"/>
  <c r="AQ112" i="54"/>
  <c r="AT112" i="54"/>
  <c r="AK113" i="54"/>
  <c r="AO113" i="54"/>
  <c r="AP113" i="54"/>
  <c r="AQ113" i="54"/>
  <c r="AT113" i="54"/>
  <c r="AK114" i="54"/>
  <c r="AO114" i="54"/>
  <c r="AP114" i="54"/>
  <c r="AQ114" i="54"/>
  <c r="AT114" i="54"/>
  <c r="AK115" i="54"/>
  <c r="AO115" i="54"/>
  <c r="AP115" i="54"/>
  <c r="AQ115" i="54"/>
  <c r="AT115" i="54"/>
  <c r="AK116" i="54"/>
  <c r="AO116" i="54"/>
  <c r="AP116" i="54"/>
  <c r="AQ116" i="54"/>
  <c r="AT116" i="54"/>
  <c r="AK117" i="54"/>
  <c r="AO117" i="54"/>
  <c r="AP117" i="54"/>
  <c r="AQ117" i="54"/>
  <c r="AT117" i="54"/>
  <c r="AK118" i="54"/>
  <c r="AO118" i="54"/>
  <c r="AP118" i="54"/>
  <c r="AQ118" i="54"/>
  <c r="AT118" i="54"/>
  <c r="AK119" i="54"/>
  <c r="AO119" i="54"/>
  <c r="AP119" i="54"/>
  <c r="AQ119" i="54"/>
  <c r="AT119" i="54"/>
  <c r="AK120" i="54"/>
  <c r="AO120" i="54"/>
  <c r="AP120" i="54"/>
  <c r="AQ120" i="54"/>
  <c r="AT120" i="54"/>
  <c r="AK121" i="54"/>
  <c r="AO121" i="54"/>
  <c r="AP121" i="54"/>
  <c r="AQ121" i="54"/>
  <c r="AT121" i="54"/>
  <c r="AK122" i="54"/>
  <c r="AO122" i="54"/>
  <c r="AP122" i="54"/>
  <c r="AQ122" i="54"/>
  <c r="AT122" i="54"/>
  <c r="AK123" i="54"/>
  <c r="AO123" i="54"/>
  <c r="AP123" i="54"/>
  <c r="AQ123" i="54"/>
  <c r="AT123" i="54"/>
  <c r="AK124" i="54"/>
  <c r="AO124" i="54"/>
  <c r="AP124" i="54"/>
  <c r="AQ124" i="54"/>
  <c r="AT124" i="54"/>
  <c r="AK125" i="54"/>
  <c r="AO125" i="54"/>
  <c r="AP125" i="54"/>
  <c r="AQ125" i="54"/>
  <c r="AT125" i="54"/>
  <c r="AK126" i="54"/>
  <c r="AO126" i="54"/>
  <c r="AP126" i="54"/>
  <c r="AQ126" i="54"/>
  <c r="AT126" i="54"/>
  <c r="AK127" i="54"/>
  <c r="AO127" i="54"/>
  <c r="AP127" i="54"/>
  <c r="AQ127" i="54"/>
  <c r="AT127" i="54"/>
  <c r="AK128" i="54"/>
  <c r="AO128" i="54"/>
  <c r="AP128" i="54"/>
  <c r="AQ128" i="54"/>
  <c r="AT128" i="54"/>
  <c r="AK129" i="54"/>
  <c r="AO129" i="54"/>
  <c r="AP129" i="54"/>
  <c r="AQ129" i="54"/>
  <c r="AT129" i="54"/>
  <c r="AK130" i="54"/>
  <c r="AO130" i="54"/>
  <c r="AP130" i="54"/>
  <c r="AQ130" i="54"/>
  <c r="AT130" i="54"/>
  <c r="AK131" i="54"/>
  <c r="AO131" i="54"/>
  <c r="AP131" i="54"/>
  <c r="AQ131" i="54"/>
  <c r="AT131" i="54"/>
  <c r="AK132" i="54"/>
  <c r="AO132" i="54"/>
  <c r="AP132" i="54"/>
  <c r="AQ132" i="54"/>
  <c r="AT132" i="54"/>
  <c r="AK133" i="54"/>
  <c r="AO133" i="54"/>
  <c r="AP133" i="54"/>
  <c r="AQ133" i="54"/>
  <c r="AT133" i="54"/>
  <c r="AK134" i="54"/>
  <c r="AO134" i="54"/>
  <c r="AP134" i="54"/>
  <c r="AQ134" i="54"/>
  <c r="AT134" i="54"/>
  <c r="AK135" i="54"/>
  <c r="AO135" i="54"/>
  <c r="AP135" i="54"/>
  <c r="AQ135" i="54"/>
  <c r="AT135" i="54"/>
  <c r="AK136" i="54"/>
  <c r="AO136" i="54"/>
  <c r="AP136" i="54"/>
  <c r="AQ136" i="54"/>
  <c r="AT136" i="54"/>
  <c r="AK137" i="54"/>
  <c r="AO137" i="54"/>
  <c r="AP137" i="54"/>
  <c r="AQ137" i="54"/>
  <c r="AT137" i="54"/>
  <c r="AK138" i="54"/>
  <c r="AO138" i="54"/>
  <c r="AP138" i="54"/>
  <c r="AQ138" i="54"/>
  <c r="AT138" i="54"/>
  <c r="AK139" i="54"/>
  <c r="AO139" i="54"/>
  <c r="AP139" i="54"/>
  <c r="AQ139" i="54"/>
  <c r="AT139" i="54"/>
  <c r="AK140" i="54"/>
  <c r="AO140" i="54"/>
  <c r="AP140" i="54"/>
  <c r="AQ140" i="54"/>
  <c r="AT140" i="54"/>
  <c r="AK141" i="54"/>
  <c r="AO141" i="54"/>
  <c r="AP141" i="54"/>
  <c r="AQ141" i="54"/>
  <c r="AT141" i="54"/>
  <c r="AK142" i="54"/>
  <c r="AO142" i="54"/>
  <c r="AP142" i="54"/>
  <c r="AQ142" i="54"/>
  <c r="AT142" i="54"/>
  <c r="AK143" i="54"/>
  <c r="AO143" i="54"/>
  <c r="AP143" i="54"/>
  <c r="AQ143" i="54"/>
  <c r="AT143" i="54"/>
  <c r="AK144" i="54"/>
  <c r="AO144" i="54"/>
  <c r="AP144" i="54"/>
  <c r="AQ144" i="54"/>
  <c r="AT144" i="54"/>
  <c r="AK145" i="54"/>
  <c r="AO145" i="54"/>
  <c r="AP145" i="54"/>
  <c r="AQ145" i="54"/>
  <c r="AT145" i="54"/>
  <c r="AK146" i="54"/>
  <c r="AO146" i="54"/>
  <c r="AP146" i="54"/>
  <c r="AQ146" i="54"/>
  <c r="AT146" i="54"/>
  <c r="AK147" i="54"/>
  <c r="AO147" i="54"/>
  <c r="AP147" i="54"/>
  <c r="AQ147" i="54"/>
  <c r="AT147" i="54"/>
  <c r="AK148" i="54"/>
  <c r="AO148" i="54"/>
  <c r="AP148" i="54"/>
  <c r="AQ148" i="54"/>
  <c r="AT148" i="54"/>
  <c r="AK149" i="54"/>
  <c r="AO149" i="54"/>
  <c r="AP149" i="54"/>
  <c r="AQ149" i="54"/>
  <c r="AT149" i="54"/>
  <c r="AK150" i="54"/>
  <c r="AO150" i="54"/>
  <c r="AP150" i="54"/>
  <c r="AQ150" i="54"/>
  <c r="AT150" i="54"/>
  <c r="AK151" i="54"/>
  <c r="AO151" i="54"/>
  <c r="AP151" i="54"/>
  <c r="AQ151" i="54"/>
  <c r="AT151" i="54"/>
  <c r="AK152" i="54"/>
  <c r="AO152" i="54"/>
  <c r="AP152" i="54"/>
  <c r="AQ152" i="54"/>
  <c r="AT152" i="54"/>
  <c r="AK153" i="54"/>
  <c r="AO153" i="54"/>
  <c r="AP153" i="54"/>
  <c r="AQ153" i="54"/>
  <c r="AT153" i="54"/>
  <c r="AK154" i="54"/>
  <c r="AO154" i="54"/>
  <c r="AP154" i="54"/>
  <c r="AQ154" i="54"/>
  <c r="AT154" i="54"/>
  <c r="AK155" i="54"/>
  <c r="AO155" i="54"/>
  <c r="AP155" i="54"/>
  <c r="AQ155" i="54"/>
  <c r="AT155" i="54"/>
  <c r="AK156" i="54"/>
  <c r="AO156" i="54"/>
  <c r="AP156" i="54"/>
  <c r="AQ156" i="54"/>
  <c r="AT156" i="54"/>
  <c r="AK157" i="54"/>
  <c r="AO157" i="54"/>
  <c r="AP157" i="54"/>
  <c r="AQ157" i="54"/>
  <c r="AT157" i="54"/>
  <c r="AK158" i="54"/>
  <c r="AO158" i="54"/>
  <c r="AP158" i="54"/>
  <c r="AQ158" i="54"/>
  <c r="AT158" i="54"/>
  <c r="AK159" i="54"/>
  <c r="AO159" i="54"/>
  <c r="AP159" i="54"/>
  <c r="AQ159" i="54"/>
  <c r="AT159" i="54"/>
  <c r="AK160" i="54"/>
  <c r="AO160" i="54"/>
  <c r="AP160" i="54"/>
  <c r="AQ160" i="54"/>
  <c r="AT160" i="54"/>
  <c r="AK161" i="54"/>
  <c r="AO161" i="54"/>
  <c r="AP161" i="54"/>
  <c r="AQ161" i="54"/>
  <c r="AT161" i="54"/>
  <c r="AK162" i="54"/>
  <c r="AO162" i="54"/>
  <c r="AP162" i="54"/>
  <c r="AQ162" i="54"/>
  <c r="AT162" i="54"/>
  <c r="AK163" i="54"/>
  <c r="AO163" i="54"/>
  <c r="AP163" i="54"/>
  <c r="AQ163" i="54"/>
  <c r="AT163" i="54"/>
  <c r="AK164" i="54"/>
  <c r="AO164" i="54"/>
  <c r="AP164" i="54"/>
  <c r="AQ164" i="54"/>
  <c r="AT164" i="54"/>
  <c r="AK165" i="54"/>
  <c r="AO165" i="54"/>
  <c r="AP165" i="54"/>
  <c r="AQ165" i="54"/>
  <c r="AT165" i="54"/>
  <c r="AK166" i="54"/>
  <c r="AO166" i="54"/>
  <c r="AP166" i="54"/>
  <c r="AQ166" i="54"/>
  <c r="AT166" i="54"/>
  <c r="AK167" i="54"/>
  <c r="AO167" i="54"/>
  <c r="AP167" i="54"/>
  <c r="AQ167" i="54"/>
  <c r="AT167" i="54"/>
  <c r="AK168" i="54"/>
  <c r="AO168" i="54"/>
  <c r="AP168" i="54"/>
  <c r="AQ168" i="54"/>
  <c r="AT168" i="54"/>
  <c r="AK169" i="54"/>
  <c r="AO169" i="54"/>
  <c r="AP169" i="54"/>
  <c r="AQ169" i="54"/>
  <c r="AT169" i="54"/>
  <c r="AK170" i="54"/>
  <c r="AO170" i="54"/>
  <c r="AP170" i="54"/>
  <c r="AQ170" i="54"/>
  <c r="AT170" i="54"/>
  <c r="AK171" i="54"/>
  <c r="AO171" i="54"/>
  <c r="AP171" i="54"/>
  <c r="AQ171" i="54"/>
  <c r="AT171" i="54"/>
  <c r="AK172" i="54"/>
  <c r="AO172" i="54"/>
  <c r="AP172" i="54"/>
  <c r="AQ172" i="54"/>
  <c r="AT172" i="54"/>
  <c r="AK173" i="54"/>
  <c r="AO173" i="54"/>
  <c r="AP173" i="54"/>
  <c r="AQ173" i="54"/>
  <c r="AT173" i="54"/>
  <c r="AK174" i="54"/>
  <c r="AO174" i="54"/>
  <c r="AP174" i="54"/>
  <c r="AQ174" i="54"/>
  <c r="AT174" i="54"/>
  <c r="AK175" i="54"/>
  <c r="AO175" i="54"/>
  <c r="AP175" i="54"/>
  <c r="AQ175" i="54"/>
  <c r="AT175" i="54"/>
  <c r="AK176" i="54"/>
  <c r="AO176" i="54"/>
  <c r="AP176" i="54"/>
  <c r="AQ176" i="54"/>
  <c r="AT176" i="54"/>
  <c r="AK177" i="54"/>
  <c r="AO177" i="54"/>
  <c r="AP177" i="54"/>
  <c r="AQ177" i="54"/>
  <c r="AT177" i="54"/>
  <c r="AK178" i="54"/>
  <c r="AO178" i="54"/>
  <c r="AP178" i="54"/>
  <c r="AQ178" i="54"/>
  <c r="AT178" i="54"/>
  <c r="AK179" i="54"/>
  <c r="AO179" i="54"/>
  <c r="AP179" i="54"/>
  <c r="AQ179" i="54"/>
  <c r="AT179" i="54"/>
  <c r="AK180" i="54"/>
  <c r="AO180" i="54"/>
  <c r="AP180" i="54"/>
  <c r="AQ180" i="54"/>
  <c r="AT180" i="54"/>
  <c r="AK181" i="54"/>
  <c r="AO181" i="54"/>
  <c r="AP181" i="54"/>
  <c r="AQ181" i="54"/>
  <c r="AT181" i="54"/>
  <c r="AK182" i="54"/>
  <c r="AO182" i="54"/>
  <c r="AP182" i="54"/>
  <c r="AQ182" i="54"/>
  <c r="AT182" i="54"/>
  <c r="AK183" i="54"/>
  <c r="AO183" i="54"/>
  <c r="AP183" i="54"/>
  <c r="AQ183" i="54"/>
  <c r="AT183" i="54"/>
  <c r="AK184" i="54"/>
  <c r="AO184" i="54"/>
  <c r="AP184" i="54"/>
  <c r="AQ184" i="54"/>
  <c r="AT184" i="54"/>
  <c r="AK185" i="54"/>
  <c r="AO185" i="54"/>
  <c r="AP185" i="54"/>
  <c r="AQ185" i="54"/>
  <c r="AT185" i="54"/>
  <c r="AK186" i="54"/>
  <c r="AO186" i="54"/>
  <c r="AP186" i="54"/>
  <c r="AQ186" i="54"/>
  <c r="AT186" i="54"/>
  <c r="AK187" i="54"/>
  <c r="AO187" i="54"/>
  <c r="AP187" i="54"/>
  <c r="AQ187" i="54"/>
  <c r="AT187" i="54"/>
  <c r="AK188" i="54"/>
  <c r="AO188" i="54"/>
  <c r="AP188" i="54"/>
  <c r="AQ188" i="54"/>
  <c r="AT188" i="54"/>
  <c r="AK189" i="54"/>
  <c r="AO189" i="54"/>
  <c r="AP189" i="54"/>
  <c r="AQ189" i="54"/>
  <c r="AT189" i="54"/>
  <c r="AK190" i="54"/>
  <c r="AO190" i="54"/>
  <c r="AP190" i="54"/>
  <c r="AQ190" i="54"/>
  <c r="AT190" i="54"/>
  <c r="AK191" i="54"/>
  <c r="AO191" i="54"/>
  <c r="AP191" i="54"/>
  <c r="AQ191" i="54"/>
  <c r="AT191" i="54"/>
  <c r="AK193" i="54"/>
  <c r="AO193" i="54"/>
  <c r="AQ193" i="54"/>
  <c r="AK196" i="54"/>
  <c r="AO196" i="54"/>
  <c r="AP196" i="54"/>
  <c r="AQ196" i="54"/>
  <c r="AT196" i="54"/>
  <c r="AK197" i="54"/>
  <c r="AO197" i="54"/>
  <c r="AP197" i="54"/>
  <c r="AQ197" i="54"/>
  <c r="AT197" i="54"/>
  <c r="AK199" i="54"/>
  <c r="AO199" i="54"/>
  <c r="AQ199" i="54"/>
  <c r="AK204" i="54"/>
  <c r="AO204" i="54"/>
  <c r="AP204" i="54"/>
  <c r="AQ204" i="54"/>
  <c r="AT204" i="54"/>
  <c r="AK205" i="54"/>
  <c r="AO205" i="54"/>
  <c r="AP205" i="54"/>
  <c r="AQ205" i="54"/>
  <c r="AT205" i="54"/>
  <c r="AK206" i="54"/>
  <c r="AO206" i="54"/>
  <c r="AP206" i="54"/>
  <c r="AQ206" i="54"/>
  <c r="AT206" i="54"/>
  <c r="AK207" i="54"/>
  <c r="AO207" i="54"/>
  <c r="AP207" i="54"/>
  <c r="AQ207" i="54"/>
  <c r="AT207" i="54"/>
  <c r="AK208" i="54"/>
  <c r="AO208" i="54"/>
  <c r="AP208" i="54"/>
  <c r="AQ208" i="54"/>
  <c r="AT208" i="54"/>
  <c r="AK209" i="54"/>
  <c r="AO209" i="54"/>
  <c r="AP209" i="54"/>
  <c r="AQ209" i="54"/>
  <c r="AT209" i="54"/>
  <c r="AK210" i="54"/>
  <c r="AO210" i="54"/>
  <c r="AP210" i="54"/>
  <c r="AQ210" i="54"/>
  <c r="AT210" i="54"/>
  <c r="AK211" i="54"/>
  <c r="AO211" i="54"/>
  <c r="AP211" i="54"/>
  <c r="AQ211" i="54"/>
  <c r="AT211" i="54"/>
  <c r="AK212" i="54"/>
  <c r="AO212" i="54"/>
  <c r="AP212" i="54"/>
  <c r="AQ212" i="54"/>
  <c r="AT212" i="54"/>
  <c r="AK213" i="54"/>
  <c r="AO213" i="54"/>
  <c r="AP213" i="54"/>
  <c r="AQ213" i="54"/>
  <c r="AT213" i="54"/>
  <c r="AK214" i="54"/>
  <c r="AO214" i="54"/>
  <c r="AP214" i="54"/>
  <c r="AQ214" i="54"/>
  <c r="AT214" i="54"/>
  <c r="AK215" i="54"/>
  <c r="AO215" i="54"/>
  <c r="AP215" i="54"/>
  <c r="AQ215" i="54"/>
  <c r="AT215" i="54"/>
  <c r="AK216" i="54"/>
  <c r="AO216" i="54"/>
  <c r="AP216" i="54"/>
  <c r="AQ216" i="54"/>
  <c r="AT216" i="54"/>
  <c r="AK217" i="54"/>
  <c r="AO217" i="54"/>
  <c r="AP217" i="54"/>
  <c r="AQ217" i="54"/>
  <c r="AT217" i="54"/>
  <c r="AK218" i="54"/>
  <c r="AO218" i="54"/>
  <c r="AP218" i="54"/>
  <c r="AQ218" i="54"/>
  <c r="AT218" i="54"/>
  <c r="AK219" i="54"/>
  <c r="AO219" i="54"/>
  <c r="AP219" i="54"/>
  <c r="AQ219" i="54"/>
  <c r="AT219" i="54"/>
  <c r="AK220" i="54"/>
  <c r="AO220" i="54"/>
  <c r="AP220" i="54"/>
  <c r="AQ220" i="54"/>
  <c r="AT220" i="54"/>
  <c r="AK221" i="54"/>
  <c r="AO221" i="54"/>
  <c r="AP221" i="54"/>
  <c r="AQ221" i="54"/>
  <c r="AT221" i="54"/>
  <c r="AK222" i="54"/>
  <c r="AO222" i="54"/>
  <c r="AP222" i="54"/>
  <c r="AQ222" i="54"/>
  <c r="AT222" i="54"/>
  <c r="AK223" i="54"/>
  <c r="AO223" i="54"/>
  <c r="AP223" i="54"/>
  <c r="AQ223" i="54"/>
  <c r="AT223" i="54"/>
  <c r="AK224" i="54"/>
  <c r="AO224" i="54"/>
  <c r="AP224" i="54"/>
  <c r="AQ224" i="54"/>
  <c r="AT224" i="54"/>
  <c r="AK225" i="54"/>
  <c r="AO225" i="54"/>
  <c r="AP225" i="54"/>
  <c r="AQ225" i="54"/>
  <c r="AT225" i="54"/>
  <c r="AK226" i="54"/>
  <c r="AO226" i="54"/>
  <c r="AP226" i="54"/>
  <c r="AQ226" i="54"/>
  <c r="AT226" i="54"/>
  <c r="AK227" i="54"/>
  <c r="AO227" i="54"/>
  <c r="AP227" i="54"/>
  <c r="AQ227" i="54"/>
  <c r="AT227" i="54"/>
  <c r="AK228" i="54"/>
  <c r="AO228" i="54"/>
  <c r="AP228" i="54"/>
  <c r="AQ228" i="54"/>
  <c r="AT228" i="54"/>
  <c r="AK229" i="54"/>
  <c r="AO229" i="54"/>
  <c r="AP229" i="54"/>
  <c r="AQ229" i="54"/>
  <c r="AT229" i="54"/>
  <c r="AK230" i="54"/>
  <c r="AO230" i="54"/>
  <c r="AP230" i="54"/>
  <c r="AQ230" i="54"/>
  <c r="AT230" i="54"/>
  <c r="AK231" i="54"/>
  <c r="AO231" i="54"/>
  <c r="AP231" i="54"/>
  <c r="AQ231" i="54"/>
  <c r="AT231" i="54"/>
  <c r="AK232" i="54"/>
  <c r="AO232" i="54"/>
  <c r="AP232" i="54"/>
  <c r="AQ232" i="54"/>
  <c r="AT232" i="54"/>
  <c r="AK233" i="54"/>
  <c r="AO233" i="54"/>
  <c r="AP233" i="54"/>
  <c r="AQ233" i="54"/>
  <c r="AT233" i="54"/>
  <c r="AK234" i="54"/>
  <c r="AO234" i="54"/>
  <c r="AP234" i="54"/>
  <c r="AQ234" i="54"/>
  <c r="AT234" i="54"/>
  <c r="AK235" i="54"/>
  <c r="AO235" i="54"/>
  <c r="AP235" i="54"/>
  <c r="AQ235" i="54"/>
  <c r="AT235" i="54"/>
  <c r="AK236" i="54"/>
  <c r="AO236" i="54"/>
  <c r="AP236" i="54"/>
  <c r="AQ236" i="54"/>
  <c r="AT236" i="54"/>
  <c r="AK237" i="54"/>
  <c r="AO237" i="54"/>
  <c r="AP237" i="54"/>
  <c r="AQ237" i="54"/>
  <c r="AT237" i="54"/>
  <c r="AK238" i="54"/>
  <c r="AO238" i="54"/>
  <c r="AP238" i="54"/>
  <c r="AQ238" i="54"/>
  <c r="AT238" i="54"/>
  <c r="AK239" i="54"/>
  <c r="AO239" i="54"/>
  <c r="AP239" i="54"/>
  <c r="AQ239" i="54"/>
  <c r="AT239" i="54"/>
  <c r="AK240" i="54"/>
  <c r="AO240" i="54"/>
  <c r="AP240" i="54"/>
  <c r="AQ240" i="54"/>
  <c r="AT240" i="54"/>
  <c r="AK241" i="54"/>
  <c r="AO241" i="54"/>
  <c r="AP241" i="54"/>
  <c r="AQ241" i="54"/>
  <c r="AT241" i="54"/>
  <c r="AK242" i="54"/>
  <c r="AO242" i="54"/>
  <c r="AP242" i="54"/>
  <c r="AQ242" i="54"/>
  <c r="AT242" i="54"/>
  <c r="AK243" i="54"/>
  <c r="AO243" i="54"/>
  <c r="AP243" i="54"/>
  <c r="AQ243" i="54"/>
  <c r="AT243" i="54"/>
  <c r="AK244" i="54"/>
  <c r="AO244" i="54"/>
  <c r="AP244" i="54"/>
  <c r="AQ244" i="54"/>
  <c r="AT244" i="54"/>
  <c r="AK245" i="54"/>
  <c r="AO245" i="54"/>
  <c r="AP245" i="54"/>
  <c r="AQ245" i="54"/>
  <c r="AT245" i="54"/>
  <c r="AK246" i="54"/>
  <c r="AO246" i="54"/>
  <c r="AP246" i="54"/>
  <c r="AQ246" i="54"/>
  <c r="AT246" i="54"/>
  <c r="AK247" i="54"/>
  <c r="AO247" i="54"/>
  <c r="AP247" i="54"/>
  <c r="AQ247" i="54"/>
  <c r="AT247" i="54"/>
  <c r="AK248" i="54"/>
  <c r="AO248" i="54"/>
  <c r="AP248" i="54"/>
  <c r="AQ248" i="54"/>
  <c r="AT248" i="54"/>
  <c r="AK249" i="54"/>
  <c r="AO249" i="54"/>
  <c r="AP249" i="54"/>
  <c r="AQ249" i="54"/>
  <c r="AT249" i="54"/>
  <c r="AK250" i="54"/>
  <c r="AO250" i="54"/>
  <c r="AP250" i="54"/>
  <c r="AQ250" i="54"/>
  <c r="AT250" i="54"/>
  <c r="AK251" i="54"/>
  <c r="AO251" i="54"/>
  <c r="AP251" i="54"/>
  <c r="AQ251" i="54"/>
  <c r="AT251" i="54"/>
  <c r="AK252" i="54"/>
  <c r="AO252" i="54"/>
  <c r="AP252" i="54"/>
  <c r="AQ252" i="54"/>
  <c r="AT252" i="54"/>
  <c r="AK253" i="54"/>
  <c r="AO253" i="54"/>
  <c r="AP253" i="54"/>
  <c r="AQ253" i="54"/>
  <c r="AT253" i="54"/>
  <c r="AK254" i="54"/>
  <c r="AO254" i="54"/>
  <c r="AP254" i="54"/>
  <c r="AQ254" i="54"/>
  <c r="AT254" i="54"/>
  <c r="AK255" i="54"/>
  <c r="AO255" i="54"/>
  <c r="AP255" i="54"/>
  <c r="AQ255" i="54"/>
  <c r="AT255" i="54"/>
  <c r="AK256" i="54"/>
  <c r="AO256" i="54"/>
  <c r="AP256" i="54"/>
  <c r="AQ256" i="54"/>
  <c r="AT256" i="54"/>
  <c r="AK257" i="54"/>
  <c r="AO257" i="54"/>
  <c r="AP257" i="54"/>
  <c r="AQ257" i="54"/>
  <c r="AT257" i="54"/>
  <c r="AO259" i="54"/>
  <c r="AQ259" i="54"/>
  <c r="AO275" i="54"/>
  <c r="AQ275" i="54"/>
  <c r="AN279" i="54"/>
  <c r="AO279" i="54"/>
  <c r="AP279" i="54"/>
  <c r="AN280" i="54"/>
  <c r="AO280" i="54"/>
  <c r="AP280" i="54"/>
  <c r="AN281" i="54"/>
  <c r="AO281" i="54"/>
  <c r="AP281" i="54"/>
  <c r="AP282" i="54"/>
  <c r="F2" i="59"/>
  <c r="F3" i="59"/>
  <c r="F4" i="59"/>
  <c r="D11" i="59"/>
  <c r="F11" i="59"/>
  <c r="D14" i="59"/>
  <c r="F14" i="59"/>
  <c r="D17" i="59"/>
  <c r="F17" i="59"/>
  <c r="D18" i="59"/>
  <c r="F18" i="59"/>
  <c r="D19" i="59"/>
  <c r="F19" i="59"/>
  <c r="D20" i="59"/>
  <c r="F20" i="59"/>
  <c r="D21" i="59"/>
  <c r="F21" i="59"/>
  <c r="D27" i="59"/>
  <c r="F27" i="59"/>
  <c r="D28" i="59"/>
  <c r="F28" i="59"/>
  <c r="D32" i="59"/>
  <c r="F32" i="59"/>
  <c r="D33" i="59"/>
  <c r="F33" i="59"/>
  <c r="D34" i="59"/>
  <c r="F34" i="59"/>
  <c r="D35" i="59"/>
  <c r="F35" i="59"/>
  <c r="D36" i="59"/>
  <c r="F36" i="59"/>
  <c r="D37" i="59"/>
  <c r="F37" i="59"/>
  <c r="D42" i="59"/>
  <c r="F42" i="59"/>
  <c r="D43" i="59"/>
  <c r="F43" i="59"/>
  <c r="D46" i="59"/>
  <c r="F46" i="59"/>
  <c r="D47" i="59"/>
  <c r="F47" i="59"/>
  <c r="D50" i="59"/>
  <c r="F50" i="59"/>
  <c r="D51" i="59"/>
  <c r="F51" i="59"/>
  <c r="D54" i="59"/>
  <c r="F54" i="59"/>
  <c r="D55" i="59"/>
  <c r="F55" i="59"/>
  <c r="D59" i="59"/>
  <c r="F59" i="59"/>
  <c r="D60" i="59"/>
  <c r="F60" i="59"/>
  <c r="D61" i="59"/>
  <c r="F61" i="59"/>
  <c r="D62" i="59"/>
  <c r="F62" i="59"/>
  <c r="D65" i="59"/>
  <c r="F65" i="59"/>
  <c r="D66" i="59"/>
  <c r="F66" i="59"/>
  <c r="D67" i="59"/>
  <c r="F67" i="59"/>
  <c r="D68" i="59"/>
  <c r="F68" i="59"/>
  <c r="D72" i="59"/>
  <c r="F72" i="59"/>
  <c r="D73" i="59"/>
  <c r="F73" i="59"/>
  <c r="D74" i="59"/>
  <c r="F74" i="59"/>
  <c r="D75" i="59"/>
  <c r="F75" i="59"/>
  <c r="D76" i="59"/>
  <c r="F76" i="59"/>
  <c r="D77" i="59"/>
  <c r="F77" i="59"/>
  <c r="D78" i="59"/>
  <c r="F78" i="59"/>
  <c r="D81" i="59"/>
  <c r="F81" i="59"/>
  <c r="D82" i="59"/>
  <c r="F82" i="59"/>
  <c r="D83" i="59"/>
  <c r="F83" i="59"/>
  <c r="D84" i="59"/>
  <c r="F84" i="59"/>
  <c r="D85" i="59"/>
  <c r="F85" i="59"/>
  <c r="D86" i="59"/>
  <c r="F86" i="59"/>
  <c r="D87" i="59"/>
  <c r="F87" i="59"/>
  <c r="D90" i="59"/>
  <c r="F90" i="59"/>
  <c r="D91" i="59"/>
  <c r="F91" i="59"/>
  <c r="D94" i="59"/>
  <c r="F94" i="59"/>
  <c r="D95" i="59"/>
  <c r="F95" i="59"/>
  <c r="D96" i="59"/>
  <c r="F96" i="59"/>
  <c r="D97" i="59"/>
  <c r="F97" i="59"/>
  <c r="D98" i="59"/>
  <c r="F98" i="59"/>
  <c r="D99" i="59"/>
  <c r="F99" i="59"/>
  <c r="D100" i="59"/>
  <c r="F100" i="59"/>
  <c r="D104" i="59"/>
  <c r="F104" i="59"/>
  <c r="D105" i="59"/>
  <c r="F105" i="59"/>
  <c r="F106" i="59"/>
  <c r="D107" i="59"/>
  <c r="F107" i="59"/>
  <c r="D108" i="59"/>
  <c r="F108" i="59"/>
  <c r="D109" i="59"/>
  <c r="F109" i="59"/>
  <c r="D112" i="59"/>
  <c r="F112" i="59"/>
  <c r="D115" i="59"/>
  <c r="F115" i="59"/>
  <c r="D116" i="59"/>
  <c r="F116" i="59"/>
  <c r="D117" i="59"/>
  <c r="F117" i="59"/>
  <c r="D118" i="59"/>
  <c r="F118" i="59"/>
  <c r="D120" i="59"/>
  <c r="F120" i="59"/>
  <c r="D121" i="59"/>
  <c r="F121" i="59"/>
  <c r="D122" i="59"/>
  <c r="F122" i="59"/>
  <c r="D123" i="59"/>
  <c r="F123" i="59"/>
  <c r="D127" i="59"/>
  <c r="F127" i="59"/>
  <c r="D128" i="59"/>
  <c r="F128" i="59"/>
  <c r="D132" i="59"/>
  <c r="F132" i="59"/>
  <c r="D133" i="59"/>
  <c r="F133" i="59"/>
  <c r="D137" i="59"/>
  <c r="F137" i="59"/>
  <c r="D138" i="59"/>
  <c r="F138" i="59"/>
  <c r="D144" i="59"/>
  <c r="F144" i="59"/>
  <c r="D145" i="59"/>
  <c r="F145" i="59"/>
  <c r="D149" i="59"/>
  <c r="F149" i="59"/>
  <c r="D150" i="59"/>
  <c r="F150" i="59"/>
  <c r="D154" i="59"/>
  <c r="F154" i="59"/>
  <c r="D155" i="59"/>
  <c r="F155" i="59"/>
  <c r="D159" i="59"/>
  <c r="F159" i="59"/>
  <c r="D160" i="59"/>
  <c r="F160" i="59"/>
  <c r="D164" i="59"/>
  <c r="F164" i="59"/>
  <c r="D168" i="59"/>
  <c r="F168" i="59"/>
  <c r="D169" i="59"/>
  <c r="F169" i="59"/>
  <c r="D184" i="59"/>
  <c r="F184" i="59"/>
  <c r="D185" i="59"/>
  <c r="F185" i="59"/>
  <c r="D186" i="59"/>
  <c r="F186" i="59"/>
  <c r="D187" i="59"/>
  <c r="F187" i="59"/>
  <c r="D188" i="59"/>
  <c r="F188" i="59"/>
  <c r="D189" i="59"/>
  <c r="F189" i="59"/>
  <c r="D190" i="59"/>
  <c r="F190" i="59"/>
  <c r="D193" i="59"/>
  <c r="F193" i="59"/>
  <c r="D194" i="59"/>
  <c r="F194" i="59"/>
  <c r="D195" i="59"/>
  <c r="F195" i="59"/>
  <c r="D196" i="59"/>
  <c r="F196" i="59"/>
  <c r="D197" i="59"/>
  <c r="F197" i="59"/>
  <c r="D198" i="59"/>
  <c r="F198" i="59"/>
  <c r="D199" i="59"/>
  <c r="F199" i="59"/>
  <c r="D202" i="59"/>
  <c r="F202" i="59"/>
  <c r="D203" i="59"/>
  <c r="F203" i="59"/>
  <c r="D204" i="59"/>
  <c r="F204" i="59"/>
  <c r="D205" i="59"/>
  <c r="F205" i="59"/>
  <c r="D206" i="59"/>
  <c r="F206" i="59"/>
  <c r="D207" i="59"/>
  <c r="F207" i="59"/>
  <c r="D208" i="59"/>
  <c r="F208" i="59"/>
  <c r="D212" i="59"/>
  <c r="F212" i="59"/>
  <c r="D213" i="59"/>
  <c r="F213" i="59"/>
  <c r="D214" i="59"/>
  <c r="F214" i="59"/>
  <c r="D215" i="59"/>
  <c r="F215" i="59"/>
  <c r="D216" i="59"/>
  <c r="F216" i="59"/>
  <c r="D217" i="59"/>
  <c r="F217" i="59"/>
  <c r="D218" i="59"/>
  <c r="F218" i="59"/>
  <c r="D221" i="59"/>
  <c r="F221" i="59"/>
  <c r="D222" i="59"/>
  <c r="F222" i="59"/>
  <c r="D223" i="59"/>
  <c r="F223" i="59"/>
  <c r="D224" i="59"/>
  <c r="F224" i="59"/>
  <c r="D225" i="59"/>
  <c r="F225" i="59"/>
  <c r="D226" i="59"/>
  <c r="F226" i="59"/>
  <c r="D227" i="59"/>
  <c r="F227" i="59"/>
  <c r="D230" i="59"/>
  <c r="F230" i="59"/>
  <c r="D231" i="59"/>
  <c r="F231" i="59"/>
  <c r="D232" i="59"/>
  <c r="F232" i="59"/>
  <c r="D233" i="59"/>
  <c r="F233" i="59"/>
  <c r="D234" i="59"/>
  <c r="F234" i="59"/>
  <c r="D235" i="59"/>
  <c r="F235" i="59"/>
  <c r="D236" i="59"/>
  <c r="F236" i="59"/>
  <c r="D238" i="59"/>
  <c r="F238" i="59"/>
  <c r="D240" i="59"/>
  <c r="F240" i="59"/>
  <c r="D245" i="59"/>
  <c r="F245" i="59"/>
  <c r="D246" i="59"/>
  <c r="F246" i="59"/>
  <c r="D247" i="59"/>
  <c r="F247" i="59"/>
  <c r="D248" i="59"/>
  <c r="F248" i="59"/>
  <c r="D251" i="59"/>
  <c r="F251" i="59"/>
  <c r="D252" i="59"/>
  <c r="F252" i="59"/>
  <c r="D255" i="59"/>
  <c r="F255" i="59"/>
  <c r="D256" i="59"/>
  <c r="F256" i="59"/>
  <c r="D257" i="59"/>
  <c r="F257" i="59"/>
  <c r="D258" i="59"/>
  <c r="F258" i="59"/>
  <c r="D261" i="59"/>
  <c r="F261" i="59"/>
  <c r="D262" i="59"/>
  <c r="F262" i="59"/>
  <c r="D263" i="59"/>
  <c r="F263" i="59"/>
  <c r="D266" i="59"/>
  <c r="F266" i="59"/>
  <c r="D267" i="59"/>
  <c r="F267" i="59"/>
  <c r="D268" i="59"/>
  <c r="F268" i="59"/>
  <c r="D273" i="59"/>
  <c r="F273" i="59"/>
  <c r="D274" i="59"/>
  <c r="F274" i="59"/>
  <c r="D275" i="59"/>
  <c r="F275" i="59"/>
  <c r="D278" i="59"/>
  <c r="F278" i="59"/>
  <c r="D279" i="59"/>
  <c r="F279" i="59"/>
  <c r="D280" i="59"/>
  <c r="F280" i="59"/>
  <c r="D282" i="59"/>
  <c r="F282" i="59"/>
  <c r="D283" i="59"/>
  <c r="F283" i="59"/>
  <c r="D287" i="59"/>
  <c r="F287" i="59"/>
  <c r="F288" i="59"/>
  <c r="D289" i="59"/>
  <c r="F289" i="59"/>
  <c r="D290" i="59"/>
  <c r="F290" i="59"/>
  <c r="D291" i="59"/>
  <c r="F291" i="59"/>
  <c r="D292" i="59"/>
  <c r="F292" i="59"/>
  <c r="D296" i="59"/>
  <c r="F296" i="59"/>
  <c r="F297" i="59"/>
  <c r="D298" i="59"/>
  <c r="F298" i="59"/>
  <c r="D299" i="59"/>
  <c r="F299" i="59"/>
  <c r="D300" i="59"/>
  <c r="F300" i="59"/>
  <c r="D301" i="59"/>
  <c r="F301" i="59"/>
  <c r="D304" i="59"/>
  <c r="F304" i="59"/>
  <c r="D307" i="59"/>
  <c r="F307" i="59"/>
  <c r="F308" i="59"/>
  <c r="D309" i="59"/>
  <c r="F309" i="59"/>
  <c r="D310" i="59"/>
  <c r="F310" i="59"/>
  <c r="D311" i="59"/>
  <c r="F311" i="59"/>
  <c r="D312" i="59"/>
  <c r="F312" i="59"/>
  <c r="D315" i="59"/>
  <c r="F315" i="59"/>
  <c r="F316" i="59"/>
  <c r="D317" i="59"/>
  <c r="F317" i="59"/>
  <c r="D318" i="59"/>
  <c r="F318" i="59"/>
  <c r="D319" i="59"/>
  <c r="F319" i="59"/>
  <c r="D320" i="59"/>
  <c r="F320" i="59"/>
  <c r="D322" i="59"/>
  <c r="F322" i="59"/>
  <c r="D323" i="59"/>
  <c r="F323" i="59"/>
  <c r="D324" i="59"/>
  <c r="F324" i="59"/>
  <c r="D325" i="59"/>
  <c r="F325" i="59"/>
  <c r="D331" i="59"/>
  <c r="F331" i="59"/>
  <c r="D332" i="59"/>
  <c r="F332" i="59"/>
  <c r="D333" i="59"/>
  <c r="F333" i="59"/>
  <c r="D334" i="59"/>
  <c r="F334" i="59"/>
  <c r="D335" i="59"/>
  <c r="F335" i="59"/>
  <c r="D336" i="59"/>
  <c r="F336" i="59"/>
  <c r="D338" i="59"/>
  <c r="F338" i="59"/>
  <c r="D339" i="59"/>
  <c r="F339" i="59"/>
  <c r="D340" i="59"/>
  <c r="F340" i="59"/>
  <c r="D341" i="59"/>
  <c r="F341" i="59"/>
  <c r="D346" i="59"/>
  <c r="F346" i="59"/>
  <c r="D347" i="59"/>
  <c r="F347" i="59"/>
  <c r="D349" i="59"/>
  <c r="F349" i="59"/>
  <c r="D350" i="59"/>
  <c r="F350" i="59"/>
  <c r="D351" i="59"/>
  <c r="F351" i="59"/>
  <c r="D352" i="59"/>
  <c r="F352" i="59"/>
</calcChain>
</file>

<file path=xl/comments1.xml><?xml version="1.0" encoding="utf-8"?>
<comments xmlns="http://schemas.openxmlformats.org/spreadsheetml/2006/main">
  <authors>
    <author>Heather Garland</author>
    <author>Lindsay Waldram</author>
    <author>Laura Kapuscinski</author>
  </authors>
  <commentList>
    <comment ref="C9" authorId="0">
      <text>
        <r>
          <rPr>
            <b/>
            <sz val="9"/>
            <color indexed="81"/>
            <rFont val="Tahoma"/>
            <family val="2"/>
          </rPr>
          <t>Heather Garland:</t>
        </r>
        <r>
          <rPr>
            <sz val="9"/>
            <color indexed="81"/>
            <rFont val="Tahoma"/>
            <family val="2"/>
          </rPr>
          <t xml:space="preserve">
This district includes core hauling (Pacific, Rural, Yelm, and Rainier), as well as commercial recycling.</t>
        </r>
      </text>
    </comment>
    <comment ref="D9" authorId="0">
      <text>
        <r>
          <rPr>
            <b/>
            <sz val="9"/>
            <color indexed="81"/>
            <rFont val="Tahoma"/>
            <family val="2"/>
          </rPr>
          <t>Heather Garland:</t>
        </r>
        <r>
          <rPr>
            <sz val="9"/>
            <color indexed="81"/>
            <rFont val="Tahoma"/>
            <family val="2"/>
          </rPr>
          <t xml:space="preserve">
This district contains a recycle baling/reload facility (MRF) and the operation of a County owned Transfer Station.</t>
        </r>
      </text>
    </comment>
    <comment ref="E9" authorId="0">
      <text>
        <r>
          <rPr>
            <b/>
            <sz val="9"/>
            <color indexed="81"/>
            <rFont val="Tahoma"/>
            <family val="2"/>
          </rPr>
          <t>Heather Garland:</t>
        </r>
        <r>
          <rPr>
            <sz val="9"/>
            <color indexed="81"/>
            <rFont val="Tahoma"/>
            <family val="2"/>
          </rPr>
          <t xml:space="preserve">
This is a paper shredding business.  LeMay Mobile Shredding.</t>
        </r>
      </text>
    </comment>
    <comment ref="AB9" authorId="1">
      <text>
        <r>
          <rPr>
            <b/>
            <sz val="9"/>
            <color indexed="81"/>
            <rFont val="Tahoma"/>
            <family val="2"/>
          </rPr>
          <t>Lindsay Waldram:</t>
        </r>
        <r>
          <rPr>
            <sz val="9"/>
            <color indexed="81"/>
            <rFont val="Tahoma"/>
            <family val="2"/>
          </rPr>
          <t xml:space="preserve">
Rolled Yelm &amp; Rainier in</t>
        </r>
      </text>
    </comment>
    <comment ref="AE17" authorId="2">
      <text>
        <r>
          <rPr>
            <b/>
            <sz val="9"/>
            <color indexed="81"/>
            <rFont val="Tahoma"/>
            <family val="2"/>
          </rPr>
          <t>Laura Kapuscinski:</t>
        </r>
        <r>
          <rPr>
            <sz val="9"/>
            <color indexed="81"/>
            <rFont val="Tahoma"/>
            <family val="2"/>
          </rPr>
          <t xml:space="preserve">
Acct 31005 subaccounts -000 and -200 as those are recycling.  Subaccount -100 is garbage only</t>
        </r>
      </text>
    </comment>
    <comment ref="C35" authorId="0">
      <text>
        <r>
          <rPr>
            <b/>
            <sz val="9"/>
            <color indexed="81"/>
            <rFont val="Tahoma"/>
            <family val="2"/>
          </rPr>
          <t>Heather Garland:</t>
        </r>
        <r>
          <rPr>
            <sz val="9"/>
            <color indexed="81"/>
            <rFont val="Tahoma"/>
            <family val="2"/>
          </rPr>
          <t xml:space="preserve">
Use RTA report to see where labor time is spent,.</t>
        </r>
      </text>
    </comment>
    <comment ref="C62" authorId="0">
      <text>
        <r>
          <rPr>
            <b/>
            <sz val="9"/>
            <color indexed="81"/>
            <rFont val="Tahoma"/>
            <family val="2"/>
          </rPr>
          <t>Heather Garland:</t>
        </r>
        <r>
          <rPr>
            <sz val="9"/>
            <color indexed="81"/>
            <rFont val="Tahoma"/>
            <family val="2"/>
          </rPr>
          <t xml:space="preserve">
Container/cart washing and repair.</t>
        </r>
      </text>
    </comment>
    <comment ref="C82" authorId="1">
      <text>
        <r>
          <rPr>
            <b/>
            <sz val="9"/>
            <color indexed="81"/>
            <rFont val="Tahoma"/>
            <family val="2"/>
          </rPr>
          <t>Lindsay Waldram:</t>
        </r>
        <r>
          <rPr>
            <sz val="9"/>
            <color indexed="81"/>
            <rFont val="Tahoma"/>
            <family val="2"/>
          </rPr>
          <t xml:space="preserve">
Brokered cart delivery.  </t>
        </r>
      </text>
    </comment>
    <comment ref="AF87" authorId="0">
      <text>
        <r>
          <rPr>
            <b/>
            <sz val="9"/>
            <color indexed="81"/>
            <rFont val="Tahoma"/>
            <family val="2"/>
          </rPr>
          <t>Heather Garland:</t>
        </r>
        <r>
          <rPr>
            <sz val="9"/>
            <color indexed="81"/>
            <rFont val="Tahoma"/>
            <family val="2"/>
          </rPr>
          <t xml:space="preserve">
2184 Supervisor is coded to 70010.</t>
        </r>
      </text>
    </comment>
    <comment ref="J119" authorId="1">
      <text>
        <r>
          <rPr>
            <b/>
            <sz val="9"/>
            <color indexed="81"/>
            <rFont val="Tahoma"/>
            <family val="2"/>
          </rPr>
          <t>Lindsay Waldram:</t>
        </r>
        <r>
          <rPr>
            <sz val="9"/>
            <color indexed="81"/>
            <rFont val="Tahoma"/>
            <family val="2"/>
          </rPr>
          <t xml:space="preserve">
Related to Shredding</t>
        </r>
      </text>
    </comment>
    <comment ref="H132" authorId="0">
      <text>
        <r>
          <rPr>
            <b/>
            <sz val="9"/>
            <color indexed="81"/>
            <rFont val="Tahoma"/>
            <family val="2"/>
          </rPr>
          <t>Heather Garland:</t>
        </r>
        <r>
          <rPr>
            <sz val="9"/>
            <color indexed="81"/>
            <rFont val="Tahoma"/>
            <family val="2"/>
          </rPr>
          <t xml:space="preserve">
Reclass pass-through.  Exclude disposal in acct. #40122 because this is the commercial recycling pass-through.</t>
        </r>
      </text>
    </comment>
    <comment ref="C135" authorId="0">
      <text>
        <r>
          <rPr>
            <b/>
            <sz val="9"/>
            <color indexed="81"/>
            <rFont val="Tahoma"/>
            <family val="2"/>
          </rPr>
          <t>Heather Garland:</t>
        </r>
        <r>
          <rPr>
            <sz val="9"/>
            <color indexed="81"/>
            <rFont val="Tahoma"/>
            <family val="2"/>
          </rPr>
          <t xml:space="preserve">
Wood to sales road - comm recycle.</t>
        </r>
      </text>
    </comment>
    <comment ref="AE136" authorId="0">
      <text>
        <r>
          <rPr>
            <b/>
            <sz val="9"/>
            <color indexed="81"/>
            <rFont val="Tahoma"/>
            <family val="2"/>
          </rPr>
          <t>Heather Garland:</t>
        </r>
        <r>
          <rPr>
            <sz val="9"/>
            <color indexed="81"/>
            <rFont val="Tahoma"/>
            <family val="2"/>
          </rPr>
          <t xml:space="preserve">
moved to comm recycle.  It looks like there might be some - probably immaterial - residential</t>
        </r>
      </text>
    </comment>
    <comment ref="H142" authorId="0">
      <text>
        <r>
          <rPr>
            <b/>
            <sz val="9"/>
            <color indexed="81"/>
            <rFont val="Tahoma"/>
            <family val="2"/>
          </rPr>
          <t>Heather Garland:</t>
        </r>
        <r>
          <rPr>
            <sz val="9"/>
            <color indexed="81"/>
            <rFont val="Tahoma"/>
            <family val="2"/>
          </rPr>
          <t xml:space="preserve">
Effective 7/1/2018 we removed the processing fee from the recycle hauling rates, so we need to remove this expense.  We've also removed revenue above for April-June, the 3 months of the test period where the $45 was still included in the recycling rate.  See TG-180542 &amp; TG-180539.</t>
        </r>
      </text>
    </comment>
    <comment ref="AB223" authorId="1">
      <text>
        <r>
          <rPr>
            <b/>
            <sz val="9"/>
            <color indexed="81"/>
            <rFont val="Tahoma"/>
            <family val="2"/>
          </rPr>
          <t>Lindsay Waldram:</t>
        </r>
        <r>
          <rPr>
            <sz val="9"/>
            <color indexed="81"/>
            <rFont val="Tahoma"/>
            <family val="2"/>
          </rPr>
          <t xml:space="preserve">
Allocated to garbage only as it is mostly related to union negotiations.</t>
        </r>
      </text>
    </comment>
    <comment ref="AB243" authorId="1">
      <text>
        <r>
          <rPr>
            <b/>
            <sz val="9"/>
            <color indexed="81"/>
            <rFont val="Tahoma"/>
            <family val="2"/>
          </rPr>
          <t>Lindsay Waldram:</t>
        </r>
        <r>
          <rPr>
            <sz val="9"/>
            <color indexed="81"/>
            <rFont val="Tahoma"/>
            <family val="2"/>
          </rPr>
          <t xml:space="preserve">
Union is not commercial recycling.</t>
        </r>
      </text>
    </comment>
    <comment ref="AB253" authorId="1">
      <text>
        <r>
          <rPr>
            <b/>
            <sz val="9"/>
            <color indexed="81"/>
            <rFont val="Tahoma"/>
            <family val="2"/>
          </rPr>
          <t>Lindsay Waldram:</t>
        </r>
        <r>
          <rPr>
            <sz val="9"/>
            <color indexed="81"/>
            <rFont val="Tahoma"/>
            <family val="2"/>
          </rPr>
          <t xml:space="preserve">
Union is not commercial recycling.</t>
        </r>
      </text>
    </comment>
    <comment ref="C254" authorId="1">
      <text>
        <r>
          <rPr>
            <b/>
            <sz val="9"/>
            <color indexed="81"/>
            <rFont val="Tahoma"/>
            <family val="2"/>
          </rPr>
          <t>Lindsay Waldram:</t>
        </r>
        <r>
          <rPr>
            <sz val="9"/>
            <color indexed="81"/>
            <rFont val="Tahoma"/>
            <family val="2"/>
          </rPr>
          <t xml:space="preserve">
Ask if we can use actual</t>
        </r>
      </text>
    </comment>
    <comment ref="C334" authorId="1">
      <text>
        <r>
          <rPr>
            <b/>
            <sz val="9"/>
            <color indexed="81"/>
            <rFont val="Tahoma"/>
            <family val="2"/>
          </rPr>
          <t>Lindsay Waldram:</t>
        </r>
        <r>
          <rPr>
            <sz val="9"/>
            <color indexed="81"/>
            <rFont val="Tahoma"/>
            <family val="2"/>
          </rPr>
          <t xml:space="preserve">
Match to supervisor above</t>
        </r>
      </text>
    </comment>
  </commentList>
</comments>
</file>

<file path=xl/comments10.xml><?xml version="1.0" encoding="utf-8"?>
<comments xmlns="http://schemas.openxmlformats.org/spreadsheetml/2006/main">
  <authors>
    <author>Lindsay Waldram</author>
  </authors>
  <commentList>
    <comment ref="D52" authorId="0">
      <text>
        <r>
          <rPr>
            <b/>
            <sz val="9"/>
            <color indexed="81"/>
            <rFont val="Tahoma"/>
            <family val="2"/>
          </rPr>
          <t>Lindsay Waldram:</t>
        </r>
        <r>
          <rPr>
            <sz val="9"/>
            <color indexed="81"/>
            <rFont val="Tahoma"/>
            <family val="2"/>
          </rPr>
          <t xml:space="preserve">
15% is the disallowed portion of the WRRA fees.  Based on prior audit this same percentage is disallowed for corporate dues and subscriptions.</t>
        </r>
      </text>
    </comment>
  </commentList>
</comments>
</file>

<file path=xl/comments11.xml><?xml version="1.0" encoding="utf-8"?>
<comments xmlns="http://schemas.openxmlformats.org/spreadsheetml/2006/main">
  <authors>
    <author>Author</author>
  </authors>
  <commentList>
    <comment ref="AO35" authorId="0">
      <text>
        <r>
          <rPr>
            <b/>
            <sz val="9"/>
            <color indexed="81"/>
            <rFont val="Tahoma"/>
            <family val="2"/>
          </rPr>
          <t>Author:</t>
        </r>
        <r>
          <rPr>
            <sz val="9"/>
            <color indexed="81"/>
            <rFont val="Tahoma"/>
            <family val="2"/>
          </rPr>
          <t xml:space="preserve">
Moved 2148 customers to 2112.</t>
        </r>
      </text>
    </comment>
  </commentList>
</comments>
</file>

<file path=xl/comments12.xml><?xml version="1.0" encoding="utf-8"?>
<comments xmlns="http://schemas.openxmlformats.org/spreadsheetml/2006/main">
  <authors>
    <author>Heather Garland</author>
  </authors>
  <commentList>
    <comment ref="X46" authorId="0">
      <text>
        <r>
          <rPr>
            <b/>
            <sz val="9"/>
            <color indexed="81"/>
            <rFont val="Tahoma"/>
            <family val="2"/>
          </rPr>
          <t>Heather Garland:</t>
        </r>
        <r>
          <rPr>
            <sz val="9"/>
            <color indexed="81"/>
            <rFont val="Tahoma"/>
            <family val="2"/>
          </rPr>
          <t xml:space="preserve">
The MRF uses about 1 acre of the 25 acres on Hogum Bay Road.</t>
        </r>
      </text>
    </comment>
  </commentList>
</comments>
</file>

<file path=xl/comments13.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4.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5.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6.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7.xml><?xml version="1.0" encoding="utf-8"?>
<comments xmlns="http://schemas.openxmlformats.org/spreadsheetml/2006/main">
  <authors>
    <author>igort</author>
    <author>Interject</author>
    <author>Lindsay Waldram</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 ref="D87" authorId="2">
      <text>
        <r>
          <rPr>
            <b/>
            <sz val="9"/>
            <color indexed="81"/>
            <rFont val="Tahoma"/>
            <family val="2"/>
          </rPr>
          <t>Lindsay Waldram:</t>
        </r>
        <r>
          <rPr>
            <sz val="9"/>
            <color indexed="81"/>
            <rFont val="Tahoma"/>
            <family val="2"/>
          </rPr>
          <t xml:space="preserve">
Per WRRA's 2018 Dues Deductability Letter 15% of dues paid are related to lobbying (unallowable).</t>
        </r>
      </text>
    </comment>
  </commentList>
</comments>
</file>

<file path=xl/comments18.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19.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2.xml><?xml version="1.0" encoding="utf-8"?>
<comments xmlns="http://schemas.openxmlformats.org/spreadsheetml/2006/main">
  <authors>
    <author>Heather Garland</author>
  </authors>
  <commentList>
    <comment ref="B75" authorId="0">
      <text>
        <r>
          <rPr>
            <b/>
            <sz val="9"/>
            <color indexed="81"/>
            <rFont val="Tahoma"/>
            <family val="2"/>
          </rPr>
          <t>Heather Garland:</t>
        </r>
        <r>
          <rPr>
            <sz val="9"/>
            <color indexed="81"/>
            <rFont val="Tahoma"/>
            <family val="2"/>
          </rPr>
          <t xml:space="preserve">
Brokered cart delivery/washing.</t>
        </r>
      </text>
    </comment>
  </commentList>
</comments>
</file>

<file path=xl/comments3.xml><?xml version="1.0" encoding="utf-8"?>
<comments xmlns="http://schemas.openxmlformats.org/spreadsheetml/2006/main">
  <authors>
    <author>Lindsay Waldram</author>
  </authors>
  <commentList>
    <comment ref="H103" authorId="0">
      <text>
        <r>
          <rPr>
            <b/>
            <sz val="9"/>
            <color indexed="81"/>
            <rFont val="Tahoma"/>
            <family val="2"/>
          </rPr>
          <t>Lindsay Waldram:</t>
        </r>
        <r>
          <rPr>
            <sz val="9"/>
            <color indexed="81"/>
            <rFont val="Tahoma"/>
            <family val="2"/>
          </rPr>
          <t xml:space="preserve">
City of Olympia</t>
        </r>
      </text>
    </comment>
  </commentList>
</comments>
</file>

<file path=xl/comments4.xml><?xml version="1.0" encoding="utf-8"?>
<comments xmlns="http://schemas.openxmlformats.org/spreadsheetml/2006/main">
  <authors>
    <author>Heather Garland</author>
  </authors>
  <commentList>
    <comment ref="B81" authorId="0">
      <text>
        <r>
          <rPr>
            <b/>
            <sz val="9"/>
            <color indexed="81"/>
            <rFont val="Tahoma"/>
            <family val="2"/>
          </rPr>
          <t>Heather Garland:</t>
        </r>
        <r>
          <rPr>
            <sz val="9"/>
            <color indexed="81"/>
            <rFont val="Tahoma"/>
            <family val="2"/>
          </rPr>
          <t xml:space="preserve">
Amortize over 3 years - one time payment.</t>
        </r>
      </text>
    </comment>
  </commentList>
</comments>
</file>

<file path=xl/comments5.xml><?xml version="1.0" encoding="utf-8"?>
<comments xmlns="http://schemas.openxmlformats.org/spreadsheetml/2006/main">
  <authors>
    <author>Lindsay Waldram</author>
  </authors>
  <commentList>
    <comment ref="C78" authorId="0">
      <text>
        <r>
          <rPr>
            <b/>
            <sz val="9"/>
            <color indexed="81"/>
            <rFont val="Tahoma"/>
            <family val="2"/>
          </rPr>
          <t>Lindsay Waldram:</t>
        </r>
        <r>
          <rPr>
            <sz val="9"/>
            <color indexed="81"/>
            <rFont val="Tahoma"/>
            <family val="2"/>
          </rPr>
          <t xml:space="preserve">
Exclulded commercial recycle</t>
        </r>
      </text>
    </comment>
    <comment ref="D78" authorId="0">
      <text>
        <r>
          <rPr>
            <b/>
            <sz val="9"/>
            <color indexed="81"/>
            <rFont val="Tahoma"/>
            <family val="2"/>
          </rPr>
          <t>Lindsay Waldram:</t>
        </r>
        <r>
          <rPr>
            <sz val="9"/>
            <color indexed="81"/>
            <rFont val="Tahoma"/>
            <family val="2"/>
          </rPr>
          <t xml:space="preserve">
Exclulded commercial recycle</t>
        </r>
      </text>
    </comment>
    <comment ref="E78" authorId="0">
      <text>
        <r>
          <rPr>
            <b/>
            <sz val="9"/>
            <color indexed="81"/>
            <rFont val="Tahoma"/>
            <family val="2"/>
          </rPr>
          <t>Lindsay Waldram:</t>
        </r>
        <r>
          <rPr>
            <sz val="9"/>
            <color indexed="81"/>
            <rFont val="Tahoma"/>
            <family val="2"/>
          </rPr>
          <t xml:space="preserve">
Exclulded commercial recycle</t>
        </r>
      </text>
    </comment>
    <comment ref="C113" authorId="0">
      <text>
        <r>
          <rPr>
            <b/>
            <sz val="9"/>
            <color indexed="81"/>
            <rFont val="Tahoma"/>
            <family val="2"/>
          </rPr>
          <t>Lindsay Waldram:</t>
        </r>
        <r>
          <rPr>
            <sz val="9"/>
            <color indexed="81"/>
            <rFont val="Tahoma"/>
            <family val="2"/>
          </rPr>
          <t xml:space="preserve">
Exclulded commercial recycle</t>
        </r>
      </text>
    </comment>
    <comment ref="D113" authorId="0">
      <text>
        <r>
          <rPr>
            <b/>
            <sz val="9"/>
            <color indexed="81"/>
            <rFont val="Tahoma"/>
            <family val="2"/>
          </rPr>
          <t>Lindsay Waldram:</t>
        </r>
        <r>
          <rPr>
            <sz val="9"/>
            <color indexed="81"/>
            <rFont val="Tahoma"/>
            <family val="2"/>
          </rPr>
          <t xml:space="preserve">
Exclulded commercial recycle</t>
        </r>
      </text>
    </comment>
    <comment ref="E113" authorId="0">
      <text>
        <r>
          <rPr>
            <b/>
            <sz val="9"/>
            <color indexed="81"/>
            <rFont val="Tahoma"/>
            <family val="2"/>
          </rPr>
          <t>Lindsay Waldram:</t>
        </r>
        <r>
          <rPr>
            <sz val="9"/>
            <color indexed="81"/>
            <rFont val="Tahoma"/>
            <family val="2"/>
          </rPr>
          <t xml:space="preserve">
Exclulded commercial recycle</t>
        </r>
      </text>
    </comment>
  </commentList>
</comments>
</file>

<file path=xl/comments6.xml><?xml version="1.0" encoding="utf-8"?>
<comments xmlns="http://schemas.openxmlformats.org/spreadsheetml/2006/main">
  <authors>
    <author>Heather Garland</author>
    <author>WCNX</author>
    <author>Laura Kapuscinski</author>
  </authors>
  <commentList>
    <comment ref="AM1" authorId="0">
      <text>
        <r>
          <rPr>
            <b/>
            <sz val="9"/>
            <color indexed="81"/>
            <rFont val="Tahoma"/>
            <family val="2"/>
          </rPr>
          <t>Heather Garland:</t>
        </r>
        <r>
          <rPr>
            <sz val="9"/>
            <color indexed="81"/>
            <rFont val="Tahoma"/>
            <family val="2"/>
          </rPr>
          <t xml:space="preserve">
Plug to balance.</t>
        </r>
      </text>
    </comment>
    <comment ref="H5" authorId="1">
      <text>
        <r>
          <rPr>
            <b/>
            <sz val="8"/>
            <color indexed="81"/>
            <rFont val="Tahoma"/>
            <family val="2"/>
          </rPr>
          <t>WCNX:</t>
        </r>
        <r>
          <rPr>
            <sz val="8"/>
            <color indexed="81"/>
            <rFont val="Tahoma"/>
            <family val="2"/>
          </rPr>
          <t xml:space="preserve">
Populate using the "Data" tab, which is derived from the Monthly Revenue Booking tool.</t>
        </r>
      </text>
    </comment>
    <comment ref="F6" authorId="2">
      <text>
        <r>
          <rPr>
            <b/>
            <sz val="9"/>
            <color indexed="81"/>
            <rFont val="Tahoma"/>
            <family val="2"/>
          </rPr>
          <t>Laura Kapuscinski:</t>
        </r>
        <r>
          <rPr>
            <sz val="9"/>
            <color indexed="81"/>
            <rFont val="Tahoma"/>
            <family val="2"/>
          </rPr>
          <t xml:space="preserve">
Resi &amp; MF recycle rates rolled back effective July 1 2018</t>
        </r>
      </text>
    </comment>
  </commentList>
</comments>
</file>

<file path=xl/comments7.xml><?xml version="1.0" encoding="utf-8"?>
<comments xmlns="http://schemas.openxmlformats.org/spreadsheetml/2006/main">
  <authors>
    <author>WCNX</author>
    <author>Heather Garland</author>
    <author>Laura Kapuscinski</author>
  </authors>
  <commentList>
    <comment ref="D1" authorId="0">
      <text>
        <r>
          <rPr>
            <b/>
            <sz val="8"/>
            <color indexed="81"/>
            <rFont val="Tahoma"/>
            <family val="2"/>
          </rPr>
          <t>WCNX:</t>
        </r>
        <r>
          <rPr>
            <sz val="8"/>
            <color indexed="81"/>
            <rFont val="Tahoma"/>
            <family val="2"/>
          </rPr>
          <t xml:space="preserve">
Includes Rural bill area. Billed at Rural Tariff rates.</t>
        </r>
      </text>
    </comment>
    <comment ref="AK2" authorId="1">
      <text>
        <r>
          <rPr>
            <b/>
            <sz val="9"/>
            <color indexed="81"/>
            <rFont val="Tahoma"/>
            <family val="2"/>
          </rPr>
          <t>Heather Garland:</t>
        </r>
        <r>
          <rPr>
            <sz val="9"/>
            <color indexed="81"/>
            <rFont val="Tahoma"/>
            <family val="2"/>
          </rPr>
          <t xml:space="preserve">
We are combining the Pacific and Rural Tariffs.  The Pacific rates are lower, so we are using that as the starting rate for the Rural cutomers.  This calculation shows the revenue impact of re-setting the Rural rates to the lower Pacific rates.</t>
        </r>
      </text>
    </comment>
    <comment ref="H5" authorId="0">
      <text>
        <r>
          <rPr>
            <b/>
            <sz val="8"/>
            <color indexed="81"/>
            <rFont val="Tahoma"/>
            <family val="2"/>
          </rPr>
          <t>WCNX:</t>
        </r>
        <r>
          <rPr>
            <sz val="8"/>
            <color indexed="81"/>
            <rFont val="Tahoma"/>
            <family val="2"/>
          </rPr>
          <t xml:space="preserve">
Populate using the "Data" tab, which is derived from the Monthly Revenue Booking tool.</t>
        </r>
      </text>
    </comment>
    <comment ref="F6" authorId="2">
      <text>
        <r>
          <rPr>
            <b/>
            <sz val="9"/>
            <color indexed="81"/>
            <rFont val="Tahoma"/>
            <family val="2"/>
          </rPr>
          <t>Laura Kapuscinski:</t>
        </r>
        <r>
          <rPr>
            <sz val="9"/>
            <color indexed="81"/>
            <rFont val="Tahoma"/>
            <family val="2"/>
          </rPr>
          <t xml:space="preserve">
Resi &amp; MF recycle rates rolled back effective July 1 2018</t>
        </r>
      </text>
    </comment>
  </commentList>
</comments>
</file>

<file path=xl/comments8.xml><?xml version="1.0" encoding="utf-8"?>
<comments xmlns="http://schemas.openxmlformats.org/spreadsheetml/2006/main">
  <authors>
    <author>Heather Garland</author>
  </authors>
  <commentList>
    <comment ref="B240"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282"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283"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23"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39"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40"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41"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50"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51"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 ref="B352" authorId="0">
      <text>
        <r>
          <rPr>
            <b/>
            <sz val="9"/>
            <color indexed="81"/>
            <rFont val="Tahoma"/>
            <family val="2"/>
          </rPr>
          <t>Heather Garland:</t>
        </r>
        <r>
          <rPr>
            <sz val="9"/>
            <color indexed="81"/>
            <rFont val="Tahoma"/>
            <family val="2"/>
          </rPr>
          <t xml:space="preserve">
This rate should be stated per pick-up.  It currently appears to be monthly in the tariff.</t>
        </r>
      </text>
    </comment>
  </commentList>
</comments>
</file>

<file path=xl/comments9.xml><?xml version="1.0" encoding="utf-8"?>
<comments xmlns="http://schemas.openxmlformats.org/spreadsheetml/2006/main">
  <authors>
    <author>Heather Garland</author>
    <author>Lindsay Waldram</author>
    <author>Jennifer Bergheim</author>
  </authors>
  <commentList>
    <comment ref="N13" authorId="0">
      <text>
        <r>
          <rPr>
            <b/>
            <sz val="9"/>
            <color indexed="81"/>
            <rFont val="Tahoma"/>
            <family val="2"/>
          </rPr>
          <t>Heather Garland:</t>
        </r>
        <r>
          <rPr>
            <sz val="9"/>
            <color indexed="81"/>
            <rFont val="Tahoma"/>
            <family val="2"/>
          </rPr>
          <t xml:space="preserve">
Union emloyees will receive a 3.8% increase per the  new Union agreement.  Other employees will receive the 2.5% budgeted and management approved wage increase.</t>
        </r>
      </text>
    </comment>
    <comment ref="D194" authorId="1">
      <text>
        <r>
          <rPr>
            <b/>
            <sz val="9"/>
            <color indexed="81"/>
            <rFont val="Tahoma"/>
            <family val="2"/>
          </rPr>
          <t>Lindsay Waldram:</t>
        </r>
        <r>
          <rPr>
            <sz val="9"/>
            <color indexed="81"/>
            <rFont val="Tahoma"/>
            <family val="2"/>
          </rPr>
          <t xml:space="preserve">
Driver on light duty so they used as CSR</t>
        </r>
      </text>
    </comment>
    <comment ref="Q227" authorId="2">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sharedStrings.xml><?xml version="1.0" encoding="utf-8"?>
<sst xmlns="http://schemas.openxmlformats.org/spreadsheetml/2006/main" count="15507" uniqueCount="3128">
  <si>
    <t>Consolidated Income Statement</t>
  </si>
  <si>
    <t>Revenue:</t>
  </si>
  <si>
    <t>Residential</t>
  </si>
  <si>
    <t>Recycling</t>
  </si>
  <si>
    <t>Yard Waste</t>
  </si>
  <si>
    <t>Comm Containers</t>
  </si>
  <si>
    <t>Drop Box</t>
  </si>
  <si>
    <t>Pass Thru</t>
  </si>
  <si>
    <t>TF Station</t>
  </si>
  <si>
    <t>Comm Recycling</t>
  </si>
  <si>
    <t>Recycling Material</t>
  </si>
  <si>
    <t>Service Charge</t>
  </si>
  <si>
    <t>P-Card Revenue</t>
  </si>
  <si>
    <t>Total</t>
  </si>
  <si>
    <t>Expenses:</t>
  </si>
  <si>
    <t>Building Supplies</t>
  </si>
  <si>
    <t>Repair-Shop, Bldg</t>
  </si>
  <si>
    <t>Salaries</t>
  </si>
  <si>
    <t>Wages-Regular</t>
  </si>
  <si>
    <t>Wages-OT</t>
  </si>
  <si>
    <t>Safety Bonus</t>
  </si>
  <si>
    <t>Vacation Pay</t>
  </si>
  <si>
    <t>Sick Pay</t>
  </si>
  <si>
    <t>Wages Mechanics</t>
  </si>
  <si>
    <t>Wages Regular</t>
  </si>
  <si>
    <t>Wages O.T.</t>
  </si>
  <si>
    <t>Safety Bonuses</t>
  </si>
  <si>
    <t>Contract Labor</t>
  </si>
  <si>
    <t>Wages Container Mechanics</t>
  </si>
  <si>
    <t>Parts &amp; Materials</t>
  </si>
  <si>
    <t>Operating Suppies</t>
  </si>
  <si>
    <t>Equipment &amp; Maint Rep</t>
  </si>
  <si>
    <t>Total Parts &amp; Materials</t>
  </si>
  <si>
    <t>Outside Repair</t>
  </si>
  <si>
    <t>Damage Paid by District</t>
  </si>
  <si>
    <t>Ins Claims Repairs</t>
  </si>
  <si>
    <t>Accident Repair</t>
  </si>
  <si>
    <t>Tires &amp; Tubes</t>
  </si>
  <si>
    <t>Safety &amp; Training</t>
  </si>
  <si>
    <t>Uniforms</t>
  </si>
  <si>
    <t>Allocated Exp In - District</t>
  </si>
  <si>
    <t>Towing</t>
  </si>
  <si>
    <t>Drive Cam Fees</t>
  </si>
  <si>
    <t>Miscellaneous</t>
  </si>
  <si>
    <t>Utilities</t>
  </si>
  <si>
    <t>Freight</t>
  </si>
  <si>
    <t xml:space="preserve">Other Maint </t>
  </si>
  <si>
    <t>Salaries-Supervisor</t>
  </si>
  <si>
    <t>Wages-Supervisor</t>
  </si>
  <si>
    <t>Wages OT</t>
  </si>
  <si>
    <t>Total Driver Wages</t>
  </si>
  <si>
    <t>Fuel Expense</t>
  </si>
  <si>
    <t>Urea Additive Expense</t>
  </si>
  <si>
    <t>Oil and Grease</t>
  </si>
  <si>
    <t>Total Fuel and Oil</t>
  </si>
  <si>
    <t>Brokerage Cost</t>
  </si>
  <si>
    <t>Brokerage Cost IC</t>
  </si>
  <si>
    <t>Cost of Materials - Other</t>
  </si>
  <si>
    <t>Cost of Materials - IC</t>
  </si>
  <si>
    <t>Travel</t>
  </si>
  <si>
    <t>Safety and Training</t>
  </si>
  <si>
    <t>Employee Comm Activity</t>
  </si>
  <si>
    <t>Operating Supplies</t>
  </si>
  <si>
    <t>Other Prof Fees</t>
  </si>
  <si>
    <t>Penalties</t>
  </si>
  <si>
    <t>Monitoring</t>
  </si>
  <si>
    <t>Other Collection Exp</t>
  </si>
  <si>
    <t>Disposal Landfill</t>
  </si>
  <si>
    <t>Disposal Landfill Intercompany</t>
  </si>
  <si>
    <t>Other Disposal</t>
  </si>
  <si>
    <t>Disposal Transfer Interco</t>
  </si>
  <si>
    <t>Dump Fee and Charges</t>
  </si>
  <si>
    <t>Processing Fee</t>
  </si>
  <si>
    <t>Processing Fee - Intercompany</t>
  </si>
  <si>
    <t>Bonuses and Commissions</t>
  </si>
  <si>
    <t>Group Insurance</t>
  </si>
  <si>
    <t>Postage</t>
  </si>
  <si>
    <t>Entertainment</t>
  </si>
  <si>
    <t>Sales</t>
  </si>
  <si>
    <t>UTC Fee</t>
  </si>
  <si>
    <t>WUTC Fee</t>
  </si>
  <si>
    <t>Dues and Subscriptions</t>
  </si>
  <si>
    <t>Advertising &amp; Promotion</t>
  </si>
  <si>
    <t>Advertising</t>
  </si>
  <si>
    <t>Advertising Exp</t>
  </si>
  <si>
    <t>Self Insurance Premium</t>
  </si>
  <si>
    <t>Current Year Claims</t>
  </si>
  <si>
    <t>Prior Year Claims</t>
  </si>
  <si>
    <t>Public Liability</t>
  </si>
  <si>
    <t>WC Current Year Claims</t>
  </si>
  <si>
    <t>WC Prior Year Claims</t>
  </si>
  <si>
    <t>WC Premium</t>
  </si>
  <si>
    <t>Bond Exp-WC</t>
  </si>
  <si>
    <t>Workmen's Comp</t>
  </si>
  <si>
    <t>Corp Allocated Bonus</t>
  </si>
  <si>
    <t>Bonuses</t>
  </si>
  <si>
    <t>Vacation</t>
  </si>
  <si>
    <t>Sick Leave</t>
  </si>
  <si>
    <t>Salaries-Office</t>
  </si>
  <si>
    <t>Corp OH Allocation</t>
  </si>
  <si>
    <t>Management Fee</t>
  </si>
  <si>
    <t>Office Suppies</t>
  </si>
  <si>
    <t>Equipment Vehicle Rental</t>
  </si>
  <si>
    <t>Security Services</t>
  </si>
  <si>
    <t>Customer Notification</t>
  </si>
  <si>
    <t>Credit Card Fees</t>
  </si>
  <si>
    <t>Bank Charges</t>
  </si>
  <si>
    <t>Data Processing</t>
  </si>
  <si>
    <t>Computer Software</t>
  </si>
  <si>
    <t>Computer Suppies</t>
  </si>
  <si>
    <t>Credit and Collection</t>
  </si>
  <si>
    <t>Office &amp; Other Exp</t>
  </si>
  <si>
    <t>Legal</t>
  </si>
  <si>
    <t>Legal &amp; Accounting</t>
  </si>
  <si>
    <t>Communication</t>
  </si>
  <si>
    <t>Cell Phone</t>
  </si>
  <si>
    <t>Union Benefit Expense</t>
  </si>
  <si>
    <t>Employee Welfare</t>
  </si>
  <si>
    <t>Pension</t>
  </si>
  <si>
    <t>Union Pension</t>
  </si>
  <si>
    <t>Pension and Profit Sharing</t>
  </si>
  <si>
    <t>Bad Debt Provision</t>
  </si>
  <si>
    <t>Bad Debts</t>
  </si>
  <si>
    <t>Subcontract Exp</t>
  </si>
  <si>
    <t>Termination Pay</t>
  </si>
  <si>
    <t>Safety &amp; Taining</t>
  </si>
  <si>
    <t>WCN Training</t>
  </si>
  <si>
    <t>Employee Relocation</t>
  </si>
  <si>
    <t>Contributions</t>
  </si>
  <si>
    <t>Political Contribution</t>
  </si>
  <si>
    <t>Alloc Exp In Distr</t>
  </si>
  <si>
    <t>Equipment Rental</t>
  </si>
  <si>
    <t>Registration Fee</t>
  </si>
  <si>
    <t>Dues &amp; Subscriptions</t>
  </si>
  <si>
    <t>Club Dues</t>
  </si>
  <si>
    <t>Excursion Meetings</t>
  </si>
  <si>
    <t>Lodging</t>
  </si>
  <si>
    <t>Travel Auto</t>
  </si>
  <si>
    <t xml:space="preserve"> Meals</t>
  </si>
  <si>
    <t>Meals with Customers</t>
  </si>
  <si>
    <t>External Recruiter Fees</t>
  </si>
  <si>
    <t>Recruitment Advertising &amp; Expenses</t>
  </si>
  <si>
    <t>Recruitment Travel Expenses</t>
  </si>
  <si>
    <t>Other Professional Fees</t>
  </si>
  <si>
    <t>Penalties and Violations</t>
  </si>
  <si>
    <t>Coffee Bar</t>
  </si>
  <si>
    <t>Permits</t>
  </si>
  <si>
    <t>Interest Expense</t>
  </si>
  <si>
    <t>Other General Expenses</t>
  </si>
  <si>
    <t>Depreciation Trks</t>
  </si>
  <si>
    <t>Depreciation Cont, DB</t>
  </si>
  <si>
    <t>Depreciation Service</t>
  </si>
  <si>
    <t>Depreciation Shop</t>
  </si>
  <si>
    <t>Depreciation Office</t>
  </si>
  <si>
    <t>Buildings (Structures)</t>
  </si>
  <si>
    <t>Leasehold Improvements</t>
  </si>
  <si>
    <t>Amortization</t>
  </si>
  <si>
    <t>Sale of Asset</t>
  </si>
  <si>
    <t>Rebate &amp; Rev Sharing</t>
  </si>
  <si>
    <t>Other Taxes</t>
  </si>
  <si>
    <t>Operating Tax &amp; Lic</t>
  </si>
  <si>
    <t>Taxes &amp; Pass Thru Fees</t>
  </si>
  <si>
    <t>State Excise Tax</t>
  </si>
  <si>
    <t>Licenses</t>
  </si>
  <si>
    <t>Vehicle Licenses</t>
  </si>
  <si>
    <t>Property Tax</t>
  </si>
  <si>
    <t>Payroll Taxes</t>
  </si>
  <si>
    <t>Real Estate Rental</t>
  </si>
  <si>
    <t>Rent-Land, Structures</t>
  </si>
  <si>
    <t>Long Term Contr Amort</t>
  </si>
  <si>
    <t>Total Amort</t>
  </si>
  <si>
    <t>Unusual Gain/(Loss)</t>
  </si>
  <si>
    <t>Operating Ratio</t>
  </si>
  <si>
    <t>Net Income (Loss)</t>
  </si>
  <si>
    <t>Revenue</t>
  </si>
  <si>
    <t>Acct</t>
  </si>
  <si>
    <t>AcctName</t>
  </si>
  <si>
    <t>Act(-11)</t>
  </si>
  <si>
    <t>Act(-10)</t>
  </si>
  <si>
    <t>Act(-9)</t>
  </si>
  <si>
    <t>Act(-8)</t>
  </si>
  <si>
    <t>Act(-7)</t>
  </si>
  <si>
    <t>Act(-6)</t>
  </si>
  <si>
    <t>Act(-5)</t>
  </si>
  <si>
    <t>Act(-4)</t>
  </si>
  <si>
    <t>Act(-3)</t>
  </si>
  <si>
    <t>Act(-2)</t>
  </si>
  <si>
    <t>Act(-1)</t>
  </si>
  <si>
    <t>Act</t>
  </si>
  <si>
    <t>Waste Connections, Inc.</t>
  </si>
  <si>
    <t>Districts/Grouping:</t>
  </si>
  <si>
    <t>2183</t>
  </si>
  <si>
    <t>Exclude IC:</t>
  </si>
  <si>
    <t>IS 210 - PL Review</t>
  </si>
  <si>
    <t/>
  </si>
  <si>
    <t>System:</t>
  </si>
  <si>
    <t>Hauling Revenue - Roll Off Permanent</t>
  </si>
  <si>
    <t>Hauling Revenue - Roll Off Temporary</t>
  </si>
  <si>
    <t>Hauling Revenue - Roll Off Rental</t>
  </si>
  <si>
    <t>Hauling Revenue - Roll Off Recycling</t>
  </si>
  <si>
    <t>Hauling Revenue - Roll Off Extras</t>
  </si>
  <si>
    <t>Hauling Revenue - Residential MSW</t>
  </si>
  <si>
    <t>Hauling Revenue - Residential MSW Extras</t>
  </si>
  <si>
    <t>Hauling Revenue - Residential Recycling</t>
  </si>
  <si>
    <t>Hauling Revenue - Residential Composting</t>
  </si>
  <si>
    <t>Hauling Revenue - Commercial FEL</t>
  </si>
  <si>
    <t>Hauling Revenue - Commercial FEL Extras</t>
  </si>
  <si>
    <t>Hauling Revenue - Commercial Recycling F</t>
  </si>
  <si>
    <t>Hauling Revenue</t>
  </si>
  <si>
    <t>MRF Processing Charge Intercompany</t>
  </si>
  <si>
    <t>Transfer and MRF</t>
  </si>
  <si>
    <t>Recycling Proceeds</t>
  </si>
  <si>
    <t>Landfill Revenue</t>
  </si>
  <si>
    <t>Intermodal</t>
  </si>
  <si>
    <t>Other Revenue</t>
  </si>
  <si>
    <t>Disposal Other</t>
  </si>
  <si>
    <t>Disposal</t>
  </si>
  <si>
    <t>Processing Fees MRF Intercompany</t>
  </si>
  <si>
    <t>MRF Processing</t>
  </si>
  <si>
    <t>Rebates and Revenue Sharing</t>
  </si>
  <si>
    <t>Taxes and Pass Thru Fees</t>
  </si>
  <si>
    <t>WUTC Taxes</t>
  </si>
  <si>
    <t>Brok. and Taxes</t>
  </si>
  <si>
    <t>Cost of Materials - Other Recyclables</t>
  </si>
  <si>
    <t>Cost of Materials</t>
  </si>
  <si>
    <t>Other Expense</t>
  </si>
  <si>
    <t>Rev Reductions</t>
  </si>
  <si>
    <t>Net Revenue</t>
  </si>
  <si>
    <t>Other Bonus/Commission - Non-Safety</t>
  </si>
  <si>
    <t>Labor</t>
  </si>
  <si>
    <t>Truck Fixed</t>
  </si>
  <si>
    <t>Parts and Materials</t>
  </si>
  <si>
    <t>Equipment and Maint Repair</t>
  </si>
  <si>
    <t>Tires</t>
  </si>
  <si>
    <t>Outside Repairs</t>
  </si>
  <si>
    <t>Communications</t>
  </si>
  <si>
    <t>Towing Expense</t>
  </si>
  <si>
    <t>Office Supply and Equip</t>
  </si>
  <si>
    <t>Truck Variable</t>
  </si>
  <si>
    <t>Container Exp</t>
  </si>
  <si>
    <t>Empl &amp; Commun Activ</t>
  </si>
  <si>
    <t>Superv. Ex</t>
  </si>
  <si>
    <t>Bldg &amp; Property</t>
  </si>
  <si>
    <t>Property Taxes</t>
  </si>
  <si>
    <t>Bonds Expense</t>
  </si>
  <si>
    <t>Other Operating</t>
  </si>
  <si>
    <t>Closure Exp</t>
  </si>
  <si>
    <t>A&amp;L - Current Year Claims</t>
  </si>
  <si>
    <t>A&amp;L - Prior Year Claims</t>
  </si>
  <si>
    <t>WC - Current Year Claims</t>
  </si>
  <si>
    <t>WC - Prior Year Claims</t>
  </si>
  <si>
    <t>Damages paid by District</t>
  </si>
  <si>
    <t>Workers Comp Prem</t>
  </si>
  <si>
    <t>Insurance Exp</t>
  </si>
  <si>
    <t>Gain/Loss on Sale of Asset</t>
  </si>
  <si>
    <t>G/L on Ops</t>
  </si>
  <si>
    <t>Cost of Ops</t>
  </si>
  <si>
    <t>Gross Profit</t>
  </si>
  <si>
    <t>Advertising and Promotions</t>
  </si>
  <si>
    <t>Sales Exp</t>
  </si>
  <si>
    <t>Cellular Telephone</t>
  </si>
  <si>
    <t>Excursions Meetings</t>
  </si>
  <si>
    <t>Travel - Auto</t>
  </si>
  <si>
    <t>Meals</t>
  </si>
  <si>
    <t>Office Supplies and Equip</t>
  </si>
  <si>
    <t>Computer Supplies</t>
  </si>
  <si>
    <t>G&amp;A</t>
  </si>
  <si>
    <t>Corporate Overhead Allocation In</t>
  </si>
  <si>
    <t>Corp Overhead</t>
  </si>
  <si>
    <t>Total SG&amp;A</t>
  </si>
  <si>
    <t>EBITDA</t>
  </si>
  <si>
    <t>Watch list EBITDA</t>
  </si>
  <si>
    <t>Depreciation</t>
  </si>
  <si>
    <t>Airspace Amort</t>
  </si>
  <si>
    <t>Intangible Amort</t>
  </si>
  <si>
    <t>Total DDA</t>
  </si>
  <si>
    <t>EBIT From Ops</t>
  </si>
  <si>
    <t>Interest Exp</t>
  </si>
  <si>
    <t>Interest Income</t>
  </si>
  <si>
    <t>Other Inc/Exp</t>
  </si>
  <si>
    <t>NI b/ Taxes &amp; Extra</t>
  </si>
  <si>
    <t>Extra. Items</t>
  </si>
  <si>
    <t>NI b/ Taxes</t>
  </si>
  <si>
    <t>Taxes</t>
  </si>
  <si>
    <t>Net Income</t>
  </si>
  <si>
    <t>Non Controlling Int</t>
  </si>
  <si>
    <t>Net Income Attrib</t>
  </si>
  <si>
    <t>Data Not Included</t>
  </si>
  <si>
    <t>Check</t>
  </si>
  <si>
    <t>2184</t>
  </si>
  <si>
    <t>Transfer Station - Third Party</t>
  </si>
  <si>
    <t>MRF Processing Charge</t>
  </si>
  <si>
    <t>Proceeds - OCC</t>
  </si>
  <si>
    <t>Proceeds - ONP</t>
  </si>
  <si>
    <t>Proceeds - Glass</t>
  </si>
  <si>
    <t>Brokerage Cost Intercompany</t>
  </si>
  <si>
    <t>Cost of Materials - Intercompany</t>
  </si>
  <si>
    <t>Monitoring and Maint</t>
  </si>
  <si>
    <t>Long Term Contract Amort</t>
  </si>
  <si>
    <t>2185</t>
  </si>
  <si>
    <t>Subcontract Expense</t>
  </si>
  <si>
    <t>Adjusted</t>
  </si>
  <si>
    <t>Ratios/Actual</t>
  </si>
  <si>
    <t xml:space="preserve">Allocated </t>
  </si>
  <si>
    <t>Pacific-Rural</t>
  </si>
  <si>
    <t>Pacific</t>
  </si>
  <si>
    <t>Rural</t>
  </si>
  <si>
    <t>Regulated</t>
  </si>
  <si>
    <t>MF Recycling</t>
  </si>
  <si>
    <t>Rural/Pacific</t>
  </si>
  <si>
    <t>Com Recycl</t>
  </si>
  <si>
    <t>Shredding</t>
  </si>
  <si>
    <t xml:space="preserve"> </t>
  </si>
  <si>
    <t>Commercial Cont</t>
  </si>
  <si>
    <t>Com Recycling</t>
  </si>
  <si>
    <t>Long Haul</t>
  </si>
  <si>
    <t>Comm Recycl</t>
  </si>
  <si>
    <t>Residential/Comm</t>
  </si>
  <si>
    <t>Roll-off</t>
  </si>
  <si>
    <t>RO Recycl</t>
  </si>
  <si>
    <t>TF Station/LH</t>
  </si>
  <si>
    <t>Total Hours</t>
  </si>
  <si>
    <t>Linked 7-at Fredrickson</t>
  </si>
  <si>
    <t>Depreciation:</t>
  </si>
  <si>
    <t>Trucks:</t>
  </si>
  <si>
    <t>Route</t>
  </si>
  <si>
    <t>Depr Schedule</t>
  </si>
  <si>
    <t>RO</t>
  </si>
  <si>
    <t>Containers:</t>
  </si>
  <si>
    <t>Container/Carts</t>
  </si>
  <si>
    <t xml:space="preserve">Service </t>
  </si>
  <si>
    <t>Shop</t>
  </si>
  <si>
    <t>Office</t>
  </si>
  <si>
    <t>TFS Equipment</t>
  </si>
  <si>
    <t>Leasehold Impr</t>
  </si>
  <si>
    <t>Allocation</t>
  </si>
  <si>
    <t>Building</t>
  </si>
  <si>
    <t>Rt Hrs</t>
  </si>
  <si>
    <t>Average Investment</t>
  </si>
  <si>
    <t>Land</t>
  </si>
  <si>
    <t>Total Customers</t>
  </si>
  <si>
    <t>Cust Cnt</t>
  </si>
  <si>
    <t>Packer Routes</t>
  </si>
  <si>
    <t>Total Rt Hrs</t>
  </si>
  <si>
    <t>Percent</t>
  </si>
  <si>
    <t>Rt Hours</t>
  </si>
  <si>
    <t>Depr</t>
  </si>
  <si>
    <t>Garbage Carts</t>
  </si>
  <si>
    <t>Actual</t>
  </si>
  <si>
    <t>RT Hrs-Garb/Recycl</t>
  </si>
  <si>
    <t>Rt Hrs-Actual</t>
  </si>
  <si>
    <t>Tons</t>
  </si>
  <si>
    <t>Cust Cnt-Actual</t>
  </si>
  <si>
    <t>MRF Equipment</t>
  </si>
  <si>
    <t>ROE</t>
  </si>
  <si>
    <t>Revenue Requirement</t>
  </si>
  <si>
    <t>@EXP(5.72260-(.68367*@LN(T)))</t>
  </si>
  <si>
    <t>@EXP(5.70827-(.68367*@LN(T)))</t>
  </si>
  <si>
    <t>@EXP(5.69850-(.68367*@LN(T)))</t>
  </si>
  <si>
    <t>@EXP(5.69220-(.68367*@LN(T)))</t>
  </si>
  <si>
    <t xml:space="preserve"> B &amp; O Tax</t>
  </si>
  <si>
    <t xml:space="preserve"> WUTC Fee</t>
  </si>
  <si>
    <t>Tax Rate</t>
  </si>
  <si>
    <t xml:space="preserve"> Bad Debts</t>
  </si>
  <si>
    <t>Revenue Sensitive</t>
  </si>
  <si>
    <t>Conversion Factor</t>
  </si>
  <si>
    <t>Depreciation Summary -2183</t>
  </si>
  <si>
    <t>Rural Garbage Service &amp;</t>
  </si>
  <si>
    <t>Pacific Disposal and Butlers Cove Refuse Service</t>
  </si>
  <si>
    <t>Beginning</t>
  </si>
  <si>
    <t>Ending</t>
  </si>
  <si>
    <t>Average</t>
  </si>
  <si>
    <t>Equipment</t>
  </si>
  <si>
    <t>Cost</t>
  </si>
  <si>
    <t>Salvage</t>
  </si>
  <si>
    <t>Test Year</t>
  </si>
  <si>
    <t>Accum Depr</t>
  </si>
  <si>
    <t>Investment</t>
  </si>
  <si>
    <t>Trucks</t>
  </si>
  <si>
    <t>Garbage</t>
  </si>
  <si>
    <t>Roll Off</t>
  </si>
  <si>
    <t>Commercial Recycle</t>
  </si>
  <si>
    <t>Total Trucks</t>
  </si>
  <si>
    <t>Garbage Containers</t>
  </si>
  <si>
    <t>Drop Boxes</t>
  </si>
  <si>
    <t>Recycling Carts</t>
  </si>
  <si>
    <t xml:space="preserve">Yard Waste </t>
  </si>
  <si>
    <t>Total Cont, Carts,Totes</t>
  </si>
  <si>
    <t>Service Equipment</t>
  </si>
  <si>
    <t>Shop Equipment</t>
  </si>
  <si>
    <t>Office Equipment</t>
  </si>
  <si>
    <t>Total other Equipment</t>
  </si>
  <si>
    <t>Total Equipment</t>
  </si>
  <si>
    <t>Difference</t>
  </si>
  <si>
    <t>Category</t>
  </si>
  <si>
    <t>[Fixed][Acct]='98501'</t>
  </si>
  <si>
    <t>IS Hauling</t>
  </si>
  <si>
    <t>[!DetailRow]</t>
  </si>
  <si>
    <t>Hauling Revenue - Commercial Recycling R</t>
  </si>
  <si>
    <t>IS Transfer</t>
  </si>
  <si>
    <t>IS MRF</t>
  </si>
  <si>
    <t>IS Landfill</t>
  </si>
  <si>
    <t>IS Intermodal</t>
  </si>
  <si>
    <t>IS Other Revenue</t>
  </si>
  <si>
    <t>IS Disposal</t>
  </si>
  <si>
    <t>IS MRF Processing</t>
  </si>
  <si>
    <t>IS BRT</t>
  </si>
  <si>
    <t>IS Recycling Mat</t>
  </si>
  <si>
    <t>IS Other Expense</t>
  </si>
  <si>
    <t>IS Labor</t>
  </si>
  <si>
    <t>IS Fixed Equipment</t>
  </si>
  <si>
    <t>IS Truck Variable</t>
  </si>
  <si>
    <t>IS Container</t>
  </si>
  <si>
    <t>IS Supervisor</t>
  </si>
  <si>
    <t>IS OtherOpExp</t>
  </si>
  <si>
    <t>IS Insurance</t>
  </si>
  <si>
    <t>IS OpDisposal</t>
  </si>
  <si>
    <t>IS Sales</t>
  </si>
  <si>
    <t>IS G&amp;A</t>
  </si>
  <si>
    <t>Political Contributions</t>
  </si>
  <si>
    <t>IS Overhead</t>
  </si>
  <si>
    <t>IS Depreciation</t>
  </si>
  <si>
    <t>IS Depletion</t>
  </si>
  <si>
    <t>IS Amort</t>
  </si>
  <si>
    <t>IS Interest</t>
  </si>
  <si>
    <t>IS Interest Income</t>
  </si>
  <si>
    <t>IS OtherIncExp</t>
  </si>
  <si>
    <t>IS Extraordinary</t>
  </si>
  <si>
    <t>IS Taxes</t>
  </si>
  <si>
    <t>IS NoncontrollingExp</t>
  </si>
  <si>
    <t>[Leftovers]</t>
  </si>
  <si>
    <t>Processing Fees MRF</t>
  </si>
  <si>
    <t>Drive Cam &amp; Routing SW Fees</t>
  </si>
  <si>
    <t>Costs Awaiting Capitalization</t>
  </si>
  <si>
    <t>Disposal Transfer Station Intercompany</t>
  </si>
  <si>
    <t>P-Card Rebate Revenue</t>
  </si>
  <si>
    <t>Days - Weekdays</t>
  </si>
  <si>
    <t>Resi Recycle</t>
  </si>
  <si>
    <t>Equipment/Truck Rodeo</t>
  </si>
  <si>
    <t>Insurance claim repairs</t>
  </si>
  <si>
    <t>Support - OCC</t>
  </si>
  <si>
    <t>Public Companies</t>
  </si>
  <si>
    <t>Public Co</t>
  </si>
  <si>
    <r>
      <t xml:space="preserve">LURITO - GALLAGHER FORMULA  MODEL 2018  </t>
    </r>
    <r>
      <rPr>
        <sz val="8"/>
        <color indexed="9"/>
        <rFont val="Calibri"/>
        <family val="2"/>
      </rPr>
      <t>V5.0a</t>
    </r>
  </si>
  <si>
    <t>CALCULATION TABLES</t>
  </si>
  <si>
    <t>Revenue Senstive Taxes (RevS)</t>
  </si>
  <si>
    <t>(b) + (c)</t>
  </si>
  <si>
    <t>(d) + (e)</t>
  </si>
  <si>
    <t>Regession</t>
  </si>
  <si>
    <t>Hauler</t>
  </si>
  <si>
    <t>Revenue Req</t>
  </si>
  <si>
    <t xml:space="preserve">Revenue </t>
  </si>
  <si>
    <t>INPUTS - Test Year</t>
  </si>
  <si>
    <t>(a)</t>
  </si>
  <si>
    <t>(b)</t>
  </si>
  <si>
    <t>(c)</t>
  </si>
  <si>
    <t>(d)</t>
  </si>
  <si>
    <t>(e)</t>
  </si>
  <si>
    <t>(f)</t>
  </si>
  <si>
    <t>Before Tax</t>
  </si>
  <si>
    <t>Less</t>
  </si>
  <si>
    <t>After Tax</t>
  </si>
  <si>
    <t>Flotation Costs</t>
  </si>
  <si>
    <t>Weighted Cost</t>
  </si>
  <si>
    <t>Before RevS</t>
  </si>
  <si>
    <t xml:space="preserve"> Increase Before</t>
  </si>
  <si>
    <t>Increase After</t>
  </si>
  <si>
    <t xml:space="preserve">RevS </t>
  </si>
  <si>
    <t xml:space="preserve">Total </t>
  </si>
  <si>
    <t>Operating Revenue</t>
  </si>
  <si>
    <t>Line</t>
  </si>
  <si>
    <t>Historical</t>
  </si>
  <si>
    <t>Proforma</t>
  </si>
  <si>
    <t xml:space="preserve">Add: Revenue </t>
  </si>
  <si>
    <t>Profit Ratio</t>
  </si>
  <si>
    <t>BTROI</t>
  </si>
  <si>
    <t>WCDebt</t>
  </si>
  <si>
    <t>BTROE</t>
  </si>
  <si>
    <t>Basis Points</t>
  </si>
  <si>
    <t>Equity</t>
  </si>
  <si>
    <t>Equity BFT</t>
  </si>
  <si>
    <t>Debt</t>
  </si>
  <si>
    <t>BTROR</t>
  </si>
  <si>
    <t>RevS Taxes</t>
  </si>
  <si>
    <t>Operating Expenses</t>
  </si>
  <si>
    <t>No.</t>
  </si>
  <si>
    <t>Change</t>
  </si>
  <si>
    <t>Sensitive Taxes</t>
  </si>
  <si>
    <t>Requirement</t>
  </si>
  <si>
    <t>Capital Structure-Debt %</t>
  </si>
  <si>
    <t>Capital Structure-Debt Rate</t>
  </si>
  <si>
    <t>Operating Income</t>
  </si>
  <si>
    <t>Federal Income Tax Rate</t>
  </si>
  <si>
    <t>2nd Iteration</t>
  </si>
  <si>
    <t>B&amp;O Tax Rate</t>
  </si>
  <si>
    <t>Income Tax Expense</t>
  </si>
  <si>
    <t>City Tax</t>
  </si>
  <si>
    <t>Basis Points - Flotation</t>
  </si>
  <si>
    <t>3rd Iteration</t>
  </si>
  <si>
    <t>Yes</t>
  </si>
  <si>
    <t xml:space="preserve">Operating Ratio </t>
  </si>
  <si>
    <t>Check when input is complete</t>
  </si>
  <si>
    <t>No</t>
  </si>
  <si>
    <t>For Intial input: Uncheck Checkbox Until Completed</t>
  </si>
  <si>
    <t>Historical Revenue</t>
  </si>
  <si>
    <t>Revenue Increase before taxes</t>
  </si>
  <si>
    <t>Rate Increase</t>
  </si>
  <si>
    <t>Rev Sensitive Taxes</t>
  </si>
  <si>
    <t>4th Iteration</t>
  </si>
  <si>
    <t>2018 Version Update Changes</t>
  </si>
  <si>
    <t>● Allows Income Tax Rate Changes,</t>
  </si>
  <si>
    <t>Captial Structure Financing Investment</t>
  </si>
  <si>
    <t>Financing Cost</t>
  </si>
  <si>
    <t>● Minimizes impact of changes in test-year revenue from</t>
  </si>
  <si>
    <t>Type</t>
  </si>
  <si>
    <t>Amount</t>
  </si>
  <si>
    <t>Cost of Capital</t>
  </si>
  <si>
    <t>Weighted</t>
  </si>
  <si>
    <t>5th Iteration</t>
  </si>
  <si>
    <t xml:space="preserve">   resulting revenue requirment,</t>
  </si>
  <si>
    <t>● Corrects interest rate transposition in LG.</t>
  </si>
  <si>
    <t>Before</t>
  </si>
  <si>
    <t>After</t>
  </si>
  <si>
    <t>6th Iteration</t>
  </si>
  <si>
    <t>Operating Statistics</t>
  </si>
  <si>
    <t>Income Tax</t>
  </si>
  <si>
    <t>Return on Investment</t>
  </si>
  <si>
    <t>Return on Equity</t>
  </si>
  <si>
    <t>7th Iteration</t>
  </si>
  <si>
    <t>Profit Margin</t>
  </si>
  <si>
    <t>Final turnover</t>
  </si>
  <si>
    <t>Revenue Sensitive Taxes Charges</t>
  </si>
  <si>
    <t>Curve</t>
  </si>
  <si>
    <t>Rate</t>
  </si>
  <si>
    <t>Lookup Table</t>
  </si>
  <si>
    <t xml:space="preserve"> City Tax</t>
  </si>
  <si>
    <t>Percent Chg</t>
  </si>
  <si>
    <t>Curve turnover</t>
  </si>
  <si>
    <t>Curve No. Used</t>
  </si>
  <si>
    <t>Base Utility from LG Sample Study</t>
  </si>
  <si>
    <t>Regression Results</t>
  </si>
  <si>
    <t>Y intercept (1)</t>
  </si>
  <si>
    <t>Y intercept (3)</t>
  </si>
  <si>
    <t>Y intercept (2)</t>
  </si>
  <si>
    <t>Y intercept (4)</t>
  </si>
  <si>
    <t>Pfd.</t>
  </si>
  <si>
    <t>Slope</t>
  </si>
  <si>
    <t>Pre-tax</t>
  </si>
  <si>
    <t>Proceeds - Intercompany Material Sales</t>
  </si>
  <si>
    <t>Property and Liability Insurance</t>
  </si>
  <si>
    <t>Non-Qualifying Operating Lease Expense</t>
  </si>
  <si>
    <t>UNADJUSTED FINANCIALS</t>
  </si>
  <si>
    <t>Total Per Books</t>
  </si>
  <si>
    <t>ADJUSTED BALANCE</t>
  </si>
  <si>
    <t>RESTATING ADJUSTMENTS</t>
  </si>
  <si>
    <t>PROFORMA ADUSTMENTS</t>
  </si>
  <si>
    <t>Adjusted Total</t>
  </si>
  <si>
    <t>Final Total</t>
  </si>
  <si>
    <t>Commercial Recycling</t>
  </si>
  <si>
    <t>ALLOCATED</t>
  </si>
  <si>
    <t>FINAL TOTAL</t>
  </si>
  <si>
    <t>Total Proforma Adjustments</t>
  </si>
  <si>
    <t>Total Adjusted Balance</t>
  </si>
  <si>
    <t>Route Hours</t>
  </si>
  <si>
    <t>Customer Counts</t>
  </si>
  <si>
    <t xml:space="preserve">Depreciation </t>
  </si>
  <si>
    <t>Rt Hrs 2183 &amp; 2185</t>
  </si>
  <si>
    <t>Restating Adjustments</t>
  </si>
  <si>
    <t>RS-1: Restate Revenue to Billing Records</t>
  </si>
  <si>
    <t>Restating Adjustment Summary</t>
  </si>
  <si>
    <t>RS-1</t>
  </si>
  <si>
    <t>RS-2</t>
  </si>
  <si>
    <t>RS-3</t>
  </si>
  <si>
    <t>RS-4</t>
  </si>
  <si>
    <t>RS-5</t>
  </si>
  <si>
    <t>RS-6</t>
  </si>
  <si>
    <t>RS-7</t>
  </si>
  <si>
    <t>RS-8</t>
  </si>
  <si>
    <t>Revenue Adjustments</t>
  </si>
  <si>
    <t>Adjust Deprec to UTC Method</t>
  </si>
  <si>
    <t>Adjust Bad Debt</t>
  </si>
  <si>
    <t>Adjust in Other Comp/Expense</t>
  </si>
  <si>
    <t>Per IS</t>
  </si>
  <si>
    <t xml:space="preserve">Commercial </t>
  </si>
  <si>
    <t>P-Card Rebate</t>
  </si>
  <si>
    <t>Disposal Transfer</t>
  </si>
  <si>
    <t>Processing Fees</t>
  </si>
  <si>
    <t>Corporate OH Adjust:</t>
  </si>
  <si>
    <t>Advertising Expense</t>
  </si>
  <si>
    <t>Adjusted OH %</t>
  </si>
  <si>
    <t>Region OH Adjust:</t>
  </si>
  <si>
    <t>Bad Debt</t>
  </si>
  <si>
    <t>Per Calc</t>
  </si>
  <si>
    <t>Adjust</t>
  </si>
  <si>
    <t>Remove</t>
  </si>
  <si>
    <t>UTC Account</t>
  </si>
  <si>
    <t>46900</t>
  </si>
  <si>
    <t>Operating Tax &amp; Licensing</t>
  </si>
  <si>
    <t>Franchise Fees</t>
  </si>
  <si>
    <t>Regulated Revenue</t>
  </si>
  <si>
    <t>Test Period Fees</t>
  </si>
  <si>
    <t>PER IS</t>
  </si>
  <si>
    <t>Adjustment</t>
  </si>
  <si>
    <t>46800</t>
  </si>
  <si>
    <t>Per UTC</t>
  </si>
  <si>
    <t>Bad Debt:</t>
  </si>
  <si>
    <t>Write-off</t>
  </si>
  <si>
    <t>Beginning test period</t>
  </si>
  <si>
    <t>Ending test period</t>
  </si>
  <si>
    <t>Recovery</t>
  </si>
  <si>
    <t>Actual write-off expense</t>
  </si>
  <si>
    <t>Income Statement</t>
  </si>
  <si>
    <t>46700</t>
  </si>
  <si>
    <t>DVP/DivCon Comp Allocation In</t>
  </si>
  <si>
    <t>Taxes Allocation In</t>
  </si>
  <si>
    <t>Pacific Reg</t>
  </si>
  <si>
    <t>Rural Reg</t>
  </si>
  <si>
    <t>Total Regulated</t>
  </si>
  <si>
    <t>Ranier Non-Reg</t>
  </si>
  <si>
    <t>Yelm Non-Reg</t>
  </si>
  <si>
    <t>Commerical Recycling</t>
  </si>
  <si>
    <t>CGP Non-Reg</t>
  </si>
  <si>
    <t>Other Non-Reg</t>
  </si>
  <si>
    <t>Company Total</t>
  </si>
  <si>
    <t>Resi MSW</t>
  </si>
  <si>
    <t>YW</t>
  </si>
  <si>
    <t>Comm MSW</t>
  </si>
  <si>
    <t>MF MSW</t>
  </si>
  <si>
    <t>Roll Off MSW</t>
  </si>
  <si>
    <t>Roll Off Recycling</t>
  </si>
  <si>
    <t>Pass-Through</t>
  </si>
  <si>
    <t>Service Charges</t>
  </si>
  <si>
    <t>Drop Box Recycling</t>
  </si>
  <si>
    <t>Reference</t>
  </si>
  <si>
    <t>RS-2: Region &amp; Corp OH Adjustments</t>
  </si>
  <si>
    <t>2000</t>
  </si>
  <si>
    <t>Bldg &amp; Property Maint</t>
  </si>
  <si>
    <t>Qualifying Operating Lease Expense</t>
  </si>
  <si>
    <t>Variable Qualifying Lease Expense</t>
  </si>
  <si>
    <t>Registration Fees</t>
  </si>
  <si>
    <t>Adjust Out</t>
  </si>
  <si>
    <t>Adjusted Region</t>
  </si>
  <si>
    <t>Unallowable</t>
  </si>
  <si>
    <t>OH Allocation</t>
  </si>
  <si>
    <t>District</t>
  </si>
  <si>
    <t>Allocation Percentage</t>
  </si>
  <si>
    <t>Grand Total</t>
  </si>
  <si>
    <t>RS-3: Remove Unallowable Expenses</t>
  </si>
  <si>
    <t>RS-4: Adjust WUTC Fees to actual</t>
  </si>
  <si>
    <t>RS-5: Adjust depreciation to UTC methodology</t>
  </si>
  <si>
    <t>RS-6: Adjust Bad Debt to Actual</t>
  </si>
  <si>
    <t>Act_Unposted</t>
  </si>
  <si>
    <t>Staged</t>
  </si>
  <si>
    <t>Posted</t>
  </si>
  <si>
    <t>Unposted</t>
  </si>
  <si>
    <t>All</t>
  </si>
  <si>
    <t>BS Close Report</t>
  </si>
  <si>
    <t>SubSystem:</t>
  </si>
  <si>
    <t>(drill)</t>
  </si>
  <si>
    <t>From Epicor - Current Mth Actual BS</t>
  </si>
  <si>
    <t>Three Month BS Trend (from Epicor)</t>
  </si>
  <si>
    <t>Current Mth</t>
  </si>
  <si>
    <t>Change from</t>
  </si>
  <si>
    <t>Prior Period</t>
  </si>
  <si>
    <t>BS Cash</t>
  </si>
  <si>
    <t>Local Petty Cash Account</t>
  </si>
  <si>
    <t>Local Depository</t>
  </si>
  <si>
    <t>Proceeds from Sale of Assets</t>
  </si>
  <si>
    <t>Contra Proceeds from Sale of Assets</t>
  </si>
  <si>
    <t>Pay Lockbox Clearing</t>
  </si>
  <si>
    <t>Pay</t>
  </si>
  <si>
    <t>Pay IC - KUBRA Payments</t>
  </si>
  <si>
    <t>Pay ICT Inter District Receipts</t>
  </si>
  <si>
    <t>EFT Pymt Clearing</t>
  </si>
  <si>
    <t>Credit Card Pymt Clearing</t>
  </si>
  <si>
    <t>Check &amp; Cash Pymt Clearing</t>
  </si>
  <si>
    <t>Cash</t>
  </si>
  <si>
    <t>BS AR</t>
  </si>
  <si>
    <t>Trade A/R Desert Micro</t>
  </si>
  <si>
    <t>Trade A/R Desert Micro Receipts</t>
  </si>
  <si>
    <t>Unbilled Trade A/R</t>
  </si>
  <si>
    <t>A/R Refund Clearing Acct</t>
  </si>
  <si>
    <t>Employee A/R</t>
  </si>
  <si>
    <t>Other A/R</t>
  </si>
  <si>
    <t>Provision for Bad Debts</t>
  </si>
  <si>
    <t>Bad Debt Write Offs</t>
  </si>
  <si>
    <t>Bad Debt Collected</t>
  </si>
  <si>
    <t>A/R</t>
  </si>
  <si>
    <t>BS Inventory</t>
  </si>
  <si>
    <t>Inventory Parts</t>
  </si>
  <si>
    <t>Inventory Diesel</t>
  </si>
  <si>
    <t>Inventory Oil and Lube</t>
  </si>
  <si>
    <t>Inventory Container</t>
  </si>
  <si>
    <t>Inventory Tires</t>
  </si>
  <si>
    <t>Inventory</t>
  </si>
  <si>
    <t>BS Prepaid</t>
  </si>
  <si>
    <t>Prepaid Licenses and Permits</t>
  </si>
  <si>
    <t>Prepaid Vehicle Use Tax</t>
  </si>
  <si>
    <t>Prepaid Property Tax</t>
  </si>
  <si>
    <t>Prepaid Other</t>
  </si>
  <si>
    <t>Prepaids</t>
  </si>
  <si>
    <t>BS Current Def Asset</t>
  </si>
  <si>
    <t>Curr Deferred</t>
  </si>
  <si>
    <t>Current Assets</t>
  </si>
  <si>
    <t>BS Fixed Asset</t>
  </si>
  <si>
    <t>Acquisition Land</t>
  </si>
  <si>
    <t>Cap Ex Land Improvement</t>
  </si>
  <si>
    <t>Acquisition Land Improvement</t>
  </si>
  <si>
    <t>Depre Expense Land Improv</t>
  </si>
  <si>
    <t>Cap Ex Heavy Equipment</t>
  </si>
  <si>
    <t>Acquisition Heavy Equipment</t>
  </si>
  <si>
    <t>Transfer/Reclass Heavy Equipment</t>
  </si>
  <si>
    <t>Depre Exp Heavy Equipment</t>
  </si>
  <si>
    <t>Cap Ex Trucks</t>
  </si>
  <si>
    <t>Acquisitions Trucks</t>
  </si>
  <si>
    <t>Transfer/Reclass Trucks</t>
  </si>
  <si>
    <t>Sale/Disposition Trucks</t>
  </si>
  <si>
    <t>Depre Exp Trucks</t>
  </si>
  <si>
    <t>Cap Ex Container</t>
  </si>
  <si>
    <t>Acquisition Container</t>
  </si>
  <si>
    <t>Transfer/Reclass Container</t>
  </si>
  <si>
    <t>Sale/Disposition Container</t>
  </si>
  <si>
    <t>Depre Exp Container</t>
  </si>
  <si>
    <t>Transfer/Reclass AD Container</t>
  </si>
  <si>
    <t>Sale/Disposition AD Container</t>
  </si>
  <si>
    <t>Cap Ex Shop Equipment</t>
  </si>
  <si>
    <t>Transfer/Reclass Shop Equipment</t>
  </si>
  <si>
    <t>Depre Exp Shop Equipment</t>
  </si>
  <si>
    <t>Transfer/Reclass AD Shop Equipment</t>
  </si>
  <si>
    <t>Cap Ex Building</t>
  </si>
  <si>
    <t>Acquisition Building</t>
  </si>
  <si>
    <t>Depre Exp Building</t>
  </si>
  <si>
    <t>Cap Ex Office Equipment</t>
  </si>
  <si>
    <t>Depre Exp Office Equipment</t>
  </si>
  <si>
    <t>Cap Ex Computer Equipment</t>
  </si>
  <si>
    <t>Transfer/Reclass Computer Equipment</t>
  </si>
  <si>
    <t>Depre Exp Computer Equipment</t>
  </si>
  <si>
    <t>Transfer/Reclass AD Computer Equipment</t>
  </si>
  <si>
    <t>Cap Ex Construction in Process</t>
  </si>
  <si>
    <t>Fixed Assets</t>
  </si>
  <si>
    <t>BS Notes</t>
  </si>
  <si>
    <t>Notes Rec.</t>
  </si>
  <si>
    <t>BS Goodwill</t>
  </si>
  <si>
    <t>Acquisition Goodwill</t>
  </si>
  <si>
    <t>Goodwill</t>
  </si>
  <si>
    <t>BS Intangible</t>
  </si>
  <si>
    <t>Transfer/Reclass Customer List</t>
  </si>
  <si>
    <t>Amort Expense Customer List</t>
  </si>
  <si>
    <t>Transfer/Reclass Amort Customer List</t>
  </si>
  <si>
    <t>Acquisition Indefinite Lived Intangibles</t>
  </si>
  <si>
    <t>Intangibles</t>
  </si>
  <si>
    <t>BS Deposits</t>
  </si>
  <si>
    <t>Deposits</t>
  </si>
  <si>
    <t>BS Restricted</t>
  </si>
  <si>
    <t>Restricted Funds</t>
  </si>
  <si>
    <t>BS Other Assets</t>
  </si>
  <si>
    <t>Other Assets</t>
  </si>
  <si>
    <t>BS LOC Loan Fees</t>
  </si>
  <si>
    <t>LOC Loan Fees</t>
  </si>
  <si>
    <t>BS Intercompany</t>
  </si>
  <si>
    <t>Intercompany Corporate</t>
  </si>
  <si>
    <t>Investment Corporate</t>
  </si>
  <si>
    <t>Intercompany</t>
  </si>
  <si>
    <t>Total Assets</t>
  </si>
  <si>
    <t>BS ST Contengent Considerations</t>
  </si>
  <si>
    <t>ST Contingent</t>
  </si>
  <si>
    <t>BS Current LTD</t>
  </si>
  <si>
    <t>Curr Portion LTD</t>
  </si>
  <si>
    <t>BS AP</t>
  </si>
  <si>
    <t>AP - Accrued</t>
  </si>
  <si>
    <t>AP - Accrued Procurement Card</t>
  </si>
  <si>
    <t>AP - Sales Tax</t>
  </si>
  <si>
    <t>AP - Other</t>
  </si>
  <si>
    <t>Pass Thru Taxes</t>
  </si>
  <si>
    <t>AP - Franchise Tax Payable</t>
  </si>
  <si>
    <t>WUTC Tax Payable</t>
  </si>
  <si>
    <t>AP - Other Taxes</t>
  </si>
  <si>
    <t>A/P</t>
  </si>
  <si>
    <t>BS Unearned Revenue</t>
  </si>
  <si>
    <t>Unearned Revenue</t>
  </si>
  <si>
    <t>Unearned Rev</t>
  </si>
  <si>
    <t>BS Accrued Liabilities</t>
  </si>
  <si>
    <t>Accrued Liabilities Wages Commissions</t>
  </si>
  <si>
    <t>Vacation Accrual</t>
  </si>
  <si>
    <t>Accrued Liabilities Other</t>
  </si>
  <si>
    <t>Accrued Liabilities Safety Bonus</t>
  </si>
  <si>
    <t>Accrued Liabilities Ins. - Workers Comp</t>
  </si>
  <si>
    <t>Accrued Liabilities - Property Tax</t>
  </si>
  <si>
    <t>Accrued Liabilities - UP Tracker</t>
  </si>
  <si>
    <t>Accrued Liab</t>
  </si>
  <si>
    <t>Current Liab</t>
  </si>
  <si>
    <t>BS LTD</t>
  </si>
  <si>
    <t>LTD</t>
  </si>
  <si>
    <t>BS Overdraft</t>
  </si>
  <si>
    <t>Overdraft</t>
  </si>
  <si>
    <t>BS Other LTD</t>
  </si>
  <si>
    <t>Other LTD</t>
  </si>
  <si>
    <t>BS LT Contengent Considerations</t>
  </si>
  <si>
    <t>LT Contingent</t>
  </si>
  <si>
    <t>BS Deferred Taxes</t>
  </si>
  <si>
    <t>Deferred Taxes</t>
  </si>
  <si>
    <t>BS NonControlling</t>
  </si>
  <si>
    <t>Minority Int</t>
  </si>
  <si>
    <t>BS Loan Fees</t>
  </si>
  <si>
    <t>Loan Fees</t>
  </si>
  <si>
    <t>Total Liabilities</t>
  </si>
  <si>
    <t>BS Common Stock</t>
  </si>
  <si>
    <t>Common Stock</t>
  </si>
  <si>
    <t>BS Other Equity</t>
  </si>
  <si>
    <t>Other Equity</t>
  </si>
  <si>
    <t>BS Deferred Comp</t>
  </si>
  <si>
    <t>Deferred Comp</t>
  </si>
  <si>
    <t>BS Unrealized Swap Value</t>
  </si>
  <si>
    <t>Unrealized Swap Val</t>
  </si>
  <si>
    <t>BS APIC</t>
  </si>
  <si>
    <t>APIC</t>
  </si>
  <si>
    <t>BS Treasury</t>
  </si>
  <si>
    <t>Treasury</t>
  </si>
  <si>
    <t>BS CTA</t>
  </si>
  <si>
    <t>Cumulative translation adjustment</t>
  </si>
  <si>
    <t>BS RE</t>
  </si>
  <si>
    <t>Retained Earnings</t>
  </si>
  <si>
    <t>Total Liab &amp; Equity</t>
  </si>
  <si>
    <t>BS Balance</t>
  </si>
  <si>
    <t>2019-04</t>
  </si>
  <si>
    <t>Visual Lease Clearing Account</t>
  </si>
  <si>
    <t>Proceeds - Sorted Resi Papers and News</t>
  </si>
  <si>
    <t>Proceeds - Aluminum UBC</t>
  </si>
  <si>
    <t>Proceeds - Dirty Aluminum</t>
  </si>
  <si>
    <t>Proceeds - Other Recyclables</t>
  </si>
  <si>
    <t>Hauling Revenue - Roll Off Disposal Chg</t>
  </si>
  <si>
    <t>Proceeds - PET</t>
  </si>
  <si>
    <t>Support - Sorted Resi Papers and News</t>
  </si>
  <si>
    <t>Support - Aluminum UBC</t>
  </si>
  <si>
    <t>Support - Sorted Office Paper</t>
  </si>
  <si>
    <t>Proceeds - Sorted Office Paper</t>
  </si>
  <si>
    <t>Cap Ex Accruals</t>
  </si>
  <si>
    <t>Operating Lease ROU</t>
  </si>
  <si>
    <t>Operating Lease Depreciation</t>
  </si>
  <si>
    <t>AP - Accrued CAPEX</t>
  </si>
  <si>
    <t>ST Operating Lease Liability</t>
  </si>
  <si>
    <t>ST Operating Lease Payment</t>
  </si>
  <si>
    <t>Accretion on ST Operating Lease</t>
  </si>
  <si>
    <t>Operating Lease ST LT Reclass</t>
  </si>
  <si>
    <t>LT Operating Lease Liability</t>
  </si>
  <si>
    <t>Accretion on LT Operating Lease</t>
  </si>
  <si>
    <t>LT Operating Lease ST LT Reclass</t>
  </si>
  <si>
    <t>2018 Count</t>
  </si>
  <si>
    <t>Per GL</t>
  </si>
  <si>
    <t>check figure</t>
  </si>
  <si>
    <t>Yelm</t>
  </si>
  <si>
    <t>Rainier</t>
  </si>
  <si>
    <t>Customer Counts:</t>
  </si>
  <si>
    <t>Pacific/Rural</t>
  </si>
  <si>
    <t>Depreciation by Bill Area</t>
  </si>
  <si>
    <t>Allocator</t>
  </si>
  <si>
    <t>Grbg Only Rt Hrs</t>
  </si>
  <si>
    <t>Rt Hours - RO</t>
  </si>
  <si>
    <t>RO Rt Hrs</t>
  </si>
  <si>
    <t>Rt Hrs - YW</t>
  </si>
  <si>
    <t>YW Rt Hrs</t>
  </si>
  <si>
    <t>Comm Garb Cust Only</t>
  </si>
  <si>
    <t>Resi Gabr Cust Only</t>
  </si>
  <si>
    <t>Resi Garb Cust</t>
  </si>
  <si>
    <t>Resi Recycle Cust Only</t>
  </si>
  <si>
    <t xml:space="preserve">YW Cust </t>
  </si>
  <si>
    <t>Resi YW Cust Only</t>
  </si>
  <si>
    <t>Avg Investment by Bill Area</t>
  </si>
  <si>
    <t>Average Investment:</t>
  </si>
  <si>
    <t>PRO-FORMA RAISES INTO EXPENSE BASE</t>
  </si>
  <si>
    <t>P-1</t>
  </si>
  <si>
    <t>Restate Wage Increase:</t>
  </si>
  <si>
    <t>Drivers</t>
  </si>
  <si>
    <t>Mechanics</t>
  </si>
  <si>
    <t>Container</t>
  </si>
  <si>
    <t>Supervisor</t>
  </si>
  <si>
    <t>PR-1</t>
  </si>
  <si>
    <t>Wage Increase Taxes:</t>
  </si>
  <si>
    <t>TOTAL PR-1</t>
  </si>
  <si>
    <t>P-2</t>
  </si>
  <si>
    <t>PRO-FORMA KNOWN EXPENSE OF NOTIFYING CUSTOMERS OF RATE INCREASE</t>
  </si>
  <si>
    <t>Cust Counts</t>
  </si>
  <si>
    <t>Cost per Quote</t>
  </si>
  <si>
    <t>Amortize over 36 Months</t>
  </si>
  <si>
    <t>PR-2</t>
  </si>
  <si>
    <t>P-3</t>
  </si>
  <si>
    <t>PR-3</t>
  </si>
  <si>
    <t>check</t>
  </si>
  <si>
    <t>PENSION PROFORMA ADJUSTMENT</t>
  </si>
  <si>
    <t>Per Income Statement</t>
  </si>
  <si>
    <t>Current Match</t>
  </si>
  <si>
    <t>2019 Match</t>
  </si>
  <si>
    <t>8 Months Unadjusted</t>
  </si>
  <si>
    <t>P-4</t>
  </si>
  <si>
    <t>P-5</t>
  </si>
  <si>
    <t>GROUP INSURANCE PROFORMA ADJUSTMENT</t>
  </si>
  <si>
    <t>PR-4</t>
  </si>
  <si>
    <t>Group Insurance expense increased from $1,150 per employee to $1,200 on Janaury 1, 2019.  This is a 4.34% increase per month.  This adjustment calculates this change for the 8 months during 2018 that do not have the additional expense.</t>
  </si>
  <si>
    <t>2018 Group Insurance Exp</t>
  </si>
  <si>
    <t>2019 Group Insurance Exp</t>
  </si>
  <si>
    <t>PR-5</t>
  </si>
  <si>
    <t>Rt Hrs-2183, 2185</t>
  </si>
  <si>
    <t>Rt Hrs - Actual</t>
  </si>
  <si>
    <t>Rt Hrs-2183, 2185 - Actual</t>
  </si>
  <si>
    <t>Labor Hours</t>
  </si>
  <si>
    <t>Parts</t>
  </si>
  <si>
    <t>RTA - Parts</t>
  </si>
  <si>
    <t>SICK PAYOUT</t>
  </si>
  <si>
    <t>Sick Time Payout</t>
  </si>
  <si>
    <t>As part of the union negotions Waste Connections will pay out the sick time that has been accrued to union employees.</t>
  </si>
  <si>
    <t xml:space="preserve">    Garbage Truck Drivers</t>
  </si>
  <si>
    <t xml:space="preserve">    Recycle Truck Drivers</t>
  </si>
  <si>
    <t>Cust Cnt - 2183 &amp; 2185</t>
  </si>
  <si>
    <t>Revenue - Actual</t>
  </si>
  <si>
    <t>2184 TS/MRF</t>
  </si>
  <si>
    <t>Cust Cnt 2183 &amp; 2185 Only</t>
  </si>
  <si>
    <t>Regular Wages</t>
  </si>
  <si>
    <t>EE Counts</t>
  </si>
  <si>
    <r>
      <rPr>
        <b/>
        <sz val="11"/>
        <rFont val="Calibri"/>
        <family val="2"/>
        <scheme val="minor"/>
      </rPr>
      <t>Note:</t>
    </r>
    <r>
      <rPr>
        <sz val="11"/>
        <rFont val="Calibri"/>
        <family val="2"/>
        <scheme val="minor"/>
      </rPr>
      <t xml:space="preserve"> The Division Vice President's home district for payroll purposes is 2180.  During the year his regular compensation is coded to district 2180 and then allocated out to each of his districts based on the revenue below via Journal Entry.  His other compensation is not allocated into each of his districts during the year therefore that must be done manually for this rate filing.</t>
    </r>
  </si>
  <si>
    <r>
      <rPr>
        <b/>
        <sz val="11"/>
        <rFont val="Calibri"/>
        <family val="2"/>
        <scheme val="minor"/>
      </rPr>
      <t>Note:</t>
    </r>
    <r>
      <rPr>
        <sz val="11"/>
        <rFont val="Calibri"/>
        <family val="2"/>
        <scheme val="minor"/>
      </rPr>
      <t xml:space="preserve"> The Division Controller's home district for payroll purposes is 2111.  During the year his regular compensation is coded to district 2111 and then allocated out to each of his districts based on the revenue below via Journal Entry.  His other compensation is not allocated out to each of his districts during the year therefore that must be done manually for this rate filing.</t>
    </r>
  </si>
  <si>
    <t xml:space="preserve">DVP Other Compensation = </t>
  </si>
  <si>
    <t xml:space="preserve">DivCon Other Compensation = </t>
  </si>
  <si>
    <t>Dist</t>
  </si>
  <si>
    <t xml:space="preserve">Other Comp Allocation </t>
  </si>
  <si>
    <t>Allocate INTO Rate Filing</t>
  </si>
  <si>
    <t>Division Vice President Allocation IN/Division Controller Allocation IN</t>
  </si>
  <si>
    <t>Rt Hrs 2183 &amp;2185</t>
  </si>
  <si>
    <t>EE (excluding Sup)</t>
  </si>
  <si>
    <t>EE (including Sup)</t>
  </si>
  <si>
    <t>Depr Schedule - Actual</t>
  </si>
  <si>
    <t>Cust Cnt 2183 &amp; 2185</t>
  </si>
  <si>
    <t>MRF Building</t>
  </si>
  <si>
    <t>Recycle Tonnage</t>
  </si>
  <si>
    <t>MRF Tonnage</t>
  </si>
  <si>
    <t>Debt to Equity Ratio</t>
  </si>
  <si>
    <t>Allowable In LG</t>
  </si>
  <si>
    <t>Total Debt &amp; Equity</t>
  </si>
  <si>
    <t>Interest as a % of Debt</t>
  </si>
  <si>
    <t>Other Comp Allocation</t>
  </si>
  <si>
    <t>Tax Allocation</t>
  </si>
  <si>
    <t>Questions on</t>
  </si>
  <si>
    <t>Updated by LAW</t>
  </si>
  <si>
    <t>Pass-Thru (Manual Adjust)</t>
  </si>
  <si>
    <t>Revenue-Actual</t>
  </si>
  <si>
    <t>Rt Hrs - No Comm Recycle</t>
  </si>
  <si>
    <t>Supervisor Wages</t>
  </si>
  <si>
    <t>Total Adjustment</t>
  </si>
  <si>
    <t xml:space="preserve">   Adjustment</t>
  </si>
  <si>
    <t>Multi Family</t>
  </si>
  <si>
    <t>Comm Cust Count Only</t>
  </si>
  <si>
    <t>Comm Cust Cnt Only - Actual</t>
  </si>
  <si>
    <t>Area</t>
  </si>
  <si>
    <t>Cal lbs</t>
  </si>
  <si>
    <t>Adj lbs</t>
  </si>
  <si>
    <t>Commercial</t>
  </si>
  <si>
    <t>Rainier Non-Reg</t>
  </si>
  <si>
    <t>Pacific/Rural Reg</t>
  </si>
  <si>
    <t>Yelm Non-reg</t>
  </si>
  <si>
    <t>Harold LeMay Enterprises, Inc. G-98</t>
  </si>
  <si>
    <t>Pacific Disposal Allocation Calculation</t>
  </si>
  <si>
    <t>May 1, 2018 - April 30, 2019</t>
  </si>
  <si>
    <t>Allocation Percentages</t>
  </si>
  <si>
    <t>Totals</t>
  </si>
  <si>
    <t>Region OH</t>
  </si>
  <si>
    <t>Corporate OH</t>
  </si>
  <si>
    <t>Region &amp; Corp OH Adjustments</t>
  </si>
  <si>
    <t>Unallowable Expense</t>
  </si>
  <si>
    <t>FullAcct</t>
  </si>
  <si>
    <t>date_applied</t>
  </si>
  <si>
    <t>balance_usd</t>
  </si>
  <si>
    <t>balance_cad</t>
  </si>
  <si>
    <t>currencycode</t>
  </si>
  <si>
    <t>Journal</t>
  </si>
  <si>
    <t>pstd</t>
  </si>
  <si>
    <t>journal_description</t>
  </si>
  <si>
    <t>User</t>
  </si>
  <si>
    <t>TypeCode</t>
  </si>
  <si>
    <t>vendor_code</t>
  </si>
  <si>
    <t>OneTime</t>
  </si>
  <si>
    <t>Description</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</si>
  <si>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</si>
  <si>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</si>
  <si>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</si>
  <si>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</si>
  <si>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</si>
  <si>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</si>
  <si>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</si>
  <si>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</si>
  <si>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</si>
  <si>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</si>
  <si>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</si>
  <si>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</si>
  <si>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</si>
  <si>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</si>
  <si>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</si>
  <si>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</si>
  <si>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</si>
  <si>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</si>
  <si>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</si>
  <si>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</si>
  <si>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</si>
  <si>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</si>
  <si>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</si>
  <si>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</si>
  <si>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</si>
  <si>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</si>
  <si>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</si>
  <si>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</si>
  <si>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</si>
  <si>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</si>
  <si>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</si>
  <si>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FromMonth:</t>
  </si>
  <si>
    <t>ToMonth:</t>
  </si>
  <si>
    <t>Current Month:</t>
  </si>
  <si>
    <t>Journal Entry Query Tool</t>
  </si>
  <si>
    <t>NOTE: Ctrl+Shift+J to pull data</t>
  </si>
  <si>
    <t>v.4.6</t>
  </si>
  <si>
    <t>Date Range:</t>
  </si>
  <si>
    <t>Other Criteria</t>
  </si>
  <si>
    <t>From:</t>
  </si>
  <si>
    <t>2018-05</t>
  </si>
  <si>
    <t>Districts:</t>
  </si>
  <si>
    <t>Vendor Code:</t>
  </si>
  <si>
    <t>To:</t>
  </si>
  <si>
    <t>Accts:</t>
  </si>
  <si>
    <t>Amount From:</t>
  </si>
  <si>
    <t>Amount To:</t>
  </si>
  <si>
    <t>Subsystem:</t>
  </si>
  <si>
    <t>Posting:</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</si>
  <si>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</si>
  <si>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</si>
  <si>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</si>
  <si>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</si>
  <si>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</si>
  <si>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</si>
  <si>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</si>
  <si>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</si>
  <si>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</si>
  <si>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</si>
  <si>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</si>
  <si>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</si>
  <si>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</si>
  <si>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</si>
  <si>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</si>
  <si>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</si>
  <si>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</si>
  <si>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</si>
  <si>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</si>
  <si>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</si>
  <si>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</si>
  <si>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</si>
  <si>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</si>
  <si>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</si>
  <si>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</si>
  <si>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</si>
  <si>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</si>
  <si>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</si>
  <si>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</si>
  <si>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</si>
  <si>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</si>
  <si>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</si>
  <si>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</si>
  <si>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</si>
  <si>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</si>
  <si>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</si>
  <si>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</si>
  <si>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</si>
  <si>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</si>
  <si>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</si>
  <si>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</si>
  <si>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</si>
  <si>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</si>
  <si>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</si>
  <si>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</si>
  <si>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USD</t>
  </si>
  <si>
    <t>P</t>
  </si>
  <si>
    <t>From Voucher Posting.</t>
  </si>
  <si>
    <t>JudyA</t>
  </si>
  <si>
    <t>0/JE IC</t>
  </si>
  <si>
    <t>wci_wa</t>
  </si>
  <si>
    <t>JRNLWA00382292</t>
  </si>
  <si>
    <t>PO Log Accrual</t>
  </si>
  <si>
    <t>AlexandraP</t>
  </si>
  <si>
    <t>JRNL00911442</t>
  </si>
  <si>
    <t>JRNLWA00382302</t>
  </si>
  <si>
    <t>JRNL00911498</t>
  </si>
  <si>
    <t>JRNLWA00383878</t>
  </si>
  <si>
    <t>JRNL00915208</t>
  </si>
  <si>
    <t>JRNLWA00383964</t>
  </si>
  <si>
    <t>JRNL00915337</t>
  </si>
  <si>
    <t>JRNLWA00384600</t>
  </si>
  <si>
    <t>Western PCard Activity - Dec</t>
  </si>
  <si>
    <t>HelenaK</t>
  </si>
  <si>
    <t>JRNL00917331</t>
  </si>
  <si>
    <t>JRNLWA00385314</t>
  </si>
  <si>
    <t>JRNL00918913</t>
  </si>
  <si>
    <t>JRNLWA00385403</t>
  </si>
  <si>
    <t>JRNL00919027</t>
  </si>
  <si>
    <t>JRNLWA00386968</t>
  </si>
  <si>
    <t>JRNL00923103</t>
  </si>
  <si>
    <t>JRNLWA00387078</t>
  </si>
  <si>
    <t>JRNL00923260</t>
  </si>
  <si>
    <t>JRNLWA00390650</t>
  </si>
  <si>
    <t>Western Pcard Activity - April</t>
  </si>
  <si>
    <t>JRNL00931518</t>
  </si>
  <si>
    <t>JRNLWA00391034</t>
  </si>
  <si>
    <t>JRNL00932233</t>
  </si>
  <si>
    <t>JRNLWA00391147</t>
  </si>
  <si>
    <t>JRNL00932387</t>
  </si>
  <si>
    <t>JRNLWA00391430</t>
  </si>
  <si>
    <t>JRNL00933056</t>
  </si>
  <si>
    <t>End of List</t>
  </si>
  <si>
    <t>Row Labels</t>
  </si>
  <si>
    <t>Sum of Amount USD</t>
  </si>
  <si>
    <t>Pasted Values</t>
  </si>
  <si>
    <t>60225</t>
  </si>
  <si>
    <t>60225-2183-000-00</t>
  </si>
  <si>
    <t>JRNLWA00373488</t>
  </si>
  <si>
    <t>RosemaryS</t>
  </si>
  <si>
    <t>VUS000014261</t>
  </si>
  <si>
    <t>RECOLLECT SYSTEMS INC</t>
  </si>
  <si>
    <t>Quarterly ReCollect Bill</t>
  </si>
  <si>
    <t>PO-2183-18-01848</t>
  </si>
  <si>
    <t>VO04648185</t>
  </si>
  <si>
    <t>JRNL00889120</t>
  </si>
  <si>
    <t>JRNLWA00373291</t>
  </si>
  <si>
    <t>Opex 12 - S LeMay PO Log accru</t>
  </si>
  <si>
    <t>VUS000014261: PO 01848: RECOLLECT SYSTEM</t>
  </si>
  <si>
    <t>JRNL00888329</t>
  </si>
  <si>
    <t>JRNL00888489</t>
  </si>
  <si>
    <t>JRNLWA00373292</t>
  </si>
  <si>
    <t>OPEX13 - Pcard Accrual</t>
  </si>
  <si>
    <t>PNW PRODUCTIONS~JEFF HARWOOD</t>
  </si>
  <si>
    <t>JRNL00888330</t>
  </si>
  <si>
    <t>JRNL00888490</t>
  </si>
  <si>
    <t>JRNLWA00373884</t>
  </si>
  <si>
    <t>Western Region PCard Activity</t>
  </si>
  <si>
    <t>JRNL00890577</t>
  </si>
  <si>
    <t>JRNLWA00374690</t>
  </si>
  <si>
    <t>PCARD: PO 02167: PNW Company: PCard: Mon</t>
  </si>
  <si>
    <t>JRNL00892072</t>
  </si>
  <si>
    <t>PCARD: PO 02492: PNW Company: PCard: Mon</t>
  </si>
  <si>
    <t>JRNLWA00374765</t>
  </si>
  <si>
    <t>JRNL00892188</t>
  </si>
  <si>
    <t>JRNLWA00375434</t>
  </si>
  <si>
    <t>June PCard Activity - Western</t>
  </si>
  <si>
    <t>HeatherWe</t>
  </si>
  <si>
    <t>PNW PRODUCTIONS~ARIN ROBERTSON</t>
  </si>
  <si>
    <t>JRNL00894442</t>
  </si>
  <si>
    <t>JRNLWA00376180</t>
  </si>
  <si>
    <t>JRNL00895972</t>
  </si>
  <si>
    <t>JRNLWA00376750</t>
  </si>
  <si>
    <t>MariaJ</t>
  </si>
  <si>
    <t>Quarterly ReCollect Bill July - Sept 201</t>
  </si>
  <si>
    <t>PO-2183-18-02667</t>
  </si>
  <si>
    <t>VO04720829</t>
  </si>
  <si>
    <t>JRNL00897482</t>
  </si>
  <si>
    <t>JRNLWA00376331</t>
  </si>
  <si>
    <t>JRNL00896109</t>
  </si>
  <si>
    <t>JRNLWA00376944</t>
  </si>
  <si>
    <t>July Pcard Activity - Western</t>
  </si>
  <si>
    <t>JRNL00898234</t>
  </si>
  <si>
    <t>JRNLWA00377696</t>
  </si>
  <si>
    <t>PCARD: PO 03529: PNW Company: PCard: Mon</t>
  </si>
  <si>
    <t>JRNL00899764</t>
  </si>
  <si>
    <t>PCARD: PO 03538: PNW Company: PCard: Mon</t>
  </si>
  <si>
    <t>JRNLWA00377742</t>
  </si>
  <si>
    <t>JRNL00899913</t>
  </si>
  <si>
    <t>JRNLWA00378512</t>
  </si>
  <si>
    <t>Aug Pcard Activity - Western</t>
  </si>
  <si>
    <t>JRNL00902204</t>
  </si>
  <si>
    <t>DUCKS UNLIMITED CYBERCAS~JEFF HARWOOD</t>
  </si>
  <si>
    <t>JRNLWA00379259</t>
  </si>
  <si>
    <t>PCARD: PO 03968: PNW Company: PCard: Mon</t>
  </si>
  <si>
    <t>JRNL00903610</t>
  </si>
  <si>
    <t>JRNLWA00379348</t>
  </si>
  <si>
    <t>JRNL00903807</t>
  </si>
  <si>
    <t>JRNLWA00380086</t>
  </si>
  <si>
    <t>Western PCard Activity - Septe</t>
  </si>
  <si>
    <t>JRNL00905848</t>
  </si>
  <si>
    <t>JRNLWA00380840</t>
  </si>
  <si>
    <t>PO 04387: PNW Company: PCard: Monthly Ma</t>
  </si>
  <si>
    <t>JRNL00907323</t>
  </si>
  <si>
    <t>S</t>
  </si>
  <si>
    <t>Western PCard Activity - October</t>
  </si>
  <si>
    <t>JenniferB</t>
  </si>
  <si>
    <t>JE22</t>
  </si>
  <si>
    <t>PO-2183-18-04387</t>
  </si>
  <si>
    <t>JRNLWA00380934</t>
  </si>
  <si>
    <t>JRNL00907474</t>
  </si>
  <si>
    <t>JRNLWA00381684</t>
  </si>
  <si>
    <t>Western PCard Activity - Octob</t>
  </si>
  <si>
    <t>JRNL00909891</t>
  </si>
  <si>
    <t>PO 05002: RECOLLECT SYSTEMS INC: CHECK:</t>
  </si>
  <si>
    <t>VUS000014261: PO 05002: RECOLLECT SYSTEM</t>
  </si>
  <si>
    <t>JRNLWA00384218</t>
  </si>
  <si>
    <t>Quarterly ReCollect Bill Oct - Dec  2018</t>
  </si>
  <si>
    <t>PO-2183-18-05002</t>
  </si>
  <si>
    <t>VO04860493</t>
  </si>
  <si>
    <t>JRNL00916118</t>
  </si>
  <si>
    <t>PCARD: PO 00045: PNW Company: PCard: Mon</t>
  </si>
  <si>
    <t>JRNLWA00385849</t>
  </si>
  <si>
    <t>Quarterly ReCollect Bill Jan - March  20</t>
  </si>
  <si>
    <t>PO-2183-19-00226</t>
  </si>
  <si>
    <t>VO04893449</t>
  </si>
  <si>
    <t>JRNL00920109</t>
  </si>
  <si>
    <t>JRNLWA00386265</t>
  </si>
  <si>
    <t>Western PCard Activity - Jan</t>
  </si>
  <si>
    <t>JRNL00921575</t>
  </si>
  <si>
    <t>PCARD: PO 00683: PNW Company: PCard: Mon</t>
  </si>
  <si>
    <t>JRNLWA00387734</t>
  </si>
  <si>
    <t>Western PCard Activity - Feb</t>
  </si>
  <si>
    <t>JRNL00925269</t>
  </si>
  <si>
    <t>JRNLWA00389929</t>
  </si>
  <si>
    <t>PCARD: PO 01529: PNW Company: PCard: Mon</t>
  </si>
  <si>
    <t>JRNL00929802</t>
  </si>
  <si>
    <t>JRNLWA00389930</t>
  </si>
  <si>
    <t>JRNL00929803</t>
  </si>
  <si>
    <t>JRNLWA00390016</t>
  </si>
  <si>
    <t>JRNL00929929</t>
  </si>
  <si>
    <t>JRNLWA00390017</t>
  </si>
  <si>
    <t>JRNL00929930</t>
  </si>
  <si>
    <t>PCARD: PO 02064: PNW Company: PCard: Mon</t>
  </si>
  <si>
    <t>VUS000014261: PO 01700: RECOLLECT SYSTEM</t>
  </si>
  <si>
    <t>Recollect - Upgraded website &amp; mobile app (waste wizard, etc).  Mainly for Resi customers, so regulated expense</t>
  </si>
  <si>
    <t>Unreg</t>
  </si>
  <si>
    <t>Unreg - Not posted</t>
  </si>
  <si>
    <t>70095</t>
  </si>
  <si>
    <t>70095-2183-000-00</t>
  </si>
  <si>
    <t>JRNLWA00372600</t>
  </si>
  <si>
    <t>EUS000002915</t>
  </si>
  <si>
    <t>EMMETT BROWN</t>
  </si>
  <si>
    <t>April Mileage and Event Supplies</t>
  </si>
  <si>
    <t>04/01-04/30/18</t>
  </si>
  <si>
    <t>VO04641240</t>
  </si>
  <si>
    <t>JRNL00887347</t>
  </si>
  <si>
    <t>JRNLWA00373657</t>
  </si>
  <si>
    <t>JeffS</t>
  </si>
  <si>
    <t>VUS000020407</t>
  </si>
  <si>
    <t>PETTY CASH DISTRICT 2183</t>
  </si>
  <si>
    <t>PETTY CASH DIST 2183</t>
  </si>
  <si>
    <t>05232018 petty cash</t>
  </si>
  <si>
    <t>PO-2183-18-02325</t>
  </si>
  <si>
    <t>VO04662654</t>
  </si>
  <si>
    <t>JRNL00889786</t>
  </si>
  <si>
    <t>EUS000002915: EMMETT BROWN: Gift Cards -</t>
  </si>
  <si>
    <t>EUS000002915: EMMETT BROWN: Gift Certifi</t>
  </si>
  <si>
    <t>EUS000002915: EMMETT BROWN: Give Aways -</t>
  </si>
  <si>
    <t>PCARD: PO 01947: Costco: PCard: Employee</t>
  </si>
  <si>
    <t>ALDERBROOK RESORT~JEFF HARWOOD</t>
  </si>
  <si>
    <t>TLF ARTISTRY IN FLOWERS~JEFF HARWOOD</t>
  </si>
  <si>
    <t>TAQUERIA MI PUEBLO LLC~JEFF HARWOOD</t>
  </si>
  <si>
    <t>JRNLWA00373875</t>
  </si>
  <si>
    <t>VUS000011424</t>
  </si>
  <si>
    <t>CORPORATE INCENTIVES INC</t>
  </si>
  <si>
    <t>Controller Shirts</t>
  </si>
  <si>
    <t>PO-2183-18-01941</t>
  </si>
  <si>
    <t>VO04669973</t>
  </si>
  <si>
    <t>JRNL00890575</t>
  </si>
  <si>
    <t>COSTCO WHSE #0740~JEFF HARWOOD</t>
  </si>
  <si>
    <t>WM SUPERCENTER #3531~ROB TYNDALL</t>
  </si>
  <si>
    <t>DOLLAR TREE~ROB TYNDALL</t>
  </si>
  <si>
    <t>PAYPAL  GREETINGSIS~JEFF HARWOOD</t>
  </si>
  <si>
    <t>VUS000011131: PO 02075: RAY RICHARDS: Dr</t>
  </si>
  <si>
    <t>PCARD: PO 02438: Artistry In Flowers: PC</t>
  </si>
  <si>
    <t>JRNLWA00374691</t>
  </si>
  <si>
    <t>UBER   EATS YYGP3~JEFF HARWOOD</t>
  </si>
  <si>
    <t>JRNL00892073</t>
  </si>
  <si>
    <t>JRNLWA00375026</t>
  </si>
  <si>
    <t>VUS000015926</t>
  </si>
  <si>
    <t>BOYS AND GIRLS CLUBS OF THURSTON COUNTY</t>
  </si>
  <si>
    <t>2018  Boys and Girls Club Breakfast Spon</t>
  </si>
  <si>
    <t>2018 Donation</t>
  </si>
  <si>
    <t>PO-2183-18-02504</t>
  </si>
  <si>
    <t>VO04678935</t>
  </si>
  <si>
    <t>JRNL00892868</t>
  </si>
  <si>
    <t>JRNLWA00375089</t>
  </si>
  <si>
    <t>VUS000011131</t>
  </si>
  <si>
    <t>RAY RICHARDS</t>
  </si>
  <si>
    <t>Drive Cam Hoodies and Management Hoodies</t>
  </si>
  <si>
    <t>PO-2183-18-02075</t>
  </si>
  <si>
    <t>VO04684589</t>
  </si>
  <si>
    <t>JRNL00893137</t>
  </si>
  <si>
    <t>JRNLWA00374766</t>
  </si>
  <si>
    <t>JRNL00892189</t>
  </si>
  <si>
    <t>TLF ARTISTRY IN FLOWERS~ARIN ROBERTSON</t>
  </si>
  <si>
    <t>PANERA BREAD #202253~ARIN ROBERTSON</t>
  </si>
  <si>
    <t>AM CANCER SOC CV~JEFF HARWOOD</t>
  </si>
  <si>
    <t>SAFEWAY #1173~JEFF HARWOOD</t>
  </si>
  <si>
    <t>SQ  CLOVER PARK ROT~JEFF HARWOOD</t>
  </si>
  <si>
    <t>SMART FOODSVC 52105483~ROB TYNDALL</t>
  </si>
  <si>
    <t>WALGREENS #6917~JEFF HARWOOD</t>
  </si>
  <si>
    <t>PURPLETRAIL.COM~JEFF HARWOOD</t>
  </si>
  <si>
    <t>WAL-MART #3531~JEFF HARWOOD</t>
  </si>
  <si>
    <t>MICHAELS.COM~JEFF HARWOOD</t>
  </si>
  <si>
    <t>JRNLWA00375816</t>
  </si>
  <si>
    <t>WD Exp Report 6/2018</t>
  </si>
  <si>
    <t>June WD ExpRpt - Laura Kapuscinski (1511</t>
  </si>
  <si>
    <t>JRNL00895191</t>
  </si>
  <si>
    <t>JRNLWA00376179</t>
  </si>
  <si>
    <t>PO Log and GL Adjustments</t>
  </si>
  <si>
    <t>Memorial</t>
  </si>
  <si>
    <t>JRNL00895971</t>
  </si>
  <si>
    <t>TAGS AWARDS&amp; SPECIALTIES~JEFF HARWOOD</t>
  </si>
  <si>
    <t>PAPA JOHN'S #2747~JEFF HARWOOD</t>
  </si>
  <si>
    <t>SMART FOODSVC 52105483~ARIN ROBERTSON</t>
  </si>
  <si>
    <t>THE HOME DEPOT #4742~ROB TYNDALL</t>
  </si>
  <si>
    <t>WAL-MART #3531~ROB TYNDALL</t>
  </si>
  <si>
    <t>CIGARS DIRECT.COM~JEFF HARWOOD</t>
  </si>
  <si>
    <t>JRNLWA00377697</t>
  </si>
  <si>
    <t>JRNL00899765</t>
  </si>
  <si>
    <t>AVIS RENT-A-CAR 1~ARIN ROBERTSON</t>
  </si>
  <si>
    <t>LUMINOUSBEAM~JEFF HARWOOD</t>
  </si>
  <si>
    <t>CROSS BORDER TRANS FEE~JEFF HARWOOD</t>
  </si>
  <si>
    <t>JRNLWA00378088</t>
  </si>
  <si>
    <t>VUS000008916</t>
  </si>
  <si>
    <t>CONCERN FOR ANIMALS</t>
  </si>
  <si>
    <t>Donation</t>
  </si>
  <si>
    <t>CFA 2018 Donation</t>
  </si>
  <si>
    <t>PO-2183-18-02168</t>
  </si>
  <si>
    <t>VO04737794</t>
  </si>
  <si>
    <t>JRNL00900623</t>
  </si>
  <si>
    <t>JRNLWA00378282</t>
  </si>
  <si>
    <t>08.28.2018 Petty cash request</t>
  </si>
  <si>
    <t>PO-2183-18-03881</t>
  </si>
  <si>
    <t>VO04755937</t>
  </si>
  <si>
    <t>JRNL00901572</t>
  </si>
  <si>
    <t>JRNLWA00377743</t>
  </si>
  <si>
    <t>JRNL00899914</t>
  </si>
  <si>
    <t>PANERA BREAD #202253~JEFF HARWOOD</t>
  </si>
  <si>
    <t>HEAVENLY DONUTS~ROB TYNDALL</t>
  </si>
  <si>
    <t>FRED-MEYER #0186~ROB TYNDALL</t>
  </si>
  <si>
    <t>SAFEWAY #0543~ROB TYNDALL</t>
  </si>
  <si>
    <t>FRED-MEYER #0186~JEFF HARWOOD</t>
  </si>
  <si>
    <t>NEW LIFE BAPTIST CHURCH~JEFF HARWOOD</t>
  </si>
  <si>
    <t>WOK  TERIYAKI~JEFF HARWOOD</t>
  </si>
  <si>
    <t>UBER   EATS 26PZI~JEFF HARWOOD</t>
  </si>
  <si>
    <t>JRNLWA00378911</t>
  </si>
  <si>
    <t>WD Exp Report 8/2018</t>
  </si>
  <si>
    <t>Aug WD ExpRpt - Kris Mazurek (303382)</t>
  </si>
  <si>
    <t>JRNL00902953</t>
  </si>
  <si>
    <t>JRNLWA00379108</t>
  </si>
  <si>
    <t>WOLF HAVEN INTERNA~JEFF HARWOOD</t>
  </si>
  <si>
    <t>JRNL00903485</t>
  </si>
  <si>
    <t>AMANDAS FLOWERS AN~JEFF HARWOOD</t>
  </si>
  <si>
    <t>COSTCO WHSE #0740~ROB TYNDALL</t>
  </si>
  <si>
    <t>SAFEWAY #1589~JEFF HARWOOD</t>
  </si>
  <si>
    <t>JRNLWA00379254</t>
  </si>
  <si>
    <t>CSR Retreat</t>
  </si>
  <si>
    <t>JRNL00903605</t>
  </si>
  <si>
    <t>VUS000011131: PO 03541: RAY RICHARDS: Dr</t>
  </si>
  <si>
    <t>JRNLWA00379590</t>
  </si>
  <si>
    <t>VUS000018690</t>
  </si>
  <si>
    <t>CAPITAL ROTARY CLUB</t>
  </si>
  <si>
    <t>2018 Annual Donation - Teddy Bear Tea Pa</t>
  </si>
  <si>
    <t>2018 TBTP Donation</t>
  </si>
  <si>
    <t>PO-2183-18-03952</t>
  </si>
  <si>
    <t>VO04769767</t>
  </si>
  <si>
    <t>JRNL00904376</t>
  </si>
  <si>
    <t>JRNLWA00379670</t>
  </si>
  <si>
    <t>Drive Cam Hoodies &amp; Hats for Driver's</t>
  </si>
  <si>
    <t>PO-2183-18-03541</t>
  </si>
  <si>
    <t>VO04775187</t>
  </si>
  <si>
    <t>JRNL00904637</t>
  </si>
  <si>
    <t>JRNLWA00379329</t>
  </si>
  <si>
    <t>JRNL00903515</t>
  </si>
  <si>
    <t>JRNLWA00379950</t>
  </si>
  <si>
    <t>VUS000025759</t>
  </si>
  <si>
    <t>THE FIRST TEE OF SOUTH PUGET SOUND</t>
  </si>
  <si>
    <t>2018HAR16 - HARBOTTLE GOLF CLASSIC - BIR</t>
  </si>
  <si>
    <t>2018HAR16</t>
  </si>
  <si>
    <t>PO-2111-18-04821</t>
  </si>
  <si>
    <t>VO04788723</t>
  </si>
  <si>
    <t>JRNL00905548</t>
  </si>
  <si>
    <t>FRAUD-CURRENCY CONVERSION~JEFF HARWOOD</t>
  </si>
  <si>
    <t>RED WAGON BURGERS~ARIN ROBERTSON</t>
  </si>
  <si>
    <t>SENIOR SERVICES FOR SS~JEFF HARWOOD</t>
  </si>
  <si>
    <t>HOMELESS BACKPACKS~JEFF HARWOOD</t>
  </si>
  <si>
    <t>LINDQUIST DENTAL CLINIC~JEFF HARWOOD</t>
  </si>
  <si>
    <t>JRNLWA00380821</t>
  </si>
  <si>
    <t>Company Party</t>
  </si>
  <si>
    <t>JRNL00907281</t>
  </si>
  <si>
    <t>WA SECRETARY OF STATE~JEFF HARWOOD</t>
  </si>
  <si>
    <t>PO-2183-18-04371</t>
  </si>
  <si>
    <t>FAMILY SUPPORT CENTER OF~JEFF HARWOOD</t>
  </si>
  <si>
    <t>PO-2183-18-04421</t>
  </si>
  <si>
    <t>PO-2183-18-04461</t>
  </si>
  <si>
    <t>PO-2183-18-04509</t>
  </si>
  <si>
    <t>PO-2183-18-04510</t>
  </si>
  <si>
    <t>PO-2183-18-04511</t>
  </si>
  <si>
    <t>UBER   EATS 77SCM~JEFF HARWOOD</t>
  </si>
  <si>
    <t>PO-2183-18-04535</t>
  </si>
  <si>
    <t>PIZZA HUT #022733~JEFF HARWOOD</t>
  </si>
  <si>
    <t>PO-2183-18-04600</t>
  </si>
  <si>
    <t>PO-2183-18-04601</t>
  </si>
  <si>
    <t>PO-2183-18-04602</t>
  </si>
  <si>
    <t>RAM RESTAURANT  LACEY~JEFF HARWOOD</t>
  </si>
  <si>
    <t>PO-2183-18-04632</t>
  </si>
  <si>
    <t>PO-2183-18-04737</t>
  </si>
  <si>
    <t>MICHAELS STORES 8411~JEFF HARWOOD</t>
  </si>
  <si>
    <t>PO-2183-18-04791</t>
  </si>
  <si>
    <t>JRNLWA00382214</t>
  </si>
  <si>
    <t>JRNL00911254</t>
  </si>
  <si>
    <t>IN  BUDD BAY EMBROIDERY,~JEFF HARWOOD</t>
  </si>
  <si>
    <t>JRNLWA00382246</t>
  </si>
  <si>
    <t>JRNL00911334</t>
  </si>
  <si>
    <t>JRNLWA00383135</t>
  </si>
  <si>
    <t>Nov PCard Activity - Western</t>
  </si>
  <si>
    <t>WPY OREGON FOOD BANK~LYNSIE BRESSLER</t>
  </si>
  <si>
    <t>JRNL00913705</t>
  </si>
  <si>
    <t>TACOMA RAINIERS BB~JEFF HARWOOD</t>
  </si>
  <si>
    <t>HALLOWEENCOSTUMES.COM~JEFF HARWOOD</t>
  </si>
  <si>
    <t>AMZN MKTP US M07193OC1~LYNSIE BRESSLER</t>
  </si>
  <si>
    <t>WALMART.COM 8009666546~JEFF HARWOOD</t>
  </si>
  <si>
    <t>MCDONALD'S M4722 OF WA~ARIN ROBERTSON</t>
  </si>
  <si>
    <t>PCARD: PO 05225: Baudville: PCard: Emplo</t>
  </si>
  <si>
    <t>PCARD: PO 05322: Pizza Hut: PCard: Emplo</t>
  </si>
  <si>
    <t>JRNLWA00383879</t>
  </si>
  <si>
    <t>BAUDVILLE INC.~JEFF HARWOOD</t>
  </si>
  <si>
    <t>JRNL00915209</t>
  </si>
  <si>
    <t>SUBWAY        03361243~JEFF HARWOOD</t>
  </si>
  <si>
    <t>WM SUPERCENTER #3531~JEFF HARWOOD</t>
  </si>
  <si>
    <t>OLIVE GARDEN  00014480~JEFF HARWOOD</t>
  </si>
  <si>
    <t>THE FIRST TEE SPS~JEFF HARWOOD</t>
  </si>
  <si>
    <t>ULTA #1441~JEFF HARWOOD</t>
  </si>
  <si>
    <t>SMART FOODSERVICE 548~ROB TYNDALL</t>
  </si>
  <si>
    <t>CABELA'S RETAIL 026~ARIN ROBERTSON</t>
  </si>
  <si>
    <t>JOANN STORES #2038~ARIN ROBERTSON</t>
  </si>
  <si>
    <t>WAL-MART #3705~ARIN ROBERTSON</t>
  </si>
  <si>
    <t>LACEY GROCERY OUTLE~ARIN ROBERTSON</t>
  </si>
  <si>
    <t>TARGET        00013557~ARIN ROBERTSON</t>
  </si>
  <si>
    <t>FRED-MEYER #0186~ARIN ROBERTSON</t>
  </si>
  <si>
    <t>ROSS STORES #169~ARIN ROBERTSON</t>
  </si>
  <si>
    <t>CIGAR DADDIES~ARIN ROBERTSON</t>
  </si>
  <si>
    <t>THE HOME DEPOT #4742~ARIN ROBERTSON</t>
  </si>
  <si>
    <t>JRNLWA00383909</t>
  </si>
  <si>
    <t>2018-11 Pcard Accrual</t>
  </si>
  <si>
    <t>EBI EBAGS.COM~LYNSIE BRESSLER</t>
  </si>
  <si>
    <t>JRNL00915252</t>
  </si>
  <si>
    <t>AMZN MKTP US M05Y59GW1~LYNSIE BRESSLER</t>
  </si>
  <si>
    <t>BESTBUYCOM805590007532~LYNSIE BRESSLER</t>
  </si>
  <si>
    <t>BESTBUYCOM805589980697~LYNSIE BRESSLER</t>
  </si>
  <si>
    <t>JRNLWA00383965</t>
  </si>
  <si>
    <t>JRNL00915338</t>
  </si>
  <si>
    <t>JRNLWA00383973</t>
  </si>
  <si>
    <t>JRNL00915348</t>
  </si>
  <si>
    <t>PIZZA HUT #022733~ARIN ROBERTSON</t>
  </si>
  <si>
    <t>CASA MIA ITALIAN RESTA~JEFF HARWOOD</t>
  </si>
  <si>
    <t>SQ  EZ FOODS OLYMPI~JEFF HARWOOD</t>
  </si>
  <si>
    <t>HUNTER FAMILY FARM~JEFF HARWOOD</t>
  </si>
  <si>
    <t>TOTAL WINE AND MORE 1406~ARIN ROBERTSON</t>
  </si>
  <si>
    <t>UBER   EATS CHDZX~JEFF HARWOOD</t>
  </si>
  <si>
    <t>HAWKS PRAIRIE RESTAURANT~JEFF HARWOOD</t>
  </si>
  <si>
    <t>DOLLAR TREE~JEFF HARWOOD</t>
  </si>
  <si>
    <t>KIWANIS CLUB OF CEN/~TOM RUPERT</t>
  </si>
  <si>
    <t>JRNLWA00385306</t>
  </si>
  <si>
    <t>JRNL00918905</t>
  </si>
  <si>
    <t>JRNLWA00385854</t>
  </si>
  <si>
    <t>VUS000026187</t>
  </si>
  <si>
    <t>HANDS ON CHILDRENS MUSEUM</t>
  </si>
  <si>
    <t>1st of 3 year sponsorship</t>
  </si>
  <si>
    <t>PO-2183-19-00053</t>
  </si>
  <si>
    <t>VO04893744</t>
  </si>
  <si>
    <t>JRNL00920123</t>
  </si>
  <si>
    <t>JRNLWA00385882</t>
  </si>
  <si>
    <t>Petty Cash 01-16-19</t>
  </si>
  <si>
    <t>PO-2183-19-00314</t>
  </si>
  <si>
    <t>VO04896058</t>
  </si>
  <si>
    <t>JRNL00920169</t>
  </si>
  <si>
    <t>JRNLWA00385402</t>
  </si>
  <si>
    <t>JRNL00919026</t>
  </si>
  <si>
    <t>JRNLWA00386064</t>
  </si>
  <si>
    <t>VUS000011113</t>
  </si>
  <si>
    <t>CLASSIC INDUSTRIAL SUPPLIES INC</t>
  </si>
  <si>
    <t>Driver Hoodies / Jackets</t>
  </si>
  <si>
    <t>PO-2183-19-00526</t>
  </si>
  <si>
    <t>VO04908366</t>
  </si>
  <si>
    <t>JRNL00921039</t>
  </si>
  <si>
    <t>Driver Hoodies</t>
  </si>
  <si>
    <t>PO-2183-19-00527</t>
  </si>
  <si>
    <t>VO04908367</t>
  </si>
  <si>
    <t>WALMART.COM~ROB TYNDALL</t>
  </si>
  <si>
    <t>JRNLWA00386331</t>
  </si>
  <si>
    <t>Rev7-Manual Payments</t>
  </si>
  <si>
    <t>PAYMENT FOR PO #00526</t>
  </si>
  <si>
    <t>JRNL00921698</t>
  </si>
  <si>
    <t>PAYMENT FOR PO #00527</t>
  </si>
  <si>
    <t>JRNLWA00386969</t>
  </si>
  <si>
    <t>SQ  SOUTH SOUND READING F~JEFF HARWOOD</t>
  </si>
  <si>
    <t>JRNL00923104</t>
  </si>
  <si>
    <t>HAWKS PRAIRIE RESTAURANT~ARIN ROBERTSON</t>
  </si>
  <si>
    <t>JRNLWA00387079</t>
  </si>
  <si>
    <t>JRNL00923261</t>
  </si>
  <si>
    <t>JRNLWA00387536</t>
  </si>
  <si>
    <t>Drive Cam Hoodies</t>
  </si>
  <si>
    <t>PO-2183-19-00506</t>
  </si>
  <si>
    <t>VO04936126</t>
  </si>
  <si>
    <t>JRNL00924836</t>
  </si>
  <si>
    <t>UBER   EATS~JEFF HARWOOD</t>
  </si>
  <si>
    <t>JRNLWA00388266</t>
  </si>
  <si>
    <t>MILLER RANCH &amp; HUNTING~TOM RUPERT</t>
  </si>
  <si>
    <t>JRNL00926514</t>
  </si>
  <si>
    <t>JRNLWA00388461</t>
  </si>
  <si>
    <t>2019-02 Exp Report Accrual</t>
  </si>
  <si>
    <t>Jeffrey Harwood (114389)</t>
  </si>
  <si>
    <t>JRNL00926717</t>
  </si>
  <si>
    <t>JRNLWA00388494</t>
  </si>
  <si>
    <t>VUS000011131: PO 00734: RAY RICHARDS: Sh</t>
  </si>
  <si>
    <t>JRNL00926750</t>
  </si>
  <si>
    <t>PCARD: PO 00804: Artistry in Flowers: PC</t>
  </si>
  <si>
    <t>JRNLWA00388777</t>
  </si>
  <si>
    <t>Concern For Animals Membership ( Family)</t>
  </si>
  <si>
    <t>2019 Membership</t>
  </si>
  <si>
    <t>PO-2183-19-00867</t>
  </si>
  <si>
    <t>VO04947113</t>
  </si>
  <si>
    <t>JRNL00927268</t>
  </si>
  <si>
    <t>JRNLWA00388812</t>
  </si>
  <si>
    <t>Shirts - Kris M</t>
  </si>
  <si>
    <t>PO-2183-19-00734</t>
  </si>
  <si>
    <t>VO04951055</t>
  </si>
  <si>
    <t>JRNL00927389</t>
  </si>
  <si>
    <t>JRNLWA00388820</t>
  </si>
  <si>
    <t>VUS000028748</t>
  </si>
  <si>
    <t>YELM DOLLARS FOR SCHOLARS</t>
  </si>
  <si>
    <t>Donation 2019</t>
  </si>
  <si>
    <t>PO-2183-19-01247</t>
  </si>
  <si>
    <t>VO04952516</t>
  </si>
  <si>
    <t>JRNL00927413</t>
  </si>
  <si>
    <t>FX2183</t>
  </si>
  <si>
    <t>JRNLWA00388851</t>
  </si>
  <si>
    <t>VUS000015161</t>
  </si>
  <si>
    <t>LACEY SPRING FUN FAIR</t>
  </si>
  <si>
    <t>Pavillion Stage Sponsor</t>
  </si>
  <si>
    <t>PO-2183-19-01232</t>
  </si>
  <si>
    <t>VO04955678</t>
  </si>
  <si>
    <t>JRNL00927532</t>
  </si>
  <si>
    <t>JRNLWA00388505</t>
  </si>
  <si>
    <t>JRNL00926578</t>
  </si>
  <si>
    <t>JRNLWA00388569</t>
  </si>
  <si>
    <t>JRNL00926892</t>
  </si>
  <si>
    <t>JRNLWA00388585</t>
  </si>
  <si>
    <t>JRNL00926908</t>
  </si>
  <si>
    <t>JRNLWA00389093</t>
  </si>
  <si>
    <t>Petty Cash March 27 201</t>
  </si>
  <si>
    <t>Petty Cash 032719</t>
  </si>
  <si>
    <t>PO-2183-19-01439</t>
  </si>
  <si>
    <t>VO04970295</t>
  </si>
  <si>
    <t>JRNL00928140</t>
  </si>
  <si>
    <t>JRNLWA00389218</t>
  </si>
  <si>
    <t>Western Pcard Activity - March</t>
  </si>
  <si>
    <t>JRNL00928385</t>
  </si>
  <si>
    <t>WILLIE S SPORT SHOP~JEFF HARWOOD</t>
  </si>
  <si>
    <t>WAL-MART #3850~ROB TYNDALL</t>
  </si>
  <si>
    <t>POPEYE'S #11363~JEFF HARWOOD</t>
  </si>
  <si>
    <t>SSP RAINIEREDUFOUNDATION~JEFF HARWOOD</t>
  </si>
  <si>
    <t>SMART FOODSERVICE 548~ARIN ROBERTSON</t>
  </si>
  <si>
    <t>COSTCO WHSE #0740~ARIN ROBERTSON</t>
  </si>
  <si>
    <t>SAFEWAY #1173~ARIN ROBERTSON</t>
  </si>
  <si>
    <t>PCARD: PO 01296: PCARD VENDOR CODE FOR 1</t>
  </si>
  <si>
    <t>VUS000015926: PO 01400: BOYS AND GIRLS C</t>
  </si>
  <si>
    <t>PCARD: PO 01407: The MayDay Foundation:</t>
  </si>
  <si>
    <t>PCARD: PO 01496: Miller Ranch: PCard: Ma</t>
  </si>
  <si>
    <t>JRNLWA00389688</t>
  </si>
  <si>
    <t>2019  Boys and Girls Club Breakfast Spon</t>
  </si>
  <si>
    <t>PO-2183-19-01400</t>
  </si>
  <si>
    <t>VO04973493</t>
  </si>
  <si>
    <t>JRNL00929315</t>
  </si>
  <si>
    <t>THE MAYDAY FOUNDATION~JEFF HARWOOD</t>
  </si>
  <si>
    <t>MILLER RANCH &amp; HUNTING~JEFF HARWOOD</t>
  </si>
  <si>
    <t>OLIVE GARDEN 0021448~JEFF HARWOOD</t>
  </si>
  <si>
    <t>ATRIUM HLTH PNVLL GIFT~JEFF HARWOOD</t>
  </si>
  <si>
    <t>PCARD: PO 01465: Family Justice Center F</t>
  </si>
  <si>
    <t>PCARD: PO 02000: Costco: PCard: Cake / O</t>
  </si>
  <si>
    <t>PCARD: PO 02001: Safeway: PCard: Cake /</t>
  </si>
  <si>
    <t>JRNLWA00391257</t>
  </si>
  <si>
    <t>JRNL00932811</t>
  </si>
  <si>
    <t>This whole account is a mix of employee activities (lunches, manager retreats, shirts for the team, annual/christmas parties, etc), donations, and an employee memorial service.  Items &gt;$2k are explained below</t>
  </si>
  <si>
    <t>x</t>
  </si>
  <si>
    <t>Drive Cam Safety hoodies for employees</t>
  </si>
  <si>
    <t>Event Calendars</t>
  </si>
  <si>
    <t>Employee memorial service</t>
  </si>
  <si>
    <t>Annual employee appreciation</t>
  </si>
  <si>
    <t>Christmas dinner in the office</t>
  </si>
  <si>
    <t>Christmas candy for various city/county offices, large customers, etc</t>
  </si>
  <si>
    <t>70195</t>
  </si>
  <si>
    <t>70195-2183-000-00</t>
  </si>
  <si>
    <t>JRNLWA00372598</t>
  </si>
  <si>
    <t>VUS000014985</t>
  </si>
  <si>
    <t>WASHINGTON REFUSE &amp; RECYCLING ASSOC</t>
  </si>
  <si>
    <t>WRRA Regular Dues</t>
  </si>
  <si>
    <t>PO-2000-18-01949</t>
  </si>
  <si>
    <t>VO04641071</t>
  </si>
  <si>
    <t>JRNL00887345</t>
  </si>
  <si>
    <t>SEMIAHMOO RESORT HOTEL~JEFF HARWOOD</t>
  </si>
  <si>
    <t>PCARD: PO 02312: WRRA: PCard: Annual Mee</t>
  </si>
  <si>
    <t>JRNLWA00375021</t>
  </si>
  <si>
    <t>PO-2000-18-02414</t>
  </si>
  <si>
    <t>VO04677949</t>
  </si>
  <si>
    <t>JRNL00892858</t>
  </si>
  <si>
    <t>IN  WASHINGTON REFUSE &amp; R~ARIN ROBERTSON</t>
  </si>
  <si>
    <t>LACEY SOUTH SOUND CHAMBER~JEFF HARWOOD</t>
  </si>
  <si>
    <t>JRNLWA00376671</t>
  </si>
  <si>
    <t>WRRA regular dues</t>
  </si>
  <si>
    <t>PO-2000-18-02948</t>
  </si>
  <si>
    <t>VO04715045</t>
  </si>
  <si>
    <t>JRNL00897143</t>
  </si>
  <si>
    <t>PCARD: PO 03014: Thurston County Economi</t>
  </si>
  <si>
    <t>JRNLWA00378064</t>
  </si>
  <si>
    <t>PO-2000-18-03260</t>
  </si>
  <si>
    <t>VO04736220</t>
  </si>
  <si>
    <t>JRNL00900476</t>
  </si>
  <si>
    <t>VUS000025525: PO 03014: THURSTON COUNTY</t>
  </si>
  <si>
    <t>JRNLWA00378832</t>
  </si>
  <si>
    <t>VUS000025525</t>
  </si>
  <si>
    <t>THURSTON COUNTY ECONOMIC DEVELOPMENT</t>
  </si>
  <si>
    <t>Annual Membership 7-1-2018 - 6-30-19</t>
  </si>
  <si>
    <t>PO-2183-18-03014</t>
  </si>
  <si>
    <t>VO04762782</t>
  </si>
  <si>
    <t>JRNL00902795</t>
  </si>
  <si>
    <t>JRNLWA00379698</t>
  </si>
  <si>
    <t>PO-2000-18-03652</t>
  </si>
  <si>
    <t>VO04778008</t>
  </si>
  <si>
    <t>JRNL00904771</t>
  </si>
  <si>
    <t>JRNLWA00381303</t>
  </si>
  <si>
    <t>PO-2000-18-03997</t>
  </si>
  <si>
    <t>VO04806236</t>
  </si>
  <si>
    <t>JRNL00908687</t>
  </si>
  <si>
    <t>COSTCO BUS CENTER 767~JEFF HARWOOD</t>
  </si>
  <si>
    <t>PO-2183-18-04569</t>
  </si>
  <si>
    <t>JRNLWA00382796</t>
  </si>
  <si>
    <t>WRRA Regular Dues Nov.</t>
  </si>
  <si>
    <t>PO-2000-18-04347</t>
  </si>
  <si>
    <t>VO04836697</t>
  </si>
  <si>
    <t>JRNL00912588</t>
  </si>
  <si>
    <t>JRNLWA00384203</t>
  </si>
  <si>
    <t>PO-2000-18-04681</t>
  </si>
  <si>
    <t>VO04859541</t>
  </si>
  <si>
    <t>JRNL00916091</t>
  </si>
  <si>
    <t>THURSTON COUNTY CHAMBE~JEFF HARWOOD</t>
  </si>
  <si>
    <t>WASHINGTON STATE RECYCLIN~JEFF HARWOOD</t>
  </si>
  <si>
    <t>JRNLWA00385855</t>
  </si>
  <si>
    <t>PO-2000-19-00087</t>
  </si>
  <si>
    <t>VO04894005</t>
  </si>
  <si>
    <t>JRNL00920124</t>
  </si>
  <si>
    <t>THE OLYMPIAN-CIRCULATI~JEFF HARWOOD</t>
  </si>
  <si>
    <t>JRNLWA00387401</t>
  </si>
  <si>
    <t>PO-2000-19-00532</t>
  </si>
  <si>
    <t>VO04925537</t>
  </si>
  <si>
    <t>JRNL00924314</t>
  </si>
  <si>
    <t>JRNLWA00388437</t>
  </si>
  <si>
    <t>2019-02 TacH PO Log Accr</t>
  </si>
  <si>
    <t>PO 00858: ASSOCIATION OF WASHINGTON BUSI</t>
  </si>
  <si>
    <t>JRNL00926693</t>
  </si>
  <si>
    <t>VUS000008916: PO 00867: CONCERN FOR ANIM</t>
  </si>
  <si>
    <t>JRNLWA00387839</t>
  </si>
  <si>
    <t>VUS000014809</t>
  </si>
  <si>
    <t>ASSOCIATION OF WASHINGTON BUSINESS</t>
  </si>
  <si>
    <t>192113 - AWB Association of WA Business</t>
  </si>
  <si>
    <t>PO-2111-19-00858</t>
  </si>
  <si>
    <t>VO04941245</t>
  </si>
  <si>
    <t>JRNL00925493</t>
  </si>
  <si>
    <t>JRNLWA00388964</t>
  </si>
  <si>
    <t>PO-2000-19-00979</t>
  </si>
  <si>
    <t>VO04964688</t>
  </si>
  <si>
    <t>JRNL00927825</t>
  </si>
  <si>
    <t>JRNLWA00388559</t>
  </si>
  <si>
    <t>JRNL00926882</t>
  </si>
  <si>
    <t>JRNLWA00390306</t>
  </si>
  <si>
    <t>PO-2000-19-01352</t>
  </si>
  <si>
    <t>VO04979309</t>
  </si>
  <si>
    <t>JRNL00930569</t>
  </si>
  <si>
    <t>TRACKBILL, LLC~LYNSIE BRESSLER</t>
  </si>
  <si>
    <t>See Calc below</t>
  </si>
  <si>
    <t>WRSA conference</t>
  </si>
  <si>
    <t>WRRA conference registration</t>
  </si>
  <si>
    <t>City of Lacey Chamber membership</t>
  </si>
  <si>
    <t>Thurston County economic development membership</t>
  </si>
  <si>
    <t>Costco business membership</t>
  </si>
  <si>
    <t>Thurston County Chamber membership</t>
  </si>
  <si>
    <t>WSRA membership</t>
  </si>
  <si>
    <t>Local newspaper subscription</t>
  </si>
  <si>
    <t>Association of WA Business membership</t>
  </si>
  <si>
    <t>Trackbill program for Governmental Affairs (??)</t>
  </si>
  <si>
    <t>WRRA Regular Due</t>
  </si>
  <si>
    <t>Less disallowed portion</t>
  </si>
  <si>
    <t>Allowable:</t>
  </si>
  <si>
    <t>70255</t>
  </si>
  <si>
    <t>70255-2183-000-00</t>
  </si>
  <si>
    <t>JRNLWA00372920</t>
  </si>
  <si>
    <t>Ruby Canyon, Cameron Cole Accr</t>
  </si>
  <si>
    <t>Ruby Canyon, Cameron Cole Accrual  - Apr</t>
  </si>
  <si>
    <t>JRNL00887940</t>
  </si>
  <si>
    <t>JRNL00887970</t>
  </si>
  <si>
    <t>PCARD: PO 00009: InSite: PCard: Waste Al</t>
  </si>
  <si>
    <t>JRNLWA00373784</t>
  </si>
  <si>
    <t>VUS000023857</t>
  </si>
  <si>
    <t>NEAL JOHNSON</t>
  </si>
  <si>
    <t>Third party pricing consultant for UTC m</t>
  </si>
  <si>
    <t>WCN-01</t>
  </si>
  <si>
    <t>PO-2000-18-02367</t>
  </si>
  <si>
    <t>VO04668693</t>
  </si>
  <si>
    <t>JRNL00890350</t>
  </si>
  <si>
    <t>IN  INSITE LGA CORP.~JEFF HARWOOD</t>
  </si>
  <si>
    <t>JRNLWA00374422</t>
  </si>
  <si>
    <t>Ruby Canyon, Cameron Cole Accrual  - May</t>
  </si>
  <si>
    <t>JRNL00891714</t>
  </si>
  <si>
    <t>JRNLWA00375068</t>
  </si>
  <si>
    <t>VUS000023348</t>
  </si>
  <si>
    <t>SHANE LOCKE</t>
  </si>
  <si>
    <t>20180708 - NEW DIVISION LOGO</t>
  </si>
  <si>
    <t>PO-2111-18-03021</t>
  </si>
  <si>
    <t>VO04683065</t>
  </si>
  <si>
    <t>JRNL00893088</t>
  </si>
  <si>
    <t>JRNLWA00374437</t>
  </si>
  <si>
    <t>JRNL00891732</t>
  </si>
  <si>
    <t>IN  INSITE LGA CORP.~ARIN ROBERTSON</t>
  </si>
  <si>
    <t>JRNLWA00375586</t>
  </si>
  <si>
    <t>Ruby Canyon, Cameron Cole Accrual  - Jun</t>
  </si>
  <si>
    <t>JRNL00894826</t>
  </si>
  <si>
    <t>JRNLWA00375587</t>
  </si>
  <si>
    <t>Ruby Canyon, Cameron Cole Allo</t>
  </si>
  <si>
    <t>Ruby Canyon, Cameron Cole Allocation  -</t>
  </si>
  <si>
    <t>JRNL00894827</t>
  </si>
  <si>
    <t>JRNLWA00375663</t>
  </si>
  <si>
    <t>JRNL00894829</t>
  </si>
  <si>
    <t>JRNLWA00376947</t>
  </si>
  <si>
    <t>Pcard Activity July18</t>
  </si>
  <si>
    <t>GADGET FIX~NAMEN CHAMBLISS</t>
  </si>
  <si>
    <t>JRNL00898249</t>
  </si>
  <si>
    <t>JRNLWA00377679</t>
  </si>
  <si>
    <t>Ruby Canyon, Cameron Cole Accrual  - Jul</t>
  </si>
  <si>
    <t>JRNL00899739</t>
  </si>
  <si>
    <t>JRNLWA00377680</t>
  </si>
  <si>
    <t>JRNL00899740</t>
  </si>
  <si>
    <t>JRNLWA00377736</t>
  </si>
  <si>
    <t>JRNL00899900</t>
  </si>
  <si>
    <t>JRNLWA00379245</t>
  </si>
  <si>
    <t>JRNL00903596</t>
  </si>
  <si>
    <t>JRNLWA00379246</t>
  </si>
  <si>
    <t>Ruby Canyon, Cameron Cole Accrual  - Aug</t>
  </si>
  <si>
    <t>JRNL00903597</t>
  </si>
  <si>
    <t>JRNLWA00379342</t>
  </si>
  <si>
    <t>JRNL00903801</t>
  </si>
  <si>
    <t>JRNLWA00380525</t>
  </si>
  <si>
    <t>JRNL00906696</t>
  </si>
  <si>
    <t>JRNLWA00380675</t>
  </si>
  <si>
    <t>Ruby Canyon, Cameron Cole Accrual  - Sep</t>
  </si>
  <si>
    <t>JRNL00907178</t>
  </si>
  <si>
    <t>PO-2183-18-00009</t>
  </si>
  <si>
    <t>JRNLWA00380706</t>
  </si>
  <si>
    <t>JRNL00907201</t>
  </si>
  <si>
    <t>JRNLWA00382380</t>
  </si>
  <si>
    <t>Ruby Canyon, Cameron Cole Allocation  Se</t>
  </si>
  <si>
    <t>JRNL00911574</t>
  </si>
  <si>
    <t>Route Tablets repair</t>
  </si>
  <si>
    <t>Waste Alert Monitoring and Reporting (government news tracking for local juristictions)</t>
  </si>
  <si>
    <t>Third party pricing consultant for UTC model</t>
  </si>
  <si>
    <t>Corp allocation of Cameron Cole expense</t>
  </si>
  <si>
    <t>New division logo</t>
  </si>
  <si>
    <t>Allowable</t>
  </si>
  <si>
    <t>Leasehold Improvement</t>
  </si>
  <si>
    <t>Buildings</t>
  </si>
  <si>
    <t>RS-7: Restate In Other Wages/Expense</t>
  </si>
  <si>
    <t xml:space="preserve">RS-8: Recycle Revenue Adjustment </t>
  </si>
  <si>
    <t>Recycle Revenue Adjustment</t>
  </si>
  <si>
    <t>Disposal Allocation</t>
  </si>
  <si>
    <t>MSW Lbs</t>
  </si>
  <si>
    <t>101*</t>
  </si>
  <si>
    <t>*</t>
  </si>
  <si>
    <t>Corp</t>
  </si>
  <si>
    <t>Corporate P&amp;L Detail</t>
  </si>
  <si>
    <t>Corp Payroll Tax %</t>
  </si>
  <si>
    <t>YTD 12</t>
  </si>
  <si>
    <t>2018</t>
  </si>
  <si>
    <t>Adjustments</t>
  </si>
  <si>
    <t>Airplane depreciation, as removed on prior rate cases, TG-170036/170037.</t>
  </si>
  <si>
    <t>Remove non-regulated operating assets and R360 assets in TG-130501 and TG-130502</t>
  </si>
  <si>
    <t>RM Fixed Costs</t>
  </si>
  <si>
    <t>Deferred Comp Earnings</t>
  </si>
  <si>
    <t>Corp PR Tax</t>
  </si>
  <si>
    <t>Corporate Office Relocation</t>
  </si>
  <si>
    <t>Plane Parts &amp; Materials</t>
  </si>
  <si>
    <t>Aircraft Lubricants &amp; Consumables</t>
  </si>
  <si>
    <t>Real Estate Rentals</t>
  </si>
  <si>
    <t>Equip/Vehicle Rental</t>
  </si>
  <si>
    <t>Outside Storages</t>
  </si>
  <si>
    <t>Accounting Professional Fees</t>
  </si>
  <si>
    <t>Payroll Processing Fees</t>
  </si>
  <si>
    <t>Acquisition Cost Write Off</t>
  </si>
  <si>
    <t>Directors and Officers Insurance</t>
  </si>
  <si>
    <t>Board of Directors Fees</t>
  </si>
  <si>
    <t>Board of Directors Expense Report</t>
  </si>
  <si>
    <t>Trade Shows</t>
  </si>
  <si>
    <t xml:space="preserve">     Total expenses</t>
  </si>
  <si>
    <t>3*,!3*9</t>
  </si>
  <si>
    <t xml:space="preserve">     Total eliminated revenues</t>
  </si>
  <si>
    <t>Inter-co elimiation rev</t>
  </si>
  <si>
    <t>3*</t>
  </si>
  <si>
    <t>Gross Revenue before eliminations</t>
  </si>
  <si>
    <t xml:space="preserve">     Total eligible allocation rate</t>
  </si>
  <si>
    <t>Notes</t>
  </si>
  <si>
    <t>Rev - Actual</t>
  </si>
  <si>
    <t>Number of Trucks</t>
  </si>
  <si>
    <t>RTA Labor</t>
  </si>
  <si>
    <t>RTA Truck Count</t>
  </si>
  <si>
    <t>RTA Report (RTA is our maintenance tracking software).</t>
  </si>
  <si>
    <t>2183, 2184, 2185</t>
  </si>
  <si>
    <t>59341</t>
  </si>
  <si>
    <t>Claimant</t>
  </si>
  <si>
    <t>Service Area</t>
  </si>
  <si>
    <t>LOB (regulated vs Comm/RO Recycle)</t>
  </si>
  <si>
    <t>59341-2183-000-00</t>
  </si>
  <si>
    <t>JRNLWA00378363</t>
  </si>
  <si>
    <t>Aug 10th Insurance Entry</t>
  </si>
  <si>
    <t>Auto NI claim 55564956674987</t>
  </si>
  <si>
    <t>MUSSON;WILLIAM</t>
  </si>
  <si>
    <t>IV MADE A LEFT TURN AND HIT OV</t>
  </si>
  <si>
    <t>regulated</t>
  </si>
  <si>
    <t>JRNL00901823</t>
  </si>
  <si>
    <t>59341-2184-000-00</t>
  </si>
  <si>
    <t>JRNLWA00375189</t>
  </si>
  <si>
    <t>June 11th Insurance Entry</t>
  </si>
  <si>
    <t>Auto NI claim 55564956970491</t>
  </si>
  <si>
    <t>HUME;TINA M</t>
  </si>
  <si>
    <t>IV WAS HIT BY THE OV GOING AROUND A ROUNDABOUT</t>
  </si>
  <si>
    <t>non-reg</t>
  </si>
  <si>
    <t>JRNL00893683</t>
  </si>
  <si>
    <t>JRNLWA00382985</t>
  </si>
  <si>
    <t>Nov 9th Insurance Entry</t>
  </si>
  <si>
    <t>JRNL00913403</t>
  </si>
  <si>
    <t>JRNLWA00376862</t>
  </si>
  <si>
    <t>July 11th Insurance Entry</t>
  </si>
  <si>
    <t>Auto NI claim 5556495716000X</t>
  </si>
  <si>
    <t>PUGET SOUND ENERGY</t>
  </si>
  <si>
    <t>IV STRUCK LIGHT POLE</t>
  </si>
  <si>
    <t xml:space="preserve">Pacific </t>
  </si>
  <si>
    <t>JRNL00897891</t>
  </si>
  <si>
    <t>JRNLWA00379827</t>
  </si>
  <si>
    <t>Sept 10th Insurance Entry</t>
  </si>
  <si>
    <t>JRNL00905376</t>
  </si>
  <si>
    <t>Auto NI claim 55564957195683</t>
  </si>
  <si>
    <t>FABREGAS;YVETTE</t>
  </si>
  <si>
    <t>IV SIDESWIPED OV THAT WAS PARKED</t>
  </si>
  <si>
    <t>JRNLWA00381452</t>
  </si>
  <si>
    <t>Oct 10th Insurance Entry</t>
  </si>
  <si>
    <t>JRNL00909401</t>
  </si>
  <si>
    <t>Auto NI claim 55564957595522</t>
  </si>
  <si>
    <t>RIVERA;JOSE</t>
  </si>
  <si>
    <t>IV STRUCK A PARKED VEHICLE</t>
  </si>
  <si>
    <t>Auto NI claim 55564957655417</t>
  </si>
  <si>
    <t>OLIVIERI;ANNA</t>
  </si>
  <si>
    <t xml:space="preserve">pacific </t>
  </si>
  <si>
    <t>59341-2185-000-00</t>
  </si>
  <si>
    <t>Auto NI claim 55564957933805</t>
  </si>
  <si>
    <t>WESTBY;TYSON D.</t>
  </si>
  <si>
    <t>IV WAS STRUCK BY OV</t>
  </si>
  <si>
    <t xml:space="preserve">shred </t>
  </si>
  <si>
    <t>Auto NI claim 55564958143817</t>
  </si>
  <si>
    <t>RAMSTAD;KIMBERLY</t>
  </si>
  <si>
    <t>IV WAS STOPPED AT INTERSECTION.OV RAN LIGHT AND TBONED IV</t>
  </si>
  <si>
    <t>Auto NI claim 55564958267094</t>
  </si>
  <si>
    <t>YE;QINYING</t>
  </si>
  <si>
    <t>IV WAS REAR-ENDED BY OV.</t>
  </si>
  <si>
    <t>Roll-off Reg</t>
  </si>
  <si>
    <t>JRNLWA00384427</t>
  </si>
  <si>
    <t>Dec 10th Insurance Entry</t>
  </si>
  <si>
    <t>Auto NI claim 55564958667263</t>
  </si>
  <si>
    <t>JRNL00916900</t>
  </si>
  <si>
    <t>JRNLWA00388208</t>
  </si>
  <si>
    <t>Feb Ins Claim Entry</t>
  </si>
  <si>
    <t>Auto NI claim 55564959008582</t>
  </si>
  <si>
    <t>HORVATH;RYAN</t>
  </si>
  <si>
    <t>IV REAR ENDED OV</t>
  </si>
  <si>
    <t>pacific</t>
  </si>
  <si>
    <t xml:space="preserve">Regulated </t>
  </si>
  <si>
    <t>JRNL00926349</t>
  </si>
  <si>
    <t>JRNLWA00389185</t>
  </si>
  <si>
    <t>March Ins Claim Entry</t>
  </si>
  <si>
    <t>JRNL00928308</t>
  </si>
  <si>
    <t>Auto NI claim 55564959072778</t>
  </si>
  <si>
    <t>MALANCHUK;TIMOFEY T</t>
  </si>
  <si>
    <t>CLAIMANT HIT REAR-END / INSD STOPPED</t>
  </si>
  <si>
    <t xml:space="preserve">regulated </t>
  </si>
  <si>
    <t>JRNLWA00390585</t>
  </si>
  <si>
    <t>Apirl 8th Insurance Entry</t>
  </si>
  <si>
    <t>JRNL00931368</t>
  </si>
  <si>
    <t>Auto NI claim 55564959073086</t>
  </si>
  <si>
    <t>ZIMMERMAN;BRANDON L</t>
  </si>
  <si>
    <t>THE PARKED AND UNOCCUPIED IV WAS REAR ENDED BY THE OV. NO INJURIES WERE REPORTED. DAMAGE WAS INCUR</t>
  </si>
  <si>
    <t>Auto NI claim 55564959243146</t>
  </si>
  <si>
    <t>CORNETT;DEBORAH</t>
  </si>
  <si>
    <t>IV DROVE AROUND IN DRIVEWAY AND HIT THE PAD AND FLOWER BED</t>
  </si>
  <si>
    <t>Auto NI claim 55564959245775</t>
  </si>
  <si>
    <t>NELSON;TONYA</t>
  </si>
  <si>
    <t>THE COMPACTOR TO THE ENCLOSURE BECAME DISCONNECTED</t>
  </si>
  <si>
    <t xml:space="preserve">Roll-off regulated </t>
  </si>
  <si>
    <t>Auto NI claim 55564959466666</t>
  </si>
  <si>
    <t>URNESS;ROBERT W.</t>
  </si>
  <si>
    <t>IV STRUCK OV</t>
  </si>
  <si>
    <t>Auto NI claim 5556517466124X</t>
  </si>
  <si>
    <t>KATZIDASKI;EMALIA</t>
  </si>
  <si>
    <t>IV WAS STOPPED AND OV BACK INTO IV</t>
  </si>
  <si>
    <t>(blank)</t>
  </si>
  <si>
    <t>Comm Recycle</t>
  </si>
  <si>
    <t>Shred</t>
  </si>
  <si>
    <t>Non-Reg</t>
  </si>
  <si>
    <t>Manager training retreat</t>
  </si>
  <si>
    <t>Employee training retreat</t>
  </si>
  <si>
    <t>Equipment/Truck Safety Event</t>
  </si>
  <si>
    <t>Total Commingle</t>
  </si>
  <si>
    <t>Cust Cnt - 2183, No Comm Recycle</t>
  </si>
  <si>
    <t>Alloc Route/Comm Recycle</t>
  </si>
  <si>
    <t>Alloc Route Only</t>
  </si>
  <si>
    <t>2018-04</t>
  </si>
  <si>
    <t>Transfer Station</t>
  </si>
  <si>
    <t>MRF</t>
  </si>
  <si>
    <t>Non-Regulated</t>
  </si>
  <si>
    <t>57147</t>
  </si>
  <si>
    <t>Tonnage Allocation</t>
  </si>
  <si>
    <t>MRF Tons</t>
  </si>
  <si>
    <t>Actual - Tons</t>
  </si>
  <si>
    <t>Pieces of Equipment</t>
  </si>
  <si>
    <t>Pieces of Equip - Tons</t>
  </si>
  <si>
    <t>52135</t>
  </si>
  <si>
    <t>Pieces Equipment - Tons</t>
  </si>
  <si>
    <t>51260</t>
  </si>
  <si>
    <t>Revenue - Tons</t>
  </si>
  <si>
    <t>Transfer Station/ MRF Allocations (District 2184)</t>
  </si>
  <si>
    <t>MSW</t>
  </si>
  <si>
    <t>Recycle</t>
  </si>
  <si>
    <t>Comm Cust Cnt</t>
  </si>
  <si>
    <t>Rt Hrs - Resi/MF Recycle</t>
  </si>
  <si>
    <t>Recycle/MF Rt Hrs</t>
  </si>
  <si>
    <t>Residential/MF  Recycling</t>
  </si>
  <si>
    <t>Commercial Containers</t>
  </si>
  <si>
    <t>Recycle Carts</t>
  </si>
  <si>
    <t>Pacific/ Rural</t>
  </si>
  <si>
    <t>Comm Rec</t>
  </si>
  <si>
    <t xml:space="preserve">    Adjustment</t>
  </si>
  <si>
    <t>Adjusted Recycle Carts</t>
  </si>
  <si>
    <t xml:space="preserve">   Allocation of Remaining</t>
  </si>
  <si>
    <t>Adjusted Comm Containers</t>
  </si>
  <si>
    <t>Adjusted Roll Off</t>
  </si>
  <si>
    <t>RO Garbage Cust Cnt</t>
  </si>
  <si>
    <t>Resi Unit Count</t>
  </si>
  <si>
    <t>RO Unit Count</t>
  </si>
  <si>
    <t>Comm Unit Count</t>
  </si>
  <si>
    <t>Resi Recycle Cust Cnt</t>
  </si>
  <si>
    <t>Thurston County</t>
  </si>
  <si>
    <t>Pacific Tariff Regulated Price Out</t>
  </si>
  <si>
    <t>May 2018-April 2019</t>
  </si>
  <si>
    <t>Tariff Rate</t>
  </si>
  <si>
    <t>Tariff</t>
  </si>
  <si>
    <t>Pacific Annual</t>
  </si>
  <si>
    <t>Rural Annual</t>
  </si>
  <si>
    <t>Total Annual</t>
  </si>
  <si>
    <t xml:space="preserve">Annual </t>
  </si>
  <si>
    <t>Service Code</t>
  </si>
  <si>
    <t>Service Code Description</t>
  </si>
  <si>
    <t>Recy Rollback</t>
  </si>
  <si>
    <t>Customers</t>
  </si>
  <si>
    <t>Increase</t>
  </si>
  <si>
    <t>RESIDENTIAL SERVICES</t>
  </si>
  <si>
    <t>Concatenate (Area &amp;LOB &amp; Service Code)</t>
  </si>
  <si>
    <t>Count (ensures no duplicates)</t>
  </si>
  <si>
    <t>RESIDENTIAL GARBAGE</t>
  </si>
  <si>
    <t>RL020.0G1W001</t>
  </si>
  <si>
    <t>20 GL 1X WK 1</t>
  </si>
  <si>
    <t>RL032.0G1M001</t>
  </si>
  <si>
    <t>32 GL 1X MO 1</t>
  </si>
  <si>
    <t>RL032.0G1W001</t>
  </si>
  <si>
    <t>32 GL 1X WK 1</t>
  </si>
  <si>
    <t>RL032.0G1W001LL</t>
  </si>
  <si>
    <t>32 GL 1X WK LL 1</t>
  </si>
  <si>
    <t>RL032.0G1W002</t>
  </si>
  <si>
    <t>32 GL 1X WK 2</t>
  </si>
  <si>
    <t>RL032.0G1W003</t>
  </si>
  <si>
    <t>32 GL 1X WK 3</t>
  </si>
  <si>
    <t>SL020.0G1W001</t>
  </si>
  <si>
    <t>SL035.0G1M001</t>
  </si>
  <si>
    <t>35 GL 1X MO 1</t>
  </si>
  <si>
    <t>SL035.0G1W001</t>
  </si>
  <si>
    <t>35 GL 1X WK 1</t>
  </si>
  <si>
    <t>SL065.0G1W001</t>
  </si>
  <si>
    <t>65 GL 1X WK 1</t>
  </si>
  <si>
    <t>SL095.0G1M001</t>
  </si>
  <si>
    <t>95 GL 1X MO 1</t>
  </si>
  <si>
    <t>SL095.0G1W001</t>
  </si>
  <si>
    <t>95 GL 1X WK 1</t>
  </si>
  <si>
    <t>SP20-RES</t>
  </si>
  <si>
    <t>SP32-RES</t>
  </si>
  <si>
    <t>SPECIAL PICK UP 32 GL - RES</t>
  </si>
  <si>
    <t>SP35-RES</t>
  </si>
  <si>
    <t>SPECIAL PICKUP 35 GL - RES</t>
  </si>
  <si>
    <t>SP65-RES</t>
  </si>
  <si>
    <t>SPECIAL PICK UP 65 GL - R</t>
  </si>
  <si>
    <t>SP95-RES</t>
  </si>
  <si>
    <t>SPECIAL PICK UP 95 GL - R</t>
  </si>
  <si>
    <t>DISP-RES</t>
  </si>
  <si>
    <t>DISPOSAL FEE -RES</t>
  </si>
  <si>
    <t>DRIVEIN1-RES</t>
  </si>
  <si>
    <t>DRIVE IN 1 - RES</t>
  </si>
  <si>
    <t>DRIVEIN2-RES</t>
  </si>
  <si>
    <t>DRIVE IN 2 - RES</t>
  </si>
  <si>
    <t>EXTRA-RES</t>
  </si>
  <si>
    <t>EXTRA CAN, BAG, BOX - RES</t>
  </si>
  <si>
    <t>GOOD-RES</t>
  </si>
  <si>
    <t>GOODWILL CREDIT - RES</t>
  </si>
  <si>
    <t>REDELGW-RES</t>
  </si>
  <si>
    <t>REDELIVER FEE GW - RES</t>
  </si>
  <si>
    <t>REDELREC-RES</t>
  </si>
  <si>
    <t>REDELIVER RECYCLING</t>
  </si>
  <si>
    <t>REDEL-RES</t>
  </si>
  <si>
    <t>REDELIVER FEE - RES</t>
  </si>
  <si>
    <t>REINSTATE-RES</t>
  </si>
  <si>
    <t>REINSTATE FEE - RES</t>
  </si>
  <si>
    <t>RTRNCART65-RES</t>
  </si>
  <si>
    <t>RETURN TRIP 65 GL - RES</t>
  </si>
  <si>
    <t>RTRNCART-RES</t>
  </si>
  <si>
    <t>RETURN TRIP FEE CART - RE</t>
  </si>
  <si>
    <t>RTRNTRIP-RES</t>
  </si>
  <si>
    <t>RETURN TRIP FEE - RES</t>
  </si>
  <si>
    <t>TIME-RES</t>
  </si>
  <si>
    <t>TIME FEE 1 - RES</t>
  </si>
  <si>
    <t>WI1-RES</t>
  </si>
  <si>
    <t>WALK IN 6-25' - RES</t>
  </si>
  <si>
    <t>WI2-RES</t>
  </si>
  <si>
    <t>WALK IN 26-50' - RES</t>
  </si>
  <si>
    <t>WI3-RES</t>
  </si>
  <si>
    <t>WALK IN 51-75' - RES</t>
  </si>
  <si>
    <t>WI4-RES</t>
  </si>
  <si>
    <t>WALK IN 76-100' - RES</t>
  </si>
  <si>
    <t>SL065.0G1M001</t>
  </si>
  <si>
    <t>65 GL 1X MO 1</t>
  </si>
  <si>
    <t>TOTAL RESIDENTIAL GARBAGE</t>
  </si>
  <si>
    <t>RESIDENTIAL RECYCLING</t>
  </si>
  <si>
    <t>RECPROGADJ-RES</t>
  </si>
  <si>
    <t>RECYCLING PROGRAM ADJUSTM</t>
  </si>
  <si>
    <t>RECBINONLYR</t>
  </si>
  <si>
    <t>RECYCLE SERVICE ONLY</t>
  </si>
  <si>
    <t>SPREC-RES</t>
  </si>
  <si>
    <t>SPECIAL PICK UP RECYCLE - RES</t>
  </si>
  <si>
    <t>TOTAL RESIDENTIAL RECYCLING</t>
  </si>
  <si>
    <t>RESIDENTIAL YARD WASTE</t>
  </si>
  <si>
    <t>GWRES</t>
  </si>
  <si>
    <t>GREENWASTE SERVICE - RES</t>
  </si>
  <si>
    <t>EXTRAGWC-RES</t>
  </si>
  <si>
    <t>EXTRA GREENWASTE FEE - RE</t>
  </si>
  <si>
    <t>TOTAL RESIDENTIAL YARD WASTE</t>
  </si>
  <si>
    <t xml:space="preserve">COMMERCIAL SERVICES </t>
  </si>
  <si>
    <t>COMMERCIAL GARBAGE</t>
  </si>
  <si>
    <t>RL002.0Y5W001</t>
  </si>
  <si>
    <t>2 YD 5X WK 1</t>
  </si>
  <si>
    <t>FL001.5YXX001TEMPC</t>
  </si>
  <si>
    <t xml:space="preserve">1.5 YD TEMP </t>
  </si>
  <si>
    <t>FL001.0Y1W001</t>
  </si>
  <si>
    <t>1 YD 1X WK 1</t>
  </si>
  <si>
    <t>FL001.0Y2W001</t>
  </si>
  <si>
    <t>1 YD 2X WK 1</t>
  </si>
  <si>
    <t>FL001.0Y3W001</t>
  </si>
  <si>
    <t>1 YD 3X WK 1</t>
  </si>
  <si>
    <t>FL001.0YEO001</t>
  </si>
  <si>
    <t>1 YD EOW 1</t>
  </si>
  <si>
    <t>FL001.5Y1W001</t>
  </si>
  <si>
    <t>1.5 YD 1X WK 1</t>
  </si>
  <si>
    <t>FL001.5Y2W001</t>
  </si>
  <si>
    <t>1.5 YD 2X WK 1</t>
  </si>
  <si>
    <t>FL001.5Y3W001</t>
  </si>
  <si>
    <t>1.5 YD 3X WK 1</t>
  </si>
  <si>
    <t>FL002.0Y1W001</t>
  </si>
  <si>
    <t>2 YD 1X WK 1</t>
  </si>
  <si>
    <t>FL002.0Y1W001CMP</t>
  </si>
  <si>
    <t>2 YD 1X WK COMP 1</t>
  </si>
  <si>
    <t>FL002.0Y2W001</t>
  </si>
  <si>
    <t>2 YD 2X WK 1</t>
  </si>
  <si>
    <t>FL002.0Y3W001</t>
  </si>
  <si>
    <t>2 YD 3X WK 1</t>
  </si>
  <si>
    <t>FL002.0Y5W001</t>
  </si>
  <si>
    <t>FL003.0Y1W001</t>
  </si>
  <si>
    <t>3 YD 1X WK 1</t>
  </si>
  <si>
    <t>FL003.0Y2W001</t>
  </si>
  <si>
    <t>3 YD 2X WK 1</t>
  </si>
  <si>
    <t>FL003.0Y3W001</t>
  </si>
  <si>
    <t>3 YD 3X WK 1</t>
  </si>
  <si>
    <t>FL003.0Y5W001</t>
  </si>
  <si>
    <t>3 YD 5X WK 1</t>
  </si>
  <si>
    <t>FL004.0Y1W001</t>
  </si>
  <si>
    <t>4 YD 1X WK 1</t>
  </si>
  <si>
    <t>FL004.0Y1W001CMP</t>
  </si>
  <si>
    <t>4 YD 1X WK COMP 1</t>
  </si>
  <si>
    <t>FL004.0Y2W001</t>
  </si>
  <si>
    <t>4 YD 2X WK 1</t>
  </si>
  <si>
    <t>FL004.0Y3W001</t>
  </si>
  <si>
    <t>4 YD 3X WK 1</t>
  </si>
  <si>
    <t>FL004.0Y4W001</t>
  </si>
  <si>
    <t>4 YD 4X WK 1</t>
  </si>
  <si>
    <t>FL004.0Y5W001</t>
  </si>
  <si>
    <t>4 YD 5X WK 1</t>
  </si>
  <si>
    <t>FL005.0Y1W001</t>
  </si>
  <si>
    <t>5 YD 1X WK 1</t>
  </si>
  <si>
    <t>FL005.0Y2W001</t>
  </si>
  <si>
    <t>5 YD 2X WK 1</t>
  </si>
  <si>
    <t>FL005.0Y3W001</t>
  </si>
  <si>
    <t>5 YD 3X WK 1</t>
  </si>
  <si>
    <t>FL006.0Y1W001</t>
  </si>
  <si>
    <t>6 YD 1X WK 1</t>
  </si>
  <si>
    <t>FL006.0Y2W001</t>
  </si>
  <si>
    <t>6 YD 2X WK 1</t>
  </si>
  <si>
    <t>FL006.0Y3W001</t>
  </si>
  <si>
    <t>6 YD 3X WK 1</t>
  </si>
  <si>
    <t>FL006.0Y4W001</t>
  </si>
  <si>
    <t>6 YD 4X WK 1</t>
  </si>
  <si>
    <t>FL006.0Y5W001</t>
  </si>
  <si>
    <t>6 YD 5X WK 1</t>
  </si>
  <si>
    <t>RL001.0Y1W001</t>
  </si>
  <si>
    <t>RL001.0Y2W001</t>
  </si>
  <si>
    <t>RL001.5Y1W001</t>
  </si>
  <si>
    <t>RL001.5Y2W001</t>
  </si>
  <si>
    <t>RL001.5Y3W001</t>
  </si>
  <si>
    <t>1.5YD 3X WK 1</t>
  </si>
  <si>
    <t>RL001.5Y5W001</t>
  </si>
  <si>
    <t>1.5YD 5X WK 1</t>
  </si>
  <si>
    <t>RL002.0Y1W001</t>
  </si>
  <si>
    <t>RL002.0Y2W001</t>
  </si>
  <si>
    <t>RL002.0Y3W001</t>
  </si>
  <si>
    <t>RL003.0Y1W001</t>
  </si>
  <si>
    <t>3YD 1X WK1</t>
  </si>
  <si>
    <t>RL004.0Y1W001</t>
  </si>
  <si>
    <t>RL006.0Y1W001</t>
  </si>
  <si>
    <t>RL032.0G1W001COMM</t>
  </si>
  <si>
    <t>32 GL 1X WK COMM 1</t>
  </si>
  <si>
    <t>RL032.0G1W002COMM</t>
  </si>
  <si>
    <t>32 GL 1X WK COMM 2</t>
  </si>
  <si>
    <t>RL032.0G1W003COMM</t>
  </si>
  <si>
    <t>32 GL 1X WK COMM 3</t>
  </si>
  <si>
    <t>RL032.0G1W004COMM</t>
  </si>
  <si>
    <t>32 GL 1X WK COMM 4</t>
  </si>
  <si>
    <t>RL035.0G1W001COMM</t>
  </si>
  <si>
    <t>35 GL 1X WK COMM 1</t>
  </si>
  <si>
    <t>SL035.0G1W001COMM</t>
  </si>
  <si>
    <t>SL065.0G1W001COMM</t>
  </si>
  <si>
    <t>65 GL 1X WK COMM 1</t>
  </si>
  <si>
    <t>SL095.0G1W001COMM</t>
  </si>
  <si>
    <t>95 GL 1X WK COMM 1</t>
  </si>
  <si>
    <t>SL095.0G2W001COMM</t>
  </si>
  <si>
    <t>95 GL 2X WK COMM 1</t>
  </si>
  <si>
    <t>CANCOUNT5+-COMM</t>
  </si>
  <si>
    <t>CAN COUNT OVER 5 - COMM</t>
  </si>
  <si>
    <t>CANCOUNT5-COMM</t>
  </si>
  <si>
    <t>CAN COUNT 1-5 - COMM</t>
  </si>
  <si>
    <t>CANCOUNT65-COMM</t>
  </si>
  <si>
    <t>CAN COUNT 65 GL - COMM</t>
  </si>
  <si>
    <t>DIST1CAN-COMM</t>
  </si>
  <si>
    <t>DISTRIBUTED 1 CAN - COMM</t>
  </si>
  <si>
    <t>DIST4CAN-COMM</t>
  </si>
  <si>
    <t>DISTRIBUTED 4 CANS - COMM</t>
  </si>
  <si>
    <t>DIST5+CANS-COMM</t>
  </si>
  <si>
    <t>DISTRIBUTED CANS 5+ - COM</t>
  </si>
  <si>
    <t>FL001.0YXX001TEMPC</t>
  </si>
  <si>
    <t xml:space="preserve">1 YD TEMP </t>
  </si>
  <si>
    <t>FL002.0YXX001TEMPC</t>
  </si>
  <si>
    <t>2 YD TEMP</t>
  </si>
  <si>
    <t>FL003.0YXX001TEMPC</t>
  </si>
  <si>
    <t xml:space="preserve">3 YD TEMP </t>
  </si>
  <si>
    <t>FL004.0YXX001TEMPC</t>
  </si>
  <si>
    <t>4 YD TEMP 1</t>
  </si>
  <si>
    <t>FL006.0YXX001TEMPC</t>
  </si>
  <si>
    <t>6 YD TEMP 1</t>
  </si>
  <si>
    <t>RL001.0YXX001TEMPC</t>
  </si>
  <si>
    <t>1 YD TEMP</t>
  </si>
  <si>
    <t>RL001.5YXX001TEMPC</t>
  </si>
  <si>
    <t>1.5 YD TEMP</t>
  </si>
  <si>
    <t>RL002.0YXX001TEMPC</t>
  </si>
  <si>
    <t>ACCESS-COMM</t>
  </si>
  <si>
    <t>ACCESS FEE - COMM</t>
  </si>
  <si>
    <t>ADJTAX-COMM</t>
  </si>
  <si>
    <t>ADJUSTMENT TAX - COMM</t>
  </si>
  <si>
    <t>CLEANCART-COMM</t>
  </si>
  <si>
    <t>CLEAN CART - COMM</t>
  </si>
  <si>
    <t>CLEAN1-COMM</t>
  </si>
  <si>
    <t>CLEANING FEE 1 YD - COMM</t>
  </si>
  <si>
    <t>CLEAN2-COMM</t>
  </si>
  <si>
    <t>CLEANING FEE 2 YD - COMM</t>
  </si>
  <si>
    <t>CLEAN4-COMM</t>
  </si>
  <si>
    <t>CLEANING FEE 4 YD - COMM</t>
  </si>
  <si>
    <t>CLEAN6-COMM</t>
  </si>
  <si>
    <t>CLEANING FEE 6 YD - COMM</t>
  </si>
  <si>
    <t>CLEAN-COMM</t>
  </si>
  <si>
    <t xml:space="preserve">CONTAINER CLEANING FEE - </t>
  </si>
  <si>
    <t>DEL1.5TEMP-COMM</t>
  </si>
  <si>
    <t xml:space="preserve">DELIVERY FEE 1.5 YD TEMP </t>
  </si>
  <si>
    <t>DEL1TEMP-COMM</t>
  </si>
  <si>
    <t xml:space="preserve">DELIVERY FEE 1 YD TEMP - </t>
  </si>
  <si>
    <t>DEL2TEMP-COMM</t>
  </si>
  <si>
    <t xml:space="preserve">DELIVERY FEE 2 YD TEMP - </t>
  </si>
  <si>
    <t>DEL3TEMP-COMM</t>
  </si>
  <si>
    <t xml:space="preserve">DELIVERY FEE 3 YD TEMP - </t>
  </si>
  <si>
    <t>DEL5TEMP-COMM</t>
  </si>
  <si>
    <t xml:space="preserve">DELIVERY FEE 5 YD TEMP - </t>
  </si>
  <si>
    <t>DEL6TEMP-COMM</t>
  </si>
  <si>
    <t xml:space="preserve">DELIVERY FEE 6 YD TEMP - </t>
  </si>
  <si>
    <t>DEL-COMM</t>
  </si>
  <si>
    <t>DELIVERY FEE - COMM</t>
  </si>
  <si>
    <t>DISP-COMM</t>
  </si>
  <si>
    <t>DISPOSAL FEE - COMM</t>
  </si>
  <si>
    <t>DRIVEIN-COMM</t>
  </si>
  <si>
    <t>DRIVE IN SERVICE - COMM</t>
  </si>
  <si>
    <t>EP1.5-COMM</t>
  </si>
  <si>
    <t>EXTRA PICK UP 1.5 YD - CO</t>
  </si>
  <si>
    <t>EP1-COMM</t>
  </si>
  <si>
    <t>EXTRA PICK UP 1 YD - COMM</t>
  </si>
  <si>
    <t>EP2CMP-COMM</t>
  </si>
  <si>
    <t>EXTRA PICK UP 2 YD COMP -</t>
  </si>
  <si>
    <t>EP2-COMM</t>
  </si>
  <si>
    <t>EXTRA PICK UP 2 YD - COMM</t>
  </si>
  <si>
    <t>EP3-COMM</t>
  </si>
  <si>
    <t>EXTRA PICK UP 3 YD - COMM</t>
  </si>
  <si>
    <t>EP4CMP-COMM</t>
  </si>
  <si>
    <t>EXTRA PICK UP 4 YD COMP -</t>
  </si>
  <si>
    <t>EP4-COMM</t>
  </si>
  <si>
    <t>EXTRA PICK UP 4 YD - COMM</t>
  </si>
  <si>
    <t>EP5-COMM</t>
  </si>
  <si>
    <t>EXTRA PICK UP 5 YD - COMM</t>
  </si>
  <si>
    <t>EP6-COMM</t>
  </si>
  <si>
    <t>EXTRA PICK UP 6 YD - COMM</t>
  </si>
  <si>
    <t>EP-COMM</t>
  </si>
  <si>
    <t>EXTRA PICK UP - COMM</t>
  </si>
  <si>
    <t>EXTRA-COMM</t>
  </si>
  <si>
    <t>EXTRA CAN, BAG, BOX - COM</t>
  </si>
  <si>
    <t>EXTRAYDG-COM</t>
  </si>
  <si>
    <t>EXTRA YARDAGE - COMM</t>
  </si>
  <si>
    <t>LCKC</t>
  </si>
  <si>
    <t>LOCK CHARGE - COMM</t>
  </si>
  <si>
    <t>REDELCART-COMM</t>
  </si>
  <si>
    <t>REDELIVER FEE CART - COMM</t>
  </si>
  <si>
    <t>REDEL-COMM</t>
  </si>
  <si>
    <t>REDELIVER FEE LVL 1 - COM</t>
  </si>
  <si>
    <t>REINSTATE-COMM</t>
  </si>
  <si>
    <t>REINSTATE FEE - COMM</t>
  </si>
  <si>
    <t>RENT1.5TEMP-COMM</t>
  </si>
  <si>
    <t>RENT 1.5 YD TEMP - COMM</t>
  </si>
  <si>
    <t>RENT1TEMP-COMM</t>
  </si>
  <si>
    <t>RENT 1 YD TEMP - COMM</t>
  </si>
  <si>
    <t>RENT2TEMP-COMM</t>
  </si>
  <si>
    <t>RENT 2 YD TEMP - COMM</t>
  </si>
  <si>
    <t>RENT3TEMP-COMM</t>
  </si>
  <si>
    <t>RENT 3 YD TEMP - COMM</t>
  </si>
  <si>
    <t>RENT5TEMP-COMM</t>
  </si>
  <si>
    <t>RENT 5 YD TEMP - COMM</t>
  </si>
  <si>
    <t>RENT6TEMP-COMM</t>
  </si>
  <si>
    <t>RENT 6 YD TEMP - COMM</t>
  </si>
  <si>
    <t>ROLL1W-COMM</t>
  </si>
  <si>
    <t>ROLL OUT 1X WK - COMM</t>
  </si>
  <si>
    <t>ROLL2W-COMM</t>
  </si>
  <si>
    <t>ROLL OUT 2X WK - COMM</t>
  </si>
  <si>
    <t>ROLL3W-COMM</t>
  </si>
  <si>
    <t>ROLL OUT 3X WK - COMM</t>
  </si>
  <si>
    <t>ROLL5W-COMM</t>
  </si>
  <si>
    <t>ROLL OUT 5X WK - COMM</t>
  </si>
  <si>
    <t>RTRNCAN-COMM</t>
  </si>
  <si>
    <t>RETURN TRIP FEE CAN - COM</t>
  </si>
  <si>
    <t>RTRNCART95-COMM</t>
  </si>
  <si>
    <t>RETURN TRIP 95 GL - COMM</t>
  </si>
  <si>
    <t>RTRNCART-COMM</t>
  </si>
  <si>
    <t>RETURN TRIP FEE CART - COMM</t>
  </si>
  <si>
    <t>RTRNTRIP1.5-COMM</t>
  </si>
  <si>
    <t>RETURN TRIP 1.5 YD - COMM</t>
  </si>
  <si>
    <t>RTRNTRIP1-COMM</t>
  </si>
  <si>
    <t>RETURN TRIP 1 YD - COMM</t>
  </si>
  <si>
    <t>RTRNTRIP2-COMM</t>
  </si>
  <si>
    <t>RETURN TRIP 2 YD - COMM</t>
  </si>
  <si>
    <t>RTRNTRIP3-COMM</t>
  </si>
  <si>
    <t>RETURN TRIP 3 YD - COMM</t>
  </si>
  <si>
    <t>RTRNTRIP4-COMM</t>
  </si>
  <si>
    <t>RETURN TRIP 4 YD - COMM</t>
  </si>
  <si>
    <t>RTRNTRIP6-COMM</t>
  </si>
  <si>
    <t>RETURN TRIP 6 YD - COMM</t>
  </si>
  <si>
    <t>RTRNTRIP-COMM</t>
  </si>
  <si>
    <t>RETURN TRIP FEE - COMM</t>
  </si>
  <si>
    <t>SP65-COMM</t>
  </si>
  <si>
    <t>OFF DAY PU 65 GL COMM</t>
  </si>
  <si>
    <t>SP95-COMM</t>
  </si>
  <si>
    <t>OFF DAY PU 95 GL COMM</t>
  </si>
  <si>
    <t>WI3-COMM</t>
  </si>
  <si>
    <t>WALK IN 51-75' - COMM</t>
  </si>
  <si>
    <t>RENT35GL-COMM</t>
  </si>
  <si>
    <t>RENTAL 35 GL REFUSE - COMM</t>
  </si>
  <si>
    <t>TIME-COMM</t>
  </si>
  <si>
    <t>TIME FEE 1 - COMM</t>
  </si>
  <si>
    <t>WI1-COMM</t>
  </si>
  <si>
    <t>WALK IN 6-25' - COMM</t>
  </si>
  <si>
    <t>WI2-COMM</t>
  </si>
  <si>
    <t>WALK IN 26-50' - COMM</t>
  </si>
  <si>
    <t>TOTAL COMMERCIAL GARBAGE</t>
  </si>
  <si>
    <t>COMMERCIAL RECYCLING</t>
  </si>
  <si>
    <t>MFWBINS</t>
  </si>
  <si>
    <t>MULTI-FAMILY RECYCLE WITH</t>
  </si>
  <si>
    <t>MFNBINS</t>
  </si>
  <si>
    <t>MULTI-FAMILY NO BINS</t>
  </si>
  <si>
    <t>TOTAL COMMERCIAL RECYCLING</t>
  </si>
  <si>
    <t>DROP BOX SERVICES</t>
  </si>
  <si>
    <t>DROP BOX HAULS/RENTAL</t>
  </si>
  <si>
    <t>HAUL10-RO</t>
  </si>
  <si>
    <t>HAUL 10 YD - RO</t>
  </si>
  <si>
    <t>FINAL10-RO</t>
  </si>
  <si>
    <t>FINAL PULL 10 YD - RO</t>
  </si>
  <si>
    <t>HAUL20-RO</t>
  </si>
  <si>
    <t>HAUL 20 YD - RO</t>
  </si>
  <si>
    <t>FINAL20-RO</t>
  </si>
  <si>
    <t>FINAL PULL 20 YD - RO</t>
  </si>
  <si>
    <t>HAUL30-RO</t>
  </si>
  <si>
    <t>HAUL 30 YD - RO</t>
  </si>
  <si>
    <t>FINAL30-RO</t>
  </si>
  <si>
    <t>FINAL PULL 30 YD - RO</t>
  </si>
  <si>
    <t>HAUL40-RO</t>
  </si>
  <si>
    <t>HAUL 40 YD - RO</t>
  </si>
  <si>
    <t>FINAL40-RO</t>
  </si>
  <si>
    <t>FINAL PULL 40 YD - RO</t>
  </si>
  <si>
    <t>HAUL10TEMP-RO</t>
  </si>
  <si>
    <t>HAUL 10 YD TEMP - RO</t>
  </si>
  <si>
    <t>FINAL10TEMP-RO</t>
  </si>
  <si>
    <t>FINAL PULL 10 YD TEMP - RO</t>
  </si>
  <si>
    <t>HAUL20TEMP-RO</t>
  </si>
  <si>
    <t>HAUL 20 YD TEMP - RO</t>
  </si>
  <si>
    <t>FINAL20TEMP-RO</t>
  </si>
  <si>
    <t>FINAL PULL 20 YD TEMP - R</t>
  </si>
  <si>
    <t>HAUL30TEMP-RO</t>
  </si>
  <si>
    <t>HAUL 30 YD TEMP - RO</t>
  </si>
  <si>
    <t>FINAL30TEMP-RO</t>
  </si>
  <si>
    <t>FINAL PULL 30 YD TEMP - R</t>
  </si>
  <si>
    <t>HAUL40TEMP-RO</t>
  </si>
  <si>
    <t>HAUL 40 YD TEMP - RO</t>
  </si>
  <si>
    <t>FINAL40TEMP-RO</t>
  </si>
  <si>
    <t>FINAL PULL 40 YD TEMP - R</t>
  </si>
  <si>
    <t>HAUL15-CP</t>
  </si>
  <si>
    <t>COMPACTOR HAUL 15 YD</t>
  </si>
  <si>
    <t>HAUL20-CP</t>
  </si>
  <si>
    <t>COMPACTOR HAUL 20 YD - RO</t>
  </si>
  <si>
    <t>HAUL25-CP</t>
  </si>
  <si>
    <t>COMPACTOR HAUL 25 YD - RO</t>
  </si>
  <si>
    <t>HAUL30-CP</t>
  </si>
  <si>
    <t>COMPACTOR HAUL 30 YD</t>
  </si>
  <si>
    <t>HAUL35-CP</t>
  </si>
  <si>
    <t>COMPACTOR HAUL 35 YD - RO</t>
  </si>
  <si>
    <t>HAUL40-CP</t>
  </si>
  <si>
    <t>COMPACTOR HAUL 40 YD</t>
  </si>
  <si>
    <t>RENT10MO-RO</t>
  </si>
  <si>
    <t>RENTAL FEE 10 YD MONTHLY</t>
  </si>
  <si>
    <t>RENT20MO-RO</t>
  </si>
  <si>
    <t>RENTAL FEE 20 YD MONTHLY</t>
  </si>
  <si>
    <t>RENT30MO-RO</t>
  </si>
  <si>
    <t>RENTAL FEE 30 YD MONTHLY</t>
  </si>
  <si>
    <t>RENT40MO-RO</t>
  </si>
  <si>
    <t>RENTAL FEE 40 YD MONTHLY</t>
  </si>
  <si>
    <t>RENT10TEMP-RO</t>
  </si>
  <si>
    <t>RENTAL FEE 10 YD TEMP - R</t>
  </si>
  <si>
    <t>RENT20TEMP-RO</t>
  </si>
  <si>
    <t>RENTAL FEE 20 YD TEMP - R</t>
  </si>
  <si>
    <t>RENT30TEMP-RO</t>
  </si>
  <si>
    <t>RENTAL FEE 30 YD TEMP - R</t>
  </si>
  <si>
    <t>RENT40TEMP-RO</t>
  </si>
  <si>
    <t>RENTAL FEE 40 YD TEMP - R</t>
  </si>
  <si>
    <t>RENTMO-CP</t>
  </si>
  <si>
    <t>RENTAL FEE MONTHLY - COMP</t>
  </si>
  <si>
    <t>RENTDAY-RO</t>
  </si>
  <si>
    <t>RENTAL FEE DAILY - RO</t>
  </si>
  <si>
    <t>DEL20-RO</t>
  </si>
  <si>
    <t>DELIVERY FEE 20 YD - RO</t>
  </si>
  <si>
    <t>DEL40-RO</t>
  </si>
  <si>
    <t>DELIVERY FEE 40 YD - RO</t>
  </si>
  <si>
    <t>DEL10TEMP-RO</t>
  </si>
  <si>
    <t>DELIVERY FEE 10 YD TEMP -</t>
  </si>
  <si>
    <t>DEL20TEMP-RO</t>
  </si>
  <si>
    <t>DELIVERY FEE 20 YD TEMP -</t>
  </si>
  <si>
    <t>DEL30TEMP-RO</t>
  </si>
  <si>
    <t>DELIVERY FEE 30 YD TEMP -</t>
  </si>
  <si>
    <t>DEL40TEMP-RO</t>
  </si>
  <si>
    <t>DELIVERY FEE 40 YD TEMP -</t>
  </si>
  <si>
    <t>DEL-RO</t>
  </si>
  <si>
    <t>DELIVERY FEE - RO</t>
  </si>
  <si>
    <t>CLEAN20-RO</t>
  </si>
  <si>
    <t>CLEANING FEE 20 YD - RO</t>
  </si>
  <si>
    <t>CLEAN30-RO</t>
  </si>
  <si>
    <t>CLEANING FEE 30 YD - RO</t>
  </si>
  <si>
    <t>CLEAN40-RO</t>
  </si>
  <si>
    <t>CLEANING FEE 40 YD - RO</t>
  </si>
  <si>
    <t>CLEAN-RO</t>
  </si>
  <si>
    <t>CLEANING FEE - RO</t>
  </si>
  <si>
    <t>LOCK-RO</t>
  </si>
  <si>
    <t>LOCK CHARGE - RO</t>
  </si>
  <si>
    <t>MILE-RO</t>
  </si>
  <si>
    <t>MILEAGE FEE - RO</t>
  </si>
  <si>
    <t>REDEL-RO</t>
  </si>
  <si>
    <t>REDELIVER FEE - RO</t>
  </si>
  <si>
    <t>RELO-RO</t>
  </si>
  <si>
    <t>RELOCATION FEE - RO</t>
  </si>
  <si>
    <t>RTRNTRIP-RO</t>
  </si>
  <si>
    <t>RETURN TRIP FEE - RO</t>
  </si>
  <si>
    <t>TARP-RO</t>
  </si>
  <si>
    <t>TARPING FEE - RO</t>
  </si>
  <si>
    <t>TIME-RO</t>
  </si>
  <si>
    <t>TIME FEE - RO</t>
  </si>
  <si>
    <t>EXWGHT-RO</t>
  </si>
  <si>
    <t>ADJTAX-RO</t>
  </si>
  <si>
    <t>ADJUSTMENT TAX - RO</t>
  </si>
  <si>
    <t>DISCO-CP</t>
  </si>
  <si>
    <t>COMPACTOR DISCONNECT FEE</t>
  </si>
  <si>
    <t>LIDRO</t>
  </si>
  <si>
    <t>LID CHARGE - RO</t>
  </si>
  <si>
    <t>TOTAL DROP BOX HAULS/RENTAL</t>
  </si>
  <si>
    <t>PASSTHROUGH DISPOSAL</t>
  </si>
  <si>
    <t>DISP-RO</t>
  </si>
  <si>
    <t>DISPOSAL CHARGE - RO</t>
  </si>
  <si>
    <t>DISPGW-RO</t>
  </si>
  <si>
    <t>DISPOSAL FEE GREENWASTE -</t>
  </si>
  <si>
    <t>DISPCONSTN-RO</t>
  </si>
  <si>
    <t>DISPOSAL FEE CONSTRUCTION</t>
  </si>
  <si>
    <t>TOTAL PASSTHROUGH DISPOSAL</t>
  </si>
  <si>
    <t>HAULFLAT-COMM</t>
  </si>
  <si>
    <t>CGP FLAT RATE</t>
  </si>
  <si>
    <t>FINCHG</t>
  </si>
  <si>
    <t>FINANCE CHARGE</t>
  </si>
  <si>
    <t>RETCKC</t>
  </si>
  <si>
    <t>RETURN CHECK CHARGE</t>
  </si>
  <si>
    <t>COLLFEE</t>
  </si>
  <si>
    <t>COLLECTION AGENCY FEE</t>
  </si>
  <si>
    <t>TOTAL SERVICE CHARGES</t>
  </si>
  <si>
    <t>TOTAL REVENUE</t>
  </si>
  <si>
    <t>Rural Tariff Regulated Price Out</t>
  </si>
  <si>
    <t>Adjust Rural Rates to Pacific</t>
  </si>
  <si>
    <t>Pacific's</t>
  </si>
  <si>
    <t>Tariff Rates</t>
  </si>
  <si>
    <t>DAILY RENTAL</t>
  </si>
  <si>
    <t xml:space="preserve">COMPACTOR DISCONNECT FEE </t>
  </si>
  <si>
    <t>EXTRA WEIGHT</t>
  </si>
  <si>
    <t>RS-9: Adjust Rural Rates</t>
  </si>
  <si>
    <t>Resi YW</t>
  </si>
  <si>
    <t>MF Recycle</t>
  </si>
  <si>
    <t>RO MSW</t>
  </si>
  <si>
    <t>Commercial MSW</t>
  </si>
  <si>
    <t>RS-9</t>
  </si>
  <si>
    <t>Rural Revenue Adjustment</t>
  </si>
  <si>
    <t>40101</t>
  </si>
  <si>
    <t>40101-2183-000-01</t>
  </si>
  <si>
    <t>JRNLWA00373559</t>
  </si>
  <si>
    <t>VUS000015249</t>
  </si>
  <si>
    <t>THURSTON COUNTY SOLID WASTE UT</t>
  </si>
  <si>
    <t>MONTHLY DUMP BILL</t>
  </si>
  <si>
    <t>Disposal 0418</t>
  </si>
  <si>
    <t>PO-2183-18-00605</t>
  </si>
  <si>
    <t>VO04654537</t>
  </si>
  <si>
    <t>JRNL00889335</t>
  </si>
  <si>
    <t>40101-2183-000-02</t>
  </si>
  <si>
    <t>VUS000015249: PO 00605: THURSTON COUNTY</t>
  </si>
  <si>
    <t>JRNLWA00375047</t>
  </si>
  <si>
    <t>Disposal May 2018</t>
  </si>
  <si>
    <t>VO04680492</t>
  </si>
  <si>
    <t>JRNL00892906</t>
  </si>
  <si>
    <t>JRNLWA00376175</t>
  </si>
  <si>
    <t>JRNL00895967</t>
  </si>
  <si>
    <t>JRNLWA00376604</t>
  </si>
  <si>
    <t>Disposal June 2018</t>
  </si>
  <si>
    <t>VO04707864</t>
  </si>
  <si>
    <t>JRNL00896772</t>
  </si>
  <si>
    <t>JRNLWA00376330</t>
  </si>
  <si>
    <t>JRNL00896108</t>
  </si>
  <si>
    <t>JRNLWA00378101</t>
  </si>
  <si>
    <t>Disposal 0718</t>
  </si>
  <si>
    <t>VO04740338</t>
  </si>
  <si>
    <t>JRNL00900654</t>
  </si>
  <si>
    <t>JRNLWA00379591</t>
  </si>
  <si>
    <t>Disposal 0818</t>
  </si>
  <si>
    <t>VO04769953</t>
  </si>
  <si>
    <t>JRNL00904377</t>
  </si>
  <si>
    <t>PO 00605: THURSTON COUNTY SOLID WASTE UT</t>
  </si>
  <si>
    <t>JRNLWA00381218</t>
  </si>
  <si>
    <t>Disp 0918</t>
  </si>
  <si>
    <t>VO04799621</t>
  </si>
  <si>
    <t>JRNL00908262</t>
  </si>
  <si>
    <t>JRNLWA00382746</t>
  </si>
  <si>
    <t>Disp 1018</t>
  </si>
  <si>
    <t>VO04831740</t>
  </si>
  <si>
    <t>JRNL00912290</t>
  </si>
  <si>
    <t>JRNLWA00384229</t>
  </si>
  <si>
    <t>Disp 1118</t>
  </si>
  <si>
    <t>VO04861821</t>
  </si>
  <si>
    <t>JRNL00916156</t>
  </si>
  <si>
    <t>JRNLWA00385857</t>
  </si>
  <si>
    <t>Disp 1218</t>
  </si>
  <si>
    <t>VO04894306</t>
  </si>
  <si>
    <t>JRNL00920126</t>
  </si>
  <si>
    <t>VUS000015249: PO 05730: THURSTON COUNTY</t>
  </si>
  <si>
    <t>JRNLWA00387372</t>
  </si>
  <si>
    <t>Dump Bill Jan 2019</t>
  </si>
  <si>
    <t>PO-2183-18-05730</t>
  </si>
  <si>
    <t>VO04922805</t>
  </si>
  <si>
    <t>JRNL00924133</t>
  </si>
  <si>
    <t>Disposal 0219</t>
  </si>
  <si>
    <t>VO04947166</t>
  </si>
  <si>
    <t>JRNLWA00390353</t>
  </si>
  <si>
    <t>Disposal 0319</t>
  </si>
  <si>
    <t>VO04983430</t>
  </si>
  <si>
    <t>JRNL00930717</t>
  </si>
  <si>
    <t>Total YW Disposal</t>
  </si>
  <si>
    <t>Comm YW Disposal</t>
  </si>
  <si>
    <t>Residential YW Disposal</t>
  </si>
  <si>
    <t>Proposed</t>
  </si>
  <si>
    <t>Rates</t>
  </si>
  <si>
    <t xml:space="preserve">Garbage </t>
  </si>
  <si>
    <t>LG</t>
  </si>
  <si>
    <t>Price Out</t>
  </si>
  <si>
    <t>Diff</t>
  </si>
  <si>
    <t>Employee Hours</t>
  </si>
  <si>
    <t>EE Hrs - Tons</t>
  </si>
  <si>
    <t>Misc - Actual</t>
  </si>
  <si>
    <t>Bailing Rev/Ton Received from Pioneer</t>
  </si>
  <si>
    <t>Actual Cost</t>
  </si>
  <si>
    <t xml:space="preserve">Bailing Adjustment Needed = </t>
  </si>
  <si>
    <t>RS-10: Adjust in Bailing Fee Differential</t>
  </si>
  <si>
    <t>Adjust in the difference in the actual bailing cost per ton vs. the amount we are getting paid from Pionner.  Follow link below for further explanation.</t>
  </si>
  <si>
    <t>RS-10</t>
  </si>
  <si>
    <t>Bailing Expense</t>
  </si>
  <si>
    <t>Resi Recycle Cust</t>
  </si>
  <si>
    <t>Explanation:  District 2184 is made up of a recycle bailing/re-load facility (MRF) and a County owned transfer station that we operate.  The two facilities are at separate locations.  All recycle trucks dump their material at the MRF, where it is re-loaded and trucked to Pioneer by LeMay Transportation.  Pioneer pays the 2184 MRF $19/ton for bringing the material in bailed, however this does not fully recover the bailing cost.  In order to calculate the true cost of bailing we must first determine the 2184 costs that relate to the MRF, and then allocate those expenses on regulated vs. non-regulated recycling tons that come into the MRF.</t>
  </si>
  <si>
    <t>59342</t>
  </si>
  <si>
    <t>59342-2183-000-00</t>
  </si>
  <si>
    <t>Auto NI claim 55564954596130</t>
  </si>
  <si>
    <t>COWASHINGTON;THURSTON</t>
  </si>
  <si>
    <t>IV BOOM STRUCK TRAFFIC SIGNAL</t>
  </si>
  <si>
    <t>JRNLWA00386078</t>
  </si>
  <si>
    <t>Jan 10th Insurance Entry</t>
  </si>
  <si>
    <t>JRNL00921047</t>
  </si>
  <si>
    <t>Auto NI claim 5556495879075X</t>
  </si>
  <si>
    <t>PAVLETICH;MITCHELL S.</t>
  </si>
  <si>
    <t>IV WAS REAR-ENDED BY OV</t>
  </si>
  <si>
    <t>P-6</t>
  </si>
  <si>
    <t>New Hire Adjustment</t>
  </si>
  <si>
    <t>Payroll Tax</t>
  </si>
  <si>
    <t>Waste Connections increased it's 401(k) match from 3% to 5% due to new tax law savings.  This increase went into effect in January 2019.  We adjusted for the additional 8 months during the year that were not adjusted for this.  Union employees received a $.05 increase per hour, this was adjusted for the full 12 months</t>
  </si>
  <si>
    <t>The site is adding one additional driver for their garbage routes.  This employee is a union employee therefore the information below is based on the most recently negotiated union contract.</t>
  </si>
  <si>
    <t>Lemay Enterprises</t>
  </si>
  <si>
    <t>Increases %'s</t>
  </si>
  <si>
    <t>Test Period Ending 4-30-19</t>
  </si>
  <si>
    <t>Current</t>
  </si>
  <si>
    <t>Item 50, pg 14</t>
  </si>
  <si>
    <t>Returned check charge:</t>
  </si>
  <si>
    <t>Item 51, pg 15</t>
  </si>
  <si>
    <t xml:space="preserve">  Restart fees</t>
  </si>
  <si>
    <t>Item 52, pg 15</t>
  </si>
  <si>
    <t xml:space="preserve">   Container Redelivery Fee</t>
  </si>
  <si>
    <t xml:space="preserve">   Drop Box Redelivery Fee</t>
  </si>
  <si>
    <t xml:space="preserve">   Residential Recycling Delivery Fee</t>
  </si>
  <si>
    <t>Item 55, pg 16</t>
  </si>
  <si>
    <t>Item 60, pg 16</t>
  </si>
  <si>
    <t>Overtime charge per hr:</t>
  </si>
  <si>
    <t>Minimum</t>
  </si>
  <si>
    <t>Item 70, pg 17</t>
  </si>
  <si>
    <t>Return Trip:</t>
  </si>
  <si>
    <t>Cans</t>
  </si>
  <si>
    <t>Toter</t>
  </si>
  <si>
    <t>Recycling Container</t>
  </si>
  <si>
    <t>Yard Waste Container</t>
  </si>
  <si>
    <t>Item 80, pg 19</t>
  </si>
  <si>
    <t>Carry-Out:</t>
  </si>
  <si>
    <t>Residential:</t>
  </si>
  <si>
    <t>5-25 feet</t>
  </si>
  <si>
    <t>25- plus add</t>
  </si>
  <si>
    <t>Commercial:</t>
  </si>
  <si>
    <t>Drive-in:</t>
  </si>
  <si>
    <t>Over 125 feet</t>
  </si>
  <si>
    <t>Each additional 1/10</t>
  </si>
  <si>
    <t>Item 90, pg 20</t>
  </si>
  <si>
    <t>Stairs - each step</t>
  </si>
  <si>
    <t>Overhead Obstruction</t>
  </si>
  <si>
    <t>Sunken</t>
  </si>
  <si>
    <t>Item 100, pg 21</t>
  </si>
  <si>
    <t>Residential Garbage (customer cans)</t>
  </si>
  <si>
    <t xml:space="preserve"> Mini</t>
  </si>
  <si>
    <t xml:space="preserve"> 1 can</t>
  </si>
  <si>
    <t xml:space="preserve"> 2 can</t>
  </si>
  <si>
    <t xml:space="preserve"> 3 can</t>
  </si>
  <si>
    <t xml:space="preserve"> 4 can</t>
  </si>
  <si>
    <t xml:space="preserve"> 5 can</t>
  </si>
  <si>
    <t>1 can per month</t>
  </si>
  <si>
    <t>Residential Garbage (carts)</t>
  </si>
  <si>
    <t>35 gal cart monthly</t>
  </si>
  <si>
    <t>35 gal cart weekly</t>
  </si>
  <si>
    <t>65 gal weekly</t>
  </si>
  <si>
    <t>95 gal per month</t>
  </si>
  <si>
    <t>95 gal weekly</t>
  </si>
  <si>
    <t>Recycle Program</t>
  </si>
  <si>
    <t>With garbage</t>
  </si>
  <si>
    <t>Recycle only</t>
  </si>
  <si>
    <t>Item 100, pg 22</t>
  </si>
  <si>
    <t>Roll Out</t>
  </si>
  <si>
    <t>Occasional Extra</t>
  </si>
  <si>
    <t>65-gal toter</t>
  </si>
  <si>
    <t>95-gal toter</t>
  </si>
  <si>
    <t>Prepaid Bag</t>
  </si>
  <si>
    <t>On Call</t>
  </si>
  <si>
    <t>Item 100, pg 23</t>
  </si>
  <si>
    <t>Yardwaste Service</t>
  </si>
  <si>
    <t>90 gal EOW</t>
  </si>
  <si>
    <t>Extra Unit</t>
  </si>
  <si>
    <t>1 yard EOW</t>
  </si>
  <si>
    <t>1.5 yard EOW</t>
  </si>
  <si>
    <t>Redelivery</t>
  </si>
  <si>
    <t>Item 150, pg 25</t>
  </si>
  <si>
    <t>Bulky Materials</t>
  </si>
  <si>
    <t>Bulky additional</t>
  </si>
  <si>
    <t>Bulky Minimum</t>
  </si>
  <si>
    <t>Carry Chrg</t>
  </si>
  <si>
    <t>Loose Materials</t>
  </si>
  <si>
    <t>Loose additional</t>
  </si>
  <si>
    <t>Loose Minimum</t>
  </si>
  <si>
    <t>Carry Charge</t>
  </si>
  <si>
    <t>Item 160, pg 26</t>
  </si>
  <si>
    <t>Single Rear Drive Axle:</t>
  </si>
  <si>
    <t>Non-packer</t>
  </si>
  <si>
    <t>Packer</t>
  </si>
  <si>
    <t>Drop-box Truck</t>
  </si>
  <si>
    <t>Each Extra Person:</t>
  </si>
  <si>
    <t>Minimum Charge:</t>
  </si>
  <si>
    <t>Tandem Rear Drive Axle:</t>
  </si>
  <si>
    <t>Truck and Driver:</t>
  </si>
  <si>
    <t>Item 205, pg 28</t>
  </si>
  <si>
    <t>Roll-Out:</t>
  </si>
  <si>
    <t>Automated Carts or Toter</t>
  </si>
  <si>
    <t>Item 207, pg 29</t>
  </si>
  <si>
    <t>Excess Weight:</t>
  </si>
  <si>
    <t>Item 210, pg 30</t>
  </si>
  <si>
    <t>Washing:</t>
  </si>
  <si>
    <t>Per Yard</t>
  </si>
  <si>
    <t>Item 230, pg 31</t>
  </si>
  <si>
    <t>Disposal Fees:</t>
  </si>
  <si>
    <t>Refuse (per ton)</t>
  </si>
  <si>
    <t>Construction Debris, Sheetrock &amp; Roofing</t>
  </si>
  <si>
    <t>Asbestos</t>
  </si>
  <si>
    <t>Refrigerated Appliances</t>
  </si>
  <si>
    <t>Yard &amp; Garden</t>
  </si>
  <si>
    <t>Item 240, pg 32</t>
  </si>
  <si>
    <t>Permanent Container Rent:</t>
  </si>
  <si>
    <t>First Pickup</t>
  </si>
  <si>
    <t>1 yard</t>
  </si>
  <si>
    <t xml:space="preserve"> 1.5 yard</t>
  </si>
  <si>
    <t>2 yard</t>
  </si>
  <si>
    <t xml:space="preserve"> 3 yard </t>
  </si>
  <si>
    <t xml:space="preserve"> 4 yard </t>
  </si>
  <si>
    <t xml:space="preserve"> 6 yard </t>
  </si>
  <si>
    <t xml:space="preserve"> 8 yard </t>
  </si>
  <si>
    <t>Additional Pickups:</t>
  </si>
  <si>
    <t xml:space="preserve">Special Pickups: </t>
  </si>
  <si>
    <t>Temporary:</t>
  </si>
  <si>
    <t>Initial Delivery:</t>
  </si>
  <si>
    <t>Pickups:</t>
  </si>
  <si>
    <t>Rent per Day:</t>
  </si>
  <si>
    <t>Overfilled</t>
  </si>
  <si>
    <t>Unlocking/Unlatching</t>
  </si>
  <si>
    <t>Item 245, pg 33</t>
  </si>
  <si>
    <t>Permanent Service</t>
  </si>
  <si>
    <t>32 Gallon</t>
  </si>
  <si>
    <t>First 5 grouped together</t>
  </si>
  <si>
    <t>Over 5 units grouped together</t>
  </si>
  <si>
    <t>Single cans not grouped</t>
  </si>
  <si>
    <t>Minimum monthly charge</t>
  </si>
  <si>
    <t>Special Pickups</t>
  </si>
  <si>
    <t xml:space="preserve"> 32-gal</t>
  </si>
  <si>
    <t>Each additional unit</t>
  </si>
  <si>
    <t>35 Gallon</t>
  </si>
  <si>
    <t>65 gal</t>
  </si>
  <si>
    <t>95 Gal</t>
  </si>
  <si>
    <t>Item 255, pg 34</t>
  </si>
  <si>
    <t>Scheduled Pickups</t>
  </si>
  <si>
    <t>2 yd</t>
  </si>
  <si>
    <t>3 yd</t>
  </si>
  <si>
    <t>4 yd</t>
  </si>
  <si>
    <t>Compactor Disconnect/Reconnect</t>
  </si>
  <si>
    <t>Item 260, pg 35</t>
  </si>
  <si>
    <t>20 yard</t>
  </si>
  <si>
    <t>25 yard</t>
  </si>
  <si>
    <t>30 yard</t>
  </si>
  <si>
    <t>40 yard</t>
  </si>
  <si>
    <t>Hauls:</t>
  </si>
  <si>
    <t>Temporary Delivery Fee:</t>
  </si>
  <si>
    <t>Temporary DB (rent per day)</t>
  </si>
  <si>
    <t>Mileage</t>
  </si>
  <si>
    <t>Tarps</t>
  </si>
  <si>
    <t>Unlatch, Unlock</t>
  </si>
  <si>
    <t>Item 275, pg 36</t>
  </si>
  <si>
    <t>Customer owned (Compacted)</t>
  </si>
  <si>
    <t>10 yard</t>
  </si>
  <si>
    <t>15 yard</t>
  </si>
  <si>
    <t>16 yard</t>
  </si>
  <si>
    <t>Disconnect/ Reconnect</t>
  </si>
  <si>
    <t>Item 275, 37</t>
  </si>
  <si>
    <t>35 yard</t>
  </si>
  <si>
    <t>Note:  This is the summary of a disposal fee calculation we performed for this rate case.  Support available upon request.</t>
  </si>
  <si>
    <t>Cart Count</t>
  </si>
  <si>
    <t>Cart Cnt</t>
  </si>
  <si>
    <t>Deprec Schedule</t>
  </si>
  <si>
    <t>May &amp; June Resi Recycle Counts</t>
  </si>
  <si>
    <t>Rate Reduction per TG-180542/180539</t>
  </si>
  <si>
    <t>Effective 7/1/2018 we reduced the recycling rates because we removed the $45 processing fee that was previously being recovered in the rate.  This restatement adjusts down the two months of recycling revenue that was still being billed at the higher rate (May and June 2018).</t>
  </si>
  <si>
    <t>Restatement to adjust for the revenue lost as a result of lowering the Rural rates to match Pacific rates so we are able to combine the tariffs.</t>
  </si>
  <si>
    <t>Unit Counts</t>
  </si>
  <si>
    <t>Bad Debt %</t>
  </si>
  <si>
    <t>RS-1, RS-9</t>
  </si>
  <si>
    <t>RS-1,RS-8, RS-9</t>
  </si>
  <si>
    <t>RS-1, RS-8</t>
  </si>
  <si>
    <t>RTA-Tires</t>
  </si>
  <si>
    <t>Expense Adjustment</t>
  </si>
  <si>
    <t>RS-8, RS-10</t>
  </si>
  <si>
    <t>PR-6</t>
  </si>
  <si>
    <t>PR-1, PR-6</t>
  </si>
  <si>
    <t>PR-4, PR-6</t>
  </si>
  <si>
    <t>Payroll Schedule</t>
  </si>
  <si>
    <t>Note:  Data below is from payroll registers.  Links have been broken to the source file to maintain data integrity.   Source documents are available upon request.</t>
  </si>
  <si>
    <t>District #</t>
  </si>
  <si>
    <t>EE #</t>
  </si>
  <si>
    <t>Name</t>
  </si>
  <si>
    <t>Job</t>
  </si>
  <si>
    <t>Current Hourly Rate</t>
  </si>
  <si>
    <t>Test Period Hours (Includes Vacation, PTO &amp; Holiday)</t>
  </si>
  <si>
    <t>Regular Pay</t>
  </si>
  <si>
    <t>Overtime Hours</t>
  </si>
  <si>
    <t>Overtime Pay</t>
  </si>
  <si>
    <t>Total Hourly/Salary Pay</t>
  </si>
  <si>
    <t>Safety and Customer Service Bonus, Commissions</t>
  </si>
  <si>
    <t>Personal Time &amp; Payouts</t>
  </si>
  <si>
    <t>Total Test Period Pay</t>
  </si>
  <si>
    <t>2020 Pay Raises</t>
  </si>
  <si>
    <t>Total Rate Period Pay</t>
  </si>
  <si>
    <t>Signing Bonus</t>
  </si>
  <si>
    <t>Total Proforma Pay</t>
  </si>
  <si>
    <t>Union/Non-Union</t>
  </si>
  <si>
    <t>Drivers (50020)</t>
  </si>
  <si>
    <t>Residential Garbage Drivers</t>
  </si>
  <si>
    <t>Pro-Forma Raise Adjust</t>
  </si>
  <si>
    <t>Union Pension Adjustment</t>
  </si>
  <si>
    <t>113926</t>
  </si>
  <si>
    <t>113938</t>
  </si>
  <si>
    <t>113989</t>
  </si>
  <si>
    <t>114027</t>
  </si>
  <si>
    <t>114037</t>
  </si>
  <si>
    <t>114038</t>
  </si>
  <si>
    <t>114070</t>
  </si>
  <si>
    <t>114202</t>
  </si>
  <si>
    <t>114293</t>
  </si>
  <si>
    <t>114316</t>
  </si>
  <si>
    <t>150012</t>
  </si>
  <si>
    <t>153719</t>
  </si>
  <si>
    <t>154704</t>
  </si>
  <si>
    <t>156838</t>
  </si>
  <si>
    <t>157575</t>
  </si>
  <si>
    <t>300723</t>
  </si>
  <si>
    <t>311456</t>
  </si>
  <si>
    <t>Mark Naputi</t>
  </si>
  <si>
    <t>Resi MSW Driver</t>
  </si>
  <si>
    <t>Non Union</t>
  </si>
  <si>
    <t>311513</t>
  </si>
  <si>
    <t>Michael Lininger</t>
  </si>
  <si>
    <t>117549</t>
  </si>
  <si>
    <t>George Alefteras</t>
  </si>
  <si>
    <t>Roll Off Driver</t>
  </si>
  <si>
    <t>113946</t>
  </si>
  <si>
    <t>114132</t>
  </si>
  <si>
    <t>114171</t>
  </si>
  <si>
    <t>114192</t>
  </si>
  <si>
    <t>114360</t>
  </si>
  <si>
    <t>152437</t>
  </si>
  <si>
    <t>Bob Smith</t>
  </si>
  <si>
    <t>157999</t>
  </si>
  <si>
    <t>Shane Frost</t>
  </si>
  <si>
    <t>114109</t>
  </si>
  <si>
    <t>Lee Hammons</t>
  </si>
  <si>
    <t>114087</t>
  </si>
  <si>
    <t>John Cox</t>
  </si>
  <si>
    <t>301225</t>
  </si>
  <si>
    <t>Ray James</t>
  </si>
  <si>
    <t>300999</t>
  </si>
  <si>
    <t>Devani Wilson</t>
  </si>
  <si>
    <t>301420</t>
  </si>
  <si>
    <t>Cliff Haskins</t>
  </si>
  <si>
    <t>300062</t>
  </si>
  <si>
    <t>Chad Davis</t>
  </si>
  <si>
    <t>303628</t>
  </si>
  <si>
    <t>Adam Gautney</t>
  </si>
  <si>
    <t>114354</t>
  </si>
  <si>
    <t>Stacy Gosney</t>
  </si>
  <si>
    <t>Mikell Reynolds</t>
  </si>
  <si>
    <t>TOTAL ROLLOFF</t>
  </si>
  <si>
    <t>Residential Recycling Driver</t>
  </si>
  <si>
    <t>114282</t>
  </si>
  <si>
    <t>114361</t>
  </si>
  <si>
    <t>117970</t>
  </si>
  <si>
    <t>152243</t>
  </si>
  <si>
    <t>156106</t>
  </si>
  <si>
    <t>194114</t>
  </si>
  <si>
    <t>300751</t>
  </si>
  <si>
    <t>303947</t>
  </si>
  <si>
    <t>303978</t>
  </si>
  <si>
    <t>304734</t>
  </si>
  <si>
    <t>307657</t>
  </si>
  <si>
    <t>307945</t>
  </si>
  <si>
    <t>308531</t>
  </si>
  <si>
    <t>309620</t>
  </si>
  <si>
    <t>304950</t>
  </si>
  <si>
    <t>Resi Recycle Driver</t>
  </si>
  <si>
    <t>306378</t>
  </si>
  <si>
    <t>157480</t>
  </si>
  <si>
    <t>305762</t>
  </si>
  <si>
    <t>307773</t>
  </si>
  <si>
    <t>114028</t>
  </si>
  <si>
    <t>114278</t>
  </si>
  <si>
    <t>114281</t>
  </si>
  <si>
    <t>114292</t>
  </si>
  <si>
    <t>114323</t>
  </si>
  <si>
    <t>157775</t>
  </si>
  <si>
    <t>158110</t>
  </si>
  <si>
    <t>159007</t>
  </si>
  <si>
    <t>300251</t>
  </si>
  <si>
    <t>306591</t>
  </si>
  <si>
    <t>308052</t>
  </si>
  <si>
    <t>309635</t>
  </si>
  <si>
    <t>Commercial Garbage</t>
  </si>
  <si>
    <t>114076</t>
  </si>
  <si>
    <t>114117</t>
  </si>
  <si>
    <t>114140</t>
  </si>
  <si>
    <t>114215</t>
  </si>
  <si>
    <t>114324</t>
  </si>
  <si>
    <t>150691</t>
  </si>
  <si>
    <t>300881</t>
  </si>
  <si>
    <t>304708</t>
  </si>
  <si>
    <t>305593</t>
  </si>
  <si>
    <t>306163</t>
  </si>
  <si>
    <t>306472</t>
  </si>
  <si>
    <t>TOTAL YARD WASTE</t>
  </si>
  <si>
    <t>Delivery</t>
  </si>
  <si>
    <t>305278</t>
  </si>
  <si>
    <t xml:space="preserve">TOTAL DELIVERY </t>
  </si>
  <si>
    <t>RO Recycle Driver</t>
  </si>
  <si>
    <t>113944</t>
  </si>
  <si>
    <t>114270</t>
  </si>
  <si>
    <t>114294</t>
  </si>
  <si>
    <t>159048</t>
  </si>
  <si>
    <t>307885</t>
  </si>
  <si>
    <t>TOTAL RO RECYCLE DRIVERS</t>
  </si>
  <si>
    <t>TOTAL DRIVERS</t>
  </si>
  <si>
    <t>Mechanics Hourly/Salary (52010/52020)</t>
  </si>
  <si>
    <t>113936</t>
  </si>
  <si>
    <t>114066</t>
  </si>
  <si>
    <t>114077</t>
  </si>
  <si>
    <t>114368</t>
  </si>
  <si>
    <t>114645</t>
  </si>
  <si>
    <t>116867</t>
  </si>
  <si>
    <t>154871</t>
  </si>
  <si>
    <t>157776</t>
  </si>
  <si>
    <t>300504</t>
  </si>
  <si>
    <t>301045</t>
  </si>
  <si>
    <t>302606</t>
  </si>
  <si>
    <t>304840</t>
  </si>
  <si>
    <t>306634</t>
  </si>
  <si>
    <t>308231</t>
  </si>
  <si>
    <t>114566</t>
  </si>
  <si>
    <t>TOTAL MECHANICS</t>
  </si>
  <si>
    <t>Sales (Salary 60010)</t>
  </si>
  <si>
    <t>114406</t>
  </si>
  <si>
    <t>TOTAL SALES</t>
  </si>
  <si>
    <t>Container (Hourly 55020)</t>
  </si>
  <si>
    <t>301533</t>
  </si>
  <si>
    <t>306633</t>
  </si>
  <si>
    <t>TOTAL CONTAINER</t>
  </si>
  <si>
    <t>G&amp;A (Salary 70010 - Hourly 70020 )</t>
  </si>
  <si>
    <t>113986</t>
  </si>
  <si>
    <t>114389</t>
  </si>
  <si>
    <t>114398</t>
  </si>
  <si>
    <t>114672</t>
  </si>
  <si>
    <t>115181</t>
  </si>
  <si>
    <t>151110</t>
  </si>
  <si>
    <t>156844</t>
  </si>
  <si>
    <t>156934</t>
  </si>
  <si>
    <t>157514</t>
  </si>
  <si>
    <t>157839</t>
  </si>
  <si>
    <t>157873</t>
  </si>
  <si>
    <t>158221</t>
  </si>
  <si>
    <t>159288</t>
  </si>
  <si>
    <t>300620</t>
  </si>
  <si>
    <t>300621</t>
  </si>
  <si>
    <t>302156</t>
  </si>
  <si>
    <t>303692</t>
  </si>
  <si>
    <t>303771</t>
  </si>
  <si>
    <t>303789</t>
  </si>
  <si>
    <t>303979</t>
  </si>
  <si>
    <t>305262</t>
  </si>
  <si>
    <t>305407</t>
  </si>
  <si>
    <t>306170</t>
  </si>
  <si>
    <t>306288</t>
  </si>
  <si>
    <t>308144</t>
  </si>
  <si>
    <t>308155</t>
  </si>
  <si>
    <t>308156</t>
  </si>
  <si>
    <t>308696</t>
  </si>
  <si>
    <t>311098</t>
  </si>
  <si>
    <t>311171</t>
  </si>
  <si>
    <t>311246</t>
  </si>
  <si>
    <t>311878</t>
  </si>
  <si>
    <t>Kayla La Course</t>
  </si>
  <si>
    <t>Customer Service</t>
  </si>
  <si>
    <t>300088</t>
  </si>
  <si>
    <t>158764</t>
  </si>
  <si>
    <t>Cynthia Spelker</t>
  </si>
  <si>
    <t>TOTAL G&amp;A</t>
  </si>
  <si>
    <t>Supervisor -  Salaried/Hourly 56010/56020</t>
  </si>
  <si>
    <t>100172</t>
  </si>
  <si>
    <t>114387</t>
  </si>
  <si>
    <t>157509</t>
  </si>
  <si>
    <t>303382</t>
  </si>
  <si>
    <t>311058</t>
  </si>
  <si>
    <t>302730</t>
  </si>
  <si>
    <t>Lance Conley</t>
  </si>
  <si>
    <t>Operations Supervisor</t>
  </si>
  <si>
    <t>TOTAL SUPERVISOR</t>
  </si>
  <si>
    <t>GRAND TOTALS</t>
  </si>
  <si>
    <t>Reconciliation of Payroll Register to General Ledger</t>
  </si>
  <si>
    <t>DRIVER WAGES PER PR REGISTER</t>
  </si>
  <si>
    <t>Accruals, Manual Adjustments/Reclasses</t>
  </si>
  <si>
    <t>GL</t>
  </si>
  <si>
    <t>Other Bonuses</t>
  </si>
  <si>
    <t>MECHANICS -  HOURLY &amp; SALARY PER PR REGISTER</t>
  </si>
  <si>
    <t xml:space="preserve">   (See Detailed Schedule)</t>
  </si>
  <si>
    <t>SALES - SALARY WAGES PER PR REGISTER</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</si>
  <si>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</si>
  <si>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</si>
  <si>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</si>
  <si>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</si>
  <si>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</si>
  <si>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</si>
  <si>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</si>
  <si>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</si>
  <si>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</si>
  <si>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</si>
  <si>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</si>
  <si>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</si>
  <si>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 xml:space="preserve">   (See Supervisor GL Detail tab for Details)</t>
  </si>
  <si>
    <t>Other Bonus</t>
  </si>
  <si>
    <t>G&amp;A - SALARY &amp; HOURLY WAGES PER PR REGISTER</t>
  </si>
  <si>
    <t>Accruals, Division Payroll Alloc., Region OH Alloc., Other Comp Adjust In</t>
  </si>
  <si>
    <t xml:space="preserve">   (See G&amp;A GL Detail tab for Details)</t>
  </si>
  <si>
    <t>Tooty Bonuses</t>
  </si>
  <si>
    <t>CONTAINER HOURLY WAGES PER PR REGISTER</t>
  </si>
  <si>
    <t>(B)</t>
  </si>
  <si>
    <t>immaterial</t>
  </si>
  <si>
    <t>Tickmarks</t>
  </si>
  <si>
    <t>These differences are due to employees being reclassed to different GL accounts during the year.  The detailed payroll schedule above represents the GL category where they spent the majority of the test period.</t>
  </si>
  <si>
    <t>Recycle Roll Off Driver</t>
  </si>
  <si>
    <t>IS</t>
  </si>
  <si>
    <t>Restating Entries Above</t>
  </si>
  <si>
    <t>Variance</t>
  </si>
  <si>
    <t>LeMay Enterprises - Pacific/Rural Disposal</t>
  </si>
  <si>
    <t>Restating, Pro forma, and Allocation Adjustments</t>
  </si>
  <si>
    <t>Pacific/Rural Line of Business Allocations</t>
  </si>
  <si>
    <t>MRF Baling Fee Calculation</t>
  </si>
  <si>
    <t>Pro Forma Adjustments</t>
  </si>
  <si>
    <t>2183-2184-2185 Ratios</t>
  </si>
  <si>
    <t>Pacific/Rural Line of Business Ratios</t>
  </si>
  <si>
    <t>Note:  Links to External Files have been broken to maintain data integrity.  Source document is available upon request.</t>
  </si>
  <si>
    <t>65 gal cart monthly</t>
  </si>
  <si>
    <t>Special Pick-Up</t>
  </si>
  <si>
    <t>(N)</t>
  </si>
  <si>
    <t>19.5 yard</t>
  </si>
  <si>
    <t>Commercial Recycle - Reg AreasCommercial RecycleMFWBINS</t>
  </si>
  <si>
    <t>Michael Mcnamara</t>
  </si>
  <si>
    <t>Steve Strand</t>
  </si>
  <si>
    <t>Vernon Goldsby</t>
  </si>
  <si>
    <t>Douglas Tucker</t>
  </si>
  <si>
    <t>David Robins</t>
  </si>
  <si>
    <t>Casey Jones</t>
  </si>
  <si>
    <t>Jason Resto</t>
  </si>
  <si>
    <t>Clayton Rayment</t>
  </si>
  <si>
    <t>Christopher Cunningham</t>
  </si>
  <si>
    <t>Alvin Robinson</t>
  </si>
  <si>
    <t>Jackson Bonsall</t>
  </si>
  <si>
    <t>Robert Motzer</t>
  </si>
  <si>
    <t>Austin Grant</t>
  </si>
  <si>
    <t>Larry Doyle</t>
  </si>
  <si>
    <t>Clarence May</t>
  </si>
  <si>
    <t>Robert Martz</t>
  </si>
  <si>
    <t>Union</t>
  </si>
  <si>
    <t>Aaron Johnston</t>
  </si>
  <si>
    <t>Frank Beedle</t>
  </si>
  <si>
    <t>Curtis Petty</t>
  </si>
  <si>
    <t>Todd Richards</t>
  </si>
  <si>
    <t>Joseph Nuttall</t>
  </si>
  <si>
    <t>Tony King</t>
  </si>
  <si>
    <t>Brian Underwood</t>
  </si>
  <si>
    <t>Bob Brown</t>
  </si>
  <si>
    <t>Walter Gehrig</t>
  </si>
  <si>
    <t>Omar Perez</t>
  </si>
  <si>
    <t>Andrew Bellamy</t>
  </si>
  <si>
    <t>Justen Merrick</t>
  </si>
  <si>
    <t>James Spengler</t>
  </si>
  <si>
    <t>Tim Sandberg</t>
  </si>
  <si>
    <t>Sean WALSH</t>
  </si>
  <si>
    <t>J.R. Stoner</t>
  </si>
  <si>
    <t>Celso Ramirez</t>
  </si>
  <si>
    <t>WILLIAM BECK</t>
  </si>
  <si>
    <t>Donald Seward</t>
  </si>
  <si>
    <t>HaleyJo Cox</t>
  </si>
  <si>
    <t>Jacob HASTINGS</t>
  </si>
  <si>
    <t>Steven Halterman</t>
  </si>
  <si>
    <t>Resi Glass Recycle Driver</t>
  </si>
  <si>
    <t>Tyler Hunstock</t>
  </si>
  <si>
    <t>Jesse Curtiss</t>
  </si>
  <si>
    <t>Jesse Stalnaker</t>
  </si>
  <si>
    <t>Comm Recycle Driver</t>
  </si>
  <si>
    <t>Eric Feil</t>
  </si>
  <si>
    <t>Patrick Kingsolver</t>
  </si>
  <si>
    <t>Stephen Deuel</t>
  </si>
  <si>
    <t>Bryan Tennant</t>
  </si>
  <si>
    <t>Richard Thompson</t>
  </si>
  <si>
    <t>David Wiseman</t>
  </si>
  <si>
    <t>Jonathan Carpenter</t>
  </si>
  <si>
    <t>Jacob Hollingsworth</t>
  </si>
  <si>
    <t>Jason McDowell</t>
  </si>
  <si>
    <t>Michael Bates</t>
  </si>
  <si>
    <t>Nicholas Sucher</t>
  </si>
  <si>
    <t>Mitchell Lowry</t>
  </si>
  <si>
    <t>Comm MSW Driver</t>
  </si>
  <si>
    <t>Bryan Bell</t>
  </si>
  <si>
    <t>Robert Rayment</t>
  </si>
  <si>
    <t>James Johnson</t>
  </si>
  <si>
    <t>Robert Forster</t>
  </si>
  <si>
    <t>Robert Maguire</t>
  </si>
  <si>
    <t>Rick Cruz</t>
  </si>
  <si>
    <t>Phillip Stiers</t>
  </si>
  <si>
    <t>Resi Yardwaste Recycle Driver</t>
  </si>
  <si>
    <t>Greg Kessel</t>
  </si>
  <si>
    <t>Chris Misner</t>
  </si>
  <si>
    <t>Harold Priest</t>
  </si>
  <si>
    <t>Mike Lee</t>
  </si>
  <si>
    <t>Comm Delivery</t>
  </si>
  <si>
    <t>Shawn Braun</t>
  </si>
  <si>
    <t>Dennis Shattuck</t>
  </si>
  <si>
    <t>Bryan Forster</t>
  </si>
  <si>
    <t>Lucas Reich</t>
  </si>
  <si>
    <t>Michael Hamilton</t>
  </si>
  <si>
    <t>Robert Tyndall</t>
  </si>
  <si>
    <t>Maintenance Manager</t>
  </si>
  <si>
    <t>Donald Lyons</t>
  </si>
  <si>
    <t>Shop Lead</t>
  </si>
  <si>
    <t>Gwendolyn Frost</t>
  </si>
  <si>
    <t>Parts Clerk</t>
  </si>
  <si>
    <t>Clinton Walter</t>
  </si>
  <si>
    <t>Mechanic</t>
  </si>
  <si>
    <t>Toby Narcis</t>
  </si>
  <si>
    <t>Michael Seymour</t>
  </si>
  <si>
    <t>Thomas Koch</t>
  </si>
  <si>
    <t>Jeremy Keith</t>
  </si>
  <si>
    <t>Jeremy Cronquist</t>
  </si>
  <si>
    <t>Joshua Stephens</t>
  </si>
  <si>
    <t>Alexander Myers</t>
  </si>
  <si>
    <t>Travis Alley</t>
  </si>
  <si>
    <t>Zane Brown</t>
  </si>
  <si>
    <t>Tyler Shields</t>
  </si>
  <si>
    <t>Kalin Somero</t>
  </si>
  <si>
    <t>Emmett Brown</t>
  </si>
  <si>
    <t>Sales/Community Outreach</t>
  </si>
  <si>
    <t>John King Jr.</t>
  </si>
  <si>
    <t>Container Wash</t>
  </si>
  <si>
    <t>Lester Kimball</t>
  </si>
  <si>
    <t>Alice Jones</t>
  </si>
  <si>
    <t>Jeffrey Harwood</t>
  </si>
  <si>
    <t>District Manager</t>
  </si>
  <si>
    <t>Tammy Dryden-Groves</t>
  </si>
  <si>
    <t>Accounting Clerk</t>
  </si>
  <si>
    <t>Jocelyn White</t>
  </si>
  <si>
    <t>Office Manager</t>
  </si>
  <si>
    <t>Stacie Roth</t>
  </si>
  <si>
    <t>Administrative Assistant</t>
  </si>
  <si>
    <t>Laura Kapuscinski</t>
  </si>
  <si>
    <t>Controller</t>
  </si>
  <si>
    <t>Maribeth Devito</t>
  </si>
  <si>
    <t>Janet Duchamp</t>
  </si>
  <si>
    <t>Tamara Russo</t>
  </si>
  <si>
    <t>Collections</t>
  </si>
  <si>
    <t>Canduice Gipson</t>
  </si>
  <si>
    <t>Lanna Straka</t>
  </si>
  <si>
    <t>Nicole Lauckhart</t>
  </si>
  <si>
    <t>Mark White</t>
  </si>
  <si>
    <t>Dispatch</t>
  </si>
  <si>
    <t>Staci Mozee-Ramos</t>
  </si>
  <si>
    <t>Patricia Tran</t>
  </si>
  <si>
    <t>Michelle Henderson</t>
  </si>
  <si>
    <t>Lesley Gordon</t>
  </si>
  <si>
    <t>Samantha Burdick</t>
  </si>
  <si>
    <t>Jennifer Langford</t>
  </si>
  <si>
    <t>Chrissy Peck</t>
  </si>
  <si>
    <t>Lynelle Williams</t>
  </si>
  <si>
    <t>Mercedez Alexander</t>
  </si>
  <si>
    <t>Dazhane Copeland</t>
  </si>
  <si>
    <t>Myah Huggins-Richards</t>
  </si>
  <si>
    <t>CHARIE HOSKINS</t>
  </si>
  <si>
    <t>Emma Babcock</t>
  </si>
  <si>
    <t>Denise Marchese</t>
  </si>
  <si>
    <t>Nicole Knapp</t>
  </si>
  <si>
    <t>Viann Bailey</t>
  </si>
  <si>
    <t>Melissa Stone</t>
  </si>
  <si>
    <t>Amber Goodrich</t>
  </si>
  <si>
    <t>Brandon Hughes</t>
  </si>
  <si>
    <t>Arin Robertson</t>
  </si>
  <si>
    <t>Operations Manager</t>
  </si>
  <si>
    <t>Anthony Belesiotis</t>
  </si>
  <si>
    <t>Andrew Riggs</t>
  </si>
  <si>
    <t>Kris Mazurek</t>
  </si>
  <si>
    <t>JUSTIN HEDDY</t>
  </si>
  <si>
    <t xml:space="preserve">   Yard Waste Redilivery Fee</t>
  </si>
  <si>
    <t xml:space="preserve">   Garbage Cart Redelivery Fee</t>
  </si>
  <si>
    <t>Open Close gate</t>
  </si>
  <si>
    <t>Mini Can</t>
  </si>
  <si>
    <t>50 yard</t>
  </si>
  <si>
    <t>Lids</t>
  </si>
  <si>
    <t>Existed at Rural</t>
  </si>
  <si>
    <t>Removed</t>
  </si>
  <si>
    <t>Item 105, pg 24</t>
  </si>
  <si>
    <t>Multi-Family Recycle</t>
  </si>
  <si>
    <t>First/Additional Pickup:</t>
  </si>
  <si>
    <t>All Sizes</t>
  </si>
  <si>
    <t>Permanent Rent:</t>
  </si>
  <si>
    <t>Temp Pickup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</si>
</sst>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General_)"/>
    <numFmt numFmtId="168" formatCode="#,##0.0"/>
    <numFmt numFmtId="169" formatCode="0%;\(0%\);&quot;&quot;"/>
    <numFmt numFmtId="170" formatCode="m/d/yy\ h:mm\ AM/PM"/>
    <numFmt numFmtId="171" formatCode="_(* #,##0,_);_(* \(#,##0,\);_(* &quot;-&quot;??_);_(@_)"/>
    <numFmt numFmtId="172" formatCode="0.0000%"/>
    <numFmt numFmtId="173" formatCode="_(&quot;$&quot;* #,##0_);_(&quot;$&quot;* \(#,##0\);_(&quot;$&quot;* &quot;-&quot;??_);_(@_)"/>
    <numFmt numFmtId="174" formatCode="_-&quot;$&quot;* #,##0.00_-;\-&quot;$&quot;* #,##0.00_-;_-&quot;$&quot;* &quot;-&quot;??_-;_-@_-"/>
    <numFmt numFmtId="175" formatCode="_([$€-2]* #,##0.00_);_([$€-2]* \(#,##0.00\);_([$€-2]* &quot;-&quot;??_)"/>
    <numFmt numFmtId="176" formatCode="_(* #,##0.0_);_(* \(#,##0.0\);_(* &quot;-&quot;??_);_(@_)"/>
    <numFmt numFmtId="177" formatCode="#,##0.0000_);\(#,##0.0000\)"/>
    <numFmt numFmtId="178" formatCode="0.000%"/>
    <numFmt numFmtId="179" formatCode="#,##0.000_);\(#,##0.000\)"/>
    <numFmt numFmtId="180" formatCode="#,##0.00000_);\(#,##0.00000\)"/>
    <numFmt numFmtId="181" formatCode="0.00000"/>
    <numFmt numFmtId="182" formatCode="&quot;$&quot;#,##0\ ;\(&quot;$&quot;#,##0\)"/>
    <numFmt numFmtId="183" formatCode="mm\-yy;\-0;;@"/>
    <numFmt numFmtId="184" formatCode=".00#####;\-.00####;;@"/>
    <numFmt numFmtId="185" formatCode="_-* #,##0.00_-;\-* #,##0.00_-;_-* &quot;-&quot;??_-;_-@_-"/>
    <numFmt numFmtId="186" formatCode="&quot;$&quot;#,##0"/>
    <numFmt numFmtId="187" formatCode="0.0000"/>
    <numFmt numFmtId="188" formatCode="m/d/yy;@"/>
    <numFmt numFmtId="189" formatCode="mm/dd/yyyy"/>
  </numFmts>
  <fonts count="225">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8"/>
      <color indexed="10"/>
      <name val="Arial"/>
      <family val="2"/>
    </font>
    <font>
      <sz val="12"/>
      <name val="Helv"/>
    </font>
    <font>
      <sz val="8"/>
      <color indexed="8"/>
      <name val="Arial"/>
      <family val="2"/>
    </font>
    <font>
      <sz val="11"/>
      <color indexed="17"/>
      <name val="Calibri"/>
      <family val="2"/>
    </font>
    <font>
      <u/>
      <sz val="9.35"/>
      <color theme="10"/>
      <name val="Calibri"/>
      <family val="2"/>
    </font>
    <font>
      <sz val="10"/>
      <name val="MS Sans Serif"/>
      <family val="2"/>
    </font>
    <font>
      <sz val="12"/>
      <name val="Arial"/>
      <family val="2"/>
    </font>
    <font>
      <sz val="10"/>
      <color indexed="8"/>
      <name val="Arial"/>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sz val="8"/>
      <color theme="1"/>
      <name val="Arial"/>
      <family val="2"/>
    </font>
    <font>
      <b/>
      <sz val="8"/>
      <color theme="1"/>
      <name val="Arial"/>
      <family val="2"/>
    </font>
    <font>
      <b/>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2"/>
      <name val="Courier"/>
      <family val="3"/>
    </font>
    <font>
      <sz val="9"/>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u/>
      <sz val="11"/>
      <color indexed="12"/>
      <name val="Calibri"/>
      <family val="2"/>
    </font>
    <font>
      <sz val="10"/>
      <color indexed="12"/>
      <name val="Arial"/>
      <family val="2"/>
    </font>
    <font>
      <sz val="11"/>
      <color indexed="52"/>
      <name val="Calibri"/>
      <family val="2"/>
    </font>
    <font>
      <sz val="11"/>
      <color indexed="60"/>
      <name val="Calibri"/>
      <family val="2"/>
    </font>
    <font>
      <i/>
      <sz val="10"/>
      <color indexed="10"/>
      <name val="Arial"/>
      <family val="2"/>
    </font>
    <font>
      <b/>
      <sz val="10"/>
      <name val="MS Sans Serif"/>
      <family val="2"/>
    </font>
    <font>
      <b/>
      <sz val="11"/>
      <color indexed="8"/>
      <name val="Calibri"/>
      <family val="2"/>
    </font>
    <font>
      <b/>
      <sz val="9"/>
      <name val="Arial"/>
      <family val="2"/>
    </font>
    <font>
      <sz val="8"/>
      <name val="Comic Sans MS"/>
      <family val="4"/>
    </font>
    <font>
      <b/>
      <sz val="8"/>
      <color indexed="81"/>
      <name val="Tahoma"/>
      <family val="2"/>
    </font>
    <font>
      <sz val="9"/>
      <name val="Arial"/>
      <family val="2"/>
    </font>
    <font>
      <sz val="10"/>
      <name val="Arial"/>
      <family val="2"/>
    </font>
    <font>
      <b/>
      <i/>
      <sz val="8"/>
      <color rgb="FFFF0000"/>
      <name val="Arial"/>
      <family val="2"/>
    </font>
    <font>
      <sz val="9"/>
      <color indexed="81"/>
      <name val="Tahoma"/>
      <family val="2"/>
    </font>
    <font>
      <b/>
      <sz val="9"/>
      <color indexed="81"/>
      <name val="Tahoma"/>
      <family val="2"/>
    </font>
    <font>
      <sz val="10"/>
      <name val="Arial"/>
      <family val="2"/>
    </font>
    <font>
      <b/>
      <sz val="11"/>
      <color indexed="10"/>
      <name val="Calibri"/>
      <family val="2"/>
    </font>
    <font>
      <b/>
      <sz val="11"/>
      <color indexed="9"/>
      <name val="Calibri"/>
      <family val="2"/>
    </font>
    <font>
      <sz val="10"/>
      <name val="Times New Roman"/>
      <family val="1"/>
    </font>
    <font>
      <i/>
      <sz val="11"/>
      <color indexed="23"/>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color rgb="FFFF0000"/>
      <name val="Arial"/>
      <family val="2"/>
    </font>
    <font>
      <sz val="12"/>
      <color theme="1"/>
      <name val="Calibri"/>
      <family val="2"/>
      <scheme val="minor"/>
    </font>
    <font>
      <b/>
      <sz val="11"/>
      <name val="Century Gothic"/>
      <family val="2"/>
    </font>
    <font>
      <sz val="11"/>
      <color rgb="FF000000"/>
      <name val="Calibri"/>
      <family val="2"/>
      <scheme val="minor"/>
    </font>
    <font>
      <b/>
      <sz val="11"/>
      <color indexed="51"/>
      <name val="Calibri"/>
      <family val="2"/>
    </font>
    <font>
      <sz val="10"/>
      <name val="Tahoma"/>
      <family val="2"/>
    </font>
    <font>
      <b/>
      <sz val="15"/>
      <color indexed="61"/>
      <name val="Calibri"/>
      <family val="2"/>
    </font>
    <font>
      <b/>
      <sz val="15"/>
      <color indexed="56"/>
      <name val="Calibri"/>
      <family val="2"/>
    </font>
    <font>
      <b/>
      <sz val="13"/>
      <color indexed="61"/>
      <name val="Calibri"/>
      <family val="2"/>
    </font>
    <font>
      <b/>
      <sz val="13"/>
      <color indexed="56"/>
      <name val="Calibri"/>
      <family val="2"/>
    </font>
    <font>
      <b/>
      <sz val="11"/>
      <color indexed="61"/>
      <name val="Calibri"/>
      <family val="2"/>
    </font>
    <font>
      <b/>
      <sz val="11"/>
      <color indexed="56"/>
      <name val="Calibri"/>
      <family val="2"/>
    </font>
    <font>
      <u/>
      <sz val="8"/>
      <color theme="10"/>
      <name val="Arial"/>
      <family val="2"/>
    </font>
    <font>
      <u/>
      <sz val="10"/>
      <color theme="10"/>
      <name val="Arial"/>
      <family val="2"/>
    </font>
    <font>
      <u/>
      <sz val="10"/>
      <color indexed="12"/>
      <name val="Arial"/>
      <family val="2"/>
    </font>
    <font>
      <u/>
      <sz val="11"/>
      <color theme="10"/>
      <name val="Calibri"/>
      <family val="2"/>
    </font>
    <font>
      <u/>
      <sz val="11"/>
      <color indexed="12"/>
      <name val="Arial"/>
      <family val="2"/>
    </font>
    <font>
      <sz val="11"/>
      <color indexed="61"/>
      <name val="Calibri"/>
      <family val="2"/>
    </font>
    <font>
      <sz val="11"/>
      <color indexed="51"/>
      <name val="Calibri"/>
      <family val="2"/>
    </font>
    <font>
      <sz val="11"/>
      <color indexed="59"/>
      <name val="Calibri"/>
      <family val="2"/>
    </font>
    <font>
      <sz val="10"/>
      <color theme="1"/>
      <name val="Times New Roman"/>
      <family val="2"/>
    </font>
    <font>
      <b/>
      <sz val="11"/>
      <color theme="1" tint="0.14996795556505021"/>
      <name val="Calibri"/>
      <family val="2"/>
      <scheme val="minor"/>
    </font>
    <font>
      <sz val="11"/>
      <color theme="1"/>
      <name val="Arial"/>
      <family val="2"/>
    </font>
    <font>
      <b/>
      <sz val="18"/>
      <color indexed="61"/>
      <name val="Cambria"/>
      <family val="2"/>
    </font>
    <font>
      <b/>
      <sz val="18"/>
      <color indexed="56"/>
      <name val="Cambri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SWISS"/>
    </font>
    <font>
      <sz val="12"/>
      <color indexed="12"/>
      <name val="SWISS"/>
    </font>
    <font>
      <b/>
      <sz val="12"/>
      <name val="SWISS"/>
    </font>
    <font>
      <sz val="8"/>
      <color indexed="9"/>
      <name val="Calibri"/>
      <family val="2"/>
    </font>
    <font>
      <sz val="14"/>
      <color indexed="9"/>
      <name val="Calibri"/>
      <family val="2"/>
    </font>
    <font>
      <sz val="9"/>
      <color indexed="9"/>
      <name val="Calibri"/>
      <family val="2"/>
    </font>
    <font>
      <b/>
      <sz val="14"/>
      <name val="SWISS"/>
    </font>
    <font>
      <sz val="12"/>
      <name val="Times New Roman"/>
      <family val="1"/>
    </font>
    <font>
      <b/>
      <sz val="12"/>
      <color indexed="12"/>
      <name val="Times New Roman"/>
      <family val="1"/>
    </font>
    <font>
      <i/>
      <sz val="8"/>
      <color indexed="12"/>
      <name val="Times New Roman"/>
      <family val="1"/>
    </font>
    <font>
      <sz val="12"/>
      <color indexed="39"/>
      <name val="SWISS"/>
    </font>
    <font>
      <sz val="12"/>
      <color indexed="39"/>
      <name val="Times New Roman"/>
      <family val="1"/>
    </font>
    <font>
      <b/>
      <sz val="12"/>
      <color indexed="39"/>
      <name val="Times New Roman"/>
      <family val="1"/>
    </font>
    <font>
      <sz val="12"/>
      <color indexed="10"/>
      <name val="SWISS"/>
    </font>
    <font>
      <sz val="12"/>
      <color indexed="8"/>
      <name val="SWISS"/>
    </font>
    <font>
      <sz val="9"/>
      <color indexed="39"/>
      <name val="Times New Roman"/>
      <family val="1"/>
    </font>
    <font>
      <b/>
      <sz val="12"/>
      <name val="Times New Roman"/>
      <family val="1"/>
    </font>
    <font>
      <u/>
      <sz val="12"/>
      <color indexed="12"/>
      <name val="Times New Roman"/>
      <family val="1"/>
    </font>
    <font>
      <b/>
      <u/>
      <sz val="12"/>
      <color indexed="39"/>
      <name val="Times New Roman"/>
      <family val="1"/>
    </font>
    <font>
      <sz val="12"/>
      <color indexed="18"/>
      <name val="Times New Roman"/>
      <family val="1"/>
    </font>
    <font>
      <u/>
      <sz val="12"/>
      <color indexed="8"/>
      <name val="Times New Roman"/>
      <family val="1"/>
    </font>
    <font>
      <sz val="12"/>
      <color indexed="8"/>
      <name val="Times New Roman"/>
      <family val="1"/>
    </font>
    <font>
      <sz val="12"/>
      <color indexed="32"/>
      <name val="SWISS"/>
    </font>
    <font>
      <sz val="12"/>
      <color indexed="18"/>
      <name val="SWISS"/>
    </font>
    <font>
      <sz val="10"/>
      <name val="SWISS"/>
    </font>
    <font>
      <sz val="12"/>
      <color indexed="56"/>
      <name val="SWISS"/>
    </font>
    <font>
      <i/>
      <sz val="12"/>
      <name val="SWISS"/>
    </font>
    <font>
      <sz val="11"/>
      <name val="Times New Roman"/>
      <family val="1"/>
    </font>
    <font>
      <u/>
      <sz val="12"/>
      <name val="SWISS"/>
    </font>
    <font>
      <sz val="10"/>
      <color indexed="39"/>
      <name val="Times New Roman"/>
      <family val="1"/>
    </font>
    <font>
      <b/>
      <sz val="10"/>
      <color indexed="10"/>
      <name val="Arial"/>
      <family val="2"/>
    </font>
    <font>
      <b/>
      <sz val="11"/>
      <color indexed="18"/>
      <name val="Britannic Bold"/>
      <family val="2"/>
    </font>
    <font>
      <sz val="11"/>
      <color indexed="8"/>
      <name val="Arial"/>
      <family val="2"/>
    </font>
    <font>
      <sz val="12"/>
      <name val="CG Omega"/>
    </font>
    <font>
      <sz val="11"/>
      <name val="Bookman Old Style"/>
      <family val="1"/>
    </font>
    <font>
      <u/>
      <sz val="8.8000000000000007"/>
      <color theme="10"/>
      <name val="Calibri"/>
      <family val="2"/>
    </font>
    <font>
      <sz val="8"/>
      <color indexed="56"/>
      <name val="Arial"/>
      <family val="2"/>
    </font>
    <font>
      <sz val="12"/>
      <name val="Arial MT"/>
    </font>
    <font>
      <b/>
      <u/>
      <sz val="11"/>
      <name val="Arial"/>
      <family val="2"/>
    </font>
    <font>
      <b/>
      <sz val="10"/>
      <name val="Times New Roman"/>
      <family val="1"/>
    </font>
    <font>
      <sz val="10"/>
      <color indexed="10"/>
      <name val="Arial"/>
      <family val="2"/>
    </font>
    <font>
      <i/>
      <sz val="8"/>
      <name val="Arial"/>
      <family val="2"/>
    </font>
    <font>
      <i/>
      <sz val="8"/>
      <color theme="0"/>
      <name val="Arial"/>
      <family val="2"/>
    </font>
    <font>
      <i/>
      <sz val="8"/>
      <color theme="1"/>
      <name val="Arial"/>
      <family val="2"/>
    </font>
    <font>
      <b/>
      <sz val="18"/>
      <color theme="3"/>
      <name val="Cambria"/>
      <family val="2"/>
      <scheme val="major"/>
    </font>
    <font>
      <sz val="11"/>
      <color rgb="FF9C6500"/>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name val="Calibri"/>
      <family val="2"/>
      <scheme val="minor"/>
    </font>
    <font>
      <b/>
      <sz val="11"/>
      <name val="Calibri"/>
      <family val="2"/>
      <scheme val="minor"/>
    </font>
    <font>
      <b/>
      <sz val="9"/>
      <color indexed="8"/>
      <name val="Calibri"/>
      <family val="2"/>
      <scheme val="minor"/>
    </font>
    <font>
      <b/>
      <sz val="10"/>
      <color rgb="FF3333FF"/>
      <name val="Arial"/>
      <family val="2"/>
    </font>
    <font>
      <sz val="12"/>
      <color rgb="FFFF0000"/>
      <name val="Arial"/>
      <family val="2"/>
    </font>
    <font>
      <b/>
      <sz val="9"/>
      <color indexed="8"/>
      <name val="Arial"/>
      <family val="2"/>
    </font>
    <font>
      <i/>
      <sz val="9"/>
      <color indexed="8"/>
      <name val="Arial"/>
      <family val="2"/>
    </font>
    <font>
      <sz val="11"/>
      <color theme="1"/>
      <name val="Century Gothic"/>
      <family val="2"/>
    </font>
    <font>
      <u/>
      <sz val="7.5"/>
      <color indexed="12"/>
      <name val="Arial"/>
      <family val="2"/>
    </font>
    <font>
      <u/>
      <sz val="11"/>
      <color theme="10"/>
      <name val="Century Gothic"/>
      <family val="2"/>
    </font>
    <font>
      <b/>
      <sz val="14"/>
      <name val="Helv"/>
    </font>
    <font>
      <sz val="18"/>
      <color indexed="13"/>
      <name val="Helv"/>
    </font>
    <font>
      <sz val="12"/>
      <color indexed="13"/>
      <name val="Helv"/>
    </font>
    <font>
      <sz val="10"/>
      <color rgb="FF000000"/>
      <name val="Arial"/>
      <family val="2"/>
    </font>
    <font>
      <u/>
      <sz val="10"/>
      <name val="Arial"/>
      <family val="2"/>
    </font>
    <font>
      <sz val="12"/>
      <color indexed="8"/>
      <name val="Calibri"/>
      <family val="2"/>
    </font>
    <font>
      <b/>
      <sz val="8"/>
      <color rgb="FFFF0000"/>
      <name val="Arial"/>
      <family val="2"/>
    </font>
    <font>
      <b/>
      <sz val="10"/>
      <color theme="1"/>
      <name val="Calibri"/>
      <family val="2"/>
      <scheme val="minor"/>
    </font>
    <font>
      <sz val="10"/>
      <color indexed="8"/>
      <name val="Calibri"/>
      <family val="2"/>
      <scheme val="minor"/>
    </font>
    <font>
      <b/>
      <sz val="10"/>
      <color theme="0"/>
      <name val="Calibri"/>
      <family val="2"/>
      <scheme val="minor"/>
    </font>
    <font>
      <b/>
      <sz val="10"/>
      <name val="Calibri"/>
      <family val="2"/>
      <scheme val="minor"/>
    </font>
    <font>
      <i/>
      <sz val="10"/>
      <name val="Calibri"/>
      <family val="2"/>
      <scheme val="minor"/>
    </font>
    <font>
      <sz val="10"/>
      <name val="Calibri"/>
      <family val="2"/>
      <scheme val="minor"/>
    </font>
    <font>
      <b/>
      <sz val="10"/>
      <color rgb="FF0070C0"/>
      <name val="Calibri"/>
      <family val="2"/>
      <scheme val="minor"/>
    </font>
    <font>
      <b/>
      <sz val="10"/>
      <color rgb="FF0000FF"/>
      <name val="Calibri"/>
      <family val="2"/>
      <scheme val="minor"/>
    </font>
    <font>
      <i/>
      <sz val="10"/>
      <color indexed="8"/>
      <name val="Calibri"/>
      <family val="2"/>
      <scheme val="minor"/>
    </font>
    <font>
      <b/>
      <sz val="10"/>
      <color indexed="8"/>
      <name val="Calibri"/>
      <family val="2"/>
      <scheme val="minor"/>
    </font>
    <font>
      <i/>
      <sz val="10"/>
      <color theme="0"/>
      <name val="Calibri"/>
      <family val="2"/>
      <scheme val="minor"/>
    </font>
    <font>
      <sz val="10"/>
      <color theme="1"/>
      <name val="Calibri"/>
      <family val="2"/>
      <scheme val="minor"/>
    </font>
    <font>
      <i/>
      <u/>
      <sz val="10"/>
      <color indexed="8"/>
      <name val="Calibri"/>
      <family val="2"/>
      <scheme val="minor"/>
    </font>
    <font>
      <b/>
      <u/>
      <sz val="11"/>
      <name val="Calibri"/>
      <family val="2"/>
      <scheme val="minor"/>
    </font>
    <font>
      <sz val="9"/>
      <color theme="1"/>
      <name val="Calibri"/>
      <family val="2"/>
      <scheme val="minor"/>
    </font>
    <font>
      <b/>
      <sz val="9"/>
      <color theme="1"/>
      <name val="Calibri"/>
      <family val="2"/>
      <scheme val="minor"/>
    </font>
    <font>
      <b/>
      <sz val="14"/>
      <name val="Arial"/>
      <family val="2"/>
    </font>
    <font>
      <b/>
      <sz val="11"/>
      <color indexed="60"/>
      <name val="Arial"/>
      <family val="2"/>
    </font>
    <font>
      <i/>
      <sz val="10"/>
      <name val="Arial"/>
      <family val="2"/>
    </font>
    <font>
      <b/>
      <i/>
      <sz val="11"/>
      <color indexed="60"/>
      <name val="Arial"/>
      <family val="2"/>
    </font>
    <font>
      <sz val="10"/>
      <color indexed="30"/>
      <name val="Arial"/>
      <family val="2"/>
    </font>
    <font>
      <sz val="10"/>
      <color indexed="61"/>
      <name val="Arial"/>
      <family val="2"/>
    </font>
    <font>
      <b/>
      <sz val="10"/>
      <color theme="1"/>
      <name val="Arial"/>
      <family val="2"/>
    </font>
    <font>
      <b/>
      <sz val="10"/>
      <color rgb="FF7030A0"/>
      <name val="Arial"/>
      <family val="2"/>
    </font>
    <font>
      <sz val="9"/>
      <color rgb="FF666666"/>
      <name val="Verdana"/>
      <family val="2"/>
    </font>
    <font>
      <sz val="11"/>
      <color rgb="FF7030A0"/>
      <name val="Calibri"/>
      <family val="2"/>
      <scheme val="minor"/>
    </font>
    <font>
      <sz val="11"/>
      <name val="Calibri"/>
      <family val="2"/>
    </font>
    <font>
      <sz val="10"/>
      <name val="Arial"/>
      <family val="2"/>
    </font>
    <font>
      <sz val="8"/>
      <color rgb="FF000000"/>
      <name val="Arial"/>
      <family val="2"/>
    </font>
    <font>
      <b/>
      <sz val="9"/>
      <color indexed="8"/>
      <name val="Calibri"/>
      <family val="2"/>
    </font>
    <font>
      <sz val="9"/>
      <color indexed="8"/>
      <name val="Calibri"/>
      <family val="2"/>
    </font>
    <font>
      <b/>
      <u/>
      <sz val="9"/>
      <color indexed="8"/>
      <name val="Calibri"/>
      <family val="2"/>
    </font>
    <font>
      <b/>
      <sz val="9"/>
      <color indexed="50"/>
      <name val="Calibri"/>
      <family val="2"/>
    </font>
    <font>
      <b/>
      <sz val="9"/>
      <name val="Calibri"/>
      <family val="2"/>
    </font>
    <font>
      <sz val="9"/>
      <name val="Calibri"/>
      <family val="2"/>
    </font>
    <font>
      <sz val="9"/>
      <color rgb="FFFF0000"/>
      <name val="Calibri"/>
      <family val="2"/>
    </font>
    <font>
      <sz val="8"/>
      <color indexed="81"/>
      <name val="Tahoma"/>
      <family val="2"/>
    </font>
    <font>
      <sz val="9"/>
      <color indexed="8"/>
      <name val="Calibri"/>
      <family val="2"/>
      <scheme val="minor"/>
    </font>
    <font>
      <b/>
      <u/>
      <sz val="9"/>
      <color indexed="8"/>
      <name val="Calibri"/>
      <family val="2"/>
      <scheme val="minor"/>
    </font>
    <font>
      <sz val="9"/>
      <color rgb="FFFF0000"/>
      <name val="Calibri"/>
      <family val="2"/>
      <scheme val="minor"/>
    </font>
    <font>
      <b/>
      <sz val="9"/>
      <color rgb="FFFF0000"/>
      <name val="Calibri"/>
      <family val="2"/>
    </font>
    <font>
      <sz val="9"/>
      <color theme="1"/>
      <name val="Arial"/>
      <family val="2"/>
    </font>
    <font>
      <b/>
      <sz val="9"/>
      <color theme="1"/>
      <name val="Arial"/>
      <family val="2"/>
    </font>
    <font>
      <sz val="10"/>
      <color indexed="10"/>
      <name val="Calibri"/>
      <family val="2"/>
      <scheme val="minor"/>
    </font>
    <font>
      <sz val="8"/>
      <name val="Helv"/>
    </font>
    <font>
      <sz val="10"/>
      <name val="Helv"/>
    </font>
    <font>
      <b/>
      <sz val="10"/>
      <name val="Helv"/>
    </font>
    <font>
      <b/>
      <sz val="10"/>
      <name val="SWISS"/>
    </font>
    <font>
      <sz val="8"/>
      <name val="SWISS"/>
    </font>
    <font>
      <b/>
      <sz val="8"/>
      <name val="SWISS"/>
    </font>
    <font>
      <sz val="8"/>
      <name val="Calibri"/>
      <family val="2"/>
      <scheme val="minor"/>
    </font>
    <font>
      <b/>
      <sz val="8"/>
      <color indexed="10"/>
      <name val="Arial"/>
      <family val="2"/>
    </font>
    <font>
      <sz val="8"/>
      <color rgb="FFFF0000"/>
      <name val="Arial"/>
      <family val="2"/>
    </font>
    <font>
      <b/>
      <u/>
      <sz val="8"/>
      <name val="Arial"/>
      <family val="2"/>
    </font>
    <font>
      <i/>
      <sz val="8"/>
      <color rgb="FFFF0000"/>
      <name val="Arial"/>
      <family val="2"/>
    </font>
    <font>
      <b/>
      <sz val="9"/>
      <color rgb="FF3333FF"/>
      <name val="Calibri"/>
      <family val="2"/>
    </font>
    <font>
      <i/>
      <sz val="8"/>
      <color rgb="FF3333FF"/>
      <name val="Arial"/>
      <family val="2"/>
    </font>
    <font>
      <b/>
      <sz val="11"/>
      <name val="Arial"/>
      <family val="2"/>
    </font>
    <font>
      <b/>
      <sz val="11"/>
      <name val="Calibri"/>
      <family val="2"/>
    </font>
    <font>
      <b/>
      <sz val="9"/>
      <name val="Calibri"/>
      <family val="2"/>
      <scheme val="minor"/>
    </font>
  </fonts>
  <fills count="101">
    <fill>
      <patternFill patternType="none"/>
    </fill>
    <fill>
      <patternFill patternType="gray125"/>
    </fill>
    <fill>
      <patternFill patternType="solid">
        <fgColor indexed="47"/>
        <bgColor indexed="64"/>
      </patternFill>
    </fill>
    <fill>
      <patternFill patternType="solid">
        <fgColor indexed="27"/>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29"/>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9"/>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26"/>
      </patternFill>
    </fill>
    <fill>
      <patternFill patternType="solid">
        <fgColor indexed="15"/>
        <bgColor indexed="64"/>
      </patternFill>
    </fill>
    <fill>
      <patternFill patternType="solid">
        <fgColor indexed="4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indexed="47"/>
      </patternFill>
    </fill>
    <fill>
      <patternFill patternType="solid">
        <fgColor indexed="51"/>
      </patternFill>
    </fill>
    <fill>
      <patternFill patternType="solid">
        <fgColor indexed="56"/>
      </patternFill>
    </fill>
    <fill>
      <patternFill patternType="solid">
        <fgColor indexed="54"/>
      </patternFill>
    </fill>
    <fill>
      <patternFill patternType="solid">
        <fgColor indexed="46"/>
      </patternFill>
    </fill>
    <fill>
      <patternFill patternType="solid">
        <fgColor indexed="55"/>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indexed="63"/>
      </patternFill>
    </fill>
    <fill>
      <patternFill patternType="solid">
        <fgColor indexed="31"/>
      </patternFill>
    </fill>
    <fill>
      <patternFill patternType="solid">
        <fgColor indexed="42"/>
      </patternFill>
    </fill>
    <fill>
      <patternFill patternType="solid">
        <fgColor indexed="11"/>
      </patternFill>
    </fill>
    <fill>
      <patternFill patternType="solid">
        <fgColor indexed="48"/>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theme="6" tint="0.39994506668294322"/>
        <bgColor indexed="64"/>
      </patternFill>
    </fill>
    <fill>
      <patternFill patternType="solid">
        <fgColor theme="4" tint="0.39994506668294322"/>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8"/>
      </patternFill>
    </fill>
    <fill>
      <patternFill patternType="solid">
        <fgColor indexed="42"/>
        <bgColor indexed="29"/>
      </patternFill>
    </fill>
    <fill>
      <patternFill patternType="mediumGray">
        <fgColor indexed="22"/>
      </patternFill>
    </fill>
    <fill>
      <patternFill patternType="solid">
        <fgColor rgb="FF002060"/>
        <bgColor indexed="64"/>
      </patternFill>
    </fill>
    <fill>
      <patternFill patternType="solid">
        <fgColor rgb="FFFFEB9C"/>
      </patternFill>
    </fill>
    <fill>
      <patternFill patternType="solid">
        <fgColor rgb="FFFFCC99"/>
      </patternFill>
    </fill>
    <fill>
      <patternFill patternType="solid">
        <fgColor rgb="FFA5A5A5"/>
      </patternFill>
    </fill>
    <fill>
      <patternFill patternType="solid">
        <fgColor theme="7"/>
      </patternFill>
    </fill>
    <fill>
      <patternFill patternType="solid">
        <fgColor theme="8" tint="0.39997558519241921"/>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rgb="FF92D050"/>
        <bgColor indexed="64"/>
      </patternFill>
    </fill>
    <fill>
      <patternFill patternType="solid">
        <fgColor indexed="13"/>
      </patternFill>
    </fill>
    <fill>
      <patternFill patternType="solid">
        <fgColor indexed="12"/>
      </patternFill>
    </fill>
    <fill>
      <patternFill patternType="solid">
        <fgColor rgb="FFFF99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0066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C99"/>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rgb="FF336600"/>
        <bgColor indexed="64"/>
      </patternFill>
    </fill>
    <fill>
      <patternFill patternType="solid">
        <fgColor indexed="40"/>
        <bgColor indexed="64"/>
      </patternFill>
    </fill>
    <fill>
      <patternFill patternType="solid">
        <fgColor theme="6" tint="0.39997558519241921"/>
        <bgColor indexed="64"/>
      </patternFill>
    </fill>
    <fill>
      <patternFill patternType="solid">
        <fgColor indexed="41"/>
        <bgColor indexed="64"/>
      </patternFill>
    </fill>
    <fill>
      <patternFill patternType="solid">
        <fgColor rgb="FFFFC000"/>
        <bgColor indexed="64"/>
      </patternFill>
    </fill>
    <fill>
      <patternFill patternType="solid">
        <fgColor theme="1"/>
        <bgColor indexed="64"/>
      </patternFill>
    </fill>
  </fills>
  <borders count="135">
    <border>
      <left/>
      <right/>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double">
        <color indexed="8"/>
      </left>
      <right style="double">
        <color indexed="8"/>
      </right>
      <top style="double">
        <color indexed="8"/>
      </top>
      <bottom style="double">
        <color indexed="8"/>
      </bottom>
      <diagonal/>
    </border>
    <border>
      <left style="double">
        <color indexed="62"/>
      </left>
      <right style="double">
        <color indexed="62"/>
      </right>
      <top style="double">
        <color indexed="62"/>
      </top>
      <bottom style="double">
        <color indexed="62"/>
      </bottom>
      <diagonal/>
    </border>
    <border>
      <left/>
      <right/>
      <top/>
      <bottom style="thick">
        <color indexed="62"/>
      </bottom>
      <diagonal/>
    </border>
    <border>
      <left/>
      <right/>
      <top/>
      <bottom style="thick">
        <color indexed="48"/>
      </bottom>
      <diagonal/>
    </border>
    <border>
      <left/>
      <right/>
      <top/>
      <bottom style="medium">
        <color indexed="54"/>
      </bottom>
      <diagonal/>
    </border>
    <border>
      <left/>
      <right/>
      <top/>
      <bottom style="medium">
        <color indexed="48"/>
      </bottom>
      <diagonal/>
    </border>
    <border>
      <left/>
      <right/>
      <top/>
      <bottom style="medium">
        <color indexed="30"/>
      </bottom>
      <diagonal/>
    </border>
    <border>
      <left/>
      <right/>
      <top/>
      <bottom style="double">
        <color indexed="51"/>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theme="4" tint="-0.24994659260841701"/>
      </top>
      <bottom style="double">
        <color theme="4" tint="-0.2499465926084170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double">
        <color indexed="8"/>
      </top>
      <bottom style="thin">
        <color indexed="8"/>
      </bottom>
      <diagonal/>
    </border>
    <border>
      <left/>
      <right/>
      <top style="thin">
        <color indexed="64"/>
      </top>
      <bottom style="thin">
        <color indexed="64"/>
      </bottom>
      <diagonal/>
    </border>
    <border>
      <left/>
      <right/>
      <top/>
      <bottom style="medium">
        <color auto="1"/>
      </bottom>
      <diagonal/>
    </border>
    <border>
      <left style="thin">
        <color indexed="64"/>
      </left>
      <right/>
      <top style="thin">
        <color indexed="64"/>
      </top>
      <bottom style="thin">
        <color indexed="64"/>
      </bottom>
      <diagonal/>
    </border>
    <border>
      <left/>
      <right/>
      <top style="thin">
        <color indexed="48"/>
      </top>
      <bottom style="double">
        <color indexed="48"/>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style="thin">
        <color indexed="49"/>
      </top>
      <bottom style="double">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s>
  <cellStyleXfs count="21497">
    <xf numFmtId="0" fontId="0" fillId="0" borderId="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7" fontId="6" fillId="0" borderId="0"/>
    <xf numFmtId="0" fontId="4" fillId="0" borderId="0"/>
    <xf numFmtId="0" fontId="4" fillId="0" borderId="0"/>
    <xf numFmtId="9" fontId="4" fillId="0" borderId="0" applyFont="0" applyFill="0" applyBorder="0" applyAlignment="0" applyProtection="0"/>
    <xf numFmtId="41" fontId="4" fillId="0" borderId="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 fillId="3" borderId="0" applyNumberFormat="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alignment wrapText="1"/>
    </xf>
    <xf numFmtId="0" fontId="4" fillId="0" borderId="0"/>
    <xf numFmtId="0" fontId="4" fillId="0" borderId="0"/>
    <xf numFmtId="0" fontId="4" fillId="0" borderId="0"/>
    <xf numFmtId="0" fontId="10"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 fillId="0" borderId="0"/>
    <xf numFmtId="0" fontId="4" fillId="0" borderId="0"/>
    <xf numFmtId="0" fontId="10"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11" fillId="4" borderId="0" applyFill="0"/>
    <xf numFmtId="9" fontId="4" fillId="0" borderId="0" applyFont="0" applyFill="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3" fontId="4" fillId="0" borderId="0"/>
    <xf numFmtId="0" fontId="32" fillId="18" borderId="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2" fillId="0" borderId="0"/>
    <xf numFmtId="0" fontId="33" fillId="0" borderId="0"/>
    <xf numFmtId="0" fontId="33" fillId="0" borderId="0"/>
    <xf numFmtId="0" fontId="34" fillId="19" borderId="1" applyAlignment="0">
      <alignment horizontal="right"/>
      <protection locked="0"/>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5" fillId="20" borderId="0">
      <alignment horizontal="right"/>
      <protection locked="0"/>
    </xf>
    <xf numFmtId="2" fontId="35" fillId="20" borderId="0">
      <alignment horizontal="right"/>
      <protection locked="0"/>
    </xf>
    <xf numFmtId="0" fontId="36" fillId="0" borderId="6" applyNumberFormat="0" applyFill="0" applyAlignment="0" applyProtection="0"/>
    <xf numFmtId="0" fontId="37" fillId="0" borderId="7" applyNumberFormat="0" applyFill="0" applyAlignment="0" applyProtection="0"/>
    <xf numFmtId="0" fontId="38" fillId="0" borderId="8" applyNumberFormat="0" applyFill="0" applyAlignment="0" applyProtection="0"/>
    <xf numFmtId="0" fontId="39" fillId="0" borderId="0" applyNumberFormat="0" applyFill="0" applyBorder="0" applyAlignment="0" applyProtection="0">
      <alignment vertical="top"/>
      <protection locked="0"/>
    </xf>
    <xf numFmtId="3" fontId="40" fillId="21" borderId="0">
      <protection locked="0"/>
    </xf>
    <xf numFmtId="4" fontId="40" fillId="21" borderId="0">
      <protection locked="0"/>
    </xf>
    <xf numFmtId="0" fontId="41" fillId="0" borderId="9" applyNumberFormat="0" applyFill="0" applyAlignment="0" applyProtection="0"/>
    <xf numFmtId="0" fontId="42" fillId="11" borderId="0" applyNumberFormat="0" applyBorder="0" applyAlignment="0" applyProtection="0"/>
    <xf numFmtId="43" fontId="4"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22" borderId="10" applyNumberFormat="0" applyFont="0" applyAlignment="0" applyProtection="0"/>
    <xf numFmtId="166" fontId="43" fillId="0" borderId="0" applyNumberFormat="0"/>
    <xf numFmtId="9" fontId="4" fillId="0" borderId="0" applyFont="0" applyFill="0" applyBorder="0" applyAlignment="0" applyProtection="0"/>
    <xf numFmtId="9" fontId="29" fillId="0" borderId="0" applyFont="0" applyFill="0" applyBorder="0" applyAlignment="0" applyProtection="0"/>
    <xf numFmtId="166" fontId="4" fillId="0" borderId="0" applyFont="0" applyFill="0" applyBorder="0" applyAlignment="0" applyProtection="0"/>
    <xf numFmtId="10" fontId="4" fillId="0" borderId="0" applyFont="0" applyFill="0" applyBorder="0" applyAlignment="0" applyProtection="0"/>
    <xf numFmtId="0" fontId="4" fillId="0" borderId="0"/>
    <xf numFmtId="0" fontId="10" fillId="0" borderId="0" applyNumberFormat="0" applyFont="0" applyFill="0" applyBorder="0" applyAlignment="0" applyProtection="0">
      <alignment horizontal="left"/>
    </xf>
    <xf numFmtId="0" fontId="44" fillId="0" borderId="2">
      <alignment horizontal="center"/>
    </xf>
    <xf numFmtId="0" fontId="12" fillId="0" borderId="0">
      <alignment vertical="top"/>
    </xf>
    <xf numFmtId="0" fontId="12" fillId="0" borderId="0" applyNumberFormat="0" applyBorder="0" applyAlignment="0"/>
    <xf numFmtId="0" fontId="45" fillId="0" borderId="11" applyNumberFormat="0" applyFill="0" applyAlignment="0" applyProtection="0"/>
    <xf numFmtId="9"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4" fillId="0" borderId="0"/>
    <xf numFmtId="9" fontId="4" fillId="0" borderId="0" applyFont="0" applyFill="0" applyBorder="0" applyAlignment="0" applyProtection="0"/>
    <xf numFmtId="9" fontId="29" fillId="0" borderId="0" applyFont="0" applyFill="0" applyBorder="0" applyAlignment="0" applyProtection="0"/>
    <xf numFmtId="0" fontId="6" fillId="0" borderId="0"/>
    <xf numFmtId="0" fontId="50" fillId="0" borderId="0"/>
    <xf numFmtId="44"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0" fontId="29" fillId="0" borderId="0"/>
    <xf numFmtId="0" fontId="54" fillId="0" borderId="0"/>
    <xf numFmtId="0" fontId="29" fillId="10"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8"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3" borderId="0" applyNumberFormat="0" applyBorder="0" applyAlignment="0" applyProtection="0"/>
    <xf numFmtId="0" fontId="29" fillId="22"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0" fillId="29" borderId="0" applyNumberFormat="0" applyBorder="0" applyAlignment="0" applyProtection="0"/>
    <xf numFmtId="0" fontId="30" fillId="17" borderId="0" applyNumberFormat="0" applyBorder="0" applyAlignment="0" applyProtection="0"/>
    <xf numFmtId="0" fontId="30" fillId="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30" borderId="0" applyNumberFormat="0" applyBorder="0" applyAlignment="0" applyProtection="0"/>
    <xf numFmtId="0" fontId="30" fillId="16" borderId="0" applyNumberFormat="0" applyBorder="0" applyAlignment="0" applyProtection="0"/>
    <xf numFmtId="0" fontId="30" fillId="29"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1" fillId="32" borderId="0" applyNumberFormat="0" applyBorder="0" applyAlignment="0" applyProtection="0"/>
    <xf numFmtId="0" fontId="55" fillId="18" borderId="5" applyNumberFormat="0" applyAlignment="0" applyProtection="0"/>
    <xf numFmtId="0" fontId="56" fillId="33" borderId="12" applyNumberFormat="0" applyAlignment="0" applyProtection="0"/>
    <xf numFmtId="0" fontId="56" fillId="33" borderId="1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9"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3" borderId="0" applyNumberFormat="0" applyBorder="0" applyAlignment="0" applyProtection="0"/>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9" fillId="11" borderId="5" applyNumberFormat="0" applyAlignment="0" applyProtection="0"/>
    <xf numFmtId="0" fontId="59" fillId="11" borderId="5" applyNumberFormat="0" applyAlignment="0" applyProtection="0"/>
    <xf numFmtId="0" fontId="60" fillId="0" borderId="16" applyNumberFormat="0" applyFill="0" applyAlignment="0" applyProtection="0"/>
    <xf numFmtId="0" fontId="61" fillId="11" borderId="0" applyNumberFormat="0" applyBorder="0" applyAlignment="0" applyProtection="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1" fillId="0" borderId="0"/>
    <xf numFmtId="0" fontId="4" fillId="0" borderId="0"/>
    <xf numFmtId="0" fontId="4" fillId="0" borderId="0"/>
    <xf numFmtId="0" fontId="4" fillId="0" borderId="0"/>
    <xf numFmtId="0" fontId="6" fillId="22" borderId="10" applyNumberFormat="0" applyFont="0" applyAlignment="0" applyProtection="0"/>
    <xf numFmtId="0" fontId="62" fillId="18" borderId="17" applyNumberFormat="0" applyAlignment="0" applyProtection="0"/>
    <xf numFmtId="0" fontId="62" fillId="18" borderId="17" applyNumberFormat="0" applyAlignment="0" applyProtection="0"/>
    <xf numFmtId="0" fontId="12" fillId="0" borderId="0" applyNumberFormat="0" applyBorder="0" applyAlignment="0"/>
    <xf numFmtId="0" fontId="63" fillId="0" borderId="0" applyNumberFormat="0" applyFill="0" applyBorder="0" applyAlignment="0" applyProtection="0"/>
    <xf numFmtId="0" fontId="63" fillId="0" borderId="0" applyNumberFormat="0" applyFill="0" applyBorder="0" applyAlignment="0" applyProtection="0"/>
    <xf numFmtId="0" fontId="45" fillId="0" borderId="18"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29" fillId="37"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9" fillId="38" borderId="0" applyNumberFormat="0" applyBorder="0" applyAlignment="0" applyProtection="0"/>
    <xf numFmtId="0" fontId="29" fillId="37"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22" borderId="0" applyNumberFormat="0" applyBorder="0" applyAlignment="0" applyProtection="0"/>
    <xf numFmtId="0" fontId="29" fillId="37" borderId="0" applyNumberFormat="0" applyBorder="0" applyAlignment="0" applyProtection="0"/>
    <xf numFmtId="0" fontId="29" fillId="28"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29" fillId="28" borderId="0" applyNumberFormat="0" applyBorder="0" applyAlignment="0" applyProtection="0"/>
    <xf numFmtId="0" fontId="29" fillId="22" borderId="0" applyNumberFormat="0" applyBorder="0" applyAlignment="0" applyProtection="0"/>
    <xf numFmtId="0" fontId="29" fillId="28" borderId="0" applyNumberFormat="0" applyBorder="0" applyAlignment="0" applyProtection="0"/>
    <xf numFmtId="0" fontId="29" fillId="10" borderId="0" applyNumberFormat="0" applyBorder="0" applyAlignment="0" applyProtection="0"/>
    <xf numFmtId="0" fontId="29" fillId="9" borderId="0" applyNumberFormat="0" applyBorder="0" applyAlignment="0" applyProtection="0"/>
    <xf numFmtId="0" fontId="29" fillId="22" borderId="0" applyNumberFormat="0" applyBorder="0" applyAlignment="0" applyProtection="0"/>
    <xf numFmtId="0" fontId="29" fillId="1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2" borderId="0" applyNumberFormat="0" applyBorder="0" applyAlignment="0" applyProtection="0"/>
    <xf numFmtId="0" fontId="29" fillId="3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28" borderId="0" applyNumberFormat="0" applyBorder="0" applyAlignment="0" applyProtection="0"/>
    <xf numFmtId="0" fontId="29" fillId="11" borderId="0" applyNumberFormat="0" applyBorder="0" applyAlignment="0" applyProtection="0"/>
    <xf numFmtId="0" fontId="29" fillId="29" borderId="0" applyNumberFormat="0" applyBorder="0" applyAlignment="0" applyProtection="0"/>
    <xf numFmtId="0" fontId="29" fillId="28" borderId="0" applyNumberFormat="0" applyBorder="0" applyAlignment="0" applyProtection="0"/>
    <xf numFmtId="0" fontId="30" fillId="31" borderId="0" applyNumberFormat="0" applyBorder="0" applyAlignment="0" applyProtection="0"/>
    <xf numFmtId="0" fontId="30" fillId="41" borderId="0" applyNumberFormat="0" applyBorder="0" applyAlignment="0" applyProtection="0"/>
    <xf numFmtId="0" fontId="30" fillId="12" borderId="0" applyNumberFormat="0" applyBorder="0" applyAlignment="0" applyProtection="0"/>
    <xf numFmtId="0" fontId="30" fillId="42" borderId="0" applyNumberFormat="0" applyBorder="0" applyAlignment="0" applyProtection="0"/>
    <xf numFmtId="0" fontId="30" fillId="31" borderId="0" applyNumberFormat="0" applyBorder="0" applyAlignment="0" applyProtection="0"/>
    <xf numFmtId="0" fontId="30" fillId="13" borderId="0" applyNumberFormat="0" applyBorder="0" applyAlignment="0" applyProtection="0"/>
    <xf numFmtId="0" fontId="30" fillId="22" borderId="0" applyNumberFormat="0" applyBorder="0" applyAlignment="0" applyProtection="0"/>
    <xf numFmtId="0" fontId="30" fillId="11" borderId="0" applyNumberFormat="0" applyBorder="0" applyAlignment="0" applyProtection="0"/>
    <xf numFmtId="0" fontId="30" fillId="40"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9" borderId="0" applyNumberFormat="0" applyBorder="0" applyAlignment="0" applyProtection="0"/>
    <xf numFmtId="0" fontId="30" fillId="43" borderId="0" applyNumberFormat="0" applyBorder="0" applyAlignment="0" applyProtection="0"/>
    <xf numFmtId="0" fontId="30" fillId="33" borderId="0" applyNumberFormat="0" applyBorder="0" applyAlignment="0" applyProtection="0"/>
    <xf numFmtId="0" fontId="30" fillId="10" borderId="0" applyNumberFormat="0" applyBorder="0" applyAlignment="0" applyProtection="0"/>
    <xf numFmtId="0" fontId="30" fillId="4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28" borderId="0" applyNumberFormat="0" applyBorder="0" applyAlignment="0" applyProtection="0"/>
    <xf numFmtId="0" fontId="30" fillId="1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28" borderId="0" applyNumberFormat="0" applyBorder="0" applyAlignment="0" applyProtection="0"/>
    <xf numFmtId="0" fontId="30" fillId="45" borderId="0" applyNumberFormat="0" applyBorder="0" applyAlignment="0" applyProtection="0"/>
    <xf numFmtId="0" fontId="30" fillId="41" borderId="0" applyNumberFormat="0" applyBorder="0" applyAlignment="0" applyProtection="0"/>
    <xf numFmtId="0" fontId="30" fillId="12" borderId="0" applyNumberFormat="0" applyBorder="0" applyAlignment="0" applyProtection="0"/>
    <xf numFmtId="0" fontId="30" fillId="45" borderId="0" applyNumberFormat="0" applyBorder="0" applyAlignment="0" applyProtection="0"/>
    <xf numFmtId="0" fontId="30" fillId="14" borderId="0" applyNumberFormat="0" applyBorder="0" applyAlignment="0" applyProtection="0"/>
    <xf numFmtId="0" fontId="30" fillId="30"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31" borderId="0" applyNumberFormat="0" applyBorder="0" applyAlignment="0" applyProtection="0"/>
    <xf numFmtId="0" fontId="30" fillId="15" borderId="0" applyNumberFormat="0" applyBorder="0" applyAlignment="0" applyProtection="0"/>
    <xf numFmtId="0" fontId="30" fillId="41"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44" borderId="0" applyNumberFormat="0" applyBorder="0" applyAlignment="0" applyProtection="0"/>
    <xf numFmtId="0" fontId="30" fillId="16" borderId="0" applyNumberFormat="0" applyBorder="0" applyAlignment="0" applyProtection="0"/>
    <xf numFmtId="41" fontId="4" fillId="0" borderId="0"/>
    <xf numFmtId="41" fontId="4" fillId="0" borderId="0"/>
    <xf numFmtId="41" fontId="4" fillId="0" borderId="0"/>
    <xf numFmtId="41" fontId="4" fillId="0" borderId="0"/>
    <xf numFmtId="41" fontId="4" fillId="0" borderId="0"/>
    <xf numFmtId="0" fontId="31" fillId="17" borderId="0" applyNumberFormat="0" applyBorder="0" applyAlignment="0" applyProtection="0"/>
    <xf numFmtId="3" fontId="4" fillId="0" borderId="0"/>
    <xf numFmtId="3" fontId="4" fillId="0" borderId="0"/>
    <xf numFmtId="3" fontId="4" fillId="0" borderId="0"/>
    <xf numFmtId="0" fontId="32" fillId="37" borderId="5" applyNumberFormat="0" applyAlignment="0" applyProtection="0"/>
    <xf numFmtId="0" fontId="68" fillId="18" borderId="5" applyNumberFormat="0" applyAlignment="0" applyProtection="0"/>
    <xf numFmtId="0" fontId="32" fillId="18" borderId="5" applyNumberFormat="0" applyAlignment="0" applyProtection="0"/>
    <xf numFmtId="0" fontId="32" fillId="9" borderId="5" applyNumberFormat="0" applyAlignment="0" applyProtection="0"/>
    <xf numFmtId="0" fontId="32" fillId="37" borderId="5" applyNumberFormat="0" applyAlignment="0" applyProtection="0"/>
    <xf numFmtId="0" fontId="56" fillId="33" borderId="22" applyNumberFormat="0" applyAlignment="0" applyProtection="0"/>
    <xf numFmtId="0" fontId="56" fillId="37" borderId="23" applyNumberFormat="0" applyAlignment="0" applyProtection="0"/>
    <xf numFmtId="0" fontId="56" fillId="33" borderId="12" applyNumberFormat="0" applyAlignment="0" applyProtection="0"/>
    <xf numFmtId="0" fontId="56" fillId="33" borderId="22" applyNumberFormat="0" applyAlignment="0" applyProtection="0"/>
    <xf numFmtId="0" fontId="4" fillId="24" borderId="0">
      <alignment horizontal="center"/>
    </xf>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7" fillId="0" borderId="0" applyFont="0" applyFill="0" applyBorder="0" applyAlignment="0" applyProtection="0"/>
    <xf numFmtId="43" fontId="65" fillId="0" borderId="0" applyFont="0" applyFill="0" applyBorder="0" applyAlignment="0" applyProtection="0"/>
    <xf numFmtId="4" fontId="12" fillId="0" borderId="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174" fontId="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175" fontId="4" fillId="0" borderId="0" applyFont="0" applyFill="0" applyBorder="0" applyAlignment="0" applyProtection="0"/>
    <xf numFmtId="0" fontId="8" fillId="3" borderId="0" applyNumberFormat="0" applyBorder="0" applyAlignment="0" applyProtection="0"/>
    <xf numFmtId="0" fontId="8" fillId="39" borderId="0" applyNumberFormat="0" applyBorder="0" applyAlignment="0" applyProtection="0"/>
    <xf numFmtId="0" fontId="36" fillId="0" borderId="24" applyNumberFormat="0" applyFill="0" applyAlignment="0" applyProtection="0"/>
    <xf numFmtId="0" fontId="70" fillId="0" borderId="25" applyNumberFormat="0" applyFill="0" applyAlignment="0" applyProtection="0"/>
    <xf numFmtId="0" fontId="36" fillId="0" borderId="6" applyNumberFormat="0" applyFill="0" applyAlignment="0" applyProtection="0"/>
    <xf numFmtId="0" fontId="71" fillId="0" borderId="24" applyNumberFormat="0" applyFill="0" applyAlignment="0" applyProtection="0"/>
    <xf numFmtId="0" fontId="36" fillId="0" borderId="24" applyNumberFormat="0" applyFill="0" applyAlignment="0" applyProtection="0"/>
    <xf numFmtId="0" fontId="72" fillId="0" borderId="7" applyNumberFormat="0" applyFill="0" applyAlignment="0" applyProtection="0"/>
    <xf numFmtId="0" fontId="73" fillId="0" borderId="7" applyNumberFormat="0" applyFill="0" applyAlignment="0" applyProtection="0"/>
    <xf numFmtId="0" fontId="37" fillId="0" borderId="7" applyNumberFormat="0" applyFill="0" applyAlignment="0" applyProtection="0"/>
    <xf numFmtId="0" fontId="38" fillId="0" borderId="26" applyNumberFormat="0" applyFill="0" applyAlignment="0" applyProtection="0"/>
    <xf numFmtId="0" fontId="74" fillId="0" borderId="27" applyNumberFormat="0" applyFill="0" applyAlignment="0" applyProtection="0"/>
    <xf numFmtId="0" fontId="38" fillId="0" borderId="8" applyNumberFormat="0" applyFill="0" applyAlignment="0" applyProtection="0"/>
    <xf numFmtId="0" fontId="75" fillId="0" borderId="28" applyNumberFormat="0" applyFill="0" applyAlignment="0" applyProtection="0"/>
    <xf numFmtId="0" fontId="38" fillId="0" borderId="2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9" fillId="28" borderId="5" applyNumberFormat="0" applyAlignment="0" applyProtection="0"/>
    <xf numFmtId="0" fontId="81" fillId="11" borderId="5" applyNumberFormat="0" applyAlignment="0" applyProtection="0"/>
    <xf numFmtId="0" fontId="59" fillId="28" borderId="5" applyNumberFormat="0" applyAlignment="0" applyProtection="0"/>
    <xf numFmtId="3" fontId="40" fillId="21" borderId="0">
      <protection locked="0"/>
    </xf>
    <xf numFmtId="3" fontId="40" fillId="21" borderId="0">
      <protection locked="0"/>
    </xf>
    <xf numFmtId="3" fontId="40" fillId="21" borderId="0">
      <protection locked="0"/>
    </xf>
    <xf numFmtId="3" fontId="40" fillId="21" borderId="0">
      <protection locked="0"/>
    </xf>
    <xf numFmtId="3" fontId="40" fillId="21" borderId="0">
      <protection locked="0"/>
    </xf>
    <xf numFmtId="0" fontId="1" fillId="36" borderId="19" applyNumberFormat="0" applyProtection="0">
      <alignment horizontal="centerContinuous" vertical="center"/>
      <protection locked="0"/>
    </xf>
    <xf numFmtId="0" fontId="82" fillId="0" borderId="29" applyNumberFormat="0" applyFill="0" applyAlignment="0" applyProtection="0"/>
    <xf numFmtId="0" fontId="41" fillId="0" borderId="9" applyNumberFormat="0" applyFill="0" applyAlignment="0" applyProtection="0"/>
    <xf numFmtId="0" fontId="42" fillId="28" borderId="0" applyNumberFormat="0" applyBorder="0" applyAlignment="0" applyProtection="0"/>
    <xf numFmtId="0" fontId="83"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28" borderId="0" applyNumberFormat="0" applyBorder="0" applyAlignment="0" applyProtection="0"/>
    <xf numFmtId="0" fontId="1" fillId="0" borderId="0"/>
    <xf numFmtId="0" fontId="1" fillId="0" borderId="0"/>
    <xf numFmtId="0" fontId="4" fillId="0" borderId="0"/>
    <xf numFmtId="0" fontId="29" fillId="0" borderId="0"/>
    <xf numFmtId="0" fontId="4" fillId="0" borderId="0"/>
    <xf numFmtId="0" fontId="1" fillId="0" borderId="0"/>
    <xf numFmtId="0" fontId="1" fillId="0" borderId="0"/>
    <xf numFmtId="0" fontId="1" fillId="0" borderId="0"/>
    <xf numFmtId="0" fontId="4" fillId="0" borderId="0"/>
    <xf numFmtId="0" fontId="4" fillId="0" borderId="0">
      <alignment vertical="top"/>
    </xf>
    <xf numFmtId="0" fontId="4" fillId="0" borderId="0"/>
    <xf numFmtId="0" fontId="1" fillId="0" borderId="0"/>
    <xf numFmtId="0" fontId="4" fillId="0" borderId="0">
      <alignment vertical="top"/>
    </xf>
    <xf numFmtId="0" fontId="1" fillId="0" borderId="0"/>
    <xf numFmtId="0" fontId="1" fillId="0" borderId="0"/>
    <xf numFmtId="0" fontId="4" fillId="0" borderId="0">
      <alignment vertical="top"/>
    </xf>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 fillId="0" borderId="0"/>
    <xf numFmtId="0" fontId="1" fillId="0" borderId="0"/>
    <xf numFmtId="0" fontId="4" fillId="0" borderId="0">
      <alignment vertical="top"/>
    </xf>
    <xf numFmtId="0" fontId="1" fillId="0" borderId="0"/>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 fillId="0" borderId="0"/>
    <xf numFmtId="0" fontId="4" fillId="0" borderId="0">
      <alignment vertical="top"/>
    </xf>
    <xf numFmtId="0" fontId="1" fillId="0" borderId="0"/>
    <xf numFmtId="0" fontId="1" fillId="0" borderId="0"/>
    <xf numFmtId="0" fontId="1" fillId="0" borderId="0"/>
    <xf numFmtId="0" fontId="1" fillId="0" borderId="0"/>
    <xf numFmtId="0" fontId="4" fillId="0" borderId="0">
      <alignment vertical="top"/>
    </xf>
    <xf numFmtId="0" fontId="4" fillId="0" borderId="0"/>
    <xf numFmtId="0" fontId="1" fillId="0" borderId="0"/>
    <xf numFmtId="0" fontId="4" fillId="0" borderId="0">
      <alignment vertical="top"/>
    </xf>
    <xf numFmtId="0" fontId="1" fillId="0" borderId="0"/>
    <xf numFmtId="0" fontId="4" fillId="0" borderId="0"/>
    <xf numFmtId="0" fontId="1" fillId="0" borderId="0"/>
    <xf numFmtId="0" fontId="1" fillId="0" borderId="0"/>
    <xf numFmtId="0" fontId="1" fillId="0" borderId="0"/>
    <xf numFmtId="0" fontId="4" fillId="0" borderId="0">
      <alignment vertical="top"/>
    </xf>
    <xf numFmtId="0" fontId="4" fillId="0" borderId="0">
      <alignment vertical="top"/>
    </xf>
    <xf numFmtId="0" fontId="4" fillId="0" borderId="0"/>
    <xf numFmtId="0" fontId="1" fillId="0" borderId="0"/>
    <xf numFmtId="0" fontId="4" fillId="0" borderId="0">
      <alignment vertical="top"/>
    </xf>
    <xf numFmtId="0" fontId="29" fillId="0" borderId="0"/>
    <xf numFmtId="0" fontId="4" fillId="0" borderId="0"/>
    <xf numFmtId="0" fontId="4" fillId="0" borderId="0">
      <alignment vertical="top"/>
    </xf>
    <xf numFmtId="0" fontId="4" fillId="0" borderId="0">
      <alignment vertical="top"/>
    </xf>
    <xf numFmtId="0" fontId="4" fillId="0" borderId="0"/>
    <xf numFmtId="0" fontId="1" fillId="0" borderId="0"/>
    <xf numFmtId="0" fontId="4" fillId="0" borderId="0">
      <alignment vertical="top"/>
    </xf>
    <xf numFmtId="0" fontId="29" fillId="0" borderId="0"/>
    <xf numFmtId="0" fontId="4" fillId="0" borderId="0"/>
    <xf numFmtId="0" fontId="4" fillId="0" borderId="0">
      <alignment vertical="top"/>
    </xf>
    <xf numFmtId="0" fontId="4" fillId="0" borderId="0">
      <alignment vertical="top"/>
    </xf>
    <xf numFmtId="0" fontId="4" fillId="0" borderId="0"/>
    <xf numFmtId="0" fontId="1" fillId="0" borderId="0"/>
    <xf numFmtId="0" fontId="4" fillId="0" borderId="0">
      <alignment vertical="top"/>
    </xf>
    <xf numFmtId="0" fontId="29" fillId="0" borderId="0"/>
    <xf numFmtId="0" fontId="4" fillId="0" borderId="0"/>
    <xf numFmtId="0" fontId="4" fillId="0" borderId="0">
      <alignment vertical="top"/>
    </xf>
    <xf numFmtId="0" fontId="4" fillId="0" borderId="0">
      <alignment vertical="top"/>
    </xf>
    <xf numFmtId="0" fontId="4" fillId="0" borderId="0">
      <alignment vertical="top"/>
    </xf>
    <xf numFmtId="0" fontId="1" fillId="0" borderId="0"/>
    <xf numFmtId="0" fontId="4" fillId="0" borderId="0">
      <alignment vertical="top"/>
    </xf>
    <xf numFmtId="0" fontId="29" fillId="0" borderId="0"/>
    <xf numFmtId="0" fontId="4" fillId="0" borderId="0"/>
    <xf numFmtId="0" fontId="4" fillId="0" borderId="0">
      <alignment vertical="top"/>
    </xf>
    <xf numFmtId="0" fontId="12" fillId="0" borderId="0"/>
    <xf numFmtId="0" fontId="4" fillId="0" borderId="0"/>
    <xf numFmtId="0" fontId="4" fillId="0" borderId="0"/>
    <xf numFmtId="0" fontId="4" fillId="0" borderId="0"/>
    <xf numFmtId="0" fontId="10" fillId="0" borderId="0">
      <alignment vertical="top"/>
    </xf>
    <xf numFmtId="0" fontId="1" fillId="0" borderId="0"/>
    <xf numFmtId="0" fontId="4"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4" fillId="0" borderId="0">
      <alignment vertical="top"/>
    </xf>
    <xf numFmtId="0" fontId="1" fillId="0" borderId="0"/>
    <xf numFmtId="0" fontId="4" fillId="0" borderId="0">
      <alignment vertical="top"/>
    </xf>
    <xf numFmtId="0" fontId="69" fillId="0" borderId="0"/>
    <xf numFmtId="0" fontId="4" fillId="0" borderId="0"/>
    <xf numFmtId="0" fontId="4" fillId="0" borderId="0">
      <alignment vertical="top"/>
    </xf>
    <xf numFmtId="0" fontId="1" fillId="0" borderId="0"/>
    <xf numFmtId="0" fontId="1" fillId="0" borderId="0"/>
    <xf numFmtId="0" fontId="12" fillId="0" borderId="0">
      <alignment vertical="top"/>
    </xf>
    <xf numFmtId="0" fontId="4" fillId="0" borderId="0"/>
    <xf numFmtId="0" fontId="1" fillId="0" borderId="0"/>
    <xf numFmtId="0" fontId="1" fillId="0" borderId="0"/>
    <xf numFmtId="0" fontId="4" fillId="0" borderId="0"/>
    <xf numFmtId="0" fontId="4" fillId="0" borderId="0"/>
    <xf numFmtId="0" fontId="12" fillId="0" borderId="0">
      <alignment vertical="top"/>
    </xf>
    <xf numFmtId="0" fontId="12" fillId="0" borderId="0"/>
    <xf numFmtId="0" fontId="4" fillId="0" borderId="0">
      <alignment wrapText="1"/>
    </xf>
    <xf numFmtId="0" fontId="4" fillId="0" borderId="0">
      <alignment wrapText="1"/>
    </xf>
    <xf numFmtId="0" fontId="4" fillId="0" borderId="0"/>
    <xf numFmtId="0" fontId="4" fillId="0" borderId="0"/>
    <xf numFmtId="0" fontId="12" fillId="0" borderId="0"/>
    <xf numFmtId="0" fontId="1" fillId="0" borderId="0"/>
    <xf numFmtId="0" fontId="1" fillId="0" borderId="0"/>
    <xf numFmtId="0" fontId="12" fillId="0" borderId="0"/>
    <xf numFmtId="0" fontId="4" fillId="0" borderId="0"/>
    <xf numFmtId="0" fontId="1" fillId="0" borderId="0"/>
    <xf numFmtId="0" fontId="1" fillId="0" borderId="0"/>
    <xf numFmtId="0" fontId="12" fillId="0" borderId="0"/>
    <xf numFmtId="0" fontId="4" fillId="0" borderId="0"/>
    <xf numFmtId="0" fontId="1" fillId="0" borderId="0"/>
    <xf numFmtId="0" fontId="1" fillId="0" borderId="0"/>
    <xf numFmtId="0" fontId="4" fillId="0" borderId="0"/>
    <xf numFmtId="0" fontId="4" fillId="0" borderId="0"/>
    <xf numFmtId="0" fontId="12" fillId="0" borderId="0"/>
    <xf numFmtId="0" fontId="1" fillId="0" borderId="0"/>
    <xf numFmtId="0" fontId="1" fillId="0" borderId="0"/>
    <xf numFmtId="0" fontId="12" fillId="0" borderId="0">
      <alignment vertical="top"/>
    </xf>
    <xf numFmtId="0" fontId="4" fillId="0" borderId="0"/>
    <xf numFmtId="0" fontId="1" fillId="0" borderId="0"/>
    <xf numFmtId="0" fontId="1" fillId="0" borderId="0"/>
    <xf numFmtId="0" fontId="12" fillId="0" borderId="0"/>
    <xf numFmtId="0" fontId="4" fillId="0" borderId="0"/>
    <xf numFmtId="0" fontId="1" fillId="0" borderId="0"/>
    <xf numFmtId="0" fontId="1" fillId="0" borderId="0"/>
    <xf numFmtId="0" fontId="12" fillId="0" borderId="0"/>
    <xf numFmtId="0" fontId="4" fillId="0" borderId="0"/>
    <xf numFmtId="0" fontId="65" fillId="0" borderId="0"/>
    <xf numFmtId="0" fontId="12" fillId="0" borderId="0">
      <alignment vertical="top"/>
    </xf>
    <xf numFmtId="0" fontId="4" fillId="0" borderId="0"/>
    <xf numFmtId="0" fontId="4" fillId="0" borderId="0"/>
    <xf numFmtId="0" fontId="1" fillId="0" borderId="0"/>
    <xf numFmtId="0" fontId="4" fillId="0" borderId="0"/>
    <xf numFmtId="0" fontId="12" fillId="0" borderId="0"/>
    <xf numFmtId="0" fontId="4" fillId="0" borderId="0"/>
    <xf numFmtId="0" fontId="12" fillId="0" borderId="0"/>
    <xf numFmtId="0" fontId="4" fillId="0" borderId="0"/>
    <xf numFmtId="0" fontId="12" fillId="0" borderId="0"/>
    <xf numFmtId="0" fontId="1" fillId="0" borderId="0"/>
    <xf numFmtId="0" fontId="12" fillId="0" borderId="0"/>
    <xf numFmtId="0" fontId="4" fillId="0" borderId="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0" fontId="4" fillId="0" borderId="0"/>
    <xf numFmtId="0" fontId="1" fillId="0" borderId="0"/>
    <xf numFmtId="0" fontId="4" fillId="0" borderId="0">
      <alignment vertical="top"/>
    </xf>
    <xf numFmtId="0" fontId="12" fillId="0" borderId="0"/>
    <xf numFmtId="0" fontId="12"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29" fillId="0" borderId="0"/>
    <xf numFmtId="0" fontId="4" fillId="0" borderId="0">
      <alignment vertical="top"/>
    </xf>
    <xf numFmtId="0" fontId="12" fillId="0" borderId="0">
      <alignment vertical="top"/>
    </xf>
    <xf numFmtId="0" fontId="4" fillId="0" borderId="0"/>
    <xf numFmtId="0" fontId="1" fillId="0" borderId="0"/>
    <xf numFmtId="0" fontId="67" fillId="0" borderId="0"/>
    <xf numFmtId="0" fontId="67" fillId="0" borderId="0"/>
    <xf numFmtId="0" fontId="29" fillId="0" borderId="0"/>
    <xf numFmtId="0" fontId="84" fillId="0" borderId="0"/>
    <xf numFmtId="0" fontId="67" fillId="0" borderId="0"/>
    <xf numFmtId="0" fontId="4" fillId="0" borderId="0"/>
    <xf numFmtId="0" fontId="4" fillId="0" borderId="0"/>
    <xf numFmtId="0" fontId="1" fillId="0" borderId="0"/>
    <xf numFmtId="0" fontId="1" fillId="0" borderId="0"/>
    <xf numFmtId="0" fontId="1" fillId="0" borderId="0"/>
    <xf numFmtId="0" fontId="29" fillId="0" borderId="0"/>
    <xf numFmtId="0" fontId="4" fillId="0" borderId="0"/>
    <xf numFmtId="0" fontId="1" fillId="0" borderId="0"/>
    <xf numFmtId="0" fontId="1" fillId="0" borderId="0"/>
    <xf numFmtId="0" fontId="1" fillId="0" borderId="0"/>
    <xf numFmtId="0" fontId="29" fillId="0" borderId="0"/>
    <xf numFmtId="0" fontId="4" fillId="0" borderId="0"/>
    <xf numFmtId="0" fontId="1" fillId="0" borderId="0"/>
    <xf numFmtId="0" fontId="1" fillId="0" borderId="0"/>
    <xf numFmtId="0" fontId="1" fillId="0" borderId="0"/>
    <xf numFmtId="0" fontId="1" fillId="0" borderId="0"/>
    <xf numFmtId="0" fontId="29" fillId="0" borderId="0"/>
    <xf numFmtId="0" fontId="4" fillId="0" borderId="0"/>
    <xf numFmtId="0" fontId="1" fillId="0" borderId="0"/>
    <xf numFmtId="0" fontId="1" fillId="0" borderId="0"/>
    <xf numFmtId="0" fontId="4" fillId="22" borderId="30" applyNumberFormat="0" applyFont="0" applyAlignment="0" applyProtection="0"/>
    <xf numFmtId="0" fontId="12" fillId="22" borderId="10" applyNumberFormat="0" applyFont="0" applyAlignment="0" applyProtection="0"/>
    <xf numFmtId="0" fontId="1" fillId="35" borderId="20" applyNumberFormat="0" applyFont="0" applyAlignment="0" applyProtection="0"/>
    <xf numFmtId="0" fontId="29" fillId="22" borderId="10" applyNumberFormat="0" applyFont="0" applyAlignment="0" applyProtection="0"/>
    <xf numFmtId="0" fontId="4" fillId="22" borderId="10" applyNumberFormat="0" applyFont="0" applyAlignment="0" applyProtection="0"/>
    <xf numFmtId="0" fontId="12" fillId="22" borderId="10" applyNumberFormat="0" applyFont="0" applyAlignment="0" applyProtection="0"/>
    <xf numFmtId="0" fontId="4" fillId="22" borderId="30" applyNumberFormat="0" applyFont="0" applyAlignment="0" applyProtection="0"/>
    <xf numFmtId="0" fontId="85" fillId="46" borderId="3" applyBorder="0">
      <alignment horizontal="centerContinuous"/>
    </xf>
    <xf numFmtId="0" fontId="66" fillId="47" borderId="21" applyBorder="0">
      <alignment horizontal="centerContinuous"/>
    </xf>
    <xf numFmtId="0" fontId="45" fillId="37" borderId="31" applyNumberFormat="0" applyAlignment="0" applyProtection="0"/>
    <xf numFmtId="0" fontId="38" fillId="18" borderId="32" applyNumberFormat="0" applyAlignment="0" applyProtection="0"/>
    <xf numFmtId="0" fontId="62" fillId="9" borderId="17" applyNumberFormat="0" applyAlignment="0" applyProtection="0"/>
    <xf numFmtId="0" fontId="62" fillId="9" borderId="17" applyNumberFormat="0" applyAlignment="0" applyProtection="0"/>
    <xf numFmtId="0" fontId="45" fillId="37" borderId="3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65"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alignment vertical="top"/>
    </xf>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NumberFormat="0" applyBorder="0" applyAlignment="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3" fillId="0" borderId="0" applyNumberFormat="0" applyFill="0" applyBorder="0" applyAlignment="0" applyProtection="0"/>
    <xf numFmtId="0" fontId="45" fillId="0" borderId="33" applyNumberFormat="0" applyFill="0" applyAlignment="0" applyProtection="0"/>
    <xf numFmtId="0" fontId="45" fillId="0" borderId="34" applyNumberFormat="0" applyFill="0" applyAlignment="0" applyProtection="0"/>
    <xf numFmtId="0" fontId="45" fillId="0" borderId="11" applyNumberFormat="0" applyFill="0" applyAlignment="0" applyProtection="0"/>
    <xf numFmtId="0" fontId="45" fillId="0" borderId="33" applyNumberFormat="0" applyFill="0" applyAlignment="0" applyProtection="0"/>
    <xf numFmtId="0" fontId="99" fillId="18" borderId="0"/>
    <xf numFmtId="167" fontId="6" fillId="0" borderId="0"/>
    <xf numFmtId="0" fontId="98" fillId="66" borderId="0" applyNumberFormat="0" applyBorder="0" applyAlignment="0" applyProtection="0"/>
    <xf numFmtId="167" fontId="6" fillId="0" borderId="0"/>
    <xf numFmtId="9" fontId="6" fillId="0" borderId="0" applyFont="0" applyFill="0" applyBorder="0" applyAlignment="0" applyProtection="0"/>
    <xf numFmtId="10" fontId="57" fillId="4" borderId="0"/>
    <xf numFmtId="43" fontId="6" fillId="0" borderId="0" applyFont="0" applyFill="0" applyBorder="0" applyAlignment="0" applyProtection="0"/>
    <xf numFmtId="41" fontId="57" fillId="4" borderId="0">
      <alignment horizontal="left"/>
    </xf>
    <xf numFmtId="0" fontId="29"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29" fillId="28"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29" fillId="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29" fillId="9"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29" fillId="10" borderId="0" applyNumberFormat="0" applyBorder="0" applyAlignment="0" applyProtection="0"/>
    <xf numFmtId="0" fontId="29" fillId="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29" fillId="2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0" fillId="3" borderId="0" applyNumberFormat="0" applyBorder="0" applyAlignment="0" applyProtection="0"/>
    <xf numFmtId="0" fontId="98" fillId="54"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98" fillId="58" borderId="0" applyNumberFormat="0" applyBorder="0" applyAlignment="0" applyProtection="0"/>
    <xf numFmtId="0" fontId="30" fillId="29" borderId="0" applyNumberFormat="0" applyBorder="0" applyAlignment="0" applyProtection="0"/>
    <xf numFmtId="0" fontId="98" fillId="62" borderId="0" applyNumberFormat="0" applyBorder="0" applyAlignment="0" applyProtection="0"/>
    <xf numFmtId="0" fontId="30" fillId="17" borderId="0" applyNumberFormat="0" applyBorder="0" applyAlignment="0" applyProtection="0"/>
    <xf numFmtId="0" fontId="98" fillId="65"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98" fillId="52"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98" fillId="55"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98" fillId="59" borderId="0" applyNumberFormat="0" applyBorder="0" applyAlignment="0" applyProtection="0"/>
    <xf numFmtId="0" fontId="30" fillId="16" borderId="0" applyNumberFormat="0" applyBorder="0" applyAlignment="0" applyProtection="0"/>
    <xf numFmtId="0" fontId="30" fillId="41" borderId="0" applyNumberFormat="0" applyBorder="0" applyAlignment="0" applyProtection="0"/>
    <xf numFmtId="0" fontId="30" fillId="12" borderId="0" applyNumberFormat="0" applyBorder="0" applyAlignment="0" applyProtection="0"/>
    <xf numFmtId="0" fontId="30" fillId="44" borderId="0" applyNumberFormat="0" applyBorder="0" applyAlignment="0" applyProtection="0"/>
    <xf numFmtId="0" fontId="30" fillId="14" borderId="0" applyNumberFormat="0" applyBorder="0" applyAlignment="0" applyProtection="0"/>
    <xf numFmtId="0" fontId="98" fillId="69" borderId="0" applyNumberFormat="0" applyBorder="0" applyAlignment="0" applyProtection="0"/>
    <xf numFmtId="49" fontId="129" fillId="0" borderId="0" applyFill="0" applyBorder="0" applyAlignment="0" applyProtection="0"/>
    <xf numFmtId="0" fontId="107" fillId="0" borderId="64" applyBorder="0">
      <alignment horizontal="center" vertical="center" wrapText="1"/>
    </xf>
    <xf numFmtId="0" fontId="31" fillId="17" borderId="0" applyNumberFormat="0" applyBorder="0" applyAlignment="0" applyProtection="0"/>
    <xf numFmtId="0" fontId="31" fillId="32" borderId="0" applyNumberFormat="0" applyBorder="0" applyAlignment="0" applyProtection="0"/>
    <xf numFmtId="0" fontId="93" fillId="50" borderId="0" applyNumberFormat="0" applyBorder="0" applyAlignment="0" applyProtection="0"/>
    <xf numFmtId="0" fontId="55" fillId="18" borderId="65" applyNumberFormat="0" applyAlignment="0" applyProtection="0"/>
    <xf numFmtId="0" fontId="94" fillId="51" borderId="19" applyNumberFormat="0" applyAlignment="0" applyProtection="0"/>
    <xf numFmtId="0" fontId="56" fillId="37" borderId="23" applyNumberFormat="0" applyAlignment="0" applyProtection="0"/>
    <xf numFmtId="0" fontId="130" fillId="73" borderId="0" applyNumberFormat="0" applyBorder="0" applyAlignment="0" applyProtection="0">
      <alignment horizontal="center"/>
      <protection hidden="1"/>
    </xf>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132" fillId="0" borderId="0" applyFont="0" applyFill="0" applyBorder="0" applyAlignment="0" applyProtection="0"/>
    <xf numFmtId="43" fontId="29" fillId="0" borderId="0" applyFont="0" applyFill="0" applyBorder="0" applyAlignment="0" applyProtection="0"/>
    <xf numFmtId="43" fontId="1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alignment vertical="top"/>
    </xf>
    <xf numFmtId="43" fontId="12"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2" fontId="10" fillId="0" borderId="0" applyFont="0" applyFill="0" applyBorder="0" applyAlignment="0" applyProtection="0"/>
    <xf numFmtId="14" fontId="4" fillId="0" borderId="0"/>
    <xf numFmtId="0" fontId="97" fillId="0" borderId="0" applyNumberFormat="0" applyFill="0" applyBorder="0" applyAlignment="0" applyProtection="0"/>
    <xf numFmtId="1" fontId="4" fillId="0" borderId="0">
      <alignment horizontal="center"/>
    </xf>
    <xf numFmtId="0" fontId="8" fillId="39" borderId="0" applyNumberFormat="0" applyBorder="0" applyAlignment="0" applyProtection="0"/>
    <xf numFmtId="0" fontId="8" fillId="3"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36" fillId="0" borderId="13" applyNumberFormat="0" applyFill="0" applyAlignment="0" applyProtection="0"/>
    <xf numFmtId="0" fontId="89" fillId="0" borderId="35" applyNumberFormat="0" applyFill="0" applyAlignment="0" applyProtection="0"/>
    <xf numFmtId="0" fontId="72" fillId="0" borderId="7"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90" fillId="0" borderId="36" applyNumberFormat="0" applyFill="0" applyAlignment="0" applyProtection="0"/>
    <xf numFmtId="0" fontId="38" fillId="0" borderId="15" applyNumberFormat="0" applyFill="0" applyAlignment="0" applyProtection="0"/>
    <xf numFmtId="0" fontId="91" fillId="0" borderId="37" applyNumberFormat="0" applyFill="0" applyAlignment="0" applyProtection="0"/>
    <xf numFmtId="0" fontId="74" fillId="0" borderId="0" applyNumberFormat="0" applyFill="0" applyBorder="0" applyAlignment="0" applyProtection="0"/>
    <xf numFmtId="0" fontId="134" fillId="0" borderId="0" applyNumberFormat="0" applyFill="0" applyBorder="0" applyAlignment="0" applyProtection="0">
      <alignment vertical="top"/>
      <protection locked="0"/>
    </xf>
    <xf numFmtId="0" fontId="81" fillId="11" borderId="66" applyNumberFormat="0" applyAlignment="0" applyProtection="0"/>
    <xf numFmtId="0" fontId="107" fillId="0" borderId="64" applyBorder="0">
      <alignment horizontal="center" vertical="center" wrapText="1"/>
    </xf>
    <xf numFmtId="0" fontId="82" fillId="0" borderId="29" applyNumberFormat="0" applyFill="0" applyAlignment="0" applyProtection="0"/>
    <xf numFmtId="0" fontId="60" fillId="0" borderId="16" applyNumberFormat="0" applyFill="0" applyAlignment="0" applyProtection="0"/>
    <xf numFmtId="0" fontId="95" fillId="0" borderId="38" applyNumberFormat="0" applyFill="0" applyAlignment="0" applyProtection="0"/>
    <xf numFmtId="0" fontId="1" fillId="0" borderId="0"/>
    <xf numFmtId="0" fontId="1" fillId="0" borderId="0"/>
    <xf numFmtId="0" fontId="29"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65" fillId="0" borderId="0"/>
    <xf numFmtId="0" fontId="4" fillId="0" borderId="0"/>
    <xf numFmtId="0" fontId="1" fillId="0" borderId="0"/>
    <xf numFmtId="0" fontId="29"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40" fontId="133" fillId="0" borderId="0"/>
    <xf numFmtId="0" fontId="4" fillId="0" borderId="0"/>
    <xf numFmtId="40" fontId="133" fillId="0" borderId="0"/>
    <xf numFmtId="0" fontId="1" fillId="0" borderId="0"/>
    <xf numFmtId="0" fontId="12" fillId="0" borderId="0">
      <alignment vertical="top"/>
    </xf>
    <xf numFmtId="0" fontId="4" fillId="0" borderId="0"/>
    <xf numFmtId="0" fontId="4" fillId="0" borderId="0"/>
    <xf numFmtId="0" fontId="1" fillId="0" borderId="0"/>
    <xf numFmtId="0" fontId="29" fillId="0" borderId="0"/>
    <xf numFmtId="0" fontId="6" fillId="0" borderId="0"/>
    <xf numFmtId="0" fontId="1" fillId="0" borderId="0"/>
    <xf numFmtId="0" fontId="4" fillId="0" borderId="0">
      <alignment vertical="top"/>
    </xf>
    <xf numFmtId="0" fontId="29" fillId="0" borderId="0"/>
    <xf numFmtId="0" fontId="1" fillId="0" borderId="0"/>
    <xf numFmtId="0" fontId="4" fillId="0" borderId="0">
      <alignment wrapText="1"/>
    </xf>
    <xf numFmtId="0" fontId="6" fillId="0" borderId="0"/>
    <xf numFmtId="0" fontId="4" fillId="0" borderId="0"/>
    <xf numFmtId="0" fontId="4" fillId="0" borderId="0">
      <alignment wrapText="1"/>
    </xf>
    <xf numFmtId="0" fontId="4" fillId="0" borderId="0"/>
    <xf numFmtId="0" fontId="12" fillId="0" borderId="0">
      <alignment vertical="top"/>
    </xf>
    <xf numFmtId="0" fontId="4" fillId="0" borderId="0"/>
    <xf numFmtId="0" fontId="4" fillId="0" borderId="0"/>
    <xf numFmtId="0" fontId="1" fillId="0" borderId="0"/>
    <xf numFmtId="0" fontId="4" fillId="0" borderId="0"/>
    <xf numFmtId="0" fontId="10" fillId="0" borderId="0"/>
    <xf numFmtId="0" fontId="12" fillId="0" borderId="0">
      <alignment vertical="top"/>
    </xf>
    <xf numFmtId="0" fontId="4" fillId="0" borderId="0"/>
    <xf numFmtId="0" fontId="6" fillId="0" borderId="0"/>
    <xf numFmtId="0" fontId="6" fillId="0" borderId="0"/>
    <xf numFmtId="0" fontId="1" fillId="0" borderId="0"/>
    <xf numFmtId="0" fontId="29" fillId="0" borderId="0"/>
    <xf numFmtId="0" fontId="6" fillId="0" borderId="0"/>
    <xf numFmtId="0" fontId="1" fillId="0" borderId="0"/>
    <xf numFmtId="0" fontId="1" fillId="0" borderId="0"/>
    <xf numFmtId="0" fontId="29" fillId="0" borderId="0"/>
    <xf numFmtId="0" fontId="29" fillId="0" borderId="0"/>
    <xf numFmtId="0" fontId="1" fillId="0" borderId="0"/>
    <xf numFmtId="0" fontId="1" fillId="0" borderId="0"/>
    <xf numFmtId="0" fontId="4" fillId="0" borderId="0"/>
    <xf numFmtId="0" fontId="6" fillId="0" borderId="0"/>
    <xf numFmtId="0" fontId="4" fillId="0" borderId="0"/>
    <xf numFmtId="0" fontId="1" fillId="0" borderId="0"/>
    <xf numFmtId="0" fontId="4" fillId="0" borderId="0"/>
    <xf numFmtId="0" fontId="6" fillId="0" borderId="0"/>
    <xf numFmtId="0" fontId="1" fillId="0" borderId="0"/>
    <xf numFmtId="0" fontId="1"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29"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29"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4" fillId="0" borderId="0"/>
    <xf numFmtId="0" fontId="29" fillId="0" borderId="0"/>
    <xf numFmtId="0" fontId="4" fillId="0" borderId="0"/>
    <xf numFmtId="0" fontId="4" fillId="0" borderId="0"/>
    <xf numFmtId="0" fontId="6" fillId="0" borderId="0"/>
    <xf numFmtId="0" fontId="29" fillId="0" borderId="0"/>
    <xf numFmtId="0" fontId="1" fillId="0" borderId="0"/>
    <xf numFmtId="0" fontId="1" fillId="0" borderId="0"/>
    <xf numFmtId="0" fontId="1" fillId="0" borderId="0"/>
    <xf numFmtId="0" fontId="29"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1" fillId="0" borderId="0"/>
    <xf numFmtId="0" fontId="1" fillId="0" borderId="0"/>
    <xf numFmtId="0" fontId="29" fillId="0" borderId="0"/>
    <xf numFmtId="0" fontId="12" fillId="0" borderId="0">
      <alignment vertical="top"/>
    </xf>
    <xf numFmtId="0" fontId="12" fillId="0" borderId="0">
      <alignment vertical="top"/>
    </xf>
    <xf numFmtId="0" fontId="12" fillId="0" borderId="0">
      <alignment vertical="top"/>
    </xf>
    <xf numFmtId="0" fontId="29" fillId="0" borderId="0"/>
    <xf numFmtId="0" fontId="4" fillId="0" borderId="0"/>
    <xf numFmtId="0" fontId="29" fillId="0" borderId="0"/>
    <xf numFmtId="0" fontId="29" fillId="0" borderId="0"/>
    <xf numFmtId="0" fontId="29" fillId="0" borderId="0"/>
    <xf numFmtId="0" fontId="4" fillId="0" borderId="0"/>
    <xf numFmtId="0" fontId="4" fillId="0" borderId="0"/>
    <xf numFmtId="0" fontId="1" fillId="0" borderId="0"/>
    <xf numFmtId="0" fontId="4" fillId="0" borderId="0"/>
    <xf numFmtId="0" fontId="4" fillId="0" borderId="0"/>
    <xf numFmtId="0" fontId="4" fillId="0" borderId="0"/>
    <xf numFmtId="0" fontId="29"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9" fillId="22" borderId="67" applyNumberFormat="0" applyFont="0" applyAlignment="0" applyProtection="0"/>
    <xf numFmtId="0" fontId="1" fillId="35" borderId="20" applyNumberFormat="0" applyFont="0" applyAlignment="0" applyProtection="0"/>
    <xf numFmtId="0" fontId="1" fillId="35" borderId="20" applyNumberFormat="0" applyFont="0" applyAlignment="0" applyProtection="0"/>
    <xf numFmtId="0" fontId="38" fillId="18" borderId="68" applyNumberFormat="0" applyAlignment="0" applyProtection="0"/>
    <xf numFmtId="0" fontId="62" fillId="18" borderId="69" applyNumberFormat="0" applyAlignment="0" applyProtection="0"/>
    <xf numFmtId="0" fontId="62" fillId="18" borderId="69" applyNumberFormat="0" applyAlignment="0" applyProtection="0"/>
    <xf numFmtId="0" fontId="62" fillId="9" borderId="69" applyNumberFormat="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13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3" fontId="57" fillId="0" borderId="0">
      <alignment horizontal="center"/>
    </xf>
    <xf numFmtId="38" fontId="135" fillId="0" borderId="0" applyNumberFormat="0" applyFont="0" applyFill="0" applyBorder="0">
      <alignment horizontal="left" indent="4"/>
      <protection locked="0"/>
    </xf>
    <xf numFmtId="15" fontId="10" fillId="0" borderId="0" applyFont="0" applyFill="0" applyBorder="0" applyAlignment="0" applyProtection="0"/>
    <xf numFmtId="4" fontId="10" fillId="0" borderId="0" applyFont="0" applyFill="0" applyBorder="0" applyAlignment="0" applyProtection="0"/>
    <xf numFmtId="3" fontId="10" fillId="0" borderId="0" applyFont="0" applyFill="0" applyBorder="0" applyAlignment="0" applyProtection="0"/>
    <xf numFmtId="0" fontId="10" fillId="74" borderId="0" applyNumberFormat="0" applyFon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37" fontId="137" fillId="0" borderId="0"/>
    <xf numFmtId="184" fontId="138" fillId="4" borderId="0" applyFill="0" applyBorder="0" applyProtection="0">
      <alignment horizontal="center"/>
      <protection hidden="1"/>
    </xf>
    <xf numFmtId="0" fontId="87" fillId="0" borderId="0" applyNumberFormat="0" applyFill="0" applyBorder="0" applyAlignment="0" applyProtection="0"/>
    <xf numFmtId="0" fontId="45" fillId="0" borderId="70" applyNumberFormat="0" applyFill="0" applyAlignment="0" applyProtection="0"/>
    <xf numFmtId="0" fontId="45" fillId="0" borderId="71" applyNumberFormat="0" applyFill="0" applyAlignment="0" applyProtection="0"/>
    <xf numFmtId="0" fontId="45" fillId="0" borderId="72" applyNumberFormat="0" applyFill="0" applyAlignment="0" applyProtection="0"/>
    <xf numFmtId="0" fontId="45" fillId="0" borderId="72" applyNumberFormat="0" applyFill="0" applyAlignment="0" applyProtection="0"/>
    <xf numFmtId="0" fontId="45" fillId="0" borderId="71" applyNumberFormat="0" applyFill="0" applyAlignment="0" applyProtection="0"/>
    <xf numFmtId="0" fontId="45" fillId="0" borderId="72" applyNumberFormat="0" applyFill="0" applyAlignment="0" applyProtection="0"/>
    <xf numFmtId="0" fontId="28" fillId="0" borderId="39" applyNumberFormat="0" applyFill="0" applyAlignment="0" applyProtection="0"/>
    <xf numFmtId="0" fontId="45" fillId="0" borderId="72" applyNumberFormat="0" applyFill="0" applyAlignment="0" applyProtection="0"/>
    <xf numFmtId="0" fontId="139" fillId="0" borderId="0">
      <alignment horizontal="center"/>
    </xf>
    <xf numFmtId="0" fontId="96" fillId="0" borderId="0" applyNumberFormat="0" applyFill="0" applyBorder="0" applyAlignment="0" applyProtection="0"/>
    <xf numFmtId="164" fontId="11" fillId="6" borderId="0" applyFont="0" applyFill="0" applyBorder="0" applyAlignment="0" applyProtection="0">
      <alignment wrapText="1"/>
    </xf>
    <xf numFmtId="0" fontId="29" fillId="38" borderId="0" applyNumberFormat="0" applyBorder="0" applyAlignment="0" applyProtection="0"/>
    <xf numFmtId="0" fontId="29" fillId="17" borderId="0" applyNumberFormat="0" applyBorder="0" applyAlignment="0" applyProtection="0"/>
    <xf numFmtId="0" fontId="29" fillId="39" borderId="0" applyNumberFormat="0" applyBorder="0" applyAlignment="0" applyProtection="0"/>
    <xf numFmtId="0" fontId="29" fillId="32" borderId="0" applyNumberFormat="0" applyBorder="0" applyAlignment="0" applyProtection="0"/>
    <xf numFmtId="0" fontId="29" fillId="28" borderId="0" applyNumberFormat="0" applyBorder="0" applyAlignment="0" applyProtection="0"/>
    <xf numFmtId="0" fontId="29" fillId="10" borderId="0" applyNumberFormat="0" applyBorder="0" applyAlignment="0" applyProtection="0"/>
    <xf numFmtId="0" fontId="29" fillId="40" borderId="0" applyNumberFormat="0" applyBorder="0" applyAlignment="0" applyProtection="0"/>
    <xf numFmtId="0" fontId="29" fillId="32" borderId="0" applyNumberFormat="0" applyBorder="0" applyAlignment="0" applyProtection="0"/>
    <xf numFmtId="0" fontId="29" fillId="10" borderId="0" applyNumberFormat="0" applyBorder="0" applyAlignment="0" applyProtection="0"/>
    <xf numFmtId="0" fontId="29" fillId="29" borderId="0" applyNumberFormat="0" applyBorder="0" applyAlignment="0" applyProtection="0"/>
    <xf numFmtId="0" fontId="30" fillId="42" borderId="0" applyNumberFormat="0" applyBorder="0" applyAlignment="0" applyProtection="0"/>
    <xf numFmtId="0" fontId="30" fillId="13"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12"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4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2" fillId="9" borderId="73" applyNumberFormat="0" applyAlignment="0" applyProtection="0"/>
    <xf numFmtId="0" fontId="8" fillId="39" borderId="0" applyNumberFormat="0" applyBorder="0" applyAlignment="0" applyProtection="0"/>
    <xf numFmtId="0" fontId="71" fillId="0" borderId="24" applyNumberFormat="0" applyFill="0" applyAlignment="0" applyProtection="0"/>
    <xf numFmtId="0" fontId="73" fillId="0" borderId="7" applyNumberFormat="0" applyFill="0" applyAlignment="0" applyProtection="0"/>
    <xf numFmtId="0" fontId="75" fillId="0" borderId="28" applyNumberFormat="0" applyFill="0" applyAlignment="0" applyProtection="0"/>
    <xf numFmtId="0" fontId="75" fillId="0" borderId="0" applyNumberFormat="0" applyFill="0" applyBorder="0" applyAlignment="0" applyProtection="0"/>
    <xf numFmtId="0" fontId="59" fillId="28" borderId="73" applyNumberFormat="0" applyAlignment="0" applyProtection="0"/>
    <xf numFmtId="0" fontId="41" fillId="0" borderId="9" applyNumberFormat="0" applyFill="0" applyAlignment="0" applyProtection="0"/>
    <xf numFmtId="0" fontId="42" fillId="1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6" fillId="0" borderId="0"/>
    <xf numFmtId="0" fontId="6" fillId="0" borderId="0"/>
    <xf numFmtId="0" fontId="6" fillId="0" borderId="0"/>
    <xf numFmtId="0" fontId="6" fillId="0" borderId="0"/>
    <xf numFmtId="0" fontId="88" fillId="0" borderId="0" applyNumberFormat="0" applyFill="0" applyBorder="0" applyAlignment="0" applyProtection="0"/>
    <xf numFmtId="0" fontId="4" fillId="0" borderId="0"/>
    <xf numFmtId="0" fontId="4" fillId="0" borderId="0"/>
    <xf numFmtId="0" fontId="29" fillId="9" borderId="0" applyNumberFormat="0" applyBorder="0" applyAlignment="0" applyProtection="0"/>
    <xf numFmtId="0" fontId="29" fillId="28"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22" borderId="0" applyNumberFormat="0" applyBorder="0" applyAlignment="0" applyProtection="0"/>
    <xf numFmtId="0" fontId="29" fillId="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3" borderId="0" applyNumberFormat="0" applyBorder="0" applyAlignment="0" applyProtection="0"/>
    <xf numFmtId="0" fontId="29" fillId="22" borderId="0" applyNumberFormat="0" applyBorder="0" applyAlignment="0" applyProtection="0"/>
    <xf numFmtId="0" fontId="30" fillId="12" borderId="0" applyNumberFormat="0" applyBorder="0" applyAlignment="0" applyProtection="0"/>
    <xf numFmtId="0" fontId="30" fillId="41"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0" fillId="29" borderId="0" applyNumberFormat="0" applyBorder="0" applyAlignment="0" applyProtection="0"/>
    <xf numFmtId="0" fontId="30" fillId="17" borderId="0" applyNumberFormat="0" applyBorder="0" applyAlignment="0" applyProtection="0"/>
    <xf numFmtId="0" fontId="30" fillId="12" borderId="0" applyNumberFormat="0" applyBorder="0" applyAlignment="0" applyProtection="0"/>
    <xf numFmtId="0" fontId="30" fillId="41" borderId="0" applyNumberFormat="0" applyBorder="0" applyAlignment="0" applyProtection="0"/>
    <xf numFmtId="0" fontId="30" fillId="3" borderId="0" applyNumberFormat="0" applyBorder="0" applyAlignment="0" applyProtection="0"/>
    <xf numFmtId="0" fontId="30" fillId="13" borderId="0" applyNumberFormat="0" applyBorder="0" applyAlignment="0" applyProtection="0"/>
    <xf numFmtId="0" fontId="30" fillId="12" borderId="0" applyNumberFormat="0" applyBorder="0" applyAlignment="0" applyProtection="0"/>
    <xf numFmtId="0" fontId="30" fillId="41" borderId="0" applyNumberFormat="0" applyBorder="0" applyAlignment="0" applyProtection="0"/>
    <xf numFmtId="0" fontId="30" fillId="16" borderId="0" applyNumberFormat="0" applyBorder="0" applyAlignment="0" applyProtection="0"/>
    <xf numFmtId="0" fontId="30" fillId="15" borderId="0" applyNumberFormat="0" applyBorder="0" applyAlignment="0" applyProtection="0"/>
    <xf numFmtId="0" fontId="30" fillId="29" borderId="0" applyNumberFormat="0" applyBorder="0" applyAlignment="0" applyProtection="0"/>
    <xf numFmtId="0" fontId="30" fillId="31" borderId="0" applyNumberFormat="0" applyBorder="0" applyAlignment="0" applyProtection="0"/>
    <xf numFmtId="0" fontId="30" fillId="16" borderId="0" applyNumberFormat="0" applyBorder="0" applyAlignment="0" applyProtection="0"/>
    <xf numFmtId="0" fontId="30" fillId="14" borderId="0" applyNumberFormat="0" applyBorder="0" applyAlignment="0" applyProtection="0"/>
    <xf numFmtId="0" fontId="31" fillId="32" borderId="0" applyNumberFormat="0" applyBorder="0" applyAlignment="0" applyProtection="0"/>
    <xf numFmtId="0" fontId="32" fillId="18" borderId="76" applyNumberFormat="0" applyAlignment="0" applyProtection="0"/>
    <xf numFmtId="0" fontId="32" fillId="18" borderId="76" applyNumberFormat="0" applyAlignment="0" applyProtection="0"/>
    <xf numFmtId="0" fontId="68" fillId="18" borderId="76" applyNumberFormat="0" applyAlignment="0" applyProtection="0"/>
    <xf numFmtId="0" fontId="32" fillId="9" borderId="76" applyNumberFormat="0" applyAlignment="0" applyProtection="0"/>
    <xf numFmtId="0" fontId="32" fillId="9" borderId="76" applyNumberFormat="0" applyAlignment="0" applyProtection="0"/>
    <xf numFmtId="0" fontId="55" fillId="18" borderId="76" applyNumberFormat="0" applyAlignment="0" applyProtection="0"/>
    <xf numFmtId="0" fontId="55" fillId="18" borderId="76" applyNumberFormat="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0" fontId="8" fillId="3" borderId="0" applyNumberFormat="0" applyBorder="0" applyAlignment="0" applyProtection="0"/>
    <xf numFmtId="0" fontId="36" fillId="0" borderId="6" applyNumberFormat="0" applyFill="0" applyAlignment="0" applyProtection="0"/>
    <xf numFmtId="0" fontId="70" fillId="0" borderId="25" applyNumberFormat="0" applyFill="0" applyAlignment="0" applyProtection="0"/>
    <xf numFmtId="0" fontId="36" fillId="0" borderId="13" applyNumberFormat="0" applyFill="0" applyAlignment="0" applyProtection="0"/>
    <xf numFmtId="0" fontId="37" fillId="0" borderId="7" applyNumberFormat="0" applyFill="0" applyAlignment="0" applyProtection="0"/>
    <xf numFmtId="0" fontId="37" fillId="0" borderId="14" applyNumberFormat="0" applyFill="0" applyAlignment="0" applyProtection="0"/>
    <xf numFmtId="0" fontId="38" fillId="0" borderId="8" applyNumberFormat="0" applyFill="0" applyAlignment="0" applyProtection="0"/>
    <xf numFmtId="0" fontId="74" fillId="0" borderId="27"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79" fillId="0" borderId="0" applyNumberFormat="0" applyFill="0" applyBorder="0" applyAlignment="0" applyProtection="0">
      <alignment vertical="top"/>
      <protection locked="0"/>
    </xf>
    <xf numFmtId="0" fontId="81" fillId="11" borderId="76" applyNumberFormat="0" applyAlignment="0" applyProtection="0"/>
    <xf numFmtId="0" fontId="59" fillId="28" borderId="76" applyNumberFormat="0" applyAlignment="0" applyProtection="0"/>
    <xf numFmtId="0" fontId="59" fillId="11" borderId="76" applyNumberFormat="0" applyAlignment="0" applyProtection="0"/>
    <xf numFmtId="0" fontId="41" fillId="0" borderId="9" applyNumberFormat="0" applyFill="0" applyAlignment="0" applyProtection="0"/>
    <xf numFmtId="0" fontId="60" fillId="0" borderId="16" applyNumberFormat="0" applyFill="0" applyAlignment="0" applyProtection="0"/>
    <xf numFmtId="0" fontId="42" fillId="11" borderId="0" applyNumberFormat="0" applyBorder="0" applyAlignment="0" applyProtection="0"/>
    <xf numFmtId="0" fontId="83" fillId="11" borderId="0" applyNumberFormat="0" applyBorder="0" applyAlignment="0" applyProtection="0"/>
    <xf numFmtId="0" fontId="61" fillId="11" borderId="0" applyNumberFormat="0" applyBorder="0" applyAlignment="0" applyProtection="0"/>
    <xf numFmtId="0" fontId="29" fillId="0" borderId="0"/>
    <xf numFmtId="0" fontId="86" fillId="0" borderId="0"/>
    <xf numFmtId="0" fontId="29" fillId="0" borderId="0"/>
    <xf numFmtId="0" fontId="86" fillId="0" borderId="0"/>
    <xf numFmtId="0" fontId="4" fillId="0" borderId="0"/>
    <xf numFmtId="0" fontId="132" fillId="0" borderId="0"/>
    <xf numFmtId="0" fontId="29" fillId="0" borderId="0"/>
    <xf numFmtId="0" fontId="132" fillId="0" borderId="0"/>
    <xf numFmtId="0" fontId="4" fillId="0" borderId="0"/>
    <xf numFmtId="0" fontId="4" fillId="0" borderId="0"/>
    <xf numFmtId="0" fontId="29" fillId="0" borderId="0"/>
    <xf numFmtId="0" fontId="29" fillId="0" borderId="0"/>
    <xf numFmtId="0" fontId="4" fillId="0" borderId="0"/>
    <xf numFmtId="0" fontId="29" fillId="0" borderId="0"/>
    <xf numFmtId="0" fontId="4" fillId="0" borderId="0"/>
    <xf numFmtId="0" fontId="29" fillId="0" borderId="0"/>
    <xf numFmtId="0" fontId="4" fillId="0" borderId="0"/>
    <xf numFmtId="0" fontId="29" fillId="0" borderId="0"/>
    <xf numFmtId="0" fontId="4" fillId="0" borderId="0"/>
    <xf numFmtId="0" fontId="29" fillId="0" borderId="0"/>
    <xf numFmtId="0" fontId="4" fillId="0" borderId="0"/>
    <xf numFmtId="0" fontId="29" fillId="0" borderId="0"/>
    <xf numFmtId="0" fontId="4" fillId="0" borderId="0"/>
    <xf numFmtId="0" fontId="29" fillId="0" borderId="0"/>
    <xf numFmtId="0" fontId="29" fillId="0" borderId="0"/>
    <xf numFmtId="0" fontId="29" fillId="0" borderId="0"/>
    <xf numFmtId="0" fontId="29" fillId="0" borderId="0"/>
    <xf numFmtId="0" fontId="29" fillId="0" borderId="0"/>
    <xf numFmtId="0" fontId="4"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0" borderId="0"/>
    <xf numFmtId="167" fontId="6" fillId="0" borderId="0"/>
    <xf numFmtId="0" fontId="10" fillId="0" borderId="0"/>
    <xf numFmtId="0" fontId="4" fillId="0" borderId="0"/>
    <xf numFmtId="0" fontId="4" fillId="0" borderId="0"/>
    <xf numFmtId="0" fontId="4" fillId="0" borderId="0"/>
    <xf numFmtId="0" fontId="4" fillId="0" borderId="0"/>
    <xf numFmtId="0" fontId="4" fillId="0" borderId="0"/>
    <xf numFmtId="0" fontId="29" fillId="22" borderId="77" applyNumberFormat="0" applyFont="0" applyAlignment="0" applyProtection="0"/>
    <xf numFmtId="0" fontId="29" fillId="22" borderId="77" applyNumberFormat="0" applyFont="0" applyAlignment="0" applyProtection="0"/>
    <xf numFmtId="0" fontId="12" fillId="22" borderId="77" applyNumberFormat="0" applyFont="0" applyAlignment="0" applyProtection="0"/>
    <xf numFmtId="0" fontId="3" fillId="22" borderId="77" applyNumberFormat="0" applyFont="0" applyAlignment="0" applyProtection="0"/>
    <xf numFmtId="0" fontId="3" fillId="22" borderId="77" applyNumberFormat="0" applyFont="0" applyAlignment="0" applyProtection="0"/>
    <xf numFmtId="0" fontId="6" fillId="22" borderId="77" applyNumberFormat="0" applyFont="0" applyAlignment="0" applyProtection="0"/>
    <xf numFmtId="0" fontId="6" fillId="22" borderId="77" applyNumberFormat="0" applyFont="0" applyAlignment="0" applyProtection="0"/>
    <xf numFmtId="0" fontId="38" fillId="18" borderId="78" applyNumberFormat="0" applyAlignment="0" applyProtection="0"/>
    <xf numFmtId="0" fontId="62" fillId="9" borderId="79" applyNumberFormat="0" applyAlignment="0" applyProtection="0"/>
    <xf numFmtId="0" fontId="62" fillId="18" borderId="79" applyNumberFormat="0" applyAlignment="0" applyProtection="0"/>
    <xf numFmtId="9" fontId="12"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63" fillId="0" borderId="0" applyNumberFormat="0" applyFill="0" applyBorder="0" applyAlignment="0" applyProtection="0"/>
    <xf numFmtId="0" fontId="45" fillId="0" borderId="80" applyNumberFormat="0" applyFill="0" applyAlignment="0" applyProtection="0"/>
    <xf numFmtId="0" fontId="45" fillId="0" borderId="80" applyNumberFormat="0" applyFill="0" applyAlignment="0" applyProtection="0"/>
    <xf numFmtId="0" fontId="45" fillId="0" borderId="81"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3" applyNumberFormat="0" applyFill="0" applyAlignment="0" applyProtection="0"/>
    <xf numFmtId="0" fontId="45" fillId="0" borderId="83"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57" fillId="0" borderId="0"/>
    <xf numFmtId="0" fontId="86" fillId="0" borderId="0"/>
    <xf numFmtId="0" fontId="86" fillId="0" borderId="0"/>
    <xf numFmtId="9" fontId="86" fillId="0" borderId="0" applyFont="0" applyFill="0" applyBorder="0" applyAlignment="0" applyProtection="0"/>
    <xf numFmtId="0" fontId="99" fillId="18" borderId="0"/>
    <xf numFmtId="167" fontId="6" fillId="0" borderId="0"/>
    <xf numFmtId="0" fontId="98" fillId="66" borderId="0" applyNumberFormat="0" applyBorder="0" applyAlignment="0" applyProtection="0"/>
    <xf numFmtId="10" fontId="57" fillId="4" borderId="0"/>
    <xf numFmtId="9" fontId="6" fillId="0" borderId="0" applyFont="0" applyFill="0" applyBorder="0" applyAlignment="0" applyProtection="0"/>
    <xf numFmtId="41" fontId="57" fillId="4" borderId="0">
      <alignment horizontal="left"/>
    </xf>
    <xf numFmtId="185" fontId="6" fillId="0" borderId="0" applyFont="0" applyFill="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2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28" borderId="0" applyNumberFormat="0" applyBorder="0" applyAlignment="0" applyProtection="0"/>
    <xf numFmtId="0" fontId="29" fillId="13" borderId="0" applyNumberFormat="0" applyBorder="0" applyAlignment="0" applyProtection="0"/>
    <xf numFmtId="0" fontId="1" fillId="56" borderId="0" applyNumberFormat="0" applyBorder="0" applyAlignment="0" applyProtection="0"/>
    <xf numFmtId="0" fontId="1" fillId="28" borderId="0" applyNumberFormat="0" applyBorder="0" applyAlignment="0" applyProtection="0"/>
    <xf numFmtId="0" fontId="29" fillId="17" borderId="0" applyNumberFormat="0" applyBorder="0" applyAlignment="0" applyProtection="0"/>
    <xf numFmtId="0" fontId="1" fillId="22" borderId="0" applyNumberFormat="0" applyBorder="0" applyAlignment="0" applyProtection="0"/>
    <xf numFmtId="0" fontId="1" fillId="60" borderId="0" applyNumberFormat="0" applyBorder="0" applyAlignment="0" applyProtection="0"/>
    <xf numFmtId="0" fontId="1" fillId="22" borderId="0" applyNumberFormat="0" applyBorder="0" applyAlignment="0" applyProtection="0"/>
    <xf numFmtId="0" fontId="29" fillId="39" borderId="0" applyNumberFormat="0" applyBorder="0" applyAlignment="0" applyProtection="0"/>
    <xf numFmtId="0" fontId="29" fillId="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29" fillId="3" borderId="0" applyNumberFormat="0" applyBorder="0" applyAlignment="0" applyProtection="0"/>
    <xf numFmtId="0" fontId="1" fillId="67" borderId="0" applyNumberFormat="0" applyBorder="0" applyAlignment="0" applyProtection="0"/>
    <xf numFmtId="0" fontId="29" fillId="28" borderId="0" applyNumberFormat="0" applyBorder="0" applyAlignment="0" applyProtection="0"/>
    <xf numFmtId="0" fontId="29" fillId="22" borderId="0" applyNumberFormat="0" applyBorder="0" applyAlignment="0" applyProtection="0"/>
    <xf numFmtId="0" fontId="1" fillId="7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9" fillId="13" borderId="0" applyNumberFormat="0" applyBorder="0" applyAlignment="0" applyProtection="0"/>
    <xf numFmtId="0" fontId="1" fillId="57" borderId="0" applyNumberFormat="0" applyBorder="0" applyAlignment="0" applyProtection="0"/>
    <xf numFmtId="0" fontId="29" fillId="22" borderId="0" applyNumberFormat="0" applyBorder="0" applyAlignment="0" applyProtection="0"/>
    <xf numFmtId="0" fontId="29" fillId="11" borderId="0" applyNumberFormat="0" applyBorder="0" applyAlignment="0" applyProtection="0"/>
    <xf numFmtId="0" fontId="1" fillId="61" borderId="0" applyNumberFormat="0" applyBorder="0" applyAlignment="0" applyProtection="0"/>
    <xf numFmtId="0" fontId="1" fillId="22" borderId="0" applyNumberFormat="0" applyBorder="0" applyAlignment="0" applyProtection="0"/>
    <xf numFmtId="0" fontId="29" fillId="40"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 fillId="68" borderId="0" applyNumberFormat="0" applyBorder="0" applyAlignment="0" applyProtection="0"/>
    <xf numFmtId="0" fontId="29" fillId="11" borderId="0" applyNumberFormat="0" applyBorder="0" applyAlignment="0" applyProtection="0"/>
    <xf numFmtId="0" fontId="29" fillId="22"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30" fillId="12" borderId="0" applyNumberFormat="0" applyBorder="0" applyAlignment="0" applyProtection="0"/>
    <xf numFmtId="0" fontId="30" fillId="3" borderId="0" applyNumberFormat="0" applyBorder="0" applyAlignment="0" applyProtection="0"/>
    <xf numFmtId="0" fontId="30" fillId="29" borderId="0" applyNumberFormat="0" applyBorder="0" applyAlignment="0" applyProtection="0"/>
    <xf numFmtId="0" fontId="30" fillId="17" borderId="0" applyNumberFormat="0" applyBorder="0" applyAlignment="0" applyProtection="0"/>
    <xf numFmtId="0" fontId="30" fillId="12" borderId="0" applyNumberFormat="0" applyBorder="0" applyAlignment="0" applyProtection="0"/>
    <xf numFmtId="0" fontId="30" fillId="3" borderId="0" applyNumberFormat="0" applyBorder="0" applyAlignment="0" applyProtection="0"/>
    <xf numFmtId="0" fontId="98" fillId="80" borderId="0" applyNumberFormat="0" applyBorder="0" applyAlignment="0" applyProtection="0"/>
    <xf numFmtId="0" fontId="30" fillId="28" borderId="0" applyNumberFormat="0" applyBorder="0" applyAlignment="0" applyProtection="0"/>
    <xf numFmtId="0" fontId="30" fillId="13" borderId="0" applyNumberFormat="0" applyBorder="0" applyAlignment="0" applyProtection="0"/>
    <xf numFmtId="0" fontId="98" fillId="81" borderId="0" applyNumberFormat="0" applyBorder="0" applyAlignment="0" applyProtection="0"/>
    <xf numFmtId="0" fontId="30" fillId="12"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98" fillId="79" borderId="0" applyNumberFormat="0" applyBorder="0" applyAlignment="0" applyProtection="0"/>
    <xf numFmtId="0" fontId="30" fillId="41" borderId="0" applyNumberFormat="0" applyBorder="0" applyAlignment="0" applyProtection="0"/>
    <xf numFmtId="0" fontId="98" fillId="66" borderId="0" applyNumberFormat="0" applyBorder="0" applyAlignment="0" applyProtection="0"/>
    <xf numFmtId="41" fontId="4" fillId="0" borderId="0"/>
    <xf numFmtId="0" fontId="32" fillId="18" borderId="76" applyNumberFormat="0" applyAlignment="0" applyProtection="0"/>
    <xf numFmtId="0" fontId="32" fillId="18" borderId="76" applyNumberFormat="0" applyAlignment="0" applyProtection="0"/>
    <xf numFmtId="0" fontId="68" fillId="18" borderId="76" applyNumberFormat="0" applyAlignment="0" applyProtection="0"/>
    <xf numFmtId="0" fontId="55" fillId="18" borderId="76" applyNumberFormat="0" applyAlignment="0" applyProtection="0"/>
    <xf numFmtId="0" fontId="55" fillId="18" borderId="76" applyNumberFormat="0" applyAlignment="0" applyProtection="0"/>
    <xf numFmtId="0" fontId="32" fillId="18" borderId="76" applyNumberFormat="0" applyAlignment="0" applyProtection="0"/>
    <xf numFmtId="0" fontId="32" fillId="9" borderId="76" applyNumberFormat="0" applyAlignment="0" applyProtection="0"/>
    <xf numFmtId="0" fontId="32" fillId="9" borderId="76" applyNumberFormat="0" applyAlignment="0" applyProtection="0"/>
    <xf numFmtId="0" fontId="55" fillId="18" borderId="76" applyNumberFormat="0" applyAlignment="0" applyProtection="0"/>
    <xf numFmtId="0" fontId="32" fillId="9" borderId="76" applyNumberFormat="0" applyAlignment="0" applyProtection="0"/>
    <xf numFmtId="0" fontId="32" fillId="9" borderId="76" applyNumberFormat="0" applyAlignment="0" applyProtection="0"/>
    <xf numFmtId="0" fontId="55" fillId="18" borderId="76" applyNumberFormat="0" applyAlignment="0" applyProtection="0"/>
    <xf numFmtId="0" fontId="56" fillId="37" borderId="23" applyNumberFormat="0" applyAlignment="0" applyProtection="0"/>
    <xf numFmtId="0" fontId="147" fillId="78" borderId="7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alignment vertical="top"/>
    </xf>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alignment vertical="top"/>
    </xf>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3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6" fillId="0" borderId="0"/>
    <xf numFmtId="0" fontId="6" fillId="0" borderId="0"/>
    <xf numFmtId="0" fontId="6" fillId="0" borderId="84"/>
    <xf numFmtId="175" fontId="4" fillId="0" borderId="0" applyFont="0" applyFill="0" applyBorder="0" applyAlignment="0" applyProtection="0"/>
    <xf numFmtId="2" fontId="4" fillId="0" borderId="0" applyFont="0" applyFill="0" applyBorder="0" applyAlignment="0" applyProtection="0"/>
    <xf numFmtId="0" fontId="8" fillId="3" borderId="0" applyNumberFormat="0" applyBorder="0" applyAlignment="0" applyProtection="0"/>
    <xf numFmtId="0" fontId="92" fillId="49" borderId="0" applyNumberFormat="0" applyBorder="0" applyAlignment="0" applyProtection="0"/>
    <xf numFmtId="0" fontId="92" fillId="49" borderId="0" applyNumberFormat="0" applyBorder="0" applyAlignment="0" applyProtection="0"/>
    <xf numFmtId="0" fontId="36" fillId="0" borderId="6" applyNumberFormat="0" applyFill="0" applyAlignment="0" applyProtection="0"/>
    <xf numFmtId="0" fontId="36" fillId="0" borderId="13" applyNumberFormat="0" applyFill="0" applyAlignment="0" applyProtection="0"/>
    <xf numFmtId="0" fontId="38" fillId="0" borderId="8"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91" fillId="0" borderId="0" applyNumberFormat="0" applyFill="0" applyBorder="0" applyAlignment="0" applyProtection="0"/>
    <xf numFmtId="0" fontId="7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81" fillId="11" borderId="76" applyNumberFormat="0" applyAlignment="0" applyProtection="0"/>
    <xf numFmtId="0" fontId="59" fillId="11" borderId="76" applyNumberFormat="0" applyAlignment="0" applyProtection="0"/>
    <xf numFmtId="0" fontId="81" fillId="11" borderId="76" applyNumberFormat="0" applyAlignment="0" applyProtection="0"/>
    <xf numFmtId="0" fontId="59" fillId="11" borderId="76" applyNumberFormat="0" applyAlignment="0" applyProtection="0"/>
    <xf numFmtId="0" fontId="59" fillId="11" borderId="76" applyNumberFormat="0" applyAlignment="0" applyProtection="0"/>
    <xf numFmtId="0" fontId="81" fillId="11" borderId="76" applyNumberFormat="0" applyAlignment="0" applyProtection="0"/>
    <xf numFmtId="0" fontId="59" fillId="11" borderId="76" applyNumberFormat="0" applyAlignment="0" applyProtection="0"/>
    <xf numFmtId="0" fontId="59" fillId="28" borderId="76" applyNumberFormat="0" applyAlignment="0" applyProtection="0"/>
    <xf numFmtId="0" fontId="59" fillId="28" borderId="76" applyNumberFormat="0" applyAlignment="0" applyProtection="0"/>
    <xf numFmtId="0" fontId="145" fillId="77" borderId="19" applyNumberFormat="0" applyAlignment="0" applyProtection="0"/>
    <xf numFmtId="0" fontId="158" fillId="84" borderId="84"/>
    <xf numFmtId="0" fontId="42" fillId="11" borderId="0" applyNumberFormat="0" applyBorder="0" applyAlignment="0" applyProtection="0"/>
    <xf numFmtId="0" fontId="61" fillId="11" borderId="0" applyNumberFormat="0" applyBorder="0" applyAlignment="0" applyProtection="0"/>
    <xf numFmtId="0" fontId="144" fillId="76" borderId="0" applyNumberFormat="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2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alignment wrapText="1"/>
    </xf>
    <xf numFmtId="0" fontId="1" fillId="0" borderId="0"/>
    <xf numFmtId="0" fontId="1" fillId="0" borderId="0"/>
    <xf numFmtId="0" fontId="1" fillId="0" borderId="0"/>
    <xf numFmtId="0" fontId="1" fillId="0" borderId="0"/>
    <xf numFmtId="0" fontId="1" fillId="0" borderId="0"/>
    <xf numFmtId="0" fontId="4" fillId="0" borderId="0"/>
    <xf numFmtId="0" fontId="12" fillId="0" borderId="0">
      <alignment vertical="top"/>
    </xf>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6" fillId="0" borderId="0"/>
    <xf numFmtId="0" fontId="1" fillId="0" borderId="0"/>
    <xf numFmtId="0" fontId="1" fillId="0" borderId="0"/>
    <xf numFmtId="0" fontId="6" fillId="0" borderId="0"/>
    <xf numFmtId="0" fontId="4" fillId="0" borderId="0"/>
    <xf numFmtId="0" fontId="4" fillId="0" borderId="0"/>
    <xf numFmtId="0" fontId="6" fillId="0" borderId="0"/>
    <xf numFmtId="0" fontId="1" fillId="0" borderId="0"/>
    <xf numFmtId="0" fontId="6" fillId="0" borderId="0"/>
    <xf numFmtId="0" fontId="1" fillId="0" borderId="0"/>
    <xf numFmtId="0" fontId="6" fillId="0" borderId="0"/>
    <xf numFmtId="0" fontId="4" fillId="0" borderId="0"/>
    <xf numFmtId="0" fontId="86" fillId="0" borderId="0"/>
    <xf numFmtId="0" fontId="6" fillId="0" borderId="0"/>
    <xf numFmtId="0" fontId="4" fillId="0" borderId="0"/>
    <xf numFmtId="0" fontId="6" fillId="0" borderId="0"/>
    <xf numFmtId="0" fontId="29"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4" fillId="0" borderId="0"/>
    <xf numFmtId="0" fontId="6" fillId="0" borderId="0"/>
    <xf numFmtId="0" fontId="29"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29" fillId="0" borderId="0"/>
    <xf numFmtId="0" fontId="1" fillId="0" borderId="0"/>
    <xf numFmtId="0" fontId="6" fillId="0" borderId="0"/>
    <xf numFmtId="0" fontId="4" fillId="0" borderId="0"/>
    <xf numFmtId="0" fontId="12" fillId="0" borderId="0">
      <alignment vertical="top"/>
    </xf>
    <xf numFmtId="0" fontId="1" fillId="0" borderId="0"/>
    <xf numFmtId="0" fontId="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 fillId="0" borderId="0"/>
    <xf numFmtId="0" fontId="29" fillId="0" borderId="0"/>
    <xf numFmtId="0" fontId="1" fillId="0" borderId="0"/>
    <xf numFmtId="0" fontId="4" fillId="0" borderId="0"/>
    <xf numFmtId="0" fontId="29" fillId="0" borderId="0"/>
    <xf numFmtId="0" fontId="4" fillId="0" borderId="0"/>
    <xf numFmtId="0" fontId="29" fillId="0" borderId="0"/>
    <xf numFmtId="0" fontId="4" fillId="0" borderId="0">
      <alignment wrapText="1"/>
    </xf>
    <xf numFmtId="0" fontId="6" fillId="0" borderId="0"/>
    <xf numFmtId="0" fontId="12" fillId="0" borderId="0">
      <alignment vertical="top"/>
    </xf>
    <xf numFmtId="0" fontId="1" fillId="0" borderId="0"/>
    <xf numFmtId="0" fontId="6" fillId="0" borderId="0"/>
    <xf numFmtId="0" fontId="6" fillId="0" borderId="0"/>
    <xf numFmtId="0" fontId="29" fillId="0" borderId="0"/>
    <xf numFmtId="0" fontId="1" fillId="0" borderId="0"/>
    <xf numFmtId="0" fontId="6" fillId="0" borderId="0"/>
    <xf numFmtId="0" fontId="6" fillId="0" borderId="0"/>
    <xf numFmtId="0" fontId="29" fillId="0" borderId="0"/>
    <xf numFmtId="0" fontId="1" fillId="0" borderId="0"/>
    <xf numFmtId="0" fontId="4" fillId="0" borderId="0">
      <alignment wrapText="1"/>
    </xf>
    <xf numFmtId="0" fontId="4" fillId="0" borderId="0"/>
    <xf numFmtId="0" fontId="6" fillId="0" borderId="0"/>
    <xf numFmtId="0" fontId="6" fillId="0" borderId="0"/>
    <xf numFmtId="0" fontId="1" fillId="0" borderId="0"/>
    <xf numFmtId="0" fontId="12" fillId="0" borderId="0">
      <alignment vertical="top"/>
    </xf>
    <xf numFmtId="0" fontId="6" fillId="0" borderId="0"/>
    <xf numFmtId="0" fontId="6" fillId="0" borderId="0"/>
    <xf numFmtId="0" fontId="6" fillId="0" borderId="0"/>
    <xf numFmtId="0" fontId="6" fillId="0" borderId="0"/>
    <xf numFmtId="0" fontId="6"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29" fillId="0" borderId="0"/>
    <xf numFmtId="0" fontId="1" fillId="0" borderId="0"/>
    <xf numFmtId="0" fontId="4" fillId="0" borderId="0">
      <alignment vertical="top"/>
    </xf>
    <xf numFmtId="0" fontId="1" fillId="0" borderId="0"/>
    <xf numFmtId="0" fontId="1" fillId="0" borderId="0"/>
    <xf numFmtId="0" fontId="1" fillId="0" borderId="0"/>
    <xf numFmtId="0" fontId="6" fillId="0" borderId="0"/>
    <xf numFmtId="0" fontId="1"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4" fillId="0" borderId="0"/>
    <xf numFmtId="0" fontId="4" fillId="0" borderId="0"/>
    <xf numFmtId="0" fontId="4" fillId="0" borderId="0"/>
    <xf numFmtId="0" fontId="8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29" fillId="0" borderId="0"/>
    <xf numFmtId="0" fontId="1" fillId="0" borderId="0"/>
    <xf numFmtId="0" fontId="4" fillId="0" borderId="0"/>
    <xf numFmtId="0" fontId="4" fillId="0" borderId="0">
      <alignment wrapText="1"/>
    </xf>
    <xf numFmtId="0" fontId="4" fillId="0" borderId="0">
      <alignment wrapText="1"/>
    </xf>
    <xf numFmtId="0" fontId="4" fillId="0" borderId="0">
      <alignment wrapText="1"/>
    </xf>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29" fillId="22" borderId="77" applyNumberFormat="0" applyFont="0" applyAlignment="0" applyProtection="0"/>
    <xf numFmtId="0" fontId="29" fillId="22" borderId="77" applyNumberFormat="0" applyFont="0" applyAlignment="0" applyProtection="0"/>
    <xf numFmtId="0" fontId="12" fillId="22" borderId="77" applyNumberFormat="0" applyFont="0" applyAlignment="0" applyProtection="0"/>
    <xf numFmtId="0" fontId="6" fillId="22" borderId="77" applyNumberFormat="0" applyFont="0" applyAlignment="0" applyProtection="0"/>
    <xf numFmtId="0" fontId="6" fillId="22" borderId="77" applyNumberFormat="0" applyFont="0" applyAlignment="0" applyProtection="0"/>
    <xf numFmtId="0" fontId="29" fillId="22" borderId="77" applyNumberFormat="0" applyFont="0" applyAlignment="0" applyProtection="0"/>
    <xf numFmtId="0" fontId="3" fillId="22" borderId="77" applyNumberFormat="0" applyFont="0" applyAlignment="0" applyProtection="0"/>
    <xf numFmtId="0" fontId="3" fillId="22" borderId="77" applyNumberFormat="0" applyFont="0" applyAlignment="0" applyProtection="0"/>
    <xf numFmtId="0" fontId="6" fillId="22" borderId="77" applyNumberFormat="0" applyFont="0" applyAlignment="0" applyProtection="0"/>
    <xf numFmtId="0" fontId="29" fillId="22" borderId="77" applyNumberFormat="0" applyFont="0" applyAlignment="0" applyProtection="0"/>
    <xf numFmtId="0" fontId="29" fillId="22" borderId="77" applyNumberFormat="0" applyFont="0" applyAlignment="0" applyProtection="0"/>
    <xf numFmtId="0" fontId="3" fillId="22" borderId="77" applyNumberFormat="0" applyFont="0" applyAlignment="0" applyProtection="0"/>
    <xf numFmtId="0" fontId="6" fillId="22" borderId="77" applyNumberFormat="0" applyFont="0" applyAlignment="0" applyProtection="0"/>
    <xf numFmtId="0" fontId="29" fillId="35" borderId="85" applyNumberFormat="0" applyFont="0" applyAlignment="0" applyProtection="0"/>
    <xf numFmtId="0" fontId="38" fillId="18" borderId="78" applyNumberFormat="0" applyAlignment="0" applyProtection="0"/>
    <xf numFmtId="0" fontId="62" fillId="18" borderId="79" applyNumberFormat="0" applyAlignment="0" applyProtection="0"/>
    <xf numFmtId="0" fontId="38" fillId="18" borderId="78" applyNumberFormat="0" applyAlignment="0" applyProtection="0"/>
    <xf numFmtId="0" fontId="62" fillId="18" borderId="79" applyNumberFormat="0" applyAlignment="0" applyProtection="0"/>
    <xf numFmtId="0" fontId="62" fillId="18" borderId="79" applyNumberFormat="0" applyAlignment="0" applyProtection="0"/>
    <xf numFmtId="0" fontId="38" fillId="18" borderId="78" applyNumberFormat="0" applyAlignment="0" applyProtection="0"/>
    <xf numFmtId="0" fontId="38" fillId="18" borderId="78" applyNumberFormat="0" applyAlignment="0" applyProtection="0"/>
    <xf numFmtId="0" fontId="62" fillId="18" borderId="79" applyNumberFormat="0" applyAlignment="0" applyProtection="0"/>
    <xf numFmtId="0" fontId="62" fillId="9" borderId="79" applyNumberFormat="0" applyAlignment="0" applyProtection="0"/>
    <xf numFmtId="0" fontId="62" fillId="9" borderId="79" applyNumberFormat="0" applyAlignment="0" applyProtection="0"/>
    <xf numFmtId="0" fontId="62" fillId="9" borderId="79" applyNumberFormat="0" applyAlignment="0" applyProtection="0"/>
    <xf numFmtId="0" fontId="146" fillId="51" borderId="74" applyNumberFormat="0" applyAlignment="0" applyProtection="0"/>
    <xf numFmtId="9" fontId="4" fillId="0" borderId="0" applyFont="0" applyFill="0" applyBorder="0" applyAlignment="0" applyProtection="0">
      <alignment wrapText="1"/>
    </xf>
    <xf numFmtId="9" fontId="1"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3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alignment wrapText="1"/>
    </xf>
    <xf numFmtId="0" fontId="44" fillId="0" borderId="2">
      <alignment horizontal="center"/>
    </xf>
    <xf numFmtId="0" fontId="6" fillId="0" borderId="0"/>
    <xf numFmtId="0" fontId="6" fillId="0" borderId="0"/>
    <xf numFmtId="0" fontId="6" fillId="0" borderId="0"/>
    <xf numFmtId="0" fontId="12" fillId="0" borderId="0">
      <alignment vertical="top"/>
    </xf>
    <xf numFmtId="0" fontId="6" fillId="0" borderId="84"/>
    <xf numFmtId="0" fontId="6" fillId="0" borderId="84"/>
    <xf numFmtId="0" fontId="159" fillId="85" borderId="0"/>
    <xf numFmtId="0" fontId="160" fillId="85"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5" fillId="0" borderId="80" applyNumberFormat="0" applyFill="0" applyAlignment="0" applyProtection="0"/>
    <xf numFmtId="0" fontId="45" fillId="0" borderId="80" applyNumberFormat="0" applyFill="0" applyAlignment="0" applyProtection="0"/>
    <xf numFmtId="0" fontId="45" fillId="0" borderId="80" applyNumberFormat="0" applyFill="0" applyAlignment="0" applyProtection="0"/>
    <xf numFmtId="0" fontId="45" fillId="0" borderId="81" applyNumberFormat="0" applyFill="0" applyAlignment="0" applyProtection="0"/>
    <xf numFmtId="0" fontId="45" fillId="0" borderId="83" applyNumberFormat="0" applyFill="0" applyAlignment="0" applyProtection="0"/>
    <xf numFmtId="0" fontId="45" fillId="0" borderId="83" applyNumberFormat="0" applyFill="0" applyAlignment="0" applyProtection="0"/>
    <xf numFmtId="0" fontId="45" fillId="0" borderId="80" applyNumberFormat="0" applyFill="0" applyAlignment="0" applyProtection="0"/>
    <xf numFmtId="0" fontId="45" fillId="0" borderId="80"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3"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2" applyNumberFormat="0" applyFill="0" applyAlignment="0" applyProtection="0"/>
    <xf numFmtId="0" fontId="45" fillId="0" borderId="83" applyNumberFormat="0" applyFill="0" applyAlignment="0" applyProtection="0"/>
    <xf numFmtId="0" fontId="158" fillId="0" borderId="86"/>
    <xf numFmtId="0" fontId="158" fillId="0" borderId="86"/>
    <xf numFmtId="0" fontId="158" fillId="0" borderId="84"/>
    <xf numFmtId="0" fontId="158" fillId="0" borderId="84"/>
    <xf numFmtId="0" fontId="4" fillId="0" borderId="0"/>
    <xf numFmtId="0" fontId="4" fillId="0" borderId="0"/>
    <xf numFmtId="0" fontId="44" fillId="0" borderId="2">
      <alignment horizontal="center"/>
    </xf>
    <xf numFmtId="0" fontId="143" fillId="0" borderId="0" applyNumberFormat="0" applyFill="0" applyBorder="0" applyAlignment="0" applyProtection="0"/>
    <xf numFmtId="0" fontId="89" fillId="0" borderId="35" applyNumberFormat="0" applyFill="0" applyAlignment="0" applyProtection="0"/>
    <xf numFmtId="0" fontId="90" fillId="0" borderId="36" applyNumberFormat="0" applyFill="0" applyAlignment="0" applyProtection="0"/>
    <xf numFmtId="0" fontId="91" fillId="0" borderId="37" applyNumberFormat="0" applyFill="0" applyAlignment="0" applyProtection="0"/>
    <xf numFmtId="0" fontId="91" fillId="0" borderId="0" applyNumberFormat="0" applyFill="0" applyBorder="0" applyAlignment="0" applyProtection="0"/>
    <xf numFmtId="0" fontId="92" fillId="49" borderId="0" applyNumberFormat="0" applyBorder="0" applyAlignment="0" applyProtection="0"/>
    <xf numFmtId="0" fontId="93" fillId="50" borderId="0" applyNumberFormat="0" applyBorder="0" applyAlignment="0" applyProtection="0"/>
    <xf numFmtId="0" fontId="144" fillId="76" borderId="0" applyNumberFormat="0" applyBorder="0" applyAlignment="0" applyProtection="0"/>
    <xf numFmtId="0" fontId="145" fillId="77" borderId="19" applyNumberFormat="0" applyAlignment="0" applyProtection="0"/>
    <xf numFmtId="0" fontId="146" fillId="51" borderId="74" applyNumberFormat="0" applyAlignment="0" applyProtection="0"/>
    <xf numFmtId="0" fontId="94" fillId="51" borderId="19" applyNumberFormat="0" applyAlignment="0" applyProtection="0"/>
    <xf numFmtId="0" fontId="95" fillId="0" borderId="38" applyNumberFormat="0" applyFill="0" applyAlignment="0" applyProtection="0"/>
    <xf numFmtId="0" fontId="147" fillId="78" borderId="75" applyNumberFormat="0" applyAlignment="0" applyProtection="0"/>
    <xf numFmtId="0" fontId="96" fillId="0" borderId="0" applyNumberFormat="0" applyFill="0" applyBorder="0" applyAlignment="0" applyProtection="0"/>
    <xf numFmtId="0" fontId="1" fillId="35" borderId="20" applyNumberFormat="0" applyFont="0" applyAlignment="0" applyProtection="0"/>
    <xf numFmtId="0" fontId="97" fillId="0" borderId="0" applyNumberFormat="0" applyFill="0" applyBorder="0" applyAlignment="0" applyProtection="0"/>
    <xf numFmtId="0" fontId="28" fillId="0" borderId="39" applyNumberFormat="0" applyFill="0" applyAlignment="0" applyProtection="0"/>
    <xf numFmtId="0" fontId="98" fillId="52" borderId="0" applyNumberFormat="0" applyBorder="0" applyAlignment="0" applyProtection="0"/>
    <xf numFmtId="0" fontId="1" fillId="36" borderId="0" applyNumberFormat="0" applyBorder="0" applyAlignment="0" applyProtection="0"/>
    <xf numFmtId="0" fontId="1" fillId="53" borderId="0" applyNumberFormat="0" applyBorder="0" applyAlignment="0" applyProtection="0"/>
    <xf numFmtId="0" fontId="98" fillId="54" borderId="0" applyNumberFormat="0" applyBorder="0" applyAlignment="0" applyProtection="0"/>
    <xf numFmtId="0" fontId="98"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98" fillId="58" borderId="0" applyNumberFormat="0" applyBorder="0" applyAlignment="0" applyProtection="0"/>
    <xf numFmtId="0" fontId="98"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98" fillId="62" borderId="0" applyNumberFormat="0" applyBorder="0" applyAlignment="0" applyProtection="0"/>
    <xf numFmtId="0" fontId="98" fillId="79"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98" fillId="80" borderId="0" applyNumberFormat="0" applyBorder="0" applyAlignment="0" applyProtection="0"/>
    <xf numFmtId="0" fontId="98"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98" fillId="81" borderId="0" applyNumberFormat="0" applyBorder="0" applyAlignment="0" applyProtection="0"/>
    <xf numFmtId="0" fontId="4" fillId="0" borderId="0">
      <alignment vertical="top"/>
    </xf>
    <xf numFmtId="43" fontId="11" fillId="0" borderId="0" applyFont="0" applyFill="0" applyBorder="0" applyAlignment="0" applyProtection="0"/>
    <xf numFmtId="0" fontId="65" fillId="0" borderId="0"/>
    <xf numFmtId="44" fontId="65" fillId="0" borderId="0" applyFont="0" applyFill="0" applyBorder="0" applyAlignment="0" applyProtection="0"/>
    <xf numFmtId="0" fontId="4" fillId="0" borderId="0"/>
    <xf numFmtId="0" fontId="6" fillId="0" borderId="0"/>
    <xf numFmtId="0" fontId="6" fillId="0" borderId="0"/>
    <xf numFmtId="43" fontId="1"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161" fillId="0" borderId="0"/>
    <xf numFmtId="43" fontId="4" fillId="0" borderId="0" applyFont="0" applyFill="0" applyBorder="0" applyAlignment="0" applyProtection="0"/>
    <xf numFmtId="0" fontId="107" fillId="0" borderId="89" applyBorder="0">
      <alignment horizontal="center" vertic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2" fillId="0" borderId="0" applyNumberFormat="0" applyFill="0" applyBorder="0" applyAlignment="0" applyProtection="0">
      <alignment vertical="top"/>
      <protection locked="0"/>
    </xf>
    <xf numFmtId="0" fontId="107" fillId="0" borderId="89" applyBorder="0">
      <alignment horizontal="center" vertical="center" wrapText="1"/>
    </xf>
    <xf numFmtId="0" fontId="4" fillId="0" borderId="0"/>
    <xf numFmtId="0" fontId="4" fillId="0" borderId="0"/>
    <xf numFmtId="0" fontId="10" fillId="0" borderId="0"/>
    <xf numFmtId="0" fontId="1" fillId="0" borderId="0"/>
    <xf numFmtId="167" fontId="6"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31" fillId="0" borderId="0" applyFont="0" applyFill="0" applyBorder="0" applyAlignment="0" applyProtection="0"/>
    <xf numFmtId="0" fontId="44" fillId="0" borderId="88">
      <alignment horizontal="center"/>
    </xf>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32" fillId="18" borderId="92" applyNumberFormat="0" applyAlignment="0" applyProtection="0"/>
    <xf numFmtId="0" fontId="32" fillId="18" borderId="92" applyNumberFormat="0" applyAlignment="0" applyProtection="0"/>
    <xf numFmtId="0" fontId="32" fillId="9" borderId="92" applyNumberFormat="0" applyAlignment="0" applyProtection="0"/>
    <xf numFmtId="0" fontId="32" fillId="9" borderId="92"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1" fillId="11" borderId="92" applyNumberFormat="0" applyAlignment="0" applyProtection="0"/>
    <xf numFmtId="0" fontId="59" fillId="28" borderId="92" applyNumberFormat="0" applyAlignment="0" applyProtection="0"/>
    <xf numFmtId="0" fontId="29" fillId="0" borderId="0"/>
    <xf numFmtId="0" fontId="4" fillId="0" borderId="0"/>
    <xf numFmtId="0" fontId="4" fillId="0" borderId="0"/>
    <xf numFmtId="0" fontId="4" fillId="0" borderId="0"/>
    <xf numFmtId="0" fontId="4" fillId="0" borderId="0"/>
    <xf numFmtId="0" fontId="29" fillId="22" borderId="93" applyNumberFormat="0" applyFont="0" applyAlignment="0" applyProtection="0"/>
    <xf numFmtId="0" fontId="29" fillId="22" borderId="93" applyNumberFormat="0" applyFont="0" applyAlignment="0" applyProtection="0"/>
    <xf numFmtId="0" fontId="3" fillId="22" borderId="93" applyNumberFormat="0" applyFont="0" applyAlignment="0" applyProtection="0"/>
    <xf numFmtId="0" fontId="3" fillId="22" borderId="93" applyNumberFormat="0" applyFont="0" applyAlignment="0" applyProtection="0"/>
    <xf numFmtId="0" fontId="38" fillId="18" borderId="94" applyNumberFormat="0" applyAlignment="0" applyProtection="0"/>
    <xf numFmtId="0" fontId="62" fillId="9" borderId="95"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131" fillId="0" borderId="0" applyFont="0" applyFill="0" applyBorder="0" applyAlignment="0" applyProtection="0"/>
    <xf numFmtId="9" fontId="4" fillId="0" borderId="0" applyFont="0" applyFill="0" applyBorder="0" applyAlignment="0" applyProtection="0"/>
    <xf numFmtId="0" fontId="45" fillId="0" borderId="96" applyNumberFormat="0" applyFill="0" applyAlignment="0" applyProtection="0"/>
    <xf numFmtId="0" fontId="45" fillId="0" borderId="96" applyNumberFormat="0" applyFill="0" applyAlignment="0" applyProtection="0"/>
    <xf numFmtId="0" fontId="45" fillId="0" borderId="97" applyNumberFormat="0" applyFill="0" applyAlignment="0" applyProtection="0"/>
    <xf numFmtId="0" fontId="45" fillId="0" borderId="97" applyNumberFormat="0" applyFill="0" applyAlignment="0" applyProtection="0"/>
    <xf numFmtId="0" fontId="65" fillId="0" borderId="0"/>
    <xf numFmtId="0" fontId="4" fillId="0" borderId="0"/>
    <xf numFmtId="43" fontId="29" fillId="0" borderId="0" applyFont="0" applyFill="0" applyBorder="0" applyAlignment="0" applyProtection="0"/>
    <xf numFmtId="43" fontId="29" fillId="0" borderId="0" applyFont="0" applyFill="0" applyBorder="0" applyAlignment="0" applyProtection="0"/>
    <xf numFmtId="0" fontId="65" fillId="0" borderId="0"/>
    <xf numFmtId="0" fontId="107" fillId="0" borderId="98" applyBorder="0">
      <alignment horizontal="center" vertical="center" wrapText="1"/>
    </xf>
    <xf numFmtId="0" fontId="68"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81"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107" fillId="0" borderId="98" applyBorder="0">
      <alignment horizontal="center" vertical="center" wrapText="1"/>
    </xf>
    <xf numFmtId="0" fontId="12" fillId="22" borderId="93" applyNumberFormat="0" applyFont="0" applyAlignment="0" applyProtection="0"/>
    <xf numFmtId="0" fontId="6" fillId="22" borderId="93" applyNumberFormat="0" applyFont="0" applyAlignment="0" applyProtection="0"/>
    <xf numFmtId="0" fontId="6" fillId="22" borderId="93" applyNumberFormat="0" applyFont="0" applyAlignment="0" applyProtection="0"/>
    <xf numFmtId="0" fontId="29" fillId="22" borderId="93" applyNumberFormat="0" applyFont="0" applyAlignment="0" applyProtection="0"/>
    <xf numFmtId="0" fontId="6" fillId="22" borderId="93" applyNumberFormat="0" applyFont="0" applyAlignment="0" applyProtection="0"/>
    <xf numFmtId="0" fontId="38" fillId="18" borderId="94" applyNumberFormat="0" applyAlignment="0" applyProtection="0"/>
    <xf numFmtId="0" fontId="62" fillId="18" borderId="95" applyNumberFormat="0" applyAlignment="0" applyProtection="0"/>
    <xf numFmtId="0" fontId="62" fillId="18" borderId="95" applyNumberFormat="0" applyAlignment="0" applyProtection="0"/>
    <xf numFmtId="0" fontId="62" fillId="18" borderId="95" applyNumberFormat="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32" fillId="18" borderId="92" applyNumberFormat="0" applyAlignment="0" applyProtection="0"/>
    <xf numFmtId="43" fontId="29" fillId="0" borderId="0" applyFont="0" applyFill="0" applyBorder="0" applyAlignment="0" applyProtection="0"/>
    <xf numFmtId="43" fontId="5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6" fillId="0" borderId="99"/>
    <xf numFmtId="0" fontId="158" fillId="84" borderId="99"/>
    <xf numFmtId="0" fontId="67" fillId="0" borderId="0"/>
    <xf numFmtId="0" fontId="4" fillId="0" borderId="0"/>
    <xf numFmtId="0" fontId="29" fillId="22" borderId="93" applyNumberFormat="0" applyFont="0" applyAlignment="0" applyProtection="0"/>
    <xf numFmtId="0" fontId="3" fillId="22" borderId="93" applyNumberFormat="0" applyFont="0" applyAlignment="0" applyProtection="0"/>
    <xf numFmtId="0" fontId="29" fillId="35" borderId="100" applyNumberFormat="0" applyFont="0" applyAlignment="0" applyProtection="0"/>
    <xf numFmtId="0" fontId="6" fillId="0" borderId="99"/>
    <xf numFmtId="0" fontId="6" fillId="0" borderId="99"/>
    <xf numFmtId="0" fontId="45" fillId="0" borderId="96" applyNumberFormat="0" applyFill="0" applyAlignment="0" applyProtection="0"/>
    <xf numFmtId="0" fontId="158" fillId="0" borderId="99"/>
    <xf numFmtId="0" fontId="158" fillId="0" borderId="99"/>
    <xf numFmtId="0" fontId="32" fillId="9" borderId="92" applyNumberFormat="0" applyAlignment="0" applyProtection="0"/>
    <xf numFmtId="0" fontId="32" fillId="9" borderId="92" applyNumberFormat="0" applyAlignment="0" applyProtection="0"/>
    <xf numFmtId="0" fontId="59" fillId="28" borderId="92" applyNumberFormat="0" applyAlignment="0" applyProtection="0"/>
    <xf numFmtId="0" fontId="62" fillId="9" borderId="95" applyNumberFormat="0" applyAlignment="0" applyProtection="0"/>
    <xf numFmtId="0" fontId="45" fillId="0" borderId="97" applyNumberFormat="0" applyFill="0" applyAlignment="0" applyProtection="0"/>
    <xf numFmtId="0" fontId="45" fillId="0" borderId="97" applyNumberFormat="0" applyFill="0" applyAlignment="0" applyProtection="0"/>
    <xf numFmtId="0" fontId="62" fillId="9" borderId="95" applyNumberFormat="0" applyAlignment="0" applyProtection="0"/>
    <xf numFmtId="0" fontId="107" fillId="0" borderId="98" applyBorder="0">
      <alignment horizontal="center" vertical="center" wrapText="1"/>
    </xf>
    <xf numFmtId="0" fontId="62" fillId="18" borderId="95" applyNumberFormat="0" applyAlignment="0" applyProtection="0"/>
    <xf numFmtId="0" fontId="62" fillId="18" borderId="95" applyNumberFormat="0" applyAlignment="0" applyProtection="0"/>
    <xf numFmtId="0" fontId="62" fillId="18" borderId="95" applyNumberFormat="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32" fillId="18" borderId="92" applyNumberFormat="0" applyAlignment="0" applyProtection="0"/>
    <xf numFmtId="0" fontId="32" fillId="18" borderId="92" applyNumberFormat="0" applyAlignment="0" applyProtection="0"/>
    <xf numFmtId="0" fontId="32" fillId="9" borderId="92" applyNumberFormat="0" applyAlignment="0" applyProtection="0"/>
    <xf numFmtId="0" fontId="32" fillId="9" borderId="92" applyNumberFormat="0" applyAlignment="0" applyProtection="0"/>
    <xf numFmtId="0" fontId="81" fillId="11" borderId="92" applyNumberFormat="0" applyAlignment="0" applyProtection="0"/>
    <xf numFmtId="0" fontId="59" fillId="28" borderId="92" applyNumberFormat="0" applyAlignment="0" applyProtection="0"/>
    <xf numFmtId="0" fontId="29" fillId="22" borderId="93" applyNumberFormat="0" applyFont="0" applyAlignment="0" applyProtection="0"/>
    <xf numFmtId="0" fontId="29" fillId="22" borderId="93" applyNumberFormat="0" applyFont="0" applyAlignment="0" applyProtection="0"/>
    <xf numFmtId="0" fontId="3" fillId="22" borderId="93" applyNumberFormat="0" applyFont="0" applyAlignment="0" applyProtection="0"/>
    <xf numFmtId="0" fontId="3" fillId="22" borderId="93" applyNumberFormat="0" applyFont="0" applyAlignment="0" applyProtection="0"/>
    <xf numFmtId="0" fontId="38" fillId="18" borderId="94" applyNumberFormat="0" applyAlignment="0" applyProtection="0"/>
    <xf numFmtId="0" fontId="62" fillId="9" borderId="95" applyNumberFormat="0" applyAlignment="0" applyProtection="0"/>
    <xf numFmtId="0" fontId="45" fillId="0" borderId="96" applyNumberFormat="0" applyFill="0" applyAlignment="0" applyProtection="0"/>
    <xf numFmtId="0" fontId="45" fillId="0" borderId="96" applyNumberFormat="0" applyFill="0" applyAlignment="0" applyProtection="0"/>
    <xf numFmtId="0" fontId="45" fillId="0" borderId="97" applyNumberFormat="0" applyFill="0" applyAlignment="0" applyProtection="0"/>
    <xf numFmtId="0" fontId="45" fillId="0" borderId="97" applyNumberFormat="0" applyFill="0" applyAlignment="0" applyProtection="0"/>
    <xf numFmtId="0" fontId="68"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81"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12" fillId="22" borderId="93" applyNumberFormat="0" applyFont="0" applyAlignment="0" applyProtection="0"/>
    <xf numFmtId="0" fontId="6" fillId="22" borderId="93" applyNumberFormat="0" applyFont="0" applyAlignment="0" applyProtection="0"/>
    <xf numFmtId="0" fontId="6" fillId="22" borderId="93" applyNumberFormat="0" applyFont="0" applyAlignment="0" applyProtection="0"/>
    <xf numFmtId="0" fontId="29" fillId="22" borderId="93" applyNumberFormat="0" applyFont="0" applyAlignment="0" applyProtection="0"/>
    <xf numFmtId="0" fontId="6" fillId="22" borderId="93" applyNumberFormat="0" applyFont="0" applyAlignment="0" applyProtection="0"/>
    <xf numFmtId="0" fontId="38" fillId="18" borderId="94" applyNumberFormat="0" applyAlignment="0" applyProtection="0"/>
    <xf numFmtId="0" fontId="62" fillId="18" borderId="95" applyNumberFormat="0" applyAlignment="0" applyProtection="0"/>
    <xf numFmtId="0" fontId="62" fillId="18" borderId="95" applyNumberFormat="0" applyAlignment="0" applyProtection="0"/>
    <xf numFmtId="0" fontId="62" fillId="18" borderId="95" applyNumberFormat="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32" fillId="18" borderId="92" applyNumberFormat="0" applyAlignment="0" applyProtection="0"/>
    <xf numFmtId="0" fontId="6" fillId="0" borderId="99"/>
    <xf numFmtId="0" fontId="158" fillId="84" borderId="99"/>
    <xf numFmtId="0" fontId="29" fillId="22" borderId="93" applyNumberFormat="0" applyFont="0" applyAlignment="0" applyProtection="0"/>
    <xf numFmtId="0" fontId="3" fillId="22" borderId="93" applyNumberFormat="0" applyFont="0" applyAlignment="0" applyProtection="0"/>
    <xf numFmtId="0" fontId="29" fillId="35" borderId="100" applyNumberFormat="0" applyFont="0" applyAlignment="0" applyProtection="0"/>
    <xf numFmtId="0" fontId="6" fillId="0" borderId="99"/>
    <xf numFmtId="0" fontId="6" fillId="0" borderId="99"/>
    <xf numFmtId="0" fontId="45" fillId="0" borderId="96" applyNumberFormat="0" applyFill="0" applyAlignment="0" applyProtection="0"/>
    <xf numFmtId="0" fontId="158" fillId="0" borderId="99"/>
    <xf numFmtId="0" fontId="158" fillId="0" borderId="99"/>
    <xf numFmtId="0" fontId="32" fillId="9" borderId="92" applyNumberFormat="0" applyAlignment="0" applyProtection="0"/>
    <xf numFmtId="0" fontId="32" fillId="9" borderId="92" applyNumberFormat="0" applyAlignment="0" applyProtection="0"/>
    <xf numFmtId="0" fontId="59" fillId="28" borderId="92" applyNumberFormat="0" applyAlignment="0" applyProtection="0"/>
    <xf numFmtId="0" fontId="62" fillId="9" borderId="95" applyNumberFormat="0" applyAlignment="0" applyProtection="0"/>
    <xf numFmtId="0" fontId="45" fillId="0" borderId="97" applyNumberFormat="0" applyFill="0" applyAlignment="0" applyProtection="0"/>
    <xf numFmtId="0" fontId="45" fillId="0" borderId="97" applyNumberFormat="0" applyFill="0" applyAlignment="0" applyProtection="0"/>
    <xf numFmtId="43" fontId="4" fillId="0" borderId="0" applyFont="0" applyFill="0" applyBorder="0" applyAlignment="0" applyProtection="0"/>
    <xf numFmtId="0" fontId="32" fillId="18" borderId="92" applyNumberFormat="0" applyAlignment="0" applyProtection="0"/>
    <xf numFmtId="0" fontId="45" fillId="0" borderId="91" applyNumberFormat="0" applyFill="0" applyAlignment="0" applyProtection="0"/>
    <xf numFmtId="0" fontId="3" fillId="22" borderId="93" applyNumberFormat="0" applyFont="0" applyAlignment="0" applyProtection="0"/>
    <xf numFmtId="0" fontId="62" fillId="9" borderId="95" applyNumberFormat="0" applyAlignment="0" applyProtection="0"/>
    <xf numFmtId="0" fontId="68" fillId="18" borderId="92" applyNumberFormat="0" applyAlignment="0" applyProtection="0"/>
    <xf numFmtId="0" fontId="32" fillId="9" borderId="92" applyNumberFormat="0" applyAlignment="0" applyProtection="0"/>
    <xf numFmtId="0" fontId="38" fillId="18" borderId="94" applyNumberFormat="0" applyAlignment="0" applyProtection="0"/>
    <xf numFmtId="0" fontId="29" fillId="22" borderId="93" applyNumberFormat="0" applyFont="0" applyAlignment="0" applyProtection="0"/>
    <xf numFmtId="0" fontId="62" fillId="18" borderId="95" applyNumberFormat="0" applyAlignment="0" applyProtection="0"/>
    <xf numFmtId="0" fontId="45" fillId="0" borderId="91" applyNumberFormat="0" applyFill="0" applyAlignment="0" applyProtection="0"/>
    <xf numFmtId="0" fontId="45" fillId="0" borderId="91" applyNumberFormat="0" applyFill="0" applyAlignment="0" applyProtection="0"/>
    <xf numFmtId="0" fontId="158" fillId="84" borderId="99"/>
    <xf numFmtId="0" fontId="6" fillId="0" borderId="99"/>
    <xf numFmtId="0" fontId="55" fillId="18" borderId="92" applyNumberFormat="0" applyAlignment="0" applyProtection="0"/>
    <xf numFmtId="0" fontId="81" fillId="11" borderId="92" applyNumberFormat="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107" fillId="0" borderId="98" applyBorder="0">
      <alignment horizontal="center" vertical="center" wrapText="1"/>
    </xf>
    <xf numFmtId="0" fontId="158" fillId="84" borderId="99"/>
    <xf numFmtId="0" fontId="45" fillId="0" borderId="91" applyNumberFormat="0" applyFill="0" applyAlignment="0" applyProtection="0"/>
    <xf numFmtId="0" fontId="45" fillId="0" borderId="90" applyNumberFormat="0" applyFill="0" applyAlignment="0" applyProtection="0"/>
    <xf numFmtId="0" fontId="45" fillId="0" borderId="91" applyNumberFormat="0" applyFill="0" applyAlignment="0" applyProtection="0"/>
    <xf numFmtId="0" fontId="32" fillId="18" borderId="92" applyNumberFormat="0" applyAlignment="0" applyProtection="0"/>
    <xf numFmtId="0" fontId="81" fillId="11" borderId="92" applyNumberFormat="0" applyAlignment="0" applyProtection="0"/>
    <xf numFmtId="0" fontId="59" fillId="28" borderId="92" applyNumberFormat="0" applyAlignment="0" applyProtection="0"/>
    <xf numFmtId="0" fontId="29" fillId="22" borderId="93" applyNumberFormat="0" applyFont="0" applyAlignment="0" applyProtection="0"/>
    <xf numFmtId="0" fontId="29" fillId="22" borderId="93" applyNumberFormat="0" applyFont="0" applyAlignment="0" applyProtection="0"/>
    <xf numFmtId="0" fontId="3" fillId="22" borderId="93" applyNumberFormat="0" applyFont="0" applyAlignment="0" applyProtection="0"/>
    <xf numFmtId="0" fontId="38" fillId="18" borderId="94" applyNumberFormat="0" applyAlignment="0" applyProtection="0"/>
    <xf numFmtId="0" fontId="45" fillId="0" borderId="96" applyNumberFormat="0" applyFill="0" applyAlignment="0" applyProtection="0"/>
    <xf numFmtId="0" fontId="45" fillId="0" borderId="96" applyNumberFormat="0" applyFill="0" applyAlignment="0" applyProtection="0"/>
    <xf numFmtId="0" fontId="45" fillId="0" borderId="97" applyNumberFormat="0" applyFill="0" applyAlignment="0" applyProtection="0"/>
    <xf numFmtId="0" fontId="107" fillId="0" borderId="89" applyBorder="0">
      <alignment horizontal="center" vertical="center" wrapText="1"/>
    </xf>
    <xf numFmtId="0" fontId="3" fillId="22" borderId="93" applyNumberFormat="0" applyFont="0" applyAlignment="0" applyProtection="0"/>
    <xf numFmtId="0" fontId="29" fillId="22" borderId="93" applyNumberFormat="0" applyFont="0" applyAlignment="0" applyProtection="0"/>
    <xf numFmtId="0" fontId="32" fillId="18" borderId="92" applyNumberFormat="0" applyAlignment="0" applyProtection="0"/>
    <xf numFmtId="0" fontId="62" fillId="18" borderId="95" applyNumberFormat="0" applyAlignment="0" applyProtection="0"/>
    <xf numFmtId="0" fontId="29" fillId="22" borderId="93" applyNumberFormat="0" applyFont="0" applyAlignment="0" applyProtection="0"/>
    <xf numFmtId="0" fontId="59" fillId="11" borderId="92" applyNumberFormat="0" applyAlignment="0" applyProtection="0"/>
    <xf numFmtId="0" fontId="55" fillId="18" borderId="92" applyNumberFormat="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7" applyNumberFormat="0" applyFill="0" applyAlignment="0" applyProtection="0"/>
    <xf numFmtId="0" fontId="32" fillId="18" borderId="92" applyNumberFormat="0" applyAlignment="0" applyProtection="0"/>
    <xf numFmtId="0" fontId="32" fillId="18" borderId="92" applyNumberFormat="0" applyAlignment="0" applyProtection="0"/>
    <xf numFmtId="0" fontId="32" fillId="9" borderId="92" applyNumberFormat="0" applyAlignment="0" applyProtection="0"/>
    <xf numFmtId="0" fontId="32" fillId="9" borderId="92" applyNumberFormat="0" applyAlignment="0" applyProtection="0"/>
    <xf numFmtId="0" fontId="81" fillId="11" borderId="92" applyNumberFormat="0" applyAlignment="0" applyProtection="0"/>
    <xf numFmtId="0" fontId="59" fillId="28" borderId="92" applyNumberFormat="0" applyAlignment="0" applyProtection="0"/>
    <xf numFmtId="0" fontId="29" fillId="22" borderId="93" applyNumberFormat="0" applyFont="0" applyAlignment="0" applyProtection="0"/>
    <xf numFmtId="0" fontId="29" fillId="22" borderId="93" applyNumberFormat="0" applyFont="0" applyAlignment="0" applyProtection="0"/>
    <xf numFmtId="0" fontId="3" fillId="22" borderId="93" applyNumberFormat="0" applyFont="0" applyAlignment="0" applyProtection="0"/>
    <xf numFmtId="0" fontId="3" fillId="22" borderId="93" applyNumberFormat="0" applyFont="0" applyAlignment="0" applyProtection="0"/>
    <xf numFmtId="0" fontId="38" fillId="18" borderId="94" applyNumberFormat="0" applyAlignment="0" applyProtection="0"/>
    <xf numFmtId="0" fontId="62" fillId="9" borderId="95" applyNumberFormat="0" applyAlignment="0" applyProtection="0"/>
    <xf numFmtId="0" fontId="45" fillId="0" borderId="96" applyNumberFormat="0" applyFill="0" applyAlignment="0" applyProtection="0"/>
    <xf numFmtId="0" fontId="45" fillId="0" borderId="96" applyNumberFormat="0" applyFill="0" applyAlignment="0" applyProtection="0"/>
    <xf numFmtId="0" fontId="45" fillId="0" borderId="97" applyNumberFormat="0" applyFill="0" applyAlignment="0" applyProtection="0"/>
    <xf numFmtId="0" fontId="45" fillId="0" borderId="97" applyNumberFormat="0" applyFill="0" applyAlignment="0" applyProtection="0"/>
    <xf numFmtId="0" fontId="68"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55" fillId="18" borderId="92" applyNumberFormat="0" applyAlignment="0" applyProtection="0"/>
    <xf numFmtId="0" fontId="81"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12" fillId="22" borderId="93" applyNumberFormat="0" applyFont="0" applyAlignment="0" applyProtection="0"/>
    <xf numFmtId="0" fontId="6" fillId="22" borderId="93" applyNumberFormat="0" applyFont="0" applyAlignment="0" applyProtection="0"/>
    <xf numFmtId="0" fontId="6" fillId="22" borderId="93" applyNumberFormat="0" applyFont="0" applyAlignment="0" applyProtection="0"/>
    <xf numFmtId="0" fontId="29" fillId="22" borderId="93" applyNumberFormat="0" applyFont="0" applyAlignment="0" applyProtection="0"/>
    <xf numFmtId="0" fontId="6" fillId="22" borderId="93" applyNumberFormat="0" applyFont="0" applyAlignment="0" applyProtection="0"/>
    <xf numFmtId="0" fontId="38" fillId="18" borderId="94" applyNumberFormat="0" applyAlignment="0" applyProtection="0"/>
    <xf numFmtId="0" fontId="62" fillId="18" borderId="95" applyNumberFormat="0" applyAlignment="0" applyProtection="0"/>
    <xf numFmtId="0" fontId="62" fillId="18" borderId="95" applyNumberFormat="0" applyAlignment="0" applyProtection="0"/>
    <xf numFmtId="0" fontId="62" fillId="18" borderId="95" applyNumberFormat="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32" fillId="18" borderId="92" applyNumberFormat="0" applyAlignment="0" applyProtection="0"/>
    <xf numFmtId="0" fontId="107" fillId="0" borderId="98" applyBorder="0">
      <alignment horizontal="center" vertical="center" wrapText="1"/>
    </xf>
    <xf numFmtId="0" fontId="55" fillId="18" borderId="92" applyNumberFormat="0" applyAlignment="0" applyProtection="0"/>
    <xf numFmtId="0" fontId="55" fillId="18" borderId="92" applyNumberFormat="0" applyAlignment="0" applyProtection="0"/>
    <xf numFmtId="0" fontId="59" fillId="11" borderId="92" applyNumberFormat="0" applyAlignment="0" applyProtection="0"/>
    <xf numFmtId="0" fontId="59" fillId="11" borderId="92" applyNumberFormat="0" applyAlignment="0" applyProtection="0"/>
    <xf numFmtId="0" fontId="59" fillId="11" borderId="92" applyNumberFormat="0" applyAlignment="0" applyProtection="0"/>
    <xf numFmtId="0" fontId="12" fillId="22" borderId="93" applyNumberFormat="0" applyFont="0" applyAlignment="0" applyProtection="0"/>
    <xf numFmtId="0" fontId="6" fillId="22" borderId="93" applyNumberFormat="0" applyFont="0" applyAlignment="0" applyProtection="0"/>
    <xf numFmtId="0" fontId="6" fillId="22" borderId="93" applyNumberFormat="0" applyFont="0" applyAlignment="0" applyProtection="0"/>
    <xf numFmtId="0" fontId="29" fillId="22" borderId="93" applyNumberFormat="0" applyFont="0" applyAlignment="0" applyProtection="0"/>
    <xf numFmtId="0" fontId="6" fillId="22" borderId="93" applyNumberFormat="0" applyFont="0" applyAlignment="0" applyProtection="0"/>
    <xf numFmtId="0" fontId="38" fillId="18" borderId="94" applyNumberFormat="0" applyAlignment="0" applyProtection="0"/>
    <xf numFmtId="0" fontId="62" fillId="18" borderId="95" applyNumberFormat="0" applyAlignment="0" applyProtection="0"/>
    <xf numFmtId="0" fontId="62" fillId="18" borderId="95" applyNumberFormat="0" applyAlignment="0" applyProtection="0"/>
    <xf numFmtId="0" fontId="6" fillId="0" borderId="99"/>
    <xf numFmtId="0" fontId="158" fillId="84" borderId="99"/>
    <xf numFmtId="0" fontId="38" fillId="18" borderId="94" applyNumberFormat="0" applyAlignment="0" applyProtection="0"/>
    <xf numFmtId="0" fontId="45" fillId="0" borderId="96" applyNumberFormat="0" applyFill="0" applyAlignment="0" applyProtection="0"/>
    <xf numFmtId="0" fontId="29" fillId="35" borderId="100" applyNumberFormat="0" applyFont="0" applyAlignment="0" applyProtection="0"/>
    <xf numFmtId="0" fontId="6" fillId="0" borderId="99"/>
    <xf numFmtId="0" fontId="158" fillId="0" borderId="99"/>
    <xf numFmtId="0" fontId="59" fillId="28" borderId="92" applyNumberFormat="0" applyAlignment="0" applyProtection="0"/>
    <xf numFmtId="0" fontId="45" fillId="0" borderId="91" applyNumberFormat="0" applyFill="0" applyAlignment="0" applyProtection="0"/>
    <xf numFmtId="0" fontId="107" fillId="0" borderId="89" applyBorder="0">
      <alignment horizontal="center" vertical="center" wrapText="1"/>
    </xf>
    <xf numFmtId="0" fontId="45" fillId="0" borderId="97" applyNumberFormat="0" applyFill="0" applyAlignment="0" applyProtection="0"/>
    <xf numFmtId="0" fontId="6" fillId="0" borderId="99"/>
    <xf numFmtId="0" fontId="107" fillId="0" borderId="89" applyBorder="0">
      <alignment horizontal="center" vertical="center" wrapText="1"/>
    </xf>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62" fillId="18" borderId="95" applyNumberFormat="0" applyAlignment="0" applyProtection="0"/>
    <xf numFmtId="0" fontId="62" fillId="18" borderId="95" applyNumberFormat="0" applyAlignment="0" applyProtection="0"/>
    <xf numFmtId="0" fontId="6" fillId="22" borderId="93" applyNumberFormat="0" applyFont="0" applyAlignment="0" applyProtection="0"/>
    <xf numFmtId="0" fontId="12" fillId="22" borderId="93" applyNumberFormat="0" applyFont="0" applyAlignment="0" applyProtection="0"/>
    <xf numFmtId="0" fontId="107" fillId="0" borderId="98" applyBorder="0">
      <alignment horizontal="center" vertical="center" wrapText="1"/>
    </xf>
    <xf numFmtId="0" fontId="59" fillId="11" borderId="92" applyNumberFormat="0" applyAlignment="0" applyProtection="0"/>
    <xf numFmtId="0" fontId="81" fillId="11" borderId="92" applyNumberFormat="0" applyAlignment="0" applyProtection="0"/>
    <xf numFmtId="0" fontId="68" fillId="18" borderId="92" applyNumberFormat="0" applyAlignment="0" applyProtection="0"/>
    <xf numFmtId="0" fontId="107" fillId="0" borderId="98" applyBorder="0">
      <alignment horizontal="center" vertical="center" wrapText="1"/>
    </xf>
    <xf numFmtId="0" fontId="45" fillId="0" borderId="97" applyNumberFormat="0" applyFill="0" applyAlignment="0" applyProtection="0"/>
    <xf numFmtId="0" fontId="45" fillId="0" borderId="97" applyNumberFormat="0" applyFill="0" applyAlignment="0" applyProtection="0"/>
    <xf numFmtId="0" fontId="29" fillId="22" borderId="93" applyNumberFormat="0" applyFont="0" applyAlignment="0" applyProtection="0"/>
    <xf numFmtId="0" fontId="59" fillId="28" borderId="92" applyNumberFormat="0" applyAlignment="0" applyProtection="0"/>
    <xf numFmtId="0" fontId="81" fillId="11" borderId="92" applyNumberFormat="0" applyAlignment="0" applyProtection="0"/>
    <xf numFmtId="0" fontId="32" fillId="9" borderId="92" applyNumberFormat="0" applyAlignment="0" applyProtection="0"/>
    <xf numFmtId="0" fontId="32" fillId="9" borderId="92" applyNumberFormat="0" applyAlignment="0" applyProtection="0"/>
    <xf numFmtId="0" fontId="32" fillId="18" borderId="92" applyNumberFormat="0" applyAlignment="0" applyProtection="0"/>
    <xf numFmtId="0" fontId="32" fillId="18" borderId="92" applyNumberFormat="0" applyAlignment="0" applyProtection="0"/>
    <xf numFmtId="0" fontId="107" fillId="0" borderId="89" applyBorder="0">
      <alignment horizontal="center" vertical="center" wrapText="1"/>
    </xf>
    <xf numFmtId="0" fontId="6" fillId="0" borderId="99"/>
    <xf numFmtId="0" fontId="45" fillId="0" borderId="96" applyNumberFormat="0" applyFill="0" applyAlignment="0" applyProtection="0"/>
    <xf numFmtId="0" fontId="32" fillId="9" borderId="92" applyNumberFormat="0" applyAlignment="0" applyProtection="0"/>
    <xf numFmtId="0" fontId="32" fillId="9" borderId="92" applyNumberFormat="0" applyAlignment="0" applyProtection="0"/>
    <xf numFmtId="0" fontId="45" fillId="0" borderId="97" applyNumberFormat="0" applyFill="0" applyAlignment="0" applyProtection="0"/>
    <xf numFmtId="0" fontId="62" fillId="9" borderId="95" applyNumberFormat="0" applyAlignment="0" applyProtection="0"/>
    <xf numFmtId="0" fontId="6" fillId="22" borderId="93" applyNumberFormat="0" applyFont="0" applyAlignment="0" applyProtection="0"/>
    <xf numFmtId="0" fontId="55" fillId="18" borderId="92" applyNumberFormat="0" applyAlignment="0" applyProtection="0"/>
    <xf numFmtId="0" fontId="32" fillId="18" borderId="92" applyNumberFormat="0" applyAlignment="0" applyProtection="0"/>
    <xf numFmtId="0" fontId="45" fillId="0" borderId="90" applyNumberFormat="0" applyFill="0" applyAlignment="0" applyProtection="0"/>
    <xf numFmtId="0" fontId="6" fillId="22" borderId="93" applyNumberFormat="0" applyFont="0" applyAlignment="0" applyProtection="0"/>
    <xf numFmtId="0" fontId="59" fillId="11" borderId="92" applyNumberFormat="0" applyAlignment="0" applyProtection="0"/>
    <xf numFmtId="0" fontId="55" fillId="18" borderId="92" applyNumberFormat="0" applyAlignment="0" applyProtection="0"/>
    <xf numFmtId="0" fontId="62" fillId="9" borderId="95" applyNumberFormat="0" applyAlignment="0" applyProtection="0"/>
    <xf numFmtId="0" fontId="45" fillId="0" borderId="96" applyNumberFormat="0" applyFill="0" applyAlignment="0" applyProtection="0"/>
    <xf numFmtId="0" fontId="3" fillId="22" borderId="93" applyNumberFormat="0" applyFont="0" applyAlignment="0" applyProtection="0"/>
    <xf numFmtId="0" fontId="29" fillId="22" borderId="93" applyNumberFormat="0" applyFont="0" applyAlignment="0" applyProtection="0"/>
    <xf numFmtId="0" fontId="3" fillId="22" borderId="93" applyNumberFormat="0" applyFont="0" applyAlignment="0" applyProtection="0"/>
    <xf numFmtId="0" fontId="29" fillId="35" borderId="100" applyNumberFormat="0" applyFont="0" applyAlignment="0" applyProtection="0"/>
    <xf numFmtId="0" fontId="3" fillId="22" borderId="93" applyNumberFormat="0" applyFont="0" applyAlignment="0" applyProtection="0"/>
    <xf numFmtId="0" fontId="6" fillId="0" borderId="99"/>
    <xf numFmtId="0" fontId="6" fillId="0" borderId="99"/>
    <xf numFmtId="0" fontId="45" fillId="0" borderId="96" applyNumberFormat="0" applyFill="0" applyAlignment="0" applyProtection="0"/>
    <xf numFmtId="0" fontId="158" fillId="0" borderId="99"/>
    <xf numFmtId="0" fontId="158" fillId="0" borderId="99"/>
    <xf numFmtId="0" fontId="158" fillId="0" borderId="99"/>
    <xf numFmtId="0" fontId="32" fillId="9" borderId="92" applyNumberFormat="0" applyAlignment="0" applyProtection="0"/>
    <xf numFmtId="0" fontId="32" fillId="9" borderId="92" applyNumberFormat="0" applyAlignment="0" applyProtection="0"/>
    <xf numFmtId="0" fontId="59" fillId="28" borderId="92" applyNumberFormat="0" applyAlignment="0" applyProtection="0"/>
    <xf numFmtId="0" fontId="62" fillId="9" borderId="95" applyNumberFormat="0" applyAlignment="0" applyProtection="0"/>
    <xf numFmtId="0" fontId="45" fillId="0" borderId="97" applyNumberFormat="0" applyFill="0" applyAlignment="0" applyProtection="0"/>
    <xf numFmtId="0" fontId="45" fillId="0" borderId="97" applyNumberFormat="0" applyFill="0" applyAlignment="0" applyProtection="0"/>
    <xf numFmtId="0" fontId="32" fillId="9" borderId="92" applyNumberFormat="0" applyAlignment="0" applyProtection="0"/>
    <xf numFmtId="0" fontId="29" fillId="22" borderId="93" applyNumberFormat="0" applyFont="0" applyAlignment="0" applyProtection="0"/>
    <xf numFmtId="0" fontId="3" fillId="22" borderId="93" applyNumberFormat="0" applyFont="0" applyAlignment="0" applyProtection="0"/>
    <xf numFmtId="0" fontId="29" fillId="35" borderId="100" applyNumberFormat="0" applyFont="0" applyAlignment="0" applyProtection="0"/>
    <xf numFmtId="0" fontId="6" fillId="0" borderId="99"/>
    <xf numFmtId="0" fontId="6" fillId="0" borderId="99"/>
    <xf numFmtId="0" fontId="45" fillId="0" borderId="96" applyNumberFormat="0" applyFill="0" applyAlignment="0" applyProtection="0"/>
    <xf numFmtId="0" fontId="158" fillId="0" borderId="99"/>
    <xf numFmtId="0" fontId="158" fillId="0" borderId="99"/>
    <xf numFmtId="0" fontId="32" fillId="9" borderId="92" applyNumberFormat="0" applyAlignment="0" applyProtection="0"/>
    <xf numFmtId="0" fontId="32" fillId="9" borderId="92" applyNumberFormat="0" applyAlignment="0" applyProtection="0"/>
    <xf numFmtId="0" fontId="59" fillId="28" borderId="92" applyNumberFormat="0" applyAlignment="0" applyProtection="0"/>
    <xf numFmtId="0" fontId="62" fillId="9" borderId="95" applyNumberFormat="0" applyAlignment="0" applyProtection="0"/>
    <xf numFmtId="0" fontId="45" fillId="0" borderId="97" applyNumberFormat="0" applyFill="0" applyAlignment="0" applyProtection="0"/>
    <xf numFmtId="0" fontId="45" fillId="0" borderId="97" applyNumberFormat="0" applyFill="0" applyAlignment="0" applyProtection="0"/>
    <xf numFmtId="167" fontId="6" fillId="0" borderId="0"/>
    <xf numFmtId="43" fontId="6" fillId="0" borderId="0" applyFont="0" applyFill="0" applyBorder="0" applyAlignment="0" applyProtection="0"/>
    <xf numFmtId="0" fontId="1" fillId="0" borderId="0"/>
    <xf numFmtId="0" fontId="68" fillId="18" borderId="102" applyNumberFormat="0" applyAlignment="0" applyProtection="0"/>
    <xf numFmtId="0" fontId="55" fillId="18" borderId="102" applyNumberFormat="0" applyAlignment="0" applyProtection="0"/>
    <xf numFmtId="0" fontId="32" fillId="18" borderId="102" applyNumberFormat="0" applyAlignment="0" applyProtection="0"/>
    <xf numFmtId="0" fontId="55" fillId="18" borderId="102" applyNumberFormat="0" applyAlignment="0" applyProtection="0"/>
    <xf numFmtId="0" fontId="55" fillId="18" borderId="102" applyNumberFormat="0" applyAlignment="0" applyProtection="0"/>
    <xf numFmtId="43" fontId="131"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0" fontId="59" fillId="11" borderId="102" applyNumberFormat="0" applyAlignment="0" applyProtection="0"/>
    <xf numFmtId="0" fontId="81" fillId="11" borderId="102" applyNumberFormat="0" applyAlignment="0" applyProtection="0"/>
    <xf numFmtId="0" fontId="59" fillId="11" borderId="102" applyNumberFormat="0" applyAlignment="0" applyProtection="0"/>
    <xf numFmtId="0" fontId="81" fillId="11" borderId="102" applyNumberFormat="0" applyAlignment="0" applyProtection="0"/>
    <xf numFmtId="0" fontId="59" fillId="11" borderId="102" applyNumberFormat="0" applyAlignment="0" applyProtection="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99" fillId="18"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4" fillId="0" borderId="0"/>
    <xf numFmtId="0" fontId="1" fillId="0" borderId="0"/>
    <xf numFmtId="0" fontId="1" fillId="0" borderId="0"/>
    <xf numFmtId="0" fontId="12" fillId="22" borderId="103" applyNumberFormat="0" applyFont="0" applyAlignment="0" applyProtection="0"/>
    <xf numFmtId="0" fontId="6" fillId="22" borderId="103" applyNumberFormat="0" applyFont="0" applyAlignment="0" applyProtection="0"/>
    <xf numFmtId="0" fontId="29" fillId="22" borderId="103" applyNumberFormat="0" applyFont="0" applyAlignment="0" applyProtection="0"/>
    <xf numFmtId="0" fontId="6" fillId="22" borderId="103" applyNumberFormat="0" applyFont="0" applyAlignment="0" applyProtection="0"/>
    <xf numFmtId="0" fontId="29" fillId="22" borderId="103" applyNumberFormat="0" applyFont="0" applyAlignment="0" applyProtection="0"/>
    <xf numFmtId="0" fontId="3" fillId="22" borderId="103" applyNumberFormat="0" applyFont="0" applyAlignment="0" applyProtection="0"/>
    <xf numFmtId="0" fontId="6" fillId="22" borderId="103" applyNumberFormat="0" applyFont="0" applyAlignment="0" applyProtection="0"/>
    <xf numFmtId="0" fontId="38" fillId="18" borderId="104" applyNumberFormat="0" applyAlignment="0" applyProtection="0"/>
    <xf numFmtId="0" fontId="38" fillId="18" borderId="10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32" fillId="0" borderId="0" applyFont="0" applyFill="0" applyBorder="0" applyAlignment="0" applyProtection="0"/>
    <xf numFmtId="0" fontId="45" fillId="0" borderId="105"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43" fontId="29" fillId="0" borderId="0" applyFont="0" applyFill="0" applyBorder="0" applyAlignment="0" applyProtection="0"/>
    <xf numFmtId="0" fontId="6" fillId="0" borderId="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3" fillId="0" borderId="0" applyFont="0" applyFill="0" applyBorder="0" applyAlignment="0" applyProtection="0"/>
    <xf numFmtId="44" fontId="29" fillId="0" borderId="0" applyFont="0" applyFill="0" applyBorder="0" applyAlignment="0" applyProtection="0"/>
    <xf numFmtId="44" fontId="6" fillId="0" borderId="0" applyFont="0" applyFill="0" applyBorder="0" applyAlignment="0" applyProtection="0"/>
    <xf numFmtId="44" fontId="29" fillId="0" borderId="0" applyFont="0" applyFill="0" applyBorder="0" applyAlignment="0" applyProtection="0"/>
    <xf numFmtId="0" fontId="162"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68"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18"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32" fillId="9"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0" fontId="55" fillId="18" borderId="102" applyNumberFormat="0" applyAlignment="0" applyProtection="0"/>
    <xf numFmtId="43" fontId="4"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78" fillId="0" borderId="0" applyNumberFormat="0" applyFill="0" applyBorder="0" applyAlignment="0" applyProtection="0">
      <alignment vertical="top"/>
      <protection locked="0"/>
    </xf>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81"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11"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59" fillId="28" borderId="102" applyNumberFormat="0" applyAlignment="0" applyProtection="0"/>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22" borderId="110" applyNumberFormat="0" applyFont="0" applyAlignment="0" applyProtection="0"/>
    <xf numFmtId="0" fontId="32" fillId="9" borderId="109" applyNumberFormat="0" applyAlignment="0" applyProtection="0"/>
    <xf numFmtId="0" fontId="59" fillId="28" borderId="109" applyNumberFormat="0" applyAlignment="0" applyProtection="0"/>
    <xf numFmtId="0" fontId="45" fillId="0" borderId="107" applyNumberFormat="0" applyFill="0" applyAlignment="0" applyProtection="0"/>
    <xf numFmtId="0" fontId="45" fillId="0" borderId="112" applyNumberFormat="0" applyFill="0" applyAlignment="0" applyProtection="0"/>
    <xf numFmtId="0" fontId="38" fillId="18" borderId="111" applyNumberFormat="0" applyAlignment="0" applyProtection="0"/>
    <xf numFmtId="0" fontId="29" fillId="22" borderId="110" applyNumberFormat="0" applyFont="0" applyAlignment="0" applyProtection="0"/>
    <xf numFmtId="0" fontId="81" fillId="11" borderId="109" applyNumberFormat="0" applyAlignment="0" applyProtection="0"/>
    <xf numFmtId="0" fontId="32" fillId="9" borderId="109" applyNumberFormat="0" applyAlignment="0" applyProtection="0"/>
    <xf numFmtId="0" fontId="32" fillId="18" borderId="109" applyNumberFormat="0" applyAlignment="0" applyProtection="0"/>
    <xf numFmtId="0" fontId="45" fillId="0" borderId="107" applyNumberFormat="0" applyFill="0" applyAlignment="0" applyProtection="0"/>
    <xf numFmtId="0" fontId="32" fillId="18" borderId="109" applyNumberFormat="0" applyAlignment="0" applyProtection="0"/>
    <xf numFmtId="0" fontId="3" fillId="22" borderId="110" applyNumberFormat="0" applyFont="0" applyAlignment="0" applyProtection="0"/>
    <xf numFmtId="0" fontId="62" fillId="9" borderId="108" applyNumberFormat="0" applyAlignment="0" applyProtection="0"/>
    <xf numFmtId="0" fontId="29" fillId="22" borderId="110" applyNumberFormat="0" applyFont="0" applyAlignment="0" applyProtection="0"/>
    <xf numFmtId="0" fontId="29" fillId="22" borderId="103" applyNumberFormat="0" applyFont="0" applyAlignment="0" applyProtection="0"/>
    <xf numFmtId="0" fontId="3" fillId="22" borderId="103" applyNumberFormat="0" applyFont="0" applyAlignment="0" applyProtection="0"/>
    <xf numFmtId="0" fontId="45" fillId="0" borderId="105" applyNumberFormat="0" applyFill="0" applyAlignment="0" applyProtection="0"/>
    <xf numFmtId="0" fontId="45" fillId="0" borderId="107" applyNumberFormat="0" applyFill="0" applyAlignment="0" applyProtection="0"/>
    <xf numFmtId="0" fontId="45" fillId="0" borderId="112" applyNumberFormat="0" applyFill="0" applyAlignment="0" applyProtection="0"/>
    <xf numFmtId="0" fontId="45" fillId="0" borderId="107" applyNumberFormat="0" applyFill="0" applyAlignment="0" applyProtection="0"/>
    <xf numFmtId="41" fontId="4" fillId="0" borderId="0"/>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4" fillId="0" borderId="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9" fontId="29" fillId="0" borderId="0" applyFont="0" applyFill="0" applyBorder="0" applyAlignment="0" applyProtection="0"/>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07" fillId="0" borderId="89" applyBorder="0">
      <alignment horizontal="center" vertical="center" wrapText="1"/>
    </xf>
    <xf numFmtId="0" fontId="1" fillId="0" borderId="0"/>
    <xf numFmtId="0" fontId="4" fillId="0" borderId="0"/>
    <xf numFmtId="0" fontId="1" fillId="0" borderId="0"/>
    <xf numFmtId="0" fontId="1" fillId="0" borderId="0"/>
    <xf numFmtId="0" fontId="98" fillId="66" borderId="0" applyNumberFormat="0" applyBorder="0" applyAlignment="0" applyProtection="0"/>
    <xf numFmtId="10" fontId="57" fillId="4" borderId="0"/>
    <xf numFmtId="41" fontId="57" fillId="4" borderId="0">
      <alignment horizontal="left"/>
    </xf>
    <xf numFmtId="185" fontId="6" fillId="0" borderId="0" applyFont="0" applyFill="0" applyBorder="0" applyAlignment="0" applyProtection="0"/>
    <xf numFmtId="0" fontId="4" fillId="0" borderId="0"/>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107" fillId="0" borderId="89" applyBorder="0">
      <alignment horizontal="center" vertical="center" wrapText="1"/>
    </xf>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68"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18"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32" fillId="9"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55" fillId="18" borderId="109" applyNumberFormat="0" applyAlignment="0" applyProtection="0"/>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81"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11"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59" fillId="28" borderId="109" applyNumberFormat="0" applyAlignment="0" applyProtection="0"/>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58" fillId="84" borderId="106"/>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107" fillId="0" borderId="98" applyBorder="0">
      <alignment horizontal="center" vertical="center" wrapText="1"/>
    </xf>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12"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29"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3"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6" fillId="22" borderId="11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29" fillId="35" borderId="100" applyNumberFormat="0" applyFon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38" fillId="18" borderId="111"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18"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2" fillId="9" borderId="108" applyNumberFormat="0" applyAlignment="0" applyProtection="0"/>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6" fillId="0" borderId="106"/>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12"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107"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45" fillId="0" borderId="91" applyNumberFormat="0" applyFill="0" applyAlignment="0" applyProtection="0"/>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58" fillId="0" borderId="106"/>
    <xf numFmtId="0" fontId="192" fillId="0" borderId="0"/>
    <xf numFmtId="0" fontId="131" fillId="0" borderId="0"/>
    <xf numFmtId="0" fontId="29" fillId="0" borderId="0"/>
    <xf numFmtId="167" fontId="6" fillId="0" borderId="0"/>
    <xf numFmtId="0" fontId="4" fillId="0" borderId="0"/>
    <xf numFmtId="0" fontId="107" fillId="0" borderId="89" applyBorder="0">
      <alignment horizontal="center" vertical="center" wrapText="1"/>
    </xf>
    <xf numFmtId="0" fontId="107" fillId="0" borderId="89" applyBorder="0">
      <alignment horizontal="center" vertical="center" wrapText="1"/>
    </xf>
    <xf numFmtId="167" fontId="6" fillId="0" borderId="0"/>
    <xf numFmtId="9" fontId="4" fillId="0" borderId="0" applyFont="0" applyFill="0" applyBorder="0" applyAlignment="0" applyProtection="0"/>
    <xf numFmtId="0" fontId="1" fillId="0" borderId="0"/>
    <xf numFmtId="0" fontId="1" fillId="0" borderId="0"/>
    <xf numFmtId="44" fontId="4" fillId="0" borderId="0" applyFont="0" applyFill="0" applyBorder="0" applyAlignment="0" applyProtection="0"/>
    <xf numFmtId="0" fontId="107" fillId="0" borderId="89" applyBorder="0">
      <alignment horizontal="center" vertical="center" wrapText="1"/>
    </xf>
  </cellStyleXfs>
  <cellXfs count="1686">
    <xf numFmtId="0" fontId="0" fillId="0" borderId="0" xfId="0"/>
    <xf numFmtId="1" fontId="7" fillId="0" borderId="0" xfId="5" quotePrefix="1" applyNumberFormat="1" applyFont="1" applyFill="1" applyBorder="1" applyAlignment="1">
      <alignment horizontal="right"/>
    </xf>
    <xf numFmtId="37" fontId="4" fillId="0" borderId="0" xfId="59" applyFont="1" applyFill="1"/>
    <xf numFmtId="49" fontId="4" fillId="0" borderId="0" xfId="59" applyNumberFormat="1" applyFont="1" applyFill="1"/>
    <xf numFmtId="14" fontId="4" fillId="0" borderId="0" xfId="59" applyNumberFormat="1" applyFont="1" applyFill="1"/>
    <xf numFmtId="164" fontId="4" fillId="0" borderId="0" xfId="3" applyNumberFormat="1" applyFont="1" applyFill="1"/>
    <xf numFmtId="0" fontId="12" fillId="0" borderId="0" xfId="5" applyFont="1" applyAlignment="1">
      <alignment horizontal="left"/>
    </xf>
    <xf numFmtId="0" fontId="12" fillId="0" borderId="0" xfId="5" quotePrefix="1" applyFont="1" applyAlignment="1">
      <alignment horizontal="left"/>
    </xf>
    <xf numFmtId="0" fontId="12" fillId="0" borderId="0" xfId="5" applyFont="1"/>
    <xf numFmtId="164" fontId="12" fillId="0" borderId="0" xfId="9" applyNumberFormat="1" applyFont="1"/>
    <xf numFmtId="164" fontId="4" fillId="5" borderId="0" xfId="9" applyNumberFormat="1" applyFont="1" applyFill="1" applyBorder="1"/>
    <xf numFmtId="169" fontId="13" fillId="0" borderId="0" xfId="60" applyNumberFormat="1" applyFont="1" applyFill="1" applyBorder="1"/>
    <xf numFmtId="164" fontId="4" fillId="0" borderId="0" xfId="9" applyNumberFormat="1" applyFont="1" applyBorder="1"/>
    <xf numFmtId="0" fontId="4" fillId="0" borderId="0" xfId="35"/>
    <xf numFmtId="14" fontId="14" fillId="0" borderId="0" xfId="5" applyNumberFormat="1" applyFont="1"/>
    <xf numFmtId="0" fontId="14" fillId="0" borderId="0" xfId="5" applyNumberFormat="1" applyFont="1"/>
    <xf numFmtId="37" fontId="4" fillId="0" borderId="0" xfId="59" applyFont="1" applyFill="1" applyBorder="1"/>
    <xf numFmtId="0" fontId="21" fillId="0" borderId="0" xfId="5" applyFont="1" applyAlignment="1">
      <alignment horizontal="left"/>
    </xf>
    <xf numFmtId="0" fontId="4" fillId="0" borderId="0" xfId="6"/>
    <xf numFmtId="0" fontId="14" fillId="0" borderId="0" xfId="5" applyNumberFormat="1" applyFont="1" applyFill="1"/>
    <xf numFmtId="164" fontId="4" fillId="0" borderId="0" xfId="9" applyNumberFormat="1" applyFont="1" applyFill="1"/>
    <xf numFmtId="164" fontId="23" fillId="0" borderId="0" xfId="9" applyNumberFormat="1" applyFont="1" applyFill="1" applyAlignment="1">
      <alignment horizontal="right"/>
    </xf>
    <xf numFmtId="0" fontId="24" fillId="0" borderId="0" xfId="5" applyNumberFormat="1" applyFont="1"/>
    <xf numFmtId="164" fontId="25" fillId="0" borderId="0" xfId="9" applyNumberFormat="1" applyFont="1" applyFill="1"/>
    <xf numFmtId="37" fontId="4" fillId="5" borderId="0" xfId="59" applyFont="1" applyFill="1"/>
    <xf numFmtId="37" fontId="4" fillId="0" borderId="0" xfId="59" quotePrefix="1" applyFont="1" applyFill="1"/>
    <xf numFmtId="0" fontId="21" fillId="0" borderId="1" xfId="5" applyNumberFormat="1" applyFont="1" applyBorder="1"/>
    <xf numFmtId="0" fontId="4" fillId="0" borderId="0" xfId="37"/>
    <xf numFmtId="164" fontId="4" fillId="0" borderId="0" xfId="3" applyNumberFormat="1"/>
    <xf numFmtId="166" fontId="20" fillId="0" borderId="0" xfId="2" applyNumberFormat="1" applyFont="1" applyFill="1"/>
    <xf numFmtId="0" fontId="4" fillId="0" borderId="0" xfId="35" applyFont="1"/>
    <xf numFmtId="1" fontId="2" fillId="0" borderId="0" xfId="0" applyNumberFormat="1" applyFont="1" applyBorder="1" applyAlignment="1">
      <alignment horizontal="left"/>
    </xf>
    <xf numFmtId="0" fontId="2" fillId="0" borderId="0" xfId="0" applyFont="1" applyBorder="1"/>
    <xf numFmtId="3" fontId="3" fillId="0" borderId="0" xfId="0" applyNumberFormat="1" applyFont="1" applyFill="1" applyBorder="1"/>
    <xf numFmtId="0" fontId="3" fillId="0" borderId="0" xfId="0" applyFont="1" applyFill="1" applyBorder="1"/>
    <xf numFmtId="0" fontId="3" fillId="0" borderId="0" xfId="0" applyFont="1" applyBorder="1"/>
    <xf numFmtId="1" fontId="3" fillId="0" borderId="0" xfId="0" applyNumberFormat="1" applyFont="1" applyBorder="1" applyAlignment="1">
      <alignment horizontal="right"/>
    </xf>
    <xf numFmtId="164" fontId="3" fillId="0" borderId="0" xfId="1" applyNumberFormat="1" applyFont="1" applyFill="1" applyBorder="1"/>
    <xf numFmtId="1" fontId="3" fillId="0" borderId="0" xfId="4" applyNumberFormat="1" applyFont="1" applyBorder="1" applyAlignment="1">
      <alignment horizontal="right"/>
    </xf>
    <xf numFmtId="167" fontId="3" fillId="0" borderId="0" xfId="4" applyFont="1" applyBorder="1"/>
    <xf numFmtId="1" fontId="3" fillId="0" borderId="0" xfId="4" applyNumberFormat="1" applyFont="1" applyFill="1" applyBorder="1" applyAlignment="1">
      <alignment horizontal="right"/>
    </xf>
    <xf numFmtId="167" fontId="3" fillId="0" borderId="0" xfId="4" applyFont="1" applyFill="1" applyBorder="1"/>
    <xf numFmtId="1" fontId="7" fillId="0" borderId="0" xfId="5" quotePrefix="1" applyNumberFormat="1" applyFont="1" applyBorder="1" applyAlignment="1">
      <alignment horizontal="right"/>
    </xf>
    <xf numFmtId="1" fontId="2" fillId="0" borderId="0" xfId="0" applyNumberFormat="1" applyFont="1" applyBorder="1" applyAlignment="1">
      <alignment horizontal="right"/>
    </xf>
    <xf numFmtId="1" fontId="3"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0" xfId="0" applyFont="1" applyFill="1" applyBorder="1"/>
    <xf numFmtId="1" fontId="2" fillId="0" borderId="0" xfId="4" applyNumberFormat="1" applyFont="1" applyFill="1" applyBorder="1" applyAlignment="1">
      <alignment horizontal="right"/>
    </xf>
    <xf numFmtId="1" fontId="7" fillId="0" borderId="0" xfId="5" applyNumberFormat="1" applyFont="1" applyFill="1" applyBorder="1" applyAlignment="1">
      <alignment horizontal="right"/>
    </xf>
    <xf numFmtId="0" fontId="3" fillId="0" borderId="0" xfId="26" applyFont="1" applyBorder="1"/>
    <xf numFmtId="0" fontId="2" fillId="8" borderId="0" xfId="0" applyFont="1" applyFill="1" applyBorder="1"/>
    <xf numFmtId="164" fontId="2" fillId="8" borderId="0" xfId="1" applyNumberFormat="1" applyFont="1" applyFill="1" applyBorder="1"/>
    <xf numFmtId="165" fontId="2" fillId="8" borderId="0" xfId="0" applyNumberFormat="1" applyFont="1" applyFill="1" applyBorder="1" applyAlignment="1">
      <alignment horizontal="center"/>
    </xf>
    <xf numFmtId="0" fontId="3" fillId="8" borderId="0" xfId="0" applyFont="1" applyFill="1" applyBorder="1"/>
    <xf numFmtId="1" fontId="3" fillId="8" borderId="0" xfId="0" applyNumberFormat="1" applyFont="1" applyFill="1" applyBorder="1" applyAlignment="1">
      <alignment horizontal="right"/>
    </xf>
    <xf numFmtId="164" fontId="3" fillId="8" borderId="0" xfId="3" applyNumberFormat="1" applyFont="1" applyFill="1" applyBorder="1"/>
    <xf numFmtId="0" fontId="2" fillId="8" borderId="0" xfId="0" applyFont="1" applyFill="1" applyBorder="1" applyAlignment="1">
      <alignment horizontal="center"/>
    </xf>
    <xf numFmtId="37" fontId="3" fillId="8" borderId="0" xfId="0" applyNumberFormat="1" applyFont="1" applyFill="1" applyBorder="1"/>
    <xf numFmtId="164" fontId="3" fillId="8" borderId="0" xfId="1" applyNumberFormat="1" applyFont="1" applyFill="1" applyBorder="1"/>
    <xf numFmtId="3" fontId="3" fillId="8" borderId="0" xfId="0" applyNumberFormat="1" applyFont="1" applyFill="1" applyBorder="1"/>
    <xf numFmtId="164" fontId="3" fillId="8" borderId="0" xfId="0" quotePrefix="1" applyNumberFormat="1" applyFont="1" applyFill="1" applyBorder="1"/>
    <xf numFmtId="3" fontId="2" fillId="8" borderId="0" xfId="0" applyNumberFormat="1" applyFont="1" applyFill="1" applyBorder="1"/>
    <xf numFmtId="3" fontId="3" fillId="8" borderId="0" xfId="0" quotePrefix="1" applyNumberFormat="1" applyFont="1" applyFill="1" applyBorder="1"/>
    <xf numFmtId="164" fontId="3" fillId="8" borderId="0" xfId="0" applyNumberFormat="1" applyFont="1" applyFill="1" applyBorder="1"/>
    <xf numFmtId="0" fontId="3" fillId="8" borderId="0" xfId="26" applyFont="1" applyFill="1" applyBorder="1"/>
    <xf numFmtId="3" fontId="2" fillId="8" borderId="0" xfId="0" applyNumberFormat="1" applyFont="1" applyFill="1" applyBorder="1" applyAlignment="1">
      <alignment horizontal="center"/>
    </xf>
    <xf numFmtId="9" fontId="2" fillId="8" borderId="0" xfId="2" applyFont="1" applyFill="1" applyBorder="1"/>
    <xf numFmtId="10" fontId="3" fillId="8" borderId="0" xfId="0" applyNumberFormat="1" applyFont="1" applyFill="1" applyBorder="1"/>
    <xf numFmtId="164" fontId="2" fillId="8" borderId="0" xfId="0" applyNumberFormat="1" applyFont="1" applyFill="1" applyBorder="1" applyAlignment="1">
      <alignment horizontal="center"/>
    </xf>
    <xf numFmtId="37" fontId="2" fillId="8" borderId="0" xfId="0" applyNumberFormat="1" applyFont="1" applyFill="1" applyBorder="1" applyAlignment="1">
      <alignment horizontal="center"/>
    </xf>
    <xf numFmtId="164" fontId="27" fillId="8" borderId="0" xfId="1" applyNumberFormat="1" applyFont="1" applyFill="1" applyBorder="1" applyAlignment="1">
      <alignment horizontal="center"/>
    </xf>
    <xf numFmtId="0" fontId="26" fillId="8" borderId="0" xfId="0" applyFont="1" applyFill="1" applyBorder="1"/>
    <xf numFmtId="37" fontId="27" fillId="8" borderId="0" xfId="0" applyNumberFormat="1" applyFont="1" applyFill="1" applyBorder="1" applyAlignment="1">
      <alignment horizontal="center"/>
    </xf>
    <xf numFmtId="0" fontId="27" fillId="8" borderId="0" xfId="0" applyFont="1" applyFill="1" applyBorder="1" applyAlignment="1">
      <alignment horizontal="center"/>
    </xf>
    <xf numFmtId="1" fontId="2" fillId="8" borderId="0" xfId="0" applyNumberFormat="1" applyFont="1" applyFill="1" applyBorder="1" applyAlignment="1">
      <alignment horizontal="left"/>
    </xf>
    <xf numFmtId="0" fontId="4" fillId="8" borderId="0" xfId="136" applyFill="1" applyBorder="1" applyAlignment="1">
      <alignment horizontal="left"/>
    </xf>
    <xf numFmtId="164" fontId="26" fillId="8" borderId="0" xfId="1" applyNumberFormat="1" applyFont="1" applyFill="1" applyBorder="1"/>
    <xf numFmtId="165" fontId="2" fillId="8" borderId="0" xfId="0" applyNumberFormat="1" applyFont="1" applyFill="1" applyBorder="1" applyAlignment="1">
      <alignment horizontal="right"/>
    </xf>
    <xf numFmtId="43" fontId="3" fillId="8" borderId="0" xfId="1" applyFont="1" applyFill="1" applyBorder="1"/>
    <xf numFmtId="164" fontId="3" fillId="27" borderId="0" xfId="1" applyNumberFormat="1" applyFont="1" applyFill="1" applyBorder="1"/>
    <xf numFmtId="164" fontId="3" fillId="8" borderId="0" xfId="1" applyNumberFormat="1" applyFont="1" applyFill="1" applyBorder="1" applyAlignment="1">
      <alignment horizontal="center"/>
    </xf>
    <xf numFmtId="3" fontId="3" fillId="0" borderId="0" xfId="26" applyNumberFormat="1" applyFont="1" applyFill="1" applyBorder="1"/>
    <xf numFmtId="10" fontId="3" fillId="0" borderId="0" xfId="26" applyNumberFormat="1" applyFont="1" applyBorder="1"/>
    <xf numFmtId="0" fontId="3" fillId="0" borderId="0" xfId="26" applyFont="1" applyFill="1" applyBorder="1"/>
    <xf numFmtId="3" fontId="3" fillId="0" borderId="0" xfId="26" applyNumberFormat="1" applyFont="1" applyFill="1" applyBorder="1" applyAlignment="1"/>
    <xf numFmtId="10" fontId="2" fillId="0" borderId="0" xfId="26" applyNumberFormat="1" applyFont="1" applyFill="1" applyBorder="1" applyAlignment="1">
      <alignment horizontal="right"/>
    </xf>
    <xf numFmtId="10" fontId="3" fillId="0" borderId="0" xfId="26" applyNumberFormat="1" applyFont="1" applyFill="1" applyBorder="1"/>
    <xf numFmtId="0" fontId="3" fillId="25" borderId="0" xfId="26" applyFont="1" applyFill="1" applyBorder="1"/>
    <xf numFmtId="0" fontId="2" fillId="25" borderId="0" xfId="26" applyFont="1" applyFill="1" applyBorder="1"/>
    <xf numFmtId="0" fontId="2" fillId="25" borderId="0" xfId="26" applyFont="1" applyFill="1" applyBorder="1" applyAlignment="1">
      <alignment horizontal="center"/>
    </xf>
    <xf numFmtId="3" fontId="3" fillId="25" borderId="0" xfId="26" applyNumberFormat="1" applyFont="1" applyFill="1" applyBorder="1"/>
    <xf numFmtId="0" fontId="2" fillId="8" borderId="0" xfId="26" applyFont="1" applyFill="1" applyBorder="1"/>
    <xf numFmtId="0" fontId="2" fillId="8" borderId="0" xfId="26" applyFont="1" applyFill="1" applyBorder="1" applyAlignment="1">
      <alignment horizontal="center"/>
    </xf>
    <xf numFmtId="3" fontId="3" fillId="8" borderId="0" xfId="26" applyNumberFormat="1" applyFont="1" applyFill="1" applyBorder="1"/>
    <xf numFmtId="165" fontId="3" fillId="8" borderId="0" xfId="26" applyNumberFormat="1" applyFont="1" applyFill="1" applyBorder="1"/>
    <xf numFmtId="3" fontId="3" fillId="8" borderId="0" xfId="26" applyNumberFormat="1" applyFont="1" applyFill="1" applyBorder="1" applyAlignment="1">
      <alignment horizontal="right"/>
    </xf>
    <xf numFmtId="3" fontId="3" fillId="8" borderId="0" xfId="26" applyNumberFormat="1" applyFont="1" applyFill="1" applyBorder="1" applyAlignment="1">
      <alignment horizontal="center"/>
    </xf>
    <xf numFmtId="0" fontId="3" fillId="8" borderId="0" xfId="26" applyFont="1" applyFill="1" applyBorder="1" applyAlignment="1">
      <alignment horizontal="center"/>
    </xf>
    <xf numFmtId="3" fontId="2" fillId="8" borderId="0" xfId="26" applyNumberFormat="1" applyFont="1" applyFill="1" applyBorder="1"/>
    <xf numFmtId="3" fontId="2" fillId="0" borderId="0" xfId="26" applyNumberFormat="1" applyFont="1" applyFill="1" applyBorder="1"/>
    <xf numFmtId="3" fontId="3" fillId="0" borderId="0" xfId="26" applyNumberFormat="1" applyFont="1" applyFill="1" applyBorder="1" applyAlignment="1">
      <alignment horizontal="right"/>
    </xf>
    <xf numFmtId="0" fontId="0" fillId="0" borderId="0" xfId="0" applyBorder="1"/>
    <xf numFmtId="3" fontId="0" fillId="0" borderId="0" xfId="0" applyNumberFormat="1" applyBorder="1"/>
    <xf numFmtId="164" fontId="0" fillId="0" borderId="0" xfId="1" applyNumberFormat="1" applyFont="1" applyBorder="1"/>
    <xf numFmtId="164" fontId="28" fillId="0" borderId="0" xfId="1" applyNumberFormat="1" applyFont="1" applyBorder="1" applyAlignment="1">
      <alignment horizontal="center"/>
    </xf>
    <xf numFmtId="0" fontId="20" fillId="0" borderId="0" xfId="26" applyFont="1" applyBorder="1"/>
    <xf numFmtId="0" fontId="4" fillId="0" borderId="0" xfId="26" applyBorder="1"/>
    <xf numFmtId="0" fontId="2" fillId="0" borderId="0" xfId="26" applyFont="1" applyFill="1" applyBorder="1"/>
    <xf numFmtId="0" fontId="2" fillId="0" borderId="0" xfId="26" applyFont="1" applyFill="1" applyBorder="1" applyAlignment="1">
      <alignment horizontal="center"/>
    </xf>
    <xf numFmtId="0" fontId="3" fillId="0" borderId="0" xfId="26" applyFont="1" applyFill="1" applyBorder="1" applyAlignment="1">
      <alignment horizontal="center"/>
    </xf>
    <xf numFmtId="10" fontId="3" fillId="0" borderId="0" xfId="26" applyNumberFormat="1" applyFont="1" applyFill="1" applyBorder="1" applyAlignment="1">
      <alignment horizontal="center"/>
    </xf>
    <xf numFmtId="165" fontId="3" fillId="0" borderId="0" xfId="26" applyNumberFormat="1" applyFont="1" applyFill="1" applyBorder="1" applyAlignment="1">
      <alignment horizontal="left"/>
    </xf>
    <xf numFmtId="10" fontId="2" fillId="0" borderId="0" xfId="26" applyNumberFormat="1" applyFont="1" applyFill="1" applyBorder="1" applyAlignment="1">
      <alignment horizontal="left"/>
    </xf>
    <xf numFmtId="3" fontId="2" fillId="0" borderId="0" xfId="26" applyNumberFormat="1" applyFont="1" applyFill="1" applyBorder="1" applyAlignment="1">
      <alignment horizontal="right"/>
    </xf>
    <xf numFmtId="10" fontId="3" fillId="0" borderId="0" xfId="26" applyNumberFormat="1" applyFont="1" applyFill="1" applyBorder="1" applyAlignment="1">
      <alignment horizontal="left"/>
    </xf>
    <xf numFmtId="10" fontId="2" fillId="0" borderId="0" xfId="26" applyNumberFormat="1" applyFont="1" applyFill="1" applyBorder="1" applyAlignment="1">
      <alignment horizontal="center"/>
    </xf>
    <xf numFmtId="165" fontId="3" fillId="0" borderId="0" xfId="26" applyNumberFormat="1" applyFont="1" applyFill="1" applyBorder="1" applyAlignment="1">
      <alignment horizontal="center"/>
    </xf>
    <xf numFmtId="0" fontId="2" fillId="0" borderId="0" xfId="26" applyFont="1" applyFill="1" applyBorder="1" applyAlignment="1">
      <alignment horizontal="left"/>
    </xf>
    <xf numFmtId="168" fontId="3" fillId="0" borderId="0" xfId="26" applyNumberFormat="1" applyFont="1" applyFill="1" applyBorder="1" applyAlignment="1">
      <alignment horizontal="right"/>
    </xf>
    <xf numFmtId="168" fontId="2" fillId="0" borderId="0" xfId="26" applyNumberFormat="1" applyFont="1" applyFill="1" applyBorder="1"/>
    <xf numFmtId="168" fontId="5" fillId="0" borderId="0" xfId="26" applyNumberFormat="1" applyFont="1" applyFill="1" applyBorder="1"/>
    <xf numFmtId="10" fontId="5" fillId="0" borderId="0" xfId="26" applyNumberFormat="1" applyFont="1" applyFill="1" applyBorder="1"/>
    <xf numFmtId="168" fontId="3" fillId="0" borderId="0" xfId="26" applyNumberFormat="1" applyFont="1" applyFill="1" applyBorder="1"/>
    <xf numFmtId="165" fontId="2" fillId="0" borderId="0" xfId="26" applyNumberFormat="1" applyFont="1" applyFill="1" applyBorder="1" applyAlignment="1">
      <alignment horizontal="left"/>
    </xf>
    <xf numFmtId="4" fontId="2" fillId="0" borderId="0" xfId="26" applyNumberFormat="1" applyFont="1" applyFill="1" applyBorder="1" applyAlignment="1">
      <alignment horizontal="left"/>
    </xf>
    <xf numFmtId="4" fontId="2" fillId="0" borderId="0" xfId="26" applyNumberFormat="1" applyFont="1" applyFill="1" applyBorder="1" applyAlignment="1">
      <alignment horizontal="right"/>
    </xf>
    <xf numFmtId="10" fontId="3" fillId="0" borderId="0" xfId="26" applyNumberFormat="1" applyFont="1" applyFill="1" applyBorder="1" applyAlignment="1"/>
    <xf numFmtId="43" fontId="3" fillId="0" borderId="0" xfId="26" applyNumberFormat="1" applyFont="1" applyFill="1" applyBorder="1"/>
    <xf numFmtId="0" fontId="2" fillId="0" borderId="0" xfId="26" applyNumberFormat="1" applyFont="1" applyFill="1" applyBorder="1" applyAlignment="1">
      <alignment horizontal="center"/>
    </xf>
    <xf numFmtId="168" fontId="2" fillId="0" borderId="0" xfId="26" applyNumberFormat="1" applyFont="1" applyFill="1" applyBorder="1" applyAlignment="1">
      <alignment horizontal="center"/>
    </xf>
    <xf numFmtId="0" fontId="3" fillId="0" borderId="0" xfId="26" applyFont="1" applyFill="1" applyBorder="1" applyAlignment="1"/>
    <xf numFmtId="3" fontId="2" fillId="0" borderId="0" xfId="26" applyNumberFormat="1" applyFont="1" applyFill="1" applyBorder="1" applyAlignment="1">
      <alignment horizontal="left"/>
    </xf>
    <xf numFmtId="0" fontId="4" fillId="0" borderId="0" xfId="26" applyFill="1" applyBorder="1"/>
    <xf numFmtId="0" fontId="49" fillId="8" borderId="0" xfId="139" applyFont="1" applyFill="1"/>
    <xf numFmtId="164" fontId="49" fillId="8" borderId="0" xfId="79" applyNumberFormat="1" applyFont="1" applyFill="1"/>
    <xf numFmtId="3" fontId="49" fillId="8" borderId="0" xfId="139" applyNumberFormat="1" applyFont="1" applyFill="1"/>
    <xf numFmtId="43" fontId="3" fillId="8" borderId="0" xfId="79" applyFont="1" applyFill="1"/>
    <xf numFmtId="3" fontId="46" fillId="8" borderId="0" xfId="139" applyNumberFormat="1" applyFont="1" applyFill="1"/>
    <xf numFmtId="43" fontId="0" fillId="0" borderId="0" xfId="1" applyFont="1"/>
    <xf numFmtId="164" fontId="3" fillId="26" borderId="0" xfId="1" applyNumberFormat="1" applyFont="1" applyFill="1" applyBorder="1"/>
    <xf numFmtId="164" fontId="28" fillId="0" borderId="3" xfId="1" applyNumberFormat="1" applyFont="1" applyBorder="1"/>
    <xf numFmtId="164" fontId="0" fillId="0" borderId="0" xfId="1" applyNumberFormat="1" applyFont="1" applyFill="1" applyBorder="1"/>
    <xf numFmtId="3" fontId="0" fillId="0" borderId="0" xfId="0" applyNumberFormat="1" applyFill="1" applyBorder="1"/>
    <xf numFmtId="0" fontId="0" fillId="0" borderId="0" xfId="0" applyFill="1" applyBorder="1"/>
    <xf numFmtId="9" fontId="0" fillId="0" borderId="0" xfId="2" applyFont="1" applyBorder="1"/>
    <xf numFmtId="164" fontId="0" fillId="0" borderId="4" xfId="1" applyNumberFormat="1" applyFont="1" applyBorder="1"/>
    <xf numFmtId="164" fontId="28" fillId="0" borderId="4" xfId="1" applyNumberFormat="1" applyFont="1" applyBorder="1"/>
    <xf numFmtId="164" fontId="0" fillId="0" borderId="3" xfId="1" applyNumberFormat="1" applyFont="1" applyBorder="1"/>
    <xf numFmtId="164" fontId="0" fillId="27" borderId="0" xfId="1" applyNumberFormat="1" applyFont="1" applyFill="1" applyBorder="1"/>
    <xf numFmtId="10" fontId="0" fillId="0" borderId="0" xfId="2" applyNumberFormat="1" applyFont="1" applyBorder="1"/>
    <xf numFmtId="164" fontId="3" fillId="0" borderId="0" xfId="1" applyNumberFormat="1" applyFont="1" applyFill="1" applyBorder="1" applyAlignment="1">
      <alignment horizontal="right"/>
    </xf>
    <xf numFmtId="0" fontId="99" fillId="23" borderId="0" xfId="690" applyNumberFormat="1" applyFill="1"/>
    <xf numFmtId="0" fontId="100" fillId="23" borderId="0" xfId="690" applyNumberFormat="1" applyFont="1" applyFill="1"/>
    <xf numFmtId="0" fontId="100" fillId="23" borderId="2" xfId="690" applyNumberFormat="1" applyFont="1" applyFill="1" applyBorder="1"/>
    <xf numFmtId="0" fontId="100" fillId="0" borderId="40" xfId="690" applyNumberFormat="1" applyFont="1" applyFill="1" applyBorder="1"/>
    <xf numFmtId="0" fontId="100" fillId="0" borderId="0" xfId="690" applyNumberFormat="1" applyFont="1" applyFill="1" applyAlignment="1">
      <alignment horizontal="center"/>
    </xf>
    <xf numFmtId="0" fontId="100" fillId="0" borderId="0" xfId="690" applyNumberFormat="1" applyFont="1" applyFill="1"/>
    <xf numFmtId="0" fontId="102" fillId="66" borderId="41" xfId="692" applyNumberFormat="1" applyFont="1" applyBorder="1" applyAlignment="1">
      <alignment horizontal="centerContinuous"/>
    </xf>
    <xf numFmtId="0" fontId="103" fillId="66" borderId="42" xfId="692" applyNumberFormat="1" applyFont="1" applyBorder="1" applyAlignment="1">
      <alignment horizontal="centerContinuous"/>
    </xf>
    <xf numFmtId="0" fontId="103" fillId="66" borderId="42" xfId="692" applyNumberFormat="1" applyFont="1" applyBorder="1" applyAlignment="1">
      <alignment horizontal="left"/>
    </xf>
    <xf numFmtId="0" fontId="104" fillId="66" borderId="43" xfId="692" applyNumberFormat="1" applyFont="1" applyBorder="1" applyAlignment="1">
      <alignment horizontal="centerContinuous"/>
    </xf>
    <xf numFmtId="0" fontId="99" fillId="18" borderId="0" xfId="690" applyNumberFormat="1"/>
    <xf numFmtId="0" fontId="99" fillId="18" borderId="40" xfId="690" applyNumberFormat="1" applyBorder="1"/>
    <xf numFmtId="0" fontId="105" fillId="18" borderId="21" xfId="690" applyNumberFormat="1" applyFont="1" applyBorder="1" applyAlignment="1">
      <alignment horizontal="centerContinuous"/>
    </xf>
    <xf numFmtId="0" fontId="105" fillId="18" borderId="44" xfId="690" applyNumberFormat="1" applyFont="1" applyBorder="1" applyAlignment="1">
      <alignment horizontal="centerContinuous"/>
    </xf>
    <xf numFmtId="0" fontId="99" fillId="18" borderId="44" xfId="690" applyNumberFormat="1" applyBorder="1" applyAlignment="1">
      <alignment horizontal="centerContinuous"/>
    </xf>
    <xf numFmtId="0" fontId="106" fillId="18" borderId="45" xfId="690" applyNumberFormat="1" applyFont="1" applyBorder="1"/>
    <xf numFmtId="0" fontId="106" fillId="18" borderId="0" xfId="690" applyNumberFormat="1" applyFont="1"/>
    <xf numFmtId="0" fontId="107" fillId="72" borderId="0" xfId="690" applyNumberFormat="1" applyFont="1" applyFill="1" applyAlignment="1">
      <alignment horizontal="center"/>
    </xf>
    <xf numFmtId="0" fontId="108" fillId="72" borderId="0" xfId="690" applyNumberFormat="1" applyFont="1" applyFill="1" applyAlignment="1">
      <alignment horizontal="center"/>
    </xf>
    <xf numFmtId="0" fontId="99" fillId="18" borderId="0" xfId="690" applyNumberFormat="1" applyAlignment="1">
      <alignment horizontal="center"/>
    </xf>
    <xf numFmtId="0" fontId="103" fillId="66" borderId="46" xfId="692" applyNumberFormat="1" applyFont="1" applyBorder="1" applyAlignment="1">
      <alignment horizontal="left"/>
    </xf>
    <xf numFmtId="0" fontId="99" fillId="34" borderId="0" xfId="690" applyNumberFormat="1" applyFill="1" applyBorder="1"/>
    <xf numFmtId="0" fontId="106" fillId="18" borderId="40" xfId="690" applyNumberFormat="1" applyFont="1" applyBorder="1"/>
    <xf numFmtId="176" fontId="109" fillId="23" borderId="0" xfId="690" applyNumberFormat="1" applyFont="1" applyFill="1"/>
    <xf numFmtId="9" fontId="100" fillId="23" borderId="0" xfId="690" applyNumberFormat="1" applyFont="1" applyFill="1" applyAlignment="1">
      <alignment horizontal="left"/>
    </xf>
    <xf numFmtId="0" fontId="110" fillId="18" borderId="47" xfId="690" applyNumberFormat="1" applyFont="1" applyBorder="1" applyAlignment="1">
      <alignment horizontal="right"/>
    </xf>
    <xf numFmtId="0" fontId="110" fillId="18" borderId="40" xfId="690" applyNumberFormat="1" applyFont="1" applyBorder="1"/>
    <xf numFmtId="0" fontId="110" fillId="18" borderId="0" xfId="690" applyNumberFormat="1" applyFont="1"/>
    <xf numFmtId="0" fontId="111" fillId="72" borderId="0" xfId="690" applyNumberFormat="1" applyFont="1" applyFill="1" applyAlignment="1">
      <alignment horizontal="center"/>
    </xf>
    <xf numFmtId="0" fontId="111" fillId="72" borderId="0" xfId="691" applyNumberFormat="1" applyFont="1" applyFill="1" applyAlignment="1">
      <alignment horizontal="center"/>
    </xf>
    <xf numFmtId="41" fontId="99" fillId="23" borderId="0" xfId="690" applyNumberFormat="1" applyFill="1"/>
    <xf numFmtId="0" fontId="57" fillId="18" borderId="0" xfId="690" applyNumberFormat="1" applyFont="1"/>
    <xf numFmtId="0" fontId="110" fillId="18" borderId="48" xfId="690" applyNumberFormat="1" applyFont="1" applyBorder="1"/>
    <xf numFmtId="0" fontId="107" fillId="72" borderId="1" xfId="690" applyNumberFormat="1" applyFont="1" applyFill="1" applyBorder="1"/>
    <xf numFmtId="0" fontId="111" fillId="72" borderId="1" xfId="690" applyNumberFormat="1" applyFont="1" applyFill="1" applyBorder="1" applyAlignment="1">
      <alignment horizontal="center"/>
    </xf>
    <xf numFmtId="0" fontId="111" fillId="72" borderId="1" xfId="690" applyNumberFormat="1" applyFont="1" applyFill="1" applyBorder="1"/>
    <xf numFmtId="0" fontId="99" fillId="18" borderId="49" xfId="690" applyNumberFormat="1" applyBorder="1" applyAlignment="1">
      <alignment horizontal="center"/>
    </xf>
    <xf numFmtId="2" fontId="99" fillId="18" borderId="49" xfId="690" applyNumberFormat="1" applyBorder="1" applyAlignment="1">
      <alignment horizontal="center"/>
    </xf>
    <xf numFmtId="177" fontId="99" fillId="18" borderId="50" xfId="690" applyNumberFormat="1" applyBorder="1"/>
    <xf numFmtId="10" fontId="112" fillId="18" borderId="50" xfId="690" applyNumberFormat="1" applyFont="1" applyBorder="1"/>
    <xf numFmtId="41" fontId="99" fillId="18" borderId="51" xfId="690" applyNumberFormat="1" applyBorder="1"/>
    <xf numFmtId="41" fontId="99" fillId="18" borderId="49" xfId="690" applyNumberFormat="1" applyBorder="1"/>
    <xf numFmtId="41" fontId="99" fillId="18" borderId="50" xfId="690" applyNumberFormat="1" applyBorder="1"/>
    <xf numFmtId="0" fontId="110" fillId="18" borderId="52" xfId="690" applyNumberFormat="1" applyFont="1" applyBorder="1" applyAlignment="1">
      <alignment horizontal="center"/>
    </xf>
    <xf numFmtId="0" fontId="110" fillId="18" borderId="0" xfId="690" applyNumberFormat="1" applyFont="1" applyAlignment="1">
      <alignment horizontal="right"/>
    </xf>
    <xf numFmtId="41" fontId="110" fillId="18" borderId="0" xfId="690" applyNumberFormat="1" applyFont="1"/>
    <xf numFmtId="41" fontId="100" fillId="23" borderId="0" xfId="690" applyNumberFormat="1" applyFont="1" applyFill="1"/>
    <xf numFmtId="0" fontId="113" fillId="18" borderId="40" xfId="690" applyNumberFormat="1" applyFont="1" applyBorder="1" applyAlignment="1">
      <alignment horizontal="center"/>
    </xf>
    <xf numFmtId="2" fontId="99" fillId="18" borderId="40" xfId="690" applyNumberFormat="1" applyBorder="1" applyAlignment="1">
      <alignment horizontal="center"/>
    </xf>
    <xf numFmtId="177" fontId="99" fillId="18" borderId="0" xfId="690" applyNumberFormat="1" applyBorder="1"/>
    <xf numFmtId="10" fontId="112" fillId="18" borderId="0" xfId="690" applyNumberFormat="1" applyFont="1" applyBorder="1"/>
    <xf numFmtId="41" fontId="99" fillId="18" borderId="53" xfId="690" applyNumberFormat="1" applyBorder="1"/>
    <xf numFmtId="41" fontId="99" fillId="18" borderId="40" xfId="690" applyNumberFormat="1" applyBorder="1"/>
    <xf numFmtId="41" fontId="99" fillId="18" borderId="0" xfId="690" applyNumberFormat="1" applyBorder="1"/>
    <xf numFmtId="0" fontId="110" fillId="18" borderId="47" xfId="690" applyNumberFormat="1" applyFont="1" applyBorder="1" applyAlignment="1">
      <alignment horizontal="center"/>
    </xf>
    <xf numFmtId="0" fontId="99" fillId="18" borderId="40" xfId="690" applyNumberFormat="1" applyBorder="1" applyAlignment="1">
      <alignment horizontal="center"/>
    </xf>
    <xf numFmtId="41" fontId="110" fillId="18" borderId="3" xfId="690" applyNumberFormat="1" applyFont="1" applyBorder="1"/>
    <xf numFmtId="5" fontId="110" fillId="18" borderId="3" xfId="690" applyNumberFormat="1" applyFont="1" applyBorder="1"/>
    <xf numFmtId="5" fontId="99" fillId="23" borderId="0" xfId="690" applyNumberFormat="1" applyFill="1"/>
    <xf numFmtId="10" fontId="100" fillId="23" borderId="0" xfId="694" applyNumberFormat="1" applyFont="1" applyFill="1"/>
    <xf numFmtId="0" fontId="99" fillId="18" borderId="48" xfId="690" applyNumberFormat="1" applyBorder="1" applyAlignment="1">
      <alignment horizontal="center"/>
    </xf>
    <xf numFmtId="0" fontId="111" fillId="18" borderId="47" xfId="690" applyNumberFormat="1" applyFont="1" applyBorder="1" applyAlignment="1">
      <alignment horizontal="right"/>
    </xf>
    <xf numFmtId="41" fontId="110" fillId="34" borderId="0" xfId="690" applyNumberFormat="1" applyFont="1" applyFill="1"/>
    <xf numFmtId="177" fontId="113" fillId="18" borderId="0" xfId="690" applyNumberFormat="1" applyFont="1" applyBorder="1"/>
    <xf numFmtId="178" fontId="99" fillId="23" borderId="0" xfId="694" applyNumberFormat="1" applyFont="1" applyFill="1"/>
    <xf numFmtId="0" fontId="110" fillId="18" borderId="54" xfId="690" applyNumberFormat="1" applyFont="1" applyBorder="1" applyAlignment="1">
      <alignment horizontal="right"/>
    </xf>
    <xf numFmtId="41" fontId="110" fillId="18" borderId="11" xfId="690" applyNumberFormat="1" applyFont="1" applyBorder="1"/>
    <xf numFmtId="177" fontId="99" fillId="18" borderId="1" xfId="690" applyNumberFormat="1" applyBorder="1"/>
    <xf numFmtId="10" fontId="106" fillId="0" borderId="55" xfId="695" applyNumberFormat="1" applyFont="1" applyFill="1" applyBorder="1"/>
    <xf numFmtId="164" fontId="106" fillId="18" borderId="0" xfId="696" applyNumberFormat="1" applyFont="1" applyFill="1"/>
    <xf numFmtId="41" fontId="106" fillId="18" borderId="0" xfId="690" applyNumberFormat="1" applyFont="1"/>
    <xf numFmtId="10" fontId="110" fillId="18" borderId="0" xfId="690" applyNumberFormat="1" applyFont="1" applyAlignment="1">
      <alignment horizontal="right"/>
    </xf>
    <xf numFmtId="41" fontId="106" fillId="4" borderId="0" xfId="697" applyFont="1" applyAlignment="1">
      <alignment horizontal="right"/>
    </xf>
    <xf numFmtId="0" fontId="99" fillId="18" borderId="0" xfId="690" applyNumberFormat="1" applyAlignment="1">
      <alignment horizontal="right"/>
    </xf>
    <xf numFmtId="10" fontId="99" fillId="23" borderId="0" xfId="694" applyNumberFormat="1" applyFont="1" applyFill="1"/>
    <xf numFmtId="0" fontId="99" fillId="18" borderId="56" xfId="690" applyNumberFormat="1" applyBorder="1" applyAlignment="1">
      <alignment horizontal="center"/>
    </xf>
    <xf numFmtId="2" fontId="99" fillId="18" borderId="56" xfId="690" applyNumberFormat="1" applyBorder="1" applyAlignment="1">
      <alignment horizontal="center"/>
    </xf>
    <xf numFmtId="177" fontId="99" fillId="18" borderId="57" xfId="690" applyNumberFormat="1" applyBorder="1"/>
    <xf numFmtId="10" fontId="112" fillId="18" borderId="57" xfId="690" applyNumberFormat="1" applyFont="1" applyBorder="1"/>
    <xf numFmtId="41" fontId="99" fillId="18" borderId="58" xfId="690" applyNumberFormat="1" applyBorder="1"/>
    <xf numFmtId="41" fontId="99" fillId="18" borderId="56" xfId="690" applyNumberFormat="1" applyBorder="1"/>
    <xf numFmtId="41" fontId="99" fillId="18" borderId="57" xfId="690" applyNumberFormat="1" applyBorder="1"/>
    <xf numFmtId="0" fontId="110" fillId="18" borderId="59" xfId="690" applyNumberFormat="1" applyFont="1" applyBorder="1" applyAlignment="1">
      <alignment horizontal="right"/>
    </xf>
    <xf numFmtId="0" fontId="106" fillId="23" borderId="0" xfId="690" applyNumberFormat="1" applyFont="1" applyFill="1" applyBorder="1"/>
    <xf numFmtId="0" fontId="107" fillId="72" borderId="56" xfId="690" applyNumberFormat="1" applyFont="1" applyFill="1" applyBorder="1" applyAlignment="1">
      <alignment horizontal="left"/>
    </xf>
    <xf numFmtId="0" fontId="99" fillId="18" borderId="57" xfId="690" applyNumberFormat="1" applyBorder="1"/>
    <xf numFmtId="0" fontId="99" fillId="18" borderId="58" xfId="690" applyNumberFormat="1" applyBorder="1"/>
    <xf numFmtId="0" fontId="110" fillId="18" borderId="0" xfId="690" applyNumberFormat="1" applyFont="1" applyBorder="1" applyAlignment="1">
      <alignment horizontal="right"/>
    </xf>
    <xf numFmtId="41" fontId="110" fillId="18" borderId="0" xfId="690" applyNumberFormat="1" applyFont="1" applyBorder="1"/>
    <xf numFmtId="0" fontId="114" fillId="18" borderId="0" xfId="690" applyNumberFormat="1" applyFont="1" applyBorder="1" applyAlignment="1">
      <alignment horizontal="left"/>
    </xf>
    <xf numFmtId="41" fontId="110" fillId="18" borderId="53" xfId="690" applyNumberFormat="1" applyFont="1" applyBorder="1"/>
    <xf numFmtId="0" fontId="106" fillId="23" borderId="0" xfId="690" applyNumberFormat="1" applyFont="1" applyFill="1"/>
    <xf numFmtId="10" fontId="114" fillId="18" borderId="0" xfId="694" applyNumberFormat="1" applyFont="1" applyFill="1" applyBorder="1" applyAlignment="1">
      <alignment horizontal="left"/>
    </xf>
    <xf numFmtId="0" fontId="111" fillId="18" borderId="0" xfId="690" applyNumberFormat="1" applyFont="1" applyBorder="1" applyAlignment="1">
      <alignment horizontal="right"/>
    </xf>
    <xf numFmtId="41" fontId="111" fillId="18" borderId="4" xfId="690" applyNumberFormat="1" applyFont="1" applyBorder="1"/>
    <xf numFmtId="0" fontId="99" fillId="18" borderId="0" xfId="690" applyNumberFormat="1" applyBorder="1"/>
    <xf numFmtId="41" fontId="111" fillId="18" borderId="61" xfId="690" applyNumberFormat="1" applyFont="1" applyBorder="1"/>
    <xf numFmtId="0" fontId="99" fillId="18" borderId="48" xfId="690" applyNumberFormat="1" applyBorder="1"/>
    <xf numFmtId="0" fontId="99" fillId="18" borderId="1" xfId="690" applyNumberFormat="1" applyBorder="1"/>
    <xf numFmtId="0" fontId="99" fillId="18" borderId="62" xfId="690" applyNumberFormat="1" applyBorder="1"/>
    <xf numFmtId="0" fontId="115" fillId="23" borderId="0" xfId="691" applyNumberFormat="1" applyFont="1" applyFill="1"/>
    <xf numFmtId="0" fontId="6" fillId="23" borderId="0" xfId="691" applyNumberFormat="1" applyFill="1"/>
    <xf numFmtId="0" fontId="106" fillId="23" borderId="0" xfId="691" applyNumberFormat="1" applyFont="1" applyFill="1"/>
    <xf numFmtId="0" fontId="107" fillId="72" borderId="0" xfId="690" applyNumberFormat="1" applyFont="1" applyFill="1" applyBorder="1" applyAlignment="1">
      <alignment horizontal="left"/>
    </xf>
    <xf numFmtId="0" fontId="107" fillId="4" borderId="0" xfId="690" applyNumberFormat="1" applyFont="1" applyFill="1" applyBorder="1" applyAlignment="1">
      <alignment horizontal="centerContinuous"/>
    </xf>
    <xf numFmtId="0" fontId="116" fillId="18" borderId="0" xfId="690" applyNumberFormat="1" applyFont="1" applyAlignment="1">
      <alignment horizontal="right"/>
    </xf>
    <xf numFmtId="41" fontId="116" fillId="18" borderId="0" xfId="690" applyNumberFormat="1" applyFont="1" applyAlignment="1">
      <alignment horizontal="center"/>
    </xf>
    <xf numFmtId="0" fontId="116" fillId="18" borderId="0" xfId="690" applyNumberFormat="1" applyFont="1" applyAlignment="1">
      <alignment horizontal="center"/>
    </xf>
    <xf numFmtId="37" fontId="99" fillId="18" borderId="0" xfId="690" applyNumberFormat="1"/>
    <xf numFmtId="39" fontId="99" fillId="18" borderId="0" xfId="690" applyNumberFormat="1"/>
    <xf numFmtId="177" fontId="99" fillId="18" borderId="0" xfId="690" applyNumberFormat="1"/>
    <xf numFmtId="10" fontId="110" fillId="18" borderId="0" xfId="690" applyNumberFormat="1" applyFont="1" applyAlignment="1">
      <alignment horizontal="center"/>
    </xf>
    <xf numFmtId="41" fontId="110" fillId="18" borderId="0" xfId="690" applyNumberFormat="1" applyFont="1" applyBorder="1" applyProtection="1">
      <protection locked="0"/>
    </xf>
    <xf numFmtId="41" fontId="110" fillId="18" borderId="1" xfId="690" applyNumberFormat="1" applyFont="1" applyBorder="1" applyProtection="1">
      <protection locked="0"/>
    </xf>
    <xf numFmtId="41" fontId="110" fillId="18" borderId="63" xfId="690" applyNumberFormat="1" applyFont="1" applyBorder="1"/>
    <xf numFmtId="0" fontId="106" fillId="18" borderId="0" xfId="690" applyNumberFormat="1" applyFont="1" applyAlignment="1">
      <alignment horizontal="right"/>
    </xf>
    <xf numFmtId="10" fontId="110" fillId="18" borderId="63" xfId="690" applyNumberFormat="1" applyFont="1" applyBorder="1" applyAlignment="1">
      <alignment horizontal="center"/>
    </xf>
    <xf numFmtId="0" fontId="111" fillId="18" borderId="0" xfId="690" applyNumberFormat="1" applyFont="1" applyAlignment="1">
      <alignment horizontal="center"/>
    </xf>
    <xf numFmtId="0" fontId="117" fillId="18" borderId="0" xfId="690" applyNumberFormat="1" applyFont="1"/>
    <xf numFmtId="0" fontId="111" fillId="18" borderId="0" xfId="690" applyNumberFormat="1" applyFont="1"/>
    <xf numFmtId="0" fontId="117" fillId="18" borderId="0" xfId="690" applyNumberFormat="1" applyFont="1" applyAlignment="1">
      <alignment horizontal="right"/>
    </xf>
    <xf numFmtId="5" fontId="99" fillId="23" borderId="0" xfId="690" applyNumberFormat="1" applyFill="1" applyBorder="1"/>
    <xf numFmtId="10" fontId="110" fillId="18" borderId="0" xfId="690" applyNumberFormat="1" applyFont="1"/>
    <xf numFmtId="10" fontId="99" fillId="23" borderId="0" xfId="690" applyNumberFormat="1" applyFill="1"/>
    <xf numFmtId="0" fontId="110" fillId="18" borderId="0" xfId="690" quotePrefix="1" applyNumberFormat="1" applyFont="1" applyAlignment="1">
      <alignment horizontal="left"/>
    </xf>
    <xf numFmtId="179" fontId="99" fillId="18" borderId="0" xfId="690" applyNumberFormat="1"/>
    <xf numFmtId="0" fontId="118" fillId="18" borderId="0" xfId="690" applyNumberFormat="1" applyFont="1"/>
    <xf numFmtId="39" fontId="110" fillId="18" borderId="0" xfId="690" applyNumberFormat="1" applyFont="1"/>
    <xf numFmtId="0" fontId="99" fillId="18" borderId="47" xfId="690" applyNumberFormat="1" applyBorder="1"/>
    <xf numFmtId="0" fontId="119" fillId="18" borderId="0" xfId="690" applyNumberFormat="1" applyFont="1"/>
    <xf numFmtId="0" fontId="99" fillId="18" borderId="56" xfId="690" applyNumberFormat="1" applyBorder="1" applyAlignment="1">
      <alignment horizontal="centerContinuous"/>
    </xf>
    <xf numFmtId="0" fontId="99" fillId="18" borderId="58" xfId="690" applyNumberFormat="1" applyBorder="1" applyAlignment="1">
      <alignment horizontal="centerContinuous"/>
    </xf>
    <xf numFmtId="10" fontId="57" fillId="4" borderId="0" xfId="695"/>
    <xf numFmtId="0" fontId="111" fillId="18" borderId="1" xfId="690" applyNumberFormat="1" applyFont="1" applyBorder="1" applyAlignment="1">
      <alignment horizontal="right"/>
    </xf>
    <xf numFmtId="0" fontId="111" fillId="18" borderId="1" xfId="690" applyNumberFormat="1" applyFont="1" applyBorder="1" applyAlignment="1">
      <alignment horizontal="center"/>
    </xf>
    <xf numFmtId="0" fontId="99" fillId="18" borderId="40" xfId="690" applyNumberFormat="1" applyBorder="1" applyAlignment="1">
      <alignment horizontal="centerContinuous"/>
    </xf>
    <xf numFmtId="0" fontId="99" fillId="18" borderId="53" xfId="690" applyNumberFormat="1" applyBorder="1" applyAlignment="1">
      <alignment horizontal="centerContinuous"/>
    </xf>
    <xf numFmtId="0" fontId="99" fillId="18" borderId="53" xfId="690" applyNumberFormat="1" applyBorder="1"/>
    <xf numFmtId="0" fontId="120" fillId="18" borderId="0" xfId="690" applyNumberFormat="1" applyFont="1"/>
    <xf numFmtId="178" fontId="110" fillId="18" borderId="0" xfId="690" applyNumberFormat="1" applyFont="1"/>
    <xf numFmtId="164" fontId="110" fillId="18" borderId="0" xfId="690" applyNumberFormat="1" applyFont="1" applyBorder="1" applyProtection="1">
      <protection locked="0"/>
    </xf>
    <xf numFmtId="0" fontId="99" fillId="18" borderId="53" xfId="690" applyNumberFormat="1" applyBorder="1" applyAlignment="1">
      <alignment horizontal="center"/>
    </xf>
    <xf numFmtId="0" fontId="99" fillId="18" borderId="0" xfId="690" quotePrefix="1" applyNumberFormat="1" applyBorder="1" applyAlignment="1">
      <alignment horizontal="right"/>
    </xf>
    <xf numFmtId="10" fontId="99" fillId="18" borderId="53" xfId="690" applyNumberFormat="1" applyBorder="1"/>
    <xf numFmtId="10" fontId="99" fillId="18" borderId="0" xfId="690" applyNumberFormat="1" applyAlignment="1">
      <alignment horizontal="center"/>
    </xf>
    <xf numFmtId="10" fontId="99" fillId="18" borderId="53" xfId="694" applyNumberFormat="1" applyFont="1" applyFill="1" applyBorder="1"/>
    <xf numFmtId="41" fontId="99" fillId="18" borderId="0" xfId="690" applyNumberFormat="1"/>
    <xf numFmtId="0" fontId="99" fillId="18" borderId="62" xfId="690" applyNumberFormat="1" applyBorder="1" applyAlignment="1">
      <alignment horizontal="center"/>
    </xf>
    <xf numFmtId="178" fontId="110" fillId="18" borderId="63" xfId="690" applyNumberFormat="1" applyFont="1" applyBorder="1"/>
    <xf numFmtId="0" fontId="99" fillId="18" borderId="57" xfId="690" quotePrefix="1" applyNumberFormat="1" applyBorder="1" applyAlignment="1">
      <alignment horizontal="left"/>
    </xf>
    <xf numFmtId="178" fontId="106" fillId="18" borderId="0" xfId="690" applyNumberFormat="1" applyFont="1"/>
    <xf numFmtId="0" fontId="99" fillId="18" borderId="0" xfId="690" quotePrefix="1" applyNumberFormat="1" applyBorder="1" applyAlignment="1">
      <alignment horizontal="left"/>
    </xf>
    <xf numFmtId="0" fontId="110" fillId="18" borderId="0" xfId="690" applyNumberFormat="1" applyFont="1" applyBorder="1"/>
    <xf numFmtId="0" fontId="106" fillId="18" borderId="0" xfId="690" applyNumberFormat="1" applyFont="1" applyBorder="1"/>
    <xf numFmtId="10" fontId="110" fillId="18" borderId="0" xfId="690" applyNumberFormat="1" applyFont="1" applyBorder="1"/>
    <xf numFmtId="0" fontId="121" fillId="23" borderId="0" xfId="690" applyNumberFormat="1" applyFont="1" applyFill="1"/>
    <xf numFmtId="2" fontId="121" fillId="23" borderId="0" xfId="690" applyNumberFormat="1" applyFont="1" applyFill="1"/>
    <xf numFmtId="10" fontId="99" fillId="18" borderId="48" xfId="690" applyNumberFormat="1" applyBorder="1" applyAlignment="1">
      <alignment horizontal="center"/>
    </xf>
    <xf numFmtId="0" fontId="99" fillId="18" borderId="1" xfId="690" quotePrefix="1" applyNumberFormat="1" applyBorder="1" applyAlignment="1">
      <alignment horizontal="left"/>
    </xf>
    <xf numFmtId="0" fontId="122" fillId="18" borderId="62" xfId="690" applyNumberFormat="1" applyFont="1" applyBorder="1"/>
    <xf numFmtId="0" fontId="122" fillId="23" borderId="0" xfId="690" applyNumberFormat="1" applyFont="1" applyFill="1"/>
    <xf numFmtId="180" fontId="99" fillId="18" borderId="0" xfId="690" applyNumberFormat="1"/>
    <xf numFmtId="0" fontId="101" fillId="18" borderId="0" xfId="690" applyNumberFormat="1" applyFont="1" applyBorder="1" applyAlignment="1">
      <alignment horizontal="centerContinuous"/>
    </xf>
    <xf numFmtId="0" fontId="99" fillId="18" borderId="0" xfId="690" applyNumberFormat="1" applyAlignment="1">
      <alignment horizontal="centerContinuous"/>
    </xf>
    <xf numFmtId="0" fontId="99" fillId="23" borderId="0" xfId="690" applyNumberFormat="1" applyFill="1" applyAlignment="1">
      <alignment horizontal="right"/>
    </xf>
    <xf numFmtId="0" fontId="99" fillId="18" borderId="56" xfId="690" applyNumberFormat="1" applyBorder="1"/>
    <xf numFmtId="0" fontId="123" fillId="18" borderId="57" xfId="690" applyNumberFormat="1" applyFont="1" applyBorder="1" applyAlignment="1">
      <alignment horizontal="center"/>
    </xf>
    <xf numFmtId="0" fontId="123" fillId="18" borderId="58" xfId="690" applyNumberFormat="1" applyFont="1" applyBorder="1" applyAlignment="1">
      <alignment horizontal="center"/>
    </xf>
    <xf numFmtId="0" fontId="99" fillId="18" borderId="56" xfId="690" applyNumberFormat="1" applyBorder="1" applyAlignment="1">
      <alignment horizontal="left"/>
    </xf>
    <xf numFmtId="181" fontId="124" fillId="18" borderId="57" xfId="690" applyNumberFormat="1" applyFont="1" applyBorder="1" applyAlignment="1">
      <alignment horizontal="center"/>
    </xf>
    <xf numFmtId="0" fontId="99" fillId="18" borderId="57" xfId="690" applyNumberFormat="1" applyBorder="1" applyAlignment="1">
      <alignment horizontal="left"/>
    </xf>
    <xf numFmtId="181" fontId="124" fillId="18" borderId="58" xfId="690" applyNumberFormat="1" applyFont="1" applyBorder="1" applyAlignment="1">
      <alignment horizontal="center"/>
    </xf>
    <xf numFmtId="10" fontId="99" fillId="18" borderId="0" xfId="690" applyNumberFormat="1" applyBorder="1" applyAlignment="1">
      <alignment horizontal="center"/>
    </xf>
    <xf numFmtId="10" fontId="99" fillId="18" borderId="53" xfId="690" applyNumberFormat="1" applyBorder="1" applyAlignment="1">
      <alignment horizontal="center"/>
    </xf>
    <xf numFmtId="0" fontId="99" fillId="18" borderId="40" xfId="690" applyNumberFormat="1" applyBorder="1" applyAlignment="1">
      <alignment horizontal="left"/>
    </xf>
    <xf numFmtId="181" fontId="124" fillId="18" borderId="0" xfId="690" applyNumberFormat="1" applyFont="1" applyBorder="1" applyAlignment="1">
      <alignment horizontal="center"/>
    </xf>
    <xf numFmtId="0" fontId="99" fillId="18" borderId="0" xfId="690" applyNumberFormat="1" applyBorder="1" applyAlignment="1">
      <alignment horizontal="left"/>
    </xf>
    <xf numFmtId="181" fontId="124" fillId="18" borderId="53" xfId="690" applyNumberFormat="1" applyFont="1" applyBorder="1" applyAlignment="1">
      <alignment horizontal="center"/>
    </xf>
    <xf numFmtId="0" fontId="125" fillId="18" borderId="0" xfId="690" applyNumberFormat="1" applyFont="1" applyBorder="1" applyAlignment="1">
      <alignment horizontal="centerContinuous"/>
    </xf>
    <xf numFmtId="181" fontId="99" fillId="18" borderId="53" xfId="690" applyNumberFormat="1" applyBorder="1" applyAlignment="1">
      <alignment horizontal="center"/>
    </xf>
    <xf numFmtId="0" fontId="122" fillId="23" borderId="0" xfId="690" applyNumberFormat="1" applyFont="1" applyFill="1" applyAlignment="1">
      <alignment horizontal="fill"/>
    </xf>
    <xf numFmtId="10" fontId="99" fillId="18" borderId="1" xfId="690" applyNumberFormat="1" applyBorder="1" applyAlignment="1">
      <alignment horizontal="center"/>
    </xf>
    <xf numFmtId="10" fontId="126" fillId="4" borderId="0" xfId="695" applyFont="1" applyBorder="1"/>
    <xf numFmtId="178" fontId="126" fillId="4" borderId="53" xfId="695" applyNumberFormat="1" applyFont="1" applyBorder="1"/>
    <xf numFmtId="0" fontId="99" fillId="18" borderId="1" xfId="690" applyNumberFormat="1" applyBorder="1" applyAlignment="1">
      <alignment horizontal="right"/>
    </xf>
    <xf numFmtId="181" fontId="124" fillId="18" borderId="1" xfId="690" applyNumberFormat="1" applyFont="1" applyBorder="1" applyAlignment="1">
      <alignment horizontal="left"/>
    </xf>
    <xf numFmtId="181" fontId="99" fillId="18" borderId="62" xfId="690" applyNumberFormat="1" applyBorder="1" applyAlignment="1">
      <alignment horizontal="center"/>
    </xf>
    <xf numFmtId="10" fontId="126" fillId="4" borderId="1" xfId="695" applyFont="1" applyBorder="1"/>
    <xf numFmtId="10" fontId="126" fillId="4" borderId="62" xfId="695" applyFont="1" applyBorder="1"/>
    <xf numFmtId="181" fontId="99" fillId="18" borderId="0" xfId="690" applyNumberFormat="1"/>
    <xf numFmtId="0" fontId="127" fillId="18" borderId="0" xfId="690" applyNumberFormat="1" applyFont="1"/>
    <xf numFmtId="0" fontId="99" fillId="18" borderId="57" xfId="690" quotePrefix="1" applyNumberFormat="1" applyBorder="1" applyAlignment="1">
      <alignment horizontal="right"/>
    </xf>
    <xf numFmtId="0" fontId="99" fillId="18" borderId="58" xfId="690" quotePrefix="1" applyNumberFormat="1" applyBorder="1" applyAlignment="1">
      <alignment horizontal="right"/>
    </xf>
    <xf numFmtId="0" fontId="128" fillId="18" borderId="0" xfId="690" applyNumberFormat="1" applyFont="1" applyBorder="1"/>
    <xf numFmtId="0" fontId="128" fillId="18" borderId="53" xfId="690" applyNumberFormat="1" applyFont="1" applyBorder="1"/>
    <xf numFmtId="0" fontId="99" fillId="4" borderId="0" xfId="690" applyNumberFormat="1" applyFill="1"/>
    <xf numFmtId="0" fontId="99" fillId="18" borderId="1" xfId="690" quotePrefix="1" applyNumberFormat="1" applyBorder="1" applyAlignment="1">
      <alignment horizontal="right"/>
    </xf>
    <xf numFmtId="10" fontId="99" fillId="18" borderId="62" xfId="690" applyNumberFormat="1" applyBorder="1"/>
    <xf numFmtId="43" fontId="0" fillId="0" borderId="0" xfId="1" applyFont="1" applyBorder="1"/>
    <xf numFmtId="0" fontId="4" fillId="8" borderId="0" xfId="26" applyFill="1"/>
    <xf numFmtId="0" fontId="51" fillId="8" borderId="0" xfId="26" applyFont="1" applyFill="1" applyAlignment="1">
      <alignment horizontal="left"/>
    </xf>
    <xf numFmtId="4" fontId="4" fillId="8" borderId="0" xfId="26" applyNumberFormat="1" applyFill="1"/>
    <xf numFmtId="0" fontId="49" fillId="48" borderId="0" xfId="139" applyFont="1" applyFill="1"/>
    <xf numFmtId="1" fontId="140" fillId="75" borderId="0" xfId="0" applyNumberFormat="1" applyFont="1" applyFill="1" applyBorder="1" applyAlignment="1">
      <alignment horizontal="right"/>
    </xf>
    <xf numFmtId="0" fontId="140" fillId="75" borderId="0" xfId="0" applyFont="1" applyFill="1" applyBorder="1"/>
    <xf numFmtId="0" fontId="140" fillId="75" borderId="0" xfId="0" applyNumberFormat="1" applyFont="1" applyFill="1" applyBorder="1" applyAlignment="1">
      <alignment horizontal="center"/>
    </xf>
    <xf numFmtId="37" fontId="142" fillId="75" borderId="0" xfId="0" applyNumberFormat="1" applyFont="1" applyFill="1" applyBorder="1" applyAlignment="1">
      <alignment horizontal="center"/>
    </xf>
    <xf numFmtId="0" fontId="141" fillId="75" borderId="0" xfId="0" applyFont="1" applyFill="1" applyBorder="1" applyAlignment="1">
      <alignment horizontal="center"/>
    </xf>
    <xf numFmtId="0" fontId="140" fillId="8" borderId="0" xfId="0" applyFont="1" applyFill="1" applyBorder="1"/>
    <xf numFmtId="0" fontId="2" fillId="25" borderId="57" xfId="26" applyFont="1" applyFill="1" applyBorder="1" applyAlignment="1">
      <alignment horizontal="center"/>
    </xf>
    <xf numFmtId="0" fontId="3" fillId="25" borderId="57" xfId="26" applyFont="1" applyFill="1" applyBorder="1"/>
    <xf numFmtId="0" fontId="2" fillId="25" borderId="57" xfId="26" applyFont="1" applyFill="1" applyBorder="1"/>
    <xf numFmtId="0" fontId="2" fillId="25" borderId="40" xfId="26" applyFont="1" applyFill="1" applyBorder="1"/>
    <xf numFmtId="164" fontId="2" fillId="8" borderId="4" xfId="1" applyNumberFormat="1" applyFont="1" applyFill="1" applyBorder="1"/>
    <xf numFmtId="0" fontId="4" fillId="0" borderId="40" xfId="26" applyBorder="1"/>
    <xf numFmtId="0" fontId="4" fillId="0" borderId="53" xfId="26" applyBorder="1"/>
    <xf numFmtId="0" fontId="4" fillId="0" borderId="48" xfId="26" applyBorder="1"/>
    <xf numFmtId="10" fontId="3" fillId="0" borderId="1" xfId="26" applyNumberFormat="1" applyFont="1" applyFill="1" applyBorder="1" applyAlignment="1">
      <alignment horizontal="center"/>
    </xf>
    <xf numFmtId="0" fontId="3" fillId="0" borderId="1" xfId="26" applyFont="1" applyFill="1" applyBorder="1"/>
    <xf numFmtId="0" fontId="4" fillId="25" borderId="56" xfId="26" applyFill="1" applyBorder="1"/>
    <xf numFmtId="0" fontId="4" fillId="25" borderId="57" xfId="26" applyFill="1" applyBorder="1"/>
    <xf numFmtId="0" fontId="4" fillId="25" borderId="58" xfId="26" applyFill="1" applyBorder="1"/>
    <xf numFmtId="0" fontId="4" fillId="25" borderId="0" xfId="26" applyFill="1" applyBorder="1"/>
    <xf numFmtId="0" fontId="4" fillId="25" borderId="53" xfId="26" applyFill="1" applyBorder="1"/>
    <xf numFmtId="0" fontId="2" fillId="25" borderId="56" xfId="26" applyFont="1" applyFill="1" applyBorder="1"/>
    <xf numFmtId="3" fontId="2" fillId="0" borderId="4" xfId="26" applyNumberFormat="1" applyFont="1" applyFill="1" applyBorder="1" applyAlignment="1">
      <alignment horizontal="right"/>
    </xf>
    <xf numFmtId="10" fontId="3" fillId="25" borderId="57" xfId="26" applyNumberFormat="1" applyFont="1" applyFill="1" applyBorder="1" applyAlignment="1">
      <alignment horizontal="left"/>
    </xf>
    <xf numFmtId="0" fontId="3" fillId="0" borderId="53" xfId="26" applyFont="1" applyBorder="1" applyAlignment="1">
      <alignment horizontal="center"/>
    </xf>
    <xf numFmtId="10" fontId="3" fillId="0" borderId="53" xfId="26" applyNumberFormat="1" applyFont="1" applyBorder="1" applyAlignment="1">
      <alignment horizontal="right"/>
    </xf>
    <xf numFmtId="0" fontId="3" fillId="0" borderId="53" xfId="26" applyFont="1" applyBorder="1" applyAlignment="1">
      <alignment horizontal="right"/>
    </xf>
    <xf numFmtId="10" fontId="3" fillId="0" borderId="53" xfId="26" applyNumberFormat="1" applyFont="1" applyBorder="1"/>
    <xf numFmtId="165" fontId="3" fillId="0" borderId="1" xfId="26" applyNumberFormat="1" applyFont="1" applyFill="1" applyBorder="1" applyAlignment="1">
      <alignment horizontal="left"/>
    </xf>
    <xf numFmtId="165" fontId="3" fillId="0" borderId="1" xfId="26" applyNumberFormat="1" applyFont="1" applyFill="1" applyBorder="1" applyAlignment="1">
      <alignment horizontal="center"/>
    </xf>
    <xf numFmtId="0" fontId="4" fillId="0" borderId="1" xfId="26" applyBorder="1"/>
    <xf numFmtId="0" fontId="4" fillId="0" borderId="62" xfId="26" applyBorder="1"/>
    <xf numFmtId="1" fontId="3" fillId="25" borderId="0" xfId="26" applyNumberFormat="1" applyFont="1" applyFill="1" applyBorder="1" applyAlignment="1">
      <alignment horizontal="left"/>
    </xf>
    <xf numFmtId="165" fontId="3" fillId="25" borderId="0" xfId="26" applyNumberFormat="1" applyFont="1" applyFill="1" applyBorder="1" applyAlignment="1">
      <alignment horizontal="center"/>
    </xf>
    <xf numFmtId="0" fontId="2" fillId="25" borderId="53" xfId="26" applyFont="1" applyFill="1" applyBorder="1"/>
    <xf numFmtId="168" fontId="2" fillId="0" borderId="4" xfId="26" applyNumberFormat="1" applyFont="1" applyFill="1" applyBorder="1" applyAlignment="1">
      <alignment horizontal="right"/>
    </xf>
    <xf numFmtId="165" fontId="2" fillId="0" borderId="1" xfId="26" applyNumberFormat="1" applyFont="1" applyFill="1" applyBorder="1" applyAlignment="1">
      <alignment horizontal="left"/>
    </xf>
    <xf numFmtId="3" fontId="2" fillId="0" borderId="1" xfId="26" applyNumberFormat="1" applyFont="1" applyFill="1" applyBorder="1" applyAlignment="1">
      <alignment horizontal="right"/>
    </xf>
    <xf numFmtId="3" fontId="2" fillId="0" borderId="1" xfId="26" applyNumberFormat="1" applyFont="1" applyFill="1" applyBorder="1"/>
    <xf numFmtId="3" fontId="3" fillId="0" borderId="1" xfId="26" applyNumberFormat="1" applyFont="1" applyFill="1" applyBorder="1" applyAlignment="1"/>
    <xf numFmtId="10" fontId="3" fillId="0" borderId="1" xfId="26" applyNumberFormat="1" applyFont="1" applyFill="1" applyBorder="1" applyAlignment="1">
      <alignment horizontal="right"/>
    </xf>
    <xf numFmtId="3" fontId="3" fillId="0" borderId="1" xfId="26" applyNumberFormat="1" applyFont="1" applyFill="1" applyBorder="1"/>
    <xf numFmtId="165" fontId="3" fillId="25" borderId="57" xfId="26" applyNumberFormat="1" applyFont="1" applyFill="1" applyBorder="1" applyAlignment="1">
      <alignment horizontal="center"/>
    </xf>
    <xf numFmtId="0" fontId="3" fillId="25" borderId="57" xfId="26" applyFont="1" applyFill="1" applyBorder="1" applyAlignment="1">
      <alignment horizontal="center"/>
    </xf>
    <xf numFmtId="0" fontId="2" fillId="25" borderId="0" xfId="26" applyNumberFormat="1" applyFont="1" applyFill="1" applyBorder="1" applyAlignment="1">
      <alignment horizontal="center"/>
    </xf>
    <xf numFmtId="0" fontId="28" fillId="0" borderId="0" xfId="0" applyFont="1"/>
    <xf numFmtId="0" fontId="0" fillId="8" borderId="0" xfId="0" applyFill="1"/>
    <xf numFmtId="0" fontId="0" fillId="0" borderId="0" xfId="0" applyAlignment="1">
      <alignment horizontal="right"/>
    </xf>
    <xf numFmtId="1" fontId="28" fillId="0" borderId="0" xfId="0" applyNumberFormat="1" applyFont="1"/>
    <xf numFmtId="0" fontId="0" fillId="0" borderId="0" xfId="0" applyFill="1"/>
    <xf numFmtId="0" fontId="1" fillId="0" borderId="0" xfId="0" applyFont="1"/>
    <xf numFmtId="164" fontId="34" fillId="0" borderId="87" xfId="3" applyNumberFormat="1" applyFont="1" applyFill="1" applyBorder="1"/>
    <xf numFmtId="164" fontId="34" fillId="6" borderId="87" xfId="3" applyNumberFormat="1" applyFont="1" applyFill="1" applyBorder="1"/>
    <xf numFmtId="37" fontId="4" fillId="0" borderId="0" xfId="59" applyFont="1" applyFill="1"/>
    <xf numFmtId="49" fontId="4" fillId="0" borderId="0" xfId="59" applyNumberFormat="1" applyFont="1" applyFill="1"/>
    <xf numFmtId="14" fontId="4" fillId="0" borderId="0" xfId="59" applyNumberFormat="1" applyFont="1" applyFill="1"/>
    <xf numFmtId="164" fontId="4" fillId="0" borderId="0" xfId="3" applyNumberFormat="1" applyFont="1" applyFill="1"/>
    <xf numFmtId="0" fontId="4" fillId="0" borderId="0" xfId="6"/>
    <xf numFmtId="49" fontId="14" fillId="0" borderId="0" xfId="1331" applyNumberFormat="1" applyFont="1"/>
    <xf numFmtId="17" fontId="4" fillId="0" borderId="0" xfId="59" applyNumberFormat="1" applyFont="1" applyFill="1"/>
    <xf numFmtId="0" fontId="34" fillId="0" borderId="0" xfId="1331" applyFont="1"/>
    <xf numFmtId="37" fontId="49" fillId="5" borderId="0" xfId="59" applyFont="1" applyFill="1"/>
    <xf numFmtId="37" fontId="49" fillId="0" borderId="0" xfId="59" applyFont="1" applyFill="1"/>
    <xf numFmtId="0" fontId="34" fillId="0" borderId="0" xfId="1331" applyFont="1" applyAlignment="1">
      <alignment horizontal="left"/>
    </xf>
    <xf numFmtId="0" fontId="34" fillId="0" borderId="0" xfId="1331" quotePrefix="1" applyFont="1" applyAlignment="1">
      <alignment horizontal="left"/>
    </xf>
    <xf numFmtId="164" fontId="34" fillId="5" borderId="0" xfId="3" applyNumberFormat="1" applyFont="1" applyFill="1"/>
    <xf numFmtId="164" fontId="34" fillId="0" borderId="0" xfId="3" applyNumberFormat="1" applyFont="1" applyFill="1"/>
    <xf numFmtId="0" fontId="12" fillId="0" borderId="0" xfId="1331" applyFont="1"/>
    <xf numFmtId="14" fontId="151" fillId="0" borderId="0" xfId="59" applyNumberFormat="1" applyFont="1" applyFill="1"/>
    <xf numFmtId="0" fontId="15" fillId="0" borderId="0" xfId="1331" applyNumberFormat="1" applyFont="1"/>
    <xf numFmtId="0" fontId="14" fillId="0" borderId="0" xfId="1331" applyNumberFormat="1" applyFont="1"/>
    <xf numFmtId="0" fontId="15" fillId="0" borderId="0" xfId="1331" applyNumberFormat="1" applyFont="1" applyAlignment="1">
      <alignment horizontal="right"/>
    </xf>
    <xf numFmtId="0" fontId="16" fillId="0" borderId="0" xfId="1331" applyNumberFormat="1" applyFont="1" applyAlignment="1">
      <alignment horizontal="left"/>
    </xf>
    <xf numFmtId="0" fontId="14" fillId="0" borderId="0" xfId="1331" applyNumberFormat="1" applyFont="1" applyAlignment="1">
      <alignment horizontal="centerContinuous"/>
    </xf>
    <xf numFmtId="0" fontId="152" fillId="0" borderId="0" xfId="1331" applyNumberFormat="1" applyFont="1"/>
    <xf numFmtId="37" fontId="11" fillId="0" borderId="0" xfId="59" applyFont="1" applyFill="1"/>
    <xf numFmtId="0" fontId="24" fillId="0" borderId="0" xfId="1331" applyNumberFormat="1" applyFont="1"/>
    <xf numFmtId="49" fontId="16" fillId="0" borderId="0" xfId="1331" applyNumberFormat="1" applyFont="1" applyAlignment="1">
      <alignment horizontal="left"/>
    </xf>
    <xf numFmtId="49" fontId="18" fillId="0" borderId="0" xfId="1331" applyNumberFormat="1" applyFont="1"/>
    <xf numFmtId="0" fontId="34" fillId="0" borderId="0" xfId="1331" applyNumberFormat="1" applyFont="1" applyAlignment="1">
      <alignment horizontal="center"/>
    </xf>
    <xf numFmtId="0" fontId="14" fillId="0" borderId="0" xfId="1331" applyNumberFormat="1" applyFont="1" applyAlignment="1">
      <alignment horizontal="center"/>
    </xf>
    <xf numFmtId="0" fontId="34" fillId="0" borderId="0" xfId="1331" applyNumberFormat="1" applyFont="1"/>
    <xf numFmtId="0" fontId="153" fillId="5" borderId="1" xfId="1331" applyNumberFormat="1" applyFont="1" applyFill="1" applyBorder="1" applyAlignment="1">
      <alignment horizontal="centerContinuous"/>
    </xf>
    <xf numFmtId="0" fontId="12" fillId="0" borderId="0" xfId="1331" applyNumberFormat="1" applyFont="1"/>
    <xf numFmtId="164" fontId="49" fillId="2" borderId="0" xfId="3" applyNumberFormat="1" applyFont="1" applyFill="1" applyBorder="1" applyAlignment="1">
      <alignment horizontal="centerContinuous"/>
    </xf>
    <xf numFmtId="164" fontId="46" fillId="0" borderId="1" xfId="3" applyNumberFormat="1" applyFont="1" applyBorder="1" applyAlignment="1">
      <alignment horizontal="centerContinuous"/>
    </xf>
    <xf numFmtId="0" fontId="34" fillId="0" borderId="1" xfId="1331" applyNumberFormat="1" applyFont="1" applyBorder="1" applyAlignment="1">
      <alignment horizontal="centerContinuous"/>
    </xf>
    <xf numFmtId="164" fontId="46" fillId="2" borderId="0" xfId="3" applyNumberFormat="1" applyFont="1" applyFill="1" applyBorder="1" applyAlignment="1">
      <alignment horizontal="centerContinuous"/>
    </xf>
    <xf numFmtId="164" fontId="49" fillId="0" borderId="0" xfId="1331" applyNumberFormat="1" applyFont="1" applyAlignment="1">
      <alignment horizontal="center"/>
    </xf>
    <xf numFmtId="164" fontId="46" fillId="2" borderId="0" xfId="1331" applyNumberFormat="1" applyFont="1" applyFill="1" applyAlignment="1">
      <alignment horizontal="center"/>
    </xf>
    <xf numFmtId="0" fontId="153" fillId="0" borderId="0" xfId="1331" applyNumberFormat="1" applyFont="1" applyAlignment="1">
      <alignment horizontal="center"/>
    </xf>
    <xf numFmtId="164" fontId="46" fillId="2" borderId="2" xfId="3" applyNumberFormat="1" applyFont="1" applyFill="1" applyBorder="1" applyAlignment="1">
      <alignment horizontal="centerContinuous"/>
    </xf>
    <xf numFmtId="164" fontId="46" fillId="0" borderId="2" xfId="3" applyNumberFormat="1" applyFont="1" applyBorder="1" applyAlignment="1">
      <alignment horizontal="centerContinuous"/>
    </xf>
    <xf numFmtId="17" fontId="153" fillId="0" borderId="2" xfId="1331" applyNumberFormat="1" applyFont="1" applyBorder="1" applyAlignment="1">
      <alignment horizontal="center"/>
    </xf>
    <xf numFmtId="0" fontId="154" fillId="0" borderId="0" xfId="1331" applyNumberFormat="1" applyFont="1"/>
    <xf numFmtId="37" fontId="49" fillId="0" borderId="0" xfId="59" applyFont="1" applyFill="1" applyBorder="1"/>
    <xf numFmtId="0" fontId="34" fillId="0" borderId="1" xfId="1331" applyFont="1" applyBorder="1"/>
    <xf numFmtId="164" fontId="34" fillId="6" borderId="0" xfId="3" applyNumberFormat="1" applyFont="1" applyFill="1" applyBorder="1"/>
    <xf numFmtId="164" fontId="34" fillId="0" borderId="0" xfId="3" applyNumberFormat="1" applyFont="1" applyFill="1" applyBorder="1"/>
    <xf numFmtId="164" fontId="34" fillId="0" borderId="1" xfId="3" applyNumberFormat="1" applyFont="1" applyBorder="1"/>
    <xf numFmtId="164" fontId="34" fillId="0" borderId="1" xfId="3" applyNumberFormat="1" applyFont="1" applyFill="1" applyBorder="1"/>
    <xf numFmtId="0" fontId="34" fillId="0" borderId="0" xfId="1331" applyFont="1" applyBorder="1"/>
    <xf numFmtId="164" fontId="34" fillId="0" borderId="0" xfId="3" applyNumberFormat="1" applyFont="1"/>
    <xf numFmtId="0" fontId="153" fillId="0" borderId="0" xfId="1331" applyFont="1" applyAlignment="1">
      <alignment horizontal="left"/>
    </xf>
    <xf numFmtId="0" fontId="34" fillId="0" borderId="0" xfId="1331" quotePrefix="1" applyFont="1"/>
    <xf numFmtId="0" fontId="34" fillId="0" borderId="0" xfId="1331" applyFont="1" applyFill="1"/>
    <xf numFmtId="0" fontId="153" fillId="0" borderId="0" xfId="1331" applyFont="1"/>
    <xf numFmtId="164" fontId="34" fillId="6" borderId="4" xfId="3" applyNumberFormat="1" applyFont="1" applyFill="1" applyBorder="1"/>
    <xf numFmtId="164" fontId="34" fillId="0" borderId="4" xfId="3" applyNumberFormat="1" applyFont="1" applyFill="1" applyBorder="1"/>
    <xf numFmtId="0" fontId="49" fillId="0" borderId="0" xfId="6" applyFont="1" applyFill="1"/>
    <xf numFmtId="0" fontId="7" fillId="0" borderId="0" xfId="1331" applyFont="1"/>
    <xf numFmtId="164" fontId="49" fillId="0" borderId="0" xfId="10" applyNumberFormat="1" applyFont="1" applyFill="1"/>
    <xf numFmtId="164" fontId="4" fillId="0" borderId="0" xfId="10" applyNumberFormat="1" applyFont="1" applyFill="1"/>
    <xf numFmtId="164" fontId="49" fillId="0" borderId="0" xfId="3" applyNumberFormat="1" applyFont="1" applyFill="1"/>
    <xf numFmtId="164" fontId="34" fillId="8" borderId="0" xfId="3" applyNumberFormat="1" applyFont="1" applyFill="1" applyBorder="1"/>
    <xf numFmtId="0" fontId="34" fillId="8" borderId="0" xfId="1331" applyFont="1" applyFill="1"/>
    <xf numFmtId="0" fontId="4" fillId="0" borderId="0" xfId="6" applyFont="1" applyFill="1"/>
    <xf numFmtId="37" fontId="49" fillId="8" borderId="0" xfId="59" applyFont="1" applyFill="1" applyBorder="1"/>
    <xf numFmtId="37" fontId="49" fillId="8" borderId="0" xfId="59" applyFont="1" applyFill="1"/>
    <xf numFmtId="5" fontId="47" fillId="0" borderId="0" xfId="693" applyNumberFormat="1" applyFont="1" applyFill="1" applyProtection="1"/>
    <xf numFmtId="164" fontId="47" fillId="0" borderId="0" xfId="693" applyNumberFormat="1" applyFont="1" applyFill="1" applyProtection="1"/>
    <xf numFmtId="43" fontId="47" fillId="0" borderId="0" xfId="693" applyNumberFormat="1" applyFont="1" applyFill="1" applyProtection="1"/>
    <xf numFmtId="10" fontId="47" fillId="0" borderId="0" xfId="694" applyNumberFormat="1" applyFont="1" applyFill="1" applyProtection="1"/>
    <xf numFmtId="164" fontId="2" fillId="8" borderId="87" xfId="1" applyNumberFormat="1" applyFont="1" applyFill="1" applyBorder="1"/>
    <xf numFmtId="3" fontId="3" fillId="0" borderId="0" xfId="26" applyNumberFormat="1" applyFont="1" applyFill="1" applyBorder="1" applyAlignment="1">
      <alignment horizontal="center"/>
    </xf>
    <xf numFmtId="0" fontId="49" fillId="87" borderId="0" xfId="139" applyFont="1" applyFill="1" applyBorder="1"/>
    <xf numFmtId="0" fontId="46" fillId="87" borderId="113" xfId="139" applyFont="1" applyFill="1" applyBorder="1"/>
    <xf numFmtId="0" fontId="46" fillId="87" borderId="114" xfId="139" applyFont="1" applyFill="1" applyBorder="1"/>
    <xf numFmtId="0" fontId="49" fillId="87" borderId="114" xfId="139" applyFont="1" applyFill="1" applyBorder="1"/>
    <xf numFmtId="0" fontId="49" fillId="87" borderId="115" xfId="139" applyFont="1" applyFill="1" applyBorder="1"/>
    <xf numFmtId="0" fontId="46" fillId="87" borderId="116" xfId="139" applyFont="1" applyFill="1" applyBorder="1"/>
    <xf numFmtId="3" fontId="46" fillId="87" borderId="0" xfId="139" applyNumberFormat="1" applyFont="1" applyFill="1" applyBorder="1" applyAlignment="1">
      <alignment horizontal="left"/>
    </xf>
    <xf numFmtId="0" fontId="49" fillId="87" borderId="0" xfId="139" applyFont="1" applyFill="1" applyBorder="1" applyAlignment="1">
      <alignment horizontal="right"/>
    </xf>
    <xf numFmtId="0" fontId="49" fillId="87" borderId="117" xfId="139" applyFont="1" applyFill="1" applyBorder="1" applyAlignment="1">
      <alignment horizontal="right"/>
    </xf>
    <xf numFmtId="3" fontId="46" fillId="87" borderId="116" xfId="139" applyNumberFormat="1" applyFont="1" applyFill="1" applyBorder="1" applyAlignment="1">
      <alignment horizontal="left"/>
    </xf>
    <xf numFmtId="0" fontId="46" fillId="87" borderId="116" xfId="139" applyFont="1" applyFill="1" applyBorder="1" applyAlignment="1">
      <alignment horizontal="left"/>
    </xf>
    <xf numFmtId="0" fontId="49" fillId="87" borderId="116" xfId="139" applyFont="1" applyFill="1" applyBorder="1"/>
    <xf numFmtId="4" fontId="49" fillId="87" borderId="0" xfId="139" applyNumberFormat="1" applyFont="1" applyFill="1" applyBorder="1" applyAlignment="1">
      <alignment horizontal="center"/>
    </xf>
    <xf numFmtId="0" fontId="49" fillId="87" borderId="0" xfId="139" applyFont="1" applyFill="1" applyBorder="1" applyAlignment="1">
      <alignment horizontal="center"/>
    </xf>
    <xf numFmtId="0" fontId="46" fillId="87" borderId="0" xfId="139" applyFont="1" applyFill="1" applyBorder="1" applyAlignment="1">
      <alignment horizontal="center"/>
    </xf>
    <xf numFmtId="0" fontId="46" fillId="87" borderId="117" xfId="139" applyFont="1" applyFill="1" applyBorder="1" applyAlignment="1">
      <alignment horizontal="center"/>
    </xf>
    <xf numFmtId="0" fontId="46" fillId="87" borderId="116" xfId="139" applyFont="1" applyFill="1" applyBorder="1" applyAlignment="1">
      <alignment horizontal="center"/>
    </xf>
    <xf numFmtId="14" fontId="46" fillId="87" borderId="0" xfId="139" applyNumberFormat="1" applyFont="1" applyFill="1" applyBorder="1" applyAlignment="1">
      <alignment horizontal="center"/>
    </xf>
    <xf numFmtId="14" fontId="46" fillId="87" borderId="117" xfId="139" quotePrefix="1" applyNumberFormat="1" applyFont="1" applyFill="1" applyBorder="1" applyAlignment="1">
      <alignment horizontal="center"/>
    </xf>
    <xf numFmtId="3" fontId="49" fillId="87" borderId="0" xfId="139" applyNumberFormat="1" applyFont="1" applyFill="1" applyBorder="1"/>
    <xf numFmtId="0" fontId="49" fillId="87" borderId="117" xfId="139" applyFont="1" applyFill="1" applyBorder="1"/>
    <xf numFmtId="164" fontId="49" fillId="87" borderId="0" xfId="79" applyNumberFormat="1" applyFont="1" applyFill="1" applyBorder="1"/>
    <xf numFmtId="164" fontId="49" fillId="87" borderId="117" xfId="79" applyNumberFormat="1" applyFont="1" applyFill="1" applyBorder="1"/>
    <xf numFmtId="164" fontId="46" fillId="87" borderId="0" xfId="79" applyNumberFormat="1" applyFont="1" applyFill="1" applyBorder="1"/>
    <xf numFmtId="164" fontId="46" fillId="87" borderId="117" xfId="79" applyNumberFormat="1" applyFont="1" applyFill="1" applyBorder="1"/>
    <xf numFmtId="0" fontId="49" fillId="87" borderId="116" xfId="139" applyFont="1" applyFill="1" applyBorder="1" applyAlignment="1">
      <alignment wrapText="1"/>
    </xf>
    <xf numFmtId="0" fontId="46" fillId="87" borderId="118" xfId="139" applyFont="1" applyFill="1" applyBorder="1"/>
    <xf numFmtId="164" fontId="46" fillId="87" borderId="2" xfId="79" applyNumberFormat="1" applyFont="1" applyFill="1" applyBorder="1"/>
    <xf numFmtId="164" fontId="46" fillId="87" borderId="119" xfId="79" applyNumberFormat="1" applyFont="1" applyFill="1" applyBorder="1"/>
    <xf numFmtId="0" fontId="46" fillId="27" borderId="113" xfId="139" applyFont="1" applyFill="1" applyBorder="1"/>
    <xf numFmtId="0" fontId="49" fillId="27" borderId="114" xfId="139" applyFont="1" applyFill="1" applyBorder="1"/>
    <xf numFmtId="0" fontId="49" fillId="27" borderId="115" xfId="139" applyFont="1" applyFill="1" applyBorder="1"/>
    <xf numFmtId="0" fontId="49" fillId="27" borderId="116" xfId="139" applyFont="1" applyFill="1" applyBorder="1"/>
    <xf numFmtId="0" fontId="49" fillId="27" borderId="0" xfId="139" applyFont="1" applyFill="1" applyBorder="1"/>
    <xf numFmtId="0" fontId="49" fillId="27" borderId="117" xfId="139" applyFont="1" applyFill="1" applyBorder="1"/>
    <xf numFmtId="164" fontId="49" fillId="27" borderId="0" xfId="79" applyNumberFormat="1" applyFont="1" applyFill="1" applyBorder="1"/>
    <xf numFmtId="164" fontId="46" fillId="27" borderId="0" xfId="79" applyNumberFormat="1" applyFont="1" applyFill="1" applyBorder="1" applyAlignment="1">
      <alignment horizontal="center"/>
    </xf>
    <xf numFmtId="164" fontId="49" fillId="27" borderId="117" xfId="79" applyNumberFormat="1" applyFont="1" applyFill="1" applyBorder="1"/>
    <xf numFmtId="0" fontId="46" fillId="27" borderId="116" xfId="139" applyFont="1" applyFill="1" applyBorder="1" applyAlignment="1">
      <alignment horizontal="center"/>
    </xf>
    <xf numFmtId="164" fontId="46" fillId="27" borderId="0" xfId="79" applyNumberFormat="1" applyFont="1" applyFill="1" applyBorder="1" applyAlignment="1">
      <alignment horizontal="center" wrapText="1"/>
    </xf>
    <xf numFmtId="164" fontId="46" fillId="27" borderId="0" xfId="79" quotePrefix="1" applyNumberFormat="1" applyFont="1" applyFill="1" applyBorder="1" applyAlignment="1">
      <alignment horizontal="center"/>
    </xf>
    <xf numFmtId="164" fontId="46" fillId="27" borderId="117" xfId="79" applyNumberFormat="1" applyFont="1" applyFill="1" applyBorder="1"/>
    <xf numFmtId="164" fontId="49" fillId="27" borderId="116" xfId="139" applyNumberFormat="1" applyFont="1" applyFill="1" applyBorder="1"/>
    <xf numFmtId="164" fontId="49" fillId="27" borderId="0" xfId="1" applyNumberFormat="1" applyFont="1" applyFill="1" applyBorder="1"/>
    <xf numFmtId="164" fontId="46" fillId="27" borderId="116" xfId="139" applyNumberFormat="1" applyFont="1" applyFill="1" applyBorder="1"/>
    <xf numFmtId="164" fontId="46" fillId="27" borderId="0" xfId="139" applyNumberFormat="1" applyFont="1" applyFill="1" applyBorder="1"/>
    <xf numFmtId="164" fontId="49" fillId="27" borderId="116" xfId="1" applyNumberFormat="1" applyFont="1" applyFill="1" applyBorder="1"/>
    <xf numFmtId="164" fontId="20" fillId="27" borderId="118" xfId="26" applyNumberFormat="1" applyFont="1" applyFill="1" applyBorder="1"/>
    <xf numFmtId="164" fontId="20" fillId="27" borderId="2" xfId="26" applyNumberFormat="1" applyFont="1" applyFill="1" applyBorder="1"/>
    <xf numFmtId="0" fontId="4" fillId="27" borderId="119" xfId="26" applyFill="1" applyBorder="1"/>
    <xf numFmtId="0" fontId="46" fillId="88" borderId="113" xfId="139" applyFont="1" applyFill="1" applyBorder="1"/>
    <xf numFmtId="0" fontId="49" fillId="88" borderId="114" xfId="139" applyFont="1" applyFill="1" applyBorder="1"/>
    <xf numFmtId="0" fontId="49" fillId="88" borderId="115" xfId="139" applyFont="1" applyFill="1" applyBorder="1"/>
    <xf numFmtId="0" fontId="49" fillId="88" borderId="116" xfId="139" applyFont="1" applyFill="1" applyBorder="1"/>
    <xf numFmtId="0" fontId="49" fillId="88" borderId="0" xfId="139" applyFont="1" applyFill="1" applyBorder="1"/>
    <xf numFmtId="0" fontId="49" fillId="88" borderId="117" xfId="139" applyFont="1" applyFill="1" applyBorder="1"/>
    <xf numFmtId="164" fontId="49" fillId="88" borderId="0" xfId="79" applyNumberFormat="1" applyFont="1" applyFill="1" applyBorder="1"/>
    <xf numFmtId="164" fontId="46" fillId="88" borderId="0" xfId="79" applyNumberFormat="1" applyFont="1" applyFill="1" applyBorder="1" applyAlignment="1">
      <alignment horizontal="center"/>
    </xf>
    <xf numFmtId="164" fontId="49" fillId="88" borderId="117" xfId="79" applyNumberFormat="1" applyFont="1" applyFill="1" applyBorder="1"/>
    <xf numFmtId="0" fontId="46" fillId="88" borderId="116" xfId="139" applyFont="1" applyFill="1" applyBorder="1" applyAlignment="1">
      <alignment horizontal="center"/>
    </xf>
    <xf numFmtId="164" fontId="46" fillId="88" borderId="0" xfId="79" applyNumberFormat="1" applyFont="1" applyFill="1" applyBorder="1" applyAlignment="1">
      <alignment horizontal="center" wrapText="1"/>
    </xf>
    <xf numFmtId="164" fontId="46" fillId="88" borderId="0" xfId="79" quotePrefix="1" applyNumberFormat="1" applyFont="1" applyFill="1" applyBorder="1" applyAlignment="1">
      <alignment horizontal="center"/>
    </xf>
    <xf numFmtId="164" fontId="46" fillId="88" borderId="117" xfId="79" applyNumberFormat="1" applyFont="1" applyFill="1" applyBorder="1"/>
    <xf numFmtId="164" fontId="49" fillId="88" borderId="116" xfId="139" applyNumberFormat="1" applyFont="1" applyFill="1" applyBorder="1"/>
    <xf numFmtId="164" fontId="49" fillId="88" borderId="0" xfId="1" applyNumberFormat="1" applyFont="1" applyFill="1" applyBorder="1"/>
    <xf numFmtId="164" fontId="46" fillId="88" borderId="116" xfId="139" applyNumberFormat="1" applyFont="1" applyFill="1" applyBorder="1"/>
    <xf numFmtId="164" fontId="46" fillId="88" borderId="0" xfId="139" applyNumberFormat="1" applyFont="1" applyFill="1" applyBorder="1"/>
    <xf numFmtId="164" fontId="49" fillId="88" borderId="116" xfId="1" applyNumberFormat="1" applyFont="1" applyFill="1" applyBorder="1"/>
    <xf numFmtId="164" fontId="20" fillId="88" borderId="118" xfId="26" applyNumberFormat="1" applyFont="1" applyFill="1" applyBorder="1"/>
    <xf numFmtId="164" fontId="20" fillId="88" borderId="2" xfId="26" applyNumberFormat="1" applyFont="1" applyFill="1" applyBorder="1"/>
    <xf numFmtId="0" fontId="4" fillId="88" borderId="119" xfId="26" applyFill="1" applyBorder="1"/>
    <xf numFmtId="0" fontId="166" fillId="8" borderId="0" xfId="0" applyFont="1" applyFill="1"/>
    <xf numFmtId="0" fontId="166" fillId="0" borderId="0" xfId="0" applyFont="1" applyFill="1"/>
    <xf numFmtId="1" fontId="165" fillId="0" borderId="0" xfId="0" applyNumberFormat="1" applyFont="1"/>
    <xf numFmtId="0" fontId="167" fillId="89" borderId="0" xfId="0" applyFont="1" applyFill="1"/>
    <xf numFmtId="0" fontId="166" fillId="89" borderId="0" xfId="0" applyFont="1" applyFill="1"/>
    <xf numFmtId="0" fontId="168" fillId="7" borderId="0" xfId="0" applyFont="1" applyFill="1"/>
    <xf numFmtId="0" fontId="166" fillId="7" borderId="0" xfId="0" applyFont="1" applyFill="1"/>
    <xf numFmtId="0" fontId="169" fillId="90" borderId="0" xfId="6" applyFont="1" applyFill="1"/>
    <xf numFmtId="3" fontId="169" fillId="90" borderId="0" xfId="6" applyNumberFormat="1" applyFont="1" applyFill="1"/>
    <xf numFmtId="0" fontId="169" fillId="90" borderId="0" xfId="0" applyFont="1" applyFill="1"/>
    <xf numFmtId="3" fontId="170" fillId="0" borderId="0" xfId="6" applyNumberFormat="1" applyFont="1" applyFill="1"/>
    <xf numFmtId="3" fontId="171" fillId="0" borderId="0" xfId="6" applyNumberFormat="1" applyFont="1" applyFill="1"/>
    <xf numFmtId="0" fontId="170" fillId="8" borderId="0" xfId="6" applyFont="1" applyFill="1"/>
    <xf numFmtId="0" fontId="172" fillId="8" borderId="0" xfId="0" applyFont="1" applyFill="1" applyAlignment="1">
      <alignment horizontal="left"/>
    </xf>
    <xf numFmtId="3" fontId="170" fillId="8" borderId="0" xfId="6" applyNumberFormat="1" applyFont="1" applyFill="1"/>
    <xf numFmtId="0" fontId="173" fillId="90" borderId="0" xfId="0" applyFont="1" applyFill="1"/>
    <xf numFmtId="3" fontId="171" fillId="8" borderId="0" xfId="6" applyNumberFormat="1" applyFont="1" applyFill="1"/>
    <xf numFmtId="0" fontId="174" fillId="8" borderId="0" xfId="0" applyFont="1" applyFill="1"/>
    <xf numFmtId="0" fontId="175" fillId="89" borderId="0" xfId="0" applyFont="1" applyFill="1"/>
    <xf numFmtId="0" fontId="174" fillId="7" borderId="0" xfId="0" applyFont="1" applyFill="1"/>
    <xf numFmtId="0" fontId="173" fillId="0" borderId="0" xfId="0" applyFont="1" applyFill="1" applyAlignment="1">
      <alignment horizontal="center"/>
    </xf>
    <xf numFmtId="0" fontId="177" fillId="0" borderId="0" xfId="0" applyFont="1" applyFill="1" applyAlignment="1">
      <alignment horizontal="center"/>
    </xf>
    <xf numFmtId="0" fontId="170" fillId="0" borderId="0" xfId="6" applyFont="1" applyFill="1" applyAlignment="1">
      <alignment horizontal="left"/>
    </xf>
    <xf numFmtId="186" fontId="174" fillId="8" borderId="0" xfId="0" applyNumberFormat="1" applyFont="1" applyFill="1"/>
    <xf numFmtId="5" fontId="174" fillId="8" borderId="0" xfId="0" applyNumberFormat="1" applyFont="1" applyFill="1"/>
    <xf numFmtId="0" fontId="174" fillId="0" borderId="0" xfId="0" applyFont="1" applyFill="1"/>
    <xf numFmtId="0" fontId="169" fillId="0" borderId="0" xfId="6" applyFont="1" applyFill="1" applyAlignment="1">
      <alignment horizontal="right"/>
    </xf>
    <xf numFmtId="3" fontId="169" fillId="0" borderId="0" xfId="6" applyNumberFormat="1" applyFont="1" applyFill="1"/>
    <xf numFmtId="0" fontId="173" fillId="0" borderId="0" xfId="0" applyFont="1" applyFill="1"/>
    <xf numFmtId="0" fontId="174" fillId="0" borderId="0" xfId="0" applyFont="1" applyFill="1" applyBorder="1"/>
    <xf numFmtId="5" fontId="174" fillId="0" borderId="0" xfId="0" applyNumberFormat="1" applyFont="1" applyFill="1" applyBorder="1"/>
    <xf numFmtId="186" fontId="174" fillId="0" borderId="0" xfId="0" quotePrefix="1" applyNumberFormat="1" applyFont="1" applyFill="1" applyBorder="1" applyAlignment="1">
      <alignment horizontal="right"/>
    </xf>
    <xf numFmtId="0" fontId="174" fillId="8" borderId="0" xfId="0" applyFont="1" applyFill="1" applyBorder="1"/>
    <xf numFmtId="5" fontId="174" fillId="8" borderId="0" xfId="0" applyNumberFormat="1" applyFont="1" applyFill="1" applyBorder="1"/>
    <xf numFmtId="186" fontId="174" fillId="8" borderId="0" xfId="0" quotePrefix="1" applyNumberFormat="1" applyFont="1" applyFill="1" applyBorder="1" applyAlignment="1">
      <alignment horizontal="right"/>
    </xf>
    <xf numFmtId="37" fontId="166" fillId="8" borderId="0" xfId="0" applyNumberFormat="1" applyFont="1" applyFill="1"/>
    <xf numFmtId="0" fontId="174" fillId="8" borderId="0" xfId="0" applyFont="1" applyFill="1" applyBorder="1" applyAlignment="1">
      <alignment horizontal="right"/>
    </xf>
    <xf numFmtId="43" fontId="174" fillId="8" borderId="0" xfId="1" applyFont="1" applyFill="1" applyBorder="1"/>
    <xf numFmtId="164" fontId="166" fillId="8" borderId="0" xfId="1" applyNumberFormat="1" applyFont="1" applyFill="1" applyBorder="1"/>
    <xf numFmtId="0" fontId="172" fillId="8" borderId="0" xfId="0" applyFont="1" applyFill="1" applyBorder="1" applyAlignment="1">
      <alignment horizontal="left"/>
    </xf>
    <xf numFmtId="5" fontId="174" fillId="8" borderId="0" xfId="0" quotePrefix="1" applyNumberFormat="1" applyFont="1" applyFill="1" applyBorder="1" applyAlignment="1">
      <alignment horizontal="right"/>
    </xf>
    <xf numFmtId="0" fontId="171" fillId="8" borderId="0" xfId="0" quotePrefix="1" applyFont="1" applyFill="1" applyAlignment="1">
      <alignment horizontal="left"/>
    </xf>
    <xf numFmtId="0" fontId="166" fillId="8" borderId="0" xfId="0" applyFont="1" applyFill="1" applyBorder="1"/>
    <xf numFmtId="0" fontId="168" fillId="8" borderId="0" xfId="0" applyFont="1" applyFill="1" applyAlignment="1">
      <alignment horizontal="center" wrapText="1"/>
    </xf>
    <xf numFmtId="43" fontId="170" fillId="8" borderId="0" xfId="1" applyFont="1" applyFill="1" applyAlignment="1">
      <alignment horizontal="left"/>
    </xf>
    <xf numFmtId="0" fontId="174" fillId="8" borderId="0" xfId="0" applyFont="1" applyFill="1" applyAlignment="1">
      <alignment horizontal="center"/>
    </xf>
    <xf numFmtId="9" fontId="166" fillId="8" borderId="0" xfId="0" applyNumberFormat="1" applyFont="1" applyFill="1"/>
    <xf numFmtId="9" fontId="166" fillId="8" borderId="1" xfId="0" applyNumberFormat="1" applyFont="1" applyFill="1" applyBorder="1"/>
    <xf numFmtId="9" fontId="166" fillId="8" borderId="0" xfId="2" applyFont="1" applyFill="1"/>
    <xf numFmtId="43" fontId="166" fillId="8" borderId="0" xfId="1" applyFont="1" applyFill="1"/>
    <xf numFmtId="43" fontId="166" fillId="8" borderId="1" xfId="1" applyFont="1" applyFill="1" applyBorder="1"/>
    <xf numFmtId="43" fontId="166" fillId="8" borderId="0" xfId="0" applyNumberFormat="1" applyFont="1" applyFill="1"/>
    <xf numFmtId="43" fontId="170" fillId="8" borderId="1" xfId="1" applyFont="1" applyFill="1" applyBorder="1" applyAlignment="1">
      <alignment horizontal="left"/>
    </xf>
    <xf numFmtId="43" fontId="170" fillId="8" borderId="0" xfId="1" applyFont="1" applyFill="1" applyBorder="1" applyAlignment="1">
      <alignment horizontal="left"/>
    </xf>
    <xf numFmtId="43" fontId="166" fillId="8" borderId="0" xfId="0" applyNumberFormat="1" applyFont="1" applyFill="1" applyBorder="1"/>
    <xf numFmtId="43" fontId="166" fillId="8" borderId="1" xfId="0" applyNumberFormat="1" applyFont="1" applyFill="1" applyBorder="1"/>
    <xf numFmtId="0" fontId="166" fillId="8" borderId="0" xfId="0" applyFont="1" applyFill="1" applyAlignment="1">
      <alignment horizontal="right"/>
    </xf>
    <xf numFmtId="166" fontId="166" fillId="8" borderId="0" xfId="2" applyNumberFormat="1" applyFont="1" applyFill="1"/>
    <xf numFmtId="173" fontId="166" fillId="8" borderId="0" xfId="141" applyNumberFormat="1" applyFont="1" applyFill="1"/>
    <xf numFmtId="173" fontId="166" fillId="8" borderId="1" xfId="141" applyNumberFormat="1" applyFont="1" applyFill="1" applyBorder="1"/>
    <xf numFmtId="0" fontId="172" fillId="8" borderId="0" xfId="0" applyFont="1" applyFill="1" applyAlignment="1">
      <alignment wrapText="1"/>
    </xf>
    <xf numFmtId="0" fontId="172" fillId="8" borderId="0" xfId="0" applyFont="1" applyFill="1" applyAlignment="1"/>
    <xf numFmtId="44" fontId="166" fillId="8" borderId="0" xfId="0" applyNumberFormat="1" applyFont="1" applyFill="1"/>
    <xf numFmtId="44" fontId="166" fillId="0" borderId="1" xfId="0" applyNumberFormat="1" applyFont="1" applyFill="1" applyBorder="1"/>
    <xf numFmtId="44" fontId="166" fillId="0" borderId="0" xfId="0" applyNumberFormat="1" applyFont="1" applyFill="1" applyBorder="1"/>
    <xf numFmtId="0" fontId="148" fillId="0" borderId="0" xfId="994" applyFont="1" applyAlignment="1"/>
    <xf numFmtId="164" fontId="1" fillId="0" borderId="0" xfId="0" applyNumberFormat="1" applyFont="1" applyBorder="1"/>
    <xf numFmtId="3" fontId="1" fillId="0" borderId="0" xfId="0" applyNumberFormat="1" applyFont="1" applyBorder="1"/>
    <xf numFmtId="44" fontId="1" fillId="0" borderId="0" xfId="141" applyFont="1" applyBorder="1"/>
    <xf numFmtId="44" fontId="148" fillId="0" borderId="0" xfId="994" applyNumberFormat="1" applyFont="1" applyAlignment="1"/>
    <xf numFmtId="0" fontId="179" fillId="0" borderId="113" xfId="0" applyFont="1" applyBorder="1"/>
    <xf numFmtId="0" fontId="180" fillId="0" borderId="121" xfId="0" applyFont="1" applyBorder="1" applyAlignment="1"/>
    <xf numFmtId="0" fontId="180" fillId="0" borderId="122" xfId="0" applyFont="1" applyBorder="1" applyAlignment="1">
      <alignment horizontal="center"/>
    </xf>
    <xf numFmtId="0" fontId="180" fillId="0" borderId="116" xfId="0" applyFont="1" applyBorder="1" applyAlignment="1">
      <alignment horizontal="right"/>
    </xf>
    <xf numFmtId="173" fontId="179" fillId="0" borderId="0" xfId="141" applyNumberFormat="1" applyFont="1" applyBorder="1"/>
    <xf numFmtId="10" fontId="180" fillId="0" borderId="0" xfId="2774" applyNumberFormat="1" applyFont="1" applyBorder="1"/>
    <xf numFmtId="9" fontId="180" fillId="0" borderId="117" xfId="2774" applyFont="1" applyBorder="1" applyAlignment="1">
      <alignment horizontal="center"/>
    </xf>
    <xf numFmtId="173" fontId="179" fillId="0" borderId="1" xfId="141" applyNumberFormat="1" applyFont="1" applyBorder="1"/>
    <xf numFmtId="173" fontId="180" fillId="0" borderId="0" xfId="141" applyNumberFormat="1" applyFont="1" applyBorder="1"/>
    <xf numFmtId="0" fontId="179" fillId="0" borderId="0" xfId="0" applyFont="1" applyBorder="1"/>
    <xf numFmtId="0" fontId="179" fillId="0" borderId="117" xfId="0" applyFont="1" applyBorder="1"/>
    <xf numFmtId="0" fontId="179" fillId="0" borderId="118" xfId="0" applyFont="1" applyBorder="1"/>
    <xf numFmtId="0" fontId="179" fillId="0" borderId="88" xfId="0" applyFont="1" applyBorder="1"/>
    <xf numFmtId="0" fontId="179" fillId="0" borderId="119" xfId="0" applyFont="1" applyBorder="1"/>
    <xf numFmtId="0" fontId="0" fillId="0" borderId="113" xfId="0" applyFont="1" applyBorder="1"/>
    <xf numFmtId="0" fontId="180" fillId="0" borderId="114" xfId="0" applyFont="1" applyBorder="1"/>
    <xf numFmtId="0" fontId="0" fillId="0" borderId="115" xfId="0" applyFont="1" applyBorder="1"/>
    <xf numFmtId="42" fontId="179" fillId="0" borderId="0" xfId="0" applyNumberFormat="1" applyFont="1" applyBorder="1"/>
    <xf numFmtId="173" fontId="179" fillId="0" borderId="117" xfId="0" applyNumberFormat="1" applyFont="1" applyBorder="1"/>
    <xf numFmtId="173" fontId="179" fillId="0" borderId="0" xfId="0" applyNumberFormat="1" applyFont="1" applyBorder="1"/>
    <xf numFmtId="0" fontId="179" fillId="0" borderId="116" xfId="0" applyFont="1" applyBorder="1"/>
    <xf numFmtId="0" fontId="180" fillId="0" borderId="118" xfId="0" applyFont="1" applyBorder="1" applyAlignment="1">
      <alignment horizontal="right"/>
    </xf>
    <xf numFmtId="10" fontId="180" fillId="0" borderId="88" xfId="0" applyNumberFormat="1" applyFont="1" applyBorder="1"/>
    <xf numFmtId="10" fontId="180" fillId="0" borderId="119" xfId="133" applyNumberFormat="1" applyFont="1" applyBorder="1"/>
    <xf numFmtId="164" fontId="27" fillId="86" borderId="0" xfId="1" applyNumberFormat="1" applyFont="1" applyFill="1" applyBorder="1"/>
    <xf numFmtId="187" fontId="3" fillId="8" borderId="0" xfId="26" applyNumberFormat="1" applyFont="1" applyFill="1" applyBorder="1"/>
    <xf numFmtId="0" fontId="0" fillId="0" borderId="0" xfId="0" applyFont="1" applyFill="1"/>
    <xf numFmtId="164" fontId="28" fillId="0" borderId="87" xfId="134" applyNumberFormat="1" applyFont="1" applyFill="1" applyBorder="1"/>
    <xf numFmtId="0" fontId="0" fillId="0" borderId="87" xfId="0" applyFill="1" applyBorder="1"/>
    <xf numFmtId="3" fontId="28" fillId="0" borderId="87" xfId="0" applyNumberFormat="1" applyFont="1" applyFill="1" applyBorder="1"/>
    <xf numFmtId="3" fontId="0" fillId="0" borderId="87" xfId="0" applyNumberFormat="1" applyFont="1" applyFill="1" applyBorder="1"/>
    <xf numFmtId="10" fontId="28" fillId="0" borderId="87" xfId="0" applyNumberFormat="1" applyFont="1" applyFill="1" applyBorder="1"/>
    <xf numFmtId="164" fontId="0" fillId="0" borderId="0" xfId="134" applyNumberFormat="1" applyFont="1" applyFill="1" applyBorder="1"/>
    <xf numFmtId="3" fontId="0" fillId="0" borderId="0" xfId="0" applyNumberFormat="1" applyFont="1" applyFill="1" applyBorder="1"/>
    <xf numFmtId="10" fontId="0" fillId="0" borderId="0" xfId="0" applyNumberFormat="1" applyFont="1" applyFill="1" applyBorder="1"/>
    <xf numFmtId="3" fontId="28" fillId="0" borderId="0" xfId="0" applyNumberFormat="1" applyFont="1" applyFill="1" applyBorder="1"/>
    <xf numFmtId="10" fontId="28" fillId="0" borderId="0" xfId="0" applyNumberFormat="1" applyFont="1" applyFill="1" applyBorder="1"/>
    <xf numFmtId="0" fontId="0" fillId="0" borderId="0" xfId="0" applyFont="1"/>
    <xf numFmtId="40" fontId="4" fillId="0" borderId="57" xfId="26" applyNumberFormat="1" applyBorder="1"/>
    <xf numFmtId="0" fontId="4" fillId="91" borderId="0" xfId="26" applyFill="1" applyAlignment="1">
      <alignment horizontal="left"/>
    </xf>
    <xf numFmtId="40" fontId="20" fillId="91" borderId="0" xfId="26" applyNumberFormat="1" applyFont="1" applyFill="1"/>
    <xf numFmtId="14" fontId="4" fillId="91" borderId="0" xfId="26" applyNumberFormat="1" applyFill="1"/>
    <xf numFmtId="0" fontId="4" fillId="91" borderId="0" xfId="26" applyFill="1"/>
    <xf numFmtId="164" fontId="0" fillId="0" borderId="87" xfId="79" applyNumberFormat="1" applyFont="1" applyBorder="1"/>
    <xf numFmtId="0" fontId="4" fillId="0" borderId="87" xfId="26" applyBorder="1"/>
    <xf numFmtId="44" fontId="4" fillId="0" borderId="0" xfId="26" applyNumberFormat="1" applyFill="1"/>
    <xf numFmtId="0" fontId="4" fillId="0" borderId="0" xfId="26" applyFill="1" applyAlignment="1">
      <alignment horizontal="left"/>
    </xf>
    <xf numFmtId="0" fontId="4" fillId="0" borderId="0" xfId="26" applyFill="1"/>
    <xf numFmtId="0" fontId="188" fillId="0" borderId="0" xfId="26" applyFont="1"/>
    <xf numFmtId="188" fontId="4" fillId="27" borderId="0" xfId="26" applyNumberFormat="1" applyFill="1"/>
    <xf numFmtId="0" fontId="20" fillId="0" borderId="120" xfId="16341" applyFont="1" applyBorder="1" applyAlignment="1">
      <alignment horizontal="right"/>
    </xf>
    <xf numFmtId="44" fontId="4" fillId="27" borderId="0" xfId="26" applyNumberFormat="1" applyFill="1"/>
    <xf numFmtId="0" fontId="64" fillId="0" borderId="0" xfId="26" applyFont="1"/>
    <xf numFmtId="0" fontId="4" fillId="27" borderId="0" xfId="26" applyFill="1" applyAlignment="1">
      <alignment horizontal="left"/>
    </xf>
    <xf numFmtId="0" fontId="4" fillId="27" borderId="0" xfId="26" applyFill="1" applyAlignment="1">
      <alignment horizontal="center"/>
    </xf>
    <xf numFmtId="40" fontId="20" fillId="27" borderId="0" xfId="26" applyNumberFormat="1" applyFont="1" applyFill="1" applyAlignment="1">
      <alignment horizontal="center"/>
    </xf>
    <xf numFmtId="40" fontId="20" fillId="27" borderId="0" xfId="26" applyNumberFormat="1" applyFont="1" applyFill="1"/>
    <xf numFmtId="14" fontId="4" fillId="27" borderId="0" xfId="26" applyNumberFormat="1" applyFill="1"/>
    <xf numFmtId="0" fontId="4" fillId="27" borderId="0" xfId="26" applyFill="1"/>
    <xf numFmtId="44" fontId="187" fillId="93" borderId="125" xfId="26" applyNumberFormat="1" applyFont="1" applyFill="1" applyBorder="1"/>
    <xf numFmtId="44" fontId="4" fillId="0" borderId="0" xfId="26" applyNumberFormat="1"/>
    <xf numFmtId="0" fontId="4" fillId="6" borderId="88" xfId="26" applyFill="1" applyBorder="1" applyAlignment="1">
      <alignment horizontal="left" vertical="top" wrapText="1"/>
    </xf>
    <xf numFmtId="0" fontId="186" fillId="6" borderId="88" xfId="26" applyFont="1" applyFill="1" applyBorder="1" applyAlignment="1">
      <alignment vertical="top"/>
    </xf>
    <xf numFmtId="0" fontId="20" fillId="6" borderId="88" xfId="26" applyFont="1" applyFill="1" applyBorder="1" applyAlignment="1">
      <alignment horizontal="center" vertical="top" wrapText="1"/>
    </xf>
    <xf numFmtId="0" fontId="4" fillId="6" borderId="88" xfId="26" applyFill="1" applyBorder="1" applyAlignment="1">
      <alignment horizontal="center" vertical="top"/>
    </xf>
    <xf numFmtId="0" fontId="0" fillId="0" borderId="119" xfId="0" applyFont="1" applyBorder="1"/>
    <xf numFmtId="0" fontId="0" fillId="0" borderId="88" xfId="0" applyFont="1" applyBorder="1"/>
    <xf numFmtId="0" fontId="0" fillId="0" borderId="118" xfId="0" applyFont="1" applyBorder="1"/>
    <xf numFmtId="0" fontId="0" fillId="0" borderId="0" xfId="0" applyFont="1" applyFill="1" applyBorder="1"/>
    <xf numFmtId="164" fontId="0" fillId="0" borderId="117" xfId="134" applyNumberFormat="1" applyFont="1" applyFill="1" applyBorder="1"/>
    <xf numFmtId="164" fontId="28" fillId="0" borderId="116" xfId="134" applyNumberFormat="1" applyFont="1" applyFill="1" applyBorder="1"/>
    <xf numFmtId="164" fontId="0" fillId="0" borderId="115" xfId="134" applyNumberFormat="1" applyFont="1" applyFill="1" applyBorder="1"/>
    <xf numFmtId="188" fontId="4" fillId="91" borderId="0" xfId="26" applyNumberFormat="1" applyFill="1"/>
    <xf numFmtId="0" fontId="189" fillId="0" borderId="0" xfId="26" applyFont="1"/>
    <xf numFmtId="40" fontId="4" fillId="0" borderId="0" xfId="26" applyNumberFormat="1"/>
    <xf numFmtId="188" fontId="4" fillId="6" borderId="88" xfId="26" applyNumberFormat="1" applyFill="1" applyBorder="1" applyAlignment="1">
      <alignment vertical="top"/>
    </xf>
    <xf numFmtId="0" fontId="4" fillId="91" borderId="0" xfId="26" applyFill="1" applyAlignment="1">
      <alignment horizontal="center"/>
    </xf>
    <xf numFmtId="0" fontId="4" fillId="6" borderId="88" xfId="26" applyFill="1" applyBorder="1" applyAlignment="1">
      <alignment vertical="top"/>
    </xf>
    <xf numFmtId="3" fontId="28" fillId="0" borderId="113" xfId="0" applyNumberFormat="1" applyFont="1" applyFill="1" applyBorder="1"/>
    <xf numFmtId="0" fontId="0" fillId="0" borderId="117" xfId="0" applyFill="1" applyBorder="1"/>
    <xf numFmtId="0" fontId="0" fillId="0" borderId="114" xfId="0" applyFill="1" applyBorder="1"/>
    <xf numFmtId="0" fontId="28" fillId="88" borderId="0" xfId="0" applyFont="1" applyFill="1" applyBorder="1" applyAlignment="1">
      <alignment horizontal="center"/>
    </xf>
    <xf numFmtId="40" fontId="20" fillId="91" borderId="0" xfId="26" applyNumberFormat="1" applyFont="1" applyFill="1" applyAlignment="1">
      <alignment horizontal="center"/>
    </xf>
    <xf numFmtId="44" fontId="20" fillId="0" borderId="120" xfId="854" applyFont="1" applyBorder="1"/>
    <xf numFmtId="0" fontId="0" fillId="0" borderId="0" xfId="0"/>
    <xf numFmtId="1" fontId="28" fillId="8" borderId="0" xfId="0" applyNumberFormat="1" applyFont="1" applyFill="1"/>
    <xf numFmtId="0" fontId="0" fillId="0" borderId="0" xfId="0" applyFill="1" applyBorder="1"/>
    <xf numFmtId="0" fontId="0" fillId="0" borderId="0" xfId="0" applyBorder="1"/>
    <xf numFmtId="0" fontId="28" fillId="0" borderId="0" xfId="0" applyFont="1"/>
    <xf numFmtId="0" fontId="0" fillId="0" borderId="0" xfId="0" applyFill="1"/>
    <xf numFmtId="0" fontId="28" fillId="8" borderId="0" xfId="0" applyFont="1" applyFill="1"/>
    <xf numFmtId="0" fontId="28" fillId="0" borderId="0" xfId="0" applyFont="1" applyFill="1"/>
    <xf numFmtId="0" fontId="28" fillId="88" borderId="0" xfId="0" applyFont="1" applyFill="1"/>
    <xf numFmtId="0" fontId="4" fillId="92" borderId="0" xfId="26" applyFill="1"/>
    <xf numFmtId="0" fontId="4" fillId="0" borderId="0" xfId="26"/>
    <xf numFmtId="0" fontId="4" fillId="0" borderId="0" xfId="26" applyFont="1"/>
    <xf numFmtId="0" fontId="20" fillId="0" borderId="0" xfId="26" applyFont="1"/>
    <xf numFmtId="0" fontId="4" fillId="0" borderId="0" xfId="26" applyAlignment="1">
      <alignment horizontal="right"/>
    </xf>
    <xf numFmtId="0" fontId="4" fillId="0" borderId="0" xfId="26" applyAlignment="1">
      <alignment horizontal="left"/>
    </xf>
    <xf numFmtId="0" fontId="181" fillId="0" borderId="0" xfId="26" applyFont="1"/>
    <xf numFmtId="0" fontId="182" fillId="0" borderId="0" xfId="26" applyFont="1"/>
    <xf numFmtId="0" fontId="183" fillId="0" borderId="0" xfId="26" applyFont="1" applyAlignment="1">
      <alignment horizontal="right" vertical="top"/>
    </xf>
    <xf numFmtId="0" fontId="184" fillId="0" borderId="0" xfId="26" applyFont="1"/>
    <xf numFmtId="0" fontId="20" fillId="92" borderId="1" xfId="26" applyFont="1" applyFill="1" applyBorder="1" applyAlignment="1">
      <alignment horizontal="centerContinuous"/>
    </xf>
    <xf numFmtId="0" fontId="20" fillId="2" borderId="1" xfId="26" applyFont="1" applyFill="1" applyBorder="1" applyAlignment="1">
      <alignment horizontal="centerContinuous"/>
    </xf>
    <xf numFmtId="0" fontId="4" fillId="2" borderId="1" xfId="26" applyFill="1" applyBorder="1" applyAlignment="1">
      <alignment horizontal="centerContinuous"/>
    </xf>
    <xf numFmtId="0" fontId="20" fillId="0" borderId="0" xfId="26" applyFont="1" applyAlignment="1">
      <alignment horizontal="right"/>
    </xf>
    <xf numFmtId="49" fontId="185" fillId="0" borderId="0" xfId="26" applyNumberFormat="1" applyFont="1" applyAlignment="1">
      <alignment horizontal="left"/>
    </xf>
    <xf numFmtId="0" fontId="4" fillId="0" borderId="0" xfId="26" applyFont="1" applyAlignment="1">
      <alignment horizontal="right"/>
    </xf>
    <xf numFmtId="0" fontId="185" fillId="0" borderId="0" xfId="26" applyFont="1"/>
    <xf numFmtId="39" fontId="185" fillId="0" borderId="0" xfId="79" applyNumberFormat="1" applyFont="1" applyAlignment="1">
      <alignment horizontal="left"/>
    </xf>
    <xf numFmtId="0" fontId="4" fillId="0" borderId="0" xfId="26" applyAlignment="1"/>
    <xf numFmtId="0" fontId="185" fillId="0" borderId="0" xfId="26" applyFont="1" applyAlignment="1">
      <alignment horizontal="left"/>
    </xf>
    <xf numFmtId="0" fontId="20" fillId="6" borderId="0" xfId="26" applyFont="1" applyFill="1"/>
    <xf numFmtId="0" fontId="4" fillId="6" borderId="0" xfId="26" applyFill="1"/>
    <xf numFmtId="40" fontId="20" fillId="6" borderId="0" xfId="79" applyNumberFormat="1" applyFont="1" applyFill="1"/>
    <xf numFmtId="0" fontId="4" fillId="0" borderId="0" xfId="26" applyAlignment="1">
      <alignment horizontal="left" indent="1"/>
    </xf>
    <xf numFmtId="38" fontId="20" fillId="6" borderId="0" xfId="79" applyNumberFormat="1" applyFont="1" applyFill="1"/>
    <xf numFmtId="0" fontId="4" fillId="0" borderId="0" xfId="26" applyNumberFormat="1" applyAlignment="1">
      <alignment horizontal="left"/>
    </xf>
    <xf numFmtId="188" fontId="4" fillId="0" borderId="0" xfId="26" applyNumberFormat="1"/>
    <xf numFmtId="0" fontId="4" fillId="2" borderId="89" xfId="26" applyFont="1" applyFill="1" applyBorder="1" applyAlignment="1">
      <alignment horizontal="centerContinuous"/>
    </xf>
    <xf numFmtId="0" fontId="4" fillId="2" borderId="87" xfId="26" applyFont="1" applyFill="1" applyBorder="1" applyAlignment="1">
      <alignment horizontal="centerContinuous"/>
    </xf>
    <xf numFmtId="0" fontId="4" fillId="2" borderId="55" xfId="26" applyFont="1" applyFill="1" applyBorder="1" applyAlignment="1">
      <alignment horizontal="centerContinuous"/>
    </xf>
    <xf numFmtId="0" fontId="4" fillId="6" borderId="123" xfId="26" applyFont="1" applyFill="1" applyBorder="1" applyAlignment="1">
      <alignment horizontal="center" vertical="top"/>
    </xf>
    <xf numFmtId="0" fontId="4" fillId="0" borderId="0" xfId="26" applyAlignment="1">
      <alignment vertical="top"/>
    </xf>
    <xf numFmtId="14" fontId="4" fillId="0" borderId="0" xfId="26" applyNumberFormat="1"/>
    <xf numFmtId="40" fontId="20" fillId="0" borderId="0" xfId="26" applyNumberFormat="1" applyFont="1"/>
    <xf numFmtId="40" fontId="20" fillId="0" borderId="0" xfId="26" applyNumberFormat="1" applyFont="1" applyAlignment="1">
      <alignment horizontal="center"/>
    </xf>
    <xf numFmtId="0" fontId="4" fillId="0" borderId="0" xfId="26" applyAlignment="1">
      <alignment horizontal="center"/>
    </xf>
    <xf numFmtId="40" fontId="4" fillId="0" borderId="0" xfId="79" applyNumberFormat="1"/>
    <xf numFmtId="0" fontId="4" fillId="0" borderId="57" xfId="26" applyBorder="1"/>
    <xf numFmtId="40" fontId="4" fillId="0" borderId="57" xfId="79" applyNumberFormat="1" applyBorder="1"/>
    <xf numFmtId="0" fontId="4" fillId="0" borderId="57" xfId="26" applyBorder="1" applyAlignment="1">
      <alignment horizontal="right"/>
    </xf>
    <xf numFmtId="0" fontId="4" fillId="0" borderId="0" xfId="26" applyBorder="1"/>
    <xf numFmtId="0" fontId="4" fillId="0" borderId="0" xfId="26" applyFont="1" applyFill="1"/>
    <xf numFmtId="0" fontId="187" fillId="93" borderId="124" xfId="26" applyFont="1" applyFill="1" applyBorder="1"/>
    <xf numFmtId="0" fontId="190" fillId="0" borderId="0" xfId="0" applyFont="1"/>
    <xf numFmtId="0" fontId="190" fillId="0" borderId="0" xfId="0" applyFont="1" applyBorder="1"/>
    <xf numFmtId="0" fontId="0" fillId="0" borderId="0" xfId="0" applyFont="1" applyBorder="1"/>
    <xf numFmtId="0" fontId="192" fillId="92" borderId="0" xfId="21484" applyFill="1"/>
    <xf numFmtId="0" fontId="192" fillId="0" borderId="0" xfId="21484"/>
    <xf numFmtId="0" fontId="4" fillId="0" borderId="0" xfId="21484" applyFont="1"/>
    <xf numFmtId="0" fontId="20" fillId="0" borderId="0" xfId="21484" applyFont="1"/>
    <xf numFmtId="0" fontId="192" fillId="0" borderId="0" xfId="21484" applyAlignment="1">
      <alignment horizontal="right"/>
    </xf>
    <xf numFmtId="0" fontId="192" fillId="0" borderId="0" xfId="21484" applyAlignment="1">
      <alignment horizontal="left"/>
    </xf>
    <xf numFmtId="0" fontId="181" fillId="0" borderId="0" xfId="21484" applyFont="1"/>
    <xf numFmtId="0" fontId="182" fillId="0" borderId="0" xfId="21484" applyFont="1"/>
    <xf numFmtId="0" fontId="183" fillId="0" borderId="0" xfId="21484" applyFont="1" applyAlignment="1">
      <alignment horizontal="right" vertical="top"/>
    </xf>
    <xf numFmtId="0" fontId="184" fillId="0" borderId="0" xfId="21484" applyFont="1"/>
    <xf numFmtId="0" fontId="20" fillId="92" borderId="1" xfId="21484" applyFont="1" applyFill="1" applyBorder="1" applyAlignment="1">
      <alignment horizontal="centerContinuous"/>
    </xf>
    <xf numFmtId="0" fontId="20" fillId="2" borderId="1" xfId="21484" applyFont="1" applyFill="1" applyBorder="1" applyAlignment="1">
      <alignment horizontal="centerContinuous"/>
    </xf>
    <xf numFmtId="0" fontId="192" fillId="2" borderId="1" xfId="21484" applyFill="1" applyBorder="1" applyAlignment="1">
      <alignment horizontal="centerContinuous"/>
    </xf>
    <xf numFmtId="0" fontId="20" fillId="0" borderId="0" xfId="21484" applyFont="1" applyAlignment="1">
      <alignment horizontal="right"/>
    </xf>
    <xf numFmtId="49" fontId="185" fillId="0" borderId="0" xfId="21484" applyNumberFormat="1" applyFont="1" applyAlignment="1">
      <alignment horizontal="left"/>
    </xf>
    <xf numFmtId="0" fontId="4" fillId="0" borderId="0" xfId="21484" applyFont="1" applyAlignment="1">
      <alignment horizontal="right"/>
    </xf>
    <xf numFmtId="0" fontId="185" fillId="0" borderId="0" xfId="21484" applyFont="1"/>
    <xf numFmtId="0" fontId="192" fillId="0" borderId="0" xfId="21484" applyAlignment="1"/>
    <xf numFmtId="0" fontId="185" fillId="0" borderId="0" xfId="21484" applyFont="1" applyAlignment="1">
      <alignment horizontal="left"/>
    </xf>
    <xf numFmtId="0" fontId="20" fillId="6" borderId="0" xfId="21484" applyFont="1" applyFill="1"/>
    <xf numFmtId="0" fontId="192" fillId="6" borderId="0" xfId="21484" applyFill="1"/>
    <xf numFmtId="0" fontId="192" fillId="0" borderId="0" xfId="21484" applyAlignment="1">
      <alignment horizontal="left" indent="1"/>
    </xf>
    <xf numFmtId="0" fontId="192" fillId="0" borderId="0" xfId="21484" applyNumberFormat="1" applyAlignment="1">
      <alignment horizontal="left"/>
    </xf>
    <xf numFmtId="188" fontId="192" fillId="0" borderId="0" xfId="21484" applyNumberFormat="1"/>
    <xf numFmtId="0" fontId="4" fillId="2" borderId="89" xfId="21484" applyFont="1" applyFill="1" applyBorder="1" applyAlignment="1">
      <alignment horizontal="centerContinuous"/>
    </xf>
    <xf numFmtId="0" fontId="4" fillId="2" borderId="87" xfId="21484" applyFont="1" applyFill="1" applyBorder="1" applyAlignment="1">
      <alignment horizontal="centerContinuous"/>
    </xf>
    <xf numFmtId="0" fontId="4" fillId="2" borderId="55" xfId="21484" applyFont="1" applyFill="1" applyBorder="1" applyAlignment="1">
      <alignment horizontal="centerContinuous"/>
    </xf>
    <xf numFmtId="0" fontId="192" fillId="6" borderId="88" xfId="21484" applyFill="1" applyBorder="1" applyAlignment="1">
      <alignment vertical="top"/>
    </xf>
    <xf numFmtId="0" fontId="192" fillId="6" borderId="88" xfId="21484" applyFill="1" applyBorder="1" applyAlignment="1">
      <alignment horizontal="center" vertical="top"/>
    </xf>
    <xf numFmtId="0" fontId="20" fillId="6" borderId="88" xfId="21484" applyFont="1" applyFill="1" applyBorder="1" applyAlignment="1">
      <alignment horizontal="center" vertical="top" wrapText="1"/>
    </xf>
    <xf numFmtId="0" fontId="186" fillId="6" borderId="88" xfId="21484" applyFont="1" applyFill="1" applyBorder="1" applyAlignment="1">
      <alignment vertical="top"/>
    </xf>
    <xf numFmtId="188" fontId="20" fillId="88" borderId="88" xfId="21484" applyNumberFormat="1" applyFont="1" applyFill="1" applyBorder="1" applyAlignment="1">
      <alignment horizontal="center" vertical="top"/>
    </xf>
    <xf numFmtId="0" fontId="20" fillId="88" borderId="88" xfId="21484" applyFont="1" applyFill="1" applyBorder="1" applyAlignment="1">
      <alignment horizontal="center" vertical="top"/>
    </xf>
    <xf numFmtId="0" fontId="20" fillId="48" borderId="88" xfId="21484" applyFont="1" applyFill="1" applyBorder="1" applyAlignment="1">
      <alignment vertical="top"/>
    </xf>
    <xf numFmtId="0" fontId="20" fillId="48" borderId="88" xfId="21484" applyFont="1" applyFill="1" applyBorder="1" applyAlignment="1">
      <alignment vertical="top" wrapText="1"/>
    </xf>
    <xf numFmtId="0" fontId="192" fillId="6" borderId="88" xfId="21484" applyFill="1" applyBorder="1" applyAlignment="1">
      <alignment horizontal="left" vertical="top" wrapText="1"/>
    </xf>
    <xf numFmtId="0" fontId="4" fillId="6" borderId="123" xfId="21484" applyFont="1" applyFill="1" applyBorder="1" applyAlignment="1">
      <alignment horizontal="center" vertical="top"/>
    </xf>
    <xf numFmtId="0" fontId="192" fillId="0" borderId="0" xfId="21484" applyAlignment="1">
      <alignment vertical="top"/>
    </xf>
    <xf numFmtId="0" fontId="192" fillId="0" borderId="1" xfId="21484" applyBorder="1"/>
    <xf numFmtId="14" fontId="192" fillId="0" borderId="1" xfId="21484" applyNumberFormat="1" applyBorder="1"/>
    <xf numFmtId="40" fontId="20" fillId="0" borderId="1" xfId="21484" applyNumberFormat="1" applyFont="1" applyBorder="1"/>
    <xf numFmtId="40" fontId="20" fillId="0" borderId="1" xfId="21484" applyNumberFormat="1" applyFont="1" applyBorder="1" applyAlignment="1">
      <alignment horizontal="center"/>
    </xf>
    <xf numFmtId="0" fontId="192" fillId="0" borderId="1" xfId="21484" applyBorder="1" applyAlignment="1">
      <alignment horizontal="center"/>
    </xf>
    <xf numFmtId="0" fontId="192" fillId="0" borderId="1" xfId="21484" applyBorder="1" applyAlignment="1">
      <alignment horizontal="left"/>
    </xf>
    <xf numFmtId="0" fontId="193" fillId="94" borderId="1" xfId="2901" applyNumberFormat="1" applyFont="1" applyFill="1" applyBorder="1" applyAlignment="1">
      <alignment horizontal="left" wrapText="1"/>
    </xf>
    <xf numFmtId="189" fontId="193" fillId="94" borderId="1" xfId="2901" applyNumberFormat="1" applyFont="1" applyFill="1" applyBorder="1" applyAlignment="1">
      <alignment horizontal="left"/>
    </xf>
    <xf numFmtId="0" fontId="192" fillId="27" borderId="1" xfId="21484" applyFill="1" applyBorder="1"/>
    <xf numFmtId="14" fontId="192" fillId="0" borderId="0" xfId="21484" applyNumberFormat="1"/>
    <xf numFmtId="40" fontId="20" fillId="0" borderId="0" xfId="21484" applyNumberFormat="1" applyFont="1"/>
    <xf numFmtId="40" fontId="20" fillId="0" borderId="0" xfId="21484" applyNumberFormat="1" applyFont="1" applyAlignment="1">
      <alignment horizontal="center"/>
    </xf>
    <xf numFmtId="0" fontId="192" fillId="0" borderId="0" xfId="21484" applyAlignment="1">
      <alignment horizontal="center"/>
    </xf>
    <xf numFmtId="0" fontId="193" fillId="94" borderId="0" xfId="2901" applyNumberFormat="1" applyFont="1" applyFill="1" applyAlignment="1">
      <alignment horizontal="left" wrapText="1"/>
    </xf>
    <xf numFmtId="189" fontId="193" fillId="94" borderId="0" xfId="2901" applyNumberFormat="1" applyFont="1" applyFill="1" applyAlignment="1">
      <alignment horizontal="left"/>
    </xf>
    <xf numFmtId="0" fontId="192" fillId="27" borderId="0" xfId="21484" applyFill="1"/>
    <xf numFmtId="0" fontId="4" fillId="0" borderId="0" xfId="21484" applyFont="1" applyAlignment="1">
      <alignment horizontal="left"/>
    </xf>
    <xf numFmtId="0" fontId="192" fillId="0" borderId="87" xfId="21484" applyBorder="1"/>
    <xf numFmtId="14" fontId="192" fillId="0" borderId="87" xfId="21484" applyNumberFormat="1" applyBorder="1"/>
    <xf numFmtId="40" fontId="20" fillId="0" borderId="87" xfId="21484" applyNumberFormat="1" applyFont="1" applyBorder="1"/>
    <xf numFmtId="40" fontId="20" fillId="0" borderId="87" xfId="21484" applyNumberFormat="1" applyFont="1" applyBorder="1" applyAlignment="1">
      <alignment horizontal="center"/>
    </xf>
    <xf numFmtId="0" fontId="192" fillId="0" borderId="87" xfId="21484" applyBorder="1" applyAlignment="1">
      <alignment horizontal="center"/>
    </xf>
    <xf numFmtId="0" fontId="192" fillId="0" borderId="87" xfId="21484" applyBorder="1" applyAlignment="1">
      <alignment horizontal="left"/>
    </xf>
    <xf numFmtId="0" fontId="193" fillId="94" borderId="87" xfId="2901" applyNumberFormat="1" applyFont="1" applyFill="1" applyBorder="1" applyAlignment="1">
      <alignment horizontal="left" wrapText="1"/>
    </xf>
    <xf numFmtId="189" fontId="193" fillId="94" borderId="87" xfId="2901" applyNumberFormat="1" applyFont="1" applyFill="1" applyBorder="1" applyAlignment="1">
      <alignment horizontal="left"/>
    </xf>
    <xf numFmtId="0" fontId="192" fillId="27" borderId="87" xfId="21484" applyFill="1" applyBorder="1"/>
    <xf numFmtId="0" fontId="192" fillId="0" borderId="57" xfId="21484" applyBorder="1"/>
    <xf numFmtId="0" fontId="192" fillId="0" borderId="57" xfId="21484" applyBorder="1" applyAlignment="1">
      <alignment horizontal="right"/>
    </xf>
    <xf numFmtId="0" fontId="192" fillId="0" borderId="0" xfId="21484" applyBorder="1"/>
    <xf numFmtId="0" fontId="192" fillId="0" borderId="0" xfId="21484"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43" fontId="0" fillId="0" borderId="0" xfId="0" applyNumberFormat="1"/>
    <xf numFmtId="44" fontId="192" fillId="0" borderId="0" xfId="141" applyFont="1"/>
    <xf numFmtId="44" fontId="192" fillId="0" borderId="1" xfId="141" applyFont="1" applyBorder="1"/>
    <xf numFmtId="44" fontId="20" fillId="0" borderId="0" xfId="21484" applyNumberFormat="1" applyFont="1"/>
    <xf numFmtId="43" fontId="192" fillId="0" borderId="0" xfId="1" applyFont="1"/>
    <xf numFmtId="43" fontId="192" fillId="34" borderId="0" xfId="1" applyFont="1" applyFill="1"/>
    <xf numFmtId="9" fontId="28" fillId="0" borderId="0" xfId="2" applyFont="1" applyBorder="1"/>
    <xf numFmtId="0" fontId="194" fillId="34" borderId="0" xfId="21485" applyFont="1" applyFill="1"/>
    <xf numFmtId="0" fontId="194" fillId="0" borderId="0" xfId="21485" applyFont="1" applyFill="1"/>
    <xf numFmtId="0" fontId="195" fillId="0" borderId="0" xfId="21485" applyFont="1" applyFill="1"/>
    <xf numFmtId="0" fontId="195" fillId="0" borderId="0" xfId="21485" applyFont="1"/>
    <xf numFmtId="0" fontId="194" fillId="0" borderId="0" xfId="21485" applyFont="1"/>
    <xf numFmtId="164" fontId="195" fillId="0" borderId="0" xfId="21485" applyNumberFormat="1" applyFont="1"/>
    <xf numFmtId="2" fontId="195" fillId="0" borderId="0" xfId="21485" applyNumberFormat="1" applyFont="1"/>
    <xf numFmtId="0" fontId="194" fillId="0" borderId="0" xfId="21485" applyFont="1" applyFill="1" applyAlignment="1">
      <alignment horizontal="center" wrapText="1"/>
    </xf>
    <xf numFmtId="0" fontId="194" fillId="91" borderId="0" xfId="21485" applyFont="1" applyFill="1" applyAlignment="1">
      <alignment horizontal="center"/>
    </xf>
    <xf numFmtId="17" fontId="194" fillId="91" borderId="0" xfId="21485" applyNumberFormat="1" applyFont="1" applyFill="1" applyAlignment="1">
      <alignment horizontal="center"/>
    </xf>
    <xf numFmtId="17" fontId="194" fillId="82" borderId="0" xfId="21485" applyNumberFormat="1" applyFont="1" applyFill="1" applyAlignment="1">
      <alignment horizontal="center"/>
    </xf>
    <xf numFmtId="17" fontId="194" fillId="88" borderId="0" xfId="21485" applyNumberFormat="1" applyFont="1" applyFill="1" applyAlignment="1">
      <alignment horizontal="center"/>
    </xf>
    <xf numFmtId="0" fontId="194" fillId="0" borderId="0" xfId="21485" applyFont="1" applyAlignment="1">
      <alignment horizontal="center"/>
    </xf>
    <xf numFmtId="0" fontId="194" fillId="0" borderId="0" xfId="21485" applyFont="1" applyFill="1" applyAlignment="1">
      <alignment horizontal="center"/>
    </xf>
    <xf numFmtId="14" fontId="194" fillId="91" borderId="0" xfId="21485" quotePrefix="1" applyNumberFormat="1" applyFont="1" applyFill="1" applyAlignment="1">
      <alignment horizontal="center" wrapText="1"/>
    </xf>
    <xf numFmtId="0" fontId="194" fillId="82" borderId="0" xfId="21485" applyFont="1" applyFill="1" applyAlignment="1">
      <alignment horizontal="center" wrapText="1"/>
    </xf>
    <xf numFmtId="0" fontId="194" fillId="88" borderId="0" xfId="21485" applyFont="1" applyFill="1" applyAlignment="1">
      <alignment horizontal="center" wrapText="1"/>
    </xf>
    <xf numFmtId="0" fontId="196" fillId="0" borderId="0" xfId="21485" applyFont="1" applyFill="1" applyAlignment="1">
      <alignment horizontal="left"/>
    </xf>
    <xf numFmtId="0" fontId="197" fillId="0" borderId="0" xfId="21485" applyFont="1" applyFill="1" applyAlignment="1">
      <alignment horizontal="center"/>
    </xf>
    <xf numFmtId="0" fontId="196" fillId="0" borderId="0" xfId="21485" applyFont="1" applyFill="1" applyAlignment="1">
      <alignment horizontal="center"/>
    </xf>
    <xf numFmtId="0" fontId="194" fillId="0" borderId="0" xfId="21485" applyFont="1" applyFill="1" applyAlignment="1">
      <alignment horizontal="left"/>
    </xf>
    <xf numFmtId="0" fontId="195" fillId="0" borderId="0" xfId="21486" applyFont="1" applyFill="1"/>
    <xf numFmtId="43" fontId="195" fillId="0" borderId="0" xfId="79" applyFont="1" applyFill="1" applyAlignment="1">
      <alignment horizontal="center"/>
    </xf>
    <xf numFmtId="164" fontId="195" fillId="0" borderId="0" xfId="79" applyNumberFormat="1" applyFont="1" applyFill="1"/>
    <xf numFmtId="43" fontId="195" fillId="0" borderId="0" xfId="79" applyFont="1" applyFill="1"/>
    <xf numFmtId="164" fontId="195" fillId="0" borderId="0" xfId="21485" applyNumberFormat="1" applyFont="1" applyFill="1"/>
    <xf numFmtId="43" fontId="195" fillId="0" borderId="0" xfId="21485" applyNumberFormat="1" applyFont="1" applyFill="1"/>
    <xf numFmtId="164" fontId="195" fillId="0" borderId="0" xfId="79" applyNumberFormat="1" applyFont="1"/>
    <xf numFmtId="43" fontId="195" fillId="0" borderId="0" xfId="79" applyFont="1"/>
    <xf numFmtId="43" fontId="195" fillId="0" borderId="0" xfId="21485" applyNumberFormat="1" applyFont="1"/>
    <xf numFmtId="0" fontId="195" fillId="0" borderId="0" xfId="21485" applyFont="1" applyFill="1" applyBorder="1"/>
    <xf numFmtId="0" fontId="194" fillId="0" borderId="0" xfId="21485" applyFont="1" applyFill="1" applyBorder="1" applyAlignment="1">
      <alignment horizontal="right"/>
    </xf>
    <xf numFmtId="44" fontId="198" fillId="0" borderId="87" xfId="358" applyFont="1" applyFill="1" applyBorder="1"/>
    <xf numFmtId="44" fontId="198" fillId="34" borderId="87" xfId="358" applyFont="1" applyFill="1" applyBorder="1"/>
    <xf numFmtId="43" fontId="198" fillId="0" borderId="87" xfId="79" applyFont="1" applyFill="1" applyBorder="1"/>
    <xf numFmtId="44" fontId="199" fillId="0" borderId="0" xfId="358" applyFont="1" applyFill="1" applyBorder="1"/>
    <xf numFmtId="4" fontId="195" fillId="0" borderId="0" xfId="79" applyNumberFormat="1" applyFont="1" applyFill="1"/>
    <xf numFmtId="0" fontId="194" fillId="0" borderId="0" xfId="21485" applyFont="1" applyFill="1" applyBorder="1"/>
    <xf numFmtId="44" fontId="195" fillId="0" borderId="0" xfId="21485" applyNumberFormat="1" applyFont="1"/>
    <xf numFmtId="164" fontId="195" fillId="0" borderId="0" xfId="79" applyNumberFormat="1" applyFont="1" applyFill="1" applyBorder="1"/>
    <xf numFmtId="0" fontId="195" fillId="0" borderId="0" xfId="21485" applyFont="1" applyBorder="1"/>
    <xf numFmtId="43" fontId="199" fillId="0" borderId="0" xfId="79" applyFont="1" applyFill="1" applyBorder="1"/>
    <xf numFmtId="43" fontId="197" fillId="0" borderId="0" xfId="79" applyFont="1" applyFill="1" applyAlignment="1">
      <alignment horizontal="center"/>
    </xf>
    <xf numFmtId="43" fontId="197" fillId="0" borderId="0" xfId="21485" applyNumberFormat="1" applyFont="1" applyFill="1" applyBorder="1" applyAlignment="1">
      <alignment horizontal="center"/>
    </xf>
    <xf numFmtId="43" fontId="195" fillId="0" borderId="0" xfId="21485" applyNumberFormat="1" applyFont="1" applyBorder="1"/>
    <xf numFmtId="0" fontId="179" fillId="0" borderId="0" xfId="0" applyFont="1" applyFill="1"/>
    <xf numFmtId="44" fontId="0" fillId="0" borderId="0" xfId="358" applyFont="1" applyFill="1"/>
    <xf numFmtId="164" fontId="0" fillId="0" borderId="0" xfId="79" applyNumberFormat="1" applyFont="1" applyFill="1"/>
    <xf numFmtId="164" fontId="198" fillId="0" borderId="87" xfId="79" applyNumberFormat="1" applyFont="1" applyFill="1" applyBorder="1"/>
    <xf numFmtId="44" fontId="195" fillId="0" borderId="0" xfId="358" applyFont="1" applyFill="1"/>
    <xf numFmtId="0" fontId="200" fillId="0" borderId="0" xfId="21485" applyFont="1"/>
    <xf numFmtId="0" fontId="200" fillId="0" borderId="0" xfId="21486" applyFont="1" applyFill="1"/>
    <xf numFmtId="43" fontId="200" fillId="0" borderId="0" xfId="79" applyFont="1" applyFill="1" applyAlignment="1">
      <alignment horizontal="center"/>
    </xf>
    <xf numFmtId="164" fontId="200" fillId="0" borderId="0" xfId="79" applyNumberFormat="1" applyFont="1" applyFill="1"/>
    <xf numFmtId="164" fontId="200" fillId="0" borderId="0" xfId="79" applyNumberFormat="1" applyFont="1"/>
    <xf numFmtId="0" fontId="96" fillId="0" borderId="0" xfId="0" applyFont="1"/>
    <xf numFmtId="164" fontId="200" fillId="0" borderId="0" xfId="21485" applyNumberFormat="1" applyFont="1"/>
    <xf numFmtId="0" fontId="200" fillId="88" borderId="0" xfId="21485" applyFont="1" applyFill="1"/>
    <xf numFmtId="0" fontId="200" fillId="88" borderId="0" xfId="21486" applyFont="1" applyFill="1"/>
    <xf numFmtId="164" fontId="200" fillId="88" borderId="0" xfId="79" applyNumberFormat="1" applyFont="1" applyFill="1"/>
    <xf numFmtId="0" fontId="200" fillId="0" borderId="0" xfId="21485" applyFont="1" applyFill="1"/>
    <xf numFmtId="0" fontId="96" fillId="0" borderId="0" xfId="0" applyFont="1" applyFill="1"/>
    <xf numFmtId="164" fontId="200" fillId="0" borderId="0" xfId="21485" applyNumberFormat="1" applyFont="1" applyFill="1"/>
    <xf numFmtId="0" fontId="179" fillId="0" borderId="0" xfId="0" applyFont="1"/>
    <xf numFmtId="43" fontId="195" fillId="0" borderId="0" xfId="79" applyFont="1" applyFill="1" applyBorder="1"/>
    <xf numFmtId="0" fontId="194" fillId="0" borderId="0" xfId="21485" applyFont="1" applyFill="1" applyAlignment="1">
      <alignment horizontal="right"/>
    </xf>
    <xf numFmtId="44" fontId="194" fillId="0" borderId="4" xfId="21485" applyNumberFormat="1" applyFont="1" applyFill="1" applyBorder="1"/>
    <xf numFmtId="43" fontId="194" fillId="0" borderId="4" xfId="79" applyFont="1" applyFill="1" applyBorder="1"/>
    <xf numFmtId="43" fontId="194" fillId="0" borderId="0" xfId="79" applyFont="1" applyFill="1" applyAlignment="1">
      <alignment horizontal="right"/>
    </xf>
    <xf numFmtId="43" fontId="194" fillId="0" borderId="0" xfId="79" applyFont="1" applyFill="1"/>
    <xf numFmtId="43" fontId="194" fillId="0" borderId="0" xfId="21485" applyNumberFormat="1" applyFont="1"/>
    <xf numFmtId="44" fontId="195" fillId="0" borderId="0" xfId="21485" applyNumberFormat="1" applyFont="1" applyFill="1"/>
    <xf numFmtId="44" fontId="194" fillId="0" borderId="0" xfId="21485" applyNumberFormat="1" applyFont="1" applyFill="1"/>
    <xf numFmtId="43" fontId="194" fillId="0" borderId="0" xfId="79" applyFont="1"/>
    <xf numFmtId="0" fontId="202" fillId="0" borderId="0" xfId="21485" applyFont="1" applyFill="1" applyBorder="1"/>
    <xf numFmtId="0" fontId="150" fillId="0" borderId="0" xfId="21485" applyFont="1" applyFill="1" applyBorder="1"/>
    <xf numFmtId="43" fontId="197" fillId="0" borderId="0" xfId="21485" applyNumberFormat="1" applyFont="1" applyFill="1" applyAlignment="1">
      <alignment horizontal="center"/>
    </xf>
    <xf numFmtId="0" fontId="204" fillId="88" borderId="0" xfId="0" applyFont="1" applyFill="1"/>
    <xf numFmtId="43" fontId="200" fillId="88" borderId="0" xfId="79" applyFont="1" applyFill="1" applyAlignment="1">
      <alignment horizontal="center"/>
    </xf>
    <xf numFmtId="0" fontId="96" fillId="88" borderId="0" xfId="0" applyFont="1" applyFill="1"/>
    <xf numFmtId="0" fontId="202" fillId="0" borderId="0" xfId="21485" applyFont="1"/>
    <xf numFmtId="0" fontId="203" fillId="0" borderId="0" xfId="21485" applyFont="1" applyAlignment="1">
      <alignment horizontal="left"/>
    </xf>
    <xf numFmtId="0" fontId="203" fillId="0" borderId="0" xfId="21485" applyFont="1" applyAlignment="1">
      <alignment horizontal="center"/>
    </xf>
    <xf numFmtId="0" fontId="150" fillId="0" borderId="0" xfId="21485" applyFont="1" applyAlignment="1">
      <alignment horizontal="left"/>
    </xf>
    <xf numFmtId="0" fontId="205" fillId="0" borderId="0" xfId="21485" applyFont="1" applyFill="1"/>
    <xf numFmtId="0" fontId="150" fillId="0" borderId="0" xfId="21485" applyFont="1" applyBorder="1" applyAlignment="1">
      <alignment horizontal="right"/>
    </xf>
    <xf numFmtId="0" fontId="202" fillId="0" borderId="0" xfId="21485" applyFont="1" applyBorder="1"/>
    <xf numFmtId="0" fontId="150" fillId="0" borderId="0" xfId="21485" applyFont="1" applyBorder="1"/>
    <xf numFmtId="164" fontId="200" fillId="88" borderId="0" xfId="21485" applyNumberFormat="1" applyFont="1" applyFill="1"/>
    <xf numFmtId="173" fontId="198" fillId="0" borderId="87" xfId="358" applyNumberFormat="1" applyFont="1" applyFill="1" applyBorder="1"/>
    <xf numFmtId="173" fontId="195" fillId="0" borderId="0" xfId="21485" applyNumberFormat="1" applyFont="1" applyFill="1"/>
    <xf numFmtId="173" fontId="195" fillId="0" borderId="0" xfId="21485" applyNumberFormat="1" applyFont="1"/>
    <xf numFmtId="173" fontId="194" fillId="0" borderId="4" xfId="21485" applyNumberFormat="1" applyFont="1" applyFill="1" applyBorder="1"/>
    <xf numFmtId="11" fontId="4" fillId="0" borderId="0" xfId="26" applyNumberFormat="1"/>
    <xf numFmtId="43" fontId="4" fillId="0" borderId="0" xfId="26" applyNumberFormat="1"/>
    <xf numFmtId="44" fontId="4" fillId="0" borderId="1" xfId="26" applyNumberFormat="1" applyBorder="1"/>
    <xf numFmtId="44" fontId="4" fillId="0" borderId="0" xfId="141" applyFont="1"/>
    <xf numFmtId="10" fontId="195" fillId="0" borderId="0" xfId="21485" applyNumberFormat="1" applyFont="1"/>
    <xf numFmtId="44" fontId="195" fillId="0" borderId="0" xfId="141" applyFont="1" applyFill="1"/>
    <xf numFmtId="44" fontId="195" fillId="0" borderId="0" xfId="141" applyFont="1"/>
    <xf numFmtId="44" fontId="194" fillId="0" borderId="0" xfId="141" applyFont="1" applyAlignment="1">
      <alignment horizontal="center"/>
    </xf>
    <xf numFmtId="44" fontId="194" fillId="0" borderId="0" xfId="141" applyFont="1"/>
    <xf numFmtId="44" fontId="198" fillId="0" borderId="87" xfId="141" applyFont="1" applyFill="1" applyBorder="1"/>
    <xf numFmtId="44" fontId="200" fillId="0" borderId="0" xfId="141" applyFont="1"/>
    <xf numFmtId="44" fontId="200" fillId="0" borderId="0" xfId="141" applyFont="1" applyFill="1"/>
    <xf numFmtId="44" fontId="194" fillId="0" borderId="4" xfId="141" applyFont="1" applyFill="1" applyBorder="1"/>
    <xf numFmtId="0" fontId="194" fillId="0" borderId="0" xfId="21485" applyFont="1" applyAlignment="1">
      <alignment horizontal="right"/>
    </xf>
    <xf numFmtId="0" fontId="194" fillId="0" borderId="1" xfId="21485" applyFont="1" applyBorder="1" applyAlignment="1">
      <alignment horizontal="center"/>
    </xf>
    <xf numFmtId="44" fontId="194" fillId="0" borderId="1" xfId="141" applyFont="1" applyBorder="1" applyAlignment="1">
      <alignment horizontal="center"/>
    </xf>
    <xf numFmtId="10" fontId="114" fillId="18" borderId="1" xfId="694" applyNumberFormat="1" applyFont="1" applyFill="1" applyBorder="1" applyAlignment="1">
      <alignment horizontal="left"/>
    </xf>
    <xf numFmtId="41" fontId="110" fillId="18" borderId="126" xfId="690" applyNumberFormat="1" applyFont="1" applyBorder="1"/>
    <xf numFmtId="9" fontId="0" fillId="0" borderId="0" xfId="2" applyFont="1" applyFill="1" applyBorder="1"/>
    <xf numFmtId="9" fontId="3" fillId="0" borderId="0" xfId="2" applyFont="1" applyFill="1" applyBorder="1"/>
    <xf numFmtId="1" fontId="46" fillId="0" borderId="0" xfId="0" applyNumberFormat="1" applyFont="1" applyBorder="1" applyAlignment="1">
      <alignment horizontal="left"/>
    </xf>
    <xf numFmtId="0" fontId="46" fillId="0" borderId="0" xfId="0" applyFont="1" applyBorder="1"/>
    <xf numFmtId="1" fontId="49" fillId="0" borderId="0" xfId="0" applyNumberFormat="1" applyFont="1" applyBorder="1" applyAlignment="1">
      <alignment horizontal="right"/>
    </xf>
    <xf numFmtId="0" fontId="49" fillId="0" borderId="0" xfId="0" applyFont="1" applyBorder="1"/>
    <xf numFmtId="164" fontId="206" fillId="0" borderId="0" xfId="1" applyNumberFormat="1" applyFont="1" applyBorder="1"/>
    <xf numFmtId="0" fontId="206" fillId="0" borderId="0" xfId="0" applyFont="1" applyBorder="1"/>
    <xf numFmtId="3" fontId="206" fillId="0" borderId="0" xfId="0" applyNumberFormat="1" applyFont="1" applyBorder="1"/>
    <xf numFmtId="43" fontId="206" fillId="0" borderId="0" xfId="1" applyFont="1" applyBorder="1"/>
    <xf numFmtId="3" fontId="206" fillId="0" borderId="0" xfId="0" applyNumberFormat="1" applyFont="1" applyFill="1" applyBorder="1"/>
    <xf numFmtId="0" fontId="206" fillId="0" borderId="0" xfId="0" applyFont="1" applyFill="1" applyBorder="1"/>
    <xf numFmtId="164" fontId="206" fillId="0" borderId="87" xfId="1" applyNumberFormat="1" applyFont="1" applyBorder="1"/>
    <xf numFmtId="0" fontId="194" fillId="0" borderId="0" xfId="21485" applyFont="1" applyAlignment="1">
      <alignment horizontal="center"/>
    </xf>
    <xf numFmtId="0" fontId="194" fillId="87" borderId="0" xfId="21485" applyFont="1" applyFill="1" applyAlignment="1">
      <alignment horizontal="center"/>
    </xf>
    <xf numFmtId="188" fontId="20" fillId="88" borderId="88" xfId="26" applyNumberFormat="1" applyFont="1" applyFill="1" applyBorder="1" applyAlignment="1">
      <alignment horizontal="center" vertical="top"/>
    </xf>
    <xf numFmtId="0" fontId="20" fillId="88" borderId="88" xfId="26" applyFont="1" applyFill="1" applyBorder="1" applyAlignment="1">
      <alignment horizontal="center" vertical="top"/>
    </xf>
    <xf numFmtId="0" fontId="20" fillId="48" borderId="88" xfId="26" applyFont="1" applyFill="1" applyBorder="1" applyAlignment="1">
      <alignment vertical="top"/>
    </xf>
    <xf numFmtId="0" fontId="20" fillId="48" borderId="88" xfId="26" applyFont="1" applyFill="1" applyBorder="1" applyAlignment="1">
      <alignment vertical="top" wrapText="1"/>
    </xf>
    <xf numFmtId="0" fontId="4" fillId="0" borderId="0" xfId="26" applyFont="1" applyAlignment="1">
      <alignment horizontal="left"/>
    </xf>
    <xf numFmtId="188" fontId="4" fillId="94" borderId="0" xfId="26" applyNumberFormat="1" applyFill="1"/>
    <xf numFmtId="0" fontId="4" fillId="94" borderId="0" xfId="26" applyFont="1" applyFill="1" applyAlignment="1">
      <alignment horizontal="left"/>
    </xf>
    <xf numFmtId="14" fontId="4" fillId="94" borderId="0" xfId="26" applyNumberFormat="1" applyFill="1" applyAlignment="1">
      <alignment horizontal="left"/>
    </xf>
    <xf numFmtId="0" fontId="4" fillId="94" borderId="0" xfId="26" applyFill="1" applyAlignment="1">
      <alignment horizontal="left"/>
    </xf>
    <xf numFmtId="14" fontId="4" fillId="0" borderId="1" xfId="26" applyNumberFormat="1" applyBorder="1"/>
    <xf numFmtId="40" fontId="20" fillId="0" borderId="1" xfId="26" applyNumberFormat="1" applyFont="1" applyBorder="1"/>
    <xf numFmtId="40" fontId="20" fillId="0" borderId="1" xfId="26" applyNumberFormat="1" applyFont="1" applyBorder="1" applyAlignment="1">
      <alignment horizontal="center"/>
    </xf>
    <xf numFmtId="0" fontId="4" fillId="0" borderId="1" xfId="26" applyBorder="1" applyAlignment="1">
      <alignment horizontal="center"/>
    </xf>
    <xf numFmtId="0" fontId="4" fillId="0" borderId="1" xfId="26" applyBorder="1" applyAlignment="1">
      <alignment horizontal="left"/>
    </xf>
    <xf numFmtId="188" fontId="4" fillId="94" borderId="1" xfId="26" applyNumberFormat="1" applyFill="1" applyBorder="1"/>
    <xf numFmtId="0" fontId="4" fillId="94" borderId="1" xfId="26" applyFill="1" applyBorder="1" applyAlignment="1">
      <alignment horizontal="left"/>
    </xf>
    <xf numFmtId="0" fontId="4" fillId="27" borderId="1" xfId="26" applyFill="1" applyBorder="1"/>
    <xf numFmtId="0" fontId="4" fillId="0" borderId="1" xfId="26" applyFont="1" applyBorder="1" applyAlignment="1">
      <alignment horizontal="left"/>
    </xf>
    <xf numFmtId="0" fontId="4" fillId="0" borderId="0" xfId="26" applyNumberFormat="1"/>
    <xf numFmtId="164" fontId="166" fillId="27" borderId="0" xfId="1" applyNumberFormat="1" applyFont="1" applyFill="1"/>
    <xf numFmtId="1" fontId="165" fillId="8" borderId="0" xfId="0" applyNumberFormat="1" applyFont="1" applyFill="1"/>
    <xf numFmtId="4" fontId="170" fillId="8" borderId="0" xfId="21487" applyNumberFormat="1" applyFont="1" applyFill="1" applyBorder="1"/>
    <xf numFmtId="167" fontId="170" fillId="8" borderId="0" xfId="21487" applyFont="1" applyFill="1" applyBorder="1"/>
    <xf numFmtId="167" fontId="168" fillId="8" borderId="0" xfId="21487" applyFont="1" applyFill="1" applyBorder="1"/>
    <xf numFmtId="2" fontId="170" fillId="8" borderId="0" xfId="21487" applyNumberFormat="1" applyFont="1" applyFill="1" applyBorder="1"/>
    <xf numFmtId="10" fontId="168" fillId="8" borderId="0" xfId="21487" applyNumberFormat="1" applyFont="1" applyFill="1" applyBorder="1"/>
    <xf numFmtId="4" fontId="170" fillId="8" borderId="0" xfId="21487" applyNumberFormat="1" applyFont="1" applyFill="1" applyBorder="1" applyAlignment="1">
      <alignment horizontal="center"/>
    </xf>
    <xf numFmtId="10" fontId="168" fillId="8" borderId="0" xfId="2" applyNumberFormat="1" applyFont="1" applyFill="1" applyBorder="1"/>
    <xf numFmtId="4" fontId="168" fillId="8" borderId="0" xfId="21488" applyNumberFormat="1" applyFont="1" applyFill="1" applyBorder="1" applyAlignment="1"/>
    <xf numFmtId="4" fontId="170" fillId="8" borderId="0" xfId="21487" quotePrefix="1" applyNumberFormat="1" applyFont="1" applyFill="1" applyBorder="1" applyAlignment="1">
      <alignment horizontal="center"/>
    </xf>
    <xf numFmtId="2" fontId="170" fillId="8" borderId="0" xfId="21487" applyNumberFormat="1" applyFont="1" applyFill="1" applyBorder="1" applyAlignment="1">
      <alignment horizontal="right"/>
    </xf>
    <xf numFmtId="4" fontId="170" fillId="95" borderId="0" xfId="21488" applyNumberFormat="1" applyFont="1" applyFill="1" applyBorder="1" applyAlignment="1"/>
    <xf numFmtId="14" fontId="167" fillId="95" borderId="0" xfId="21487" applyNumberFormat="1" applyFont="1" applyFill="1" applyBorder="1" applyAlignment="1">
      <alignment horizontal="center"/>
    </xf>
    <xf numFmtId="167" fontId="167" fillId="95" borderId="0" xfId="21487" applyFont="1" applyFill="1" applyBorder="1"/>
    <xf numFmtId="2" fontId="167" fillId="95" borderId="0" xfId="21487" applyNumberFormat="1" applyFont="1" applyFill="1" applyBorder="1" applyAlignment="1">
      <alignment horizontal="right"/>
    </xf>
    <xf numFmtId="2" fontId="167" fillId="95" borderId="0" xfId="21487" applyNumberFormat="1" applyFont="1" applyFill="1" applyBorder="1"/>
    <xf numFmtId="2" fontId="167" fillId="95" borderId="0" xfId="21487" applyNumberFormat="1" applyFont="1" applyFill="1" applyBorder="1" applyAlignment="1">
      <alignment horizontal="center"/>
    </xf>
    <xf numFmtId="0" fontId="170" fillId="95" borderId="0" xfId="21488" applyFont="1" applyFill="1" applyBorder="1" applyAlignment="1">
      <alignment horizontal="center"/>
    </xf>
    <xf numFmtId="4" fontId="167" fillId="95" borderId="0" xfId="21487" applyNumberFormat="1" applyFont="1" applyFill="1" applyBorder="1" applyAlignment="1">
      <alignment horizontal="center"/>
    </xf>
    <xf numFmtId="43" fontId="168" fillId="95" borderId="0" xfId="21488" applyNumberFormat="1" applyFont="1" applyFill="1" applyBorder="1"/>
    <xf numFmtId="43" fontId="168" fillId="7" borderId="0" xfId="21488" applyNumberFormat="1" applyFont="1" applyFill="1" applyBorder="1"/>
    <xf numFmtId="4" fontId="168" fillId="7" borderId="0" xfId="21487" applyNumberFormat="1" applyFont="1" applyFill="1" applyBorder="1" applyAlignment="1">
      <alignment horizontal="center"/>
    </xf>
    <xf numFmtId="167" fontId="168" fillId="7" borderId="0" xfId="21487" applyFont="1" applyFill="1" applyBorder="1"/>
    <xf numFmtId="2" fontId="168" fillId="7" borderId="0" xfId="21487" applyNumberFormat="1" applyFont="1" applyFill="1" applyBorder="1" applyAlignment="1">
      <alignment horizontal="right"/>
    </xf>
    <xf numFmtId="2" fontId="168" fillId="7" borderId="0" xfId="21487" applyNumberFormat="1" applyFont="1" applyFill="1" applyBorder="1" applyAlignment="1">
      <alignment horizontal="center"/>
    </xf>
    <xf numFmtId="4" fontId="170" fillId="7" borderId="0" xfId="21487" applyNumberFormat="1" applyFont="1" applyFill="1" applyBorder="1"/>
    <xf numFmtId="43" fontId="170" fillId="8" borderId="0" xfId="21488" applyNumberFormat="1" applyFont="1" applyFill="1" applyBorder="1"/>
    <xf numFmtId="4" fontId="170" fillId="8" borderId="0" xfId="21487" applyNumberFormat="1" applyFont="1" applyFill="1" applyBorder="1" applyAlignment="1">
      <alignment horizontal="right"/>
    </xf>
    <xf numFmtId="2" fontId="168" fillId="8" borderId="0" xfId="21487" applyNumberFormat="1" applyFont="1" applyFill="1" applyBorder="1" applyAlignment="1">
      <alignment horizontal="center"/>
    </xf>
    <xf numFmtId="43" fontId="168" fillId="8" borderId="0" xfId="21488" applyNumberFormat="1" applyFont="1" applyFill="1" applyBorder="1"/>
    <xf numFmtId="4" fontId="168" fillId="8" borderId="0" xfId="21487" applyNumberFormat="1" applyFont="1" applyFill="1" applyBorder="1" applyAlignment="1">
      <alignment horizontal="center"/>
    </xf>
    <xf numFmtId="2" fontId="168" fillId="8" borderId="0" xfId="21487" applyNumberFormat="1" applyFont="1" applyFill="1" applyBorder="1" applyAlignment="1">
      <alignment horizontal="right"/>
    </xf>
    <xf numFmtId="4" fontId="170" fillId="7" borderId="0" xfId="21487" applyNumberFormat="1" applyFont="1" applyFill="1" applyBorder="1" applyAlignment="1">
      <alignment horizontal="right"/>
    </xf>
    <xf numFmtId="167" fontId="170" fillId="8" borderId="0" xfId="21487" applyFont="1" applyFill="1" applyBorder="1" applyAlignment="1">
      <alignment horizontal="right"/>
    </xf>
    <xf numFmtId="167" fontId="170" fillId="7" borderId="0" xfId="21487" applyFont="1" applyFill="1" applyBorder="1" applyAlignment="1">
      <alignment horizontal="right"/>
    </xf>
    <xf numFmtId="2" fontId="170" fillId="7" borderId="0" xfId="21487" applyNumberFormat="1" applyFont="1" applyFill="1" applyBorder="1" applyAlignment="1">
      <alignment horizontal="right"/>
    </xf>
    <xf numFmtId="4" fontId="168" fillId="8" borderId="0" xfId="21487" applyNumberFormat="1" applyFont="1" applyFill="1" applyBorder="1" applyAlignment="1">
      <alignment horizontal="right"/>
    </xf>
    <xf numFmtId="167" fontId="168" fillId="8" borderId="0" xfId="21487" applyFont="1" applyFill="1" applyBorder="1" applyAlignment="1">
      <alignment horizontal="right"/>
    </xf>
    <xf numFmtId="4" fontId="168" fillId="8" borderId="0" xfId="21487" applyNumberFormat="1" applyFont="1" applyFill="1" applyBorder="1"/>
    <xf numFmtId="43" fontId="168" fillId="8" borderId="0" xfId="21487" applyNumberFormat="1" applyFont="1" applyFill="1" applyBorder="1" applyAlignment="1">
      <alignment horizontal="right"/>
    </xf>
    <xf numFmtId="4" fontId="208" fillId="8" borderId="0" xfId="21487" applyNumberFormat="1" applyFont="1" applyFill="1" applyBorder="1"/>
    <xf numFmtId="166" fontId="170" fillId="8" borderId="0" xfId="2" applyNumberFormat="1" applyFont="1" applyFill="1" applyBorder="1"/>
    <xf numFmtId="167" fontId="170" fillId="7" borderId="0" xfId="21487" applyFont="1" applyFill="1" applyBorder="1"/>
    <xf numFmtId="2" fontId="170" fillId="7" borderId="0" xfId="21487" applyNumberFormat="1" applyFont="1" applyFill="1" applyBorder="1"/>
    <xf numFmtId="167" fontId="170" fillId="0" borderId="0" xfId="21487" applyFont="1" applyFill="1" applyBorder="1"/>
    <xf numFmtId="4" fontId="170" fillId="0" borderId="0" xfId="21487" applyNumberFormat="1" applyFont="1" applyFill="1" applyBorder="1"/>
    <xf numFmtId="2" fontId="168" fillId="8" borderId="0" xfId="21487" applyNumberFormat="1" applyFont="1" applyFill="1" applyBorder="1"/>
    <xf numFmtId="167" fontId="209" fillId="8" borderId="0" xfId="21487" applyFont="1" applyFill="1" applyBorder="1"/>
    <xf numFmtId="4" fontId="209" fillId="8" borderId="0" xfId="21487" applyNumberFormat="1" applyFont="1" applyFill="1" applyBorder="1"/>
    <xf numFmtId="2" fontId="209" fillId="8" borderId="0" xfId="21487" applyNumberFormat="1" applyFont="1" applyFill="1" applyBorder="1" applyAlignment="1">
      <alignment horizontal="right"/>
    </xf>
    <xf numFmtId="2" fontId="209" fillId="8" borderId="0" xfId="21487" applyNumberFormat="1" applyFont="1" applyFill="1" applyBorder="1"/>
    <xf numFmtId="2" fontId="170" fillId="7" borderId="0" xfId="21487" applyNumberFormat="1" applyFont="1" applyFill="1" applyBorder="1" applyAlignment="1">
      <alignment horizontal="center"/>
    </xf>
    <xf numFmtId="2" fontId="170" fillId="8" borderId="0" xfId="21487" applyNumberFormat="1" applyFont="1" applyFill="1" applyBorder="1" applyAlignment="1">
      <alignment horizontal="center"/>
    </xf>
    <xf numFmtId="4" fontId="210" fillId="8" borderId="0" xfId="21487" applyNumberFormat="1" applyFont="1" applyFill="1" applyBorder="1"/>
    <xf numFmtId="167" fontId="210" fillId="8" borderId="0" xfId="21487" applyFont="1" applyFill="1" applyBorder="1"/>
    <xf numFmtId="2" fontId="210" fillId="8" borderId="0" xfId="21487" applyNumberFormat="1" applyFont="1" applyFill="1" applyBorder="1" applyAlignment="1">
      <alignment horizontal="right"/>
    </xf>
    <xf numFmtId="2" fontId="210" fillId="8" borderId="0" xfId="21487" applyNumberFormat="1" applyFont="1" applyFill="1" applyBorder="1"/>
    <xf numFmtId="167" fontId="211" fillId="8" borderId="0" xfId="21487" applyFont="1" applyFill="1" applyBorder="1"/>
    <xf numFmtId="43" fontId="123" fillId="8" borderId="0" xfId="21488" applyNumberFormat="1" applyFont="1" applyFill="1" applyBorder="1"/>
    <xf numFmtId="43" fontId="212" fillId="8" borderId="0" xfId="21488" applyNumberFormat="1" applyFont="1" applyFill="1" applyBorder="1"/>
    <xf numFmtId="43" fontId="123" fillId="8" borderId="0" xfId="21488" applyNumberFormat="1" applyFont="1" applyFill="1" applyBorder="1" applyAlignment="1">
      <alignment horizontal="left"/>
    </xf>
    <xf numFmtId="4" fontId="123" fillId="8" borderId="0" xfId="21488" applyNumberFormat="1" applyFont="1" applyFill="1" applyBorder="1" applyAlignment="1"/>
    <xf numFmtId="43" fontId="213" fillId="8" borderId="0" xfId="21488" applyNumberFormat="1" applyFont="1" applyFill="1" applyBorder="1"/>
    <xf numFmtId="4" fontId="213" fillId="8" borderId="0" xfId="21488" applyNumberFormat="1" applyFont="1" applyFill="1" applyBorder="1" applyAlignment="1"/>
    <xf numFmtId="4" fontId="214" fillId="8" borderId="0" xfId="21488" applyNumberFormat="1" applyFont="1" applyFill="1" applyBorder="1" applyAlignment="1"/>
    <xf numFmtId="43" fontId="214" fillId="8" borderId="0" xfId="21488" applyNumberFormat="1" applyFont="1" applyFill="1" applyBorder="1"/>
    <xf numFmtId="43" fontId="213" fillId="8" borderId="0" xfId="21488" applyNumberFormat="1" applyFont="1" applyFill="1" applyBorder="1" applyAlignment="1">
      <alignment horizontal="left"/>
    </xf>
    <xf numFmtId="0" fontId="2" fillId="8" borderId="0" xfId="21488" applyFont="1" applyFill="1" applyBorder="1"/>
    <xf numFmtId="0" fontId="3" fillId="8" borderId="0" xfId="21488" applyFont="1" applyFill="1" applyBorder="1"/>
    <xf numFmtId="0" fontId="176" fillId="0" borderId="0" xfId="0" applyFont="1" applyFill="1"/>
    <xf numFmtId="0" fontId="168" fillId="0" borderId="1" xfId="6" applyFont="1" applyFill="1" applyBorder="1" applyAlignment="1">
      <alignment horizontal="center"/>
    </xf>
    <xf numFmtId="0" fontId="170" fillId="0" borderId="0" xfId="6" applyFont="1" applyFill="1" applyAlignment="1">
      <alignment horizontal="right"/>
    </xf>
    <xf numFmtId="173" fontId="165" fillId="0" borderId="0" xfId="0" applyNumberFormat="1" applyFont="1" applyFill="1"/>
    <xf numFmtId="0" fontId="170" fillId="0" borderId="0" xfId="6" applyFont="1" applyFill="1"/>
    <xf numFmtId="3" fontId="168" fillId="0" borderId="87" xfId="6" applyNumberFormat="1" applyFont="1" applyFill="1" applyBorder="1"/>
    <xf numFmtId="3" fontId="168" fillId="0" borderId="0" xfId="6" applyNumberFormat="1" applyFont="1" applyFill="1"/>
    <xf numFmtId="0" fontId="174" fillId="0" borderId="0" xfId="0" applyFont="1" applyFill="1" applyAlignment="1">
      <alignment horizontal="right"/>
    </xf>
    <xf numFmtId="3" fontId="174" fillId="0" borderId="4" xfId="0" applyNumberFormat="1" applyFont="1" applyFill="1" applyBorder="1"/>
    <xf numFmtId="0" fontId="202" fillId="0" borderId="0" xfId="21485" applyFont="1" applyFill="1"/>
    <xf numFmtId="0" fontId="150" fillId="0" borderId="0" xfId="21485" applyFont="1" applyFill="1" applyBorder="1" applyAlignment="1">
      <alignment horizontal="right"/>
    </xf>
    <xf numFmtId="0" fontId="204" fillId="0" borderId="0" xfId="0" applyFont="1" applyFill="1"/>
    <xf numFmtId="0" fontId="203" fillId="0" borderId="0" xfId="21485" applyFont="1" applyFill="1" applyAlignment="1">
      <alignment horizontal="left"/>
    </xf>
    <xf numFmtId="0" fontId="203" fillId="0" borderId="0" xfId="21485" applyFont="1" applyFill="1" applyAlignment="1">
      <alignment horizontal="center"/>
    </xf>
    <xf numFmtId="0" fontId="150" fillId="0" borderId="0" xfId="21485" applyFont="1" applyFill="1" applyAlignment="1">
      <alignment horizontal="left"/>
    </xf>
    <xf numFmtId="0" fontId="0" fillId="0" borderId="0" xfId="0"/>
    <xf numFmtId="0" fontId="195" fillId="0" borderId="0" xfId="21485" applyFont="1"/>
    <xf numFmtId="0" fontId="0" fillId="0" borderId="0" xfId="0"/>
    <xf numFmtId="0" fontId="0" fillId="0" borderId="0" xfId="0" applyFill="1"/>
    <xf numFmtId="0" fontId="195" fillId="0" borderId="0" xfId="21485" applyFont="1"/>
    <xf numFmtId="0" fontId="0" fillId="0" borderId="0" xfId="0" applyFill="1" applyAlignment="1">
      <alignment horizontal="left"/>
    </xf>
    <xf numFmtId="0" fontId="172" fillId="8" borderId="0" xfId="21485" applyFont="1" applyFill="1"/>
    <xf numFmtId="43" fontId="169" fillId="34" borderId="0" xfId="1" applyFont="1" applyFill="1"/>
    <xf numFmtId="10" fontId="2" fillId="0" borderId="1" xfId="26" applyNumberFormat="1" applyFont="1" applyFill="1" applyBorder="1" applyAlignment="1">
      <alignment horizontal="left"/>
    </xf>
    <xf numFmtId="10" fontId="2" fillId="0" borderId="1" xfId="26" applyNumberFormat="1" applyFont="1" applyFill="1" applyBorder="1" applyAlignment="1">
      <alignment horizontal="center"/>
    </xf>
    <xf numFmtId="41" fontId="110" fillId="18" borderId="1" xfId="690" applyNumberFormat="1" applyFont="1" applyBorder="1"/>
    <xf numFmtId="9" fontId="99" fillId="23" borderId="0" xfId="2" applyFont="1" applyFill="1"/>
    <xf numFmtId="43" fontId="99" fillId="23" borderId="0" xfId="690" applyNumberFormat="1" applyFill="1"/>
    <xf numFmtId="178" fontId="99" fillId="23" borderId="0" xfId="2" applyNumberFormat="1" applyFont="1" applyFill="1"/>
    <xf numFmtId="165" fontId="3" fillId="0" borderId="0" xfId="26" applyNumberFormat="1" applyFont="1" applyFill="1" applyBorder="1"/>
    <xf numFmtId="10" fontId="195" fillId="0" borderId="0" xfId="2" applyNumberFormat="1" applyFont="1"/>
    <xf numFmtId="44" fontId="195" fillId="0" borderId="1" xfId="141" applyFont="1" applyBorder="1"/>
    <xf numFmtId="0" fontId="2" fillId="0" borderId="0" xfId="21491" applyNumberFormat="1" applyFont="1" applyAlignment="1">
      <alignment horizontal="left"/>
    </xf>
    <xf numFmtId="0" fontId="3" fillId="0" borderId="0" xfId="21491" applyNumberFormat="1" applyFont="1"/>
    <xf numFmtId="167" fontId="2" fillId="0" borderId="0" xfId="21491" applyFont="1"/>
    <xf numFmtId="167" fontId="3" fillId="0" borderId="0" xfId="21491" applyFont="1" applyAlignment="1">
      <alignment horizontal="left"/>
    </xf>
    <xf numFmtId="43" fontId="3" fillId="0" borderId="0" xfId="79" applyFont="1" applyAlignment="1">
      <alignment horizontal="left"/>
    </xf>
    <xf numFmtId="167" fontId="3" fillId="0" borderId="0" xfId="21491" applyFont="1" applyFill="1" applyAlignment="1">
      <alignment horizontal="left"/>
    </xf>
    <xf numFmtId="167" fontId="3" fillId="0" borderId="0" xfId="21491" applyFont="1"/>
    <xf numFmtId="43" fontId="3" fillId="0" borderId="0" xfId="79" applyFont="1"/>
    <xf numFmtId="0" fontId="3" fillId="0" borderId="0" xfId="21491" applyNumberFormat="1" applyFont="1" applyBorder="1"/>
    <xf numFmtId="167" fontId="3" fillId="0" borderId="0" xfId="21491" applyFont="1" applyBorder="1"/>
    <xf numFmtId="167" fontId="3" fillId="0" borderId="0" xfId="21491" applyFont="1" applyBorder="1" applyAlignment="1">
      <alignment horizontal="left"/>
    </xf>
    <xf numFmtId="43" fontId="3" fillId="0" borderId="0" xfId="79" applyFont="1" applyBorder="1" applyAlignment="1">
      <alignment horizontal="left"/>
    </xf>
    <xf numFmtId="167" fontId="3" fillId="0" borderId="0" xfId="21491" applyFont="1" applyFill="1" applyBorder="1" applyAlignment="1">
      <alignment horizontal="left"/>
    </xf>
    <xf numFmtId="0" fontId="3" fillId="0" borderId="88" xfId="21491" applyNumberFormat="1" applyFont="1" applyBorder="1"/>
    <xf numFmtId="167" fontId="3" fillId="0" borderId="88" xfId="21491" applyFont="1" applyBorder="1"/>
    <xf numFmtId="167" fontId="3" fillId="0" borderId="88" xfId="21491" applyFont="1" applyBorder="1" applyAlignment="1">
      <alignment horizontal="left"/>
    </xf>
    <xf numFmtId="43" fontId="3" fillId="0" borderId="88" xfId="79" applyFont="1" applyBorder="1" applyAlignment="1">
      <alignment horizontal="left"/>
    </xf>
    <xf numFmtId="167" fontId="3" fillId="0" borderId="88" xfId="21491" applyFont="1" applyFill="1" applyBorder="1" applyAlignment="1">
      <alignment horizontal="left"/>
    </xf>
    <xf numFmtId="167" fontId="3" fillId="0" borderId="113" xfId="21491" applyFont="1" applyBorder="1"/>
    <xf numFmtId="0" fontId="3" fillId="0" borderId="114" xfId="21491" applyNumberFormat="1" applyFont="1" applyBorder="1"/>
    <xf numFmtId="4" fontId="3" fillId="0" borderId="114" xfId="21491" applyNumberFormat="1" applyFont="1" applyBorder="1"/>
    <xf numFmtId="167" fontId="3" fillId="0" borderId="114" xfId="21491" applyFont="1" applyBorder="1" applyAlignment="1">
      <alignment horizontal="left"/>
    </xf>
    <xf numFmtId="167" fontId="3" fillId="7" borderId="114" xfId="21491" applyFont="1" applyFill="1" applyBorder="1" applyAlignment="1">
      <alignment horizontal="left"/>
    </xf>
    <xf numFmtId="43" fontId="3" fillId="7" borderId="114" xfId="79" applyFont="1" applyFill="1" applyBorder="1" applyAlignment="1">
      <alignment horizontal="left"/>
    </xf>
    <xf numFmtId="167" fontId="3" fillId="0" borderId="115" xfId="21491" applyFont="1" applyFill="1" applyBorder="1" applyAlignment="1">
      <alignment horizontal="left"/>
    </xf>
    <xf numFmtId="14" fontId="3" fillId="0" borderId="0" xfId="21491" applyNumberFormat="1" applyFont="1" applyFill="1" applyAlignment="1">
      <alignment horizontal="center"/>
    </xf>
    <xf numFmtId="43" fontId="3" fillId="0" borderId="0" xfId="79" applyFont="1" applyFill="1" applyAlignment="1">
      <alignment horizontal="center"/>
    </xf>
    <xf numFmtId="167" fontId="2" fillId="0" borderId="127" xfId="21491" applyFont="1" applyBorder="1" applyAlignment="1">
      <alignment horizontal="center"/>
    </xf>
    <xf numFmtId="0" fontId="2" fillId="0" borderId="128" xfId="21491" applyNumberFormat="1" applyFont="1" applyBorder="1" applyAlignment="1">
      <alignment horizontal="center"/>
    </xf>
    <xf numFmtId="167" fontId="2" fillId="0" borderId="128" xfId="21491" applyFont="1" applyBorder="1" applyAlignment="1">
      <alignment horizontal="center"/>
    </xf>
    <xf numFmtId="167" fontId="2" fillId="7" borderId="88" xfId="21491" applyFont="1" applyFill="1" applyBorder="1" applyAlignment="1">
      <alignment horizontal="center" wrapText="1"/>
    </xf>
    <xf numFmtId="167" fontId="2" fillId="7" borderId="88" xfId="21491" applyFont="1" applyFill="1" applyBorder="1" applyAlignment="1">
      <alignment horizontal="center"/>
    </xf>
    <xf numFmtId="43" fontId="2" fillId="7" borderId="88" xfId="79" applyFont="1" applyFill="1" applyBorder="1" applyAlignment="1">
      <alignment horizontal="center"/>
    </xf>
    <xf numFmtId="167" fontId="2" fillId="0" borderId="119" xfId="21491" applyFont="1" applyFill="1" applyBorder="1" applyAlignment="1">
      <alignment horizontal="center" wrapText="1"/>
    </xf>
    <xf numFmtId="167" fontId="2" fillId="0" borderId="116" xfId="21491" applyFont="1" applyBorder="1" applyAlignment="1">
      <alignment horizontal="center"/>
    </xf>
    <xf numFmtId="0" fontId="2" fillId="0" borderId="0" xfId="21491" applyNumberFormat="1" applyFont="1" applyBorder="1" applyAlignment="1">
      <alignment horizontal="center"/>
    </xf>
    <xf numFmtId="167" fontId="2" fillId="0" borderId="0" xfId="21491" applyFont="1" applyBorder="1" applyAlignment="1">
      <alignment horizontal="center"/>
    </xf>
    <xf numFmtId="167" fontId="2" fillId="7" borderId="0" xfId="21491" applyFont="1" applyFill="1" applyBorder="1" applyAlignment="1">
      <alignment horizontal="center"/>
    </xf>
    <xf numFmtId="43" fontId="2" fillId="7" borderId="0" xfId="79" applyFont="1" applyFill="1" applyBorder="1" applyAlignment="1">
      <alignment horizontal="center"/>
    </xf>
    <xf numFmtId="167" fontId="2" fillId="0" borderId="117" xfId="21491" applyFont="1" applyFill="1" applyBorder="1" applyAlignment="1">
      <alignment horizontal="center" wrapText="1"/>
    </xf>
    <xf numFmtId="167" fontId="2" fillId="96" borderId="129" xfId="21491" applyFont="1" applyFill="1" applyBorder="1" applyAlignment="1">
      <alignment horizontal="centerContinuous"/>
    </xf>
    <xf numFmtId="0" fontId="2" fillId="96" borderId="130" xfId="21491" applyNumberFormat="1" applyFont="1" applyFill="1" applyBorder="1" applyAlignment="1">
      <alignment horizontal="center"/>
    </xf>
    <xf numFmtId="167" fontId="3" fillId="96" borderId="130" xfId="21491" applyFont="1" applyFill="1" applyBorder="1" applyAlignment="1">
      <alignment horizontal="centerContinuous"/>
    </xf>
    <xf numFmtId="167" fontId="3" fillId="96" borderId="130" xfId="21491" applyFont="1" applyFill="1" applyBorder="1" applyAlignment="1">
      <alignment horizontal="left"/>
    </xf>
    <xf numFmtId="167" fontId="2" fillId="97" borderId="116" xfId="21491" applyFont="1" applyFill="1" applyBorder="1" applyAlignment="1">
      <alignment horizontal="left"/>
    </xf>
    <xf numFmtId="0" fontId="3" fillId="97" borderId="0" xfId="21491" applyNumberFormat="1" applyFont="1" applyFill="1" applyBorder="1" applyAlignment="1">
      <alignment horizontal="right"/>
    </xf>
    <xf numFmtId="167" fontId="3" fillId="97" borderId="0" xfId="21491" applyFont="1" applyFill="1" applyBorder="1"/>
    <xf numFmtId="167" fontId="2" fillId="97" borderId="0" xfId="21491" applyFont="1" applyFill="1" applyBorder="1" applyAlignment="1">
      <alignment horizontal="center"/>
    </xf>
    <xf numFmtId="164" fontId="3" fillId="7" borderId="0" xfId="79" applyNumberFormat="1" applyFont="1" applyFill="1" applyBorder="1"/>
    <xf numFmtId="43" fontId="3" fillId="7" borderId="0" xfId="79" applyFont="1" applyFill="1" applyBorder="1"/>
    <xf numFmtId="164" fontId="3" fillId="0" borderId="117" xfId="79" applyNumberFormat="1" applyFont="1" applyFill="1" applyBorder="1"/>
    <xf numFmtId="43" fontId="2" fillId="0" borderId="1" xfId="79" applyFont="1" applyBorder="1" applyAlignment="1">
      <alignment horizontal="center" wrapText="1"/>
    </xf>
    <xf numFmtId="167" fontId="2" fillId="0" borderId="1" xfId="21491" applyFont="1" applyBorder="1" applyAlignment="1">
      <alignment horizontal="center" wrapText="1"/>
    </xf>
    <xf numFmtId="167" fontId="2" fillId="0" borderId="116" xfId="21491" applyFont="1" applyFill="1" applyBorder="1" applyAlignment="1">
      <alignment horizontal="center"/>
    </xf>
    <xf numFmtId="0" fontId="3" fillId="0" borderId="0" xfId="6" applyNumberFormat="1" applyFont="1" applyBorder="1"/>
    <xf numFmtId="167" fontId="2" fillId="0" borderId="0" xfId="21491" applyFont="1" applyFill="1" applyBorder="1" applyAlignment="1">
      <alignment horizontal="center"/>
    </xf>
    <xf numFmtId="43" fontId="3" fillId="7" borderId="0" xfId="79" applyNumberFormat="1" applyFont="1" applyFill="1" applyBorder="1"/>
    <xf numFmtId="166" fontId="3" fillId="7" borderId="0" xfId="7" applyNumberFormat="1" applyFont="1" applyFill="1" applyBorder="1"/>
    <xf numFmtId="0" fontId="3" fillId="0" borderId="0" xfId="6" applyNumberFormat="1" applyFont="1" applyFill="1" applyBorder="1"/>
    <xf numFmtId="0" fontId="3" fillId="0" borderId="0" xfId="21491" applyNumberFormat="1" applyFont="1" applyFill="1" applyBorder="1" applyAlignment="1">
      <alignment horizontal="right"/>
    </xf>
    <xf numFmtId="167" fontId="3" fillId="0" borderId="0" xfId="21491" applyFont="1" applyFill="1" applyBorder="1"/>
    <xf numFmtId="167" fontId="216" fillId="0" borderId="0" xfId="21491" applyFont="1" applyFill="1" applyBorder="1"/>
    <xf numFmtId="164" fontId="3" fillId="7" borderId="131" xfId="79" applyNumberFormat="1" applyFont="1" applyFill="1" applyBorder="1"/>
    <xf numFmtId="164" fontId="3" fillId="0" borderId="132" xfId="79" applyNumberFormat="1" applyFont="1" applyFill="1" applyBorder="1"/>
    <xf numFmtId="0" fontId="3" fillId="0" borderId="0" xfId="21491" applyNumberFormat="1" applyFont="1" applyFill="1" applyBorder="1" applyAlignment="1">
      <alignment horizontal="left"/>
    </xf>
    <xf numFmtId="167" fontId="2" fillId="0" borderId="0" xfId="21491" applyFont="1" applyFill="1" applyBorder="1"/>
    <xf numFmtId="167" fontId="216" fillId="97" borderId="0" xfId="21491" applyFont="1" applyFill="1" applyBorder="1"/>
    <xf numFmtId="167" fontId="2" fillId="0" borderId="116" xfId="21491" applyFont="1" applyFill="1" applyBorder="1" applyAlignment="1">
      <alignment horizontal="left"/>
    </xf>
    <xf numFmtId="0" fontId="3" fillId="0" borderId="0" xfId="21491" applyNumberFormat="1" applyFont="1" applyFill="1" applyBorder="1" applyAlignment="1">
      <alignment horizontal="center"/>
    </xf>
    <xf numFmtId="167" fontId="3" fillId="0" borderId="0" xfId="21491" applyFont="1" applyFill="1" applyBorder="1" applyAlignment="1">
      <alignment horizontal="center"/>
    </xf>
    <xf numFmtId="167" fontId="216" fillId="0" borderId="0" xfId="21491" applyFont="1" applyBorder="1" applyAlignment="1">
      <alignment horizontal="left"/>
    </xf>
    <xf numFmtId="164" fontId="3" fillId="0" borderId="131" xfId="79" applyNumberFormat="1" applyFont="1" applyFill="1" applyBorder="1"/>
    <xf numFmtId="43" fontId="2" fillId="0" borderId="0" xfId="79" applyFont="1" applyFill="1"/>
    <xf numFmtId="167" fontId="3" fillId="0" borderId="0" xfId="21491" applyFont="1" applyFill="1"/>
    <xf numFmtId="164" fontId="3" fillId="0" borderId="0" xfId="79" applyNumberFormat="1" applyFont="1" applyFill="1" applyBorder="1"/>
    <xf numFmtId="43" fontId="3" fillId="0" borderId="0" xfId="79" applyFont="1" applyFill="1" applyBorder="1"/>
    <xf numFmtId="43" fontId="3" fillId="0" borderId="0" xfId="79" applyFont="1" applyFill="1"/>
    <xf numFmtId="167" fontId="2" fillId="96" borderId="129" xfId="21491" applyFont="1" applyFill="1" applyBorder="1" applyAlignment="1">
      <alignment horizontal="left"/>
    </xf>
    <xf numFmtId="0" fontId="2" fillId="96" borderId="130" xfId="21491" applyNumberFormat="1" applyFont="1" applyFill="1" applyBorder="1" applyAlignment="1">
      <alignment horizontal="left"/>
    </xf>
    <xf numFmtId="43" fontId="3" fillId="7" borderId="131" xfId="79" applyFont="1" applyFill="1" applyBorder="1"/>
    <xf numFmtId="43" fontId="217" fillId="0" borderId="0" xfId="79" applyFont="1"/>
    <xf numFmtId="167" fontId="217" fillId="0" borderId="0" xfId="21491" applyFont="1"/>
    <xf numFmtId="167" fontId="3" fillId="96" borderId="133" xfId="21491" applyFont="1" applyFill="1" applyBorder="1" applyAlignment="1">
      <alignment horizontal="centerContinuous"/>
    </xf>
    <xf numFmtId="0" fontId="3" fillId="96" borderId="134" xfId="21491" applyNumberFormat="1" applyFont="1" applyFill="1" applyBorder="1" applyAlignment="1">
      <alignment horizontal="center"/>
    </xf>
    <xf numFmtId="167" fontId="2" fillId="96" borderId="134" xfId="21491" applyFont="1" applyFill="1" applyBorder="1" applyAlignment="1">
      <alignment horizontal="centerContinuous"/>
    </xf>
    <xf numFmtId="167" fontId="3" fillId="96" borderId="134" xfId="21491" applyFont="1" applyFill="1" applyBorder="1" applyAlignment="1">
      <alignment horizontal="left"/>
    </xf>
    <xf numFmtId="164" fontId="3" fillId="7" borderId="131" xfId="79" applyNumberFormat="1" applyFont="1" applyFill="1" applyBorder="1" applyAlignment="1">
      <alignment horizontal="center"/>
    </xf>
    <xf numFmtId="43" fontId="3" fillId="7" borderId="131" xfId="79" applyFont="1" applyFill="1" applyBorder="1" applyAlignment="1">
      <alignment horizontal="center"/>
    </xf>
    <xf numFmtId="164" fontId="3" fillId="0" borderId="132" xfId="79" applyNumberFormat="1" applyFont="1" applyFill="1" applyBorder="1" applyAlignment="1">
      <alignment horizontal="center" wrapText="1"/>
    </xf>
    <xf numFmtId="167" fontId="2" fillId="0" borderId="118" xfId="21491" applyFont="1" applyBorder="1" applyAlignment="1">
      <alignment horizontal="center"/>
    </xf>
    <xf numFmtId="0" fontId="2" fillId="0" borderId="88" xfId="21491" applyNumberFormat="1" applyFont="1" applyBorder="1" applyAlignment="1">
      <alignment horizontal="center"/>
    </xf>
    <xf numFmtId="167" fontId="2" fillId="0" borderId="88" xfId="21491" applyFont="1" applyBorder="1" applyAlignment="1">
      <alignment horizontal="center"/>
    </xf>
    <xf numFmtId="43" fontId="2" fillId="0" borderId="119" xfId="79" applyFont="1" applyFill="1" applyBorder="1" applyAlignment="1">
      <alignment horizontal="center" wrapText="1"/>
    </xf>
    <xf numFmtId="167" fontId="3" fillId="83" borderId="0" xfId="21491" applyFont="1" applyFill="1" applyAlignment="1">
      <alignment horizontal="left"/>
    </xf>
    <xf numFmtId="43" fontId="3" fillId="83" borderId="0" xfId="79" applyFont="1" applyFill="1" applyAlignment="1">
      <alignment horizontal="left"/>
    </xf>
    <xf numFmtId="167" fontId="2" fillId="98" borderId="131" xfId="21491" applyFont="1" applyFill="1" applyBorder="1"/>
    <xf numFmtId="0" fontId="2" fillId="98" borderId="131" xfId="21491" applyNumberFormat="1" applyFont="1" applyFill="1" applyBorder="1"/>
    <xf numFmtId="167" fontId="2" fillId="98" borderId="131" xfId="21491" applyFont="1" applyFill="1" applyBorder="1" applyAlignment="1">
      <alignment horizontal="right"/>
    </xf>
    <xf numFmtId="167" fontId="2" fillId="98" borderId="131" xfId="21491" applyFont="1" applyFill="1" applyBorder="1" applyAlignment="1">
      <alignment horizontal="left"/>
    </xf>
    <xf numFmtId="43" fontId="2" fillId="98" borderId="131" xfId="79" applyFont="1" applyFill="1" applyBorder="1" applyAlignment="1">
      <alignment horizontal="left"/>
    </xf>
    <xf numFmtId="173" fontId="2" fillId="98" borderId="131" xfId="854" applyNumberFormat="1" applyFont="1" applyFill="1" applyBorder="1" applyAlignment="1">
      <alignment horizontal="left"/>
    </xf>
    <xf numFmtId="167" fontId="3" fillId="0" borderId="0" xfId="21491" applyFont="1" applyAlignment="1">
      <alignment horizontal="right"/>
    </xf>
    <xf numFmtId="173" fontId="3" fillId="88" borderId="0" xfId="854" applyNumberFormat="1" applyFont="1" applyFill="1" applyAlignment="1">
      <alignment horizontal="left"/>
    </xf>
    <xf numFmtId="173" fontId="3" fillId="0" borderId="0" xfId="854" applyNumberFormat="1" applyFont="1" applyFill="1" applyAlignment="1">
      <alignment horizontal="left"/>
    </xf>
    <xf numFmtId="164" fontId="2" fillId="0" borderId="1" xfId="79" applyNumberFormat="1" applyFont="1" applyFill="1" applyBorder="1" applyAlignment="1">
      <alignment horizontal="center"/>
    </xf>
    <xf numFmtId="164" fontId="3" fillId="99" borderId="0" xfId="79" applyNumberFormat="1" applyFont="1" applyFill="1" applyBorder="1"/>
    <xf numFmtId="0" fontId="3" fillId="0" borderId="0" xfId="1331" quotePrefix="1" applyFont="1" applyAlignment="1">
      <alignment horizontal="right"/>
    </xf>
    <xf numFmtId="0" fontId="3" fillId="0" borderId="0" xfId="1331" quotePrefix="1" applyFont="1" applyBorder="1" applyAlignment="1">
      <alignment horizontal="left"/>
    </xf>
    <xf numFmtId="43" fontId="3" fillId="0" borderId="0" xfId="79" quotePrefix="1" applyFont="1" applyBorder="1" applyAlignment="1">
      <alignment horizontal="left"/>
    </xf>
    <xf numFmtId="0" fontId="3" fillId="0" borderId="0" xfId="1331" applyFont="1" applyAlignment="1">
      <alignment horizontal="right"/>
    </xf>
    <xf numFmtId="0" fontId="3" fillId="0" borderId="0" xfId="1331" quotePrefix="1" applyFont="1" applyAlignment="1">
      <alignment horizontal="left"/>
    </xf>
    <xf numFmtId="164" fontId="3" fillId="0" borderId="0" xfId="79" quotePrefix="1" applyNumberFormat="1" applyFont="1" applyFill="1" applyBorder="1" applyAlignment="1">
      <alignment horizontal="left"/>
    </xf>
    <xf numFmtId="0" fontId="3" fillId="0" borderId="0" xfId="1331" applyFont="1" applyBorder="1" applyAlignment="1">
      <alignment horizontal="left"/>
    </xf>
    <xf numFmtId="164" fontId="3" fillId="0" borderId="1" xfId="79" applyNumberFormat="1" applyFont="1" applyBorder="1"/>
    <xf numFmtId="167" fontId="2" fillId="5" borderId="131" xfId="21491" applyFont="1" applyFill="1" applyBorder="1"/>
    <xf numFmtId="0" fontId="2" fillId="5" borderId="131" xfId="21491" applyNumberFormat="1" applyFont="1" applyFill="1" applyBorder="1"/>
    <xf numFmtId="167" fontId="2" fillId="5" borderId="131" xfId="21491" applyFont="1" applyFill="1" applyBorder="1" applyAlignment="1">
      <alignment horizontal="right"/>
    </xf>
    <xf numFmtId="167" fontId="2" fillId="5" borderId="131" xfId="21491" applyFont="1" applyFill="1" applyBorder="1" applyAlignment="1">
      <alignment horizontal="left"/>
    </xf>
    <xf numFmtId="43" fontId="2" fillId="5" borderId="131" xfId="79" applyFont="1" applyFill="1" applyBorder="1" applyAlignment="1">
      <alignment horizontal="left"/>
    </xf>
    <xf numFmtId="164" fontId="2" fillId="5" borderId="131" xfId="79" applyNumberFormat="1" applyFont="1" applyFill="1" applyBorder="1" applyAlignment="1">
      <alignment horizontal="right"/>
    </xf>
    <xf numFmtId="0" fontId="3" fillId="0" borderId="0" xfId="1331" applyFont="1" applyAlignment="1">
      <alignment horizontal="left"/>
    </xf>
    <xf numFmtId="167" fontId="3" fillId="23" borderId="131" xfId="21491" applyFont="1" applyFill="1" applyBorder="1"/>
    <xf numFmtId="0" fontId="3" fillId="23" borderId="131" xfId="21491" applyNumberFormat="1" applyFont="1" applyFill="1" applyBorder="1"/>
    <xf numFmtId="167" fontId="2" fillId="23" borderId="131" xfId="21491" applyFont="1" applyFill="1" applyBorder="1" applyAlignment="1">
      <alignment horizontal="center"/>
    </xf>
    <xf numFmtId="167" fontId="3" fillId="23" borderId="131" xfId="21491" applyFont="1" applyFill="1" applyBorder="1" applyAlignment="1">
      <alignment horizontal="left"/>
    </xf>
    <xf numFmtId="43" fontId="3" fillId="23" borderId="131" xfId="79" applyFont="1" applyFill="1" applyBorder="1" applyAlignment="1">
      <alignment horizontal="left"/>
    </xf>
    <xf numFmtId="173" fontId="2" fillId="23" borderId="131" xfId="854" applyNumberFormat="1" applyFont="1" applyFill="1" applyBorder="1" applyAlignment="1">
      <alignment horizontal="left"/>
    </xf>
    <xf numFmtId="167" fontId="2" fillId="0" borderId="131" xfId="21491" applyFont="1" applyFill="1" applyBorder="1" applyAlignment="1">
      <alignment horizontal="left"/>
    </xf>
    <xf numFmtId="0" fontId="3" fillId="0" borderId="0" xfId="1331" quotePrefix="1" applyNumberFormat="1" applyFont="1" applyAlignment="1">
      <alignment horizontal="right"/>
    </xf>
    <xf numFmtId="43" fontId="3" fillId="0" borderId="0" xfId="79" quotePrefix="1" applyFont="1" applyAlignment="1">
      <alignment horizontal="left"/>
    </xf>
    <xf numFmtId="0" fontId="3" fillId="0" borderId="0" xfId="1331" quotePrefix="1" applyFont="1" applyFill="1" applyAlignment="1">
      <alignment horizontal="left"/>
    </xf>
    <xf numFmtId="0" fontId="3" fillId="0" borderId="0" xfId="1331" quotePrefix="1" applyNumberFormat="1" applyFont="1" applyAlignment="1">
      <alignment horizontal="left"/>
    </xf>
    <xf numFmtId="0" fontId="3" fillId="0" borderId="0" xfId="1331" applyFont="1" applyFill="1" applyAlignment="1">
      <alignment horizontal="left"/>
    </xf>
    <xf numFmtId="167" fontId="3" fillId="23" borderId="0" xfId="21491" applyFont="1" applyFill="1"/>
    <xf numFmtId="0" fontId="3" fillId="0" borderId="0" xfId="21491" applyNumberFormat="1" applyFont="1" applyFill="1"/>
    <xf numFmtId="167" fontId="2" fillId="0" borderId="0" xfId="21491" applyFont="1" applyFill="1"/>
    <xf numFmtId="43" fontId="3" fillId="0" borderId="0" xfId="79" applyFont="1" applyFill="1" applyAlignment="1">
      <alignment horizontal="left"/>
    </xf>
    <xf numFmtId="167" fontId="140" fillId="0" borderId="0" xfId="21491" applyFont="1" applyAlignment="1">
      <alignment horizontal="right"/>
    </xf>
    <xf numFmtId="0" fontId="3" fillId="0" borderId="0" xfId="21491" applyNumberFormat="1" applyFont="1" applyAlignment="1">
      <alignment horizontal="center"/>
    </xf>
    <xf numFmtId="167" fontId="3" fillId="0" borderId="0" xfId="21491" applyFont="1" applyAlignment="1">
      <alignment horizontal="center"/>
    </xf>
    <xf numFmtId="164" fontId="219" fillId="0" borderId="0" xfId="79" quotePrefix="1" applyNumberFormat="1" applyFont="1" applyFill="1" applyBorder="1" applyAlignment="1">
      <alignment horizontal="right"/>
    </xf>
    <xf numFmtId="167" fontId="3" fillId="0" borderId="0" xfId="21491" applyFont="1" applyFill="1" applyAlignment="1">
      <alignment horizontal="center"/>
    </xf>
    <xf numFmtId="10" fontId="2" fillId="0" borderId="0" xfId="7" applyNumberFormat="1" applyFont="1" applyFill="1"/>
    <xf numFmtId="167" fontId="164" fillId="0" borderId="0" xfId="21491" applyFont="1" applyFill="1"/>
    <xf numFmtId="167" fontId="164" fillId="0" borderId="0" xfId="21491" applyFont="1" applyAlignment="1">
      <alignment horizontal="right"/>
    </xf>
    <xf numFmtId="0" fontId="155" fillId="0" borderId="0" xfId="21493" applyFont="1"/>
    <xf numFmtId="0" fontId="215" fillId="0" borderId="0" xfId="21494" applyFont="1" applyBorder="1"/>
    <xf numFmtId="44" fontId="3" fillId="0" borderId="0" xfId="21495" applyFont="1"/>
    <xf numFmtId="0" fontId="215" fillId="0" borderId="0" xfId="21494" applyFont="1" applyFill="1" applyBorder="1"/>
    <xf numFmtId="0" fontId="215" fillId="0" borderId="0" xfId="21494" applyFont="1" applyBorder="1" applyAlignment="1">
      <alignment horizontal="left"/>
    </xf>
    <xf numFmtId="1" fontId="20" fillId="8" borderId="0" xfId="0" applyNumberFormat="1" applyFont="1" applyFill="1" applyBorder="1" applyAlignment="1">
      <alignment horizontal="left"/>
    </xf>
    <xf numFmtId="1" fontId="2" fillId="8" borderId="0" xfId="26" applyNumberFormat="1" applyFont="1" applyFill="1" applyBorder="1"/>
    <xf numFmtId="1" fontId="20" fillId="0" borderId="0" xfId="26" applyNumberFormat="1" applyFont="1" applyBorder="1"/>
    <xf numFmtId="0" fontId="220" fillId="0" borderId="0" xfId="21485" applyFont="1" applyFill="1"/>
    <xf numFmtId="1" fontId="2" fillId="0" borderId="0" xfId="21491" applyNumberFormat="1" applyFont="1" applyAlignment="1">
      <alignment horizontal="left"/>
    </xf>
    <xf numFmtId="167" fontId="221" fillId="0" borderId="88" xfId="21491" applyFont="1" applyBorder="1"/>
    <xf numFmtId="4" fontId="170" fillId="0" borderId="0" xfId="21487" applyNumberFormat="1" applyFont="1" applyFill="1" applyBorder="1" applyAlignment="1">
      <alignment horizontal="right"/>
    </xf>
    <xf numFmtId="167" fontId="168" fillId="0" borderId="0" xfId="21487" applyFont="1" applyFill="1" applyBorder="1"/>
    <xf numFmtId="2" fontId="168" fillId="0" borderId="0" xfId="21487" applyNumberFormat="1" applyFont="1" applyFill="1" applyBorder="1" applyAlignment="1">
      <alignment horizontal="center"/>
    </xf>
    <xf numFmtId="43" fontId="170" fillId="0" borderId="0" xfId="21488" applyNumberFormat="1" applyFont="1" applyFill="1" applyBorder="1"/>
    <xf numFmtId="2" fontId="170" fillId="0" borderId="0" xfId="21487" applyNumberFormat="1" applyFont="1" applyFill="1" applyBorder="1" applyAlignment="1">
      <alignment horizontal="right"/>
    </xf>
    <xf numFmtId="167" fontId="170" fillId="48" borderId="0" xfId="21487" applyFont="1" applyFill="1" applyBorder="1"/>
    <xf numFmtId="4" fontId="170" fillId="48" borderId="0" xfId="21487" applyNumberFormat="1" applyFont="1" applyFill="1" applyBorder="1" applyAlignment="1">
      <alignment horizontal="right"/>
    </xf>
    <xf numFmtId="167" fontId="170" fillId="48" borderId="0" xfId="21487" applyFont="1" applyFill="1" applyBorder="1" applyAlignment="1">
      <alignment horizontal="right"/>
    </xf>
    <xf numFmtId="2" fontId="170" fillId="48" borderId="0" xfId="21487" applyNumberFormat="1" applyFont="1" applyFill="1" applyBorder="1" applyAlignment="1">
      <alignment horizontal="right"/>
    </xf>
    <xf numFmtId="4" fontId="170" fillId="48" borderId="0" xfId="21487" applyNumberFormat="1" applyFont="1" applyFill="1" applyBorder="1"/>
    <xf numFmtId="2" fontId="170" fillId="48" borderId="0" xfId="21487" applyNumberFormat="1" applyFont="1" applyFill="1" applyBorder="1"/>
    <xf numFmtId="2" fontId="170" fillId="48" borderId="0" xfId="21487" applyNumberFormat="1" applyFont="1" applyFill="1" applyBorder="1" applyAlignment="1">
      <alignment horizontal="center"/>
    </xf>
    <xf numFmtId="2" fontId="170" fillId="0" borderId="0" xfId="21487" applyNumberFormat="1" applyFont="1" applyFill="1" applyBorder="1"/>
    <xf numFmtId="4" fontId="170" fillId="8" borderId="0" xfId="21487" applyNumberFormat="1" applyFont="1" applyFill="1" applyBorder="1"/>
    <xf numFmtId="167" fontId="170" fillId="8" borderId="0" xfId="21487" applyFont="1" applyFill="1" applyBorder="1"/>
    <xf numFmtId="4" fontId="170" fillId="0" borderId="0" xfId="21487" applyNumberFormat="1" applyFont="1" applyFill="1" applyBorder="1"/>
    <xf numFmtId="167" fontId="170" fillId="0" borderId="0" xfId="21487" applyFont="1" applyFill="1" applyBorder="1" applyAlignment="1">
      <alignment horizontal="right"/>
    </xf>
    <xf numFmtId="1" fontId="222" fillId="0" borderId="0" xfId="0" applyNumberFormat="1" applyFont="1" applyBorder="1" applyAlignment="1">
      <alignment horizontal="left"/>
    </xf>
    <xf numFmtId="164" fontId="141" fillId="75" borderId="0" xfId="1" applyNumberFormat="1" applyFont="1" applyFill="1" applyBorder="1" applyAlignment="1">
      <alignment horizontal="center"/>
    </xf>
    <xf numFmtId="0" fontId="141" fillId="75" borderId="0" xfId="0" applyFont="1" applyFill="1" applyBorder="1" applyAlignment="1">
      <alignment horizontal="center"/>
    </xf>
    <xf numFmtId="0" fontId="141" fillId="75" borderId="0" xfId="0" applyNumberFormat="1" applyFont="1" applyFill="1" applyBorder="1" applyAlignment="1">
      <alignment horizontal="center"/>
    </xf>
    <xf numFmtId="1" fontId="49" fillId="7" borderId="0" xfId="0" applyNumberFormat="1" applyFont="1" applyFill="1" applyBorder="1" applyAlignment="1">
      <alignment horizontal="left" vertical="top" wrapText="1"/>
    </xf>
    <xf numFmtId="0" fontId="172" fillId="8" borderId="0" xfId="0" applyFont="1" applyFill="1" applyAlignment="1">
      <alignment horizontal="left" wrapText="1"/>
    </xf>
    <xf numFmtId="3" fontId="2" fillId="7" borderId="0" xfId="26" applyNumberFormat="1" applyFont="1" applyFill="1" applyBorder="1" applyAlignment="1">
      <alignment horizontal="left" wrapText="1"/>
    </xf>
    <xf numFmtId="0" fontId="194" fillId="0" borderId="0" xfId="21485" applyFont="1" applyAlignment="1">
      <alignment horizontal="center"/>
    </xf>
    <xf numFmtId="44" fontId="194" fillId="0" borderId="0" xfId="141" applyFont="1" applyAlignment="1">
      <alignment horizontal="center"/>
    </xf>
    <xf numFmtId="0" fontId="194" fillId="87" borderId="0" xfId="21485" applyFont="1" applyFill="1" applyAlignment="1">
      <alignment horizontal="center"/>
    </xf>
    <xf numFmtId="167" fontId="168" fillId="8" borderId="1" xfId="21487" applyFont="1" applyFill="1" applyBorder="1" applyAlignment="1">
      <alignment horizontal="center"/>
    </xf>
    <xf numFmtId="167" fontId="218" fillId="83" borderId="0" xfId="21491" applyFont="1" applyFill="1" applyAlignment="1">
      <alignment horizontal="center"/>
    </xf>
    <xf numFmtId="0" fontId="148" fillId="7" borderId="0" xfId="994" applyFont="1" applyFill="1" applyAlignment="1">
      <alignment horizontal="left" wrapText="1"/>
    </xf>
    <xf numFmtId="0" fontId="101" fillId="23" borderId="0" xfId="691" applyNumberFormat="1" applyFont="1" applyFill="1" applyAlignment="1">
      <alignment horizontal="center"/>
    </xf>
    <xf numFmtId="0" fontId="99" fillId="18" borderId="41" xfId="690" applyNumberFormat="1" applyBorder="1" applyAlignment="1">
      <alignment horizontal="center"/>
    </xf>
    <xf numFmtId="0" fontId="99" fillId="18" borderId="42" xfId="690" applyNumberFormat="1" applyBorder="1" applyAlignment="1">
      <alignment horizontal="center"/>
    </xf>
    <xf numFmtId="0" fontId="99" fillId="18" borderId="43" xfId="690" applyNumberFormat="1" applyBorder="1" applyAlignment="1">
      <alignment horizontal="center"/>
    </xf>
    <xf numFmtId="0" fontId="106" fillId="23" borderId="0" xfId="691" applyNumberFormat="1" applyFont="1" applyFill="1" applyBorder="1" applyAlignment="1">
      <alignment horizontal="center"/>
    </xf>
    <xf numFmtId="0" fontId="106" fillId="23" borderId="60" xfId="691" applyNumberFormat="1" applyFont="1" applyFill="1" applyBorder="1" applyAlignment="1">
      <alignment horizontal="center"/>
    </xf>
    <xf numFmtId="0" fontId="117" fillId="18" borderId="0" xfId="690" applyNumberFormat="1" applyFont="1" applyAlignment="1">
      <alignment horizontal="center"/>
    </xf>
    <xf numFmtId="0" fontId="4" fillId="91" borderId="0" xfId="26" applyFill="1" applyAlignment="1">
      <alignment horizontal="center"/>
    </xf>
    <xf numFmtId="0" fontId="194" fillId="91" borderId="0" xfId="21485" applyFont="1" applyFill="1" applyAlignment="1">
      <alignment horizontal="center" wrapText="1"/>
    </xf>
    <xf numFmtId="0" fontId="15" fillId="100" borderId="0" xfId="5" applyNumberFormat="1" applyFont="1" applyFill="1"/>
    <xf numFmtId="0" fontId="14" fillId="100" borderId="0" xfId="5" applyNumberFormat="1" applyFont="1" applyFill="1"/>
    <xf numFmtId="0" fontId="15" fillId="100" borderId="0" xfId="5" applyNumberFormat="1" applyFont="1" applyFill="1" applyAlignment="1">
      <alignment horizontal="right"/>
    </xf>
    <xf numFmtId="49" fontId="16" fillId="100" borderId="0" xfId="5" applyNumberFormat="1" applyFont="1" applyFill="1" applyAlignment="1">
      <alignment horizontal="right"/>
    </xf>
    <xf numFmtId="0" fontId="16" fillId="100" borderId="0" xfId="5" applyNumberFormat="1" applyFont="1" applyFill="1" applyAlignment="1">
      <alignment horizontal="left"/>
    </xf>
    <xf numFmtId="0" fontId="17" fillId="100" borderId="0" xfId="5" applyNumberFormat="1" applyFont="1" applyFill="1"/>
    <xf numFmtId="49" fontId="16" fillId="100" borderId="0" xfId="5" applyNumberFormat="1" applyFont="1" applyFill="1" applyAlignment="1">
      <alignment horizontal="left"/>
    </xf>
    <xf numFmtId="49" fontId="18" fillId="100" borderId="0" xfId="5" applyNumberFormat="1" applyFont="1" applyFill="1"/>
    <xf numFmtId="0" fontId="18" fillId="100" borderId="0" xfId="5" applyNumberFormat="1" applyFont="1" applyFill="1"/>
    <xf numFmtId="170" fontId="19" fillId="100" borderId="0" xfId="5" quotePrefix="1" applyNumberFormat="1" applyFont="1" applyFill="1" applyAlignment="1">
      <alignment horizontal="left"/>
    </xf>
    <xf numFmtId="0" fontId="12" fillId="100" borderId="0" xfId="5" applyNumberFormat="1" applyFont="1" applyFill="1"/>
    <xf numFmtId="164" fontId="20" fillId="100" borderId="1" xfId="9" applyNumberFormat="1" applyFont="1" applyFill="1" applyBorder="1" applyAlignment="1">
      <alignment horizontal="centerContinuous"/>
    </xf>
    <xf numFmtId="0" fontId="20" fillId="100" borderId="1" xfId="5" applyFont="1" applyFill="1" applyBorder="1" applyAlignment="1">
      <alignment horizontal="centerContinuous"/>
    </xf>
    <xf numFmtId="164" fontId="20" fillId="100" borderId="1" xfId="9" quotePrefix="1" applyNumberFormat="1" applyFont="1" applyFill="1" applyBorder="1" applyAlignment="1">
      <alignment horizontal="centerContinuous"/>
    </xf>
    <xf numFmtId="17" fontId="20" fillId="100" borderId="2" xfId="9" applyNumberFormat="1" applyFont="1" applyFill="1" applyBorder="1" applyAlignment="1">
      <alignment horizontal="centerContinuous"/>
    </xf>
    <xf numFmtId="0" fontId="20" fillId="100" borderId="0" xfId="5" applyFont="1" applyFill="1" applyBorder="1"/>
    <xf numFmtId="0" fontId="20" fillId="100" borderId="0" xfId="5" applyFont="1" applyFill="1"/>
    <xf numFmtId="17" fontId="2" fillId="100" borderId="2" xfId="9" applyNumberFormat="1" applyFont="1" applyFill="1" applyBorder="1" applyAlignment="1">
      <alignment horizontal="centerContinuous"/>
    </xf>
    <xf numFmtId="0" fontId="12" fillId="100" borderId="0" xfId="5" applyFont="1" applyFill="1" applyAlignment="1">
      <alignment horizontal="left"/>
    </xf>
    <xf numFmtId="0" fontId="12" fillId="100" borderId="0" xfId="5" quotePrefix="1" applyFont="1" applyFill="1" applyAlignment="1">
      <alignment horizontal="left"/>
    </xf>
    <xf numFmtId="14" fontId="4" fillId="100" borderId="0" xfId="59" applyNumberFormat="1" applyFont="1" applyFill="1"/>
    <xf numFmtId="0" fontId="12" fillId="100" borderId="0" xfId="5" applyFont="1" applyFill="1"/>
    <xf numFmtId="164" fontId="12" fillId="100" borderId="0" xfId="9" applyNumberFormat="1" applyFont="1" applyFill="1"/>
    <xf numFmtId="164" fontId="4" fillId="100" borderId="0" xfId="9" applyNumberFormat="1" applyFont="1" applyFill="1" applyBorder="1"/>
    <xf numFmtId="169" fontId="13" fillId="100" borderId="0" xfId="60" applyNumberFormat="1" applyFont="1" applyFill="1" applyBorder="1"/>
    <xf numFmtId="0" fontId="22" fillId="100" borderId="0" xfId="5" applyFont="1" applyFill="1"/>
    <xf numFmtId="164" fontId="22" fillId="100" borderId="0" xfId="9" applyNumberFormat="1" applyFont="1" applyFill="1"/>
    <xf numFmtId="164" fontId="12" fillId="100" borderId="1" xfId="9" applyNumberFormat="1" applyFont="1" applyFill="1" applyBorder="1"/>
    <xf numFmtId="164" fontId="12" fillId="100" borderId="0" xfId="3" applyNumberFormat="1" applyFont="1" applyFill="1" applyBorder="1"/>
    <xf numFmtId="164" fontId="14" fillId="100" borderId="0" xfId="3" applyNumberFormat="1" applyFont="1" applyFill="1"/>
    <xf numFmtId="164" fontId="12" fillId="100" borderId="0" xfId="3" applyNumberFormat="1" applyFont="1" applyFill="1"/>
    <xf numFmtId="164" fontId="12" fillId="100" borderId="1" xfId="3" applyNumberFormat="1" applyFont="1" applyFill="1" applyBorder="1"/>
    <xf numFmtId="0" fontId="12" fillId="100" borderId="0" xfId="5" quotePrefix="1" applyFont="1" applyFill="1"/>
    <xf numFmtId="0" fontId="21" fillId="100" borderId="0" xfId="5" applyFont="1" applyFill="1" applyAlignment="1">
      <alignment horizontal="left"/>
    </xf>
    <xf numFmtId="164" fontId="12" fillId="100" borderId="60" xfId="3" applyNumberFormat="1" applyFont="1" applyFill="1" applyBorder="1"/>
    <xf numFmtId="0" fontId="21" fillId="100" borderId="0" xfId="5" applyFont="1" applyFill="1"/>
    <xf numFmtId="0" fontId="21" fillId="100" borderId="0" xfId="5" quotePrefix="1" applyFont="1" applyFill="1" applyAlignment="1">
      <alignment horizontal="left"/>
    </xf>
    <xf numFmtId="0" fontId="4" fillId="100" borderId="0" xfId="6" applyFill="1"/>
    <xf numFmtId="164" fontId="4" fillId="100" borderId="0" xfId="3" applyNumberFormat="1" applyFont="1" applyFill="1"/>
    <xf numFmtId="164" fontId="1" fillId="100" borderId="0" xfId="3" applyNumberFormat="1" applyFont="1" applyFill="1"/>
    <xf numFmtId="0" fontId="4" fillId="100" borderId="0" xfId="6" applyFont="1" applyFill="1"/>
    <xf numFmtId="164" fontId="14" fillId="100" borderId="0" xfId="3" applyNumberFormat="1" applyFont="1" applyFill="1" applyBorder="1"/>
    <xf numFmtId="0" fontId="4" fillId="100" borderId="0" xfId="37" applyFont="1" applyFill="1"/>
    <xf numFmtId="171" fontId="4" fillId="100" borderId="0" xfId="37" applyNumberFormat="1" applyFont="1" applyFill="1"/>
    <xf numFmtId="164" fontId="22" fillId="100" borderId="0" xfId="3" applyNumberFormat="1" applyFont="1" applyFill="1"/>
    <xf numFmtId="171" fontId="12" fillId="100" borderId="60" xfId="3" quotePrefix="1" applyNumberFormat="1" applyFont="1" applyFill="1" applyBorder="1"/>
    <xf numFmtId="164" fontId="13" fillId="100" borderId="0" xfId="3" applyNumberFormat="1" applyFont="1" applyFill="1" applyBorder="1"/>
    <xf numFmtId="37" fontId="4" fillId="100" borderId="0" xfId="59" applyFont="1" applyFill="1"/>
    <xf numFmtId="164" fontId="12" fillId="100" borderId="4" xfId="3" applyNumberFormat="1" applyFont="1" applyFill="1" applyBorder="1"/>
    <xf numFmtId="164" fontId="4" fillId="100" borderId="0" xfId="9" applyNumberFormat="1" applyFont="1" applyFill="1"/>
    <xf numFmtId="0" fontId="0" fillId="100" borderId="0" xfId="0" applyFill="1"/>
    <xf numFmtId="1" fontId="3" fillId="100" borderId="0" xfId="0" applyNumberFormat="1" applyFont="1" applyFill="1" applyBorder="1" applyAlignment="1">
      <alignment horizontal="right"/>
    </xf>
    <xf numFmtId="0" fontId="2" fillId="100" borderId="0" xfId="0" applyFont="1" applyFill="1" applyBorder="1"/>
    <xf numFmtId="0" fontId="2" fillId="100" borderId="0" xfId="0" applyFont="1" applyFill="1" applyBorder="1" applyAlignment="1">
      <alignment horizontal="center"/>
    </xf>
    <xf numFmtId="0" fontId="2" fillId="100" borderId="1" xfId="0" applyFont="1" applyFill="1" applyBorder="1" applyAlignment="1">
      <alignment horizontal="center"/>
    </xf>
    <xf numFmtId="0" fontId="2" fillId="100" borderId="0" xfId="0" applyNumberFormat="1" applyFont="1" applyFill="1" applyBorder="1" applyAlignment="1">
      <alignment horizontal="center" wrapText="1"/>
    </xf>
    <xf numFmtId="0" fontId="3" fillId="100" borderId="0" xfId="0" applyFont="1" applyFill="1" applyBorder="1"/>
    <xf numFmtId="0" fontId="2" fillId="100" borderId="0" xfId="1" applyNumberFormat="1" applyFont="1" applyFill="1" applyBorder="1" applyAlignment="1">
      <alignment horizontal="center"/>
    </xf>
    <xf numFmtId="0" fontId="140" fillId="100" borderId="0" xfId="1" applyNumberFormat="1" applyFont="1" applyFill="1" applyBorder="1" applyAlignment="1">
      <alignment horizontal="center"/>
    </xf>
    <xf numFmtId="0" fontId="2" fillId="100" borderId="0" xfId="1" applyNumberFormat="1" applyFont="1" applyFill="1" applyBorder="1" applyAlignment="1">
      <alignment horizontal="center" wrapText="1"/>
    </xf>
    <xf numFmtId="0" fontId="140" fillId="100" borderId="0" xfId="0" applyFont="1" applyFill="1" applyBorder="1" applyAlignment="1">
      <alignment horizontal="center"/>
    </xf>
    <xf numFmtId="164" fontId="3" fillId="100" borderId="0" xfId="1" applyNumberFormat="1" applyFont="1" applyFill="1" applyBorder="1"/>
    <xf numFmtId="37" fontId="3" fillId="100" borderId="0" xfId="0" applyNumberFormat="1" applyFont="1" applyFill="1" applyBorder="1"/>
    <xf numFmtId="3" fontId="3" fillId="100" borderId="0" xfId="0" applyNumberFormat="1" applyFont="1" applyFill="1" applyBorder="1"/>
    <xf numFmtId="43" fontId="26" fillId="100" borderId="0" xfId="1" applyFont="1" applyFill="1" applyBorder="1"/>
    <xf numFmtId="165" fontId="3" fillId="100" borderId="0" xfId="0" applyNumberFormat="1" applyFont="1" applyFill="1" applyBorder="1" applyAlignment="1">
      <alignment horizontal="center"/>
    </xf>
    <xf numFmtId="164" fontId="2" fillId="100" borderId="3" xfId="1" applyNumberFormat="1" applyFont="1" applyFill="1" applyBorder="1"/>
    <xf numFmtId="164" fontId="2" fillId="100" borderId="60" xfId="1" applyNumberFormat="1" applyFont="1" applyFill="1" applyBorder="1"/>
    <xf numFmtId="43" fontId="2" fillId="100" borderId="3" xfId="1" applyFont="1" applyFill="1" applyBorder="1"/>
    <xf numFmtId="164" fontId="3" fillId="100" borderId="0" xfId="2" applyNumberFormat="1" applyFont="1" applyFill="1" applyBorder="1"/>
    <xf numFmtId="10" fontId="3" fillId="100" borderId="0" xfId="0" applyNumberFormat="1" applyFont="1" applyFill="1" applyBorder="1"/>
    <xf numFmtId="16" fontId="3" fillId="100" borderId="0" xfId="0" applyNumberFormat="1" applyFont="1" applyFill="1" applyBorder="1"/>
    <xf numFmtId="9" fontId="3" fillId="100" borderId="0" xfId="2" applyFont="1" applyFill="1" applyBorder="1" applyAlignment="1">
      <alignment horizontal="center"/>
    </xf>
    <xf numFmtId="43" fontId="3" fillId="100" borderId="0" xfId="1" applyFont="1" applyFill="1" applyBorder="1"/>
    <xf numFmtId="164" fontId="3" fillId="100" borderId="0" xfId="3" applyNumberFormat="1" applyFont="1" applyFill="1" applyBorder="1"/>
    <xf numFmtId="164" fontId="2" fillId="100" borderId="0" xfId="0" applyNumberFormat="1" applyFont="1" applyFill="1" applyBorder="1" applyAlignment="1">
      <alignment horizontal="center"/>
    </xf>
    <xf numFmtId="37" fontId="2" fillId="100" borderId="0" xfId="0" applyNumberFormat="1" applyFont="1" applyFill="1" applyBorder="1" applyAlignment="1">
      <alignment horizontal="center"/>
    </xf>
    <xf numFmtId="0" fontId="2" fillId="100" borderId="0" xfId="0" applyNumberFormat="1" applyFont="1" applyFill="1" applyBorder="1" applyAlignment="1">
      <alignment horizontal="center"/>
    </xf>
    <xf numFmtId="16" fontId="2" fillId="100" borderId="0" xfId="0" applyNumberFormat="1" applyFont="1" applyFill="1" applyBorder="1"/>
    <xf numFmtId="164" fontId="3" fillId="100" borderId="0" xfId="1" applyNumberFormat="1" applyFont="1" applyFill="1" applyBorder="1" applyAlignment="1">
      <alignment horizontal="center"/>
    </xf>
    <xf numFmtId="1" fontId="3" fillId="100" borderId="0" xfId="4" applyNumberFormat="1" applyFont="1" applyFill="1" applyBorder="1" applyAlignment="1">
      <alignment horizontal="right"/>
    </xf>
    <xf numFmtId="167" fontId="3" fillId="100" borderId="0" xfId="4" applyFont="1" applyFill="1" applyBorder="1"/>
    <xf numFmtId="164" fontId="3" fillId="100" borderId="0" xfId="1" applyNumberFormat="1" applyFont="1" applyFill="1" applyBorder="1" applyAlignment="1">
      <alignment horizontal="right"/>
    </xf>
    <xf numFmtId="43" fontId="2" fillId="100" borderId="0" xfId="1" applyFont="1" applyFill="1" applyBorder="1" applyAlignment="1">
      <alignment horizontal="right"/>
    </xf>
    <xf numFmtId="165" fontId="2" fillId="100" borderId="0" xfId="0" applyNumberFormat="1" applyFont="1" applyFill="1" applyBorder="1" applyAlignment="1">
      <alignment horizontal="center"/>
    </xf>
    <xf numFmtId="1" fontId="2" fillId="100" borderId="0" xfId="4" applyNumberFormat="1" applyFont="1" applyFill="1" applyBorder="1" applyAlignment="1">
      <alignment horizontal="right"/>
    </xf>
    <xf numFmtId="164" fontId="2" fillId="100" borderId="3" xfId="3" applyNumberFormat="1" applyFont="1" applyFill="1" applyBorder="1"/>
    <xf numFmtId="164" fontId="2" fillId="100" borderId="60" xfId="3" applyNumberFormat="1" applyFont="1" applyFill="1" applyBorder="1"/>
    <xf numFmtId="164" fontId="2" fillId="100" borderId="0" xfId="3" applyNumberFormat="1" applyFont="1" applyFill="1" applyBorder="1"/>
    <xf numFmtId="164" fontId="2" fillId="100" borderId="0" xfId="1" applyNumberFormat="1" applyFont="1" applyFill="1" applyBorder="1"/>
    <xf numFmtId="43" fontId="2" fillId="100" borderId="0" xfId="1" applyFont="1" applyFill="1" applyBorder="1"/>
    <xf numFmtId="4" fontId="3" fillId="100" borderId="0" xfId="0" applyNumberFormat="1" applyFont="1" applyFill="1" applyBorder="1" applyAlignment="1">
      <alignment horizontal="center"/>
    </xf>
    <xf numFmtId="1" fontId="2" fillId="100" borderId="0" xfId="0" applyNumberFormat="1" applyFont="1" applyFill="1" applyBorder="1" applyAlignment="1">
      <alignment horizontal="right"/>
    </xf>
    <xf numFmtId="165" fontId="2" fillId="100" borderId="60" xfId="0" applyNumberFormat="1" applyFont="1" applyFill="1" applyBorder="1" applyAlignment="1">
      <alignment horizontal="center"/>
    </xf>
    <xf numFmtId="43" fontId="2" fillId="100" borderId="60" xfId="1" applyFont="1" applyFill="1" applyBorder="1" applyAlignment="1">
      <alignment horizontal="right"/>
    </xf>
    <xf numFmtId="10" fontId="2" fillId="100" borderId="0" xfId="2" applyNumberFormat="1" applyFont="1" applyFill="1" applyBorder="1"/>
    <xf numFmtId="3" fontId="2" fillId="100" borderId="0" xfId="4" applyNumberFormat="1" applyFont="1" applyFill="1" applyBorder="1"/>
    <xf numFmtId="164" fontId="3" fillId="100" borderId="0" xfId="1" quotePrefix="1" applyNumberFormat="1" applyFont="1" applyFill="1" applyBorder="1" applyAlignment="1">
      <alignment horizontal="right"/>
    </xf>
    <xf numFmtId="43" fontId="3" fillId="100" borderId="0" xfId="0" applyNumberFormat="1" applyFont="1" applyFill="1" applyBorder="1"/>
    <xf numFmtId="0" fontId="3" fillId="100" borderId="0" xfId="26" applyFont="1" applyFill="1" applyBorder="1"/>
    <xf numFmtId="9" fontId="2" fillId="100" borderId="0" xfId="2" applyFont="1" applyFill="1" applyBorder="1"/>
    <xf numFmtId="3" fontId="2" fillId="100" borderId="0" xfId="0" applyNumberFormat="1" applyFont="1" applyFill="1" applyBorder="1"/>
    <xf numFmtId="3" fontId="2" fillId="100" borderId="0" xfId="0" applyNumberFormat="1" applyFont="1" applyFill="1" applyBorder="1" applyAlignment="1">
      <alignment horizontal="center"/>
    </xf>
    <xf numFmtId="164" fontId="2" fillId="100" borderId="0" xfId="1" applyNumberFormat="1" applyFont="1" applyFill="1" applyBorder="1" applyAlignment="1">
      <alignment horizontal="center"/>
    </xf>
    <xf numFmtId="164" fontId="2" fillId="100" borderId="0" xfId="1" applyNumberFormat="1" applyFont="1" applyFill="1" applyBorder="1" applyAlignment="1">
      <alignment horizontal="right"/>
    </xf>
    <xf numFmtId="3" fontId="3" fillId="100" borderId="0" xfId="0" applyNumberFormat="1" applyFont="1" applyFill="1" applyBorder="1" applyAlignment="1">
      <alignment horizontal="right"/>
    </xf>
    <xf numFmtId="167" fontId="2" fillId="100" borderId="0" xfId="4" applyFont="1" applyFill="1" applyBorder="1"/>
    <xf numFmtId="164" fontId="3" fillId="100" borderId="0" xfId="1" applyNumberFormat="1" applyFont="1" applyFill="1" applyBorder="1" applyAlignment="1"/>
    <xf numFmtId="164" fontId="3" fillId="100" borderId="0" xfId="0" applyNumberFormat="1" applyFont="1" applyFill="1" applyBorder="1"/>
    <xf numFmtId="43" fontId="3" fillId="100" borderId="0" xfId="1" applyFont="1" applyFill="1" applyBorder="1" applyAlignment="1">
      <alignment horizontal="right"/>
    </xf>
    <xf numFmtId="164" fontId="3" fillId="100" borderId="0" xfId="1" quotePrefix="1" applyNumberFormat="1" applyFont="1" applyFill="1" applyBorder="1"/>
    <xf numFmtId="164" fontId="3" fillId="100" borderId="0" xfId="0" quotePrefix="1" applyNumberFormat="1" applyFont="1" applyFill="1" applyBorder="1"/>
    <xf numFmtId="3" fontId="2" fillId="100" borderId="3" xfId="0" applyNumberFormat="1" applyFont="1" applyFill="1" applyBorder="1"/>
    <xf numFmtId="1" fontId="49" fillId="100" borderId="0" xfId="0" applyNumberFormat="1" applyFont="1" applyFill="1" applyBorder="1" applyAlignment="1">
      <alignment horizontal="left" vertical="top" wrapText="1"/>
    </xf>
    <xf numFmtId="1" fontId="46" fillId="100" borderId="0" xfId="0" applyNumberFormat="1" applyFont="1" applyFill="1" applyBorder="1" applyAlignment="1">
      <alignment horizontal="left"/>
    </xf>
    <xf numFmtId="0" fontId="46" fillId="100" borderId="0" xfId="0" applyFont="1" applyFill="1" applyBorder="1"/>
    <xf numFmtId="164" fontId="207" fillId="100" borderId="0" xfId="1" applyNumberFormat="1" applyFont="1" applyFill="1" applyBorder="1" applyAlignment="1">
      <alignment horizontal="center"/>
    </xf>
    <xf numFmtId="164" fontId="206" fillId="100" borderId="0" xfId="1" applyNumberFormat="1" applyFont="1" applyFill="1" applyBorder="1"/>
    <xf numFmtId="0" fontId="206" fillId="100" borderId="0" xfId="0" applyFont="1" applyFill="1" applyBorder="1"/>
    <xf numFmtId="1" fontId="49" fillId="100" borderId="0" xfId="0" applyNumberFormat="1" applyFont="1" applyFill="1" applyBorder="1" applyAlignment="1">
      <alignment horizontal="right"/>
    </xf>
    <xf numFmtId="0" fontId="49" fillId="100" borderId="0" xfId="0" applyFont="1" applyFill="1" applyBorder="1"/>
    <xf numFmtId="164" fontId="207" fillId="100" borderId="0" xfId="1" quotePrefix="1" applyNumberFormat="1" applyFont="1" applyFill="1" applyBorder="1" applyAlignment="1">
      <alignment horizontal="center"/>
    </xf>
    <xf numFmtId="3" fontId="206" fillId="100" borderId="0" xfId="0" applyNumberFormat="1" applyFont="1" applyFill="1" applyBorder="1"/>
    <xf numFmtId="164" fontId="207" fillId="100" borderId="3" xfId="1" applyNumberFormat="1" applyFont="1" applyFill="1" applyBorder="1"/>
    <xf numFmtId="9" fontId="206" fillId="100" borderId="0" xfId="2" applyFont="1" applyFill="1" applyBorder="1"/>
    <xf numFmtId="1" fontId="49" fillId="100" borderId="0" xfId="4" applyNumberFormat="1" applyFont="1" applyFill="1" applyBorder="1" applyAlignment="1">
      <alignment horizontal="right"/>
    </xf>
    <xf numFmtId="167" fontId="49" fillId="100" borderId="0" xfId="4" applyFont="1" applyFill="1" applyBorder="1"/>
    <xf numFmtId="1" fontId="46" fillId="100" borderId="0" xfId="0" applyNumberFormat="1" applyFont="1" applyFill="1" applyBorder="1" applyAlignment="1">
      <alignment horizontal="right"/>
    </xf>
    <xf numFmtId="1" fontId="34" fillId="100" borderId="0" xfId="5" quotePrefix="1" applyNumberFormat="1" applyFont="1" applyFill="1" applyBorder="1" applyAlignment="1">
      <alignment horizontal="right"/>
    </xf>
    <xf numFmtId="1" fontId="34" fillId="100" borderId="0" xfId="5" applyNumberFormat="1" applyFont="1" applyFill="1" applyBorder="1" applyAlignment="1">
      <alignment horizontal="right"/>
    </xf>
    <xf numFmtId="1" fontId="46" fillId="100" borderId="0" xfId="4" applyNumberFormat="1" applyFont="1" applyFill="1" applyBorder="1" applyAlignment="1">
      <alignment horizontal="right"/>
    </xf>
    <xf numFmtId="164" fontId="207" fillId="100" borderId="87" xfId="1" applyNumberFormat="1" applyFont="1" applyFill="1" applyBorder="1"/>
    <xf numFmtId="164" fontId="207" fillId="100" borderId="4" xfId="1" applyNumberFormat="1" applyFont="1" applyFill="1" applyBorder="1"/>
    <xf numFmtId="164" fontId="206" fillId="100" borderId="4" xfId="1" applyNumberFormat="1" applyFont="1" applyFill="1" applyBorder="1"/>
    <xf numFmtId="164" fontId="206" fillId="100" borderId="0" xfId="1" applyNumberFormat="1" applyFont="1" applyFill="1" applyBorder="1" applyAlignment="1">
      <alignment horizontal="right"/>
    </xf>
    <xf numFmtId="43" fontId="206" fillId="100" borderId="0" xfId="1" applyNumberFormat="1" applyFont="1" applyFill="1" applyBorder="1"/>
    <xf numFmtId="164" fontId="207" fillId="100" borderId="0" xfId="1" applyNumberFormat="1" applyFont="1" applyFill="1" applyBorder="1"/>
    <xf numFmtId="164" fontId="207" fillId="100" borderId="0" xfId="1" applyNumberFormat="1" applyFont="1" applyFill="1" applyBorder="1" applyAlignment="1">
      <alignment horizontal="right"/>
    </xf>
    <xf numFmtId="1" fontId="148" fillId="100" borderId="0" xfId="6" applyNumberFormat="1" applyFont="1" applyFill="1" applyBorder="1" applyAlignment="1">
      <alignment horizontal="right"/>
    </xf>
    <xf numFmtId="0" fontId="149" fillId="100" borderId="0" xfId="6" applyFont="1" applyFill="1" applyBorder="1" applyAlignment="1">
      <alignment horizontal="right"/>
    </xf>
    <xf numFmtId="0" fontId="148" fillId="100" borderId="0" xfId="6" applyFont="1" applyFill="1" applyBorder="1" applyAlignment="1">
      <alignment horizontal="right"/>
    </xf>
    <xf numFmtId="0" fontId="148" fillId="100" borderId="0" xfId="0" applyFont="1" applyFill="1"/>
    <xf numFmtId="44" fontId="148" fillId="100" borderId="0" xfId="0" applyNumberFormat="1" applyFont="1" applyFill="1"/>
    <xf numFmtId="1" fontId="3" fillId="100" borderId="0" xfId="6" applyNumberFormat="1" applyFont="1" applyFill="1" applyBorder="1" applyAlignment="1">
      <alignment horizontal="right"/>
    </xf>
    <xf numFmtId="0" fontId="3" fillId="100" borderId="0" xfId="6" applyFont="1" applyFill="1" applyBorder="1"/>
    <xf numFmtId="0" fontId="0" fillId="100" borderId="0" xfId="0" applyFont="1" applyFill="1"/>
    <xf numFmtId="0" fontId="149" fillId="100" borderId="0" xfId="6" applyFont="1" applyFill="1" applyBorder="1"/>
    <xf numFmtId="3" fontId="149" fillId="100" borderId="0" xfId="1330" applyNumberFormat="1" applyFont="1" applyFill="1" applyBorder="1" applyAlignment="1">
      <alignment horizontal="center"/>
    </xf>
    <xf numFmtId="0" fontId="1" fillId="100" borderId="0" xfId="0" applyFont="1" applyFill="1"/>
    <xf numFmtId="3" fontId="149" fillId="100" borderId="0" xfId="1330" quotePrefix="1" applyNumberFormat="1" applyFont="1" applyFill="1" applyBorder="1" applyAlignment="1">
      <alignment horizontal="center"/>
    </xf>
    <xf numFmtId="10" fontId="28" fillId="100" borderId="0" xfId="2" applyNumberFormat="1" applyFont="1" applyFill="1"/>
    <xf numFmtId="10" fontId="0" fillId="100" borderId="0" xfId="2" applyNumberFormat="1" applyFont="1" applyFill="1"/>
    <xf numFmtId="0" fontId="148" fillId="100" borderId="0" xfId="6" applyFont="1" applyFill="1" applyBorder="1"/>
    <xf numFmtId="3" fontId="148" fillId="100" borderId="0" xfId="6" applyNumberFormat="1" applyFont="1" applyFill="1" applyBorder="1"/>
    <xf numFmtId="3" fontId="149" fillId="100" borderId="0" xfId="186" applyNumberFormat="1" applyFont="1" applyFill="1" applyBorder="1"/>
    <xf numFmtId="3" fontId="148" fillId="100" borderId="0" xfId="186" applyNumberFormat="1" applyFont="1" applyFill="1" applyBorder="1"/>
    <xf numFmtId="37" fontId="149" fillId="100" borderId="0" xfId="186" applyNumberFormat="1" applyFont="1" applyFill="1" applyBorder="1"/>
    <xf numFmtId="0" fontId="149" fillId="100" borderId="0" xfId="1330" applyFont="1" applyFill="1" applyBorder="1"/>
    <xf numFmtId="3" fontId="149" fillId="100" borderId="0" xfId="1330" quotePrefix="1" applyNumberFormat="1" applyFont="1" applyFill="1" applyBorder="1"/>
    <xf numFmtId="0" fontId="28" fillId="100" borderId="0" xfId="0" applyFont="1" applyFill="1" applyAlignment="1">
      <alignment horizontal="center"/>
    </xf>
    <xf numFmtId="164" fontId="0" fillId="100" borderId="0" xfId="1" applyNumberFormat="1" applyFont="1" applyFill="1"/>
    <xf numFmtId="0" fontId="2" fillId="100" borderId="57" xfId="26" applyFont="1" applyFill="1" applyBorder="1" applyAlignment="1"/>
    <xf numFmtId="0" fontId="2" fillId="100" borderId="58" xfId="26" applyFont="1" applyFill="1" applyBorder="1" applyAlignment="1"/>
    <xf numFmtId="0" fontId="2" fillId="100" borderId="0" xfId="26" applyFont="1" applyFill="1" applyBorder="1" applyAlignment="1">
      <alignment horizontal="center"/>
    </xf>
    <xf numFmtId="0" fontId="2" fillId="100" borderId="53" xfId="26" applyFont="1" applyFill="1" applyBorder="1" applyAlignment="1"/>
    <xf numFmtId="0" fontId="3" fillId="100" borderId="40" xfId="26" applyFont="1" applyFill="1" applyBorder="1"/>
    <xf numFmtId="0" fontId="3" fillId="100" borderId="53" xfId="26" applyFont="1" applyFill="1" applyBorder="1"/>
    <xf numFmtId="164" fontId="3" fillId="100" borderId="4" xfId="1" applyNumberFormat="1" applyFont="1" applyFill="1" applyBorder="1"/>
    <xf numFmtId="10" fontId="3" fillId="100" borderId="0" xfId="26" applyNumberFormat="1" applyFont="1" applyFill="1" applyBorder="1"/>
    <xf numFmtId="10" fontId="2" fillId="100" borderId="0" xfId="26" applyNumberFormat="1" applyFont="1" applyFill="1" applyBorder="1"/>
    <xf numFmtId="0" fontId="3" fillId="100" borderId="48" xfId="26" applyFont="1" applyFill="1" applyBorder="1"/>
    <xf numFmtId="0" fontId="3" fillId="100" borderId="1" xfId="26" applyFont="1" applyFill="1" applyBorder="1"/>
    <xf numFmtId="10" fontId="3" fillId="100" borderId="1" xfId="26" applyNumberFormat="1" applyFont="1" applyFill="1" applyBorder="1"/>
    <xf numFmtId="0" fontId="3" fillId="100" borderId="62" xfId="26" applyFont="1" applyFill="1" applyBorder="1"/>
    <xf numFmtId="0" fontId="3" fillId="100" borderId="56" xfId="26" applyFont="1" applyFill="1" applyBorder="1"/>
    <xf numFmtId="0" fontId="3" fillId="100" borderId="57" xfId="26" applyFont="1" applyFill="1" applyBorder="1"/>
    <xf numFmtId="10" fontId="3" fillId="100" borderId="57" xfId="26" applyNumberFormat="1" applyFont="1" applyFill="1" applyBorder="1"/>
    <xf numFmtId="0" fontId="3" fillId="100" borderId="58" xfId="26" applyFont="1" applyFill="1" applyBorder="1"/>
    <xf numFmtId="0" fontId="2" fillId="100" borderId="40" xfId="26" applyFont="1" applyFill="1" applyBorder="1"/>
    <xf numFmtId="0" fontId="2" fillId="100" borderId="0" xfId="26" applyFont="1" applyFill="1" applyBorder="1"/>
    <xf numFmtId="176" fontId="3" fillId="100" borderId="0" xfId="1" applyNumberFormat="1" applyFont="1" applyFill="1" applyBorder="1"/>
    <xf numFmtId="165" fontId="3" fillId="100" borderId="53" xfId="26" applyNumberFormat="1" applyFont="1" applyFill="1" applyBorder="1"/>
    <xf numFmtId="165" fontId="3" fillId="100" borderId="0" xfId="26" applyNumberFormat="1" applyFont="1" applyFill="1" applyBorder="1"/>
    <xf numFmtId="176" fontId="2" fillId="100" borderId="4" xfId="1" applyNumberFormat="1" applyFont="1" applyFill="1" applyBorder="1"/>
    <xf numFmtId="165" fontId="2" fillId="100" borderId="4" xfId="26" applyNumberFormat="1" applyFont="1" applyFill="1" applyBorder="1"/>
    <xf numFmtId="166" fontId="2" fillId="100" borderId="0" xfId="26" applyNumberFormat="1" applyFont="1" applyFill="1" applyBorder="1"/>
    <xf numFmtId="166" fontId="3" fillId="100" borderId="53" xfId="26" applyNumberFormat="1" applyFont="1" applyFill="1" applyBorder="1"/>
    <xf numFmtId="0" fontId="2" fillId="100" borderId="0" xfId="26" applyFont="1" applyFill="1" applyBorder="1" applyAlignment="1">
      <alignment horizontal="center" wrapText="1"/>
    </xf>
    <xf numFmtId="3" fontId="3" fillId="100" borderId="0" xfId="26" applyNumberFormat="1" applyFont="1" applyFill="1" applyBorder="1" applyAlignment="1">
      <alignment horizontal="right"/>
    </xf>
    <xf numFmtId="3" fontId="3" fillId="100" borderId="0" xfId="26" applyNumberFormat="1" applyFont="1" applyFill="1" applyBorder="1" applyAlignment="1">
      <alignment horizontal="center"/>
    </xf>
    <xf numFmtId="3" fontId="3" fillId="100" borderId="53" xfId="26" applyNumberFormat="1" applyFont="1" applyFill="1" applyBorder="1" applyAlignment="1">
      <alignment horizontal="center"/>
    </xf>
    <xf numFmtId="164" fontId="2" fillId="100" borderId="87" xfId="1" applyNumberFormat="1" applyFont="1" applyFill="1" applyBorder="1"/>
    <xf numFmtId="3" fontId="2" fillId="100" borderId="0" xfId="26" applyNumberFormat="1" applyFont="1" applyFill="1" applyBorder="1"/>
    <xf numFmtId="3" fontId="2" fillId="100" borderId="53" xfId="26" applyNumberFormat="1" applyFont="1" applyFill="1" applyBorder="1"/>
    <xf numFmtId="3" fontId="3" fillId="100" borderId="0" xfId="26" applyNumberFormat="1" applyFont="1" applyFill="1" applyBorder="1"/>
    <xf numFmtId="3" fontId="3" fillId="100" borderId="53" xfId="26" applyNumberFormat="1" applyFont="1" applyFill="1" applyBorder="1"/>
    <xf numFmtId="3" fontId="164" fillId="100" borderId="53" xfId="26" applyNumberFormat="1" applyFont="1" applyFill="1" applyBorder="1" applyAlignment="1">
      <alignment horizontal="left"/>
    </xf>
    <xf numFmtId="164" fontId="2" fillId="100" borderId="4" xfId="1" applyNumberFormat="1" applyFont="1" applyFill="1" applyBorder="1"/>
    <xf numFmtId="3" fontId="3" fillId="100" borderId="1" xfId="26" applyNumberFormat="1" applyFont="1" applyFill="1" applyBorder="1"/>
    <xf numFmtId="3" fontId="2" fillId="100" borderId="0" xfId="26" applyNumberFormat="1" applyFont="1" applyFill="1" applyBorder="1" applyAlignment="1">
      <alignment horizontal="left" wrapText="1"/>
    </xf>
    <xf numFmtId="3" fontId="2" fillId="100" borderId="0" xfId="26" quotePrefix="1" applyNumberFormat="1" applyFont="1" applyFill="1" applyBorder="1" applyAlignment="1">
      <alignment horizontal="center"/>
    </xf>
    <xf numFmtId="3" fontId="2" fillId="100" borderId="0" xfId="26" applyNumberFormat="1" applyFont="1" applyFill="1" applyBorder="1" applyAlignment="1">
      <alignment horizontal="center"/>
    </xf>
    <xf numFmtId="3" fontId="2" fillId="100" borderId="0" xfId="26" applyNumberFormat="1" applyFont="1" applyFill="1" applyBorder="1" applyAlignment="1"/>
    <xf numFmtId="9" fontId="2" fillId="100" borderId="0" xfId="2" applyFont="1" applyFill="1" applyBorder="1" applyAlignment="1">
      <alignment horizontal="center"/>
    </xf>
    <xf numFmtId="9" fontId="2" fillId="100" borderId="0" xfId="2" quotePrefix="1" applyFont="1" applyFill="1" applyBorder="1" applyAlignment="1">
      <alignment horizontal="center"/>
    </xf>
    <xf numFmtId="43" fontId="2" fillId="100" borderId="0" xfId="2" applyNumberFormat="1" applyFont="1" applyFill="1" applyBorder="1" applyAlignment="1">
      <alignment horizontal="center"/>
    </xf>
    <xf numFmtId="3" fontId="2" fillId="100" borderId="1" xfId="26" applyNumberFormat="1" applyFont="1" applyFill="1" applyBorder="1" applyAlignment="1"/>
    <xf numFmtId="9" fontId="2" fillId="100" borderId="1" xfId="2" applyFont="1" applyFill="1" applyBorder="1" applyAlignment="1">
      <alignment horizontal="center"/>
    </xf>
    <xf numFmtId="43" fontId="3" fillId="100" borderId="0" xfId="2" applyNumberFormat="1" applyFont="1" applyFill="1" applyBorder="1" applyAlignment="1">
      <alignment horizontal="center"/>
    </xf>
    <xf numFmtId="9" fontId="3" fillId="100" borderId="0" xfId="2" quotePrefix="1" applyFont="1" applyFill="1" applyBorder="1" applyAlignment="1">
      <alignment horizontal="center"/>
    </xf>
    <xf numFmtId="164" fontId="3" fillId="100" borderId="0" xfId="26" applyNumberFormat="1" applyFont="1" applyFill="1" applyBorder="1"/>
    <xf numFmtId="0" fontId="2" fillId="100" borderId="0" xfId="26" quotePrefix="1" applyFont="1" applyFill="1" applyBorder="1" applyAlignment="1">
      <alignment horizontal="center"/>
    </xf>
    <xf numFmtId="176" fontId="3" fillId="100" borderId="87" xfId="1" applyNumberFormat="1" applyFont="1" applyFill="1" applyBorder="1"/>
    <xf numFmtId="165" fontId="3" fillId="100" borderId="62" xfId="26" applyNumberFormat="1" applyFont="1" applyFill="1" applyBorder="1"/>
    <xf numFmtId="0" fontId="4" fillId="100" borderId="56" xfId="26" applyFill="1" applyBorder="1"/>
    <xf numFmtId="10" fontId="3" fillId="100" borderId="57" xfId="26" applyNumberFormat="1" applyFont="1" applyFill="1" applyBorder="1" applyAlignment="1">
      <alignment horizontal="left"/>
    </xf>
    <xf numFmtId="10" fontId="3" fillId="100" borderId="57" xfId="26" applyNumberFormat="1" applyFont="1" applyFill="1" applyBorder="1" applyAlignment="1">
      <alignment horizontal="center"/>
    </xf>
    <xf numFmtId="0" fontId="4" fillId="100" borderId="57" xfId="26" applyFill="1" applyBorder="1"/>
    <xf numFmtId="0" fontId="4" fillId="100" borderId="58" xfId="26" applyFill="1" applyBorder="1"/>
    <xf numFmtId="10" fontId="3" fillId="100" borderId="0" xfId="26" applyNumberFormat="1" applyFont="1" applyFill="1" applyBorder="1" applyAlignment="1">
      <alignment horizontal="left"/>
    </xf>
    <xf numFmtId="0" fontId="4" fillId="100" borderId="0" xfId="26" applyFill="1" applyBorder="1"/>
    <xf numFmtId="0" fontId="4" fillId="100" borderId="53" xfId="26" applyFill="1" applyBorder="1"/>
    <xf numFmtId="0" fontId="4" fillId="100" borderId="40" xfId="26" applyFill="1" applyBorder="1"/>
    <xf numFmtId="10" fontId="2" fillId="100" borderId="0" xfId="26" applyNumberFormat="1" applyFont="1" applyFill="1" applyBorder="1" applyAlignment="1">
      <alignment horizontal="left"/>
    </xf>
    <xf numFmtId="10" fontId="3" fillId="100" borderId="0" xfId="26" applyNumberFormat="1" applyFont="1" applyFill="1" applyBorder="1" applyAlignment="1">
      <alignment horizontal="center"/>
    </xf>
    <xf numFmtId="0" fontId="4" fillId="100" borderId="48" xfId="26" applyFill="1" applyBorder="1"/>
    <xf numFmtId="10" fontId="3" fillId="100" borderId="1" xfId="26" applyNumberFormat="1" applyFont="1" applyFill="1" applyBorder="1" applyAlignment="1">
      <alignment horizontal="left"/>
    </xf>
    <xf numFmtId="10" fontId="3" fillId="100" borderId="1" xfId="26" applyNumberFormat="1" applyFont="1" applyFill="1" applyBorder="1" applyAlignment="1">
      <alignment horizontal="center"/>
    </xf>
    <xf numFmtId="0" fontId="4" fillId="100" borderId="1" xfId="26" applyFill="1" applyBorder="1"/>
    <xf numFmtId="0" fontId="4" fillId="100" borderId="62" xfId="26" applyFill="1" applyBorder="1"/>
    <xf numFmtId="10" fontId="2" fillId="100" borderId="57" xfId="26" applyNumberFormat="1" applyFont="1" applyFill="1" applyBorder="1" applyAlignment="1">
      <alignment horizontal="center"/>
    </xf>
    <xf numFmtId="0" fontId="2" fillId="100" borderId="57" xfId="26" applyFont="1" applyFill="1" applyBorder="1"/>
    <xf numFmtId="1" fontId="3" fillId="100" borderId="0" xfId="26" applyNumberFormat="1" applyFont="1" applyFill="1" applyBorder="1" applyAlignment="1">
      <alignment horizontal="left"/>
    </xf>
    <xf numFmtId="0" fontId="2" fillId="100" borderId="53" xfId="26" applyFont="1" applyFill="1" applyBorder="1"/>
    <xf numFmtId="0" fontId="2" fillId="100" borderId="0" xfId="26" applyFont="1" applyFill="1" applyBorder="1" applyAlignment="1">
      <alignment horizontal="left"/>
    </xf>
    <xf numFmtId="0" fontId="3" fillId="100" borderId="0" xfId="26" applyFont="1" applyFill="1" applyBorder="1" applyAlignment="1">
      <alignment horizontal="center"/>
    </xf>
    <xf numFmtId="0" fontId="3" fillId="100" borderId="53" xfId="26" applyFont="1" applyFill="1" applyBorder="1" applyAlignment="1">
      <alignment horizontal="center"/>
    </xf>
    <xf numFmtId="4" fontId="3" fillId="100" borderId="0" xfId="26" applyNumberFormat="1" applyFont="1" applyFill="1" applyBorder="1" applyAlignment="1">
      <alignment horizontal="left"/>
    </xf>
    <xf numFmtId="168" fontId="3" fillId="100" borderId="0" xfId="26" applyNumberFormat="1" applyFont="1" applyFill="1" applyBorder="1" applyAlignment="1">
      <alignment horizontal="right"/>
    </xf>
    <xf numFmtId="168" fontId="2" fillId="100" borderId="0" xfId="26" applyNumberFormat="1" applyFont="1" applyFill="1" applyBorder="1"/>
    <xf numFmtId="10" fontId="3" fillId="100" borderId="53" xfId="26" applyNumberFormat="1" applyFont="1" applyFill="1" applyBorder="1" applyAlignment="1">
      <alignment horizontal="right"/>
    </xf>
    <xf numFmtId="165" fontId="2" fillId="100" borderId="0" xfId="26" applyNumberFormat="1" applyFont="1" applyFill="1" applyBorder="1" applyAlignment="1">
      <alignment horizontal="left"/>
    </xf>
    <xf numFmtId="10" fontId="2" fillId="100" borderId="0" xfId="26" applyNumberFormat="1" applyFont="1" applyFill="1" applyBorder="1" applyAlignment="1">
      <alignment horizontal="center"/>
    </xf>
    <xf numFmtId="3" fontId="2" fillId="100" borderId="0" xfId="26" applyNumberFormat="1" applyFont="1" applyFill="1" applyBorder="1" applyAlignment="1">
      <alignment horizontal="right"/>
    </xf>
    <xf numFmtId="165" fontId="3" fillId="100" borderId="1" xfId="26" applyNumberFormat="1" applyFont="1" applyFill="1" applyBorder="1" applyAlignment="1">
      <alignment horizontal="left"/>
    </xf>
    <xf numFmtId="165" fontId="3" fillId="100" borderId="1" xfId="26" applyNumberFormat="1" applyFont="1" applyFill="1" applyBorder="1" applyAlignment="1">
      <alignment horizontal="center"/>
    </xf>
    <xf numFmtId="165" fontId="3" fillId="100" borderId="0" xfId="26" applyNumberFormat="1" applyFont="1" applyFill="1" applyBorder="1" applyAlignment="1">
      <alignment horizontal="center"/>
    </xf>
    <xf numFmtId="43" fontId="3" fillId="100" borderId="0" xfId="26" applyNumberFormat="1" applyFont="1" applyFill="1" applyBorder="1"/>
    <xf numFmtId="165" fontId="3" fillId="100" borderId="57" xfId="26" applyNumberFormat="1" applyFont="1" applyFill="1" applyBorder="1" applyAlignment="1">
      <alignment horizontal="center"/>
    </xf>
    <xf numFmtId="3" fontId="2" fillId="100" borderId="57" xfId="26" applyNumberFormat="1" applyFont="1" applyFill="1" applyBorder="1" applyAlignment="1">
      <alignment horizontal="left"/>
    </xf>
    <xf numFmtId="3" fontId="3" fillId="100" borderId="57" xfId="26" applyNumberFormat="1" applyFont="1" applyFill="1" applyBorder="1" applyAlignment="1">
      <alignment horizontal="right"/>
    </xf>
    <xf numFmtId="0" fontId="3" fillId="100" borderId="57" xfId="26" applyFont="1" applyFill="1" applyBorder="1" applyAlignment="1">
      <alignment horizontal="center"/>
    </xf>
    <xf numFmtId="0" fontId="2" fillId="100" borderId="0" xfId="26" applyNumberFormat="1" applyFont="1" applyFill="1" applyBorder="1" applyAlignment="1">
      <alignment horizontal="center"/>
    </xf>
    <xf numFmtId="0" fontId="3" fillId="100" borderId="0" xfId="26" quotePrefix="1" applyFont="1" applyFill="1" applyBorder="1"/>
    <xf numFmtId="4" fontId="2" fillId="100" borderId="0" xfId="26" applyNumberFormat="1" applyFont="1" applyFill="1" applyBorder="1" applyAlignment="1">
      <alignment horizontal="left"/>
    </xf>
    <xf numFmtId="165" fontId="2" fillId="100" borderId="1" xfId="26" applyNumberFormat="1" applyFont="1" applyFill="1" applyBorder="1" applyAlignment="1">
      <alignment horizontal="left"/>
    </xf>
    <xf numFmtId="3" fontId="2" fillId="100" borderId="1" xfId="26" applyNumberFormat="1" applyFont="1" applyFill="1" applyBorder="1" applyAlignment="1">
      <alignment horizontal="right"/>
    </xf>
    <xf numFmtId="3" fontId="2" fillId="100" borderId="1" xfId="26" applyNumberFormat="1" applyFont="1" applyFill="1" applyBorder="1"/>
    <xf numFmtId="168" fontId="2" fillId="100" borderId="0" xfId="26" applyNumberFormat="1" applyFont="1" applyFill="1" applyBorder="1" applyAlignment="1">
      <alignment horizontal="center"/>
    </xf>
    <xf numFmtId="3" fontId="3" fillId="100" borderId="0" xfId="26" applyNumberFormat="1" applyFont="1" applyFill="1" applyBorder="1" applyAlignment="1"/>
    <xf numFmtId="3" fontId="3" fillId="100" borderId="57" xfId="26" applyNumberFormat="1" applyFont="1" applyFill="1" applyBorder="1" applyAlignment="1"/>
    <xf numFmtId="3" fontId="3" fillId="100" borderId="57" xfId="26" applyNumberFormat="1" applyFont="1" applyFill="1" applyBorder="1"/>
    <xf numFmtId="3" fontId="3" fillId="100" borderId="0" xfId="26" quotePrefix="1" applyNumberFormat="1" applyFont="1" applyFill="1" applyBorder="1" applyAlignment="1"/>
    <xf numFmtId="3" fontId="3" fillId="100" borderId="0" xfId="26" applyNumberFormat="1" applyFont="1" applyFill="1" applyBorder="1" applyAlignment="1">
      <alignment horizontal="left"/>
    </xf>
    <xf numFmtId="3" fontId="3" fillId="100" borderId="60" xfId="26" applyNumberFormat="1" applyFont="1" applyFill="1" applyBorder="1" applyAlignment="1">
      <alignment horizontal="right"/>
    </xf>
    <xf numFmtId="10" fontId="2" fillId="100" borderId="0" xfId="26" applyNumberFormat="1" applyFont="1" applyFill="1" applyBorder="1" applyAlignment="1">
      <alignment horizontal="right"/>
    </xf>
    <xf numFmtId="10" fontId="3" fillId="100" borderId="0" xfId="26" applyNumberFormat="1" applyFont="1" applyFill="1" applyBorder="1" applyAlignment="1">
      <alignment horizontal="right"/>
    </xf>
    <xf numFmtId="3" fontId="2" fillId="100" borderId="0" xfId="26" quotePrefix="1" applyNumberFormat="1" applyFont="1" applyFill="1" applyBorder="1" applyAlignment="1"/>
    <xf numFmtId="4" fontId="3" fillId="100" borderId="0" xfId="26" applyNumberFormat="1" applyFont="1" applyFill="1" applyBorder="1" applyAlignment="1">
      <alignment horizontal="right"/>
    </xf>
    <xf numFmtId="0" fontId="149" fillId="100" borderId="0" xfId="0" applyFont="1" applyFill="1"/>
    <xf numFmtId="0" fontId="148" fillId="100" borderId="0" xfId="0" applyFont="1" applyFill="1" applyAlignment="1">
      <alignment horizontal="center"/>
    </xf>
    <xf numFmtId="0" fontId="190" fillId="100" borderId="0" xfId="0" applyFont="1" applyFill="1"/>
    <xf numFmtId="49" fontId="28" fillId="100" borderId="0" xfId="0" applyNumberFormat="1" applyFont="1" applyFill="1" applyAlignment="1">
      <alignment horizontal="center"/>
    </xf>
    <xf numFmtId="0" fontId="149" fillId="100" borderId="1" xfId="16348" quotePrefix="1" applyFont="1" applyFill="1" applyBorder="1" applyAlignment="1">
      <alignment horizontal="center" wrapText="1"/>
    </xf>
    <xf numFmtId="0" fontId="149" fillId="100" borderId="1" xfId="0" applyFont="1" applyFill="1" applyBorder="1" applyAlignment="1">
      <alignment horizontal="center"/>
    </xf>
    <xf numFmtId="1" fontId="148" fillId="100" borderId="0" xfId="59" applyNumberFormat="1" applyFont="1" applyFill="1" applyBorder="1"/>
    <xf numFmtId="37" fontId="148" fillId="100" borderId="0" xfId="59" applyFont="1" applyFill="1"/>
    <xf numFmtId="173" fontId="148" fillId="100" borderId="0" xfId="141" applyNumberFormat="1" applyFont="1" applyFill="1"/>
    <xf numFmtId="43" fontId="148" fillId="100" borderId="0" xfId="0" applyNumberFormat="1" applyFont="1" applyFill="1" applyBorder="1"/>
    <xf numFmtId="173" fontId="148" fillId="100" borderId="57" xfId="141" applyNumberFormat="1" applyFont="1" applyFill="1" applyBorder="1"/>
    <xf numFmtId="173" fontId="148" fillId="100" borderId="0" xfId="141" applyNumberFormat="1" applyFont="1" applyFill="1" applyBorder="1"/>
    <xf numFmtId="10" fontId="148" fillId="100" borderId="120" xfId="1245" applyNumberFormat="1" applyFont="1" applyFill="1" applyBorder="1"/>
    <xf numFmtId="37" fontId="191" fillId="100" borderId="0" xfId="59" applyFont="1" applyFill="1"/>
    <xf numFmtId="173" fontId="1" fillId="100" borderId="0" xfId="141" applyNumberFormat="1" applyFont="1" applyFill="1"/>
    <xf numFmtId="10" fontId="1" fillId="100" borderId="120" xfId="1245" applyNumberFormat="1" applyFont="1" applyFill="1" applyBorder="1"/>
    <xf numFmtId="164" fontId="0" fillId="100" borderId="0" xfId="0" applyNumberFormat="1" applyFont="1" applyFill="1"/>
    <xf numFmtId="0" fontId="28" fillId="100" borderId="101" xfId="0" applyFont="1" applyFill="1" applyBorder="1" applyAlignment="1">
      <alignment horizontal="center"/>
    </xf>
    <xf numFmtId="164" fontId="28" fillId="100" borderId="101" xfId="1" applyNumberFormat="1" applyFont="1" applyFill="1" applyBorder="1" applyAlignment="1">
      <alignment horizontal="center"/>
    </xf>
    <xf numFmtId="164" fontId="28" fillId="100" borderId="101" xfId="1" applyNumberFormat="1" applyFont="1" applyFill="1" applyBorder="1" applyAlignment="1">
      <alignment horizontal="center" wrapText="1"/>
    </xf>
    <xf numFmtId="0" fontId="4" fillId="100" borderId="0" xfId="35" applyFill="1"/>
    <xf numFmtId="0" fontId="0" fillId="100" borderId="0" xfId="0" applyNumberFormat="1" applyFill="1" applyAlignment="1">
      <alignment horizontal="left"/>
    </xf>
    <xf numFmtId="14" fontId="14" fillId="100" borderId="0" xfId="5" applyNumberFormat="1" applyFont="1" applyFill="1"/>
    <xf numFmtId="10" fontId="14" fillId="100" borderId="0" xfId="5" applyNumberFormat="1" applyFont="1" applyFill="1"/>
    <xf numFmtId="17" fontId="20" fillId="100" borderId="0" xfId="9" applyNumberFormat="1" applyFont="1" applyFill="1" applyBorder="1" applyAlignment="1">
      <alignment horizontal="centerContinuous"/>
    </xf>
    <xf numFmtId="17" fontId="20" fillId="100" borderId="88" xfId="9" applyNumberFormat="1" applyFont="1" applyFill="1" applyBorder="1" applyAlignment="1">
      <alignment horizontal="centerContinuous"/>
    </xf>
    <xf numFmtId="173" fontId="4" fillId="100" borderId="0" xfId="141" applyNumberFormat="1" applyFont="1" applyFill="1" applyBorder="1"/>
    <xf numFmtId="173" fontId="14" fillId="100" borderId="87" xfId="5" applyNumberFormat="1" applyFont="1" applyFill="1" applyBorder="1"/>
    <xf numFmtId="164" fontId="20" fillId="100" borderId="0" xfId="9" applyNumberFormat="1" applyFont="1" applyFill="1" applyAlignment="1">
      <alignment horizontal="right"/>
    </xf>
    <xf numFmtId="173" fontId="4" fillId="100" borderId="1" xfId="141" applyNumberFormat="1" applyFont="1" applyFill="1" applyBorder="1"/>
    <xf numFmtId="173" fontId="4" fillId="100" borderId="0" xfId="141" applyNumberFormat="1" applyFont="1" applyFill="1"/>
    <xf numFmtId="37" fontId="25" fillId="100" borderId="0" xfId="59" applyFont="1" applyFill="1"/>
    <xf numFmtId="9" fontId="4" fillId="100" borderId="0" xfId="2" applyFont="1" applyFill="1"/>
    <xf numFmtId="0" fontId="28" fillId="100" borderId="0" xfId="0" applyFont="1" applyFill="1" applyAlignment="1">
      <alignment horizontal="left"/>
    </xf>
    <xf numFmtId="164" fontId="28" fillId="100" borderId="0" xfId="1" applyNumberFormat="1" applyFont="1" applyFill="1"/>
    <xf numFmtId="0" fontId="178" fillId="100" borderId="0" xfId="994" applyFont="1" applyFill="1" applyAlignment="1"/>
    <xf numFmtId="0" fontId="148" fillId="100" borderId="0" xfId="994" applyFont="1" applyFill="1" applyAlignment="1"/>
    <xf numFmtId="0" fontId="149" fillId="100" borderId="0" xfId="994" applyFont="1" applyFill="1" applyAlignment="1"/>
    <xf numFmtId="0" fontId="148" fillId="100" borderId="0" xfId="994" applyFont="1" applyFill="1" applyAlignment="1">
      <alignment horizontal="left" wrapText="1"/>
    </xf>
    <xf numFmtId="0" fontId="148" fillId="100" borderId="0" xfId="994" applyFont="1" applyFill="1" applyAlignment="1">
      <alignment horizontal="right"/>
    </xf>
    <xf numFmtId="44" fontId="148" fillId="100" borderId="0" xfId="874" applyFont="1" applyFill="1" applyAlignment="1"/>
    <xf numFmtId="0" fontId="149" fillId="100" borderId="0" xfId="994" applyFont="1" applyFill="1" applyAlignment="1">
      <alignment horizontal="right"/>
    </xf>
    <xf numFmtId="44" fontId="149" fillId="100" borderId="0" xfId="874" applyFont="1" applyFill="1" applyAlignment="1"/>
    <xf numFmtId="0" fontId="148" fillId="100" borderId="0" xfId="994" applyFont="1" applyFill="1" applyBorder="1" applyAlignment="1"/>
    <xf numFmtId="0" fontId="20" fillId="100" borderId="0" xfId="2891" applyFont="1" applyFill="1" applyAlignment="1">
      <alignment horizontal="center"/>
    </xf>
    <xf numFmtId="0" fontId="20" fillId="100" borderId="0" xfId="2891" applyFont="1" applyFill="1" applyAlignment="1">
      <alignment horizontal="center" wrapText="1"/>
    </xf>
    <xf numFmtId="0" fontId="4" fillId="100" borderId="0" xfId="2891" applyFill="1" applyBorder="1" applyAlignment="1"/>
    <xf numFmtId="0" fontId="28" fillId="100" borderId="0" xfId="0" applyFont="1" applyFill="1" applyAlignment="1">
      <alignment horizontal="center" wrapText="1"/>
    </xf>
    <xf numFmtId="0" fontId="4" fillId="100" borderId="0" xfId="35" applyFill="1" applyAlignment="1">
      <alignment horizontal="center"/>
    </xf>
    <xf numFmtId="164" fontId="4" fillId="100" borderId="0" xfId="81" applyNumberFormat="1" applyFont="1" applyFill="1"/>
    <xf numFmtId="10" fontId="4" fillId="100" borderId="0" xfId="60" applyNumberFormat="1" applyFont="1" applyFill="1" applyBorder="1"/>
    <xf numFmtId="44" fontId="148" fillId="100" borderId="0" xfId="994" applyNumberFormat="1" applyFont="1" applyFill="1" applyBorder="1" applyAlignment="1"/>
    <xf numFmtId="44" fontId="149" fillId="100" borderId="0" xfId="994" applyNumberFormat="1" applyFont="1" applyFill="1" applyBorder="1" applyAlignment="1"/>
    <xf numFmtId="164" fontId="1" fillId="100" borderId="0" xfId="81" applyNumberFormat="1" applyFont="1" applyFill="1"/>
    <xf numFmtId="0" fontId="4" fillId="100" borderId="0" xfId="35" applyFont="1" applyFill="1" applyAlignment="1">
      <alignment horizontal="center"/>
    </xf>
    <xf numFmtId="44" fontId="148" fillId="100" borderId="0" xfId="994" applyNumberFormat="1" applyFont="1" applyFill="1" applyAlignment="1"/>
    <xf numFmtId="44" fontId="149" fillId="100" borderId="0" xfId="994" applyNumberFormat="1" applyFont="1" applyFill="1" applyAlignment="1"/>
    <xf numFmtId="164" fontId="4" fillId="100" borderId="1" xfId="81" applyNumberFormat="1" applyFont="1" applyFill="1" applyBorder="1"/>
    <xf numFmtId="10" fontId="4" fillId="100" borderId="1" xfId="60" applyNumberFormat="1" applyFont="1" applyFill="1" applyBorder="1"/>
    <xf numFmtId="44" fontId="148" fillId="100" borderId="1" xfId="994" applyNumberFormat="1" applyFont="1" applyFill="1" applyBorder="1" applyAlignment="1"/>
    <xf numFmtId="0" fontId="148" fillId="100" borderId="1" xfId="994" applyFont="1" applyFill="1" applyBorder="1" applyAlignment="1"/>
    <xf numFmtId="44" fontId="149" fillId="100" borderId="1" xfId="994" applyNumberFormat="1" applyFont="1" applyFill="1" applyBorder="1" applyAlignment="1"/>
    <xf numFmtId="0" fontId="4" fillId="100" borderId="0" xfId="1190" applyFill="1"/>
    <xf numFmtId="164" fontId="20" fillId="100" borderId="0" xfId="2891" applyNumberFormat="1" applyFont="1" applyFill="1" applyBorder="1" applyAlignment="1"/>
    <xf numFmtId="9" fontId="20" fillId="100" borderId="0" xfId="1245" applyFont="1" applyFill="1" applyBorder="1" applyAlignment="1"/>
    <xf numFmtId="173" fontId="20" fillId="100" borderId="0" xfId="141" applyNumberFormat="1" applyFont="1" applyFill="1" applyBorder="1" applyAlignment="1"/>
    <xf numFmtId="164" fontId="1" fillId="100" borderId="0" xfId="0" applyNumberFormat="1" applyFont="1" applyFill="1" applyBorder="1"/>
    <xf numFmtId="3" fontId="1" fillId="100" borderId="0" xfId="0" applyNumberFormat="1" applyFont="1" applyFill="1" applyBorder="1"/>
    <xf numFmtId="44" fontId="1" fillId="100" borderId="0" xfId="141" applyFont="1" applyFill="1" applyBorder="1"/>
    <xf numFmtId="173" fontId="148" fillId="100" borderId="0" xfId="994" applyNumberFormat="1" applyFont="1" applyFill="1" applyAlignment="1"/>
    <xf numFmtId="0" fontId="148" fillId="100" borderId="120" xfId="994" applyFont="1" applyFill="1" applyBorder="1" applyAlignment="1"/>
    <xf numFmtId="0" fontId="4" fillId="100" borderId="0" xfId="1190" applyFont="1" applyFill="1"/>
    <xf numFmtId="164" fontId="148" fillId="100" borderId="0" xfId="0" applyNumberFormat="1" applyFont="1" applyFill="1" applyBorder="1"/>
    <xf numFmtId="3" fontId="148" fillId="100" borderId="0" xfId="0" applyNumberFormat="1" applyFont="1" applyFill="1" applyBorder="1"/>
    <xf numFmtId="44" fontId="148" fillId="100" borderId="0" xfId="141" applyFont="1" applyFill="1" applyBorder="1"/>
    <xf numFmtId="173" fontId="149" fillId="100" borderId="120" xfId="994" applyNumberFormat="1" applyFont="1" applyFill="1" applyBorder="1" applyAlignment="1"/>
    <xf numFmtId="0" fontId="149" fillId="100" borderId="120" xfId="994" applyFont="1" applyFill="1" applyBorder="1" applyAlignment="1"/>
    <xf numFmtId="10" fontId="149" fillId="100" borderId="0" xfId="2775" applyNumberFormat="1" applyFont="1" applyFill="1"/>
    <xf numFmtId="0" fontId="149" fillId="100" borderId="0" xfId="0" applyFont="1" applyFill="1" applyBorder="1"/>
    <xf numFmtId="10" fontId="148" fillId="100" borderId="0" xfId="2775" applyNumberFormat="1" applyFont="1" applyFill="1"/>
    <xf numFmtId="0" fontId="148" fillId="100" borderId="0" xfId="0" applyFont="1" applyFill="1" applyBorder="1"/>
    <xf numFmtId="0" fontId="149" fillId="100" borderId="1" xfId="0" applyFont="1" applyFill="1" applyBorder="1"/>
    <xf numFmtId="164" fontId="168" fillId="100" borderId="0" xfId="81" applyNumberFormat="1" applyFont="1" applyFill="1" applyBorder="1"/>
    <xf numFmtId="41" fontId="148" fillId="100" borderId="0" xfId="0" applyNumberFormat="1" applyFont="1" applyFill="1" applyBorder="1"/>
    <xf numFmtId="10" fontId="148" fillId="100" borderId="0" xfId="1245" applyNumberFormat="1" applyFont="1" applyFill="1" applyBorder="1"/>
    <xf numFmtId="0" fontId="223" fillId="100" borderId="0" xfId="303" applyFont="1" applyFill="1"/>
    <xf numFmtId="0" fontId="148" fillId="100" borderId="0" xfId="0" applyFont="1" applyFill="1" applyAlignment="1">
      <alignment horizontal="right"/>
    </xf>
    <xf numFmtId="0" fontId="223" fillId="100" borderId="0" xfId="303" applyFont="1" applyFill="1" applyAlignment="1">
      <alignment horizontal="center"/>
    </xf>
    <xf numFmtId="0" fontId="223" fillId="7" borderId="0" xfId="303" applyFont="1" applyFill="1" applyAlignment="1">
      <alignment horizontal="center"/>
    </xf>
    <xf numFmtId="0" fontId="149" fillId="100" borderId="0" xfId="0" applyFont="1" applyFill="1" applyAlignment="1">
      <alignment horizontal="center"/>
    </xf>
    <xf numFmtId="0" fontId="149" fillId="100" borderId="1" xfId="0" applyFont="1" applyFill="1" applyBorder="1" applyAlignment="1">
      <alignment horizontal="center" wrapText="1"/>
    </xf>
    <xf numFmtId="44" fontId="148" fillId="100" borderId="0" xfId="141" applyFont="1" applyFill="1"/>
    <xf numFmtId="0" fontId="149" fillId="100" borderId="0" xfId="0" applyFont="1" applyFill="1" applyAlignment="1">
      <alignment horizontal="left"/>
    </xf>
    <xf numFmtId="164" fontId="148" fillId="100" borderId="0" xfId="0" applyNumberFormat="1" applyFont="1" applyFill="1"/>
    <xf numFmtId="44" fontId="148" fillId="100" borderId="0" xfId="0" applyNumberFormat="1" applyFont="1" applyFill="1" applyBorder="1"/>
    <xf numFmtId="3" fontId="224" fillId="100" borderId="0" xfId="0" applyNumberFormat="1" applyFont="1" applyFill="1"/>
    <xf numFmtId="0" fontId="148" fillId="100" borderId="1" xfId="0" applyFont="1" applyFill="1" applyBorder="1"/>
    <xf numFmtId="44" fontId="148" fillId="100" borderId="1" xfId="0" applyNumberFormat="1" applyFont="1" applyFill="1" applyBorder="1"/>
    <xf numFmtId="44" fontId="148" fillId="100" borderId="1" xfId="141" applyFont="1" applyFill="1" applyBorder="1"/>
    <xf numFmtId="166" fontId="148" fillId="100" borderId="0" xfId="2" applyNumberFormat="1" applyFont="1" applyFill="1" applyAlignment="1">
      <alignment horizontal="center"/>
    </xf>
    <xf numFmtId="173" fontId="149" fillId="100" borderId="0" xfId="0" applyNumberFormat="1" applyFont="1" applyFill="1"/>
    <xf numFmtId="44" fontId="149" fillId="100" borderId="0" xfId="0" applyNumberFormat="1" applyFont="1" applyFill="1"/>
    <xf numFmtId="166" fontId="148" fillId="100" borderId="0" xfId="2" applyNumberFormat="1" applyFont="1" applyFill="1"/>
    <xf numFmtId="173" fontId="148" fillId="100" borderId="0" xfId="0" applyNumberFormat="1" applyFont="1" applyFill="1"/>
    <xf numFmtId="0" fontId="178" fillId="100" borderId="0" xfId="0" applyFont="1" applyFill="1"/>
    <xf numFmtId="10" fontId="148" fillId="100" borderId="1" xfId="0" applyNumberFormat="1" applyFont="1" applyFill="1" applyBorder="1"/>
    <xf numFmtId="0" fontId="149" fillId="100" borderId="0" xfId="0" applyFont="1" applyFill="1" applyAlignment="1">
      <alignment horizontal="right"/>
    </xf>
    <xf numFmtId="37" fontId="148" fillId="100" borderId="0" xfId="0" applyNumberFormat="1" applyFont="1" applyFill="1"/>
    <xf numFmtId="43" fontId="148" fillId="100" borderId="0" xfId="0" applyNumberFormat="1" applyFont="1" applyFill="1"/>
    <xf numFmtId="173" fontId="148" fillId="100" borderId="0" xfId="0" applyNumberFormat="1" applyFont="1" applyFill="1" applyBorder="1" applyAlignment="1">
      <alignment horizontal="center"/>
    </xf>
    <xf numFmtId="0" fontId="149" fillId="100" borderId="0" xfId="0" applyFont="1" applyFill="1" applyBorder="1" applyAlignment="1">
      <alignment horizontal="center"/>
    </xf>
    <xf numFmtId="1" fontId="148" fillId="100" borderId="0" xfId="0" applyNumberFormat="1" applyFont="1" applyFill="1"/>
    <xf numFmtId="43" fontId="148" fillId="100" borderId="0" xfId="1" quotePrefix="1" applyFont="1" applyFill="1" applyBorder="1"/>
    <xf numFmtId="173" fontId="148" fillId="100" borderId="1" xfId="141" applyNumberFormat="1" applyFont="1" applyFill="1" applyBorder="1"/>
    <xf numFmtId="173" fontId="149" fillId="100" borderId="0" xfId="141" applyNumberFormat="1" applyFont="1" applyFill="1"/>
    <xf numFmtId="43" fontId="148" fillId="100" borderId="0" xfId="1" applyFont="1" applyFill="1"/>
    <xf numFmtId="172" fontId="148" fillId="100" borderId="1" xfId="2" applyNumberFormat="1" applyFont="1" applyFill="1" applyBorder="1"/>
    <xf numFmtId="0" fontId="148" fillId="100" borderId="0" xfId="0" quotePrefix="1" applyFont="1" applyFill="1"/>
    <xf numFmtId="0" fontId="178" fillId="100" borderId="0" xfId="0" applyFont="1" applyFill="1" applyAlignment="1">
      <alignment horizontal="center"/>
    </xf>
    <xf numFmtId="9" fontId="148" fillId="100" borderId="0" xfId="2" applyFont="1" applyFill="1"/>
    <xf numFmtId="3" fontId="148" fillId="100" borderId="0" xfId="1330" applyNumberFormat="1" applyFont="1" applyFill="1" applyBorder="1"/>
    <xf numFmtId="0" fontId="149" fillId="100" borderId="0" xfId="0" quotePrefix="1" applyFont="1" applyFill="1" applyAlignment="1">
      <alignment horizontal="center"/>
    </xf>
    <xf numFmtId="10" fontId="149" fillId="100" borderId="0" xfId="2" applyNumberFormat="1" applyFont="1" applyFill="1"/>
    <xf numFmtId="0" fontId="148" fillId="100" borderId="0" xfId="1330" applyFont="1" applyFill="1" applyBorder="1"/>
    <xf numFmtId="10" fontId="148" fillId="100" borderId="0" xfId="2" applyNumberFormat="1" applyFont="1" applyFill="1"/>
    <xf numFmtId="3" fontId="148" fillId="100" borderId="1" xfId="186" applyNumberFormat="1" applyFont="1" applyFill="1" applyBorder="1"/>
    <xf numFmtId="37" fontId="148" fillId="100" borderId="0" xfId="186" applyNumberFormat="1" applyFont="1" applyFill="1" applyBorder="1"/>
    <xf numFmtId="37" fontId="148" fillId="100" borderId="1" xfId="186" applyNumberFormat="1" applyFont="1" applyFill="1" applyBorder="1"/>
    <xf numFmtId="0" fontId="148" fillId="100" borderId="0" xfId="0" applyFont="1" applyFill="1" applyAlignment="1">
      <alignment horizontal="left" wrapText="1"/>
    </xf>
    <xf numFmtId="0" fontId="148" fillId="7" borderId="0" xfId="0" applyFont="1" applyFill="1" applyAlignment="1">
      <alignment horizontal="left" wrapText="1"/>
    </xf>
    <xf numFmtId="164" fontId="148" fillId="100" borderId="0" xfId="1" applyNumberFormat="1" applyFont="1" applyFill="1"/>
    <xf numFmtId="0" fontId="2" fillId="100" borderId="0" xfId="0" applyFont="1" applyFill="1" applyBorder="1" applyAlignment="1">
      <alignment horizontal="center" wrapText="1"/>
    </xf>
    <xf numFmtId="164" fontId="3" fillId="100" borderId="0" xfId="0" applyNumberFormat="1" applyFont="1" applyFill="1" applyBorder="1" applyAlignment="1">
      <alignment horizontal="center"/>
    </xf>
    <xf numFmtId="43" fontId="3" fillId="100" borderId="0" xfId="1" applyNumberFormat="1" applyFont="1" applyFill="1" applyBorder="1" applyAlignment="1">
      <alignment horizontal="center"/>
    </xf>
    <xf numFmtId="1" fontId="3" fillId="100" borderId="0" xfId="5" quotePrefix="1" applyNumberFormat="1" applyFont="1" applyFill="1" applyBorder="1" applyAlignment="1">
      <alignment horizontal="right"/>
    </xf>
    <xf numFmtId="1" fontId="3" fillId="100" borderId="0" xfId="5" applyNumberFormat="1" applyFont="1" applyFill="1" applyBorder="1" applyAlignment="1">
      <alignment horizontal="right"/>
    </xf>
    <xf numFmtId="1" fontId="2" fillId="100" borderId="0" xfId="5" quotePrefix="1" applyNumberFormat="1" applyFont="1" applyFill="1" applyBorder="1" applyAlignment="1">
      <alignment horizontal="right"/>
    </xf>
  </cellXfs>
  <cellStyles count="21497">
    <cellStyle name="20% - Accent1" xfId="2868" builtinId="30" customBuiltin="1"/>
    <cellStyle name="20% - Accent1 2" xfId="61"/>
    <cellStyle name="20% - Accent1 2 2" xfId="233"/>
    <cellStyle name="20% - Accent1 2 2 2" xfId="1484"/>
    <cellStyle name="20% - Accent1 2 2 3" xfId="1332"/>
    <cellStyle name="20% - Accent1 2 3" xfId="234"/>
    <cellStyle name="20% - Accent1 2 3 2" xfId="1333"/>
    <cellStyle name="20% - Accent1 2 4" xfId="232"/>
    <cellStyle name="20% - Accent1 2 4 2" xfId="1485"/>
    <cellStyle name="20% - Accent1 2 5" xfId="1486"/>
    <cellStyle name="20% - Accent1 3" xfId="147"/>
    <cellStyle name="20% - Accent1 3 2" xfId="235"/>
    <cellStyle name="20% - Accent1 3 2 2" xfId="1487"/>
    <cellStyle name="20% - Accent1 3 3" xfId="698"/>
    <cellStyle name="20% - Accent1 3 4" xfId="1275"/>
    <cellStyle name="20% - Accent1 4" xfId="236"/>
    <cellStyle name="20% - Accent1 4 2" xfId="699"/>
    <cellStyle name="20% - Accent1 4 3" xfId="1334"/>
    <cellStyle name="20% - Accent1 5" xfId="700"/>
    <cellStyle name="20% - Accent1 6" xfId="1488"/>
    <cellStyle name="20% - Accent2" xfId="2872" builtinId="34" customBuiltin="1"/>
    <cellStyle name="20% - Accent2 2" xfId="148"/>
    <cellStyle name="20% - Accent2 2 2" xfId="238"/>
    <cellStyle name="20% - Accent2 2 2 2" xfId="1489"/>
    <cellStyle name="20% - Accent2 2 3" xfId="239"/>
    <cellStyle name="20% - Accent2 2 3 2" xfId="1490"/>
    <cellStyle name="20% - Accent2 2 4" xfId="237"/>
    <cellStyle name="20% - Accent2 3" xfId="149"/>
    <cellStyle name="20% - Accent2 3 2" xfId="240"/>
    <cellStyle name="20% - Accent2 3 2 2" xfId="1335"/>
    <cellStyle name="20% - Accent2 3 3" xfId="1276"/>
    <cellStyle name="20% - Accent2 4" xfId="241"/>
    <cellStyle name="20% - Accent2 4 2" xfId="1492"/>
    <cellStyle name="20% - Accent2 4 3" xfId="1491"/>
    <cellStyle name="20% - Accent2 5" xfId="701"/>
    <cellStyle name="20% - Accent2 6" xfId="1493"/>
    <cellStyle name="20% - Accent3" xfId="2876" builtinId="38" customBuiltin="1"/>
    <cellStyle name="20% - Accent3 2" xfId="150"/>
    <cellStyle name="20% - Accent3 2 2" xfId="242"/>
    <cellStyle name="20% - Accent3 2 2 2" xfId="1494"/>
    <cellStyle name="20% - Accent3 3" xfId="151"/>
    <cellStyle name="20% - Accent3 3 2" xfId="243"/>
    <cellStyle name="20% - Accent3 3 2 2" xfId="1336"/>
    <cellStyle name="20% - Accent3 3 3" xfId="1277"/>
    <cellStyle name="20% - Accent3 4" xfId="244"/>
    <cellStyle name="20% - Accent3 4 2" xfId="1496"/>
    <cellStyle name="20% - Accent3 4 3" xfId="1495"/>
    <cellStyle name="20% - Accent3 5" xfId="702"/>
    <cellStyle name="20% - Accent3 6" xfId="1497"/>
    <cellStyle name="20% - Accent4" xfId="2880" builtinId="42" customBuiltin="1"/>
    <cellStyle name="20% - Accent4 2" xfId="62"/>
    <cellStyle name="20% - Accent4 2 2" xfId="246"/>
    <cellStyle name="20% - Accent4 2 2 2" xfId="1498"/>
    <cellStyle name="20% - Accent4 2 2 3" xfId="1337"/>
    <cellStyle name="20% - Accent4 2 3" xfId="247"/>
    <cellStyle name="20% - Accent4 2 3 2" xfId="1338"/>
    <cellStyle name="20% - Accent4 2 4" xfId="245"/>
    <cellStyle name="20% - Accent4 3" xfId="152"/>
    <cellStyle name="20% - Accent4 3 2" xfId="248"/>
    <cellStyle name="20% - Accent4 3 2 2" xfId="1499"/>
    <cellStyle name="20% - Accent4 3 3" xfId="703"/>
    <cellStyle name="20% - Accent4 3 4" xfId="1278"/>
    <cellStyle name="20% - Accent4 4" xfId="249"/>
    <cellStyle name="20% - Accent4 4 2" xfId="704"/>
    <cellStyle name="20% - Accent4 4 3" xfId="1339"/>
    <cellStyle name="20% - Accent4 5" xfId="705"/>
    <cellStyle name="20% - Accent4 6" xfId="1500"/>
    <cellStyle name="20% - Accent5" xfId="2884" builtinId="46" customBuiltin="1"/>
    <cellStyle name="20% - Accent5 2" xfId="153"/>
    <cellStyle name="20% - Accent5 2 2" xfId="1501"/>
    <cellStyle name="20% - Accent5 3" xfId="154"/>
    <cellStyle name="20% - Accent5 3 2" xfId="1502"/>
    <cellStyle name="20% - Accent5 3 3" xfId="1503"/>
    <cellStyle name="20% - Accent5 4" xfId="706"/>
    <cellStyle name="20% - Accent5 4 2" xfId="1504"/>
    <cellStyle name="20% - Accent5 5" xfId="707"/>
    <cellStyle name="20% - Accent6" xfId="2888" builtinId="50" customBuiltin="1"/>
    <cellStyle name="20% - Accent6 2" xfId="155"/>
    <cellStyle name="20% - Accent6 2 2" xfId="251"/>
    <cellStyle name="20% - Accent6 2 2 2" xfId="1505"/>
    <cellStyle name="20% - Accent6 2 3" xfId="250"/>
    <cellStyle name="20% - Accent6 2 3 2" xfId="1506"/>
    <cellStyle name="20% - Accent6 3" xfId="156"/>
    <cellStyle name="20% - Accent6 3 2" xfId="252"/>
    <cellStyle name="20% - Accent6 3 2 2" xfId="1340"/>
    <cellStyle name="20% - Accent6 3 3" xfId="1279"/>
    <cellStyle name="20% - Accent6 4" xfId="708"/>
    <cellStyle name="20% - Accent6 4 2" xfId="1507"/>
    <cellStyle name="20% - Accent6 5" xfId="709"/>
    <cellStyle name="40% - Accent1" xfId="2869" builtinId="31" customBuiltin="1"/>
    <cellStyle name="40% - Accent1 2" xfId="63"/>
    <cellStyle name="40% - Accent1 2 2" xfId="710"/>
    <cellStyle name="40% - Accent1 2 3" xfId="711"/>
    <cellStyle name="40% - Accent1 3" xfId="157"/>
    <cellStyle name="40% - Accent1 3 2" xfId="253"/>
    <cellStyle name="40% - Accent1 3 2 2" xfId="1508"/>
    <cellStyle name="40% - Accent1 3 3" xfId="712"/>
    <cellStyle name="40% - Accent1 3 4" xfId="1280"/>
    <cellStyle name="40% - Accent1 4" xfId="254"/>
    <cellStyle name="40% - Accent1 4 2" xfId="713"/>
    <cellStyle name="40% - Accent1 4 3" xfId="1341"/>
    <cellStyle name="40% - Accent1 5" xfId="714"/>
    <cellStyle name="40% - Accent1 6" xfId="1509"/>
    <cellStyle name="40% - Accent2" xfId="2873" builtinId="35" customBuiltin="1"/>
    <cellStyle name="40% - Accent2 2" xfId="158"/>
    <cellStyle name="40% - Accent2 2 2" xfId="1510"/>
    <cellStyle name="40% - Accent2 3" xfId="159"/>
    <cellStyle name="40% - Accent2 3 2" xfId="1511"/>
    <cellStyle name="40% - Accent2 3 3" xfId="1512"/>
    <cellStyle name="40% - Accent2 4" xfId="715"/>
    <cellStyle name="40% - Accent2 4 2" xfId="1513"/>
    <cellStyle name="40% - Accent2 5" xfId="716"/>
    <cellStyle name="40% - Accent3" xfId="2877" builtinId="39" customBuiltin="1"/>
    <cellStyle name="40% - Accent3 2" xfId="160"/>
    <cellStyle name="40% - Accent3 2 2" xfId="256"/>
    <cellStyle name="40% - Accent3 2 2 2" xfId="1514"/>
    <cellStyle name="40% - Accent3 2 3" xfId="257"/>
    <cellStyle name="40% - Accent3 2 3 2" xfId="1515"/>
    <cellStyle name="40% - Accent3 2 4" xfId="255"/>
    <cellStyle name="40% - Accent3 3" xfId="161"/>
    <cellStyle name="40% - Accent3 3 2" xfId="258"/>
    <cellStyle name="40% - Accent3 3 2 2" xfId="1342"/>
    <cellStyle name="40% - Accent3 3 3" xfId="1281"/>
    <cellStyle name="40% - Accent3 4" xfId="259"/>
    <cellStyle name="40% - Accent3 4 2" xfId="1517"/>
    <cellStyle name="40% - Accent3 4 3" xfId="1516"/>
    <cellStyle name="40% - Accent3 5" xfId="717"/>
    <cellStyle name="40% - Accent3 6" xfId="1518"/>
    <cellStyle name="40% - Accent4" xfId="2881" builtinId="43" customBuiltin="1"/>
    <cellStyle name="40% - Accent4 2" xfId="64"/>
    <cellStyle name="40% - Accent4 2 2" xfId="718"/>
    <cellStyle name="40% - Accent4 2 3" xfId="719"/>
    <cellStyle name="40% - Accent4 3" xfId="162"/>
    <cellStyle name="40% - Accent4 3 2" xfId="260"/>
    <cellStyle name="40% - Accent4 3 2 2" xfId="1519"/>
    <cellStyle name="40% - Accent4 3 3" xfId="720"/>
    <cellStyle name="40% - Accent4 3 4" xfId="1282"/>
    <cellStyle name="40% - Accent4 4" xfId="261"/>
    <cellStyle name="40% - Accent4 4 2" xfId="721"/>
    <cellStyle name="40% - Accent4 4 3" xfId="1343"/>
    <cellStyle name="40% - Accent4 5" xfId="722"/>
    <cellStyle name="40% - Accent4 6" xfId="1520"/>
    <cellStyle name="40% - Accent5" xfId="2885" builtinId="47" customBuiltin="1"/>
    <cellStyle name="40% - Accent5 2" xfId="65"/>
    <cellStyle name="40% - Accent5 2 2" xfId="723"/>
    <cellStyle name="40% - Accent5 2 3" xfId="724"/>
    <cellStyle name="40% - Accent5 3" xfId="163"/>
    <cellStyle name="40% - Accent5 3 2" xfId="262"/>
    <cellStyle name="40% - Accent5 3 2 2" xfId="1344"/>
    <cellStyle name="40% - Accent5 3 3" xfId="1283"/>
    <cellStyle name="40% - Accent5 4" xfId="725"/>
    <cellStyle name="40% - Accent5 4 2" xfId="1521"/>
    <cellStyle name="40% - Accent5 5" xfId="726"/>
    <cellStyle name="40% - Accent6" xfId="2889" builtinId="51" customBuiltin="1"/>
    <cellStyle name="40% - Accent6 2" xfId="66"/>
    <cellStyle name="40% - Accent6 2 2" xfId="264"/>
    <cellStyle name="40% - Accent6 2 2 2" xfId="1522"/>
    <cellStyle name="40% - Accent6 2 3" xfId="263"/>
    <cellStyle name="40% - Accent6 2 3 2" xfId="1523"/>
    <cellStyle name="40% - Accent6 3" xfId="164"/>
    <cellStyle name="40% - Accent6 3 2" xfId="265"/>
    <cellStyle name="40% - Accent6 3 2 2" xfId="1524"/>
    <cellStyle name="40% - Accent6 3 3" xfId="727"/>
    <cellStyle name="40% - Accent6 3 4" xfId="1284"/>
    <cellStyle name="40% - Accent6 4" xfId="266"/>
    <cellStyle name="40% - Accent6 4 2" xfId="728"/>
    <cellStyle name="40% - Accent6 4 3" xfId="1345"/>
    <cellStyle name="40% - Accent6 5" xfId="729"/>
    <cellStyle name="40% - Accent6 6" xfId="1525"/>
    <cellStyle name="60% - Accent1" xfId="2870" builtinId="32" customBuiltin="1"/>
    <cellStyle name="60% - Accent1 2" xfId="67"/>
    <cellStyle name="60% - Accent1 2 2" xfId="268"/>
    <cellStyle name="60% - Accent1 2 2 2" xfId="1526"/>
    <cellStyle name="60% - Accent1 2 2 3" xfId="1346"/>
    <cellStyle name="60% - Accent1 2 3" xfId="269"/>
    <cellStyle name="60% - Accent1 2 3 2" xfId="1347"/>
    <cellStyle name="60% - Accent1 2 4" xfId="267"/>
    <cellStyle name="60% - Accent1 2 4 2" xfId="1527"/>
    <cellStyle name="60% - Accent1 3" xfId="165"/>
    <cellStyle name="60% - Accent1 3 2" xfId="270"/>
    <cellStyle name="60% - Accent1 3 3" xfId="730"/>
    <cellStyle name="60% - Accent1 3 4" xfId="1285"/>
    <cellStyle name="60% - Accent1 4" xfId="271"/>
    <cellStyle name="60% - Accent1 4 2" xfId="731"/>
    <cellStyle name="60% - Accent1 4 3" xfId="1348"/>
    <cellStyle name="60% - Accent2" xfId="2874" builtinId="36" customBuiltin="1"/>
    <cellStyle name="60% - Accent2 2" xfId="68"/>
    <cellStyle name="60% - Accent2 2 2" xfId="732"/>
    <cellStyle name="60% - Accent2 2 3" xfId="733"/>
    <cellStyle name="60% - Accent2 3" xfId="166"/>
    <cellStyle name="60% - Accent2 3 2" xfId="272"/>
    <cellStyle name="60% - Accent2 3 2 2" xfId="1349"/>
    <cellStyle name="60% - Accent2 3 3" xfId="1286"/>
    <cellStyle name="60% - Accent2 4" xfId="734"/>
    <cellStyle name="60% - Accent3" xfId="2878" builtinId="40" customBuiltin="1"/>
    <cellStyle name="60% - Accent3 2" xfId="69"/>
    <cellStyle name="60% - Accent3 2 2" xfId="274"/>
    <cellStyle name="60% - Accent3 2 3" xfId="273"/>
    <cellStyle name="60% - Accent3 2 3 2" xfId="1528"/>
    <cellStyle name="60% - Accent3 3" xfId="167"/>
    <cellStyle name="60% - Accent3 3 2" xfId="275"/>
    <cellStyle name="60% - Accent3 3 3" xfId="735"/>
    <cellStyle name="60% - Accent3 3 4" xfId="1287"/>
    <cellStyle name="60% - Accent3 4" xfId="276"/>
    <cellStyle name="60% - Accent3 4 2" xfId="736"/>
    <cellStyle name="60% - Accent3 4 3" xfId="1350"/>
    <cellStyle name="60% - Accent4" xfId="2882" builtinId="44" customBuiltin="1"/>
    <cellStyle name="60% - Accent4 2" xfId="70"/>
    <cellStyle name="60% - Accent4 2 2" xfId="278"/>
    <cellStyle name="60% - Accent4 2 3" xfId="277"/>
    <cellStyle name="60% - Accent4 2 3 2" xfId="1529"/>
    <cellStyle name="60% - Accent4 3" xfId="168"/>
    <cellStyle name="60% - Accent4 3 2" xfId="279"/>
    <cellStyle name="60% - Accent4 3 3" xfId="737"/>
    <cellStyle name="60% - Accent4 3 4" xfId="1288"/>
    <cellStyle name="60% - Accent4 4" xfId="280"/>
    <cellStyle name="60% - Accent4 4 2" xfId="738"/>
    <cellStyle name="60% - Accent4 4 3" xfId="1351"/>
    <cellStyle name="60% - Accent5" xfId="2886" builtinId="48" customBuiltin="1"/>
    <cellStyle name="60% - Accent5 2" xfId="71"/>
    <cellStyle name="60% - Accent5 2 2" xfId="282"/>
    <cellStyle name="60% - Accent5 2 2 2" xfId="1530"/>
    <cellStyle name="60% - Accent5 2 2 3" xfId="1352"/>
    <cellStyle name="60% - Accent5 2 3" xfId="283"/>
    <cellStyle name="60% - Accent5 2 3 2" xfId="1353"/>
    <cellStyle name="60% - Accent5 2 4" xfId="281"/>
    <cellStyle name="60% - Accent5 2 4 2" xfId="1531"/>
    <cellStyle name="60% - Accent5 3" xfId="169"/>
    <cellStyle name="60% - Accent5 3 2" xfId="284"/>
    <cellStyle name="60% - Accent5 3 2 2" xfId="1354"/>
    <cellStyle name="60% - Accent5 3 3" xfId="1289"/>
    <cellStyle name="60% - Accent5 4" xfId="285"/>
    <cellStyle name="60% - Accent5 4 2" xfId="1532"/>
    <cellStyle name="60% - Accent6" xfId="2890" builtinId="52" customBuiltin="1"/>
    <cellStyle name="60% - Accent6 2" xfId="170"/>
    <cellStyle name="60% - Accent6 2 2" xfId="287"/>
    <cellStyle name="60% - Accent6 2 2 2" xfId="1533"/>
    <cellStyle name="60% - Accent6 2 3" xfId="288"/>
    <cellStyle name="60% - Accent6 2 3 2" xfId="1534"/>
    <cellStyle name="60% - Accent6 2 4" xfId="286"/>
    <cellStyle name="60% - Accent6 3" xfId="171"/>
    <cellStyle name="60% - Accent6 3 2" xfId="289"/>
    <cellStyle name="60% - Accent6 3 2 2" xfId="1355"/>
    <cellStyle name="60% - Accent6 3 3" xfId="1290"/>
    <cellStyle name="60% - Accent6 4" xfId="290"/>
    <cellStyle name="60% - Accent6 4 2" xfId="1535"/>
    <cellStyle name="Accent1" xfId="2867" builtinId="29" customBuiltin="1"/>
    <cellStyle name="Accent1 2" xfId="72"/>
    <cellStyle name="Accent1 2 2" xfId="292"/>
    <cellStyle name="Accent1 2 2 2" xfId="1536"/>
    <cellStyle name="Accent1 2 2 3" xfId="1356"/>
    <cellStyle name="Accent1 2 3" xfId="293"/>
    <cellStyle name="Accent1 2 3 2" xfId="1357"/>
    <cellStyle name="Accent1 2 4" xfId="291"/>
    <cellStyle name="Accent1 2 4 2" xfId="1537"/>
    <cellStyle name="Accent1 3" xfId="172"/>
    <cellStyle name="Accent1 3 2" xfId="294"/>
    <cellStyle name="Accent1 3 3" xfId="739"/>
    <cellStyle name="Accent1 3 4" xfId="1291"/>
    <cellStyle name="Accent1 4" xfId="740"/>
    <cellStyle name="Accent1 4 2" xfId="741"/>
    <cellStyle name="Accent2" xfId="2871" builtinId="33" customBuiltin="1"/>
    <cellStyle name="Accent2 2" xfId="73"/>
    <cellStyle name="Accent2 2 2" xfId="742"/>
    <cellStyle name="Accent2 2 3" xfId="743"/>
    <cellStyle name="Accent2 3" xfId="173"/>
    <cellStyle name="Accent2 3 2" xfId="295"/>
    <cellStyle name="Accent2 3 2 2" xfId="1358"/>
    <cellStyle name="Accent2 3 3" xfId="1292"/>
    <cellStyle name="Accent2 4" xfId="744"/>
    <cellStyle name="Accent3" xfId="2875" builtinId="37" customBuiltin="1"/>
    <cellStyle name="Accent3 2" xfId="74"/>
    <cellStyle name="Accent3 2 2" xfId="296"/>
    <cellStyle name="Accent3 2 2 2" xfId="1359"/>
    <cellStyle name="Accent3 2 3" xfId="745"/>
    <cellStyle name="Accent3 2 4" xfId="746"/>
    <cellStyle name="Accent3 3" xfId="174"/>
    <cellStyle name="Accent3 3 2" xfId="297"/>
    <cellStyle name="Accent3 3 2 2" xfId="1360"/>
    <cellStyle name="Accent3 3 3" xfId="1293"/>
    <cellStyle name="Accent3 4" xfId="747"/>
    <cellStyle name="Accent4" xfId="2879" builtinId="41" customBuiltin="1"/>
    <cellStyle name="Accent4 2" xfId="175"/>
    <cellStyle name="Accent4 2 2" xfId="298"/>
    <cellStyle name="Accent4 2 2 2" xfId="748"/>
    <cellStyle name="Accent4 2 2 2 2" xfId="1538"/>
    <cellStyle name="Accent4 2 3" xfId="299"/>
    <cellStyle name="Accent4 2 3 2" xfId="1539"/>
    <cellStyle name="Accent4 3" xfId="176"/>
    <cellStyle name="Accent4 3 2" xfId="300"/>
    <cellStyle name="Accent4 3 2 2" xfId="1361"/>
    <cellStyle name="Accent4 3 3" xfId="1294"/>
    <cellStyle name="Accent4 4" xfId="301"/>
    <cellStyle name="Accent4 4 2" xfId="1540"/>
    <cellStyle name="Accent5" xfId="2883" builtinId="45" customBuiltin="1"/>
    <cellStyle name="Accent5 2" xfId="177"/>
    <cellStyle name="Accent5 2 2" xfId="303"/>
    <cellStyle name="Accent5 2 2 2" xfId="749"/>
    <cellStyle name="Accent5 2 2 2 2" xfId="1479"/>
    <cellStyle name="Accent5 2 3" xfId="304"/>
    <cellStyle name="Accent5 2 3 2" xfId="750"/>
    <cellStyle name="Accent5 2 4" xfId="302"/>
    <cellStyle name="Accent5 2 4 2" xfId="1541"/>
    <cellStyle name="Accent5 2 4 3" xfId="16344"/>
    <cellStyle name="Accent5 2 5" xfId="692"/>
    <cellStyle name="Accent5 3" xfId="178"/>
    <cellStyle name="Accent5 4" xfId="305"/>
    <cellStyle name="Accent5 4 2" xfId="1542"/>
    <cellStyle name="Accent6" xfId="2887" builtinId="49" customBuiltin="1"/>
    <cellStyle name="Accent6 2" xfId="75"/>
    <cellStyle name="Accent6 2 2" xfId="306"/>
    <cellStyle name="Accent6 2 2 2" xfId="1362"/>
    <cellStyle name="Accent6 2 3" xfId="751"/>
    <cellStyle name="Accent6 2 4" xfId="752"/>
    <cellStyle name="Accent6 3" xfId="179"/>
    <cellStyle name="Accent6 3 2" xfId="307"/>
    <cellStyle name="Accent6 3 2 2" xfId="1363"/>
    <cellStyle name="Accent6 3 3" xfId="1295"/>
    <cellStyle name="Accent6 4" xfId="753"/>
    <cellStyle name="Accounting" xfId="8"/>
    <cellStyle name="Accounting 2" xfId="308"/>
    <cellStyle name="Accounting 2 2" xfId="309"/>
    <cellStyle name="Accounting 3" xfId="310"/>
    <cellStyle name="Accounting 3 2" xfId="1543"/>
    <cellStyle name="Accounting 4" xfId="311"/>
    <cellStyle name="Accounting 5" xfId="13858"/>
    <cellStyle name="Accounting_2011-11" xfId="312"/>
    <cellStyle name="APS" xfId="754"/>
    <cellStyle name="APSLabels" xfId="755"/>
    <cellStyle name="APSLabels 10" xfId="16349"/>
    <cellStyle name="APSLabels 11" xfId="16350"/>
    <cellStyle name="APSLabels 12" xfId="16351"/>
    <cellStyle name="APSLabels 13" xfId="16352"/>
    <cellStyle name="APSLabels 14" xfId="16353"/>
    <cellStyle name="APSLabels 2" xfId="2977"/>
    <cellStyle name="APSLabels 2 10" xfId="16354"/>
    <cellStyle name="APSLabels 2 2" xfId="3212"/>
    <cellStyle name="APSLabels 2 2 2" xfId="12794"/>
    <cellStyle name="APSLabels 2 2 2 2" xfId="12795"/>
    <cellStyle name="APSLabels 2 2 2 2 2" xfId="13859"/>
    <cellStyle name="APSLabels 2 2 2 2 3" xfId="16355"/>
    <cellStyle name="APSLabels 2 2 2 2 4" xfId="16356"/>
    <cellStyle name="APSLabels 2 2 2 2 5" xfId="16357"/>
    <cellStyle name="APSLabels 2 2 2 3" xfId="13860"/>
    <cellStyle name="APSLabels 2 2 2 4" xfId="16358"/>
    <cellStyle name="APSLabels 2 2 2 5" xfId="16359"/>
    <cellStyle name="APSLabels 2 2 2 6" xfId="16360"/>
    <cellStyle name="APSLabels 2 2 3" xfId="12796"/>
    <cellStyle name="APSLabels 2 2 3 2" xfId="12797"/>
    <cellStyle name="APSLabels 2 2 3 2 2" xfId="13861"/>
    <cellStyle name="APSLabels 2 2 3 2 3" xfId="16361"/>
    <cellStyle name="APSLabels 2 2 3 2 4" xfId="16362"/>
    <cellStyle name="APSLabels 2 2 3 2 5" xfId="16363"/>
    <cellStyle name="APSLabels 2 2 3 3" xfId="13862"/>
    <cellStyle name="APSLabels 2 2 3 4" xfId="16364"/>
    <cellStyle name="APSLabels 2 2 3 5" xfId="16365"/>
    <cellStyle name="APSLabels 2 2 3 6" xfId="16366"/>
    <cellStyle name="APSLabels 2 2 4" xfId="12798"/>
    <cellStyle name="APSLabels 2 2 4 2" xfId="13863"/>
    <cellStyle name="APSLabels 2 2 4 3" xfId="16367"/>
    <cellStyle name="APSLabels 2 2 4 4" xfId="16368"/>
    <cellStyle name="APSLabels 2 2 4 5" xfId="16369"/>
    <cellStyle name="APSLabels 2 2 5" xfId="12799"/>
    <cellStyle name="APSLabels 2 2 5 2" xfId="13864"/>
    <cellStyle name="APSLabels 2 2 5 3" xfId="16370"/>
    <cellStyle name="APSLabels 2 2 5 4" xfId="16371"/>
    <cellStyle name="APSLabels 2 2 5 5" xfId="16372"/>
    <cellStyle name="APSLabels 2 2 6" xfId="13865"/>
    <cellStyle name="APSLabels 2 2 7" xfId="16373"/>
    <cellStyle name="APSLabels 2 2 8" xfId="16374"/>
    <cellStyle name="APSLabels 2 2 9" xfId="16375"/>
    <cellStyle name="APSLabels 2 3" xfId="12800"/>
    <cellStyle name="APSLabels 2 3 2" xfId="12801"/>
    <cellStyle name="APSLabels 2 3 2 2" xfId="13866"/>
    <cellStyle name="APSLabels 2 3 2 3" xfId="16376"/>
    <cellStyle name="APSLabels 2 3 2 4" xfId="16377"/>
    <cellStyle name="APSLabels 2 3 2 5" xfId="16378"/>
    <cellStyle name="APSLabels 2 3 3" xfId="13867"/>
    <cellStyle name="APSLabels 2 3 4" xfId="16379"/>
    <cellStyle name="APSLabels 2 3 5" xfId="16380"/>
    <cellStyle name="APSLabels 2 3 6" xfId="16381"/>
    <cellStyle name="APSLabels 2 4" xfId="12802"/>
    <cellStyle name="APSLabels 2 4 2" xfId="12803"/>
    <cellStyle name="APSLabels 2 4 2 2" xfId="13868"/>
    <cellStyle name="APSLabels 2 4 2 3" xfId="16382"/>
    <cellStyle name="APSLabels 2 4 2 4" xfId="16383"/>
    <cellStyle name="APSLabels 2 4 2 5" xfId="16384"/>
    <cellStyle name="APSLabels 2 4 3" xfId="13869"/>
    <cellStyle name="APSLabels 2 4 4" xfId="16385"/>
    <cellStyle name="APSLabels 2 4 5" xfId="16386"/>
    <cellStyle name="APSLabels 2 4 6" xfId="16387"/>
    <cellStyle name="APSLabels 2 5" xfId="12804"/>
    <cellStyle name="APSLabels 2 5 2" xfId="13870"/>
    <cellStyle name="APSLabels 2 5 3" xfId="16388"/>
    <cellStyle name="APSLabels 2 5 4" xfId="16389"/>
    <cellStyle name="APSLabels 2 5 5" xfId="16390"/>
    <cellStyle name="APSLabels 2 6" xfId="12805"/>
    <cellStyle name="APSLabels 2 6 2" xfId="13871"/>
    <cellStyle name="APSLabels 2 6 3" xfId="16391"/>
    <cellStyle name="APSLabels 2 6 4" xfId="16392"/>
    <cellStyle name="APSLabels 2 6 5" xfId="16393"/>
    <cellStyle name="APSLabels 2 7" xfId="13872"/>
    <cellStyle name="APSLabels 2 8" xfId="16394"/>
    <cellStyle name="APSLabels 2 9" xfId="16395"/>
    <cellStyle name="APSLabels 3" xfId="3122"/>
    <cellStyle name="APSLabels 3 10" xfId="16396"/>
    <cellStyle name="APSLabels 3 11" xfId="16397"/>
    <cellStyle name="APSLabels 3 2" xfId="12806"/>
    <cellStyle name="APSLabels 3 2 2" xfId="12807"/>
    <cellStyle name="APSLabels 3 2 2 2" xfId="13873"/>
    <cellStyle name="APSLabels 3 2 2 3" xfId="16398"/>
    <cellStyle name="APSLabels 3 2 2 4" xfId="16399"/>
    <cellStyle name="APSLabels 3 2 2 5" xfId="16400"/>
    <cellStyle name="APSLabels 3 2 3" xfId="13874"/>
    <cellStyle name="APSLabels 3 2 4" xfId="16401"/>
    <cellStyle name="APSLabels 3 2 5" xfId="16402"/>
    <cellStyle name="APSLabels 3 2 6" xfId="16403"/>
    <cellStyle name="APSLabels 3 3" xfId="12808"/>
    <cellStyle name="APSLabels 3 3 2" xfId="12809"/>
    <cellStyle name="APSLabels 3 3 2 2" xfId="13875"/>
    <cellStyle name="APSLabels 3 3 2 3" xfId="16404"/>
    <cellStyle name="APSLabels 3 3 2 4" xfId="16405"/>
    <cellStyle name="APSLabels 3 3 2 5" xfId="16406"/>
    <cellStyle name="APSLabels 3 3 3" xfId="13876"/>
    <cellStyle name="APSLabels 3 3 4" xfId="16407"/>
    <cellStyle name="APSLabels 3 3 5" xfId="16408"/>
    <cellStyle name="APSLabels 3 3 6" xfId="16409"/>
    <cellStyle name="APSLabels 3 4" xfId="12810"/>
    <cellStyle name="APSLabels 3 4 2" xfId="13877"/>
    <cellStyle name="APSLabels 3 4 3" xfId="16410"/>
    <cellStyle name="APSLabels 3 4 4" xfId="16411"/>
    <cellStyle name="APSLabels 3 4 5" xfId="16412"/>
    <cellStyle name="APSLabels 3 5" xfId="12811"/>
    <cellStyle name="APSLabels 3 5 2" xfId="13878"/>
    <cellStyle name="APSLabels 3 5 3" xfId="16413"/>
    <cellStyle name="APSLabels 3 5 4" xfId="16414"/>
    <cellStyle name="APSLabels 3 5 5" xfId="16415"/>
    <cellStyle name="APSLabels 3 6" xfId="13879"/>
    <cellStyle name="APSLabels 3 7" xfId="13880"/>
    <cellStyle name="APSLabels 3 8" xfId="16416"/>
    <cellStyle name="APSLabels 3 9" xfId="16417"/>
    <cellStyle name="APSLabels 4" xfId="3197"/>
    <cellStyle name="APSLabels 4 10" xfId="16418"/>
    <cellStyle name="APSLabels 4 11" xfId="16419"/>
    <cellStyle name="APSLabels 4 2" xfId="12812"/>
    <cellStyle name="APSLabels 4 2 2" xfId="12813"/>
    <cellStyle name="APSLabels 4 2 2 2" xfId="13881"/>
    <cellStyle name="APSLabels 4 2 2 3" xfId="16420"/>
    <cellStyle name="APSLabels 4 2 2 4" xfId="16421"/>
    <cellStyle name="APSLabels 4 2 2 5" xfId="16422"/>
    <cellStyle name="APSLabels 4 2 3" xfId="13882"/>
    <cellStyle name="APSLabels 4 2 4" xfId="16423"/>
    <cellStyle name="APSLabels 4 2 5" xfId="16424"/>
    <cellStyle name="APSLabels 4 2 6" xfId="16425"/>
    <cellStyle name="APSLabels 4 3" xfId="12814"/>
    <cellStyle name="APSLabels 4 3 2" xfId="12815"/>
    <cellStyle name="APSLabels 4 3 2 2" xfId="13883"/>
    <cellStyle name="APSLabels 4 3 2 3" xfId="16426"/>
    <cellStyle name="APSLabels 4 3 2 4" xfId="16427"/>
    <cellStyle name="APSLabels 4 3 2 5" xfId="16428"/>
    <cellStyle name="APSLabels 4 3 3" xfId="13884"/>
    <cellStyle name="APSLabels 4 3 4" xfId="16429"/>
    <cellStyle name="APSLabels 4 3 5" xfId="16430"/>
    <cellStyle name="APSLabels 4 3 6" xfId="16431"/>
    <cellStyle name="APSLabels 4 4" xfId="12816"/>
    <cellStyle name="APSLabels 4 4 2" xfId="13885"/>
    <cellStyle name="APSLabels 4 4 3" xfId="16432"/>
    <cellStyle name="APSLabels 4 4 4" xfId="16433"/>
    <cellStyle name="APSLabels 4 4 5" xfId="16434"/>
    <cellStyle name="APSLabels 4 5" xfId="12817"/>
    <cellStyle name="APSLabels 4 5 2" xfId="13886"/>
    <cellStyle name="APSLabels 4 5 3" xfId="16435"/>
    <cellStyle name="APSLabels 4 5 4" xfId="16436"/>
    <cellStyle name="APSLabels 4 5 5" xfId="16437"/>
    <cellStyle name="APSLabels 4 6" xfId="13887"/>
    <cellStyle name="APSLabels 4 7" xfId="13888"/>
    <cellStyle name="APSLabels 4 8" xfId="16438"/>
    <cellStyle name="APSLabels 4 9" xfId="16439"/>
    <cellStyle name="APSLabels 5" xfId="12818"/>
    <cellStyle name="APSLabels 5 2" xfId="12819"/>
    <cellStyle name="APSLabels 5 2 2" xfId="13889"/>
    <cellStyle name="APSLabels 5 2 3" xfId="16440"/>
    <cellStyle name="APSLabels 5 2 4" xfId="16441"/>
    <cellStyle name="APSLabels 5 2 5" xfId="16442"/>
    <cellStyle name="APSLabels 5 3" xfId="13890"/>
    <cellStyle name="APSLabels 5 4" xfId="16443"/>
    <cellStyle name="APSLabels 5 5" xfId="16444"/>
    <cellStyle name="APSLabels 5 6" xfId="16445"/>
    <cellStyle name="APSLabels 6" xfId="12820"/>
    <cellStyle name="APSLabels 6 2" xfId="12821"/>
    <cellStyle name="APSLabels 6 2 2" xfId="13891"/>
    <cellStyle name="APSLabels 6 2 3" xfId="16446"/>
    <cellStyle name="APSLabels 6 2 4" xfId="16447"/>
    <cellStyle name="APSLabels 6 2 5" xfId="16448"/>
    <cellStyle name="APSLabels 6 3" xfId="13892"/>
    <cellStyle name="APSLabels 6 4" xfId="16449"/>
    <cellStyle name="APSLabels 6 5" xfId="16450"/>
    <cellStyle name="APSLabels 6 6" xfId="16451"/>
    <cellStyle name="APSLabels 7" xfId="12822"/>
    <cellStyle name="APSLabels 7 2" xfId="13893"/>
    <cellStyle name="APSLabels 7 3" xfId="16452"/>
    <cellStyle name="APSLabels 7 4" xfId="16453"/>
    <cellStyle name="APSLabels 7 5" xfId="16454"/>
    <cellStyle name="APSLabels 8" xfId="12823"/>
    <cellStyle name="APSLabels 8 2" xfId="13894"/>
    <cellStyle name="APSLabels 8 3" xfId="16455"/>
    <cellStyle name="APSLabels 8 4" xfId="16456"/>
    <cellStyle name="APSLabels 8 5" xfId="16457"/>
    <cellStyle name="APSLabels 9" xfId="2903"/>
    <cellStyle name="Bad" xfId="2856" builtinId="27" customBuiltin="1"/>
    <cellStyle name="Bad 2" xfId="76"/>
    <cellStyle name="Bad 2 2" xfId="756"/>
    <cellStyle name="Bad 2 3" xfId="757"/>
    <cellStyle name="Bad 3" xfId="180"/>
    <cellStyle name="Bad 3 2" xfId="313"/>
    <cellStyle name="Bad 3 2 2" xfId="1364"/>
    <cellStyle name="Bad 3 3" xfId="1296"/>
    <cellStyle name="Bad 4" xfId="758"/>
    <cellStyle name="Budget" xfId="77"/>
    <cellStyle name="Budget 2" xfId="314"/>
    <cellStyle name="Budget 3" xfId="315"/>
    <cellStyle name="Budget_2011-11" xfId="316"/>
    <cellStyle name="Calculation" xfId="2860" builtinId="22" customBuiltin="1"/>
    <cellStyle name="Calculation 2" xfId="78"/>
    <cellStyle name="Calculation 2 10" xfId="12824"/>
    <cellStyle name="Calculation 2 10 2" xfId="13895"/>
    <cellStyle name="Calculation 2 10 3" xfId="13896"/>
    <cellStyle name="Calculation 2 10 4" xfId="16458"/>
    <cellStyle name="Calculation 2 10 5" xfId="16459"/>
    <cellStyle name="Calculation 2 10 6" xfId="16460"/>
    <cellStyle name="Calculation 2 10 7" xfId="16461"/>
    <cellStyle name="Calculation 2 11" xfId="13846"/>
    <cellStyle name="Calculation 2 11 2" xfId="13897"/>
    <cellStyle name="Calculation 2 11 3" xfId="13898"/>
    <cellStyle name="Calculation 2 11 4" xfId="16462"/>
    <cellStyle name="Calculation 2 11 5" xfId="16463"/>
    <cellStyle name="Calculation 2 11 6" xfId="16464"/>
    <cellStyle name="Calculation 2 11 7" xfId="16465"/>
    <cellStyle name="Calculation 2 2" xfId="318"/>
    <cellStyle name="Calculation 2 2 2" xfId="1544"/>
    <cellStyle name="Calculation 2 2 2 10" xfId="3000"/>
    <cellStyle name="Calculation 2 2 2 11" xfId="13899"/>
    <cellStyle name="Calculation 2 2 2 12" xfId="16466"/>
    <cellStyle name="Calculation 2 2 2 13" xfId="16467"/>
    <cellStyle name="Calculation 2 2 2 2" xfId="3070"/>
    <cellStyle name="Calculation 2 2 2 2 2" xfId="12825"/>
    <cellStyle name="Calculation 2 2 2 2 2 2" xfId="12826"/>
    <cellStyle name="Calculation 2 2 2 2 2 2 2" xfId="13900"/>
    <cellStyle name="Calculation 2 2 2 2 2 2 3" xfId="13901"/>
    <cellStyle name="Calculation 2 2 2 2 2 2 4" xfId="16468"/>
    <cellStyle name="Calculation 2 2 2 2 2 2 5" xfId="16469"/>
    <cellStyle name="Calculation 2 2 2 2 2 2 6" xfId="16470"/>
    <cellStyle name="Calculation 2 2 2 2 2 2 7" xfId="16471"/>
    <cellStyle name="Calculation 2 2 2 2 2 3" xfId="13902"/>
    <cellStyle name="Calculation 2 2 2 2 2 4" xfId="13903"/>
    <cellStyle name="Calculation 2 2 2 2 2 5" xfId="16472"/>
    <cellStyle name="Calculation 2 2 2 2 2 6" xfId="16473"/>
    <cellStyle name="Calculation 2 2 2 2 2 7" xfId="16474"/>
    <cellStyle name="Calculation 2 2 2 2 2 8" xfId="16475"/>
    <cellStyle name="Calculation 2 2 2 2 3" xfId="12827"/>
    <cellStyle name="Calculation 2 2 2 2 3 2" xfId="12828"/>
    <cellStyle name="Calculation 2 2 2 2 3 2 2" xfId="13904"/>
    <cellStyle name="Calculation 2 2 2 2 3 2 3" xfId="13905"/>
    <cellStyle name="Calculation 2 2 2 2 3 2 4" xfId="16476"/>
    <cellStyle name="Calculation 2 2 2 2 3 2 5" xfId="16477"/>
    <cellStyle name="Calculation 2 2 2 2 3 2 6" xfId="16478"/>
    <cellStyle name="Calculation 2 2 2 2 3 2 7" xfId="16479"/>
    <cellStyle name="Calculation 2 2 2 2 3 3" xfId="13906"/>
    <cellStyle name="Calculation 2 2 2 2 3 4" xfId="13907"/>
    <cellStyle name="Calculation 2 2 2 2 3 5" xfId="16480"/>
    <cellStyle name="Calculation 2 2 2 2 3 6" xfId="16481"/>
    <cellStyle name="Calculation 2 2 2 2 3 7" xfId="16482"/>
    <cellStyle name="Calculation 2 2 2 2 3 8" xfId="16483"/>
    <cellStyle name="Calculation 2 2 2 2 4" xfId="12829"/>
    <cellStyle name="Calculation 2 2 2 2 4 2" xfId="12830"/>
    <cellStyle name="Calculation 2 2 2 2 4 2 2" xfId="13908"/>
    <cellStyle name="Calculation 2 2 2 2 4 2 3" xfId="13909"/>
    <cellStyle name="Calculation 2 2 2 2 4 2 4" xfId="16484"/>
    <cellStyle name="Calculation 2 2 2 2 4 2 5" xfId="16485"/>
    <cellStyle name="Calculation 2 2 2 2 4 2 6" xfId="16486"/>
    <cellStyle name="Calculation 2 2 2 2 4 2 7" xfId="16487"/>
    <cellStyle name="Calculation 2 2 2 2 4 3" xfId="13910"/>
    <cellStyle name="Calculation 2 2 2 2 4 4" xfId="13911"/>
    <cellStyle name="Calculation 2 2 2 2 4 5" xfId="16488"/>
    <cellStyle name="Calculation 2 2 2 2 4 6" xfId="16489"/>
    <cellStyle name="Calculation 2 2 2 2 4 7" xfId="16490"/>
    <cellStyle name="Calculation 2 2 2 2 4 8" xfId="16491"/>
    <cellStyle name="Calculation 2 2 2 2 5" xfId="12831"/>
    <cellStyle name="Calculation 2 2 2 2 5 2" xfId="13912"/>
    <cellStyle name="Calculation 2 2 2 2 5 3" xfId="13913"/>
    <cellStyle name="Calculation 2 2 2 2 5 4" xfId="16492"/>
    <cellStyle name="Calculation 2 2 2 2 5 5" xfId="16493"/>
    <cellStyle name="Calculation 2 2 2 2 5 6" xfId="16494"/>
    <cellStyle name="Calculation 2 2 2 2 5 7" xfId="16495"/>
    <cellStyle name="Calculation 2 2 2 2 6" xfId="13914"/>
    <cellStyle name="Calculation 2 2 2 2 7" xfId="13915"/>
    <cellStyle name="Calculation 2 2 2 2 8" xfId="16496"/>
    <cellStyle name="Calculation 2 2 2 2 9" xfId="16497"/>
    <cellStyle name="Calculation 2 2 2 3" xfId="3173"/>
    <cellStyle name="Calculation 2 2 2 3 2" xfId="12832"/>
    <cellStyle name="Calculation 2 2 2 3 2 2" xfId="12833"/>
    <cellStyle name="Calculation 2 2 2 3 2 2 2" xfId="13916"/>
    <cellStyle name="Calculation 2 2 2 3 2 2 3" xfId="13917"/>
    <cellStyle name="Calculation 2 2 2 3 2 2 4" xfId="16498"/>
    <cellStyle name="Calculation 2 2 2 3 2 2 5" xfId="16499"/>
    <cellStyle name="Calculation 2 2 2 3 2 2 6" xfId="16500"/>
    <cellStyle name="Calculation 2 2 2 3 2 2 7" xfId="16501"/>
    <cellStyle name="Calculation 2 2 2 3 2 3" xfId="13918"/>
    <cellStyle name="Calculation 2 2 2 3 2 4" xfId="13919"/>
    <cellStyle name="Calculation 2 2 2 3 2 5" xfId="16502"/>
    <cellStyle name="Calculation 2 2 2 3 2 6" xfId="16503"/>
    <cellStyle name="Calculation 2 2 2 3 2 7" xfId="16504"/>
    <cellStyle name="Calculation 2 2 2 3 2 8" xfId="16505"/>
    <cellStyle name="Calculation 2 2 2 3 3" xfId="12834"/>
    <cellStyle name="Calculation 2 2 2 3 3 2" xfId="12835"/>
    <cellStyle name="Calculation 2 2 2 3 3 2 2" xfId="13920"/>
    <cellStyle name="Calculation 2 2 2 3 3 2 3" xfId="13921"/>
    <cellStyle name="Calculation 2 2 2 3 3 2 4" xfId="16506"/>
    <cellStyle name="Calculation 2 2 2 3 3 2 5" xfId="16507"/>
    <cellStyle name="Calculation 2 2 2 3 3 2 6" xfId="16508"/>
    <cellStyle name="Calculation 2 2 2 3 3 2 7" xfId="16509"/>
    <cellStyle name="Calculation 2 2 2 3 3 3" xfId="13922"/>
    <cellStyle name="Calculation 2 2 2 3 3 4" xfId="13923"/>
    <cellStyle name="Calculation 2 2 2 3 3 5" xfId="16510"/>
    <cellStyle name="Calculation 2 2 2 3 3 6" xfId="16511"/>
    <cellStyle name="Calculation 2 2 2 3 3 7" xfId="16512"/>
    <cellStyle name="Calculation 2 2 2 3 3 8" xfId="16513"/>
    <cellStyle name="Calculation 2 2 2 3 4" xfId="12836"/>
    <cellStyle name="Calculation 2 2 2 3 4 2" xfId="12837"/>
    <cellStyle name="Calculation 2 2 2 3 4 2 2" xfId="13924"/>
    <cellStyle name="Calculation 2 2 2 3 4 2 3" xfId="13925"/>
    <cellStyle name="Calculation 2 2 2 3 4 2 4" xfId="16514"/>
    <cellStyle name="Calculation 2 2 2 3 4 2 5" xfId="16515"/>
    <cellStyle name="Calculation 2 2 2 3 4 2 6" xfId="16516"/>
    <cellStyle name="Calculation 2 2 2 3 4 2 7" xfId="16517"/>
    <cellStyle name="Calculation 2 2 2 3 4 3" xfId="13926"/>
    <cellStyle name="Calculation 2 2 2 3 4 4" xfId="13927"/>
    <cellStyle name="Calculation 2 2 2 3 4 5" xfId="16518"/>
    <cellStyle name="Calculation 2 2 2 3 4 6" xfId="16519"/>
    <cellStyle name="Calculation 2 2 2 3 4 7" xfId="16520"/>
    <cellStyle name="Calculation 2 2 2 3 4 8" xfId="16521"/>
    <cellStyle name="Calculation 2 2 2 3 5" xfId="12838"/>
    <cellStyle name="Calculation 2 2 2 3 5 2" xfId="13928"/>
    <cellStyle name="Calculation 2 2 2 3 5 3" xfId="13929"/>
    <cellStyle name="Calculation 2 2 2 3 5 4" xfId="16522"/>
    <cellStyle name="Calculation 2 2 2 3 5 5" xfId="16523"/>
    <cellStyle name="Calculation 2 2 2 3 5 6" xfId="16524"/>
    <cellStyle name="Calculation 2 2 2 3 5 7" xfId="16525"/>
    <cellStyle name="Calculation 2 2 2 3 6" xfId="13930"/>
    <cellStyle name="Calculation 2 2 2 3 7" xfId="13931"/>
    <cellStyle name="Calculation 2 2 2 3 8" xfId="16526"/>
    <cellStyle name="Calculation 2 2 2 3 9" xfId="16527"/>
    <cellStyle name="Calculation 2 2 2 4" xfId="3088"/>
    <cellStyle name="Calculation 2 2 2 4 2" xfId="12839"/>
    <cellStyle name="Calculation 2 2 2 4 2 2" xfId="12840"/>
    <cellStyle name="Calculation 2 2 2 4 2 2 2" xfId="13932"/>
    <cellStyle name="Calculation 2 2 2 4 2 2 3" xfId="13933"/>
    <cellStyle name="Calculation 2 2 2 4 2 2 4" xfId="16528"/>
    <cellStyle name="Calculation 2 2 2 4 2 2 5" xfId="16529"/>
    <cellStyle name="Calculation 2 2 2 4 2 2 6" xfId="16530"/>
    <cellStyle name="Calculation 2 2 2 4 2 2 7" xfId="16531"/>
    <cellStyle name="Calculation 2 2 2 4 2 3" xfId="13934"/>
    <cellStyle name="Calculation 2 2 2 4 2 4" xfId="13935"/>
    <cellStyle name="Calculation 2 2 2 4 2 5" xfId="16532"/>
    <cellStyle name="Calculation 2 2 2 4 2 6" xfId="16533"/>
    <cellStyle name="Calculation 2 2 2 4 2 7" xfId="16534"/>
    <cellStyle name="Calculation 2 2 2 4 2 8" xfId="16535"/>
    <cellStyle name="Calculation 2 2 2 4 3" xfId="12841"/>
    <cellStyle name="Calculation 2 2 2 4 3 2" xfId="12842"/>
    <cellStyle name="Calculation 2 2 2 4 3 2 2" xfId="13936"/>
    <cellStyle name="Calculation 2 2 2 4 3 2 3" xfId="13937"/>
    <cellStyle name="Calculation 2 2 2 4 3 2 4" xfId="16536"/>
    <cellStyle name="Calculation 2 2 2 4 3 2 5" xfId="16537"/>
    <cellStyle name="Calculation 2 2 2 4 3 2 6" xfId="16538"/>
    <cellStyle name="Calculation 2 2 2 4 3 2 7" xfId="16539"/>
    <cellStyle name="Calculation 2 2 2 4 3 3" xfId="13938"/>
    <cellStyle name="Calculation 2 2 2 4 3 4" xfId="13939"/>
    <cellStyle name="Calculation 2 2 2 4 3 5" xfId="16540"/>
    <cellStyle name="Calculation 2 2 2 4 3 6" xfId="16541"/>
    <cellStyle name="Calculation 2 2 2 4 3 7" xfId="16542"/>
    <cellStyle name="Calculation 2 2 2 4 3 8" xfId="16543"/>
    <cellStyle name="Calculation 2 2 2 4 4" xfId="12843"/>
    <cellStyle name="Calculation 2 2 2 4 4 2" xfId="12844"/>
    <cellStyle name="Calculation 2 2 2 4 4 2 2" xfId="13940"/>
    <cellStyle name="Calculation 2 2 2 4 4 2 3" xfId="13941"/>
    <cellStyle name="Calculation 2 2 2 4 4 2 4" xfId="16544"/>
    <cellStyle name="Calculation 2 2 2 4 4 2 5" xfId="16545"/>
    <cellStyle name="Calculation 2 2 2 4 4 2 6" xfId="16546"/>
    <cellStyle name="Calculation 2 2 2 4 4 2 7" xfId="16547"/>
    <cellStyle name="Calculation 2 2 2 4 4 3" xfId="13942"/>
    <cellStyle name="Calculation 2 2 2 4 4 4" xfId="13943"/>
    <cellStyle name="Calculation 2 2 2 4 4 5" xfId="16548"/>
    <cellStyle name="Calculation 2 2 2 4 4 6" xfId="16549"/>
    <cellStyle name="Calculation 2 2 2 4 4 7" xfId="16550"/>
    <cellStyle name="Calculation 2 2 2 4 4 8" xfId="16551"/>
    <cellStyle name="Calculation 2 2 2 4 5" xfId="12845"/>
    <cellStyle name="Calculation 2 2 2 4 5 2" xfId="13944"/>
    <cellStyle name="Calculation 2 2 2 4 5 3" xfId="13945"/>
    <cellStyle name="Calculation 2 2 2 4 5 4" xfId="16552"/>
    <cellStyle name="Calculation 2 2 2 4 5 5" xfId="16553"/>
    <cellStyle name="Calculation 2 2 2 4 5 6" xfId="16554"/>
    <cellStyle name="Calculation 2 2 2 4 5 7" xfId="16555"/>
    <cellStyle name="Calculation 2 2 2 4 6" xfId="13946"/>
    <cellStyle name="Calculation 2 2 2 4 7" xfId="13947"/>
    <cellStyle name="Calculation 2 2 2 4 8" xfId="16556"/>
    <cellStyle name="Calculation 2 2 2 4 9" xfId="16557"/>
    <cellStyle name="Calculation 2 2 2 5" xfId="3125"/>
    <cellStyle name="Calculation 2 2 2 5 2" xfId="12846"/>
    <cellStyle name="Calculation 2 2 2 5 2 2" xfId="12847"/>
    <cellStyle name="Calculation 2 2 2 5 2 2 2" xfId="13948"/>
    <cellStyle name="Calculation 2 2 2 5 2 2 3" xfId="13949"/>
    <cellStyle name="Calculation 2 2 2 5 2 2 4" xfId="16558"/>
    <cellStyle name="Calculation 2 2 2 5 2 2 5" xfId="16559"/>
    <cellStyle name="Calculation 2 2 2 5 2 2 6" xfId="16560"/>
    <cellStyle name="Calculation 2 2 2 5 2 2 7" xfId="16561"/>
    <cellStyle name="Calculation 2 2 2 5 2 3" xfId="13950"/>
    <cellStyle name="Calculation 2 2 2 5 2 4" xfId="13951"/>
    <cellStyle name="Calculation 2 2 2 5 2 5" xfId="16562"/>
    <cellStyle name="Calculation 2 2 2 5 2 6" xfId="16563"/>
    <cellStyle name="Calculation 2 2 2 5 2 7" xfId="16564"/>
    <cellStyle name="Calculation 2 2 2 5 2 8" xfId="16565"/>
    <cellStyle name="Calculation 2 2 2 5 3" xfId="12848"/>
    <cellStyle name="Calculation 2 2 2 5 3 2" xfId="12849"/>
    <cellStyle name="Calculation 2 2 2 5 3 2 2" xfId="13952"/>
    <cellStyle name="Calculation 2 2 2 5 3 2 3" xfId="13953"/>
    <cellStyle name="Calculation 2 2 2 5 3 2 4" xfId="16566"/>
    <cellStyle name="Calculation 2 2 2 5 3 2 5" xfId="16567"/>
    <cellStyle name="Calculation 2 2 2 5 3 2 6" xfId="16568"/>
    <cellStyle name="Calculation 2 2 2 5 3 2 7" xfId="16569"/>
    <cellStyle name="Calculation 2 2 2 5 3 3" xfId="13954"/>
    <cellStyle name="Calculation 2 2 2 5 3 4" xfId="13955"/>
    <cellStyle name="Calculation 2 2 2 5 3 5" xfId="16570"/>
    <cellStyle name="Calculation 2 2 2 5 3 6" xfId="16571"/>
    <cellStyle name="Calculation 2 2 2 5 3 7" xfId="16572"/>
    <cellStyle name="Calculation 2 2 2 5 3 8" xfId="16573"/>
    <cellStyle name="Calculation 2 2 2 5 4" xfId="12850"/>
    <cellStyle name="Calculation 2 2 2 5 4 2" xfId="12851"/>
    <cellStyle name="Calculation 2 2 2 5 4 2 2" xfId="13956"/>
    <cellStyle name="Calculation 2 2 2 5 4 2 3" xfId="13957"/>
    <cellStyle name="Calculation 2 2 2 5 4 2 4" xfId="16574"/>
    <cellStyle name="Calculation 2 2 2 5 4 2 5" xfId="16575"/>
    <cellStyle name="Calculation 2 2 2 5 4 2 6" xfId="16576"/>
    <cellStyle name="Calculation 2 2 2 5 4 2 7" xfId="16577"/>
    <cellStyle name="Calculation 2 2 2 5 4 3" xfId="13958"/>
    <cellStyle name="Calculation 2 2 2 5 4 4" xfId="13959"/>
    <cellStyle name="Calculation 2 2 2 5 4 5" xfId="16578"/>
    <cellStyle name="Calculation 2 2 2 5 4 6" xfId="16579"/>
    <cellStyle name="Calculation 2 2 2 5 4 7" xfId="16580"/>
    <cellStyle name="Calculation 2 2 2 5 4 8" xfId="16581"/>
    <cellStyle name="Calculation 2 2 2 5 5" xfId="12852"/>
    <cellStyle name="Calculation 2 2 2 5 5 2" xfId="13960"/>
    <cellStyle name="Calculation 2 2 2 5 5 3" xfId="13961"/>
    <cellStyle name="Calculation 2 2 2 5 5 4" xfId="16582"/>
    <cellStyle name="Calculation 2 2 2 5 5 5" xfId="16583"/>
    <cellStyle name="Calculation 2 2 2 5 5 6" xfId="16584"/>
    <cellStyle name="Calculation 2 2 2 5 5 7" xfId="16585"/>
    <cellStyle name="Calculation 2 2 2 5 6" xfId="13962"/>
    <cellStyle name="Calculation 2 2 2 5 7" xfId="13963"/>
    <cellStyle name="Calculation 2 2 2 5 8" xfId="16586"/>
    <cellStyle name="Calculation 2 2 2 5 9" xfId="16587"/>
    <cellStyle name="Calculation 2 2 2 6" xfId="12853"/>
    <cellStyle name="Calculation 2 2 2 6 2" xfId="12854"/>
    <cellStyle name="Calculation 2 2 2 6 2 2" xfId="13964"/>
    <cellStyle name="Calculation 2 2 2 6 2 3" xfId="13965"/>
    <cellStyle name="Calculation 2 2 2 6 2 4" xfId="16588"/>
    <cellStyle name="Calculation 2 2 2 6 2 5" xfId="16589"/>
    <cellStyle name="Calculation 2 2 2 6 2 6" xfId="16590"/>
    <cellStyle name="Calculation 2 2 2 6 2 7" xfId="16591"/>
    <cellStyle name="Calculation 2 2 2 6 3" xfId="13966"/>
    <cellStyle name="Calculation 2 2 2 6 4" xfId="13967"/>
    <cellStyle name="Calculation 2 2 2 6 5" xfId="16592"/>
    <cellStyle name="Calculation 2 2 2 6 6" xfId="16593"/>
    <cellStyle name="Calculation 2 2 2 6 7" xfId="16594"/>
    <cellStyle name="Calculation 2 2 2 6 8" xfId="16595"/>
    <cellStyle name="Calculation 2 2 2 7" xfId="12855"/>
    <cellStyle name="Calculation 2 2 2 7 2" xfId="12856"/>
    <cellStyle name="Calculation 2 2 2 7 2 2" xfId="13968"/>
    <cellStyle name="Calculation 2 2 2 7 2 3" xfId="13969"/>
    <cellStyle name="Calculation 2 2 2 7 2 4" xfId="16596"/>
    <cellStyle name="Calculation 2 2 2 7 2 5" xfId="16597"/>
    <cellStyle name="Calculation 2 2 2 7 2 6" xfId="16598"/>
    <cellStyle name="Calculation 2 2 2 7 2 7" xfId="16599"/>
    <cellStyle name="Calculation 2 2 2 7 3" xfId="13970"/>
    <cellStyle name="Calculation 2 2 2 7 4" xfId="13971"/>
    <cellStyle name="Calculation 2 2 2 7 5" xfId="16600"/>
    <cellStyle name="Calculation 2 2 2 7 6" xfId="16601"/>
    <cellStyle name="Calculation 2 2 2 7 7" xfId="16602"/>
    <cellStyle name="Calculation 2 2 2 7 8" xfId="16603"/>
    <cellStyle name="Calculation 2 2 2 8" xfId="12857"/>
    <cellStyle name="Calculation 2 2 2 8 2" xfId="12858"/>
    <cellStyle name="Calculation 2 2 2 8 2 2" xfId="13972"/>
    <cellStyle name="Calculation 2 2 2 8 2 3" xfId="13973"/>
    <cellStyle name="Calculation 2 2 2 8 2 4" xfId="16604"/>
    <cellStyle name="Calculation 2 2 2 8 2 5" xfId="16605"/>
    <cellStyle name="Calculation 2 2 2 8 2 6" xfId="16606"/>
    <cellStyle name="Calculation 2 2 2 8 2 7" xfId="16607"/>
    <cellStyle name="Calculation 2 2 2 8 3" xfId="13974"/>
    <cellStyle name="Calculation 2 2 2 8 4" xfId="13975"/>
    <cellStyle name="Calculation 2 2 2 8 5" xfId="16608"/>
    <cellStyle name="Calculation 2 2 2 8 6" xfId="16609"/>
    <cellStyle name="Calculation 2 2 2 8 7" xfId="16610"/>
    <cellStyle name="Calculation 2 2 2 8 8" xfId="16611"/>
    <cellStyle name="Calculation 2 2 2 9" xfId="12859"/>
    <cellStyle name="Calculation 2 2 2 9 2" xfId="13976"/>
    <cellStyle name="Calculation 2 2 2 9 3" xfId="13977"/>
    <cellStyle name="Calculation 2 2 2 9 4" xfId="16612"/>
    <cellStyle name="Calculation 2 2 2 9 5" xfId="16613"/>
    <cellStyle name="Calculation 2 2 2 9 6" xfId="16614"/>
    <cellStyle name="Calculation 2 2 2 9 7" xfId="16615"/>
    <cellStyle name="Calculation 2 2 3" xfId="1545"/>
    <cellStyle name="Calculation 2 2 3 10" xfId="2943"/>
    <cellStyle name="Calculation 2 2 3 11" xfId="13978"/>
    <cellStyle name="Calculation 2 2 3 12" xfId="16616"/>
    <cellStyle name="Calculation 2 2 3 13" xfId="16617"/>
    <cellStyle name="Calculation 2 2 3 2" xfId="3034"/>
    <cellStyle name="Calculation 2 2 3 2 2" xfId="12860"/>
    <cellStyle name="Calculation 2 2 3 2 2 2" xfId="12861"/>
    <cellStyle name="Calculation 2 2 3 2 2 2 2" xfId="13979"/>
    <cellStyle name="Calculation 2 2 3 2 2 2 3" xfId="13980"/>
    <cellStyle name="Calculation 2 2 3 2 2 2 4" xfId="16618"/>
    <cellStyle name="Calculation 2 2 3 2 2 2 5" xfId="16619"/>
    <cellStyle name="Calculation 2 2 3 2 2 2 6" xfId="16620"/>
    <cellStyle name="Calculation 2 2 3 2 2 2 7" xfId="16621"/>
    <cellStyle name="Calculation 2 2 3 2 2 3" xfId="13981"/>
    <cellStyle name="Calculation 2 2 3 2 2 4" xfId="13982"/>
    <cellStyle name="Calculation 2 2 3 2 2 5" xfId="16622"/>
    <cellStyle name="Calculation 2 2 3 2 2 6" xfId="16623"/>
    <cellStyle name="Calculation 2 2 3 2 2 7" xfId="16624"/>
    <cellStyle name="Calculation 2 2 3 2 2 8" xfId="16625"/>
    <cellStyle name="Calculation 2 2 3 2 3" xfId="12862"/>
    <cellStyle name="Calculation 2 2 3 2 3 2" xfId="12863"/>
    <cellStyle name="Calculation 2 2 3 2 3 2 2" xfId="13983"/>
    <cellStyle name="Calculation 2 2 3 2 3 2 3" xfId="13984"/>
    <cellStyle name="Calculation 2 2 3 2 3 2 4" xfId="16626"/>
    <cellStyle name="Calculation 2 2 3 2 3 2 5" xfId="16627"/>
    <cellStyle name="Calculation 2 2 3 2 3 2 6" xfId="16628"/>
    <cellStyle name="Calculation 2 2 3 2 3 2 7" xfId="16629"/>
    <cellStyle name="Calculation 2 2 3 2 3 3" xfId="13985"/>
    <cellStyle name="Calculation 2 2 3 2 3 4" xfId="13986"/>
    <cellStyle name="Calculation 2 2 3 2 3 5" xfId="16630"/>
    <cellStyle name="Calculation 2 2 3 2 3 6" xfId="16631"/>
    <cellStyle name="Calculation 2 2 3 2 3 7" xfId="16632"/>
    <cellStyle name="Calculation 2 2 3 2 3 8" xfId="16633"/>
    <cellStyle name="Calculation 2 2 3 2 4" xfId="12864"/>
    <cellStyle name="Calculation 2 2 3 2 4 2" xfId="12865"/>
    <cellStyle name="Calculation 2 2 3 2 4 2 2" xfId="13987"/>
    <cellStyle name="Calculation 2 2 3 2 4 2 3" xfId="13988"/>
    <cellStyle name="Calculation 2 2 3 2 4 2 4" xfId="16634"/>
    <cellStyle name="Calculation 2 2 3 2 4 2 5" xfId="16635"/>
    <cellStyle name="Calculation 2 2 3 2 4 2 6" xfId="16636"/>
    <cellStyle name="Calculation 2 2 3 2 4 2 7" xfId="16637"/>
    <cellStyle name="Calculation 2 2 3 2 4 3" xfId="13989"/>
    <cellStyle name="Calculation 2 2 3 2 4 4" xfId="13990"/>
    <cellStyle name="Calculation 2 2 3 2 4 5" xfId="16638"/>
    <cellStyle name="Calculation 2 2 3 2 4 6" xfId="16639"/>
    <cellStyle name="Calculation 2 2 3 2 4 7" xfId="16640"/>
    <cellStyle name="Calculation 2 2 3 2 4 8" xfId="16641"/>
    <cellStyle name="Calculation 2 2 3 2 5" xfId="12866"/>
    <cellStyle name="Calculation 2 2 3 2 5 2" xfId="13991"/>
    <cellStyle name="Calculation 2 2 3 2 5 3" xfId="13992"/>
    <cellStyle name="Calculation 2 2 3 2 5 4" xfId="16642"/>
    <cellStyle name="Calculation 2 2 3 2 5 5" xfId="16643"/>
    <cellStyle name="Calculation 2 2 3 2 5 6" xfId="16644"/>
    <cellStyle name="Calculation 2 2 3 2 5 7" xfId="16645"/>
    <cellStyle name="Calculation 2 2 3 2 6" xfId="13993"/>
    <cellStyle name="Calculation 2 2 3 2 7" xfId="13994"/>
    <cellStyle name="Calculation 2 2 3 2 8" xfId="16646"/>
    <cellStyle name="Calculation 2 2 3 2 9" xfId="16647"/>
    <cellStyle name="Calculation 2 2 3 3" xfId="3137"/>
    <cellStyle name="Calculation 2 2 3 3 2" xfId="12867"/>
    <cellStyle name="Calculation 2 2 3 3 2 2" xfId="12868"/>
    <cellStyle name="Calculation 2 2 3 3 2 2 2" xfId="13995"/>
    <cellStyle name="Calculation 2 2 3 3 2 2 3" xfId="13996"/>
    <cellStyle name="Calculation 2 2 3 3 2 2 4" xfId="16648"/>
    <cellStyle name="Calculation 2 2 3 3 2 2 5" xfId="16649"/>
    <cellStyle name="Calculation 2 2 3 3 2 2 6" xfId="16650"/>
    <cellStyle name="Calculation 2 2 3 3 2 2 7" xfId="16651"/>
    <cellStyle name="Calculation 2 2 3 3 2 3" xfId="13997"/>
    <cellStyle name="Calculation 2 2 3 3 2 4" xfId="13998"/>
    <cellStyle name="Calculation 2 2 3 3 2 5" xfId="16652"/>
    <cellStyle name="Calculation 2 2 3 3 2 6" xfId="16653"/>
    <cellStyle name="Calculation 2 2 3 3 2 7" xfId="16654"/>
    <cellStyle name="Calculation 2 2 3 3 2 8" xfId="16655"/>
    <cellStyle name="Calculation 2 2 3 3 3" xfId="12869"/>
    <cellStyle name="Calculation 2 2 3 3 3 2" xfId="12870"/>
    <cellStyle name="Calculation 2 2 3 3 3 2 2" xfId="13999"/>
    <cellStyle name="Calculation 2 2 3 3 3 2 3" xfId="14000"/>
    <cellStyle name="Calculation 2 2 3 3 3 2 4" xfId="16656"/>
    <cellStyle name="Calculation 2 2 3 3 3 2 5" xfId="16657"/>
    <cellStyle name="Calculation 2 2 3 3 3 2 6" xfId="16658"/>
    <cellStyle name="Calculation 2 2 3 3 3 2 7" xfId="16659"/>
    <cellStyle name="Calculation 2 2 3 3 3 3" xfId="14001"/>
    <cellStyle name="Calculation 2 2 3 3 3 4" xfId="14002"/>
    <cellStyle name="Calculation 2 2 3 3 3 5" xfId="16660"/>
    <cellStyle name="Calculation 2 2 3 3 3 6" xfId="16661"/>
    <cellStyle name="Calculation 2 2 3 3 3 7" xfId="16662"/>
    <cellStyle name="Calculation 2 2 3 3 3 8" xfId="16663"/>
    <cellStyle name="Calculation 2 2 3 3 4" xfId="12871"/>
    <cellStyle name="Calculation 2 2 3 3 4 2" xfId="12872"/>
    <cellStyle name="Calculation 2 2 3 3 4 2 2" xfId="14003"/>
    <cellStyle name="Calculation 2 2 3 3 4 2 3" xfId="14004"/>
    <cellStyle name="Calculation 2 2 3 3 4 2 4" xfId="16664"/>
    <cellStyle name="Calculation 2 2 3 3 4 2 5" xfId="16665"/>
    <cellStyle name="Calculation 2 2 3 3 4 2 6" xfId="16666"/>
    <cellStyle name="Calculation 2 2 3 3 4 2 7" xfId="16667"/>
    <cellStyle name="Calculation 2 2 3 3 4 3" xfId="14005"/>
    <cellStyle name="Calculation 2 2 3 3 4 4" xfId="14006"/>
    <cellStyle name="Calculation 2 2 3 3 4 5" xfId="16668"/>
    <cellStyle name="Calculation 2 2 3 3 4 6" xfId="16669"/>
    <cellStyle name="Calculation 2 2 3 3 4 7" xfId="16670"/>
    <cellStyle name="Calculation 2 2 3 3 4 8" xfId="16671"/>
    <cellStyle name="Calculation 2 2 3 3 5" xfId="12873"/>
    <cellStyle name="Calculation 2 2 3 3 5 2" xfId="14007"/>
    <cellStyle name="Calculation 2 2 3 3 5 3" xfId="14008"/>
    <cellStyle name="Calculation 2 2 3 3 5 4" xfId="16672"/>
    <cellStyle name="Calculation 2 2 3 3 5 5" xfId="16673"/>
    <cellStyle name="Calculation 2 2 3 3 5 6" xfId="16674"/>
    <cellStyle name="Calculation 2 2 3 3 5 7" xfId="16675"/>
    <cellStyle name="Calculation 2 2 3 3 6" xfId="14009"/>
    <cellStyle name="Calculation 2 2 3 3 7" xfId="14010"/>
    <cellStyle name="Calculation 2 2 3 3 8" xfId="16676"/>
    <cellStyle name="Calculation 2 2 3 3 9" xfId="16677"/>
    <cellStyle name="Calculation 2 2 3 4" xfId="3231"/>
    <cellStyle name="Calculation 2 2 3 4 2" xfId="12874"/>
    <cellStyle name="Calculation 2 2 3 4 2 2" xfId="12875"/>
    <cellStyle name="Calculation 2 2 3 4 2 2 2" xfId="14011"/>
    <cellStyle name="Calculation 2 2 3 4 2 2 3" xfId="14012"/>
    <cellStyle name="Calculation 2 2 3 4 2 2 4" xfId="16678"/>
    <cellStyle name="Calculation 2 2 3 4 2 2 5" xfId="16679"/>
    <cellStyle name="Calculation 2 2 3 4 2 2 6" xfId="16680"/>
    <cellStyle name="Calculation 2 2 3 4 2 2 7" xfId="16681"/>
    <cellStyle name="Calculation 2 2 3 4 2 3" xfId="14013"/>
    <cellStyle name="Calculation 2 2 3 4 2 4" xfId="14014"/>
    <cellStyle name="Calculation 2 2 3 4 2 5" xfId="16682"/>
    <cellStyle name="Calculation 2 2 3 4 2 6" xfId="16683"/>
    <cellStyle name="Calculation 2 2 3 4 2 7" xfId="16684"/>
    <cellStyle name="Calculation 2 2 3 4 2 8" xfId="16685"/>
    <cellStyle name="Calculation 2 2 3 4 3" xfId="12876"/>
    <cellStyle name="Calculation 2 2 3 4 3 2" xfId="12877"/>
    <cellStyle name="Calculation 2 2 3 4 3 2 2" xfId="14015"/>
    <cellStyle name="Calculation 2 2 3 4 3 2 3" xfId="14016"/>
    <cellStyle name="Calculation 2 2 3 4 3 2 4" xfId="16686"/>
    <cellStyle name="Calculation 2 2 3 4 3 2 5" xfId="16687"/>
    <cellStyle name="Calculation 2 2 3 4 3 2 6" xfId="16688"/>
    <cellStyle name="Calculation 2 2 3 4 3 2 7" xfId="16689"/>
    <cellStyle name="Calculation 2 2 3 4 3 3" xfId="14017"/>
    <cellStyle name="Calculation 2 2 3 4 3 4" xfId="14018"/>
    <cellStyle name="Calculation 2 2 3 4 3 5" xfId="16690"/>
    <cellStyle name="Calculation 2 2 3 4 3 6" xfId="16691"/>
    <cellStyle name="Calculation 2 2 3 4 3 7" xfId="16692"/>
    <cellStyle name="Calculation 2 2 3 4 3 8" xfId="16693"/>
    <cellStyle name="Calculation 2 2 3 4 4" xfId="12878"/>
    <cellStyle name="Calculation 2 2 3 4 4 2" xfId="12879"/>
    <cellStyle name="Calculation 2 2 3 4 4 2 2" xfId="14019"/>
    <cellStyle name="Calculation 2 2 3 4 4 2 3" xfId="14020"/>
    <cellStyle name="Calculation 2 2 3 4 4 2 4" xfId="16694"/>
    <cellStyle name="Calculation 2 2 3 4 4 2 5" xfId="16695"/>
    <cellStyle name="Calculation 2 2 3 4 4 2 6" xfId="16696"/>
    <cellStyle name="Calculation 2 2 3 4 4 2 7" xfId="16697"/>
    <cellStyle name="Calculation 2 2 3 4 4 3" xfId="14021"/>
    <cellStyle name="Calculation 2 2 3 4 4 4" xfId="14022"/>
    <cellStyle name="Calculation 2 2 3 4 4 5" xfId="16698"/>
    <cellStyle name="Calculation 2 2 3 4 4 6" xfId="16699"/>
    <cellStyle name="Calculation 2 2 3 4 4 7" xfId="16700"/>
    <cellStyle name="Calculation 2 2 3 4 4 8" xfId="16701"/>
    <cellStyle name="Calculation 2 2 3 4 5" xfId="12880"/>
    <cellStyle name="Calculation 2 2 3 4 5 2" xfId="14023"/>
    <cellStyle name="Calculation 2 2 3 4 5 3" xfId="14024"/>
    <cellStyle name="Calculation 2 2 3 4 5 4" xfId="16702"/>
    <cellStyle name="Calculation 2 2 3 4 5 5" xfId="16703"/>
    <cellStyle name="Calculation 2 2 3 4 5 6" xfId="16704"/>
    <cellStyle name="Calculation 2 2 3 4 5 7" xfId="16705"/>
    <cellStyle name="Calculation 2 2 3 4 6" xfId="14025"/>
    <cellStyle name="Calculation 2 2 3 4 7" xfId="14026"/>
    <cellStyle name="Calculation 2 2 3 4 8" xfId="16706"/>
    <cellStyle name="Calculation 2 2 3 4 9" xfId="16707"/>
    <cellStyle name="Calculation 2 2 3 5" xfId="3220"/>
    <cellStyle name="Calculation 2 2 3 5 2" xfId="12881"/>
    <cellStyle name="Calculation 2 2 3 5 2 2" xfId="12882"/>
    <cellStyle name="Calculation 2 2 3 5 2 2 2" xfId="14027"/>
    <cellStyle name="Calculation 2 2 3 5 2 2 3" xfId="14028"/>
    <cellStyle name="Calculation 2 2 3 5 2 2 4" xfId="16708"/>
    <cellStyle name="Calculation 2 2 3 5 2 2 5" xfId="16709"/>
    <cellStyle name="Calculation 2 2 3 5 2 2 6" xfId="16710"/>
    <cellStyle name="Calculation 2 2 3 5 2 2 7" xfId="16711"/>
    <cellStyle name="Calculation 2 2 3 5 2 3" xfId="14029"/>
    <cellStyle name="Calculation 2 2 3 5 2 4" xfId="14030"/>
    <cellStyle name="Calculation 2 2 3 5 2 5" xfId="16712"/>
    <cellStyle name="Calculation 2 2 3 5 2 6" xfId="16713"/>
    <cellStyle name="Calculation 2 2 3 5 2 7" xfId="16714"/>
    <cellStyle name="Calculation 2 2 3 5 2 8" xfId="16715"/>
    <cellStyle name="Calculation 2 2 3 5 3" xfId="12883"/>
    <cellStyle name="Calculation 2 2 3 5 3 2" xfId="12884"/>
    <cellStyle name="Calculation 2 2 3 5 3 2 2" xfId="14031"/>
    <cellStyle name="Calculation 2 2 3 5 3 2 3" xfId="14032"/>
    <cellStyle name="Calculation 2 2 3 5 3 2 4" xfId="16716"/>
    <cellStyle name="Calculation 2 2 3 5 3 2 5" xfId="16717"/>
    <cellStyle name="Calculation 2 2 3 5 3 2 6" xfId="16718"/>
    <cellStyle name="Calculation 2 2 3 5 3 2 7" xfId="16719"/>
    <cellStyle name="Calculation 2 2 3 5 3 3" xfId="14033"/>
    <cellStyle name="Calculation 2 2 3 5 3 4" xfId="14034"/>
    <cellStyle name="Calculation 2 2 3 5 3 5" xfId="16720"/>
    <cellStyle name="Calculation 2 2 3 5 3 6" xfId="16721"/>
    <cellStyle name="Calculation 2 2 3 5 3 7" xfId="16722"/>
    <cellStyle name="Calculation 2 2 3 5 3 8" xfId="16723"/>
    <cellStyle name="Calculation 2 2 3 5 4" xfId="12885"/>
    <cellStyle name="Calculation 2 2 3 5 4 2" xfId="12886"/>
    <cellStyle name="Calculation 2 2 3 5 4 2 2" xfId="14035"/>
    <cellStyle name="Calculation 2 2 3 5 4 2 3" xfId="14036"/>
    <cellStyle name="Calculation 2 2 3 5 4 2 4" xfId="16724"/>
    <cellStyle name="Calculation 2 2 3 5 4 2 5" xfId="16725"/>
    <cellStyle name="Calculation 2 2 3 5 4 2 6" xfId="16726"/>
    <cellStyle name="Calculation 2 2 3 5 4 2 7" xfId="16727"/>
    <cellStyle name="Calculation 2 2 3 5 4 3" xfId="14037"/>
    <cellStyle name="Calculation 2 2 3 5 4 4" xfId="14038"/>
    <cellStyle name="Calculation 2 2 3 5 4 5" xfId="16728"/>
    <cellStyle name="Calculation 2 2 3 5 4 6" xfId="16729"/>
    <cellStyle name="Calculation 2 2 3 5 4 7" xfId="16730"/>
    <cellStyle name="Calculation 2 2 3 5 4 8" xfId="16731"/>
    <cellStyle name="Calculation 2 2 3 5 5" xfId="12887"/>
    <cellStyle name="Calculation 2 2 3 5 5 2" xfId="14039"/>
    <cellStyle name="Calculation 2 2 3 5 5 3" xfId="14040"/>
    <cellStyle name="Calculation 2 2 3 5 5 4" xfId="16732"/>
    <cellStyle name="Calculation 2 2 3 5 5 5" xfId="16733"/>
    <cellStyle name="Calculation 2 2 3 5 5 6" xfId="16734"/>
    <cellStyle name="Calculation 2 2 3 5 5 7" xfId="16735"/>
    <cellStyle name="Calculation 2 2 3 5 6" xfId="14041"/>
    <cellStyle name="Calculation 2 2 3 5 7" xfId="14042"/>
    <cellStyle name="Calculation 2 2 3 5 8" xfId="16736"/>
    <cellStyle name="Calculation 2 2 3 5 9" xfId="16737"/>
    <cellStyle name="Calculation 2 2 3 6" xfId="12888"/>
    <cellStyle name="Calculation 2 2 3 6 2" xfId="12889"/>
    <cellStyle name="Calculation 2 2 3 6 2 2" xfId="14043"/>
    <cellStyle name="Calculation 2 2 3 6 2 3" xfId="14044"/>
    <cellStyle name="Calculation 2 2 3 6 2 4" xfId="16738"/>
    <cellStyle name="Calculation 2 2 3 6 2 5" xfId="16739"/>
    <cellStyle name="Calculation 2 2 3 6 2 6" xfId="16740"/>
    <cellStyle name="Calculation 2 2 3 6 2 7" xfId="16741"/>
    <cellStyle name="Calculation 2 2 3 6 3" xfId="14045"/>
    <cellStyle name="Calculation 2 2 3 6 4" xfId="14046"/>
    <cellStyle name="Calculation 2 2 3 6 5" xfId="16742"/>
    <cellStyle name="Calculation 2 2 3 6 6" xfId="16743"/>
    <cellStyle name="Calculation 2 2 3 6 7" xfId="16744"/>
    <cellStyle name="Calculation 2 2 3 6 8" xfId="16745"/>
    <cellStyle name="Calculation 2 2 3 7" xfId="12890"/>
    <cellStyle name="Calculation 2 2 3 7 2" xfId="12891"/>
    <cellStyle name="Calculation 2 2 3 7 2 2" xfId="14047"/>
    <cellStyle name="Calculation 2 2 3 7 2 3" xfId="14048"/>
    <cellStyle name="Calculation 2 2 3 7 2 4" xfId="16746"/>
    <cellStyle name="Calculation 2 2 3 7 2 5" xfId="16747"/>
    <cellStyle name="Calculation 2 2 3 7 2 6" xfId="16748"/>
    <cellStyle name="Calculation 2 2 3 7 2 7" xfId="16749"/>
    <cellStyle name="Calculation 2 2 3 7 3" xfId="14049"/>
    <cellStyle name="Calculation 2 2 3 7 4" xfId="14050"/>
    <cellStyle name="Calculation 2 2 3 7 5" xfId="16750"/>
    <cellStyle name="Calculation 2 2 3 7 6" xfId="16751"/>
    <cellStyle name="Calculation 2 2 3 7 7" xfId="16752"/>
    <cellStyle name="Calculation 2 2 3 7 8" xfId="16753"/>
    <cellStyle name="Calculation 2 2 3 8" xfId="12892"/>
    <cellStyle name="Calculation 2 2 3 8 2" xfId="12893"/>
    <cellStyle name="Calculation 2 2 3 8 2 2" xfId="14051"/>
    <cellStyle name="Calculation 2 2 3 8 2 3" xfId="14052"/>
    <cellStyle name="Calculation 2 2 3 8 2 4" xfId="16754"/>
    <cellStyle name="Calculation 2 2 3 8 2 5" xfId="16755"/>
    <cellStyle name="Calculation 2 2 3 8 2 6" xfId="16756"/>
    <cellStyle name="Calculation 2 2 3 8 2 7" xfId="16757"/>
    <cellStyle name="Calculation 2 2 3 8 3" xfId="14053"/>
    <cellStyle name="Calculation 2 2 3 8 4" xfId="14054"/>
    <cellStyle name="Calculation 2 2 3 8 5" xfId="16758"/>
    <cellStyle name="Calculation 2 2 3 8 6" xfId="16759"/>
    <cellStyle name="Calculation 2 2 3 8 7" xfId="16760"/>
    <cellStyle name="Calculation 2 2 3 8 8" xfId="16761"/>
    <cellStyle name="Calculation 2 2 3 9" xfId="12894"/>
    <cellStyle name="Calculation 2 2 3 9 2" xfId="14055"/>
    <cellStyle name="Calculation 2 2 3 9 3" xfId="14056"/>
    <cellStyle name="Calculation 2 2 3 9 4" xfId="16762"/>
    <cellStyle name="Calculation 2 2 3 9 5" xfId="16763"/>
    <cellStyle name="Calculation 2 2 3 9 6" xfId="16764"/>
    <cellStyle name="Calculation 2 2 3 9 7" xfId="16765"/>
    <cellStyle name="Calculation 2 2 4" xfId="1366"/>
    <cellStyle name="Calculation 2 2 4 2" xfId="12896"/>
    <cellStyle name="Calculation 2 2 4 2 2" xfId="14057"/>
    <cellStyle name="Calculation 2 2 4 2 3" xfId="14058"/>
    <cellStyle name="Calculation 2 2 4 2 4" xfId="16766"/>
    <cellStyle name="Calculation 2 2 4 2 5" xfId="16767"/>
    <cellStyle name="Calculation 2 2 4 2 6" xfId="16768"/>
    <cellStyle name="Calculation 2 2 4 2 7" xfId="16769"/>
    <cellStyle name="Calculation 2 2 4 3" xfId="12895"/>
    <cellStyle name="Calculation 2 2 4 4" xfId="14059"/>
    <cellStyle name="Calculation 2 2 4 5" xfId="16770"/>
    <cellStyle name="Calculation 2 2 4 6" xfId="16771"/>
    <cellStyle name="Calculation 2 2 4 7" xfId="16772"/>
    <cellStyle name="Calculation 2 2 4 8" xfId="16773"/>
    <cellStyle name="Calculation 2 2 5" xfId="12897"/>
    <cellStyle name="Calculation 2 2 5 2" xfId="12898"/>
    <cellStyle name="Calculation 2 2 5 2 2" xfId="14060"/>
    <cellStyle name="Calculation 2 2 5 2 3" xfId="14061"/>
    <cellStyle name="Calculation 2 2 5 2 4" xfId="16774"/>
    <cellStyle name="Calculation 2 2 5 2 5" xfId="16775"/>
    <cellStyle name="Calculation 2 2 5 2 6" xfId="16776"/>
    <cellStyle name="Calculation 2 2 5 2 7" xfId="16777"/>
    <cellStyle name="Calculation 2 2 5 3" xfId="14062"/>
    <cellStyle name="Calculation 2 2 5 4" xfId="14063"/>
    <cellStyle name="Calculation 2 2 5 5" xfId="16778"/>
    <cellStyle name="Calculation 2 2 5 6" xfId="16779"/>
    <cellStyle name="Calculation 2 2 5 7" xfId="16780"/>
    <cellStyle name="Calculation 2 2 5 8" xfId="16781"/>
    <cellStyle name="Calculation 2 2 6" xfId="12899"/>
    <cellStyle name="Calculation 2 2 6 2" xfId="12900"/>
    <cellStyle name="Calculation 2 2 6 2 2" xfId="14064"/>
    <cellStyle name="Calculation 2 2 6 2 3" xfId="14065"/>
    <cellStyle name="Calculation 2 2 6 2 4" xfId="16782"/>
    <cellStyle name="Calculation 2 2 6 2 5" xfId="16783"/>
    <cellStyle name="Calculation 2 2 6 2 6" xfId="16784"/>
    <cellStyle name="Calculation 2 2 6 2 7" xfId="16785"/>
    <cellStyle name="Calculation 2 2 6 3" xfId="14066"/>
    <cellStyle name="Calculation 2 2 6 4" xfId="14067"/>
    <cellStyle name="Calculation 2 2 6 5" xfId="16786"/>
    <cellStyle name="Calculation 2 2 6 6" xfId="16787"/>
    <cellStyle name="Calculation 2 2 6 7" xfId="16788"/>
    <cellStyle name="Calculation 2 2 6 8" xfId="16789"/>
    <cellStyle name="Calculation 2 2 7" xfId="12901"/>
    <cellStyle name="Calculation 2 2 7 2" xfId="14068"/>
    <cellStyle name="Calculation 2 2 7 3" xfId="14069"/>
    <cellStyle name="Calculation 2 2 7 4" xfId="16790"/>
    <cellStyle name="Calculation 2 2 7 5" xfId="16791"/>
    <cellStyle name="Calculation 2 2 7 6" xfId="16792"/>
    <cellStyle name="Calculation 2 2 7 7" xfId="16793"/>
    <cellStyle name="Calculation 2 2 8" xfId="13848"/>
    <cellStyle name="Calculation 2 2 8 2" xfId="14070"/>
    <cellStyle name="Calculation 2 2 8 3" xfId="14071"/>
    <cellStyle name="Calculation 2 2 8 4" xfId="16794"/>
    <cellStyle name="Calculation 2 2 8 5" xfId="16795"/>
    <cellStyle name="Calculation 2 2 8 6" xfId="16796"/>
    <cellStyle name="Calculation 2 2 8 7" xfId="16797"/>
    <cellStyle name="Calculation 2 3" xfId="319"/>
    <cellStyle name="Calculation 2 3 10" xfId="16798"/>
    <cellStyle name="Calculation 2 3 11" xfId="16799"/>
    <cellStyle name="Calculation 2 3 2" xfId="1546"/>
    <cellStyle name="Calculation 2 3 2 10" xfId="2978"/>
    <cellStyle name="Calculation 2 3 2 11" xfId="14072"/>
    <cellStyle name="Calculation 2 3 2 12" xfId="16800"/>
    <cellStyle name="Calculation 2 3 2 13" xfId="16801"/>
    <cellStyle name="Calculation 2 3 2 2" xfId="3049"/>
    <cellStyle name="Calculation 2 3 2 2 2" xfId="12902"/>
    <cellStyle name="Calculation 2 3 2 2 2 2" xfId="12903"/>
    <cellStyle name="Calculation 2 3 2 2 2 2 2" xfId="14073"/>
    <cellStyle name="Calculation 2 3 2 2 2 2 3" xfId="14074"/>
    <cellStyle name="Calculation 2 3 2 2 2 2 4" xfId="16802"/>
    <cellStyle name="Calculation 2 3 2 2 2 2 5" xfId="16803"/>
    <cellStyle name="Calculation 2 3 2 2 2 2 6" xfId="16804"/>
    <cellStyle name="Calculation 2 3 2 2 2 2 7" xfId="16805"/>
    <cellStyle name="Calculation 2 3 2 2 2 3" xfId="14075"/>
    <cellStyle name="Calculation 2 3 2 2 2 4" xfId="14076"/>
    <cellStyle name="Calculation 2 3 2 2 2 5" xfId="16806"/>
    <cellStyle name="Calculation 2 3 2 2 2 6" xfId="16807"/>
    <cellStyle name="Calculation 2 3 2 2 2 7" xfId="16808"/>
    <cellStyle name="Calculation 2 3 2 2 2 8" xfId="16809"/>
    <cellStyle name="Calculation 2 3 2 2 3" xfId="12904"/>
    <cellStyle name="Calculation 2 3 2 2 3 2" xfId="12905"/>
    <cellStyle name="Calculation 2 3 2 2 3 2 2" xfId="14077"/>
    <cellStyle name="Calculation 2 3 2 2 3 2 3" xfId="14078"/>
    <cellStyle name="Calculation 2 3 2 2 3 2 4" xfId="16810"/>
    <cellStyle name="Calculation 2 3 2 2 3 2 5" xfId="16811"/>
    <cellStyle name="Calculation 2 3 2 2 3 2 6" xfId="16812"/>
    <cellStyle name="Calculation 2 3 2 2 3 2 7" xfId="16813"/>
    <cellStyle name="Calculation 2 3 2 2 3 3" xfId="14079"/>
    <cellStyle name="Calculation 2 3 2 2 3 4" xfId="14080"/>
    <cellStyle name="Calculation 2 3 2 2 3 5" xfId="16814"/>
    <cellStyle name="Calculation 2 3 2 2 3 6" xfId="16815"/>
    <cellStyle name="Calculation 2 3 2 2 3 7" xfId="16816"/>
    <cellStyle name="Calculation 2 3 2 2 3 8" xfId="16817"/>
    <cellStyle name="Calculation 2 3 2 2 4" xfId="12906"/>
    <cellStyle name="Calculation 2 3 2 2 4 2" xfId="12907"/>
    <cellStyle name="Calculation 2 3 2 2 4 2 2" xfId="14081"/>
    <cellStyle name="Calculation 2 3 2 2 4 2 3" xfId="14082"/>
    <cellStyle name="Calculation 2 3 2 2 4 2 4" xfId="16818"/>
    <cellStyle name="Calculation 2 3 2 2 4 2 5" xfId="16819"/>
    <cellStyle name="Calculation 2 3 2 2 4 2 6" xfId="16820"/>
    <cellStyle name="Calculation 2 3 2 2 4 2 7" xfId="16821"/>
    <cellStyle name="Calculation 2 3 2 2 4 3" xfId="14083"/>
    <cellStyle name="Calculation 2 3 2 2 4 4" xfId="14084"/>
    <cellStyle name="Calculation 2 3 2 2 4 5" xfId="16822"/>
    <cellStyle name="Calculation 2 3 2 2 4 6" xfId="16823"/>
    <cellStyle name="Calculation 2 3 2 2 4 7" xfId="16824"/>
    <cellStyle name="Calculation 2 3 2 2 4 8" xfId="16825"/>
    <cellStyle name="Calculation 2 3 2 2 5" xfId="12908"/>
    <cellStyle name="Calculation 2 3 2 2 5 2" xfId="14085"/>
    <cellStyle name="Calculation 2 3 2 2 5 3" xfId="14086"/>
    <cellStyle name="Calculation 2 3 2 2 5 4" xfId="16826"/>
    <cellStyle name="Calculation 2 3 2 2 5 5" xfId="16827"/>
    <cellStyle name="Calculation 2 3 2 2 5 6" xfId="16828"/>
    <cellStyle name="Calculation 2 3 2 2 5 7" xfId="16829"/>
    <cellStyle name="Calculation 2 3 2 2 6" xfId="14087"/>
    <cellStyle name="Calculation 2 3 2 2 7" xfId="14088"/>
    <cellStyle name="Calculation 2 3 2 2 8" xfId="16830"/>
    <cellStyle name="Calculation 2 3 2 2 9" xfId="16831"/>
    <cellStyle name="Calculation 2 3 2 3" xfId="3152"/>
    <cellStyle name="Calculation 2 3 2 3 2" xfId="12909"/>
    <cellStyle name="Calculation 2 3 2 3 2 2" xfId="12910"/>
    <cellStyle name="Calculation 2 3 2 3 2 2 2" xfId="14089"/>
    <cellStyle name="Calculation 2 3 2 3 2 2 3" xfId="14090"/>
    <cellStyle name="Calculation 2 3 2 3 2 2 4" xfId="16832"/>
    <cellStyle name="Calculation 2 3 2 3 2 2 5" xfId="16833"/>
    <cellStyle name="Calculation 2 3 2 3 2 2 6" xfId="16834"/>
    <cellStyle name="Calculation 2 3 2 3 2 2 7" xfId="16835"/>
    <cellStyle name="Calculation 2 3 2 3 2 3" xfId="14091"/>
    <cellStyle name="Calculation 2 3 2 3 2 4" xfId="14092"/>
    <cellStyle name="Calculation 2 3 2 3 2 5" xfId="16836"/>
    <cellStyle name="Calculation 2 3 2 3 2 6" xfId="16837"/>
    <cellStyle name="Calculation 2 3 2 3 2 7" xfId="16838"/>
    <cellStyle name="Calculation 2 3 2 3 2 8" xfId="16839"/>
    <cellStyle name="Calculation 2 3 2 3 3" xfId="12911"/>
    <cellStyle name="Calculation 2 3 2 3 3 2" xfId="12912"/>
    <cellStyle name="Calculation 2 3 2 3 3 2 2" xfId="14093"/>
    <cellStyle name="Calculation 2 3 2 3 3 2 3" xfId="14094"/>
    <cellStyle name="Calculation 2 3 2 3 3 2 4" xfId="16840"/>
    <cellStyle name="Calculation 2 3 2 3 3 2 5" xfId="16841"/>
    <cellStyle name="Calculation 2 3 2 3 3 2 6" xfId="16842"/>
    <cellStyle name="Calculation 2 3 2 3 3 2 7" xfId="16843"/>
    <cellStyle name="Calculation 2 3 2 3 3 3" xfId="14095"/>
    <cellStyle name="Calculation 2 3 2 3 3 4" xfId="14096"/>
    <cellStyle name="Calculation 2 3 2 3 3 5" xfId="16844"/>
    <cellStyle name="Calculation 2 3 2 3 3 6" xfId="16845"/>
    <cellStyle name="Calculation 2 3 2 3 3 7" xfId="16846"/>
    <cellStyle name="Calculation 2 3 2 3 3 8" xfId="16847"/>
    <cellStyle name="Calculation 2 3 2 3 4" xfId="12913"/>
    <cellStyle name="Calculation 2 3 2 3 4 2" xfId="12914"/>
    <cellStyle name="Calculation 2 3 2 3 4 2 2" xfId="14097"/>
    <cellStyle name="Calculation 2 3 2 3 4 2 3" xfId="14098"/>
    <cellStyle name="Calculation 2 3 2 3 4 2 4" xfId="16848"/>
    <cellStyle name="Calculation 2 3 2 3 4 2 5" xfId="16849"/>
    <cellStyle name="Calculation 2 3 2 3 4 2 6" xfId="16850"/>
    <cellStyle name="Calculation 2 3 2 3 4 2 7" xfId="16851"/>
    <cellStyle name="Calculation 2 3 2 3 4 3" xfId="14099"/>
    <cellStyle name="Calculation 2 3 2 3 4 4" xfId="14100"/>
    <cellStyle name="Calculation 2 3 2 3 4 5" xfId="16852"/>
    <cellStyle name="Calculation 2 3 2 3 4 6" xfId="16853"/>
    <cellStyle name="Calculation 2 3 2 3 4 7" xfId="16854"/>
    <cellStyle name="Calculation 2 3 2 3 4 8" xfId="16855"/>
    <cellStyle name="Calculation 2 3 2 3 5" xfId="12915"/>
    <cellStyle name="Calculation 2 3 2 3 5 2" xfId="14101"/>
    <cellStyle name="Calculation 2 3 2 3 5 3" xfId="14102"/>
    <cellStyle name="Calculation 2 3 2 3 5 4" xfId="16856"/>
    <cellStyle name="Calculation 2 3 2 3 5 5" xfId="16857"/>
    <cellStyle name="Calculation 2 3 2 3 5 6" xfId="16858"/>
    <cellStyle name="Calculation 2 3 2 3 5 7" xfId="16859"/>
    <cellStyle name="Calculation 2 3 2 3 6" xfId="14103"/>
    <cellStyle name="Calculation 2 3 2 3 7" xfId="14104"/>
    <cellStyle name="Calculation 2 3 2 3 8" xfId="16860"/>
    <cellStyle name="Calculation 2 3 2 3 9" xfId="16861"/>
    <cellStyle name="Calculation 2 3 2 4" xfId="3092"/>
    <cellStyle name="Calculation 2 3 2 4 2" xfId="12916"/>
    <cellStyle name="Calculation 2 3 2 4 2 2" xfId="12917"/>
    <cellStyle name="Calculation 2 3 2 4 2 2 2" xfId="14105"/>
    <cellStyle name="Calculation 2 3 2 4 2 2 3" xfId="14106"/>
    <cellStyle name="Calculation 2 3 2 4 2 2 4" xfId="16862"/>
    <cellStyle name="Calculation 2 3 2 4 2 2 5" xfId="16863"/>
    <cellStyle name="Calculation 2 3 2 4 2 2 6" xfId="16864"/>
    <cellStyle name="Calculation 2 3 2 4 2 2 7" xfId="16865"/>
    <cellStyle name="Calculation 2 3 2 4 2 3" xfId="14107"/>
    <cellStyle name="Calculation 2 3 2 4 2 4" xfId="14108"/>
    <cellStyle name="Calculation 2 3 2 4 2 5" xfId="16866"/>
    <cellStyle name="Calculation 2 3 2 4 2 6" xfId="16867"/>
    <cellStyle name="Calculation 2 3 2 4 2 7" xfId="16868"/>
    <cellStyle name="Calculation 2 3 2 4 2 8" xfId="16869"/>
    <cellStyle name="Calculation 2 3 2 4 3" xfId="12918"/>
    <cellStyle name="Calculation 2 3 2 4 3 2" xfId="12919"/>
    <cellStyle name="Calculation 2 3 2 4 3 2 2" xfId="14109"/>
    <cellStyle name="Calculation 2 3 2 4 3 2 3" xfId="14110"/>
    <cellStyle name="Calculation 2 3 2 4 3 2 4" xfId="16870"/>
    <cellStyle name="Calculation 2 3 2 4 3 2 5" xfId="16871"/>
    <cellStyle name="Calculation 2 3 2 4 3 2 6" xfId="16872"/>
    <cellStyle name="Calculation 2 3 2 4 3 2 7" xfId="16873"/>
    <cellStyle name="Calculation 2 3 2 4 3 3" xfId="14111"/>
    <cellStyle name="Calculation 2 3 2 4 3 4" xfId="14112"/>
    <cellStyle name="Calculation 2 3 2 4 3 5" xfId="16874"/>
    <cellStyle name="Calculation 2 3 2 4 3 6" xfId="16875"/>
    <cellStyle name="Calculation 2 3 2 4 3 7" xfId="16876"/>
    <cellStyle name="Calculation 2 3 2 4 3 8" xfId="16877"/>
    <cellStyle name="Calculation 2 3 2 4 4" xfId="12920"/>
    <cellStyle name="Calculation 2 3 2 4 4 2" xfId="12921"/>
    <cellStyle name="Calculation 2 3 2 4 4 2 2" xfId="14113"/>
    <cellStyle name="Calculation 2 3 2 4 4 2 3" xfId="14114"/>
    <cellStyle name="Calculation 2 3 2 4 4 2 4" xfId="16878"/>
    <cellStyle name="Calculation 2 3 2 4 4 2 5" xfId="16879"/>
    <cellStyle name="Calculation 2 3 2 4 4 2 6" xfId="16880"/>
    <cellStyle name="Calculation 2 3 2 4 4 2 7" xfId="16881"/>
    <cellStyle name="Calculation 2 3 2 4 4 3" xfId="14115"/>
    <cellStyle name="Calculation 2 3 2 4 4 4" xfId="14116"/>
    <cellStyle name="Calculation 2 3 2 4 4 5" xfId="16882"/>
    <cellStyle name="Calculation 2 3 2 4 4 6" xfId="16883"/>
    <cellStyle name="Calculation 2 3 2 4 4 7" xfId="16884"/>
    <cellStyle name="Calculation 2 3 2 4 4 8" xfId="16885"/>
    <cellStyle name="Calculation 2 3 2 4 5" xfId="12922"/>
    <cellStyle name="Calculation 2 3 2 4 5 2" xfId="14117"/>
    <cellStyle name="Calculation 2 3 2 4 5 3" xfId="14118"/>
    <cellStyle name="Calculation 2 3 2 4 5 4" xfId="16886"/>
    <cellStyle name="Calculation 2 3 2 4 5 5" xfId="16887"/>
    <cellStyle name="Calculation 2 3 2 4 5 6" xfId="16888"/>
    <cellStyle name="Calculation 2 3 2 4 5 7" xfId="16889"/>
    <cellStyle name="Calculation 2 3 2 4 6" xfId="14119"/>
    <cellStyle name="Calculation 2 3 2 4 7" xfId="14120"/>
    <cellStyle name="Calculation 2 3 2 4 8" xfId="16890"/>
    <cellStyle name="Calculation 2 3 2 4 9" xfId="16891"/>
    <cellStyle name="Calculation 2 3 2 5" xfId="3211"/>
    <cellStyle name="Calculation 2 3 2 5 2" xfId="12923"/>
    <cellStyle name="Calculation 2 3 2 5 2 2" xfId="12924"/>
    <cellStyle name="Calculation 2 3 2 5 2 2 2" xfId="14121"/>
    <cellStyle name="Calculation 2 3 2 5 2 2 3" xfId="14122"/>
    <cellStyle name="Calculation 2 3 2 5 2 2 4" xfId="16892"/>
    <cellStyle name="Calculation 2 3 2 5 2 2 5" xfId="16893"/>
    <cellStyle name="Calculation 2 3 2 5 2 2 6" xfId="16894"/>
    <cellStyle name="Calculation 2 3 2 5 2 2 7" xfId="16895"/>
    <cellStyle name="Calculation 2 3 2 5 2 3" xfId="14123"/>
    <cellStyle name="Calculation 2 3 2 5 2 4" xfId="14124"/>
    <cellStyle name="Calculation 2 3 2 5 2 5" xfId="16896"/>
    <cellStyle name="Calculation 2 3 2 5 2 6" xfId="16897"/>
    <cellStyle name="Calculation 2 3 2 5 2 7" xfId="16898"/>
    <cellStyle name="Calculation 2 3 2 5 2 8" xfId="16899"/>
    <cellStyle name="Calculation 2 3 2 5 3" xfId="12925"/>
    <cellStyle name="Calculation 2 3 2 5 3 2" xfId="12926"/>
    <cellStyle name="Calculation 2 3 2 5 3 2 2" xfId="14125"/>
    <cellStyle name="Calculation 2 3 2 5 3 2 3" xfId="14126"/>
    <cellStyle name="Calculation 2 3 2 5 3 2 4" xfId="16900"/>
    <cellStyle name="Calculation 2 3 2 5 3 2 5" xfId="16901"/>
    <cellStyle name="Calculation 2 3 2 5 3 2 6" xfId="16902"/>
    <cellStyle name="Calculation 2 3 2 5 3 2 7" xfId="16903"/>
    <cellStyle name="Calculation 2 3 2 5 3 3" xfId="14127"/>
    <cellStyle name="Calculation 2 3 2 5 3 4" xfId="14128"/>
    <cellStyle name="Calculation 2 3 2 5 3 5" xfId="16904"/>
    <cellStyle name="Calculation 2 3 2 5 3 6" xfId="16905"/>
    <cellStyle name="Calculation 2 3 2 5 3 7" xfId="16906"/>
    <cellStyle name="Calculation 2 3 2 5 3 8" xfId="16907"/>
    <cellStyle name="Calculation 2 3 2 5 4" xfId="12927"/>
    <cellStyle name="Calculation 2 3 2 5 4 2" xfId="12928"/>
    <cellStyle name="Calculation 2 3 2 5 4 2 2" xfId="14129"/>
    <cellStyle name="Calculation 2 3 2 5 4 2 3" xfId="14130"/>
    <cellStyle name="Calculation 2 3 2 5 4 2 4" xfId="16908"/>
    <cellStyle name="Calculation 2 3 2 5 4 2 5" xfId="16909"/>
    <cellStyle name="Calculation 2 3 2 5 4 2 6" xfId="16910"/>
    <cellStyle name="Calculation 2 3 2 5 4 2 7" xfId="16911"/>
    <cellStyle name="Calculation 2 3 2 5 4 3" xfId="14131"/>
    <cellStyle name="Calculation 2 3 2 5 4 4" xfId="14132"/>
    <cellStyle name="Calculation 2 3 2 5 4 5" xfId="16912"/>
    <cellStyle name="Calculation 2 3 2 5 4 6" xfId="16913"/>
    <cellStyle name="Calculation 2 3 2 5 4 7" xfId="16914"/>
    <cellStyle name="Calculation 2 3 2 5 4 8" xfId="16915"/>
    <cellStyle name="Calculation 2 3 2 5 5" xfId="12929"/>
    <cellStyle name="Calculation 2 3 2 5 5 2" xfId="14133"/>
    <cellStyle name="Calculation 2 3 2 5 5 3" xfId="14134"/>
    <cellStyle name="Calculation 2 3 2 5 5 4" xfId="16916"/>
    <cellStyle name="Calculation 2 3 2 5 5 5" xfId="16917"/>
    <cellStyle name="Calculation 2 3 2 5 5 6" xfId="16918"/>
    <cellStyle name="Calculation 2 3 2 5 5 7" xfId="16919"/>
    <cellStyle name="Calculation 2 3 2 5 6" xfId="14135"/>
    <cellStyle name="Calculation 2 3 2 5 7" xfId="14136"/>
    <cellStyle name="Calculation 2 3 2 5 8" xfId="16920"/>
    <cellStyle name="Calculation 2 3 2 5 9" xfId="16921"/>
    <cellStyle name="Calculation 2 3 2 6" xfId="12930"/>
    <cellStyle name="Calculation 2 3 2 6 2" xfId="12931"/>
    <cellStyle name="Calculation 2 3 2 6 2 2" xfId="14137"/>
    <cellStyle name="Calculation 2 3 2 6 2 3" xfId="14138"/>
    <cellStyle name="Calculation 2 3 2 6 2 4" xfId="16922"/>
    <cellStyle name="Calculation 2 3 2 6 2 5" xfId="16923"/>
    <cellStyle name="Calculation 2 3 2 6 2 6" xfId="16924"/>
    <cellStyle name="Calculation 2 3 2 6 2 7" xfId="16925"/>
    <cellStyle name="Calculation 2 3 2 6 3" xfId="14139"/>
    <cellStyle name="Calculation 2 3 2 6 4" xfId="14140"/>
    <cellStyle name="Calculation 2 3 2 6 5" xfId="16926"/>
    <cellStyle name="Calculation 2 3 2 6 6" xfId="16927"/>
    <cellStyle name="Calculation 2 3 2 6 7" xfId="16928"/>
    <cellStyle name="Calculation 2 3 2 6 8" xfId="16929"/>
    <cellStyle name="Calculation 2 3 2 7" xfId="12932"/>
    <cellStyle name="Calculation 2 3 2 7 2" xfId="12933"/>
    <cellStyle name="Calculation 2 3 2 7 2 2" xfId="14141"/>
    <cellStyle name="Calculation 2 3 2 7 2 3" xfId="14142"/>
    <cellStyle name="Calculation 2 3 2 7 2 4" xfId="16930"/>
    <cellStyle name="Calculation 2 3 2 7 2 5" xfId="16931"/>
    <cellStyle name="Calculation 2 3 2 7 2 6" xfId="16932"/>
    <cellStyle name="Calculation 2 3 2 7 2 7" xfId="16933"/>
    <cellStyle name="Calculation 2 3 2 7 3" xfId="14143"/>
    <cellStyle name="Calculation 2 3 2 7 4" xfId="14144"/>
    <cellStyle name="Calculation 2 3 2 7 5" xfId="16934"/>
    <cellStyle name="Calculation 2 3 2 7 6" xfId="16935"/>
    <cellStyle name="Calculation 2 3 2 7 7" xfId="16936"/>
    <cellStyle name="Calculation 2 3 2 7 8" xfId="16937"/>
    <cellStyle name="Calculation 2 3 2 8" xfId="12934"/>
    <cellStyle name="Calculation 2 3 2 8 2" xfId="12935"/>
    <cellStyle name="Calculation 2 3 2 8 2 2" xfId="14145"/>
    <cellStyle name="Calculation 2 3 2 8 2 3" xfId="14146"/>
    <cellStyle name="Calculation 2 3 2 8 2 4" xfId="16938"/>
    <cellStyle name="Calculation 2 3 2 8 2 5" xfId="16939"/>
    <cellStyle name="Calculation 2 3 2 8 2 6" xfId="16940"/>
    <cellStyle name="Calculation 2 3 2 8 2 7" xfId="16941"/>
    <cellStyle name="Calculation 2 3 2 8 3" xfId="14147"/>
    <cellStyle name="Calculation 2 3 2 8 4" xfId="14148"/>
    <cellStyle name="Calculation 2 3 2 8 5" xfId="16942"/>
    <cellStyle name="Calculation 2 3 2 8 6" xfId="16943"/>
    <cellStyle name="Calculation 2 3 2 8 7" xfId="16944"/>
    <cellStyle name="Calculation 2 3 2 8 8" xfId="16945"/>
    <cellStyle name="Calculation 2 3 2 9" xfId="12936"/>
    <cellStyle name="Calculation 2 3 2 9 2" xfId="14149"/>
    <cellStyle name="Calculation 2 3 2 9 3" xfId="14150"/>
    <cellStyle name="Calculation 2 3 2 9 4" xfId="16946"/>
    <cellStyle name="Calculation 2 3 2 9 5" xfId="16947"/>
    <cellStyle name="Calculation 2 3 2 9 6" xfId="16948"/>
    <cellStyle name="Calculation 2 3 2 9 7" xfId="16949"/>
    <cellStyle name="Calculation 2 3 3" xfId="1367"/>
    <cellStyle name="Calculation 2 3 3 10" xfId="16950"/>
    <cellStyle name="Calculation 2 3 3 11" xfId="16951"/>
    <cellStyle name="Calculation 2 3 3 2" xfId="12937"/>
    <cellStyle name="Calculation 2 3 3 2 2" xfId="12938"/>
    <cellStyle name="Calculation 2 3 3 2 2 2" xfId="14151"/>
    <cellStyle name="Calculation 2 3 3 2 2 3" xfId="14152"/>
    <cellStyle name="Calculation 2 3 3 2 2 4" xfId="16952"/>
    <cellStyle name="Calculation 2 3 3 2 2 5" xfId="16953"/>
    <cellStyle name="Calculation 2 3 3 2 2 6" xfId="16954"/>
    <cellStyle name="Calculation 2 3 3 2 2 7" xfId="16955"/>
    <cellStyle name="Calculation 2 3 3 2 3" xfId="14153"/>
    <cellStyle name="Calculation 2 3 3 2 4" xfId="14154"/>
    <cellStyle name="Calculation 2 3 3 2 5" xfId="16956"/>
    <cellStyle name="Calculation 2 3 3 2 6" xfId="16957"/>
    <cellStyle name="Calculation 2 3 3 2 7" xfId="16958"/>
    <cellStyle name="Calculation 2 3 3 2 8" xfId="16959"/>
    <cellStyle name="Calculation 2 3 3 3" xfId="12939"/>
    <cellStyle name="Calculation 2 3 3 3 2" xfId="12940"/>
    <cellStyle name="Calculation 2 3 3 3 2 2" xfId="14155"/>
    <cellStyle name="Calculation 2 3 3 3 2 3" xfId="14156"/>
    <cellStyle name="Calculation 2 3 3 3 2 4" xfId="16960"/>
    <cellStyle name="Calculation 2 3 3 3 2 5" xfId="16961"/>
    <cellStyle name="Calculation 2 3 3 3 2 6" xfId="16962"/>
    <cellStyle name="Calculation 2 3 3 3 2 7" xfId="16963"/>
    <cellStyle name="Calculation 2 3 3 3 3" xfId="14157"/>
    <cellStyle name="Calculation 2 3 3 3 4" xfId="14158"/>
    <cellStyle name="Calculation 2 3 3 3 5" xfId="16964"/>
    <cellStyle name="Calculation 2 3 3 3 6" xfId="16965"/>
    <cellStyle name="Calculation 2 3 3 3 7" xfId="16966"/>
    <cellStyle name="Calculation 2 3 3 3 8" xfId="16967"/>
    <cellStyle name="Calculation 2 3 3 4" xfId="12941"/>
    <cellStyle name="Calculation 2 3 3 4 2" xfId="12942"/>
    <cellStyle name="Calculation 2 3 3 4 2 2" xfId="14159"/>
    <cellStyle name="Calculation 2 3 3 4 2 3" xfId="14160"/>
    <cellStyle name="Calculation 2 3 3 4 2 4" xfId="16968"/>
    <cellStyle name="Calculation 2 3 3 4 2 5" xfId="16969"/>
    <cellStyle name="Calculation 2 3 3 4 2 6" xfId="16970"/>
    <cellStyle name="Calculation 2 3 3 4 2 7" xfId="16971"/>
    <cellStyle name="Calculation 2 3 3 4 3" xfId="14161"/>
    <cellStyle name="Calculation 2 3 3 4 4" xfId="14162"/>
    <cellStyle name="Calculation 2 3 3 4 5" xfId="16972"/>
    <cellStyle name="Calculation 2 3 3 4 6" xfId="16973"/>
    <cellStyle name="Calculation 2 3 3 4 7" xfId="16974"/>
    <cellStyle name="Calculation 2 3 3 4 8" xfId="16975"/>
    <cellStyle name="Calculation 2 3 3 5" xfId="12943"/>
    <cellStyle name="Calculation 2 3 3 5 2" xfId="14163"/>
    <cellStyle name="Calculation 2 3 3 5 3" xfId="14164"/>
    <cellStyle name="Calculation 2 3 3 5 4" xfId="16976"/>
    <cellStyle name="Calculation 2 3 3 5 5" xfId="16977"/>
    <cellStyle name="Calculation 2 3 3 5 6" xfId="16978"/>
    <cellStyle name="Calculation 2 3 3 5 7" xfId="16979"/>
    <cellStyle name="Calculation 2 3 3 6" xfId="3273"/>
    <cellStyle name="Calculation 2 3 3 7" xfId="14165"/>
    <cellStyle name="Calculation 2 3 3 8" xfId="16980"/>
    <cellStyle name="Calculation 2 3 3 9" xfId="16981"/>
    <cellStyle name="Calculation 2 3 4" xfId="12944"/>
    <cellStyle name="Calculation 2 3 4 2" xfId="12945"/>
    <cellStyle name="Calculation 2 3 4 2 2" xfId="14166"/>
    <cellStyle name="Calculation 2 3 4 2 3" xfId="14167"/>
    <cellStyle name="Calculation 2 3 4 2 4" xfId="16982"/>
    <cellStyle name="Calculation 2 3 4 2 5" xfId="16983"/>
    <cellStyle name="Calculation 2 3 4 2 6" xfId="16984"/>
    <cellStyle name="Calculation 2 3 4 2 7" xfId="16985"/>
    <cellStyle name="Calculation 2 3 4 3" xfId="14168"/>
    <cellStyle name="Calculation 2 3 4 4" xfId="14169"/>
    <cellStyle name="Calculation 2 3 4 5" xfId="16986"/>
    <cellStyle name="Calculation 2 3 4 6" xfId="16987"/>
    <cellStyle name="Calculation 2 3 4 7" xfId="16988"/>
    <cellStyle name="Calculation 2 3 4 8" xfId="16989"/>
    <cellStyle name="Calculation 2 3 5" xfId="12946"/>
    <cellStyle name="Calculation 2 3 5 2" xfId="12947"/>
    <cellStyle name="Calculation 2 3 5 2 2" xfId="14170"/>
    <cellStyle name="Calculation 2 3 5 2 3" xfId="14171"/>
    <cellStyle name="Calculation 2 3 5 2 4" xfId="16990"/>
    <cellStyle name="Calculation 2 3 5 2 5" xfId="16991"/>
    <cellStyle name="Calculation 2 3 5 2 6" xfId="16992"/>
    <cellStyle name="Calculation 2 3 5 2 7" xfId="16993"/>
    <cellStyle name="Calculation 2 3 5 3" xfId="14172"/>
    <cellStyle name="Calculation 2 3 5 4" xfId="14173"/>
    <cellStyle name="Calculation 2 3 5 5" xfId="16994"/>
    <cellStyle name="Calculation 2 3 5 6" xfId="16995"/>
    <cellStyle name="Calculation 2 3 5 7" xfId="16996"/>
    <cellStyle name="Calculation 2 3 5 8" xfId="16997"/>
    <cellStyle name="Calculation 2 3 6" xfId="12948"/>
    <cellStyle name="Calculation 2 3 6 2" xfId="12949"/>
    <cellStyle name="Calculation 2 3 6 2 2" xfId="14174"/>
    <cellStyle name="Calculation 2 3 6 2 3" xfId="14175"/>
    <cellStyle name="Calculation 2 3 6 2 4" xfId="16998"/>
    <cellStyle name="Calculation 2 3 6 2 5" xfId="16999"/>
    <cellStyle name="Calculation 2 3 6 2 6" xfId="17000"/>
    <cellStyle name="Calculation 2 3 6 2 7" xfId="17001"/>
    <cellStyle name="Calculation 2 3 6 3" xfId="14176"/>
    <cellStyle name="Calculation 2 3 6 4" xfId="14177"/>
    <cellStyle name="Calculation 2 3 6 5" xfId="17002"/>
    <cellStyle name="Calculation 2 3 6 6" xfId="17003"/>
    <cellStyle name="Calculation 2 3 6 7" xfId="17004"/>
    <cellStyle name="Calculation 2 3 6 8" xfId="17005"/>
    <cellStyle name="Calculation 2 3 7" xfId="12950"/>
    <cellStyle name="Calculation 2 3 7 2" xfId="14178"/>
    <cellStyle name="Calculation 2 3 7 3" xfId="14179"/>
    <cellStyle name="Calculation 2 3 7 4" xfId="17006"/>
    <cellStyle name="Calculation 2 3 7 5" xfId="17007"/>
    <cellStyle name="Calculation 2 3 7 6" xfId="17008"/>
    <cellStyle name="Calculation 2 3 7 7" xfId="17009"/>
    <cellStyle name="Calculation 2 3 8" xfId="14180"/>
    <cellStyle name="Calculation 2 3 9" xfId="14181"/>
    <cellStyle name="Calculation 2 4" xfId="317"/>
    <cellStyle name="Calculation 2 4 10" xfId="17010"/>
    <cellStyle name="Calculation 2 4 11" xfId="17011"/>
    <cellStyle name="Calculation 2 4 2" xfId="1548"/>
    <cellStyle name="Calculation 2 4 2 10" xfId="2979"/>
    <cellStyle name="Calculation 2 4 2 11" xfId="14182"/>
    <cellStyle name="Calculation 2 4 2 12" xfId="17012"/>
    <cellStyle name="Calculation 2 4 2 13" xfId="17013"/>
    <cellStyle name="Calculation 2 4 2 2" xfId="3050"/>
    <cellStyle name="Calculation 2 4 2 2 2" xfId="12951"/>
    <cellStyle name="Calculation 2 4 2 2 2 2" xfId="12952"/>
    <cellStyle name="Calculation 2 4 2 2 2 2 2" xfId="14183"/>
    <cellStyle name="Calculation 2 4 2 2 2 2 3" xfId="14184"/>
    <cellStyle name="Calculation 2 4 2 2 2 2 4" xfId="17014"/>
    <cellStyle name="Calculation 2 4 2 2 2 2 5" xfId="17015"/>
    <cellStyle name="Calculation 2 4 2 2 2 2 6" xfId="17016"/>
    <cellStyle name="Calculation 2 4 2 2 2 2 7" xfId="17017"/>
    <cellStyle name="Calculation 2 4 2 2 2 3" xfId="14185"/>
    <cellStyle name="Calculation 2 4 2 2 2 4" xfId="14186"/>
    <cellStyle name="Calculation 2 4 2 2 2 5" xfId="17018"/>
    <cellStyle name="Calculation 2 4 2 2 2 6" xfId="17019"/>
    <cellStyle name="Calculation 2 4 2 2 2 7" xfId="17020"/>
    <cellStyle name="Calculation 2 4 2 2 2 8" xfId="17021"/>
    <cellStyle name="Calculation 2 4 2 2 3" xfId="12953"/>
    <cellStyle name="Calculation 2 4 2 2 3 2" xfId="12954"/>
    <cellStyle name="Calculation 2 4 2 2 3 2 2" xfId="14187"/>
    <cellStyle name="Calculation 2 4 2 2 3 2 3" xfId="14188"/>
    <cellStyle name="Calculation 2 4 2 2 3 2 4" xfId="17022"/>
    <cellStyle name="Calculation 2 4 2 2 3 2 5" xfId="17023"/>
    <cellStyle name="Calculation 2 4 2 2 3 2 6" xfId="17024"/>
    <cellStyle name="Calculation 2 4 2 2 3 2 7" xfId="17025"/>
    <cellStyle name="Calculation 2 4 2 2 3 3" xfId="14189"/>
    <cellStyle name="Calculation 2 4 2 2 3 4" xfId="14190"/>
    <cellStyle name="Calculation 2 4 2 2 3 5" xfId="17026"/>
    <cellStyle name="Calculation 2 4 2 2 3 6" xfId="17027"/>
    <cellStyle name="Calculation 2 4 2 2 3 7" xfId="17028"/>
    <cellStyle name="Calculation 2 4 2 2 3 8" xfId="17029"/>
    <cellStyle name="Calculation 2 4 2 2 4" xfId="12955"/>
    <cellStyle name="Calculation 2 4 2 2 4 2" xfId="12956"/>
    <cellStyle name="Calculation 2 4 2 2 4 2 2" xfId="14191"/>
    <cellStyle name="Calculation 2 4 2 2 4 2 3" xfId="14192"/>
    <cellStyle name="Calculation 2 4 2 2 4 2 4" xfId="17030"/>
    <cellStyle name="Calculation 2 4 2 2 4 2 5" xfId="17031"/>
    <cellStyle name="Calculation 2 4 2 2 4 2 6" xfId="17032"/>
    <cellStyle name="Calculation 2 4 2 2 4 2 7" xfId="17033"/>
    <cellStyle name="Calculation 2 4 2 2 4 3" xfId="14193"/>
    <cellStyle name="Calculation 2 4 2 2 4 4" xfId="14194"/>
    <cellStyle name="Calculation 2 4 2 2 4 5" xfId="17034"/>
    <cellStyle name="Calculation 2 4 2 2 4 6" xfId="17035"/>
    <cellStyle name="Calculation 2 4 2 2 4 7" xfId="17036"/>
    <cellStyle name="Calculation 2 4 2 2 4 8" xfId="17037"/>
    <cellStyle name="Calculation 2 4 2 2 5" xfId="12957"/>
    <cellStyle name="Calculation 2 4 2 2 5 2" xfId="14195"/>
    <cellStyle name="Calculation 2 4 2 2 5 3" xfId="14196"/>
    <cellStyle name="Calculation 2 4 2 2 5 4" xfId="17038"/>
    <cellStyle name="Calculation 2 4 2 2 5 5" xfId="17039"/>
    <cellStyle name="Calculation 2 4 2 2 5 6" xfId="17040"/>
    <cellStyle name="Calculation 2 4 2 2 5 7" xfId="17041"/>
    <cellStyle name="Calculation 2 4 2 2 6" xfId="14197"/>
    <cellStyle name="Calculation 2 4 2 2 7" xfId="14198"/>
    <cellStyle name="Calculation 2 4 2 2 8" xfId="17042"/>
    <cellStyle name="Calculation 2 4 2 2 9" xfId="17043"/>
    <cellStyle name="Calculation 2 4 2 3" xfId="3153"/>
    <cellStyle name="Calculation 2 4 2 3 2" xfId="12958"/>
    <cellStyle name="Calculation 2 4 2 3 2 2" xfId="12959"/>
    <cellStyle name="Calculation 2 4 2 3 2 2 2" xfId="14199"/>
    <cellStyle name="Calculation 2 4 2 3 2 2 3" xfId="14200"/>
    <cellStyle name="Calculation 2 4 2 3 2 2 4" xfId="17044"/>
    <cellStyle name="Calculation 2 4 2 3 2 2 5" xfId="17045"/>
    <cellStyle name="Calculation 2 4 2 3 2 2 6" xfId="17046"/>
    <cellStyle name="Calculation 2 4 2 3 2 2 7" xfId="17047"/>
    <cellStyle name="Calculation 2 4 2 3 2 3" xfId="14201"/>
    <cellStyle name="Calculation 2 4 2 3 2 4" xfId="14202"/>
    <cellStyle name="Calculation 2 4 2 3 2 5" xfId="17048"/>
    <cellStyle name="Calculation 2 4 2 3 2 6" xfId="17049"/>
    <cellStyle name="Calculation 2 4 2 3 2 7" xfId="17050"/>
    <cellStyle name="Calculation 2 4 2 3 2 8" xfId="17051"/>
    <cellStyle name="Calculation 2 4 2 3 3" xfId="12960"/>
    <cellStyle name="Calculation 2 4 2 3 3 2" xfId="12961"/>
    <cellStyle name="Calculation 2 4 2 3 3 2 2" xfId="14203"/>
    <cellStyle name="Calculation 2 4 2 3 3 2 3" xfId="14204"/>
    <cellStyle name="Calculation 2 4 2 3 3 2 4" xfId="17052"/>
    <cellStyle name="Calculation 2 4 2 3 3 2 5" xfId="17053"/>
    <cellStyle name="Calculation 2 4 2 3 3 2 6" xfId="17054"/>
    <cellStyle name="Calculation 2 4 2 3 3 2 7" xfId="17055"/>
    <cellStyle name="Calculation 2 4 2 3 3 3" xfId="14205"/>
    <cellStyle name="Calculation 2 4 2 3 3 4" xfId="14206"/>
    <cellStyle name="Calculation 2 4 2 3 3 5" xfId="17056"/>
    <cellStyle name="Calculation 2 4 2 3 3 6" xfId="17057"/>
    <cellStyle name="Calculation 2 4 2 3 3 7" xfId="17058"/>
    <cellStyle name="Calculation 2 4 2 3 3 8" xfId="17059"/>
    <cellStyle name="Calculation 2 4 2 3 4" xfId="12962"/>
    <cellStyle name="Calculation 2 4 2 3 4 2" xfId="12963"/>
    <cellStyle name="Calculation 2 4 2 3 4 2 2" xfId="14207"/>
    <cellStyle name="Calculation 2 4 2 3 4 2 3" xfId="14208"/>
    <cellStyle name="Calculation 2 4 2 3 4 2 4" xfId="17060"/>
    <cellStyle name="Calculation 2 4 2 3 4 2 5" xfId="17061"/>
    <cellStyle name="Calculation 2 4 2 3 4 2 6" xfId="17062"/>
    <cellStyle name="Calculation 2 4 2 3 4 2 7" xfId="17063"/>
    <cellStyle name="Calculation 2 4 2 3 4 3" xfId="14209"/>
    <cellStyle name="Calculation 2 4 2 3 4 4" xfId="14210"/>
    <cellStyle name="Calculation 2 4 2 3 4 5" xfId="17064"/>
    <cellStyle name="Calculation 2 4 2 3 4 6" xfId="17065"/>
    <cellStyle name="Calculation 2 4 2 3 4 7" xfId="17066"/>
    <cellStyle name="Calculation 2 4 2 3 4 8" xfId="17067"/>
    <cellStyle name="Calculation 2 4 2 3 5" xfId="12964"/>
    <cellStyle name="Calculation 2 4 2 3 5 2" xfId="14211"/>
    <cellStyle name="Calculation 2 4 2 3 5 3" xfId="14212"/>
    <cellStyle name="Calculation 2 4 2 3 5 4" xfId="17068"/>
    <cellStyle name="Calculation 2 4 2 3 5 5" xfId="17069"/>
    <cellStyle name="Calculation 2 4 2 3 5 6" xfId="17070"/>
    <cellStyle name="Calculation 2 4 2 3 5 7" xfId="17071"/>
    <cellStyle name="Calculation 2 4 2 3 6" xfId="14213"/>
    <cellStyle name="Calculation 2 4 2 3 7" xfId="14214"/>
    <cellStyle name="Calculation 2 4 2 3 8" xfId="17072"/>
    <cellStyle name="Calculation 2 4 2 3 9" xfId="17073"/>
    <cellStyle name="Calculation 2 4 2 4" xfId="3175"/>
    <cellStyle name="Calculation 2 4 2 4 2" xfId="12965"/>
    <cellStyle name="Calculation 2 4 2 4 2 2" xfId="12966"/>
    <cellStyle name="Calculation 2 4 2 4 2 2 2" xfId="14215"/>
    <cellStyle name="Calculation 2 4 2 4 2 2 3" xfId="14216"/>
    <cellStyle name="Calculation 2 4 2 4 2 2 4" xfId="17074"/>
    <cellStyle name="Calculation 2 4 2 4 2 2 5" xfId="17075"/>
    <cellStyle name="Calculation 2 4 2 4 2 2 6" xfId="17076"/>
    <cellStyle name="Calculation 2 4 2 4 2 2 7" xfId="17077"/>
    <cellStyle name="Calculation 2 4 2 4 2 3" xfId="14217"/>
    <cellStyle name="Calculation 2 4 2 4 2 4" xfId="14218"/>
    <cellStyle name="Calculation 2 4 2 4 2 5" xfId="17078"/>
    <cellStyle name="Calculation 2 4 2 4 2 6" xfId="17079"/>
    <cellStyle name="Calculation 2 4 2 4 2 7" xfId="17080"/>
    <cellStyle name="Calculation 2 4 2 4 2 8" xfId="17081"/>
    <cellStyle name="Calculation 2 4 2 4 3" xfId="12967"/>
    <cellStyle name="Calculation 2 4 2 4 3 2" xfId="12968"/>
    <cellStyle name="Calculation 2 4 2 4 3 2 2" xfId="14219"/>
    <cellStyle name="Calculation 2 4 2 4 3 2 3" xfId="14220"/>
    <cellStyle name="Calculation 2 4 2 4 3 2 4" xfId="17082"/>
    <cellStyle name="Calculation 2 4 2 4 3 2 5" xfId="17083"/>
    <cellStyle name="Calculation 2 4 2 4 3 2 6" xfId="17084"/>
    <cellStyle name="Calculation 2 4 2 4 3 2 7" xfId="17085"/>
    <cellStyle name="Calculation 2 4 2 4 3 3" xfId="14221"/>
    <cellStyle name="Calculation 2 4 2 4 3 4" xfId="14222"/>
    <cellStyle name="Calculation 2 4 2 4 3 5" xfId="17086"/>
    <cellStyle name="Calculation 2 4 2 4 3 6" xfId="17087"/>
    <cellStyle name="Calculation 2 4 2 4 3 7" xfId="17088"/>
    <cellStyle name="Calculation 2 4 2 4 3 8" xfId="17089"/>
    <cellStyle name="Calculation 2 4 2 4 4" xfId="12969"/>
    <cellStyle name="Calculation 2 4 2 4 4 2" xfId="12970"/>
    <cellStyle name="Calculation 2 4 2 4 4 2 2" xfId="14223"/>
    <cellStyle name="Calculation 2 4 2 4 4 2 3" xfId="14224"/>
    <cellStyle name="Calculation 2 4 2 4 4 2 4" xfId="17090"/>
    <cellStyle name="Calculation 2 4 2 4 4 2 5" xfId="17091"/>
    <cellStyle name="Calculation 2 4 2 4 4 2 6" xfId="17092"/>
    <cellStyle name="Calculation 2 4 2 4 4 2 7" xfId="17093"/>
    <cellStyle name="Calculation 2 4 2 4 4 3" xfId="14225"/>
    <cellStyle name="Calculation 2 4 2 4 4 4" xfId="14226"/>
    <cellStyle name="Calculation 2 4 2 4 4 5" xfId="17094"/>
    <cellStyle name="Calculation 2 4 2 4 4 6" xfId="17095"/>
    <cellStyle name="Calculation 2 4 2 4 4 7" xfId="17096"/>
    <cellStyle name="Calculation 2 4 2 4 4 8" xfId="17097"/>
    <cellStyle name="Calculation 2 4 2 4 5" xfId="12971"/>
    <cellStyle name="Calculation 2 4 2 4 5 2" xfId="14227"/>
    <cellStyle name="Calculation 2 4 2 4 5 3" xfId="14228"/>
    <cellStyle name="Calculation 2 4 2 4 5 4" xfId="17098"/>
    <cellStyle name="Calculation 2 4 2 4 5 5" xfId="17099"/>
    <cellStyle name="Calculation 2 4 2 4 5 6" xfId="17100"/>
    <cellStyle name="Calculation 2 4 2 4 5 7" xfId="17101"/>
    <cellStyle name="Calculation 2 4 2 4 6" xfId="14229"/>
    <cellStyle name="Calculation 2 4 2 4 7" xfId="14230"/>
    <cellStyle name="Calculation 2 4 2 4 8" xfId="17102"/>
    <cellStyle name="Calculation 2 4 2 4 9" xfId="17103"/>
    <cellStyle name="Calculation 2 4 2 5" xfId="3230"/>
    <cellStyle name="Calculation 2 4 2 5 2" xfId="12972"/>
    <cellStyle name="Calculation 2 4 2 5 2 2" xfId="12973"/>
    <cellStyle name="Calculation 2 4 2 5 2 2 2" xfId="14231"/>
    <cellStyle name="Calculation 2 4 2 5 2 2 3" xfId="14232"/>
    <cellStyle name="Calculation 2 4 2 5 2 2 4" xfId="17104"/>
    <cellStyle name="Calculation 2 4 2 5 2 2 5" xfId="17105"/>
    <cellStyle name="Calculation 2 4 2 5 2 2 6" xfId="17106"/>
    <cellStyle name="Calculation 2 4 2 5 2 2 7" xfId="17107"/>
    <cellStyle name="Calculation 2 4 2 5 2 3" xfId="14233"/>
    <cellStyle name="Calculation 2 4 2 5 2 4" xfId="14234"/>
    <cellStyle name="Calculation 2 4 2 5 2 5" xfId="17108"/>
    <cellStyle name="Calculation 2 4 2 5 2 6" xfId="17109"/>
    <cellStyle name="Calculation 2 4 2 5 2 7" xfId="17110"/>
    <cellStyle name="Calculation 2 4 2 5 2 8" xfId="17111"/>
    <cellStyle name="Calculation 2 4 2 5 3" xfId="12974"/>
    <cellStyle name="Calculation 2 4 2 5 3 2" xfId="12975"/>
    <cellStyle name="Calculation 2 4 2 5 3 2 2" xfId="14235"/>
    <cellStyle name="Calculation 2 4 2 5 3 2 3" xfId="14236"/>
    <cellStyle name="Calculation 2 4 2 5 3 2 4" xfId="17112"/>
    <cellStyle name="Calculation 2 4 2 5 3 2 5" xfId="17113"/>
    <cellStyle name="Calculation 2 4 2 5 3 2 6" xfId="17114"/>
    <cellStyle name="Calculation 2 4 2 5 3 2 7" xfId="17115"/>
    <cellStyle name="Calculation 2 4 2 5 3 3" xfId="14237"/>
    <cellStyle name="Calculation 2 4 2 5 3 4" xfId="14238"/>
    <cellStyle name="Calculation 2 4 2 5 3 5" xfId="17116"/>
    <cellStyle name="Calculation 2 4 2 5 3 6" xfId="17117"/>
    <cellStyle name="Calculation 2 4 2 5 3 7" xfId="17118"/>
    <cellStyle name="Calculation 2 4 2 5 3 8" xfId="17119"/>
    <cellStyle name="Calculation 2 4 2 5 4" xfId="12976"/>
    <cellStyle name="Calculation 2 4 2 5 4 2" xfId="12977"/>
    <cellStyle name="Calculation 2 4 2 5 4 2 2" xfId="14239"/>
    <cellStyle name="Calculation 2 4 2 5 4 2 3" xfId="14240"/>
    <cellStyle name="Calculation 2 4 2 5 4 2 4" xfId="17120"/>
    <cellStyle name="Calculation 2 4 2 5 4 2 5" xfId="17121"/>
    <cellStyle name="Calculation 2 4 2 5 4 2 6" xfId="17122"/>
    <cellStyle name="Calculation 2 4 2 5 4 2 7" xfId="17123"/>
    <cellStyle name="Calculation 2 4 2 5 4 3" xfId="14241"/>
    <cellStyle name="Calculation 2 4 2 5 4 4" xfId="14242"/>
    <cellStyle name="Calculation 2 4 2 5 4 5" xfId="17124"/>
    <cellStyle name="Calculation 2 4 2 5 4 6" xfId="17125"/>
    <cellStyle name="Calculation 2 4 2 5 4 7" xfId="17126"/>
    <cellStyle name="Calculation 2 4 2 5 4 8" xfId="17127"/>
    <cellStyle name="Calculation 2 4 2 5 5" xfId="12978"/>
    <cellStyle name="Calculation 2 4 2 5 5 2" xfId="14243"/>
    <cellStyle name="Calculation 2 4 2 5 5 3" xfId="14244"/>
    <cellStyle name="Calculation 2 4 2 5 5 4" xfId="17128"/>
    <cellStyle name="Calculation 2 4 2 5 5 5" xfId="17129"/>
    <cellStyle name="Calculation 2 4 2 5 5 6" xfId="17130"/>
    <cellStyle name="Calculation 2 4 2 5 5 7" xfId="17131"/>
    <cellStyle name="Calculation 2 4 2 5 6" xfId="14245"/>
    <cellStyle name="Calculation 2 4 2 5 7" xfId="14246"/>
    <cellStyle name="Calculation 2 4 2 5 8" xfId="17132"/>
    <cellStyle name="Calculation 2 4 2 5 9" xfId="17133"/>
    <cellStyle name="Calculation 2 4 2 6" xfId="12979"/>
    <cellStyle name="Calculation 2 4 2 6 2" xfId="12980"/>
    <cellStyle name="Calculation 2 4 2 6 2 2" xfId="14247"/>
    <cellStyle name="Calculation 2 4 2 6 2 3" xfId="14248"/>
    <cellStyle name="Calculation 2 4 2 6 2 4" xfId="17134"/>
    <cellStyle name="Calculation 2 4 2 6 2 5" xfId="17135"/>
    <cellStyle name="Calculation 2 4 2 6 2 6" xfId="17136"/>
    <cellStyle name="Calculation 2 4 2 6 2 7" xfId="17137"/>
    <cellStyle name="Calculation 2 4 2 6 3" xfId="14249"/>
    <cellStyle name="Calculation 2 4 2 6 4" xfId="14250"/>
    <cellStyle name="Calculation 2 4 2 6 5" xfId="17138"/>
    <cellStyle name="Calculation 2 4 2 6 6" xfId="17139"/>
    <cellStyle name="Calculation 2 4 2 6 7" xfId="17140"/>
    <cellStyle name="Calculation 2 4 2 6 8" xfId="17141"/>
    <cellStyle name="Calculation 2 4 2 7" xfId="12981"/>
    <cellStyle name="Calculation 2 4 2 7 2" xfId="12982"/>
    <cellStyle name="Calculation 2 4 2 7 2 2" xfId="14251"/>
    <cellStyle name="Calculation 2 4 2 7 2 3" xfId="14252"/>
    <cellStyle name="Calculation 2 4 2 7 2 4" xfId="17142"/>
    <cellStyle name="Calculation 2 4 2 7 2 5" xfId="17143"/>
    <cellStyle name="Calculation 2 4 2 7 2 6" xfId="17144"/>
    <cellStyle name="Calculation 2 4 2 7 2 7" xfId="17145"/>
    <cellStyle name="Calculation 2 4 2 7 3" xfId="14253"/>
    <cellStyle name="Calculation 2 4 2 7 4" xfId="14254"/>
    <cellStyle name="Calculation 2 4 2 7 5" xfId="17146"/>
    <cellStyle name="Calculation 2 4 2 7 6" xfId="17147"/>
    <cellStyle name="Calculation 2 4 2 7 7" xfId="17148"/>
    <cellStyle name="Calculation 2 4 2 7 8" xfId="17149"/>
    <cellStyle name="Calculation 2 4 2 8" xfId="12983"/>
    <cellStyle name="Calculation 2 4 2 8 2" xfId="12984"/>
    <cellStyle name="Calculation 2 4 2 8 2 2" xfId="14255"/>
    <cellStyle name="Calculation 2 4 2 8 2 3" xfId="14256"/>
    <cellStyle name="Calculation 2 4 2 8 2 4" xfId="17150"/>
    <cellStyle name="Calculation 2 4 2 8 2 5" xfId="17151"/>
    <cellStyle name="Calculation 2 4 2 8 2 6" xfId="17152"/>
    <cellStyle name="Calculation 2 4 2 8 2 7" xfId="17153"/>
    <cellStyle name="Calculation 2 4 2 8 3" xfId="14257"/>
    <cellStyle name="Calculation 2 4 2 8 4" xfId="14258"/>
    <cellStyle name="Calculation 2 4 2 8 5" xfId="17154"/>
    <cellStyle name="Calculation 2 4 2 8 6" xfId="17155"/>
    <cellStyle name="Calculation 2 4 2 8 7" xfId="17156"/>
    <cellStyle name="Calculation 2 4 2 8 8" xfId="17157"/>
    <cellStyle name="Calculation 2 4 2 9" xfId="12985"/>
    <cellStyle name="Calculation 2 4 2 9 2" xfId="14259"/>
    <cellStyle name="Calculation 2 4 2 9 3" xfId="14260"/>
    <cellStyle name="Calculation 2 4 2 9 4" xfId="17158"/>
    <cellStyle name="Calculation 2 4 2 9 5" xfId="17159"/>
    <cellStyle name="Calculation 2 4 2 9 6" xfId="17160"/>
    <cellStyle name="Calculation 2 4 2 9 7" xfId="17161"/>
    <cellStyle name="Calculation 2 4 3" xfId="1547"/>
    <cellStyle name="Calculation 2 4 3 10" xfId="17162"/>
    <cellStyle name="Calculation 2 4 3 11" xfId="17163"/>
    <cellStyle name="Calculation 2 4 3 2" xfId="12986"/>
    <cellStyle name="Calculation 2 4 3 2 2" xfId="12987"/>
    <cellStyle name="Calculation 2 4 3 2 2 2" xfId="14261"/>
    <cellStyle name="Calculation 2 4 3 2 2 3" xfId="14262"/>
    <cellStyle name="Calculation 2 4 3 2 2 4" xfId="17164"/>
    <cellStyle name="Calculation 2 4 3 2 2 5" xfId="17165"/>
    <cellStyle name="Calculation 2 4 3 2 2 6" xfId="17166"/>
    <cellStyle name="Calculation 2 4 3 2 2 7" xfId="17167"/>
    <cellStyle name="Calculation 2 4 3 2 3" xfId="14263"/>
    <cellStyle name="Calculation 2 4 3 2 4" xfId="14264"/>
    <cellStyle name="Calculation 2 4 3 2 5" xfId="17168"/>
    <cellStyle name="Calculation 2 4 3 2 6" xfId="17169"/>
    <cellStyle name="Calculation 2 4 3 2 7" xfId="17170"/>
    <cellStyle name="Calculation 2 4 3 2 8" xfId="17171"/>
    <cellStyle name="Calculation 2 4 3 3" xfId="12988"/>
    <cellStyle name="Calculation 2 4 3 3 2" xfId="12989"/>
    <cellStyle name="Calculation 2 4 3 3 2 2" xfId="14265"/>
    <cellStyle name="Calculation 2 4 3 3 2 3" xfId="14266"/>
    <cellStyle name="Calculation 2 4 3 3 2 4" xfId="17172"/>
    <cellStyle name="Calculation 2 4 3 3 2 5" xfId="17173"/>
    <cellStyle name="Calculation 2 4 3 3 2 6" xfId="17174"/>
    <cellStyle name="Calculation 2 4 3 3 2 7" xfId="17175"/>
    <cellStyle name="Calculation 2 4 3 3 3" xfId="14267"/>
    <cellStyle name="Calculation 2 4 3 3 4" xfId="14268"/>
    <cellStyle name="Calculation 2 4 3 3 5" xfId="17176"/>
    <cellStyle name="Calculation 2 4 3 3 6" xfId="17177"/>
    <cellStyle name="Calculation 2 4 3 3 7" xfId="17178"/>
    <cellStyle name="Calculation 2 4 3 3 8" xfId="17179"/>
    <cellStyle name="Calculation 2 4 3 4" xfId="12990"/>
    <cellStyle name="Calculation 2 4 3 4 2" xfId="12991"/>
    <cellStyle name="Calculation 2 4 3 4 2 2" xfId="14269"/>
    <cellStyle name="Calculation 2 4 3 4 2 3" xfId="14270"/>
    <cellStyle name="Calculation 2 4 3 4 2 4" xfId="17180"/>
    <cellStyle name="Calculation 2 4 3 4 2 5" xfId="17181"/>
    <cellStyle name="Calculation 2 4 3 4 2 6" xfId="17182"/>
    <cellStyle name="Calculation 2 4 3 4 2 7" xfId="17183"/>
    <cellStyle name="Calculation 2 4 3 4 3" xfId="14271"/>
    <cellStyle name="Calculation 2 4 3 4 4" xfId="14272"/>
    <cellStyle name="Calculation 2 4 3 4 5" xfId="17184"/>
    <cellStyle name="Calculation 2 4 3 4 6" xfId="17185"/>
    <cellStyle name="Calculation 2 4 3 4 7" xfId="17186"/>
    <cellStyle name="Calculation 2 4 3 4 8" xfId="17187"/>
    <cellStyle name="Calculation 2 4 3 5" xfId="12992"/>
    <cellStyle name="Calculation 2 4 3 5 2" xfId="14273"/>
    <cellStyle name="Calculation 2 4 3 5 3" xfId="14274"/>
    <cellStyle name="Calculation 2 4 3 5 4" xfId="17188"/>
    <cellStyle name="Calculation 2 4 3 5 5" xfId="17189"/>
    <cellStyle name="Calculation 2 4 3 5 6" xfId="17190"/>
    <cellStyle name="Calculation 2 4 3 5 7" xfId="17191"/>
    <cellStyle name="Calculation 2 4 3 6" xfId="3274"/>
    <cellStyle name="Calculation 2 4 3 7" xfId="14275"/>
    <cellStyle name="Calculation 2 4 3 8" xfId="17192"/>
    <cellStyle name="Calculation 2 4 3 9" xfId="17193"/>
    <cellStyle name="Calculation 2 4 4" xfId="12993"/>
    <cellStyle name="Calculation 2 4 4 2" xfId="12994"/>
    <cellStyle name="Calculation 2 4 4 2 2" xfId="14276"/>
    <cellStyle name="Calculation 2 4 4 2 3" xfId="14277"/>
    <cellStyle name="Calculation 2 4 4 2 4" xfId="17194"/>
    <cellStyle name="Calculation 2 4 4 2 5" xfId="17195"/>
    <cellStyle name="Calculation 2 4 4 2 6" xfId="17196"/>
    <cellStyle name="Calculation 2 4 4 2 7" xfId="17197"/>
    <cellStyle name="Calculation 2 4 4 3" xfId="14278"/>
    <cellStyle name="Calculation 2 4 4 4" xfId="14279"/>
    <cellStyle name="Calculation 2 4 4 5" xfId="17198"/>
    <cellStyle name="Calculation 2 4 4 6" xfId="17199"/>
    <cellStyle name="Calculation 2 4 4 7" xfId="17200"/>
    <cellStyle name="Calculation 2 4 4 8" xfId="17201"/>
    <cellStyle name="Calculation 2 4 5" xfId="12995"/>
    <cellStyle name="Calculation 2 4 5 2" xfId="12996"/>
    <cellStyle name="Calculation 2 4 5 2 2" xfId="14280"/>
    <cellStyle name="Calculation 2 4 5 2 3" xfId="14281"/>
    <cellStyle name="Calculation 2 4 5 2 4" xfId="17202"/>
    <cellStyle name="Calculation 2 4 5 2 5" xfId="17203"/>
    <cellStyle name="Calculation 2 4 5 2 6" xfId="17204"/>
    <cellStyle name="Calculation 2 4 5 2 7" xfId="17205"/>
    <cellStyle name="Calculation 2 4 5 3" xfId="14282"/>
    <cellStyle name="Calculation 2 4 5 4" xfId="14283"/>
    <cellStyle name="Calculation 2 4 5 5" xfId="17206"/>
    <cellStyle name="Calculation 2 4 5 6" xfId="17207"/>
    <cellStyle name="Calculation 2 4 5 7" xfId="17208"/>
    <cellStyle name="Calculation 2 4 5 8" xfId="17209"/>
    <cellStyle name="Calculation 2 4 6" xfId="12997"/>
    <cellStyle name="Calculation 2 4 6 2" xfId="12998"/>
    <cellStyle name="Calculation 2 4 6 2 2" xfId="14284"/>
    <cellStyle name="Calculation 2 4 6 2 3" xfId="14285"/>
    <cellStyle name="Calculation 2 4 6 2 4" xfId="17210"/>
    <cellStyle name="Calculation 2 4 6 2 5" xfId="17211"/>
    <cellStyle name="Calculation 2 4 6 2 6" xfId="17212"/>
    <cellStyle name="Calculation 2 4 6 2 7" xfId="17213"/>
    <cellStyle name="Calculation 2 4 6 3" xfId="14286"/>
    <cellStyle name="Calculation 2 4 6 4" xfId="14287"/>
    <cellStyle name="Calculation 2 4 6 5" xfId="17214"/>
    <cellStyle name="Calculation 2 4 6 6" xfId="17215"/>
    <cellStyle name="Calculation 2 4 6 7" xfId="17216"/>
    <cellStyle name="Calculation 2 4 6 8" xfId="17217"/>
    <cellStyle name="Calculation 2 4 7" xfId="12999"/>
    <cellStyle name="Calculation 2 4 7 2" xfId="14288"/>
    <cellStyle name="Calculation 2 4 7 3" xfId="14289"/>
    <cellStyle name="Calculation 2 4 7 4" xfId="17218"/>
    <cellStyle name="Calculation 2 4 7 5" xfId="17219"/>
    <cellStyle name="Calculation 2 4 7 6" xfId="17220"/>
    <cellStyle name="Calculation 2 4 7 7" xfId="17221"/>
    <cellStyle name="Calculation 2 4 8" xfId="14290"/>
    <cellStyle name="Calculation 2 4 9" xfId="14291"/>
    <cellStyle name="Calculation 2 5" xfId="1549"/>
    <cellStyle name="Calculation 2 5 10" xfId="2942"/>
    <cellStyle name="Calculation 2 5 11" xfId="14292"/>
    <cellStyle name="Calculation 2 5 12" xfId="17222"/>
    <cellStyle name="Calculation 2 5 13" xfId="17223"/>
    <cellStyle name="Calculation 2 5 2" xfId="3033"/>
    <cellStyle name="Calculation 2 5 2 2" xfId="13000"/>
    <cellStyle name="Calculation 2 5 2 2 2" xfId="13001"/>
    <cellStyle name="Calculation 2 5 2 2 2 2" xfId="14293"/>
    <cellStyle name="Calculation 2 5 2 2 2 3" xfId="14294"/>
    <cellStyle name="Calculation 2 5 2 2 2 4" xfId="17224"/>
    <cellStyle name="Calculation 2 5 2 2 2 5" xfId="17225"/>
    <cellStyle name="Calculation 2 5 2 2 2 6" xfId="17226"/>
    <cellStyle name="Calculation 2 5 2 2 2 7" xfId="17227"/>
    <cellStyle name="Calculation 2 5 2 2 3" xfId="14295"/>
    <cellStyle name="Calculation 2 5 2 2 4" xfId="14296"/>
    <cellStyle name="Calculation 2 5 2 2 5" xfId="17228"/>
    <cellStyle name="Calculation 2 5 2 2 6" xfId="17229"/>
    <cellStyle name="Calculation 2 5 2 2 7" xfId="17230"/>
    <cellStyle name="Calculation 2 5 2 2 8" xfId="17231"/>
    <cellStyle name="Calculation 2 5 2 3" xfId="13002"/>
    <cellStyle name="Calculation 2 5 2 3 2" xfId="13003"/>
    <cellStyle name="Calculation 2 5 2 3 2 2" xfId="14297"/>
    <cellStyle name="Calculation 2 5 2 3 2 3" xfId="14298"/>
    <cellStyle name="Calculation 2 5 2 3 2 4" xfId="17232"/>
    <cellStyle name="Calculation 2 5 2 3 2 5" xfId="17233"/>
    <cellStyle name="Calculation 2 5 2 3 2 6" xfId="17234"/>
    <cellStyle name="Calculation 2 5 2 3 2 7" xfId="17235"/>
    <cellStyle name="Calculation 2 5 2 3 3" xfId="14299"/>
    <cellStyle name="Calculation 2 5 2 3 4" xfId="14300"/>
    <cellStyle name="Calculation 2 5 2 3 5" xfId="17236"/>
    <cellStyle name="Calculation 2 5 2 3 6" xfId="17237"/>
    <cellStyle name="Calculation 2 5 2 3 7" xfId="17238"/>
    <cellStyle name="Calculation 2 5 2 3 8" xfId="17239"/>
    <cellStyle name="Calculation 2 5 2 4" xfId="13004"/>
    <cellStyle name="Calculation 2 5 2 4 2" xfId="13005"/>
    <cellStyle name="Calculation 2 5 2 4 2 2" xfId="14301"/>
    <cellStyle name="Calculation 2 5 2 4 2 3" xfId="14302"/>
    <cellStyle name="Calculation 2 5 2 4 2 4" xfId="17240"/>
    <cellStyle name="Calculation 2 5 2 4 2 5" xfId="17241"/>
    <cellStyle name="Calculation 2 5 2 4 2 6" xfId="17242"/>
    <cellStyle name="Calculation 2 5 2 4 2 7" xfId="17243"/>
    <cellStyle name="Calculation 2 5 2 4 3" xfId="14303"/>
    <cellStyle name="Calculation 2 5 2 4 4" xfId="14304"/>
    <cellStyle name="Calculation 2 5 2 4 5" xfId="17244"/>
    <cellStyle name="Calculation 2 5 2 4 6" xfId="17245"/>
    <cellStyle name="Calculation 2 5 2 4 7" xfId="17246"/>
    <cellStyle name="Calculation 2 5 2 4 8" xfId="17247"/>
    <cellStyle name="Calculation 2 5 2 5" xfId="13006"/>
    <cellStyle name="Calculation 2 5 2 5 2" xfId="14305"/>
    <cellStyle name="Calculation 2 5 2 5 3" xfId="14306"/>
    <cellStyle name="Calculation 2 5 2 5 4" xfId="17248"/>
    <cellStyle name="Calculation 2 5 2 5 5" xfId="17249"/>
    <cellStyle name="Calculation 2 5 2 5 6" xfId="17250"/>
    <cellStyle name="Calculation 2 5 2 5 7" xfId="17251"/>
    <cellStyle name="Calculation 2 5 2 6" xfId="14307"/>
    <cellStyle name="Calculation 2 5 2 7" xfId="14308"/>
    <cellStyle name="Calculation 2 5 2 8" xfId="17252"/>
    <cellStyle name="Calculation 2 5 2 9" xfId="17253"/>
    <cellStyle name="Calculation 2 5 3" xfId="3136"/>
    <cellStyle name="Calculation 2 5 3 2" xfId="13007"/>
    <cellStyle name="Calculation 2 5 3 2 2" xfId="13008"/>
    <cellStyle name="Calculation 2 5 3 2 2 2" xfId="14309"/>
    <cellStyle name="Calculation 2 5 3 2 2 3" xfId="14310"/>
    <cellStyle name="Calculation 2 5 3 2 2 4" xfId="17254"/>
    <cellStyle name="Calculation 2 5 3 2 2 5" xfId="17255"/>
    <cellStyle name="Calculation 2 5 3 2 2 6" xfId="17256"/>
    <cellStyle name="Calculation 2 5 3 2 2 7" xfId="17257"/>
    <cellStyle name="Calculation 2 5 3 2 3" xfId="14311"/>
    <cellStyle name="Calculation 2 5 3 2 4" xfId="14312"/>
    <cellStyle name="Calculation 2 5 3 2 5" xfId="17258"/>
    <cellStyle name="Calculation 2 5 3 2 6" xfId="17259"/>
    <cellStyle name="Calculation 2 5 3 2 7" xfId="17260"/>
    <cellStyle name="Calculation 2 5 3 2 8" xfId="17261"/>
    <cellStyle name="Calculation 2 5 3 3" xfId="13009"/>
    <cellStyle name="Calculation 2 5 3 3 2" xfId="13010"/>
    <cellStyle name="Calculation 2 5 3 3 2 2" xfId="14313"/>
    <cellStyle name="Calculation 2 5 3 3 2 3" xfId="14314"/>
    <cellStyle name="Calculation 2 5 3 3 2 4" xfId="17262"/>
    <cellStyle name="Calculation 2 5 3 3 2 5" xfId="17263"/>
    <cellStyle name="Calculation 2 5 3 3 2 6" xfId="17264"/>
    <cellStyle name="Calculation 2 5 3 3 2 7" xfId="17265"/>
    <cellStyle name="Calculation 2 5 3 3 3" xfId="14315"/>
    <cellStyle name="Calculation 2 5 3 3 4" xfId="14316"/>
    <cellStyle name="Calculation 2 5 3 3 5" xfId="17266"/>
    <cellStyle name="Calculation 2 5 3 3 6" xfId="17267"/>
    <cellStyle name="Calculation 2 5 3 3 7" xfId="17268"/>
    <cellStyle name="Calculation 2 5 3 3 8" xfId="17269"/>
    <cellStyle name="Calculation 2 5 3 4" xfId="13011"/>
    <cellStyle name="Calculation 2 5 3 4 2" xfId="13012"/>
    <cellStyle name="Calculation 2 5 3 4 2 2" xfId="14317"/>
    <cellStyle name="Calculation 2 5 3 4 2 3" xfId="14318"/>
    <cellStyle name="Calculation 2 5 3 4 2 4" xfId="17270"/>
    <cellStyle name="Calculation 2 5 3 4 2 5" xfId="17271"/>
    <cellStyle name="Calculation 2 5 3 4 2 6" xfId="17272"/>
    <cellStyle name="Calculation 2 5 3 4 2 7" xfId="17273"/>
    <cellStyle name="Calculation 2 5 3 4 3" xfId="14319"/>
    <cellStyle name="Calculation 2 5 3 4 4" xfId="14320"/>
    <cellStyle name="Calculation 2 5 3 4 5" xfId="17274"/>
    <cellStyle name="Calculation 2 5 3 4 6" xfId="17275"/>
    <cellStyle name="Calculation 2 5 3 4 7" xfId="17276"/>
    <cellStyle name="Calculation 2 5 3 4 8" xfId="17277"/>
    <cellStyle name="Calculation 2 5 3 5" xfId="13013"/>
    <cellStyle name="Calculation 2 5 3 5 2" xfId="14321"/>
    <cellStyle name="Calculation 2 5 3 5 3" xfId="14322"/>
    <cellStyle name="Calculation 2 5 3 5 4" xfId="17278"/>
    <cellStyle name="Calculation 2 5 3 5 5" xfId="17279"/>
    <cellStyle name="Calculation 2 5 3 5 6" xfId="17280"/>
    <cellStyle name="Calculation 2 5 3 5 7" xfId="17281"/>
    <cellStyle name="Calculation 2 5 3 6" xfId="14323"/>
    <cellStyle name="Calculation 2 5 3 7" xfId="14324"/>
    <cellStyle name="Calculation 2 5 3 8" xfId="17282"/>
    <cellStyle name="Calculation 2 5 3 9" xfId="17283"/>
    <cellStyle name="Calculation 2 5 4" xfId="3112"/>
    <cellStyle name="Calculation 2 5 4 2" xfId="13014"/>
    <cellStyle name="Calculation 2 5 4 2 2" xfId="13015"/>
    <cellStyle name="Calculation 2 5 4 2 2 2" xfId="14325"/>
    <cellStyle name="Calculation 2 5 4 2 2 3" xfId="14326"/>
    <cellStyle name="Calculation 2 5 4 2 2 4" xfId="17284"/>
    <cellStyle name="Calculation 2 5 4 2 2 5" xfId="17285"/>
    <cellStyle name="Calculation 2 5 4 2 2 6" xfId="17286"/>
    <cellStyle name="Calculation 2 5 4 2 2 7" xfId="17287"/>
    <cellStyle name="Calculation 2 5 4 2 3" xfId="14327"/>
    <cellStyle name="Calculation 2 5 4 2 4" xfId="14328"/>
    <cellStyle name="Calculation 2 5 4 2 5" xfId="17288"/>
    <cellStyle name="Calculation 2 5 4 2 6" xfId="17289"/>
    <cellStyle name="Calculation 2 5 4 2 7" xfId="17290"/>
    <cellStyle name="Calculation 2 5 4 2 8" xfId="17291"/>
    <cellStyle name="Calculation 2 5 4 3" xfId="13016"/>
    <cellStyle name="Calculation 2 5 4 3 2" xfId="13017"/>
    <cellStyle name="Calculation 2 5 4 3 2 2" xfId="14329"/>
    <cellStyle name="Calculation 2 5 4 3 2 3" xfId="14330"/>
    <cellStyle name="Calculation 2 5 4 3 2 4" xfId="17292"/>
    <cellStyle name="Calculation 2 5 4 3 2 5" xfId="17293"/>
    <cellStyle name="Calculation 2 5 4 3 2 6" xfId="17294"/>
    <cellStyle name="Calculation 2 5 4 3 2 7" xfId="17295"/>
    <cellStyle name="Calculation 2 5 4 3 3" xfId="14331"/>
    <cellStyle name="Calculation 2 5 4 3 4" xfId="14332"/>
    <cellStyle name="Calculation 2 5 4 3 5" xfId="17296"/>
    <cellStyle name="Calculation 2 5 4 3 6" xfId="17297"/>
    <cellStyle name="Calculation 2 5 4 3 7" xfId="17298"/>
    <cellStyle name="Calculation 2 5 4 3 8" xfId="17299"/>
    <cellStyle name="Calculation 2 5 4 4" xfId="13018"/>
    <cellStyle name="Calculation 2 5 4 4 2" xfId="13019"/>
    <cellStyle name="Calculation 2 5 4 4 2 2" xfId="14333"/>
    <cellStyle name="Calculation 2 5 4 4 2 3" xfId="14334"/>
    <cellStyle name="Calculation 2 5 4 4 2 4" xfId="17300"/>
    <cellStyle name="Calculation 2 5 4 4 2 5" xfId="17301"/>
    <cellStyle name="Calculation 2 5 4 4 2 6" xfId="17302"/>
    <cellStyle name="Calculation 2 5 4 4 2 7" xfId="17303"/>
    <cellStyle name="Calculation 2 5 4 4 3" xfId="14335"/>
    <cellStyle name="Calculation 2 5 4 4 4" xfId="14336"/>
    <cellStyle name="Calculation 2 5 4 4 5" xfId="17304"/>
    <cellStyle name="Calculation 2 5 4 4 6" xfId="17305"/>
    <cellStyle name="Calculation 2 5 4 4 7" xfId="17306"/>
    <cellStyle name="Calculation 2 5 4 4 8" xfId="17307"/>
    <cellStyle name="Calculation 2 5 4 5" xfId="13020"/>
    <cellStyle name="Calculation 2 5 4 5 2" xfId="14337"/>
    <cellStyle name="Calculation 2 5 4 5 3" xfId="14338"/>
    <cellStyle name="Calculation 2 5 4 5 4" xfId="17308"/>
    <cellStyle name="Calculation 2 5 4 5 5" xfId="17309"/>
    <cellStyle name="Calculation 2 5 4 5 6" xfId="17310"/>
    <cellStyle name="Calculation 2 5 4 5 7" xfId="17311"/>
    <cellStyle name="Calculation 2 5 4 6" xfId="14339"/>
    <cellStyle name="Calculation 2 5 4 7" xfId="14340"/>
    <cellStyle name="Calculation 2 5 4 8" xfId="17312"/>
    <cellStyle name="Calculation 2 5 4 9" xfId="17313"/>
    <cellStyle name="Calculation 2 5 5" xfId="3221"/>
    <cellStyle name="Calculation 2 5 5 2" xfId="13021"/>
    <cellStyle name="Calculation 2 5 5 2 2" xfId="13022"/>
    <cellStyle name="Calculation 2 5 5 2 2 2" xfId="14341"/>
    <cellStyle name="Calculation 2 5 5 2 2 3" xfId="14342"/>
    <cellStyle name="Calculation 2 5 5 2 2 4" xfId="17314"/>
    <cellStyle name="Calculation 2 5 5 2 2 5" xfId="17315"/>
    <cellStyle name="Calculation 2 5 5 2 2 6" xfId="17316"/>
    <cellStyle name="Calculation 2 5 5 2 2 7" xfId="17317"/>
    <cellStyle name="Calculation 2 5 5 2 3" xfId="14343"/>
    <cellStyle name="Calculation 2 5 5 2 4" xfId="14344"/>
    <cellStyle name="Calculation 2 5 5 2 5" xfId="17318"/>
    <cellStyle name="Calculation 2 5 5 2 6" xfId="17319"/>
    <cellStyle name="Calculation 2 5 5 2 7" xfId="17320"/>
    <cellStyle name="Calculation 2 5 5 2 8" xfId="17321"/>
    <cellStyle name="Calculation 2 5 5 3" xfId="13023"/>
    <cellStyle name="Calculation 2 5 5 3 2" xfId="13024"/>
    <cellStyle name="Calculation 2 5 5 3 2 2" xfId="14345"/>
    <cellStyle name="Calculation 2 5 5 3 2 3" xfId="14346"/>
    <cellStyle name="Calculation 2 5 5 3 2 4" xfId="17322"/>
    <cellStyle name="Calculation 2 5 5 3 2 5" xfId="17323"/>
    <cellStyle name="Calculation 2 5 5 3 2 6" xfId="17324"/>
    <cellStyle name="Calculation 2 5 5 3 2 7" xfId="17325"/>
    <cellStyle name="Calculation 2 5 5 3 3" xfId="14347"/>
    <cellStyle name="Calculation 2 5 5 3 4" xfId="14348"/>
    <cellStyle name="Calculation 2 5 5 3 5" xfId="17326"/>
    <cellStyle name="Calculation 2 5 5 3 6" xfId="17327"/>
    <cellStyle name="Calculation 2 5 5 3 7" xfId="17328"/>
    <cellStyle name="Calculation 2 5 5 3 8" xfId="17329"/>
    <cellStyle name="Calculation 2 5 5 4" xfId="13025"/>
    <cellStyle name="Calculation 2 5 5 4 2" xfId="13026"/>
    <cellStyle name="Calculation 2 5 5 4 2 2" xfId="14349"/>
    <cellStyle name="Calculation 2 5 5 4 2 3" xfId="14350"/>
    <cellStyle name="Calculation 2 5 5 4 2 4" xfId="17330"/>
    <cellStyle name="Calculation 2 5 5 4 2 5" xfId="17331"/>
    <cellStyle name="Calculation 2 5 5 4 2 6" xfId="17332"/>
    <cellStyle name="Calculation 2 5 5 4 2 7" xfId="17333"/>
    <cellStyle name="Calculation 2 5 5 4 3" xfId="14351"/>
    <cellStyle name="Calculation 2 5 5 4 4" xfId="14352"/>
    <cellStyle name="Calculation 2 5 5 4 5" xfId="17334"/>
    <cellStyle name="Calculation 2 5 5 4 6" xfId="17335"/>
    <cellStyle name="Calculation 2 5 5 4 7" xfId="17336"/>
    <cellStyle name="Calculation 2 5 5 4 8" xfId="17337"/>
    <cellStyle name="Calculation 2 5 5 5" xfId="13027"/>
    <cellStyle name="Calculation 2 5 5 5 2" xfId="14353"/>
    <cellStyle name="Calculation 2 5 5 5 3" xfId="14354"/>
    <cellStyle name="Calculation 2 5 5 5 4" xfId="17338"/>
    <cellStyle name="Calculation 2 5 5 5 5" xfId="17339"/>
    <cellStyle name="Calculation 2 5 5 5 6" xfId="17340"/>
    <cellStyle name="Calculation 2 5 5 5 7" xfId="17341"/>
    <cellStyle name="Calculation 2 5 5 6" xfId="14355"/>
    <cellStyle name="Calculation 2 5 5 7" xfId="14356"/>
    <cellStyle name="Calculation 2 5 5 8" xfId="17342"/>
    <cellStyle name="Calculation 2 5 5 9" xfId="17343"/>
    <cellStyle name="Calculation 2 5 6" xfId="13028"/>
    <cellStyle name="Calculation 2 5 6 2" xfId="13029"/>
    <cellStyle name="Calculation 2 5 6 2 2" xfId="14357"/>
    <cellStyle name="Calculation 2 5 6 2 3" xfId="14358"/>
    <cellStyle name="Calculation 2 5 6 2 4" xfId="17344"/>
    <cellStyle name="Calculation 2 5 6 2 5" xfId="17345"/>
    <cellStyle name="Calculation 2 5 6 2 6" xfId="17346"/>
    <cellStyle name="Calculation 2 5 6 2 7" xfId="17347"/>
    <cellStyle name="Calculation 2 5 6 3" xfId="14359"/>
    <cellStyle name="Calculation 2 5 6 4" xfId="14360"/>
    <cellStyle name="Calculation 2 5 6 5" xfId="17348"/>
    <cellStyle name="Calculation 2 5 6 6" xfId="17349"/>
    <cellStyle name="Calculation 2 5 6 7" xfId="17350"/>
    <cellStyle name="Calculation 2 5 6 8" xfId="17351"/>
    <cellStyle name="Calculation 2 5 7" xfId="13030"/>
    <cellStyle name="Calculation 2 5 7 2" xfId="13031"/>
    <cellStyle name="Calculation 2 5 7 2 2" xfId="14361"/>
    <cellStyle name="Calculation 2 5 7 2 3" xfId="14362"/>
    <cellStyle name="Calculation 2 5 7 2 4" xfId="17352"/>
    <cellStyle name="Calculation 2 5 7 2 5" xfId="17353"/>
    <cellStyle name="Calculation 2 5 7 2 6" xfId="17354"/>
    <cellStyle name="Calculation 2 5 7 2 7" xfId="17355"/>
    <cellStyle name="Calculation 2 5 7 3" xfId="14363"/>
    <cellStyle name="Calculation 2 5 7 4" xfId="14364"/>
    <cellStyle name="Calculation 2 5 7 5" xfId="17356"/>
    <cellStyle name="Calculation 2 5 7 6" xfId="17357"/>
    <cellStyle name="Calculation 2 5 7 7" xfId="17358"/>
    <cellStyle name="Calculation 2 5 7 8" xfId="17359"/>
    <cellStyle name="Calculation 2 5 8" xfId="13032"/>
    <cellStyle name="Calculation 2 5 8 2" xfId="13033"/>
    <cellStyle name="Calculation 2 5 8 2 2" xfId="14365"/>
    <cellStyle name="Calculation 2 5 8 2 3" xfId="14366"/>
    <cellStyle name="Calculation 2 5 8 2 4" xfId="17360"/>
    <cellStyle name="Calculation 2 5 8 2 5" xfId="17361"/>
    <cellStyle name="Calculation 2 5 8 2 6" xfId="17362"/>
    <cellStyle name="Calculation 2 5 8 2 7" xfId="17363"/>
    <cellStyle name="Calculation 2 5 8 3" xfId="14367"/>
    <cellStyle name="Calculation 2 5 8 4" xfId="14368"/>
    <cellStyle name="Calculation 2 5 8 5" xfId="17364"/>
    <cellStyle name="Calculation 2 5 8 6" xfId="17365"/>
    <cellStyle name="Calculation 2 5 8 7" xfId="17366"/>
    <cellStyle name="Calculation 2 5 8 8" xfId="17367"/>
    <cellStyle name="Calculation 2 5 9" xfId="13034"/>
    <cellStyle name="Calculation 2 5 9 2" xfId="14369"/>
    <cellStyle name="Calculation 2 5 9 3" xfId="14370"/>
    <cellStyle name="Calculation 2 5 9 4" xfId="17368"/>
    <cellStyle name="Calculation 2 5 9 5" xfId="17369"/>
    <cellStyle name="Calculation 2 5 9 6" xfId="17370"/>
    <cellStyle name="Calculation 2 5 9 7" xfId="17371"/>
    <cellStyle name="Calculation 2 6" xfId="1365"/>
    <cellStyle name="Calculation 2 6 10" xfId="17372"/>
    <cellStyle name="Calculation 2 6 11" xfId="17373"/>
    <cellStyle name="Calculation 2 6 2" xfId="13035"/>
    <cellStyle name="Calculation 2 6 2 2" xfId="13036"/>
    <cellStyle name="Calculation 2 6 2 2 2" xfId="14371"/>
    <cellStyle name="Calculation 2 6 2 2 3" xfId="14372"/>
    <cellStyle name="Calculation 2 6 2 2 4" xfId="17374"/>
    <cellStyle name="Calculation 2 6 2 2 5" xfId="17375"/>
    <cellStyle name="Calculation 2 6 2 2 6" xfId="17376"/>
    <cellStyle name="Calculation 2 6 2 2 7" xfId="17377"/>
    <cellStyle name="Calculation 2 6 2 3" xfId="14373"/>
    <cellStyle name="Calculation 2 6 2 4" xfId="14374"/>
    <cellStyle name="Calculation 2 6 2 5" xfId="17378"/>
    <cellStyle name="Calculation 2 6 2 6" xfId="17379"/>
    <cellStyle name="Calculation 2 6 2 7" xfId="17380"/>
    <cellStyle name="Calculation 2 6 2 8" xfId="17381"/>
    <cellStyle name="Calculation 2 6 3" xfId="13037"/>
    <cellStyle name="Calculation 2 6 3 2" xfId="13038"/>
    <cellStyle name="Calculation 2 6 3 2 2" xfId="14375"/>
    <cellStyle name="Calculation 2 6 3 2 3" xfId="14376"/>
    <cellStyle name="Calculation 2 6 3 2 4" xfId="17382"/>
    <cellStyle name="Calculation 2 6 3 2 5" xfId="17383"/>
    <cellStyle name="Calculation 2 6 3 2 6" xfId="17384"/>
    <cellStyle name="Calculation 2 6 3 2 7" xfId="17385"/>
    <cellStyle name="Calculation 2 6 3 3" xfId="14377"/>
    <cellStyle name="Calculation 2 6 3 4" xfId="14378"/>
    <cellStyle name="Calculation 2 6 3 5" xfId="17386"/>
    <cellStyle name="Calculation 2 6 3 6" xfId="17387"/>
    <cellStyle name="Calculation 2 6 3 7" xfId="17388"/>
    <cellStyle name="Calculation 2 6 3 8" xfId="17389"/>
    <cellStyle name="Calculation 2 6 4" xfId="13039"/>
    <cellStyle name="Calculation 2 6 4 2" xfId="13040"/>
    <cellStyle name="Calculation 2 6 4 2 2" xfId="14379"/>
    <cellStyle name="Calculation 2 6 4 2 3" xfId="14380"/>
    <cellStyle name="Calculation 2 6 4 2 4" xfId="17390"/>
    <cellStyle name="Calculation 2 6 4 2 5" xfId="17391"/>
    <cellStyle name="Calculation 2 6 4 2 6" xfId="17392"/>
    <cellStyle name="Calculation 2 6 4 2 7" xfId="17393"/>
    <cellStyle name="Calculation 2 6 4 3" xfId="14381"/>
    <cellStyle name="Calculation 2 6 4 4" xfId="14382"/>
    <cellStyle name="Calculation 2 6 4 5" xfId="17394"/>
    <cellStyle name="Calculation 2 6 4 6" xfId="17395"/>
    <cellStyle name="Calculation 2 6 4 7" xfId="17396"/>
    <cellStyle name="Calculation 2 6 4 8" xfId="17397"/>
    <cellStyle name="Calculation 2 6 5" xfId="13041"/>
    <cellStyle name="Calculation 2 6 5 2" xfId="14383"/>
    <cellStyle name="Calculation 2 6 5 3" xfId="14384"/>
    <cellStyle name="Calculation 2 6 5 4" xfId="17398"/>
    <cellStyle name="Calculation 2 6 5 5" xfId="17399"/>
    <cellStyle name="Calculation 2 6 5 6" xfId="17400"/>
    <cellStyle name="Calculation 2 6 5 7" xfId="17401"/>
    <cellStyle name="Calculation 2 6 6" xfId="3275"/>
    <cellStyle name="Calculation 2 6 7" xfId="14385"/>
    <cellStyle name="Calculation 2 6 8" xfId="17402"/>
    <cellStyle name="Calculation 2 6 9" xfId="17403"/>
    <cellStyle name="Calculation 2 7" xfId="13042"/>
    <cellStyle name="Calculation 2 7 2" xfId="13043"/>
    <cellStyle name="Calculation 2 7 2 2" xfId="14386"/>
    <cellStyle name="Calculation 2 7 2 3" xfId="14387"/>
    <cellStyle name="Calculation 2 7 2 4" xfId="17404"/>
    <cellStyle name="Calculation 2 7 2 5" xfId="17405"/>
    <cellStyle name="Calculation 2 7 2 6" xfId="17406"/>
    <cellStyle name="Calculation 2 7 2 7" xfId="17407"/>
    <cellStyle name="Calculation 2 7 3" xfId="14388"/>
    <cellStyle name="Calculation 2 7 4" xfId="14389"/>
    <cellStyle name="Calculation 2 7 5" xfId="17408"/>
    <cellStyle name="Calculation 2 7 6" xfId="17409"/>
    <cellStyle name="Calculation 2 7 7" xfId="17410"/>
    <cellStyle name="Calculation 2 7 8" xfId="17411"/>
    <cellStyle name="Calculation 2 8" xfId="13044"/>
    <cellStyle name="Calculation 2 8 2" xfId="13045"/>
    <cellStyle name="Calculation 2 8 2 2" xfId="14390"/>
    <cellStyle name="Calculation 2 8 2 3" xfId="14391"/>
    <cellStyle name="Calculation 2 8 2 4" xfId="17412"/>
    <cellStyle name="Calculation 2 8 2 5" xfId="17413"/>
    <cellStyle name="Calculation 2 8 2 6" xfId="17414"/>
    <cellStyle name="Calculation 2 8 2 7" xfId="17415"/>
    <cellStyle name="Calculation 2 8 3" xfId="14392"/>
    <cellStyle name="Calculation 2 8 4" xfId="14393"/>
    <cellStyle name="Calculation 2 8 5" xfId="17416"/>
    <cellStyle name="Calculation 2 8 6" xfId="17417"/>
    <cellStyle name="Calculation 2 8 7" xfId="17418"/>
    <cellStyle name="Calculation 2 8 8" xfId="17419"/>
    <cellStyle name="Calculation 2 9" xfId="13046"/>
    <cellStyle name="Calculation 2 9 2" xfId="13047"/>
    <cellStyle name="Calculation 2 9 2 2" xfId="14394"/>
    <cellStyle name="Calculation 2 9 2 3" xfId="14395"/>
    <cellStyle name="Calculation 2 9 2 4" xfId="17420"/>
    <cellStyle name="Calculation 2 9 2 5" xfId="17421"/>
    <cellStyle name="Calculation 2 9 2 6" xfId="17422"/>
    <cellStyle name="Calculation 2 9 2 7" xfId="17423"/>
    <cellStyle name="Calculation 2 9 3" xfId="14396"/>
    <cellStyle name="Calculation 2 9 4" xfId="14397"/>
    <cellStyle name="Calculation 2 9 5" xfId="17424"/>
    <cellStyle name="Calculation 2 9 6" xfId="17425"/>
    <cellStyle name="Calculation 2 9 7" xfId="17426"/>
    <cellStyle name="Calculation 2 9 8" xfId="17427"/>
    <cellStyle name="Calculation 3" xfId="181"/>
    <cellStyle name="Calculation 3 10" xfId="13845"/>
    <cellStyle name="Calculation 3 10 2" xfId="14398"/>
    <cellStyle name="Calculation 3 10 3" xfId="14399"/>
    <cellStyle name="Calculation 3 10 4" xfId="17428"/>
    <cellStyle name="Calculation 3 10 5" xfId="17429"/>
    <cellStyle name="Calculation 3 10 6" xfId="17430"/>
    <cellStyle name="Calculation 3 10 7" xfId="17431"/>
    <cellStyle name="Calculation 3 2" xfId="320"/>
    <cellStyle name="Calculation 3 2 2" xfId="1550"/>
    <cellStyle name="Calculation 3 2 2 10" xfId="3019"/>
    <cellStyle name="Calculation 3 2 2 11" xfId="14400"/>
    <cellStyle name="Calculation 3 2 2 12" xfId="17432"/>
    <cellStyle name="Calculation 3 2 2 13" xfId="17433"/>
    <cellStyle name="Calculation 3 2 2 2" xfId="3082"/>
    <cellStyle name="Calculation 3 2 2 2 2" xfId="13048"/>
    <cellStyle name="Calculation 3 2 2 2 2 2" xfId="13049"/>
    <cellStyle name="Calculation 3 2 2 2 2 2 2" xfId="14401"/>
    <cellStyle name="Calculation 3 2 2 2 2 2 3" xfId="14402"/>
    <cellStyle name="Calculation 3 2 2 2 2 2 4" xfId="17434"/>
    <cellStyle name="Calculation 3 2 2 2 2 2 5" xfId="17435"/>
    <cellStyle name="Calculation 3 2 2 2 2 2 6" xfId="17436"/>
    <cellStyle name="Calculation 3 2 2 2 2 2 7" xfId="17437"/>
    <cellStyle name="Calculation 3 2 2 2 2 3" xfId="14403"/>
    <cellStyle name="Calculation 3 2 2 2 2 4" xfId="14404"/>
    <cellStyle name="Calculation 3 2 2 2 2 5" xfId="17438"/>
    <cellStyle name="Calculation 3 2 2 2 2 6" xfId="17439"/>
    <cellStyle name="Calculation 3 2 2 2 2 7" xfId="17440"/>
    <cellStyle name="Calculation 3 2 2 2 2 8" xfId="17441"/>
    <cellStyle name="Calculation 3 2 2 2 3" xfId="13050"/>
    <cellStyle name="Calculation 3 2 2 2 3 2" xfId="13051"/>
    <cellStyle name="Calculation 3 2 2 2 3 2 2" xfId="14405"/>
    <cellStyle name="Calculation 3 2 2 2 3 2 3" xfId="14406"/>
    <cellStyle name="Calculation 3 2 2 2 3 2 4" xfId="17442"/>
    <cellStyle name="Calculation 3 2 2 2 3 2 5" xfId="17443"/>
    <cellStyle name="Calculation 3 2 2 2 3 2 6" xfId="17444"/>
    <cellStyle name="Calculation 3 2 2 2 3 2 7" xfId="17445"/>
    <cellStyle name="Calculation 3 2 2 2 3 3" xfId="14407"/>
    <cellStyle name="Calculation 3 2 2 2 3 4" xfId="14408"/>
    <cellStyle name="Calculation 3 2 2 2 3 5" xfId="17446"/>
    <cellStyle name="Calculation 3 2 2 2 3 6" xfId="17447"/>
    <cellStyle name="Calculation 3 2 2 2 3 7" xfId="17448"/>
    <cellStyle name="Calculation 3 2 2 2 3 8" xfId="17449"/>
    <cellStyle name="Calculation 3 2 2 2 4" xfId="13052"/>
    <cellStyle name="Calculation 3 2 2 2 4 2" xfId="13053"/>
    <cellStyle name="Calculation 3 2 2 2 4 2 2" xfId="14409"/>
    <cellStyle name="Calculation 3 2 2 2 4 2 3" xfId="14410"/>
    <cellStyle name="Calculation 3 2 2 2 4 2 4" xfId="17450"/>
    <cellStyle name="Calculation 3 2 2 2 4 2 5" xfId="17451"/>
    <cellStyle name="Calculation 3 2 2 2 4 2 6" xfId="17452"/>
    <cellStyle name="Calculation 3 2 2 2 4 2 7" xfId="17453"/>
    <cellStyle name="Calculation 3 2 2 2 4 3" xfId="14411"/>
    <cellStyle name="Calculation 3 2 2 2 4 4" xfId="14412"/>
    <cellStyle name="Calculation 3 2 2 2 4 5" xfId="17454"/>
    <cellStyle name="Calculation 3 2 2 2 4 6" xfId="17455"/>
    <cellStyle name="Calculation 3 2 2 2 4 7" xfId="17456"/>
    <cellStyle name="Calculation 3 2 2 2 4 8" xfId="17457"/>
    <cellStyle name="Calculation 3 2 2 2 5" xfId="13054"/>
    <cellStyle name="Calculation 3 2 2 2 5 2" xfId="14413"/>
    <cellStyle name="Calculation 3 2 2 2 5 3" xfId="14414"/>
    <cellStyle name="Calculation 3 2 2 2 5 4" xfId="17458"/>
    <cellStyle name="Calculation 3 2 2 2 5 5" xfId="17459"/>
    <cellStyle name="Calculation 3 2 2 2 5 6" xfId="17460"/>
    <cellStyle name="Calculation 3 2 2 2 5 7" xfId="17461"/>
    <cellStyle name="Calculation 3 2 2 2 6" xfId="14415"/>
    <cellStyle name="Calculation 3 2 2 2 7" xfId="14416"/>
    <cellStyle name="Calculation 3 2 2 2 8" xfId="17462"/>
    <cellStyle name="Calculation 3 2 2 2 9" xfId="17463"/>
    <cellStyle name="Calculation 3 2 2 3" xfId="3250"/>
    <cellStyle name="Calculation 3 2 2 3 2" xfId="13055"/>
    <cellStyle name="Calculation 3 2 2 3 2 2" xfId="13056"/>
    <cellStyle name="Calculation 3 2 2 3 2 2 2" xfId="14417"/>
    <cellStyle name="Calculation 3 2 2 3 2 2 3" xfId="14418"/>
    <cellStyle name="Calculation 3 2 2 3 2 2 4" xfId="17464"/>
    <cellStyle name="Calculation 3 2 2 3 2 2 5" xfId="17465"/>
    <cellStyle name="Calculation 3 2 2 3 2 2 6" xfId="17466"/>
    <cellStyle name="Calculation 3 2 2 3 2 2 7" xfId="17467"/>
    <cellStyle name="Calculation 3 2 2 3 2 3" xfId="14419"/>
    <cellStyle name="Calculation 3 2 2 3 2 4" xfId="14420"/>
    <cellStyle name="Calculation 3 2 2 3 2 5" xfId="17468"/>
    <cellStyle name="Calculation 3 2 2 3 2 6" xfId="17469"/>
    <cellStyle name="Calculation 3 2 2 3 2 7" xfId="17470"/>
    <cellStyle name="Calculation 3 2 2 3 2 8" xfId="17471"/>
    <cellStyle name="Calculation 3 2 2 3 3" xfId="13057"/>
    <cellStyle name="Calculation 3 2 2 3 3 2" xfId="13058"/>
    <cellStyle name="Calculation 3 2 2 3 3 2 2" xfId="14421"/>
    <cellStyle name="Calculation 3 2 2 3 3 2 3" xfId="14422"/>
    <cellStyle name="Calculation 3 2 2 3 3 2 4" xfId="17472"/>
    <cellStyle name="Calculation 3 2 2 3 3 2 5" xfId="17473"/>
    <cellStyle name="Calculation 3 2 2 3 3 2 6" xfId="17474"/>
    <cellStyle name="Calculation 3 2 2 3 3 2 7" xfId="17475"/>
    <cellStyle name="Calculation 3 2 2 3 3 3" xfId="14423"/>
    <cellStyle name="Calculation 3 2 2 3 3 4" xfId="14424"/>
    <cellStyle name="Calculation 3 2 2 3 3 5" xfId="17476"/>
    <cellStyle name="Calculation 3 2 2 3 3 6" xfId="17477"/>
    <cellStyle name="Calculation 3 2 2 3 3 7" xfId="17478"/>
    <cellStyle name="Calculation 3 2 2 3 3 8" xfId="17479"/>
    <cellStyle name="Calculation 3 2 2 3 4" xfId="13059"/>
    <cellStyle name="Calculation 3 2 2 3 4 2" xfId="13060"/>
    <cellStyle name="Calculation 3 2 2 3 4 2 2" xfId="14425"/>
    <cellStyle name="Calculation 3 2 2 3 4 2 3" xfId="14426"/>
    <cellStyle name="Calculation 3 2 2 3 4 2 4" xfId="17480"/>
    <cellStyle name="Calculation 3 2 2 3 4 2 5" xfId="17481"/>
    <cellStyle name="Calculation 3 2 2 3 4 2 6" xfId="17482"/>
    <cellStyle name="Calculation 3 2 2 3 4 2 7" xfId="17483"/>
    <cellStyle name="Calculation 3 2 2 3 4 3" xfId="14427"/>
    <cellStyle name="Calculation 3 2 2 3 4 4" xfId="14428"/>
    <cellStyle name="Calculation 3 2 2 3 4 5" xfId="17484"/>
    <cellStyle name="Calculation 3 2 2 3 4 6" xfId="17485"/>
    <cellStyle name="Calculation 3 2 2 3 4 7" xfId="17486"/>
    <cellStyle name="Calculation 3 2 2 3 4 8" xfId="17487"/>
    <cellStyle name="Calculation 3 2 2 3 5" xfId="13061"/>
    <cellStyle name="Calculation 3 2 2 3 5 2" xfId="14429"/>
    <cellStyle name="Calculation 3 2 2 3 5 3" xfId="14430"/>
    <cellStyle name="Calculation 3 2 2 3 5 4" xfId="17488"/>
    <cellStyle name="Calculation 3 2 2 3 5 5" xfId="17489"/>
    <cellStyle name="Calculation 3 2 2 3 5 6" xfId="17490"/>
    <cellStyle name="Calculation 3 2 2 3 5 7" xfId="17491"/>
    <cellStyle name="Calculation 3 2 2 3 6" xfId="14431"/>
    <cellStyle name="Calculation 3 2 2 3 7" xfId="14432"/>
    <cellStyle name="Calculation 3 2 2 3 8" xfId="17492"/>
    <cellStyle name="Calculation 3 2 2 3 9" xfId="17493"/>
    <cellStyle name="Calculation 3 2 2 4" xfId="3226"/>
    <cellStyle name="Calculation 3 2 2 4 2" xfId="13062"/>
    <cellStyle name="Calculation 3 2 2 4 2 2" xfId="13063"/>
    <cellStyle name="Calculation 3 2 2 4 2 2 2" xfId="14433"/>
    <cellStyle name="Calculation 3 2 2 4 2 2 3" xfId="14434"/>
    <cellStyle name="Calculation 3 2 2 4 2 2 4" xfId="17494"/>
    <cellStyle name="Calculation 3 2 2 4 2 2 5" xfId="17495"/>
    <cellStyle name="Calculation 3 2 2 4 2 2 6" xfId="17496"/>
    <cellStyle name="Calculation 3 2 2 4 2 2 7" xfId="17497"/>
    <cellStyle name="Calculation 3 2 2 4 2 3" xfId="14435"/>
    <cellStyle name="Calculation 3 2 2 4 2 4" xfId="14436"/>
    <cellStyle name="Calculation 3 2 2 4 2 5" xfId="17498"/>
    <cellStyle name="Calculation 3 2 2 4 2 6" xfId="17499"/>
    <cellStyle name="Calculation 3 2 2 4 2 7" xfId="17500"/>
    <cellStyle name="Calculation 3 2 2 4 2 8" xfId="17501"/>
    <cellStyle name="Calculation 3 2 2 4 3" xfId="13064"/>
    <cellStyle name="Calculation 3 2 2 4 3 2" xfId="13065"/>
    <cellStyle name="Calculation 3 2 2 4 3 2 2" xfId="14437"/>
    <cellStyle name="Calculation 3 2 2 4 3 2 3" xfId="14438"/>
    <cellStyle name="Calculation 3 2 2 4 3 2 4" xfId="17502"/>
    <cellStyle name="Calculation 3 2 2 4 3 2 5" xfId="17503"/>
    <cellStyle name="Calculation 3 2 2 4 3 2 6" xfId="17504"/>
    <cellStyle name="Calculation 3 2 2 4 3 2 7" xfId="17505"/>
    <cellStyle name="Calculation 3 2 2 4 3 3" xfId="14439"/>
    <cellStyle name="Calculation 3 2 2 4 3 4" xfId="14440"/>
    <cellStyle name="Calculation 3 2 2 4 3 5" xfId="17506"/>
    <cellStyle name="Calculation 3 2 2 4 3 6" xfId="17507"/>
    <cellStyle name="Calculation 3 2 2 4 3 7" xfId="17508"/>
    <cellStyle name="Calculation 3 2 2 4 3 8" xfId="17509"/>
    <cellStyle name="Calculation 3 2 2 4 4" xfId="13066"/>
    <cellStyle name="Calculation 3 2 2 4 4 2" xfId="13067"/>
    <cellStyle name="Calculation 3 2 2 4 4 2 2" xfId="14441"/>
    <cellStyle name="Calculation 3 2 2 4 4 2 3" xfId="14442"/>
    <cellStyle name="Calculation 3 2 2 4 4 2 4" xfId="17510"/>
    <cellStyle name="Calculation 3 2 2 4 4 2 5" xfId="17511"/>
    <cellStyle name="Calculation 3 2 2 4 4 2 6" xfId="17512"/>
    <cellStyle name="Calculation 3 2 2 4 4 2 7" xfId="17513"/>
    <cellStyle name="Calculation 3 2 2 4 4 3" xfId="14443"/>
    <cellStyle name="Calculation 3 2 2 4 4 4" xfId="14444"/>
    <cellStyle name="Calculation 3 2 2 4 4 5" xfId="17514"/>
    <cellStyle name="Calculation 3 2 2 4 4 6" xfId="17515"/>
    <cellStyle name="Calculation 3 2 2 4 4 7" xfId="17516"/>
    <cellStyle name="Calculation 3 2 2 4 4 8" xfId="17517"/>
    <cellStyle name="Calculation 3 2 2 4 5" xfId="13068"/>
    <cellStyle name="Calculation 3 2 2 4 5 2" xfId="14445"/>
    <cellStyle name="Calculation 3 2 2 4 5 3" xfId="14446"/>
    <cellStyle name="Calculation 3 2 2 4 5 4" xfId="17518"/>
    <cellStyle name="Calculation 3 2 2 4 5 5" xfId="17519"/>
    <cellStyle name="Calculation 3 2 2 4 5 6" xfId="17520"/>
    <cellStyle name="Calculation 3 2 2 4 5 7" xfId="17521"/>
    <cellStyle name="Calculation 3 2 2 4 6" xfId="14447"/>
    <cellStyle name="Calculation 3 2 2 4 7" xfId="14448"/>
    <cellStyle name="Calculation 3 2 2 4 8" xfId="17522"/>
    <cellStyle name="Calculation 3 2 2 4 9" xfId="17523"/>
    <cellStyle name="Calculation 3 2 2 5" xfId="3265"/>
    <cellStyle name="Calculation 3 2 2 5 2" xfId="13069"/>
    <cellStyle name="Calculation 3 2 2 5 2 2" xfId="13070"/>
    <cellStyle name="Calculation 3 2 2 5 2 2 2" xfId="14449"/>
    <cellStyle name="Calculation 3 2 2 5 2 2 3" xfId="14450"/>
    <cellStyle name="Calculation 3 2 2 5 2 2 4" xfId="17524"/>
    <cellStyle name="Calculation 3 2 2 5 2 2 5" xfId="17525"/>
    <cellStyle name="Calculation 3 2 2 5 2 2 6" xfId="17526"/>
    <cellStyle name="Calculation 3 2 2 5 2 2 7" xfId="17527"/>
    <cellStyle name="Calculation 3 2 2 5 2 3" xfId="14451"/>
    <cellStyle name="Calculation 3 2 2 5 2 4" xfId="14452"/>
    <cellStyle name="Calculation 3 2 2 5 2 5" xfId="17528"/>
    <cellStyle name="Calculation 3 2 2 5 2 6" xfId="17529"/>
    <cellStyle name="Calculation 3 2 2 5 2 7" xfId="17530"/>
    <cellStyle name="Calculation 3 2 2 5 2 8" xfId="17531"/>
    <cellStyle name="Calculation 3 2 2 5 3" xfId="13071"/>
    <cellStyle name="Calculation 3 2 2 5 3 2" xfId="13072"/>
    <cellStyle name="Calculation 3 2 2 5 3 2 2" xfId="14453"/>
    <cellStyle name="Calculation 3 2 2 5 3 2 3" xfId="14454"/>
    <cellStyle name="Calculation 3 2 2 5 3 2 4" xfId="17532"/>
    <cellStyle name="Calculation 3 2 2 5 3 2 5" xfId="17533"/>
    <cellStyle name="Calculation 3 2 2 5 3 2 6" xfId="17534"/>
    <cellStyle name="Calculation 3 2 2 5 3 2 7" xfId="17535"/>
    <cellStyle name="Calculation 3 2 2 5 3 3" xfId="14455"/>
    <cellStyle name="Calculation 3 2 2 5 3 4" xfId="14456"/>
    <cellStyle name="Calculation 3 2 2 5 3 5" xfId="17536"/>
    <cellStyle name="Calculation 3 2 2 5 3 6" xfId="17537"/>
    <cellStyle name="Calculation 3 2 2 5 3 7" xfId="17538"/>
    <cellStyle name="Calculation 3 2 2 5 3 8" xfId="17539"/>
    <cellStyle name="Calculation 3 2 2 5 4" xfId="13073"/>
    <cellStyle name="Calculation 3 2 2 5 4 2" xfId="13074"/>
    <cellStyle name="Calculation 3 2 2 5 4 2 2" xfId="14457"/>
    <cellStyle name="Calculation 3 2 2 5 4 2 3" xfId="14458"/>
    <cellStyle name="Calculation 3 2 2 5 4 2 4" xfId="17540"/>
    <cellStyle name="Calculation 3 2 2 5 4 2 5" xfId="17541"/>
    <cellStyle name="Calculation 3 2 2 5 4 2 6" xfId="17542"/>
    <cellStyle name="Calculation 3 2 2 5 4 2 7" xfId="17543"/>
    <cellStyle name="Calculation 3 2 2 5 4 3" xfId="14459"/>
    <cellStyle name="Calculation 3 2 2 5 4 4" xfId="14460"/>
    <cellStyle name="Calculation 3 2 2 5 4 5" xfId="17544"/>
    <cellStyle name="Calculation 3 2 2 5 4 6" xfId="17545"/>
    <cellStyle name="Calculation 3 2 2 5 4 7" xfId="17546"/>
    <cellStyle name="Calculation 3 2 2 5 4 8" xfId="17547"/>
    <cellStyle name="Calculation 3 2 2 5 5" xfId="13075"/>
    <cellStyle name="Calculation 3 2 2 5 5 2" xfId="14461"/>
    <cellStyle name="Calculation 3 2 2 5 5 3" xfId="14462"/>
    <cellStyle name="Calculation 3 2 2 5 5 4" xfId="17548"/>
    <cellStyle name="Calculation 3 2 2 5 5 5" xfId="17549"/>
    <cellStyle name="Calculation 3 2 2 5 5 6" xfId="17550"/>
    <cellStyle name="Calculation 3 2 2 5 5 7" xfId="17551"/>
    <cellStyle name="Calculation 3 2 2 5 6" xfId="14463"/>
    <cellStyle name="Calculation 3 2 2 5 7" xfId="14464"/>
    <cellStyle name="Calculation 3 2 2 5 8" xfId="17552"/>
    <cellStyle name="Calculation 3 2 2 5 9" xfId="17553"/>
    <cellStyle name="Calculation 3 2 2 6" xfId="13076"/>
    <cellStyle name="Calculation 3 2 2 6 2" xfId="13077"/>
    <cellStyle name="Calculation 3 2 2 6 2 2" xfId="14465"/>
    <cellStyle name="Calculation 3 2 2 6 2 3" xfId="14466"/>
    <cellStyle name="Calculation 3 2 2 6 2 4" xfId="17554"/>
    <cellStyle name="Calculation 3 2 2 6 2 5" xfId="17555"/>
    <cellStyle name="Calculation 3 2 2 6 2 6" xfId="17556"/>
    <cellStyle name="Calculation 3 2 2 6 2 7" xfId="17557"/>
    <cellStyle name="Calculation 3 2 2 6 3" xfId="14467"/>
    <cellStyle name="Calculation 3 2 2 6 4" xfId="14468"/>
    <cellStyle name="Calculation 3 2 2 6 5" xfId="17558"/>
    <cellStyle name="Calculation 3 2 2 6 6" xfId="17559"/>
    <cellStyle name="Calculation 3 2 2 6 7" xfId="17560"/>
    <cellStyle name="Calculation 3 2 2 6 8" xfId="17561"/>
    <cellStyle name="Calculation 3 2 2 7" xfId="13078"/>
    <cellStyle name="Calculation 3 2 2 7 2" xfId="13079"/>
    <cellStyle name="Calculation 3 2 2 7 2 2" xfId="14469"/>
    <cellStyle name="Calculation 3 2 2 7 2 3" xfId="14470"/>
    <cellStyle name="Calculation 3 2 2 7 2 4" xfId="17562"/>
    <cellStyle name="Calculation 3 2 2 7 2 5" xfId="17563"/>
    <cellStyle name="Calculation 3 2 2 7 2 6" xfId="17564"/>
    <cellStyle name="Calculation 3 2 2 7 2 7" xfId="17565"/>
    <cellStyle name="Calculation 3 2 2 7 3" xfId="14471"/>
    <cellStyle name="Calculation 3 2 2 7 4" xfId="14472"/>
    <cellStyle name="Calculation 3 2 2 7 5" xfId="17566"/>
    <cellStyle name="Calculation 3 2 2 7 6" xfId="17567"/>
    <cellStyle name="Calculation 3 2 2 7 7" xfId="17568"/>
    <cellStyle name="Calculation 3 2 2 7 8" xfId="17569"/>
    <cellStyle name="Calculation 3 2 2 8" xfId="13080"/>
    <cellStyle name="Calculation 3 2 2 8 2" xfId="13081"/>
    <cellStyle name="Calculation 3 2 2 8 2 2" xfId="14473"/>
    <cellStyle name="Calculation 3 2 2 8 2 3" xfId="14474"/>
    <cellStyle name="Calculation 3 2 2 8 2 4" xfId="17570"/>
    <cellStyle name="Calculation 3 2 2 8 2 5" xfId="17571"/>
    <cellStyle name="Calculation 3 2 2 8 2 6" xfId="17572"/>
    <cellStyle name="Calculation 3 2 2 8 2 7" xfId="17573"/>
    <cellStyle name="Calculation 3 2 2 8 3" xfId="14475"/>
    <cellStyle name="Calculation 3 2 2 8 4" xfId="14476"/>
    <cellStyle name="Calculation 3 2 2 8 5" xfId="17574"/>
    <cellStyle name="Calculation 3 2 2 8 6" xfId="17575"/>
    <cellStyle name="Calculation 3 2 2 8 7" xfId="17576"/>
    <cellStyle name="Calculation 3 2 2 8 8" xfId="17577"/>
    <cellStyle name="Calculation 3 2 2 9" xfId="13082"/>
    <cellStyle name="Calculation 3 2 2 9 2" xfId="14477"/>
    <cellStyle name="Calculation 3 2 2 9 3" xfId="14478"/>
    <cellStyle name="Calculation 3 2 2 9 4" xfId="17578"/>
    <cellStyle name="Calculation 3 2 2 9 5" xfId="17579"/>
    <cellStyle name="Calculation 3 2 2 9 6" xfId="17580"/>
    <cellStyle name="Calculation 3 2 2 9 7" xfId="17581"/>
    <cellStyle name="Calculation 3 2 3" xfId="1551"/>
    <cellStyle name="Calculation 3 2 3 10" xfId="2945"/>
    <cellStyle name="Calculation 3 2 3 11" xfId="14479"/>
    <cellStyle name="Calculation 3 2 3 12" xfId="17582"/>
    <cellStyle name="Calculation 3 2 3 13" xfId="17583"/>
    <cellStyle name="Calculation 3 2 3 2" xfId="3036"/>
    <cellStyle name="Calculation 3 2 3 2 2" xfId="13083"/>
    <cellStyle name="Calculation 3 2 3 2 2 2" xfId="13084"/>
    <cellStyle name="Calculation 3 2 3 2 2 2 2" xfId="14480"/>
    <cellStyle name="Calculation 3 2 3 2 2 2 3" xfId="14481"/>
    <cellStyle name="Calculation 3 2 3 2 2 2 4" xfId="17584"/>
    <cellStyle name="Calculation 3 2 3 2 2 2 5" xfId="17585"/>
    <cellStyle name="Calculation 3 2 3 2 2 2 6" xfId="17586"/>
    <cellStyle name="Calculation 3 2 3 2 2 2 7" xfId="17587"/>
    <cellStyle name="Calculation 3 2 3 2 2 3" xfId="14482"/>
    <cellStyle name="Calculation 3 2 3 2 2 4" xfId="14483"/>
    <cellStyle name="Calculation 3 2 3 2 2 5" xfId="17588"/>
    <cellStyle name="Calculation 3 2 3 2 2 6" xfId="17589"/>
    <cellStyle name="Calculation 3 2 3 2 2 7" xfId="17590"/>
    <cellStyle name="Calculation 3 2 3 2 2 8" xfId="17591"/>
    <cellStyle name="Calculation 3 2 3 2 3" xfId="13085"/>
    <cellStyle name="Calculation 3 2 3 2 3 2" xfId="13086"/>
    <cellStyle name="Calculation 3 2 3 2 3 2 2" xfId="14484"/>
    <cellStyle name="Calculation 3 2 3 2 3 2 3" xfId="14485"/>
    <cellStyle name="Calculation 3 2 3 2 3 2 4" xfId="17592"/>
    <cellStyle name="Calculation 3 2 3 2 3 2 5" xfId="17593"/>
    <cellStyle name="Calculation 3 2 3 2 3 2 6" xfId="17594"/>
    <cellStyle name="Calculation 3 2 3 2 3 2 7" xfId="17595"/>
    <cellStyle name="Calculation 3 2 3 2 3 3" xfId="14486"/>
    <cellStyle name="Calculation 3 2 3 2 3 4" xfId="14487"/>
    <cellStyle name="Calculation 3 2 3 2 3 5" xfId="17596"/>
    <cellStyle name="Calculation 3 2 3 2 3 6" xfId="17597"/>
    <cellStyle name="Calculation 3 2 3 2 3 7" xfId="17598"/>
    <cellStyle name="Calculation 3 2 3 2 3 8" xfId="17599"/>
    <cellStyle name="Calculation 3 2 3 2 4" xfId="13087"/>
    <cellStyle name="Calculation 3 2 3 2 4 2" xfId="13088"/>
    <cellStyle name="Calculation 3 2 3 2 4 2 2" xfId="14488"/>
    <cellStyle name="Calculation 3 2 3 2 4 2 3" xfId="14489"/>
    <cellStyle name="Calculation 3 2 3 2 4 2 4" xfId="17600"/>
    <cellStyle name="Calculation 3 2 3 2 4 2 5" xfId="17601"/>
    <cellStyle name="Calculation 3 2 3 2 4 2 6" xfId="17602"/>
    <cellStyle name="Calculation 3 2 3 2 4 2 7" xfId="17603"/>
    <cellStyle name="Calculation 3 2 3 2 4 3" xfId="14490"/>
    <cellStyle name="Calculation 3 2 3 2 4 4" xfId="14491"/>
    <cellStyle name="Calculation 3 2 3 2 4 5" xfId="17604"/>
    <cellStyle name="Calculation 3 2 3 2 4 6" xfId="17605"/>
    <cellStyle name="Calculation 3 2 3 2 4 7" xfId="17606"/>
    <cellStyle name="Calculation 3 2 3 2 4 8" xfId="17607"/>
    <cellStyle name="Calculation 3 2 3 2 5" xfId="13089"/>
    <cellStyle name="Calculation 3 2 3 2 5 2" xfId="14492"/>
    <cellStyle name="Calculation 3 2 3 2 5 3" xfId="14493"/>
    <cellStyle name="Calculation 3 2 3 2 5 4" xfId="17608"/>
    <cellStyle name="Calculation 3 2 3 2 5 5" xfId="17609"/>
    <cellStyle name="Calculation 3 2 3 2 5 6" xfId="17610"/>
    <cellStyle name="Calculation 3 2 3 2 5 7" xfId="17611"/>
    <cellStyle name="Calculation 3 2 3 2 6" xfId="14494"/>
    <cellStyle name="Calculation 3 2 3 2 7" xfId="14495"/>
    <cellStyle name="Calculation 3 2 3 2 8" xfId="17612"/>
    <cellStyle name="Calculation 3 2 3 2 9" xfId="17613"/>
    <cellStyle name="Calculation 3 2 3 3" xfId="3139"/>
    <cellStyle name="Calculation 3 2 3 3 2" xfId="13090"/>
    <cellStyle name="Calculation 3 2 3 3 2 2" xfId="13091"/>
    <cellStyle name="Calculation 3 2 3 3 2 2 2" xfId="14496"/>
    <cellStyle name="Calculation 3 2 3 3 2 2 3" xfId="14497"/>
    <cellStyle name="Calculation 3 2 3 3 2 2 4" xfId="17614"/>
    <cellStyle name="Calculation 3 2 3 3 2 2 5" xfId="17615"/>
    <cellStyle name="Calculation 3 2 3 3 2 2 6" xfId="17616"/>
    <cellStyle name="Calculation 3 2 3 3 2 2 7" xfId="17617"/>
    <cellStyle name="Calculation 3 2 3 3 2 3" xfId="14498"/>
    <cellStyle name="Calculation 3 2 3 3 2 4" xfId="14499"/>
    <cellStyle name="Calculation 3 2 3 3 2 5" xfId="17618"/>
    <cellStyle name="Calculation 3 2 3 3 2 6" xfId="17619"/>
    <cellStyle name="Calculation 3 2 3 3 2 7" xfId="17620"/>
    <cellStyle name="Calculation 3 2 3 3 2 8" xfId="17621"/>
    <cellStyle name="Calculation 3 2 3 3 3" xfId="13092"/>
    <cellStyle name="Calculation 3 2 3 3 3 2" xfId="13093"/>
    <cellStyle name="Calculation 3 2 3 3 3 2 2" xfId="14500"/>
    <cellStyle name="Calculation 3 2 3 3 3 2 3" xfId="14501"/>
    <cellStyle name="Calculation 3 2 3 3 3 2 4" xfId="17622"/>
    <cellStyle name="Calculation 3 2 3 3 3 2 5" xfId="17623"/>
    <cellStyle name="Calculation 3 2 3 3 3 2 6" xfId="17624"/>
    <cellStyle name="Calculation 3 2 3 3 3 2 7" xfId="17625"/>
    <cellStyle name="Calculation 3 2 3 3 3 3" xfId="14502"/>
    <cellStyle name="Calculation 3 2 3 3 3 4" xfId="14503"/>
    <cellStyle name="Calculation 3 2 3 3 3 5" xfId="17626"/>
    <cellStyle name="Calculation 3 2 3 3 3 6" xfId="17627"/>
    <cellStyle name="Calculation 3 2 3 3 3 7" xfId="17628"/>
    <cellStyle name="Calculation 3 2 3 3 3 8" xfId="17629"/>
    <cellStyle name="Calculation 3 2 3 3 4" xfId="13094"/>
    <cellStyle name="Calculation 3 2 3 3 4 2" xfId="13095"/>
    <cellStyle name="Calculation 3 2 3 3 4 2 2" xfId="14504"/>
    <cellStyle name="Calculation 3 2 3 3 4 2 3" xfId="14505"/>
    <cellStyle name="Calculation 3 2 3 3 4 2 4" xfId="17630"/>
    <cellStyle name="Calculation 3 2 3 3 4 2 5" xfId="17631"/>
    <cellStyle name="Calculation 3 2 3 3 4 2 6" xfId="17632"/>
    <cellStyle name="Calculation 3 2 3 3 4 2 7" xfId="17633"/>
    <cellStyle name="Calculation 3 2 3 3 4 3" xfId="14506"/>
    <cellStyle name="Calculation 3 2 3 3 4 4" xfId="14507"/>
    <cellStyle name="Calculation 3 2 3 3 4 5" xfId="17634"/>
    <cellStyle name="Calculation 3 2 3 3 4 6" xfId="17635"/>
    <cellStyle name="Calculation 3 2 3 3 4 7" xfId="17636"/>
    <cellStyle name="Calculation 3 2 3 3 4 8" xfId="17637"/>
    <cellStyle name="Calculation 3 2 3 3 5" xfId="13096"/>
    <cellStyle name="Calculation 3 2 3 3 5 2" xfId="14508"/>
    <cellStyle name="Calculation 3 2 3 3 5 3" xfId="14509"/>
    <cellStyle name="Calculation 3 2 3 3 5 4" xfId="17638"/>
    <cellStyle name="Calculation 3 2 3 3 5 5" xfId="17639"/>
    <cellStyle name="Calculation 3 2 3 3 5 6" xfId="17640"/>
    <cellStyle name="Calculation 3 2 3 3 5 7" xfId="17641"/>
    <cellStyle name="Calculation 3 2 3 3 6" xfId="14510"/>
    <cellStyle name="Calculation 3 2 3 3 7" xfId="14511"/>
    <cellStyle name="Calculation 3 2 3 3 8" xfId="17642"/>
    <cellStyle name="Calculation 3 2 3 3 9" xfId="17643"/>
    <cellStyle name="Calculation 3 2 3 4" xfId="3255"/>
    <cellStyle name="Calculation 3 2 3 4 2" xfId="13097"/>
    <cellStyle name="Calculation 3 2 3 4 2 2" xfId="13098"/>
    <cellStyle name="Calculation 3 2 3 4 2 2 2" xfId="14512"/>
    <cellStyle name="Calculation 3 2 3 4 2 2 3" xfId="14513"/>
    <cellStyle name="Calculation 3 2 3 4 2 2 4" xfId="17644"/>
    <cellStyle name="Calculation 3 2 3 4 2 2 5" xfId="17645"/>
    <cellStyle name="Calculation 3 2 3 4 2 2 6" xfId="17646"/>
    <cellStyle name="Calculation 3 2 3 4 2 2 7" xfId="17647"/>
    <cellStyle name="Calculation 3 2 3 4 2 3" xfId="14514"/>
    <cellStyle name="Calculation 3 2 3 4 2 4" xfId="14515"/>
    <cellStyle name="Calculation 3 2 3 4 2 5" xfId="17648"/>
    <cellStyle name="Calculation 3 2 3 4 2 6" xfId="17649"/>
    <cellStyle name="Calculation 3 2 3 4 2 7" xfId="17650"/>
    <cellStyle name="Calculation 3 2 3 4 2 8" xfId="17651"/>
    <cellStyle name="Calculation 3 2 3 4 3" xfId="13099"/>
    <cellStyle name="Calculation 3 2 3 4 3 2" xfId="13100"/>
    <cellStyle name="Calculation 3 2 3 4 3 2 2" xfId="14516"/>
    <cellStyle name="Calculation 3 2 3 4 3 2 3" xfId="14517"/>
    <cellStyle name="Calculation 3 2 3 4 3 2 4" xfId="17652"/>
    <cellStyle name="Calculation 3 2 3 4 3 2 5" xfId="17653"/>
    <cellStyle name="Calculation 3 2 3 4 3 2 6" xfId="17654"/>
    <cellStyle name="Calculation 3 2 3 4 3 2 7" xfId="17655"/>
    <cellStyle name="Calculation 3 2 3 4 3 3" xfId="14518"/>
    <cellStyle name="Calculation 3 2 3 4 3 4" xfId="14519"/>
    <cellStyle name="Calculation 3 2 3 4 3 5" xfId="17656"/>
    <cellStyle name="Calculation 3 2 3 4 3 6" xfId="17657"/>
    <cellStyle name="Calculation 3 2 3 4 3 7" xfId="17658"/>
    <cellStyle name="Calculation 3 2 3 4 3 8" xfId="17659"/>
    <cellStyle name="Calculation 3 2 3 4 4" xfId="13101"/>
    <cellStyle name="Calculation 3 2 3 4 4 2" xfId="13102"/>
    <cellStyle name="Calculation 3 2 3 4 4 2 2" xfId="14520"/>
    <cellStyle name="Calculation 3 2 3 4 4 2 3" xfId="14521"/>
    <cellStyle name="Calculation 3 2 3 4 4 2 4" xfId="17660"/>
    <cellStyle name="Calculation 3 2 3 4 4 2 5" xfId="17661"/>
    <cellStyle name="Calculation 3 2 3 4 4 2 6" xfId="17662"/>
    <cellStyle name="Calculation 3 2 3 4 4 2 7" xfId="17663"/>
    <cellStyle name="Calculation 3 2 3 4 4 3" xfId="14522"/>
    <cellStyle name="Calculation 3 2 3 4 4 4" xfId="14523"/>
    <cellStyle name="Calculation 3 2 3 4 4 5" xfId="17664"/>
    <cellStyle name="Calculation 3 2 3 4 4 6" xfId="17665"/>
    <cellStyle name="Calculation 3 2 3 4 4 7" xfId="17666"/>
    <cellStyle name="Calculation 3 2 3 4 4 8" xfId="17667"/>
    <cellStyle name="Calculation 3 2 3 4 5" xfId="13103"/>
    <cellStyle name="Calculation 3 2 3 4 5 2" xfId="14524"/>
    <cellStyle name="Calculation 3 2 3 4 5 3" xfId="14525"/>
    <cellStyle name="Calculation 3 2 3 4 5 4" xfId="17668"/>
    <cellStyle name="Calculation 3 2 3 4 5 5" xfId="17669"/>
    <cellStyle name="Calculation 3 2 3 4 5 6" xfId="17670"/>
    <cellStyle name="Calculation 3 2 3 4 5 7" xfId="17671"/>
    <cellStyle name="Calculation 3 2 3 4 6" xfId="14526"/>
    <cellStyle name="Calculation 3 2 3 4 7" xfId="14527"/>
    <cellStyle name="Calculation 3 2 3 4 8" xfId="17672"/>
    <cellStyle name="Calculation 3 2 3 4 9" xfId="17673"/>
    <cellStyle name="Calculation 3 2 3 5" xfId="3218"/>
    <cellStyle name="Calculation 3 2 3 5 2" xfId="13104"/>
    <cellStyle name="Calculation 3 2 3 5 2 2" xfId="13105"/>
    <cellStyle name="Calculation 3 2 3 5 2 2 2" xfId="14528"/>
    <cellStyle name="Calculation 3 2 3 5 2 2 3" xfId="14529"/>
    <cellStyle name="Calculation 3 2 3 5 2 2 4" xfId="17674"/>
    <cellStyle name="Calculation 3 2 3 5 2 2 5" xfId="17675"/>
    <cellStyle name="Calculation 3 2 3 5 2 2 6" xfId="17676"/>
    <cellStyle name="Calculation 3 2 3 5 2 2 7" xfId="17677"/>
    <cellStyle name="Calculation 3 2 3 5 2 3" xfId="14530"/>
    <cellStyle name="Calculation 3 2 3 5 2 4" xfId="14531"/>
    <cellStyle name="Calculation 3 2 3 5 2 5" xfId="17678"/>
    <cellStyle name="Calculation 3 2 3 5 2 6" xfId="17679"/>
    <cellStyle name="Calculation 3 2 3 5 2 7" xfId="17680"/>
    <cellStyle name="Calculation 3 2 3 5 2 8" xfId="17681"/>
    <cellStyle name="Calculation 3 2 3 5 3" xfId="13106"/>
    <cellStyle name="Calculation 3 2 3 5 3 2" xfId="13107"/>
    <cellStyle name="Calculation 3 2 3 5 3 2 2" xfId="14532"/>
    <cellStyle name="Calculation 3 2 3 5 3 2 3" xfId="14533"/>
    <cellStyle name="Calculation 3 2 3 5 3 2 4" xfId="17682"/>
    <cellStyle name="Calculation 3 2 3 5 3 2 5" xfId="17683"/>
    <cellStyle name="Calculation 3 2 3 5 3 2 6" xfId="17684"/>
    <cellStyle name="Calculation 3 2 3 5 3 2 7" xfId="17685"/>
    <cellStyle name="Calculation 3 2 3 5 3 3" xfId="14534"/>
    <cellStyle name="Calculation 3 2 3 5 3 4" xfId="14535"/>
    <cellStyle name="Calculation 3 2 3 5 3 5" xfId="17686"/>
    <cellStyle name="Calculation 3 2 3 5 3 6" xfId="17687"/>
    <cellStyle name="Calculation 3 2 3 5 3 7" xfId="17688"/>
    <cellStyle name="Calculation 3 2 3 5 3 8" xfId="17689"/>
    <cellStyle name="Calculation 3 2 3 5 4" xfId="13108"/>
    <cellStyle name="Calculation 3 2 3 5 4 2" xfId="13109"/>
    <cellStyle name="Calculation 3 2 3 5 4 2 2" xfId="14536"/>
    <cellStyle name="Calculation 3 2 3 5 4 2 3" xfId="14537"/>
    <cellStyle name="Calculation 3 2 3 5 4 2 4" xfId="17690"/>
    <cellStyle name="Calculation 3 2 3 5 4 2 5" xfId="17691"/>
    <cellStyle name="Calculation 3 2 3 5 4 2 6" xfId="17692"/>
    <cellStyle name="Calculation 3 2 3 5 4 2 7" xfId="17693"/>
    <cellStyle name="Calculation 3 2 3 5 4 3" xfId="14538"/>
    <cellStyle name="Calculation 3 2 3 5 4 4" xfId="14539"/>
    <cellStyle name="Calculation 3 2 3 5 4 5" xfId="17694"/>
    <cellStyle name="Calculation 3 2 3 5 4 6" xfId="17695"/>
    <cellStyle name="Calculation 3 2 3 5 4 7" xfId="17696"/>
    <cellStyle name="Calculation 3 2 3 5 4 8" xfId="17697"/>
    <cellStyle name="Calculation 3 2 3 5 5" xfId="13110"/>
    <cellStyle name="Calculation 3 2 3 5 5 2" xfId="14540"/>
    <cellStyle name="Calculation 3 2 3 5 5 3" xfId="14541"/>
    <cellStyle name="Calculation 3 2 3 5 5 4" xfId="17698"/>
    <cellStyle name="Calculation 3 2 3 5 5 5" xfId="17699"/>
    <cellStyle name="Calculation 3 2 3 5 5 6" xfId="17700"/>
    <cellStyle name="Calculation 3 2 3 5 5 7" xfId="17701"/>
    <cellStyle name="Calculation 3 2 3 5 6" xfId="14542"/>
    <cellStyle name="Calculation 3 2 3 5 7" xfId="14543"/>
    <cellStyle name="Calculation 3 2 3 5 8" xfId="17702"/>
    <cellStyle name="Calculation 3 2 3 5 9" xfId="17703"/>
    <cellStyle name="Calculation 3 2 3 6" xfId="13111"/>
    <cellStyle name="Calculation 3 2 3 6 2" xfId="13112"/>
    <cellStyle name="Calculation 3 2 3 6 2 2" xfId="14544"/>
    <cellStyle name="Calculation 3 2 3 6 2 3" xfId="14545"/>
    <cellStyle name="Calculation 3 2 3 6 2 4" xfId="17704"/>
    <cellStyle name="Calculation 3 2 3 6 2 5" xfId="17705"/>
    <cellStyle name="Calculation 3 2 3 6 2 6" xfId="17706"/>
    <cellStyle name="Calculation 3 2 3 6 2 7" xfId="17707"/>
    <cellStyle name="Calculation 3 2 3 6 3" xfId="14546"/>
    <cellStyle name="Calculation 3 2 3 6 4" xfId="14547"/>
    <cellStyle name="Calculation 3 2 3 6 5" xfId="17708"/>
    <cellStyle name="Calculation 3 2 3 6 6" xfId="17709"/>
    <cellStyle name="Calculation 3 2 3 6 7" xfId="17710"/>
    <cellStyle name="Calculation 3 2 3 6 8" xfId="17711"/>
    <cellStyle name="Calculation 3 2 3 7" xfId="13113"/>
    <cellStyle name="Calculation 3 2 3 7 2" xfId="13114"/>
    <cellStyle name="Calculation 3 2 3 7 2 2" xfId="14548"/>
    <cellStyle name="Calculation 3 2 3 7 2 3" xfId="14549"/>
    <cellStyle name="Calculation 3 2 3 7 2 4" xfId="17712"/>
    <cellStyle name="Calculation 3 2 3 7 2 5" xfId="17713"/>
    <cellStyle name="Calculation 3 2 3 7 2 6" xfId="17714"/>
    <cellStyle name="Calculation 3 2 3 7 2 7" xfId="17715"/>
    <cellStyle name="Calculation 3 2 3 7 3" xfId="14550"/>
    <cellStyle name="Calculation 3 2 3 7 4" xfId="14551"/>
    <cellStyle name="Calculation 3 2 3 7 5" xfId="17716"/>
    <cellStyle name="Calculation 3 2 3 7 6" xfId="17717"/>
    <cellStyle name="Calculation 3 2 3 7 7" xfId="17718"/>
    <cellStyle name="Calculation 3 2 3 7 8" xfId="17719"/>
    <cellStyle name="Calculation 3 2 3 8" xfId="13115"/>
    <cellStyle name="Calculation 3 2 3 8 2" xfId="13116"/>
    <cellStyle name="Calculation 3 2 3 8 2 2" xfId="14552"/>
    <cellStyle name="Calculation 3 2 3 8 2 3" xfId="14553"/>
    <cellStyle name="Calculation 3 2 3 8 2 4" xfId="17720"/>
    <cellStyle name="Calculation 3 2 3 8 2 5" xfId="17721"/>
    <cellStyle name="Calculation 3 2 3 8 2 6" xfId="17722"/>
    <cellStyle name="Calculation 3 2 3 8 2 7" xfId="17723"/>
    <cellStyle name="Calculation 3 2 3 8 3" xfId="14554"/>
    <cellStyle name="Calculation 3 2 3 8 4" xfId="14555"/>
    <cellStyle name="Calculation 3 2 3 8 5" xfId="17724"/>
    <cellStyle name="Calculation 3 2 3 8 6" xfId="17725"/>
    <cellStyle name="Calculation 3 2 3 8 7" xfId="17726"/>
    <cellStyle name="Calculation 3 2 3 8 8" xfId="17727"/>
    <cellStyle name="Calculation 3 2 3 9" xfId="13117"/>
    <cellStyle name="Calculation 3 2 3 9 2" xfId="14556"/>
    <cellStyle name="Calculation 3 2 3 9 3" xfId="14557"/>
    <cellStyle name="Calculation 3 2 3 9 4" xfId="17728"/>
    <cellStyle name="Calculation 3 2 3 9 5" xfId="17729"/>
    <cellStyle name="Calculation 3 2 3 9 6" xfId="17730"/>
    <cellStyle name="Calculation 3 2 3 9 7" xfId="17731"/>
    <cellStyle name="Calculation 3 2 4" xfId="1369"/>
    <cellStyle name="Calculation 3 2 4 2" xfId="13119"/>
    <cellStyle name="Calculation 3 2 4 2 2" xfId="14558"/>
    <cellStyle name="Calculation 3 2 4 2 3" xfId="14559"/>
    <cellStyle name="Calculation 3 2 4 2 4" xfId="17732"/>
    <cellStyle name="Calculation 3 2 4 2 5" xfId="17733"/>
    <cellStyle name="Calculation 3 2 4 2 6" xfId="17734"/>
    <cellStyle name="Calculation 3 2 4 2 7" xfId="17735"/>
    <cellStyle name="Calculation 3 2 4 3" xfId="13118"/>
    <cellStyle name="Calculation 3 2 4 4" xfId="14560"/>
    <cellStyle name="Calculation 3 2 4 5" xfId="17736"/>
    <cellStyle name="Calculation 3 2 4 6" xfId="17737"/>
    <cellStyle name="Calculation 3 2 4 7" xfId="17738"/>
    <cellStyle name="Calculation 3 2 4 8" xfId="17739"/>
    <cellStyle name="Calculation 3 2 5" xfId="13120"/>
    <cellStyle name="Calculation 3 2 5 2" xfId="13121"/>
    <cellStyle name="Calculation 3 2 5 2 2" xfId="14561"/>
    <cellStyle name="Calculation 3 2 5 2 3" xfId="14562"/>
    <cellStyle name="Calculation 3 2 5 2 4" xfId="17740"/>
    <cellStyle name="Calculation 3 2 5 2 5" xfId="17741"/>
    <cellStyle name="Calculation 3 2 5 2 6" xfId="17742"/>
    <cellStyle name="Calculation 3 2 5 2 7" xfId="17743"/>
    <cellStyle name="Calculation 3 2 5 3" xfId="14563"/>
    <cellStyle name="Calculation 3 2 5 4" xfId="14564"/>
    <cellStyle name="Calculation 3 2 5 5" xfId="17744"/>
    <cellStyle name="Calculation 3 2 5 6" xfId="17745"/>
    <cellStyle name="Calculation 3 2 5 7" xfId="17746"/>
    <cellStyle name="Calculation 3 2 5 8" xfId="17747"/>
    <cellStyle name="Calculation 3 2 6" xfId="13122"/>
    <cellStyle name="Calculation 3 2 6 2" xfId="13123"/>
    <cellStyle name="Calculation 3 2 6 2 2" xfId="14565"/>
    <cellStyle name="Calculation 3 2 6 2 3" xfId="14566"/>
    <cellStyle name="Calculation 3 2 6 2 4" xfId="17748"/>
    <cellStyle name="Calculation 3 2 6 2 5" xfId="17749"/>
    <cellStyle name="Calculation 3 2 6 2 6" xfId="17750"/>
    <cellStyle name="Calculation 3 2 6 2 7" xfId="17751"/>
    <cellStyle name="Calculation 3 2 6 3" xfId="14567"/>
    <cellStyle name="Calculation 3 2 6 4" xfId="14568"/>
    <cellStyle name="Calculation 3 2 6 5" xfId="17752"/>
    <cellStyle name="Calculation 3 2 6 6" xfId="17753"/>
    <cellStyle name="Calculation 3 2 6 7" xfId="17754"/>
    <cellStyle name="Calculation 3 2 6 8" xfId="17755"/>
    <cellStyle name="Calculation 3 2 7" xfId="13124"/>
    <cellStyle name="Calculation 3 2 7 2" xfId="14569"/>
    <cellStyle name="Calculation 3 2 7 3" xfId="14570"/>
    <cellStyle name="Calculation 3 2 7 4" xfId="17756"/>
    <cellStyle name="Calculation 3 2 7 5" xfId="17757"/>
    <cellStyle name="Calculation 3 2 7 6" xfId="17758"/>
    <cellStyle name="Calculation 3 2 7 7" xfId="17759"/>
    <cellStyle name="Calculation 3 2 8" xfId="13838"/>
    <cellStyle name="Calculation 3 2 8 2" xfId="14571"/>
    <cellStyle name="Calculation 3 2 8 3" xfId="14572"/>
    <cellStyle name="Calculation 3 2 8 4" xfId="17760"/>
    <cellStyle name="Calculation 3 2 8 5" xfId="17761"/>
    <cellStyle name="Calculation 3 2 8 6" xfId="17762"/>
    <cellStyle name="Calculation 3 2 8 7" xfId="17763"/>
    <cellStyle name="Calculation 3 3" xfId="759"/>
    <cellStyle name="Calculation 3 3 10" xfId="17764"/>
    <cellStyle name="Calculation 3 3 11" xfId="17765"/>
    <cellStyle name="Calculation 3 3 2" xfId="1552"/>
    <cellStyle name="Calculation 3 3 2 10" xfId="2980"/>
    <cellStyle name="Calculation 3 3 2 11" xfId="14573"/>
    <cellStyle name="Calculation 3 3 2 12" xfId="17766"/>
    <cellStyle name="Calculation 3 3 2 13" xfId="17767"/>
    <cellStyle name="Calculation 3 3 2 2" xfId="3051"/>
    <cellStyle name="Calculation 3 3 2 2 2" xfId="13125"/>
    <cellStyle name="Calculation 3 3 2 2 2 2" xfId="13126"/>
    <cellStyle name="Calculation 3 3 2 2 2 2 2" xfId="14574"/>
    <cellStyle name="Calculation 3 3 2 2 2 2 3" xfId="14575"/>
    <cellStyle name="Calculation 3 3 2 2 2 2 4" xfId="17768"/>
    <cellStyle name="Calculation 3 3 2 2 2 2 5" xfId="17769"/>
    <cellStyle name="Calculation 3 3 2 2 2 2 6" xfId="17770"/>
    <cellStyle name="Calculation 3 3 2 2 2 2 7" xfId="17771"/>
    <cellStyle name="Calculation 3 3 2 2 2 3" xfId="14576"/>
    <cellStyle name="Calculation 3 3 2 2 2 4" xfId="14577"/>
    <cellStyle name="Calculation 3 3 2 2 2 5" xfId="17772"/>
    <cellStyle name="Calculation 3 3 2 2 2 6" xfId="17773"/>
    <cellStyle name="Calculation 3 3 2 2 2 7" xfId="17774"/>
    <cellStyle name="Calculation 3 3 2 2 2 8" xfId="17775"/>
    <cellStyle name="Calculation 3 3 2 2 3" xfId="13127"/>
    <cellStyle name="Calculation 3 3 2 2 3 2" xfId="13128"/>
    <cellStyle name="Calculation 3 3 2 2 3 2 2" xfId="14578"/>
    <cellStyle name="Calculation 3 3 2 2 3 2 3" xfId="14579"/>
    <cellStyle name="Calculation 3 3 2 2 3 2 4" xfId="17776"/>
    <cellStyle name="Calculation 3 3 2 2 3 2 5" xfId="17777"/>
    <cellStyle name="Calculation 3 3 2 2 3 2 6" xfId="17778"/>
    <cellStyle name="Calculation 3 3 2 2 3 2 7" xfId="17779"/>
    <cellStyle name="Calculation 3 3 2 2 3 3" xfId="14580"/>
    <cellStyle name="Calculation 3 3 2 2 3 4" xfId="14581"/>
    <cellStyle name="Calculation 3 3 2 2 3 5" xfId="17780"/>
    <cellStyle name="Calculation 3 3 2 2 3 6" xfId="17781"/>
    <cellStyle name="Calculation 3 3 2 2 3 7" xfId="17782"/>
    <cellStyle name="Calculation 3 3 2 2 3 8" xfId="17783"/>
    <cellStyle name="Calculation 3 3 2 2 4" xfId="13129"/>
    <cellStyle name="Calculation 3 3 2 2 4 2" xfId="13130"/>
    <cellStyle name="Calculation 3 3 2 2 4 2 2" xfId="14582"/>
    <cellStyle name="Calculation 3 3 2 2 4 2 3" xfId="14583"/>
    <cellStyle name="Calculation 3 3 2 2 4 2 4" xfId="17784"/>
    <cellStyle name="Calculation 3 3 2 2 4 2 5" xfId="17785"/>
    <cellStyle name="Calculation 3 3 2 2 4 2 6" xfId="17786"/>
    <cellStyle name="Calculation 3 3 2 2 4 2 7" xfId="17787"/>
    <cellStyle name="Calculation 3 3 2 2 4 3" xfId="14584"/>
    <cellStyle name="Calculation 3 3 2 2 4 4" xfId="14585"/>
    <cellStyle name="Calculation 3 3 2 2 4 5" xfId="17788"/>
    <cellStyle name="Calculation 3 3 2 2 4 6" xfId="17789"/>
    <cellStyle name="Calculation 3 3 2 2 4 7" xfId="17790"/>
    <cellStyle name="Calculation 3 3 2 2 4 8" xfId="17791"/>
    <cellStyle name="Calculation 3 3 2 2 5" xfId="13131"/>
    <cellStyle name="Calculation 3 3 2 2 5 2" xfId="14586"/>
    <cellStyle name="Calculation 3 3 2 2 5 3" xfId="14587"/>
    <cellStyle name="Calculation 3 3 2 2 5 4" xfId="17792"/>
    <cellStyle name="Calculation 3 3 2 2 5 5" xfId="17793"/>
    <cellStyle name="Calculation 3 3 2 2 5 6" xfId="17794"/>
    <cellStyle name="Calculation 3 3 2 2 5 7" xfId="17795"/>
    <cellStyle name="Calculation 3 3 2 2 6" xfId="14588"/>
    <cellStyle name="Calculation 3 3 2 2 7" xfId="14589"/>
    <cellStyle name="Calculation 3 3 2 2 8" xfId="17796"/>
    <cellStyle name="Calculation 3 3 2 2 9" xfId="17797"/>
    <cellStyle name="Calculation 3 3 2 3" xfId="3154"/>
    <cellStyle name="Calculation 3 3 2 3 2" xfId="13132"/>
    <cellStyle name="Calculation 3 3 2 3 2 2" xfId="13133"/>
    <cellStyle name="Calculation 3 3 2 3 2 2 2" xfId="14590"/>
    <cellStyle name="Calculation 3 3 2 3 2 2 3" xfId="14591"/>
    <cellStyle name="Calculation 3 3 2 3 2 2 4" xfId="17798"/>
    <cellStyle name="Calculation 3 3 2 3 2 2 5" xfId="17799"/>
    <cellStyle name="Calculation 3 3 2 3 2 2 6" xfId="17800"/>
    <cellStyle name="Calculation 3 3 2 3 2 2 7" xfId="17801"/>
    <cellStyle name="Calculation 3 3 2 3 2 3" xfId="14592"/>
    <cellStyle name="Calculation 3 3 2 3 2 4" xfId="14593"/>
    <cellStyle name="Calculation 3 3 2 3 2 5" xfId="17802"/>
    <cellStyle name="Calculation 3 3 2 3 2 6" xfId="17803"/>
    <cellStyle name="Calculation 3 3 2 3 2 7" xfId="17804"/>
    <cellStyle name="Calculation 3 3 2 3 2 8" xfId="17805"/>
    <cellStyle name="Calculation 3 3 2 3 3" xfId="13134"/>
    <cellStyle name="Calculation 3 3 2 3 3 2" xfId="13135"/>
    <cellStyle name="Calculation 3 3 2 3 3 2 2" xfId="14594"/>
    <cellStyle name="Calculation 3 3 2 3 3 2 3" xfId="14595"/>
    <cellStyle name="Calculation 3 3 2 3 3 2 4" xfId="17806"/>
    <cellStyle name="Calculation 3 3 2 3 3 2 5" xfId="17807"/>
    <cellStyle name="Calculation 3 3 2 3 3 2 6" xfId="17808"/>
    <cellStyle name="Calculation 3 3 2 3 3 2 7" xfId="17809"/>
    <cellStyle name="Calculation 3 3 2 3 3 3" xfId="14596"/>
    <cellStyle name="Calculation 3 3 2 3 3 4" xfId="14597"/>
    <cellStyle name="Calculation 3 3 2 3 3 5" xfId="17810"/>
    <cellStyle name="Calculation 3 3 2 3 3 6" xfId="17811"/>
    <cellStyle name="Calculation 3 3 2 3 3 7" xfId="17812"/>
    <cellStyle name="Calculation 3 3 2 3 3 8" xfId="17813"/>
    <cellStyle name="Calculation 3 3 2 3 4" xfId="13136"/>
    <cellStyle name="Calculation 3 3 2 3 4 2" xfId="13137"/>
    <cellStyle name="Calculation 3 3 2 3 4 2 2" xfId="14598"/>
    <cellStyle name="Calculation 3 3 2 3 4 2 3" xfId="14599"/>
    <cellStyle name="Calculation 3 3 2 3 4 2 4" xfId="17814"/>
    <cellStyle name="Calculation 3 3 2 3 4 2 5" xfId="17815"/>
    <cellStyle name="Calculation 3 3 2 3 4 2 6" xfId="17816"/>
    <cellStyle name="Calculation 3 3 2 3 4 2 7" xfId="17817"/>
    <cellStyle name="Calculation 3 3 2 3 4 3" xfId="14600"/>
    <cellStyle name="Calculation 3 3 2 3 4 4" xfId="14601"/>
    <cellStyle name="Calculation 3 3 2 3 4 5" xfId="17818"/>
    <cellStyle name="Calculation 3 3 2 3 4 6" xfId="17819"/>
    <cellStyle name="Calculation 3 3 2 3 4 7" xfId="17820"/>
    <cellStyle name="Calculation 3 3 2 3 4 8" xfId="17821"/>
    <cellStyle name="Calculation 3 3 2 3 5" xfId="13138"/>
    <cellStyle name="Calculation 3 3 2 3 5 2" xfId="14602"/>
    <cellStyle name="Calculation 3 3 2 3 5 3" xfId="14603"/>
    <cellStyle name="Calculation 3 3 2 3 5 4" xfId="17822"/>
    <cellStyle name="Calculation 3 3 2 3 5 5" xfId="17823"/>
    <cellStyle name="Calculation 3 3 2 3 5 6" xfId="17824"/>
    <cellStyle name="Calculation 3 3 2 3 5 7" xfId="17825"/>
    <cellStyle name="Calculation 3 3 2 3 6" xfId="14604"/>
    <cellStyle name="Calculation 3 3 2 3 7" xfId="14605"/>
    <cellStyle name="Calculation 3 3 2 3 8" xfId="17826"/>
    <cellStyle name="Calculation 3 3 2 3 9" xfId="17827"/>
    <cellStyle name="Calculation 3 3 2 4" xfId="3176"/>
    <cellStyle name="Calculation 3 3 2 4 2" xfId="13139"/>
    <cellStyle name="Calculation 3 3 2 4 2 2" xfId="13140"/>
    <cellStyle name="Calculation 3 3 2 4 2 2 2" xfId="14606"/>
    <cellStyle name="Calculation 3 3 2 4 2 2 3" xfId="14607"/>
    <cellStyle name="Calculation 3 3 2 4 2 2 4" xfId="17828"/>
    <cellStyle name="Calculation 3 3 2 4 2 2 5" xfId="17829"/>
    <cellStyle name="Calculation 3 3 2 4 2 2 6" xfId="17830"/>
    <cellStyle name="Calculation 3 3 2 4 2 2 7" xfId="17831"/>
    <cellStyle name="Calculation 3 3 2 4 2 3" xfId="14608"/>
    <cellStyle name="Calculation 3 3 2 4 2 4" xfId="14609"/>
    <cellStyle name="Calculation 3 3 2 4 2 5" xfId="17832"/>
    <cellStyle name="Calculation 3 3 2 4 2 6" xfId="17833"/>
    <cellStyle name="Calculation 3 3 2 4 2 7" xfId="17834"/>
    <cellStyle name="Calculation 3 3 2 4 2 8" xfId="17835"/>
    <cellStyle name="Calculation 3 3 2 4 3" xfId="13141"/>
    <cellStyle name="Calculation 3 3 2 4 3 2" xfId="13142"/>
    <cellStyle name="Calculation 3 3 2 4 3 2 2" xfId="14610"/>
    <cellStyle name="Calculation 3 3 2 4 3 2 3" xfId="14611"/>
    <cellStyle name="Calculation 3 3 2 4 3 2 4" xfId="17836"/>
    <cellStyle name="Calculation 3 3 2 4 3 2 5" xfId="17837"/>
    <cellStyle name="Calculation 3 3 2 4 3 2 6" xfId="17838"/>
    <cellStyle name="Calculation 3 3 2 4 3 2 7" xfId="17839"/>
    <cellStyle name="Calculation 3 3 2 4 3 3" xfId="14612"/>
    <cellStyle name="Calculation 3 3 2 4 3 4" xfId="14613"/>
    <cellStyle name="Calculation 3 3 2 4 3 5" xfId="17840"/>
    <cellStyle name="Calculation 3 3 2 4 3 6" xfId="17841"/>
    <cellStyle name="Calculation 3 3 2 4 3 7" xfId="17842"/>
    <cellStyle name="Calculation 3 3 2 4 3 8" xfId="17843"/>
    <cellStyle name="Calculation 3 3 2 4 4" xfId="13143"/>
    <cellStyle name="Calculation 3 3 2 4 4 2" xfId="13144"/>
    <cellStyle name="Calculation 3 3 2 4 4 2 2" xfId="14614"/>
    <cellStyle name="Calculation 3 3 2 4 4 2 3" xfId="14615"/>
    <cellStyle name="Calculation 3 3 2 4 4 2 4" xfId="17844"/>
    <cellStyle name="Calculation 3 3 2 4 4 2 5" xfId="17845"/>
    <cellStyle name="Calculation 3 3 2 4 4 2 6" xfId="17846"/>
    <cellStyle name="Calculation 3 3 2 4 4 2 7" xfId="17847"/>
    <cellStyle name="Calculation 3 3 2 4 4 3" xfId="14616"/>
    <cellStyle name="Calculation 3 3 2 4 4 4" xfId="14617"/>
    <cellStyle name="Calculation 3 3 2 4 4 5" xfId="17848"/>
    <cellStyle name="Calculation 3 3 2 4 4 6" xfId="17849"/>
    <cellStyle name="Calculation 3 3 2 4 4 7" xfId="17850"/>
    <cellStyle name="Calculation 3 3 2 4 4 8" xfId="17851"/>
    <cellStyle name="Calculation 3 3 2 4 5" xfId="13145"/>
    <cellStyle name="Calculation 3 3 2 4 5 2" xfId="14618"/>
    <cellStyle name="Calculation 3 3 2 4 5 3" xfId="14619"/>
    <cellStyle name="Calculation 3 3 2 4 5 4" xfId="17852"/>
    <cellStyle name="Calculation 3 3 2 4 5 5" xfId="17853"/>
    <cellStyle name="Calculation 3 3 2 4 5 6" xfId="17854"/>
    <cellStyle name="Calculation 3 3 2 4 5 7" xfId="17855"/>
    <cellStyle name="Calculation 3 3 2 4 6" xfId="14620"/>
    <cellStyle name="Calculation 3 3 2 4 7" xfId="14621"/>
    <cellStyle name="Calculation 3 3 2 4 8" xfId="17856"/>
    <cellStyle name="Calculation 3 3 2 4 9" xfId="17857"/>
    <cellStyle name="Calculation 3 3 2 5" xfId="3129"/>
    <cellStyle name="Calculation 3 3 2 5 2" xfId="13146"/>
    <cellStyle name="Calculation 3 3 2 5 2 2" xfId="13147"/>
    <cellStyle name="Calculation 3 3 2 5 2 2 2" xfId="14622"/>
    <cellStyle name="Calculation 3 3 2 5 2 2 3" xfId="14623"/>
    <cellStyle name="Calculation 3 3 2 5 2 2 4" xfId="17858"/>
    <cellStyle name="Calculation 3 3 2 5 2 2 5" xfId="17859"/>
    <cellStyle name="Calculation 3 3 2 5 2 2 6" xfId="17860"/>
    <cellStyle name="Calculation 3 3 2 5 2 2 7" xfId="17861"/>
    <cellStyle name="Calculation 3 3 2 5 2 3" xfId="14624"/>
    <cellStyle name="Calculation 3 3 2 5 2 4" xfId="14625"/>
    <cellStyle name="Calculation 3 3 2 5 2 5" xfId="17862"/>
    <cellStyle name="Calculation 3 3 2 5 2 6" xfId="17863"/>
    <cellStyle name="Calculation 3 3 2 5 2 7" xfId="17864"/>
    <cellStyle name="Calculation 3 3 2 5 2 8" xfId="17865"/>
    <cellStyle name="Calculation 3 3 2 5 3" xfId="13148"/>
    <cellStyle name="Calculation 3 3 2 5 3 2" xfId="13149"/>
    <cellStyle name="Calculation 3 3 2 5 3 2 2" xfId="14626"/>
    <cellStyle name="Calculation 3 3 2 5 3 2 3" xfId="14627"/>
    <cellStyle name="Calculation 3 3 2 5 3 2 4" xfId="17866"/>
    <cellStyle name="Calculation 3 3 2 5 3 2 5" xfId="17867"/>
    <cellStyle name="Calculation 3 3 2 5 3 2 6" xfId="17868"/>
    <cellStyle name="Calculation 3 3 2 5 3 2 7" xfId="17869"/>
    <cellStyle name="Calculation 3 3 2 5 3 3" xfId="14628"/>
    <cellStyle name="Calculation 3 3 2 5 3 4" xfId="14629"/>
    <cellStyle name="Calculation 3 3 2 5 3 5" xfId="17870"/>
    <cellStyle name="Calculation 3 3 2 5 3 6" xfId="17871"/>
    <cellStyle name="Calculation 3 3 2 5 3 7" xfId="17872"/>
    <cellStyle name="Calculation 3 3 2 5 3 8" xfId="17873"/>
    <cellStyle name="Calculation 3 3 2 5 4" xfId="13150"/>
    <cellStyle name="Calculation 3 3 2 5 4 2" xfId="13151"/>
    <cellStyle name="Calculation 3 3 2 5 4 2 2" xfId="14630"/>
    <cellStyle name="Calculation 3 3 2 5 4 2 3" xfId="14631"/>
    <cellStyle name="Calculation 3 3 2 5 4 2 4" xfId="17874"/>
    <cellStyle name="Calculation 3 3 2 5 4 2 5" xfId="17875"/>
    <cellStyle name="Calculation 3 3 2 5 4 2 6" xfId="17876"/>
    <cellStyle name="Calculation 3 3 2 5 4 2 7" xfId="17877"/>
    <cellStyle name="Calculation 3 3 2 5 4 3" xfId="14632"/>
    <cellStyle name="Calculation 3 3 2 5 4 4" xfId="14633"/>
    <cellStyle name="Calculation 3 3 2 5 4 5" xfId="17878"/>
    <cellStyle name="Calculation 3 3 2 5 4 6" xfId="17879"/>
    <cellStyle name="Calculation 3 3 2 5 4 7" xfId="17880"/>
    <cellStyle name="Calculation 3 3 2 5 4 8" xfId="17881"/>
    <cellStyle name="Calculation 3 3 2 5 5" xfId="13152"/>
    <cellStyle name="Calculation 3 3 2 5 5 2" xfId="14634"/>
    <cellStyle name="Calculation 3 3 2 5 5 3" xfId="14635"/>
    <cellStyle name="Calculation 3 3 2 5 5 4" xfId="17882"/>
    <cellStyle name="Calculation 3 3 2 5 5 5" xfId="17883"/>
    <cellStyle name="Calculation 3 3 2 5 5 6" xfId="17884"/>
    <cellStyle name="Calculation 3 3 2 5 5 7" xfId="17885"/>
    <cellStyle name="Calculation 3 3 2 5 6" xfId="14636"/>
    <cellStyle name="Calculation 3 3 2 5 7" xfId="14637"/>
    <cellStyle name="Calculation 3 3 2 5 8" xfId="17886"/>
    <cellStyle name="Calculation 3 3 2 5 9" xfId="17887"/>
    <cellStyle name="Calculation 3 3 2 6" xfId="13153"/>
    <cellStyle name="Calculation 3 3 2 6 2" xfId="13154"/>
    <cellStyle name="Calculation 3 3 2 6 2 2" xfId="14638"/>
    <cellStyle name="Calculation 3 3 2 6 2 3" xfId="14639"/>
    <cellStyle name="Calculation 3 3 2 6 2 4" xfId="17888"/>
    <cellStyle name="Calculation 3 3 2 6 2 5" xfId="17889"/>
    <cellStyle name="Calculation 3 3 2 6 2 6" xfId="17890"/>
    <cellStyle name="Calculation 3 3 2 6 2 7" xfId="17891"/>
    <cellStyle name="Calculation 3 3 2 6 3" xfId="14640"/>
    <cellStyle name="Calculation 3 3 2 6 4" xfId="14641"/>
    <cellStyle name="Calculation 3 3 2 6 5" xfId="17892"/>
    <cellStyle name="Calculation 3 3 2 6 6" xfId="17893"/>
    <cellStyle name="Calculation 3 3 2 6 7" xfId="17894"/>
    <cellStyle name="Calculation 3 3 2 6 8" xfId="17895"/>
    <cellStyle name="Calculation 3 3 2 7" xfId="13155"/>
    <cellStyle name="Calculation 3 3 2 7 2" xfId="13156"/>
    <cellStyle name="Calculation 3 3 2 7 2 2" xfId="14642"/>
    <cellStyle name="Calculation 3 3 2 7 2 3" xfId="14643"/>
    <cellStyle name="Calculation 3 3 2 7 2 4" xfId="17896"/>
    <cellStyle name="Calculation 3 3 2 7 2 5" xfId="17897"/>
    <cellStyle name="Calculation 3 3 2 7 2 6" xfId="17898"/>
    <cellStyle name="Calculation 3 3 2 7 2 7" xfId="17899"/>
    <cellStyle name="Calculation 3 3 2 7 3" xfId="14644"/>
    <cellStyle name="Calculation 3 3 2 7 4" xfId="14645"/>
    <cellStyle name="Calculation 3 3 2 7 5" xfId="17900"/>
    <cellStyle name="Calculation 3 3 2 7 6" xfId="17901"/>
    <cellStyle name="Calculation 3 3 2 7 7" xfId="17902"/>
    <cellStyle name="Calculation 3 3 2 7 8" xfId="17903"/>
    <cellStyle name="Calculation 3 3 2 8" xfId="13157"/>
    <cellStyle name="Calculation 3 3 2 8 2" xfId="13158"/>
    <cellStyle name="Calculation 3 3 2 8 2 2" xfId="14646"/>
    <cellStyle name="Calculation 3 3 2 8 2 3" xfId="14647"/>
    <cellStyle name="Calculation 3 3 2 8 2 4" xfId="17904"/>
    <cellStyle name="Calculation 3 3 2 8 2 5" xfId="17905"/>
    <cellStyle name="Calculation 3 3 2 8 2 6" xfId="17906"/>
    <cellStyle name="Calculation 3 3 2 8 2 7" xfId="17907"/>
    <cellStyle name="Calculation 3 3 2 8 3" xfId="14648"/>
    <cellStyle name="Calculation 3 3 2 8 4" xfId="14649"/>
    <cellStyle name="Calculation 3 3 2 8 5" xfId="17908"/>
    <cellStyle name="Calculation 3 3 2 8 6" xfId="17909"/>
    <cellStyle name="Calculation 3 3 2 8 7" xfId="17910"/>
    <cellStyle name="Calculation 3 3 2 8 8" xfId="17911"/>
    <cellStyle name="Calculation 3 3 2 9" xfId="13159"/>
    <cellStyle name="Calculation 3 3 2 9 2" xfId="14650"/>
    <cellStyle name="Calculation 3 3 2 9 3" xfId="14651"/>
    <cellStyle name="Calculation 3 3 2 9 4" xfId="17912"/>
    <cellStyle name="Calculation 3 3 2 9 5" xfId="17913"/>
    <cellStyle name="Calculation 3 3 2 9 6" xfId="17914"/>
    <cellStyle name="Calculation 3 3 2 9 7" xfId="17915"/>
    <cellStyle name="Calculation 3 3 3" xfId="1370"/>
    <cellStyle name="Calculation 3 3 3 10" xfId="17916"/>
    <cellStyle name="Calculation 3 3 3 11" xfId="17917"/>
    <cellStyle name="Calculation 3 3 3 2" xfId="13160"/>
    <cellStyle name="Calculation 3 3 3 2 2" xfId="13161"/>
    <cellStyle name="Calculation 3 3 3 2 2 2" xfId="14652"/>
    <cellStyle name="Calculation 3 3 3 2 2 3" xfId="14653"/>
    <cellStyle name="Calculation 3 3 3 2 2 4" xfId="17918"/>
    <cellStyle name="Calculation 3 3 3 2 2 5" xfId="17919"/>
    <cellStyle name="Calculation 3 3 3 2 2 6" xfId="17920"/>
    <cellStyle name="Calculation 3 3 3 2 2 7" xfId="17921"/>
    <cellStyle name="Calculation 3 3 3 2 3" xfId="14654"/>
    <cellStyle name="Calculation 3 3 3 2 4" xfId="14655"/>
    <cellStyle name="Calculation 3 3 3 2 5" xfId="17922"/>
    <cellStyle name="Calculation 3 3 3 2 6" xfId="17923"/>
    <cellStyle name="Calculation 3 3 3 2 7" xfId="17924"/>
    <cellStyle name="Calculation 3 3 3 2 8" xfId="17925"/>
    <cellStyle name="Calculation 3 3 3 3" xfId="13162"/>
    <cellStyle name="Calculation 3 3 3 3 2" xfId="13163"/>
    <cellStyle name="Calculation 3 3 3 3 2 2" xfId="14656"/>
    <cellStyle name="Calculation 3 3 3 3 2 3" xfId="14657"/>
    <cellStyle name="Calculation 3 3 3 3 2 4" xfId="17926"/>
    <cellStyle name="Calculation 3 3 3 3 2 5" xfId="17927"/>
    <cellStyle name="Calculation 3 3 3 3 2 6" xfId="17928"/>
    <cellStyle name="Calculation 3 3 3 3 2 7" xfId="17929"/>
    <cellStyle name="Calculation 3 3 3 3 3" xfId="14658"/>
    <cellStyle name="Calculation 3 3 3 3 4" xfId="14659"/>
    <cellStyle name="Calculation 3 3 3 3 5" xfId="17930"/>
    <cellStyle name="Calculation 3 3 3 3 6" xfId="17931"/>
    <cellStyle name="Calculation 3 3 3 3 7" xfId="17932"/>
    <cellStyle name="Calculation 3 3 3 3 8" xfId="17933"/>
    <cellStyle name="Calculation 3 3 3 4" xfId="13164"/>
    <cellStyle name="Calculation 3 3 3 4 2" xfId="13165"/>
    <cellStyle name="Calculation 3 3 3 4 2 2" xfId="14660"/>
    <cellStyle name="Calculation 3 3 3 4 2 3" xfId="14661"/>
    <cellStyle name="Calculation 3 3 3 4 2 4" xfId="17934"/>
    <cellStyle name="Calculation 3 3 3 4 2 5" xfId="17935"/>
    <cellStyle name="Calculation 3 3 3 4 2 6" xfId="17936"/>
    <cellStyle name="Calculation 3 3 3 4 2 7" xfId="17937"/>
    <cellStyle name="Calculation 3 3 3 4 3" xfId="14662"/>
    <cellStyle name="Calculation 3 3 3 4 4" xfId="14663"/>
    <cellStyle name="Calculation 3 3 3 4 5" xfId="17938"/>
    <cellStyle name="Calculation 3 3 3 4 6" xfId="17939"/>
    <cellStyle name="Calculation 3 3 3 4 7" xfId="17940"/>
    <cellStyle name="Calculation 3 3 3 4 8" xfId="17941"/>
    <cellStyle name="Calculation 3 3 3 5" xfId="13166"/>
    <cellStyle name="Calculation 3 3 3 5 2" xfId="14664"/>
    <cellStyle name="Calculation 3 3 3 5 3" xfId="14665"/>
    <cellStyle name="Calculation 3 3 3 5 4" xfId="17942"/>
    <cellStyle name="Calculation 3 3 3 5 5" xfId="17943"/>
    <cellStyle name="Calculation 3 3 3 5 6" xfId="17944"/>
    <cellStyle name="Calculation 3 3 3 5 7" xfId="17945"/>
    <cellStyle name="Calculation 3 3 3 6" xfId="3276"/>
    <cellStyle name="Calculation 3 3 3 7" xfId="14666"/>
    <cellStyle name="Calculation 3 3 3 8" xfId="17946"/>
    <cellStyle name="Calculation 3 3 3 9" xfId="17947"/>
    <cellStyle name="Calculation 3 3 4" xfId="13167"/>
    <cellStyle name="Calculation 3 3 4 2" xfId="13168"/>
    <cellStyle name="Calculation 3 3 4 2 2" xfId="14667"/>
    <cellStyle name="Calculation 3 3 4 2 3" xfId="14668"/>
    <cellStyle name="Calculation 3 3 4 2 4" xfId="17948"/>
    <cellStyle name="Calculation 3 3 4 2 5" xfId="17949"/>
    <cellStyle name="Calculation 3 3 4 2 6" xfId="17950"/>
    <cellStyle name="Calculation 3 3 4 2 7" xfId="17951"/>
    <cellStyle name="Calculation 3 3 4 3" xfId="14669"/>
    <cellStyle name="Calculation 3 3 4 4" xfId="14670"/>
    <cellStyle name="Calculation 3 3 4 5" xfId="17952"/>
    <cellStyle name="Calculation 3 3 4 6" xfId="17953"/>
    <cellStyle name="Calculation 3 3 4 7" xfId="17954"/>
    <cellStyle name="Calculation 3 3 4 8" xfId="17955"/>
    <cellStyle name="Calculation 3 3 5" xfId="13169"/>
    <cellStyle name="Calculation 3 3 5 2" xfId="13170"/>
    <cellStyle name="Calculation 3 3 5 2 2" xfId="14671"/>
    <cellStyle name="Calculation 3 3 5 2 3" xfId="14672"/>
    <cellStyle name="Calculation 3 3 5 2 4" xfId="17956"/>
    <cellStyle name="Calculation 3 3 5 2 5" xfId="17957"/>
    <cellStyle name="Calculation 3 3 5 2 6" xfId="17958"/>
    <cellStyle name="Calculation 3 3 5 2 7" xfId="17959"/>
    <cellStyle name="Calculation 3 3 5 3" xfId="14673"/>
    <cellStyle name="Calculation 3 3 5 4" xfId="14674"/>
    <cellStyle name="Calculation 3 3 5 5" xfId="17960"/>
    <cellStyle name="Calculation 3 3 5 6" xfId="17961"/>
    <cellStyle name="Calculation 3 3 5 7" xfId="17962"/>
    <cellStyle name="Calculation 3 3 5 8" xfId="17963"/>
    <cellStyle name="Calculation 3 3 6" xfId="13171"/>
    <cellStyle name="Calculation 3 3 6 2" xfId="13172"/>
    <cellStyle name="Calculation 3 3 6 2 2" xfId="14675"/>
    <cellStyle name="Calculation 3 3 6 2 3" xfId="14676"/>
    <cellStyle name="Calculation 3 3 6 2 4" xfId="17964"/>
    <cellStyle name="Calculation 3 3 6 2 5" xfId="17965"/>
    <cellStyle name="Calculation 3 3 6 2 6" xfId="17966"/>
    <cellStyle name="Calculation 3 3 6 2 7" xfId="17967"/>
    <cellStyle name="Calculation 3 3 6 3" xfId="14677"/>
    <cellStyle name="Calculation 3 3 6 4" xfId="14678"/>
    <cellStyle name="Calculation 3 3 6 5" xfId="17968"/>
    <cellStyle name="Calculation 3 3 6 6" xfId="17969"/>
    <cellStyle name="Calculation 3 3 6 7" xfId="17970"/>
    <cellStyle name="Calculation 3 3 6 8" xfId="17971"/>
    <cellStyle name="Calculation 3 3 7" xfId="13173"/>
    <cellStyle name="Calculation 3 3 7 2" xfId="14679"/>
    <cellStyle name="Calculation 3 3 7 3" xfId="14680"/>
    <cellStyle name="Calculation 3 3 7 4" xfId="17972"/>
    <cellStyle name="Calculation 3 3 7 5" xfId="17973"/>
    <cellStyle name="Calculation 3 3 7 6" xfId="17974"/>
    <cellStyle name="Calculation 3 3 7 7" xfId="17975"/>
    <cellStyle name="Calculation 3 3 8" xfId="14681"/>
    <cellStyle name="Calculation 3 3 9" xfId="14682"/>
    <cellStyle name="Calculation 3 4" xfId="1297"/>
    <cellStyle name="Calculation 3 4 10" xfId="3018"/>
    <cellStyle name="Calculation 3 4 11" xfId="14683"/>
    <cellStyle name="Calculation 3 4 12" xfId="17976"/>
    <cellStyle name="Calculation 3 4 13" xfId="17977"/>
    <cellStyle name="Calculation 3 4 2" xfId="1553"/>
    <cellStyle name="Calculation 3 4 2 2" xfId="13174"/>
    <cellStyle name="Calculation 3 4 2 2 2" xfId="13175"/>
    <cellStyle name="Calculation 3 4 2 2 2 2" xfId="14684"/>
    <cellStyle name="Calculation 3 4 2 2 2 3" xfId="14685"/>
    <cellStyle name="Calculation 3 4 2 2 2 4" xfId="17978"/>
    <cellStyle name="Calculation 3 4 2 2 2 5" xfId="17979"/>
    <cellStyle name="Calculation 3 4 2 2 2 6" xfId="17980"/>
    <cellStyle name="Calculation 3 4 2 2 2 7" xfId="17981"/>
    <cellStyle name="Calculation 3 4 2 2 3" xfId="14686"/>
    <cellStyle name="Calculation 3 4 2 2 4" xfId="14687"/>
    <cellStyle name="Calculation 3 4 2 2 5" xfId="17982"/>
    <cellStyle name="Calculation 3 4 2 2 6" xfId="17983"/>
    <cellStyle name="Calculation 3 4 2 2 7" xfId="17984"/>
    <cellStyle name="Calculation 3 4 2 2 8" xfId="17985"/>
    <cellStyle name="Calculation 3 4 2 3" xfId="13176"/>
    <cellStyle name="Calculation 3 4 2 3 2" xfId="13177"/>
    <cellStyle name="Calculation 3 4 2 3 2 2" xfId="14688"/>
    <cellStyle name="Calculation 3 4 2 3 2 3" xfId="14689"/>
    <cellStyle name="Calculation 3 4 2 3 2 4" xfId="17986"/>
    <cellStyle name="Calculation 3 4 2 3 2 5" xfId="17987"/>
    <cellStyle name="Calculation 3 4 2 3 2 6" xfId="17988"/>
    <cellStyle name="Calculation 3 4 2 3 2 7" xfId="17989"/>
    <cellStyle name="Calculation 3 4 2 3 3" xfId="14690"/>
    <cellStyle name="Calculation 3 4 2 3 4" xfId="14691"/>
    <cellStyle name="Calculation 3 4 2 3 5" xfId="17990"/>
    <cellStyle name="Calculation 3 4 2 3 6" xfId="17991"/>
    <cellStyle name="Calculation 3 4 2 3 7" xfId="17992"/>
    <cellStyle name="Calculation 3 4 2 3 8" xfId="17993"/>
    <cellStyle name="Calculation 3 4 2 4" xfId="13178"/>
    <cellStyle name="Calculation 3 4 2 4 2" xfId="13179"/>
    <cellStyle name="Calculation 3 4 2 4 2 2" xfId="14692"/>
    <cellStyle name="Calculation 3 4 2 4 2 3" xfId="14693"/>
    <cellStyle name="Calculation 3 4 2 4 2 4" xfId="17994"/>
    <cellStyle name="Calculation 3 4 2 4 2 5" xfId="17995"/>
    <cellStyle name="Calculation 3 4 2 4 2 6" xfId="17996"/>
    <cellStyle name="Calculation 3 4 2 4 2 7" xfId="17997"/>
    <cellStyle name="Calculation 3 4 2 4 3" xfId="14694"/>
    <cellStyle name="Calculation 3 4 2 4 4" xfId="14695"/>
    <cellStyle name="Calculation 3 4 2 4 5" xfId="17998"/>
    <cellStyle name="Calculation 3 4 2 4 6" xfId="17999"/>
    <cellStyle name="Calculation 3 4 2 4 7" xfId="18000"/>
    <cellStyle name="Calculation 3 4 2 4 8" xfId="18001"/>
    <cellStyle name="Calculation 3 4 2 5" xfId="13180"/>
    <cellStyle name="Calculation 3 4 2 5 2" xfId="14696"/>
    <cellStyle name="Calculation 3 4 2 5 3" xfId="14697"/>
    <cellStyle name="Calculation 3 4 2 5 4" xfId="18002"/>
    <cellStyle name="Calculation 3 4 2 5 5" xfId="18003"/>
    <cellStyle name="Calculation 3 4 2 5 6" xfId="18004"/>
    <cellStyle name="Calculation 3 4 2 5 7" xfId="18005"/>
    <cellStyle name="Calculation 3 4 2 6" xfId="3081"/>
    <cellStyle name="Calculation 3 4 2 7" xfId="14698"/>
    <cellStyle name="Calculation 3 4 2 8" xfId="18006"/>
    <cellStyle name="Calculation 3 4 2 9" xfId="18007"/>
    <cellStyle name="Calculation 3 4 3" xfId="3249"/>
    <cellStyle name="Calculation 3 4 3 2" xfId="13181"/>
    <cellStyle name="Calculation 3 4 3 2 2" xfId="13182"/>
    <cellStyle name="Calculation 3 4 3 2 2 2" xfId="14699"/>
    <cellStyle name="Calculation 3 4 3 2 2 3" xfId="14700"/>
    <cellStyle name="Calculation 3 4 3 2 2 4" xfId="18008"/>
    <cellStyle name="Calculation 3 4 3 2 2 5" xfId="18009"/>
    <cellStyle name="Calculation 3 4 3 2 2 6" xfId="18010"/>
    <cellStyle name="Calculation 3 4 3 2 2 7" xfId="18011"/>
    <cellStyle name="Calculation 3 4 3 2 3" xfId="14701"/>
    <cellStyle name="Calculation 3 4 3 2 4" xfId="14702"/>
    <cellStyle name="Calculation 3 4 3 2 5" xfId="18012"/>
    <cellStyle name="Calculation 3 4 3 2 6" xfId="18013"/>
    <cellStyle name="Calculation 3 4 3 2 7" xfId="18014"/>
    <cellStyle name="Calculation 3 4 3 2 8" xfId="18015"/>
    <cellStyle name="Calculation 3 4 3 3" xfId="13183"/>
    <cellStyle name="Calculation 3 4 3 3 2" xfId="13184"/>
    <cellStyle name="Calculation 3 4 3 3 2 2" xfId="14703"/>
    <cellStyle name="Calculation 3 4 3 3 2 3" xfId="14704"/>
    <cellStyle name="Calculation 3 4 3 3 2 4" xfId="18016"/>
    <cellStyle name="Calculation 3 4 3 3 2 5" xfId="18017"/>
    <cellStyle name="Calculation 3 4 3 3 2 6" xfId="18018"/>
    <cellStyle name="Calculation 3 4 3 3 2 7" xfId="18019"/>
    <cellStyle name="Calculation 3 4 3 3 3" xfId="14705"/>
    <cellStyle name="Calculation 3 4 3 3 4" xfId="14706"/>
    <cellStyle name="Calculation 3 4 3 3 5" xfId="18020"/>
    <cellStyle name="Calculation 3 4 3 3 6" xfId="18021"/>
    <cellStyle name="Calculation 3 4 3 3 7" xfId="18022"/>
    <cellStyle name="Calculation 3 4 3 3 8" xfId="18023"/>
    <cellStyle name="Calculation 3 4 3 4" xfId="13185"/>
    <cellStyle name="Calculation 3 4 3 4 2" xfId="13186"/>
    <cellStyle name="Calculation 3 4 3 4 2 2" xfId="14707"/>
    <cellStyle name="Calculation 3 4 3 4 2 3" xfId="14708"/>
    <cellStyle name="Calculation 3 4 3 4 2 4" xfId="18024"/>
    <cellStyle name="Calculation 3 4 3 4 2 5" xfId="18025"/>
    <cellStyle name="Calculation 3 4 3 4 2 6" xfId="18026"/>
    <cellStyle name="Calculation 3 4 3 4 2 7" xfId="18027"/>
    <cellStyle name="Calculation 3 4 3 4 3" xfId="14709"/>
    <cellStyle name="Calculation 3 4 3 4 4" xfId="14710"/>
    <cellStyle name="Calculation 3 4 3 4 5" xfId="18028"/>
    <cellStyle name="Calculation 3 4 3 4 6" xfId="18029"/>
    <cellStyle name="Calculation 3 4 3 4 7" xfId="18030"/>
    <cellStyle name="Calculation 3 4 3 4 8" xfId="18031"/>
    <cellStyle name="Calculation 3 4 3 5" xfId="13187"/>
    <cellStyle name="Calculation 3 4 3 5 2" xfId="14711"/>
    <cellStyle name="Calculation 3 4 3 5 3" xfId="14712"/>
    <cellStyle name="Calculation 3 4 3 5 4" xfId="18032"/>
    <cellStyle name="Calculation 3 4 3 5 5" xfId="18033"/>
    <cellStyle name="Calculation 3 4 3 5 6" xfId="18034"/>
    <cellStyle name="Calculation 3 4 3 5 7" xfId="18035"/>
    <cellStyle name="Calculation 3 4 3 6" xfId="14713"/>
    <cellStyle name="Calculation 3 4 3 7" xfId="14714"/>
    <cellStyle name="Calculation 3 4 3 8" xfId="18036"/>
    <cellStyle name="Calculation 3 4 3 9" xfId="18037"/>
    <cellStyle name="Calculation 3 4 4" xfId="3225"/>
    <cellStyle name="Calculation 3 4 4 2" xfId="13188"/>
    <cellStyle name="Calculation 3 4 4 2 2" xfId="13189"/>
    <cellStyle name="Calculation 3 4 4 2 2 2" xfId="14715"/>
    <cellStyle name="Calculation 3 4 4 2 2 3" xfId="14716"/>
    <cellStyle name="Calculation 3 4 4 2 2 4" xfId="18038"/>
    <cellStyle name="Calculation 3 4 4 2 2 5" xfId="18039"/>
    <cellStyle name="Calculation 3 4 4 2 2 6" xfId="18040"/>
    <cellStyle name="Calculation 3 4 4 2 2 7" xfId="18041"/>
    <cellStyle name="Calculation 3 4 4 2 3" xfId="14717"/>
    <cellStyle name="Calculation 3 4 4 2 4" xfId="14718"/>
    <cellStyle name="Calculation 3 4 4 2 5" xfId="18042"/>
    <cellStyle name="Calculation 3 4 4 2 6" xfId="18043"/>
    <cellStyle name="Calculation 3 4 4 2 7" xfId="18044"/>
    <cellStyle name="Calculation 3 4 4 2 8" xfId="18045"/>
    <cellStyle name="Calculation 3 4 4 3" xfId="13190"/>
    <cellStyle name="Calculation 3 4 4 3 2" xfId="13191"/>
    <cellStyle name="Calculation 3 4 4 3 2 2" xfId="14719"/>
    <cellStyle name="Calculation 3 4 4 3 2 3" xfId="14720"/>
    <cellStyle name="Calculation 3 4 4 3 2 4" xfId="18046"/>
    <cellStyle name="Calculation 3 4 4 3 2 5" xfId="18047"/>
    <cellStyle name="Calculation 3 4 4 3 2 6" xfId="18048"/>
    <cellStyle name="Calculation 3 4 4 3 2 7" xfId="18049"/>
    <cellStyle name="Calculation 3 4 4 3 3" xfId="14721"/>
    <cellStyle name="Calculation 3 4 4 3 4" xfId="14722"/>
    <cellStyle name="Calculation 3 4 4 3 5" xfId="18050"/>
    <cellStyle name="Calculation 3 4 4 3 6" xfId="18051"/>
    <cellStyle name="Calculation 3 4 4 3 7" xfId="18052"/>
    <cellStyle name="Calculation 3 4 4 3 8" xfId="18053"/>
    <cellStyle name="Calculation 3 4 4 4" xfId="13192"/>
    <cellStyle name="Calculation 3 4 4 4 2" xfId="13193"/>
    <cellStyle name="Calculation 3 4 4 4 2 2" xfId="14723"/>
    <cellStyle name="Calculation 3 4 4 4 2 3" xfId="14724"/>
    <cellStyle name="Calculation 3 4 4 4 2 4" xfId="18054"/>
    <cellStyle name="Calculation 3 4 4 4 2 5" xfId="18055"/>
    <cellStyle name="Calculation 3 4 4 4 2 6" xfId="18056"/>
    <cellStyle name="Calculation 3 4 4 4 2 7" xfId="18057"/>
    <cellStyle name="Calculation 3 4 4 4 3" xfId="14725"/>
    <cellStyle name="Calculation 3 4 4 4 4" xfId="14726"/>
    <cellStyle name="Calculation 3 4 4 4 5" xfId="18058"/>
    <cellStyle name="Calculation 3 4 4 4 6" xfId="18059"/>
    <cellStyle name="Calculation 3 4 4 4 7" xfId="18060"/>
    <cellStyle name="Calculation 3 4 4 4 8" xfId="18061"/>
    <cellStyle name="Calculation 3 4 4 5" xfId="13194"/>
    <cellStyle name="Calculation 3 4 4 5 2" xfId="14727"/>
    <cellStyle name="Calculation 3 4 4 5 3" xfId="14728"/>
    <cellStyle name="Calculation 3 4 4 5 4" xfId="18062"/>
    <cellStyle name="Calculation 3 4 4 5 5" xfId="18063"/>
    <cellStyle name="Calculation 3 4 4 5 6" xfId="18064"/>
    <cellStyle name="Calculation 3 4 4 5 7" xfId="18065"/>
    <cellStyle name="Calculation 3 4 4 6" xfId="14729"/>
    <cellStyle name="Calculation 3 4 4 7" xfId="14730"/>
    <cellStyle name="Calculation 3 4 4 8" xfId="18066"/>
    <cellStyle name="Calculation 3 4 4 9" xfId="18067"/>
    <cellStyle name="Calculation 3 4 5" xfId="3264"/>
    <cellStyle name="Calculation 3 4 5 2" xfId="13195"/>
    <cellStyle name="Calculation 3 4 5 2 2" xfId="13196"/>
    <cellStyle name="Calculation 3 4 5 2 2 2" xfId="14731"/>
    <cellStyle name="Calculation 3 4 5 2 2 3" xfId="14732"/>
    <cellStyle name="Calculation 3 4 5 2 2 4" xfId="18068"/>
    <cellStyle name="Calculation 3 4 5 2 2 5" xfId="18069"/>
    <cellStyle name="Calculation 3 4 5 2 2 6" xfId="18070"/>
    <cellStyle name="Calculation 3 4 5 2 2 7" xfId="18071"/>
    <cellStyle name="Calculation 3 4 5 2 3" xfId="14733"/>
    <cellStyle name="Calculation 3 4 5 2 4" xfId="14734"/>
    <cellStyle name="Calculation 3 4 5 2 5" xfId="18072"/>
    <cellStyle name="Calculation 3 4 5 2 6" xfId="18073"/>
    <cellStyle name="Calculation 3 4 5 2 7" xfId="18074"/>
    <cellStyle name="Calculation 3 4 5 2 8" xfId="18075"/>
    <cellStyle name="Calculation 3 4 5 3" xfId="13197"/>
    <cellStyle name="Calculation 3 4 5 3 2" xfId="13198"/>
    <cellStyle name="Calculation 3 4 5 3 2 2" xfId="14735"/>
    <cellStyle name="Calculation 3 4 5 3 2 3" xfId="14736"/>
    <cellStyle name="Calculation 3 4 5 3 2 4" xfId="18076"/>
    <cellStyle name="Calculation 3 4 5 3 2 5" xfId="18077"/>
    <cellStyle name="Calculation 3 4 5 3 2 6" xfId="18078"/>
    <cellStyle name="Calculation 3 4 5 3 2 7" xfId="18079"/>
    <cellStyle name="Calculation 3 4 5 3 3" xfId="14737"/>
    <cellStyle name="Calculation 3 4 5 3 4" xfId="14738"/>
    <cellStyle name="Calculation 3 4 5 3 5" xfId="18080"/>
    <cellStyle name="Calculation 3 4 5 3 6" xfId="18081"/>
    <cellStyle name="Calculation 3 4 5 3 7" xfId="18082"/>
    <cellStyle name="Calculation 3 4 5 3 8" xfId="18083"/>
    <cellStyle name="Calculation 3 4 5 4" xfId="13199"/>
    <cellStyle name="Calculation 3 4 5 4 2" xfId="13200"/>
    <cellStyle name="Calculation 3 4 5 4 2 2" xfId="14739"/>
    <cellStyle name="Calculation 3 4 5 4 2 3" xfId="14740"/>
    <cellStyle name="Calculation 3 4 5 4 2 4" xfId="18084"/>
    <cellStyle name="Calculation 3 4 5 4 2 5" xfId="18085"/>
    <cellStyle name="Calculation 3 4 5 4 2 6" xfId="18086"/>
    <cellStyle name="Calculation 3 4 5 4 2 7" xfId="18087"/>
    <cellStyle name="Calculation 3 4 5 4 3" xfId="14741"/>
    <cellStyle name="Calculation 3 4 5 4 4" xfId="14742"/>
    <cellStyle name="Calculation 3 4 5 4 5" xfId="18088"/>
    <cellStyle name="Calculation 3 4 5 4 6" xfId="18089"/>
    <cellStyle name="Calculation 3 4 5 4 7" xfId="18090"/>
    <cellStyle name="Calculation 3 4 5 4 8" xfId="18091"/>
    <cellStyle name="Calculation 3 4 5 5" xfId="13201"/>
    <cellStyle name="Calculation 3 4 5 5 2" xfId="14743"/>
    <cellStyle name="Calculation 3 4 5 5 3" xfId="14744"/>
    <cellStyle name="Calculation 3 4 5 5 4" xfId="18092"/>
    <cellStyle name="Calculation 3 4 5 5 5" xfId="18093"/>
    <cellStyle name="Calculation 3 4 5 5 6" xfId="18094"/>
    <cellStyle name="Calculation 3 4 5 5 7" xfId="18095"/>
    <cellStyle name="Calculation 3 4 5 6" xfId="14745"/>
    <cellStyle name="Calculation 3 4 5 7" xfId="14746"/>
    <cellStyle name="Calculation 3 4 5 8" xfId="18096"/>
    <cellStyle name="Calculation 3 4 5 9" xfId="18097"/>
    <cellStyle name="Calculation 3 4 6" xfId="13202"/>
    <cellStyle name="Calculation 3 4 6 2" xfId="13203"/>
    <cellStyle name="Calculation 3 4 6 2 2" xfId="14747"/>
    <cellStyle name="Calculation 3 4 6 2 3" xfId="14748"/>
    <cellStyle name="Calculation 3 4 6 2 4" xfId="18098"/>
    <cellStyle name="Calculation 3 4 6 2 5" xfId="18099"/>
    <cellStyle name="Calculation 3 4 6 2 6" xfId="18100"/>
    <cellStyle name="Calculation 3 4 6 2 7" xfId="18101"/>
    <cellStyle name="Calculation 3 4 6 3" xfId="14749"/>
    <cellStyle name="Calculation 3 4 6 4" xfId="14750"/>
    <cellStyle name="Calculation 3 4 6 5" xfId="18102"/>
    <cellStyle name="Calculation 3 4 6 6" xfId="18103"/>
    <cellStyle name="Calculation 3 4 6 7" xfId="18104"/>
    <cellStyle name="Calculation 3 4 6 8" xfId="18105"/>
    <cellStyle name="Calculation 3 4 7" xfId="13204"/>
    <cellStyle name="Calculation 3 4 7 2" xfId="13205"/>
    <cellStyle name="Calculation 3 4 7 2 2" xfId="14751"/>
    <cellStyle name="Calculation 3 4 7 2 3" xfId="14752"/>
    <cellStyle name="Calculation 3 4 7 2 4" xfId="18106"/>
    <cellStyle name="Calculation 3 4 7 2 5" xfId="18107"/>
    <cellStyle name="Calculation 3 4 7 2 6" xfId="18108"/>
    <cellStyle name="Calculation 3 4 7 2 7" xfId="18109"/>
    <cellStyle name="Calculation 3 4 7 3" xfId="14753"/>
    <cellStyle name="Calculation 3 4 7 4" xfId="14754"/>
    <cellStyle name="Calculation 3 4 7 5" xfId="18110"/>
    <cellStyle name="Calculation 3 4 7 6" xfId="18111"/>
    <cellStyle name="Calculation 3 4 7 7" xfId="18112"/>
    <cellStyle name="Calculation 3 4 7 8" xfId="18113"/>
    <cellStyle name="Calculation 3 4 8" xfId="13206"/>
    <cellStyle name="Calculation 3 4 8 2" xfId="13207"/>
    <cellStyle name="Calculation 3 4 8 2 2" xfId="14755"/>
    <cellStyle name="Calculation 3 4 8 2 3" xfId="14756"/>
    <cellStyle name="Calculation 3 4 8 2 4" xfId="18114"/>
    <cellStyle name="Calculation 3 4 8 2 5" xfId="18115"/>
    <cellStyle name="Calculation 3 4 8 2 6" xfId="18116"/>
    <cellStyle name="Calculation 3 4 8 2 7" xfId="18117"/>
    <cellStyle name="Calculation 3 4 8 3" xfId="14757"/>
    <cellStyle name="Calculation 3 4 8 4" xfId="14758"/>
    <cellStyle name="Calculation 3 4 8 5" xfId="18118"/>
    <cellStyle name="Calculation 3 4 8 6" xfId="18119"/>
    <cellStyle name="Calculation 3 4 8 7" xfId="18120"/>
    <cellStyle name="Calculation 3 4 8 8" xfId="18121"/>
    <cellStyle name="Calculation 3 4 9" xfId="13208"/>
    <cellStyle name="Calculation 3 4 9 2" xfId="14759"/>
    <cellStyle name="Calculation 3 4 9 3" xfId="14760"/>
    <cellStyle name="Calculation 3 4 9 4" xfId="18122"/>
    <cellStyle name="Calculation 3 4 9 5" xfId="18123"/>
    <cellStyle name="Calculation 3 4 9 6" xfId="18124"/>
    <cellStyle name="Calculation 3 4 9 7" xfId="18125"/>
    <cellStyle name="Calculation 3 5" xfId="1554"/>
    <cellStyle name="Calculation 3 5 10" xfId="2944"/>
    <cellStyle name="Calculation 3 5 11" xfId="14761"/>
    <cellStyle name="Calculation 3 5 12" xfId="18126"/>
    <cellStyle name="Calculation 3 5 13" xfId="18127"/>
    <cellStyle name="Calculation 3 5 2" xfId="3035"/>
    <cellStyle name="Calculation 3 5 2 2" xfId="13209"/>
    <cellStyle name="Calculation 3 5 2 2 2" xfId="13210"/>
    <cellStyle name="Calculation 3 5 2 2 2 2" xfId="14762"/>
    <cellStyle name="Calculation 3 5 2 2 2 3" xfId="14763"/>
    <cellStyle name="Calculation 3 5 2 2 2 4" xfId="18128"/>
    <cellStyle name="Calculation 3 5 2 2 2 5" xfId="18129"/>
    <cellStyle name="Calculation 3 5 2 2 2 6" xfId="18130"/>
    <cellStyle name="Calculation 3 5 2 2 2 7" xfId="18131"/>
    <cellStyle name="Calculation 3 5 2 2 3" xfId="14764"/>
    <cellStyle name="Calculation 3 5 2 2 4" xfId="14765"/>
    <cellStyle name="Calculation 3 5 2 2 5" xfId="18132"/>
    <cellStyle name="Calculation 3 5 2 2 6" xfId="18133"/>
    <cellStyle name="Calculation 3 5 2 2 7" xfId="18134"/>
    <cellStyle name="Calculation 3 5 2 2 8" xfId="18135"/>
    <cellStyle name="Calculation 3 5 2 3" xfId="13211"/>
    <cellStyle name="Calculation 3 5 2 3 2" xfId="13212"/>
    <cellStyle name="Calculation 3 5 2 3 2 2" xfId="14766"/>
    <cellStyle name="Calculation 3 5 2 3 2 3" xfId="14767"/>
    <cellStyle name="Calculation 3 5 2 3 2 4" xfId="18136"/>
    <cellStyle name="Calculation 3 5 2 3 2 5" xfId="18137"/>
    <cellStyle name="Calculation 3 5 2 3 2 6" xfId="18138"/>
    <cellStyle name="Calculation 3 5 2 3 2 7" xfId="18139"/>
    <cellStyle name="Calculation 3 5 2 3 3" xfId="14768"/>
    <cellStyle name="Calculation 3 5 2 3 4" xfId="14769"/>
    <cellStyle name="Calculation 3 5 2 3 5" xfId="18140"/>
    <cellStyle name="Calculation 3 5 2 3 6" xfId="18141"/>
    <cellStyle name="Calculation 3 5 2 3 7" xfId="18142"/>
    <cellStyle name="Calculation 3 5 2 3 8" xfId="18143"/>
    <cellStyle name="Calculation 3 5 2 4" xfId="13213"/>
    <cellStyle name="Calculation 3 5 2 4 2" xfId="13214"/>
    <cellStyle name="Calculation 3 5 2 4 2 2" xfId="14770"/>
    <cellStyle name="Calculation 3 5 2 4 2 3" xfId="14771"/>
    <cellStyle name="Calculation 3 5 2 4 2 4" xfId="18144"/>
    <cellStyle name="Calculation 3 5 2 4 2 5" xfId="18145"/>
    <cellStyle name="Calculation 3 5 2 4 2 6" xfId="18146"/>
    <cellStyle name="Calculation 3 5 2 4 2 7" xfId="18147"/>
    <cellStyle name="Calculation 3 5 2 4 3" xfId="14772"/>
    <cellStyle name="Calculation 3 5 2 4 4" xfId="14773"/>
    <cellStyle name="Calculation 3 5 2 4 5" xfId="18148"/>
    <cellStyle name="Calculation 3 5 2 4 6" xfId="18149"/>
    <cellStyle name="Calculation 3 5 2 4 7" xfId="18150"/>
    <cellStyle name="Calculation 3 5 2 4 8" xfId="18151"/>
    <cellStyle name="Calculation 3 5 2 5" xfId="13215"/>
    <cellStyle name="Calculation 3 5 2 5 2" xfId="14774"/>
    <cellStyle name="Calculation 3 5 2 5 3" xfId="14775"/>
    <cellStyle name="Calculation 3 5 2 5 4" xfId="18152"/>
    <cellStyle name="Calculation 3 5 2 5 5" xfId="18153"/>
    <cellStyle name="Calculation 3 5 2 5 6" xfId="18154"/>
    <cellStyle name="Calculation 3 5 2 5 7" xfId="18155"/>
    <cellStyle name="Calculation 3 5 2 6" xfId="14776"/>
    <cellStyle name="Calculation 3 5 2 7" xfId="14777"/>
    <cellStyle name="Calculation 3 5 2 8" xfId="18156"/>
    <cellStyle name="Calculation 3 5 2 9" xfId="18157"/>
    <cellStyle name="Calculation 3 5 3" xfId="3138"/>
    <cellStyle name="Calculation 3 5 3 2" xfId="13216"/>
    <cellStyle name="Calculation 3 5 3 2 2" xfId="13217"/>
    <cellStyle name="Calculation 3 5 3 2 2 2" xfId="14778"/>
    <cellStyle name="Calculation 3 5 3 2 2 3" xfId="14779"/>
    <cellStyle name="Calculation 3 5 3 2 2 4" xfId="18158"/>
    <cellStyle name="Calculation 3 5 3 2 2 5" xfId="18159"/>
    <cellStyle name="Calculation 3 5 3 2 2 6" xfId="18160"/>
    <cellStyle name="Calculation 3 5 3 2 2 7" xfId="18161"/>
    <cellStyle name="Calculation 3 5 3 2 3" xfId="14780"/>
    <cellStyle name="Calculation 3 5 3 2 4" xfId="14781"/>
    <cellStyle name="Calculation 3 5 3 2 5" xfId="18162"/>
    <cellStyle name="Calculation 3 5 3 2 6" xfId="18163"/>
    <cellStyle name="Calculation 3 5 3 2 7" xfId="18164"/>
    <cellStyle name="Calculation 3 5 3 2 8" xfId="18165"/>
    <cellStyle name="Calculation 3 5 3 3" xfId="13218"/>
    <cellStyle name="Calculation 3 5 3 3 2" xfId="13219"/>
    <cellStyle name="Calculation 3 5 3 3 2 2" xfId="14782"/>
    <cellStyle name="Calculation 3 5 3 3 2 3" xfId="14783"/>
    <cellStyle name="Calculation 3 5 3 3 2 4" xfId="18166"/>
    <cellStyle name="Calculation 3 5 3 3 2 5" xfId="18167"/>
    <cellStyle name="Calculation 3 5 3 3 2 6" xfId="18168"/>
    <cellStyle name="Calculation 3 5 3 3 2 7" xfId="18169"/>
    <cellStyle name="Calculation 3 5 3 3 3" xfId="14784"/>
    <cellStyle name="Calculation 3 5 3 3 4" xfId="14785"/>
    <cellStyle name="Calculation 3 5 3 3 5" xfId="18170"/>
    <cellStyle name="Calculation 3 5 3 3 6" xfId="18171"/>
    <cellStyle name="Calculation 3 5 3 3 7" xfId="18172"/>
    <cellStyle name="Calculation 3 5 3 3 8" xfId="18173"/>
    <cellStyle name="Calculation 3 5 3 4" xfId="13220"/>
    <cellStyle name="Calculation 3 5 3 4 2" xfId="13221"/>
    <cellStyle name="Calculation 3 5 3 4 2 2" xfId="14786"/>
    <cellStyle name="Calculation 3 5 3 4 2 3" xfId="14787"/>
    <cellStyle name="Calculation 3 5 3 4 2 4" xfId="18174"/>
    <cellStyle name="Calculation 3 5 3 4 2 5" xfId="18175"/>
    <cellStyle name="Calculation 3 5 3 4 2 6" xfId="18176"/>
    <cellStyle name="Calculation 3 5 3 4 2 7" xfId="18177"/>
    <cellStyle name="Calculation 3 5 3 4 3" xfId="14788"/>
    <cellStyle name="Calculation 3 5 3 4 4" xfId="14789"/>
    <cellStyle name="Calculation 3 5 3 4 5" xfId="18178"/>
    <cellStyle name="Calculation 3 5 3 4 6" xfId="18179"/>
    <cellStyle name="Calculation 3 5 3 4 7" xfId="18180"/>
    <cellStyle name="Calculation 3 5 3 4 8" xfId="18181"/>
    <cellStyle name="Calculation 3 5 3 5" xfId="13222"/>
    <cellStyle name="Calculation 3 5 3 5 2" xfId="14790"/>
    <cellStyle name="Calculation 3 5 3 5 3" xfId="14791"/>
    <cellStyle name="Calculation 3 5 3 5 4" xfId="18182"/>
    <cellStyle name="Calculation 3 5 3 5 5" xfId="18183"/>
    <cellStyle name="Calculation 3 5 3 5 6" xfId="18184"/>
    <cellStyle name="Calculation 3 5 3 5 7" xfId="18185"/>
    <cellStyle name="Calculation 3 5 3 6" xfId="14792"/>
    <cellStyle name="Calculation 3 5 3 7" xfId="14793"/>
    <cellStyle name="Calculation 3 5 3 8" xfId="18186"/>
    <cellStyle name="Calculation 3 5 3 9" xfId="18187"/>
    <cellStyle name="Calculation 3 5 4" xfId="3093"/>
    <cellStyle name="Calculation 3 5 4 2" xfId="13223"/>
    <cellStyle name="Calculation 3 5 4 2 2" xfId="13224"/>
    <cellStyle name="Calculation 3 5 4 2 2 2" xfId="14794"/>
    <cellStyle name="Calculation 3 5 4 2 2 3" xfId="14795"/>
    <cellStyle name="Calculation 3 5 4 2 2 4" xfId="18188"/>
    <cellStyle name="Calculation 3 5 4 2 2 5" xfId="18189"/>
    <cellStyle name="Calculation 3 5 4 2 2 6" xfId="18190"/>
    <cellStyle name="Calculation 3 5 4 2 2 7" xfId="18191"/>
    <cellStyle name="Calculation 3 5 4 2 3" xfId="14796"/>
    <cellStyle name="Calculation 3 5 4 2 4" xfId="14797"/>
    <cellStyle name="Calculation 3 5 4 2 5" xfId="18192"/>
    <cellStyle name="Calculation 3 5 4 2 6" xfId="18193"/>
    <cellStyle name="Calculation 3 5 4 2 7" xfId="18194"/>
    <cellStyle name="Calculation 3 5 4 2 8" xfId="18195"/>
    <cellStyle name="Calculation 3 5 4 3" xfId="13225"/>
    <cellStyle name="Calculation 3 5 4 3 2" xfId="13226"/>
    <cellStyle name="Calculation 3 5 4 3 2 2" xfId="14798"/>
    <cellStyle name="Calculation 3 5 4 3 2 3" xfId="14799"/>
    <cellStyle name="Calculation 3 5 4 3 2 4" xfId="18196"/>
    <cellStyle name="Calculation 3 5 4 3 2 5" xfId="18197"/>
    <cellStyle name="Calculation 3 5 4 3 2 6" xfId="18198"/>
    <cellStyle name="Calculation 3 5 4 3 2 7" xfId="18199"/>
    <cellStyle name="Calculation 3 5 4 3 3" xfId="14800"/>
    <cellStyle name="Calculation 3 5 4 3 4" xfId="14801"/>
    <cellStyle name="Calculation 3 5 4 3 5" xfId="18200"/>
    <cellStyle name="Calculation 3 5 4 3 6" xfId="18201"/>
    <cellStyle name="Calculation 3 5 4 3 7" xfId="18202"/>
    <cellStyle name="Calculation 3 5 4 3 8" xfId="18203"/>
    <cellStyle name="Calculation 3 5 4 4" xfId="13227"/>
    <cellStyle name="Calculation 3 5 4 4 2" xfId="13228"/>
    <cellStyle name="Calculation 3 5 4 4 2 2" xfId="14802"/>
    <cellStyle name="Calculation 3 5 4 4 2 3" xfId="14803"/>
    <cellStyle name="Calculation 3 5 4 4 2 4" xfId="18204"/>
    <cellStyle name="Calculation 3 5 4 4 2 5" xfId="18205"/>
    <cellStyle name="Calculation 3 5 4 4 2 6" xfId="18206"/>
    <cellStyle name="Calculation 3 5 4 4 2 7" xfId="18207"/>
    <cellStyle name="Calculation 3 5 4 4 3" xfId="14804"/>
    <cellStyle name="Calculation 3 5 4 4 4" xfId="14805"/>
    <cellStyle name="Calculation 3 5 4 4 5" xfId="18208"/>
    <cellStyle name="Calculation 3 5 4 4 6" xfId="18209"/>
    <cellStyle name="Calculation 3 5 4 4 7" xfId="18210"/>
    <cellStyle name="Calculation 3 5 4 4 8" xfId="18211"/>
    <cellStyle name="Calculation 3 5 4 5" xfId="13229"/>
    <cellStyle name="Calculation 3 5 4 5 2" xfId="14806"/>
    <cellStyle name="Calculation 3 5 4 5 3" xfId="14807"/>
    <cellStyle name="Calculation 3 5 4 5 4" xfId="18212"/>
    <cellStyle name="Calculation 3 5 4 5 5" xfId="18213"/>
    <cellStyle name="Calculation 3 5 4 5 6" xfId="18214"/>
    <cellStyle name="Calculation 3 5 4 5 7" xfId="18215"/>
    <cellStyle name="Calculation 3 5 4 6" xfId="14808"/>
    <cellStyle name="Calculation 3 5 4 7" xfId="14809"/>
    <cellStyle name="Calculation 3 5 4 8" xfId="18216"/>
    <cellStyle name="Calculation 3 5 4 9" xfId="18217"/>
    <cellStyle name="Calculation 3 5 5" xfId="3219"/>
    <cellStyle name="Calculation 3 5 5 2" xfId="13230"/>
    <cellStyle name="Calculation 3 5 5 2 2" xfId="13231"/>
    <cellStyle name="Calculation 3 5 5 2 2 2" xfId="14810"/>
    <cellStyle name="Calculation 3 5 5 2 2 3" xfId="14811"/>
    <cellStyle name="Calculation 3 5 5 2 2 4" xfId="18218"/>
    <cellStyle name="Calculation 3 5 5 2 2 5" xfId="18219"/>
    <cellStyle name="Calculation 3 5 5 2 2 6" xfId="18220"/>
    <cellStyle name="Calculation 3 5 5 2 2 7" xfId="18221"/>
    <cellStyle name="Calculation 3 5 5 2 3" xfId="14812"/>
    <cellStyle name="Calculation 3 5 5 2 4" xfId="14813"/>
    <cellStyle name="Calculation 3 5 5 2 5" xfId="18222"/>
    <cellStyle name="Calculation 3 5 5 2 6" xfId="18223"/>
    <cellStyle name="Calculation 3 5 5 2 7" xfId="18224"/>
    <cellStyle name="Calculation 3 5 5 2 8" xfId="18225"/>
    <cellStyle name="Calculation 3 5 5 3" xfId="13232"/>
    <cellStyle name="Calculation 3 5 5 3 2" xfId="13233"/>
    <cellStyle name="Calculation 3 5 5 3 2 2" xfId="14814"/>
    <cellStyle name="Calculation 3 5 5 3 2 3" xfId="14815"/>
    <cellStyle name="Calculation 3 5 5 3 2 4" xfId="18226"/>
    <cellStyle name="Calculation 3 5 5 3 2 5" xfId="18227"/>
    <cellStyle name="Calculation 3 5 5 3 2 6" xfId="18228"/>
    <cellStyle name="Calculation 3 5 5 3 2 7" xfId="18229"/>
    <cellStyle name="Calculation 3 5 5 3 3" xfId="14816"/>
    <cellStyle name="Calculation 3 5 5 3 4" xfId="14817"/>
    <cellStyle name="Calculation 3 5 5 3 5" xfId="18230"/>
    <cellStyle name="Calculation 3 5 5 3 6" xfId="18231"/>
    <cellStyle name="Calculation 3 5 5 3 7" xfId="18232"/>
    <cellStyle name="Calculation 3 5 5 3 8" xfId="18233"/>
    <cellStyle name="Calculation 3 5 5 4" xfId="13234"/>
    <cellStyle name="Calculation 3 5 5 4 2" xfId="13235"/>
    <cellStyle name="Calculation 3 5 5 4 2 2" xfId="14818"/>
    <cellStyle name="Calculation 3 5 5 4 2 3" xfId="14819"/>
    <cellStyle name="Calculation 3 5 5 4 2 4" xfId="18234"/>
    <cellStyle name="Calculation 3 5 5 4 2 5" xfId="18235"/>
    <cellStyle name="Calculation 3 5 5 4 2 6" xfId="18236"/>
    <cellStyle name="Calculation 3 5 5 4 2 7" xfId="18237"/>
    <cellStyle name="Calculation 3 5 5 4 3" xfId="14820"/>
    <cellStyle name="Calculation 3 5 5 4 4" xfId="14821"/>
    <cellStyle name="Calculation 3 5 5 4 5" xfId="18238"/>
    <cellStyle name="Calculation 3 5 5 4 6" xfId="18239"/>
    <cellStyle name="Calculation 3 5 5 4 7" xfId="18240"/>
    <cellStyle name="Calculation 3 5 5 4 8" xfId="18241"/>
    <cellStyle name="Calculation 3 5 5 5" xfId="13236"/>
    <cellStyle name="Calculation 3 5 5 5 2" xfId="14822"/>
    <cellStyle name="Calculation 3 5 5 5 3" xfId="14823"/>
    <cellStyle name="Calculation 3 5 5 5 4" xfId="18242"/>
    <cellStyle name="Calculation 3 5 5 5 5" xfId="18243"/>
    <cellStyle name="Calculation 3 5 5 5 6" xfId="18244"/>
    <cellStyle name="Calculation 3 5 5 5 7" xfId="18245"/>
    <cellStyle name="Calculation 3 5 5 6" xfId="14824"/>
    <cellStyle name="Calculation 3 5 5 7" xfId="14825"/>
    <cellStyle name="Calculation 3 5 5 8" xfId="18246"/>
    <cellStyle name="Calculation 3 5 5 9" xfId="18247"/>
    <cellStyle name="Calculation 3 5 6" xfId="13237"/>
    <cellStyle name="Calculation 3 5 6 2" xfId="13238"/>
    <cellStyle name="Calculation 3 5 6 2 2" xfId="14826"/>
    <cellStyle name="Calculation 3 5 6 2 3" xfId="14827"/>
    <cellStyle name="Calculation 3 5 6 2 4" xfId="18248"/>
    <cellStyle name="Calculation 3 5 6 2 5" xfId="18249"/>
    <cellStyle name="Calculation 3 5 6 2 6" xfId="18250"/>
    <cellStyle name="Calculation 3 5 6 2 7" xfId="18251"/>
    <cellStyle name="Calculation 3 5 6 3" xfId="14828"/>
    <cellStyle name="Calculation 3 5 6 4" xfId="14829"/>
    <cellStyle name="Calculation 3 5 6 5" xfId="18252"/>
    <cellStyle name="Calculation 3 5 6 6" xfId="18253"/>
    <cellStyle name="Calculation 3 5 6 7" xfId="18254"/>
    <cellStyle name="Calculation 3 5 6 8" xfId="18255"/>
    <cellStyle name="Calculation 3 5 7" xfId="13239"/>
    <cellStyle name="Calculation 3 5 7 2" xfId="13240"/>
    <cellStyle name="Calculation 3 5 7 2 2" xfId="14830"/>
    <cellStyle name="Calculation 3 5 7 2 3" xfId="14831"/>
    <cellStyle name="Calculation 3 5 7 2 4" xfId="18256"/>
    <cellStyle name="Calculation 3 5 7 2 5" xfId="18257"/>
    <cellStyle name="Calculation 3 5 7 2 6" xfId="18258"/>
    <cellStyle name="Calculation 3 5 7 2 7" xfId="18259"/>
    <cellStyle name="Calculation 3 5 7 3" xfId="14832"/>
    <cellStyle name="Calculation 3 5 7 4" xfId="14833"/>
    <cellStyle name="Calculation 3 5 7 5" xfId="18260"/>
    <cellStyle name="Calculation 3 5 7 6" xfId="18261"/>
    <cellStyle name="Calculation 3 5 7 7" xfId="18262"/>
    <cellStyle name="Calculation 3 5 7 8" xfId="18263"/>
    <cellStyle name="Calculation 3 5 8" xfId="13241"/>
    <cellStyle name="Calculation 3 5 8 2" xfId="13242"/>
    <cellStyle name="Calculation 3 5 8 2 2" xfId="14834"/>
    <cellStyle name="Calculation 3 5 8 2 3" xfId="14835"/>
    <cellStyle name="Calculation 3 5 8 2 4" xfId="18264"/>
    <cellStyle name="Calculation 3 5 8 2 5" xfId="18265"/>
    <cellStyle name="Calculation 3 5 8 2 6" xfId="18266"/>
    <cellStyle name="Calculation 3 5 8 2 7" xfId="18267"/>
    <cellStyle name="Calculation 3 5 8 3" xfId="14836"/>
    <cellStyle name="Calculation 3 5 8 4" xfId="14837"/>
    <cellStyle name="Calculation 3 5 8 5" xfId="18268"/>
    <cellStyle name="Calculation 3 5 8 6" xfId="18269"/>
    <cellStyle name="Calculation 3 5 8 7" xfId="18270"/>
    <cellStyle name="Calculation 3 5 8 8" xfId="18271"/>
    <cellStyle name="Calculation 3 5 9" xfId="13243"/>
    <cellStyle name="Calculation 3 5 9 2" xfId="14838"/>
    <cellStyle name="Calculation 3 5 9 3" xfId="14839"/>
    <cellStyle name="Calculation 3 5 9 4" xfId="18272"/>
    <cellStyle name="Calculation 3 5 9 5" xfId="18273"/>
    <cellStyle name="Calculation 3 5 9 6" xfId="18274"/>
    <cellStyle name="Calculation 3 5 9 7" xfId="18275"/>
    <cellStyle name="Calculation 3 6" xfId="1368"/>
    <cellStyle name="Calculation 3 6 2" xfId="13245"/>
    <cellStyle name="Calculation 3 6 2 2" xfId="14840"/>
    <cellStyle name="Calculation 3 6 2 3" xfId="14841"/>
    <cellStyle name="Calculation 3 6 2 4" xfId="18276"/>
    <cellStyle name="Calculation 3 6 2 5" xfId="18277"/>
    <cellStyle name="Calculation 3 6 2 6" xfId="18278"/>
    <cellStyle name="Calculation 3 6 2 7" xfId="18279"/>
    <cellStyle name="Calculation 3 6 3" xfId="13244"/>
    <cellStyle name="Calculation 3 6 4" xfId="14842"/>
    <cellStyle name="Calculation 3 6 5" xfId="18280"/>
    <cellStyle name="Calculation 3 6 6" xfId="18281"/>
    <cellStyle name="Calculation 3 6 7" xfId="18282"/>
    <cellStyle name="Calculation 3 6 8" xfId="18283"/>
    <cellStyle name="Calculation 3 7" xfId="13246"/>
    <cellStyle name="Calculation 3 7 2" xfId="13247"/>
    <cellStyle name="Calculation 3 7 2 2" xfId="14843"/>
    <cellStyle name="Calculation 3 7 2 3" xfId="14844"/>
    <cellStyle name="Calculation 3 7 2 4" xfId="18284"/>
    <cellStyle name="Calculation 3 7 2 5" xfId="18285"/>
    <cellStyle name="Calculation 3 7 2 6" xfId="18286"/>
    <cellStyle name="Calculation 3 7 2 7" xfId="18287"/>
    <cellStyle name="Calculation 3 7 3" xfId="14845"/>
    <cellStyle name="Calculation 3 7 4" xfId="14846"/>
    <cellStyle name="Calculation 3 7 5" xfId="18288"/>
    <cellStyle name="Calculation 3 7 6" xfId="18289"/>
    <cellStyle name="Calculation 3 7 7" xfId="18290"/>
    <cellStyle name="Calculation 3 7 8" xfId="18291"/>
    <cellStyle name="Calculation 3 8" xfId="13248"/>
    <cellStyle name="Calculation 3 8 2" xfId="13249"/>
    <cellStyle name="Calculation 3 8 2 2" xfId="14847"/>
    <cellStyle name="Calculation 3 8 2 3" xfId="14848"/>
    <cellStyle name="Calculation 3 8 2 4" xfId="18292"/>
    <cellStyle name="Calculation 3 8 2 5" xfId="18293"/>
    <cellStyle name="Calculation 3 8 2 6" xfId="18294"/>
    <cellStyle name="Calculation 3 8 2 7" xfId="18295"/>
    <cellStyle name="Calculation 3 8 3" xfId="14849"/>
    <cellStyle name="Calculation 3 8 4" xfId="14850"/>
    <cellStyle name="Calculation 3 8 5" xfId="18296"/>
    <cellStyle name="Calculation 3 8 6" xfId="18297"/>
    <cellStyle name="Calculation 3 8 7" xfId="18298"/>
    <cellStyle name="Calculation 3 8 8" xfId="18299"/>
    <cellStyle name="Calculation 3 9" xfId="13250"/>
    <cellStyle name="Calculation 3 9 2" xfId="14851"/>
    <cellStyle name="Calculation 3 9 3" xfId="14852"/>
    <cellStyle name="Calculation 3 9 4" xfId="18300"/>
    <cellStyle name="Calculation 3 9 5" xfId="18301"/>
    <cellStyle name="Calculation 3 9 6" xfId="18302"/>
    <cellStyle name="Calculation 3 9 7" xfId="18303"/>
    <cellStyle name="Calculation 4" xfId="321"/>
    <cellStyle name="Calculation 4 10" xfId="14853"/>
    <cellStyle name="Calculation 4 11" xfId="18304"/>
    <cellStyle name="Calculation 4 12" xfId="18305"/>
    <cellStyle name="Calculation 4 2" xfId="760"/>
    <cellStyle name="Calculation 4 3" xfId="1555"/>
    <cellStyle name="Calculation 4 3 10" xfId="2981"/>
    <cellStyle name="Calculation 4 3 11" xfId="14854"/>
    <cellStyle name="Calculation 4 3 12" xfId="18306"/>
    <cellStyle name="Calculation 4 3 13" xfId="18307"/>
    <cellStyle name="Calculation 4 3 2" xfId="3052"/>
    <cellStyle name="Calculation 4 3 2 2" xfId="13251"/>
    <cellStyle name="Calculation 4 3 2 2 2" xfId="13252"/>
    <cellStyle name="Calculation 4 3 2 2 2 2" xfId="14855"/>
    <cellStyle name="Calculation 4 3 2 2 2 3" xfId="14856"/>
    <cellStyle name="Calculation 4 3 2 2 2 4" xfId="18308"/>
    <cellStyle name="Calculation 4 3 2 2 2 5" xfId="18309"/>
    <cellStyle name="Calculation 4 3 2 2 2 6" xfId="18310"/>
    <cellStyle name="Calculation 4 3 2 2 2 7" xfId="18311"/>
    <cellStyle name="Calculation 4 3 2 2 3" xfId="14857"/>
    <cellStyle name="Calculation 4 3 2 2 4" xfId="14858"/>
    <cellStyle name="Calculation 4 3 2 2 5" xfId="18312"/>
    <cellStyle name="Calculation 4 3 2 2 6" xfId="18313"/>
    <cellStyle name="Calculation 4 3 2 2 7" xfId="18314"/>
    <cellStyle name="Calculation 4 3 2 2 8" xfId="18315"/>
    <cellStyle name="Calculation 4 3 2 3" xfId="13253"/>
    <cellStyle name="Calculation 4 3 2 3 2" xfId="13254"/>
    <cellStyle name="Calculation 4 3 2 3 2 2" xfId="14859"/>
    <cellStyle name="Calculation 4 3 2 3 2 3" xfId="14860"/>
    <cellStyle name="Calculation 4 3 2 3 2 4" xfId="18316"/>
    <cellStyle name="Calculation 4 3 2 3 2 5" xfId="18317"/>
    <cellStyle name="Calculation 4 3 2 3 2 6" xfId="18318"/>
    <cellStyle name="Calculation 4 3 2 3 2 7" xfId="18319"/>
    <cellStyle name="Calculation 4 3 2 3 3" xfId="14861"/>
    <cellStyle name="Calculation 4 3 2 3 4" xfId="14862"/>
    <cellStyle name="Calculation 4 3 2 3 5" xfId="18320"/>
    <cellStyle name="Calculation 4 3 2 3 6" xfId="18321"/>
    <cellStyle name="Calculation 4 3 2 3 7" xfId="18322"/>
    <cellStyle name="Calculation 4 3 2 3 8" xfId="18323"/>
    <cellStyle name="Calculation 4 3 2 4" xfId="13255"/>
    <cellStyle name="Calculation 4 3 2 4 2" xfId="13256"/>
    <cellStyle name="Calculation 4 3 2 4 2 2" xfId="14863"/>
    <cellStyle name="Calculation 4 3 2 4 2 3" xfId="14864"/>
    <cellStyle name="Calculation 4 3 2 4 2 4" xfId="18324"/>
    <cellStyle name="Calculation 4 3 2 4 2 5" xfId="18325"/>
    <cellStyle name="Calculation 4 3 2 4 2 6" xfId="18326"/>
    <cellStyle name="Calculation 4 3 2 4 2 7" xfId="18327"/>
    <cellStyle name="Calculation 4 3 2 4 3" xfId="14865"/>
    <cellStyle name="Calculation 4 3 2 4 4" xfId="14866"/>
    <cellStyle name="Calculation 4 3 2 4 5" xfId="18328"/>
    <cellStyle name="Calculation 4 3 2 4 6" xfId="18329"/>
    <cellStyle name="Calculation 4 3 2 4 7" xfId="18330"/>
    <cellStyle name="Calculation 4 3 2 4 8" xfId="18331"/>
    <cellStyle name="Calculation 4 3 2 5" xfId="13257"/>
    <cellStyle name="Calculation 4 3 2 5 2" xfId="14867"/>
    <cellStyle name="Calculation 4 3 2 5 3" xfId="14868"/>
    <cellStyle name="Calculation 4 3 2 5 4" xfId="18332"/>
    <cellStyle name="Calculation 4 3 2 5 5" xfId="18333"/>
    <cellStyle name="Calculation 4 3 2 5 6" xfId="18334"/>
    <cellStyle name="Calculation 4 3 2 5 7" xfId="18335"/>
    <cellStyle name="Calculation 4 3 2 6" xfId="14869"/>
    <cellStyle name="Calculation 4 3 2 7" xfId="14870"/>
    <cellStyle name="Calculation 4 3 2 8" xfId="18336"/>
    <cellStyle name="Calculation 4 3 2 9" xfId="18337"/>
    <cellStyle name="Calculation 4 3 3" xfId="3155"/>
    <cellStyle name="Calculation 4 3 3 2" xfId="13258"/>
    <cellStyle name="Calculation 4 3 3 2 2" xfId="13259"/>
    <cellStyle name="Calculation 4 3 3 2 2 2" xfId="14871"/>
    <cellStyle name="Calculation 4 3 3 2 2 3" xfId="14872"/>
    <cellStyle name="Calculation 4 3 3 2 2 4" xfId="18338"/>
    <cellStyle name="Calculation 4 3 3 2 2 5" xfId="18339"/>
    <cellStyle name="Calculation 4 3 3 2 2 6" xfId="18340"/>
    <cellStyle name="Calculation 4 3 3 2 2 7" xfId="18341"/>
    <cellStyle name="Calculation 4 3 3 2 3" xfId="14873"/>
    <cellStyle name="Calculation 4 3 3 2 4" xfId="14874"/>
    <cellStyle name="Calculation 4 3 3 2 5" xfId="18342"/>
    <cellStyle name="Calculation 4 3 3 2 6" xfId="18343"/>
    <cellStyle name="Calculation 4 3 3 2 7" xfId="18344"/>
    <cellStyle name="Calculation 4 3 3 2 8" xfId="18345"/>
    <cellStyle name="Calculation 4 3 3 3" xfId="13260"/>
    <cellStyle name="Calculation 4 3 3 3 2" xfId="13261"/>
    <cellStyle name="Calculation 4 3 3 3 2 2" xfId="14875"/>
    <cellStyle name="Calculation 4 3 3 3 2 3" xfId="14876"/>
    <cellStyle name="Calculation 4 3 3 3 2 4" xfId="18346"/>
    <cellStyle name="Calculation 4 3 3 3 2 5" xfId="18347"/>
    <cellStyle name="Calculation 4 3 3 3 2 6" xfId="18348"/>
    <cellStyle name="Calculation 4 3 3 3 2 7" xfId="18349"/>
    <cellStyle name="Calculation 4 3 3 3 3" xfId="14877"/>
    <cellStyle name="Calculation 4 3 3 3 4" xfId="14878"/>
    <cellStyle name="Calculation 4 3 3 3 5" xfId="18350"/>
    <cellStyle name="Calculation 4 3 3 3 6" xfId="18351"/>
    <cellStyle name="Calculation 4 3 3 3 7" xfId="18352"/>
    <cellStyle name="Calculation 4 3 3 3 8" xfId="18353"/>
    <cellStyle name="Calculation 4 3 3 4" xfId="13262"/>
    <cellStyle name="Calculation 4 3 3 4 2" xfId="13263"/>
    <cellStyle name="Calculation 4 3 3 4 2 2" xfId="14879"/>
    <cellStyle name="Calculation 4 3 3 4 2 3" xfId="14880"/>
    <cellStyle name="Calculation 4 3 3 4 2 4" xfId="18354"/>
    <cellStyle name="Calculation 4 3 3 4 2 5" xfId="18355"/>
    <cellStyle name="Calculation 4 3 3 4 2 6" xfId="18356"/>
    <cellStyle name="Calculation 4 3 3 4 2 7" xfId="18357"/>
    <cellStyle name="Calculation 4 3 3 4 3" xfId="14881"/>
    <cellStyle name="Calculation 4 3 3 4 4" xfId="14882"/>
    <cellStyle name="Calculation 4 3 3 4 5" xfId="18358"/>
    <cellStyle name="Calculation 4 3 3 4 6" xfId="18359"/>
    <cellStyle name="Calculation 4 3 3 4 7" xfId="18360"/>
    <cellStyle name="Calculation 4 3 3 4 8" xfId="18361"/>
    <cellStyle name="Calculation 4 3 3 5" xfId="13264"/>
    <cellStyle name="Calculation 4 3 3 5 2" xfId="14883"/>
    <cellStyle name="Calculation 4 3 3 5 3" xfId="14884"/>
    <cellStyle name="Calculation 4 3 3 5 4" xfId="18362"/>
    <cellStyle name="Calculation 4 3 3 5 5" xfId="18363"/>
    <cellStyle name="Calculation 4 3 3 5 6" xfId="18364"/>
    <cellStyle name="Calculation 4 3 3 5 7" xfId="18365"/>
    <cellStyle name="Calculation 4 3 3 6" xfId="14885"/>
    <cellStyle name="Calculation 4 3 3 7" xfId="14886"/>
    <cellStyle name="Calculation 4 3 3 8" xfId="18366"/>
    <cellStyle name="Calculation 4 3 3 9" xfId="18367"/>
    <cellStyle name="Calculation 4 3 4" xfId="3101"/>
    <cellStyle name="Calculation 4 3 4 2" xfId="13265"/>
    <cellStyle name="Calculation 4 3 4 2 2" xfId="13266"/>
    <cellStyle name="Calculation 4 3 4 2 2 2" xfId="14887"/>
    <cellStyle name="Calculation 4 3 4 2 2 3" xfId="14888"/>
    <cellStyle name="Calculation 4 3 4 2 2 4" xfId="18368"/>
    <cellStyle name="Calculation 4 3 4 2 2 5" xfId="18369"/>
    <cellStyle name="Calculation 4 3 4 2 2 6" xfId="18370"/>
    <cellStyle name="Calculation 4 3 4 2 2 7" xfId="18371"/>
    <cellStyle name="Calculation 4 3 4 2 3" xfId="14889"/>
    <cellStyle name="Calculation 4 3 4 2 4" xfId="14890"/>
    <cellStyle name="Calculation 4 3 4 2 5" xfId="18372"/>
    <cellStyle name="Calculation 4 3 4 2 6" xfId="18373"/>
    <cellStyle name="Calculation 4 3 4 2 7" xfId="18374"/>
    <cellStyle name="Calculation 4 3 4 2 8" xfId="18375"/>
    <cellStyle name="Calculation 4 3 4 3" xfId="13267"/>
    <cellStyle name="Calculation 4 3 4 3 2" xfId="13268"/>
    <cellStyle name="Calculation 4 3 4 3 2 2" xfId="14891"/>
    <cellStyle name="Calculation 4 3 4 3 2 3" xfId="14892"/>
    <cellStyle name="Calculation 4 3 4 3 2 4" xfId="18376"/>
    <cellStyle name="Calculation 4 3 4 3 2 5" xfId="18377"/>
    <cellStyle name="Calculation 4 3 4 3 2 6" xfId="18378"/>
    <cellStyle name="Calculation 4 3 4 3 2 7" xfId="18379"/>
    <cellStyle name="Calculation 4 3 4 3 3" xfId="14893"/>
    <cellStyle name="Calculation 4 3 4 3 4" xfId="14894"/>
    <cellStyle name="Calculation 4 3 4 3 5" xfId="18380"/>
    <cellStyle name="Calculation 4 3 4 3 6" xfId="18381"/>
    <cellStyle name="Calculation 4 3 4 3 7" xfId="18382"/>
    <cellStyle name="Calculation 4 3 4 3 8" xfId="18383"/>
    <cellStyle name="Calculation 4 3 4 4" xfId="13269"/>
    <cellStyle name="Calculation 4 3 4 4 2" xfId="13270"/>
    <cellStyle name="Calculation 4 3 4 4 2 2" xfId="14895"/>
    <cellStyle name="Calculation 4 3 4 4 2 3" xfId="14896"/>
    <cellStyle name="Calculation 4 3 4 4 2 4" xfId="18384"/>
    <cellStyle name="Calculation 4 3 4 4 2 5" xfId="18385"/>
    <cellStyle name="Calculation 4 3 4 4 2 6" xfId="18386"/>
    <cellStyle name="Calculation 4 3 4 4 2 7" xfId="18387"/>
    <cellStyle name="Calculation 4 3 4 4 3" xfId="14897"/>
    <cellStyle name="Calculation 4 3 4 4 4" xfId="14898"/>
    <cellStyle name="Calculation 4 3 4 4 5" xfId="18388"/>
    <cellStyle name="Calculation 4 3 4 4 6" xfId="18389"/>
    <cellStyle name="Calculation 4 3 4 4 7" xfId="18390"/>
    <cellStyle name="Calculation 4 3 4 4 8" xfId="18391"/>
    <cellStyle name="Calculation 4 3 4 5" xfId="13271"/>
    <cellStyle name="Calculation 4 3 4 5 2" xfId="14899"/>
    <cellStyle name="Calculation 4 3 4 5 3" xfId="14900"/>
    <cellStyle name="Calculation 4 3 4 5 4" xfId="18392"/>
    <cellStyle name="Calculation 4 3 4 5 5" xfId="18393"/>
    <cellStyle name="Calculation 4 3 4 5 6" xfId="18394"/>
    <cellStyle name="Calculation 4 3 4 5 7" xfId="18395"/>
    <cellStyle name="Calculation 4 3 4 6" xfId="14901"/>
    <cellStyle name="Calculation 4 3 4 7" xfId="14902"/>
    <cellStyle name="Calculation 4 3 4 8" xfId="18396"/>
    <cellStyle name="Calculation 4 3 4 9" xfId="18397"/>
    <cellStyle name="Calculation 4 3 5" xfId="3235"/>
    <cellStyle name="Calculation 4 3 5 2" xfId="13272"/>
    <cellStyle name="Calculation 4 3 5 2 2" xfId="13273"/>
    <cellStyle name="Calculation 4 3 5 2 2 2" xfId="14903"/>
    <cellStyle name="Calculation 4 3 5 2 2 3" xfId="14904"/>
    <cellStyle name="Calculation 4 3 5 2 2 4" xfId="18398"/>
    <cellStyle name="Calculation 4 3 5 2 2 5" xfId="18399"/>
    <cellStyle name="Calculation 4 3 5 2 2 6" xfId="18400"/>
    <cellStyle name="Calculation 4 3 5 2 2 7" xfId="18401"/>
    <cellStyle name="Calculation 4 3 5 2 3" xfId="14905"/>
    <cellStyle name="Calculation 4 3 5 2 4" xfId="14906"/>
    <cellStyle name="Calculation 4 3 5 2 5" xfId="18402"/>
    <cellStyle name="Calculation 4 3 5 2 6" xfId="18403"/>
    <cellStyle name="Calculation 4 3 5 2 7" xfId="18404"/>
    <cellStyle name="Calculation 4 3 5 2 8" xfId="18405"/>
    <cellStyle name="Calculation 4 3 5 3" xfId="13274"/>
    <cellStyle name="Calculation 4 3 5 3 2" xfId="13275"/>
    <cellStyle name="Calculation 4 3 5 3 2 2" xfId="14907"/>
    <cellStyle name="Calculation 4 3 5 3 2 3" xfId="14908"/>
    <cellStyle name="Calculation 4 3 5 3 2 4" xfId="18406"/>
    <cellStyle name="Calculation 4 3 5 3 2 5" xfId="18407"/>
    <cellStyle name="Calculation 4 3 5 3 2 6" xfId="18408"/>
    <cellStyle name="Calculation 4 3 5 3 2 7" xfId="18409"/>
    <cellStyle name="Calculation 4 3 5 3 3" xfId="14909"/>
    <cellStyle name="Calculation 4 3 5 3 4" xfId="14910"/>
    <cellStyle name="Calculation 4 3 5 3 5" xfId="18410"/>
    <cellStyle name="Calculation 4 3 5 3 6" xfId="18411"/>
    <cellStyle name="Calculation 4 3 5 3 7" xfId="18412"/>
    <cellStyle name="Calculation 4 3 5 3 8" xfId="18413"/>
    <cellStyle name="Calculation 4 3 5 4" xfId="13276"/>
    <cellStyle name="Calculation 4 3 5 4 2" xfId="13277"/>
    <cellStyle name="Calculation 4 3 5 4 2 2" xfId="14911"/>
    <cellStyle name="Calculation 4 3 5 4 2 3" xfId="14912"/>
    <cellStyle name="Calculation 4 3 5 4 2 4" xfId="18414"/>
    <cellStyle name="Calculation 4 3 5 4 2 5" xfId="18415"/>
    <cellStyle name="Calculation 4 3 5 4 2 6" xfId="18416"/>
    <cellStyle name="Calculation 4 3 5 4 2 7" xfId="18417"/>
    <cellStyle name="Calculation 4 3 5 4 3" xfId="14913"/>
    <cellStyle name="Calculation 4 3 5 4 4" xfId="14914"/>
    <cellStyle name="Calculation 4 3 5 4 5" xfId="18418"/>
    <cellStyle name="Calculation 4 3 5 4 6" xfId="18419"/>
    <cellStyle name="Calculation 4 3 5 4 7" xfId="18420"/>
    <cellStyle name="Calculation 4 3 5 4 8" xfId="18421"/>
    <cellStyle name="Calculation 4 3 5 5" xfId="13278"/>
    <cellStyle name="Calculation 4 3 5 5 2" xfId="14915"/>
    <cellStyle name="Calculation 4 3 5 5 3" xfId="14916"/>
    <cellStyle name="Calculation 4 3 5 5 4" xfId="18422"/>
    <cellStyle name="Calculation 4 3 5 5 5" xfId="18423"/>
    <cellStyle name="Calculation 4 3 5 5 6" xfId="18424"/>
    <cellStyle name="Calculation 4 3 5 5 7" xfId="18425"/>
    <cellStyle name="Calculation 4 3 5 6" xfId="14917"/>
    <cellStyle name="Calculation 4 3 5 7" xfId="14918"/>
    <cellStyle name="Calculation 4 3 5 8" xfId="18426"/>
    <cellStyle name="Calculation 4 3 5 9" xfId="18427"/>
    <cellStyle name="Calculation 4 3 6" xfId="13279"/>
    <cellStyle name="Calculation 4 3 6 2" xfId="13280"/>
    <cellStyle name="Calculation 4 3 6 2 2" xfId="14919"/>
    <cellStyle name="Calculation 4 3 6 2 3" xfId="14920"/>
    <cellStyle name="Calculation 4 3 6 2 4" xfId="18428"/>
    <cellStyle name="Calculation 4 3 6 2 5" xfId="18429"/>
    <cellStyle name="Calculation 4 3 6 2 6" xfId="18430"/>
    <cellStyle name="Calculation 4 3 6 2 7" xfId="18431"/>
    <cellStyle name="Calculation 4 3 6 3" xfId="14921"/>
    <cellStyle name="Calculation 4 3 6 4" xfId="14922"/>
    <cellStyle name="Calculation 4 3 6 5" xfId="18432"/>
    <cellStyle name="Calculation 4 3 6 6" xfId="18433"/>
    <cellStyle name="Calculation 4 3 6 7" xfId="18434"/>
    <cellStyle name="Calculation 4 3 6 8" xfId="18435"/>
    <cellStyle name="Calculation 4 3 7" xfId="13281"/>
    <cellStyle name="Calculation 4 3 7 2" xfId="13282"/>
    <cellStyle name="Calculation 4 3 7 2 2" xfId="14923"/>
    <cellStyle name="Calculation 4 3 7 2 3" xfId="14924"/>
    <cellStyle name="Calculation 4 3 7 2 4" xfId="18436"/>
    <cellStyle name="Calculation 4 3 7 2 5" xfId="18437"/>
    <cellStyle name="Calculation 4 3 7 2 6" xfId="18438"/>
    <cellStyle name="Calculation 4 3 7 2 7" xfId="18439"/>
    <cellStyle name="Calculation 4 3 7 3" xfId="14925"/>
    <cellStyle name="Calculation 4 3 7 4" xfId="14926"/>
    <cellStyle name="Calculation 4 3 7 5" xfId="18440"/>
    <cellStyle name="Calculation 4 3 7 6" xfId="18441"/>
    <cellStyle name="Calculation 4 3 7 7" xfId="18442"/>
    <cellStyle name="Calculation 4 3 7 8" xfId="18443"/>
    <cellStyle name="Calculation 4 3 8" xfId="13283"/>
    <cellStyle name="Calculation 4 3 8 2" xfId="13284"/>
    <cellStyle name="Calculation 4 3 8 2 2" xfId="14927"/>
    <cellStyle name="Calculation 4 3 8 2 3" xfId="14928"/>
    <cellStyle name="Calculation 4 3 8 2 4" xfId="18444"/>
    <cellStyle name="Calculation 4 3 8 2 5" xfId="18445"/>
    <cellStyle name="Calculation 4 3 8 2 6" xfId="18446"/>
    <cellStyle name="Calculation 4 3 8 2 7" xfId="18447"/>
    <cellStyle name="Calculation 4 3 8 3" xfId="14929"/>
    <cellStyle name="Calculation 4 3 8 4" xfId="14930"/>
    <cellStyle name="Calculation 4 3 8 5" xfId="18448"/>
    <cellStyle name="Calculation 4 3 8 6" xfId="18449"/>
    <cellStyle name="Calculation 4 3 8 7" xfId="18450"/>
    <cellStyle name="Calculation 4 3 8 8" xfId="18451"/>
    <cellStyle name="Calculation 4 3 9" xfId="13285"/>
    <cellStyle name="Calculation 4 3 9 2" xfId="14931"/>
    <cellStyle name="Calculation 4 3 9 3" xfId="14932"/>
    <cellStyle name="Calculation 4 3 9 4" xfId="18452"/>
    <cellStyle name="Calculation 4 3 9 5" xfId="18453"/>
    <cellStyle name="Calculation 4 3 9 6" xfId="18454"/>
    <cellStyle name="Calculation 4 3 9 7" xfId="18455"/>
    <cellStyle name="Calculation 4 4" xfId="1371"/>
    <cellStyle name="Calculation 4 4 10" xfId="18456"/>
    <cellStyle name="Calculation 4 4 11" xfId="18457"/>
    <cellStyle name="Calculation 4 4 2" xfId="13286"/>
    <cellStyle name="Calculation 4 4 2 2" xfId="13287"/>
    <cellStyle name="Calculation 4 4 2 2 2" xfId="14933"/>
    <cellStyle name="Calculation 4 4 2 2 3" xfId="14934"/>
    <cellStyle name="Calculation 4 4 2 2 4" xfId="18458"/>
    <cellStyle name="Calculation 4 4 2 2 5" xfId="18459"/>
    <cellStyle name="Calculation 4 4 2 2 6" xfId="18460"/>
    <cellStyle name="Calculation 4 4 2 2 7" xfId="18461"/>
    <cellStyle name="Calculation 4 4 2 3" xfId="14935"/>
    <cellStyle name="Calculation 4 4 2 4" xfId="14936"/>
    <cellStyle name="Calculation 4 4 2 5" xfId="18462"/>
    <cellStyle name="Calculation 4 4 2 6" xfId="18463"/>
    <cellStyle name="Calculation 4 4 2 7" xfId="18464"/>
    <cellStyle name="Calculation 4 4 2 8" xfId="18465"/>
    <cellStyle name="Calculation 4 4 3" xfId="13288"/>
    <cellStyle name="Calculation 4 4 3 2" xfId="13289"/>
    <cellStyle name="Calculation 4 4 3 2 2" xfId="14937"/>
    <cellStyle name="Calculation 4 4 3 2 3" xfId="14938"/>
    <cellStyle name="Calculation 4 4 3 2 4" xfId="18466"/>
    <cellStyle name="Calculation 4 4 3 2 5" xfId="18467"/>
    <cellStyle name="Calculation 4 4 3 2 6" xfId="18468"/>
    <cellStyle name="Calculation 4 4 3 2 7" xfId="18469"/>
    <cellStyle name="Calculation 4 4 3 3" xfId="14939"/>
    <cellStyle name="Calculation 4 4 3 4" xfId="14940"/>
    <cellStyle name="Calculation 4 4 3 5" xfId="18470"/>
    <cellStyle name="Calculation 4 4 3 6" xfId="18471"/>
    <cellStyle name="Calculation 4 4 3 7" xfId="18472"/>
    <cellStyle name="Calculation 4 4 3 8" xfId="18473"/>
    <cellStyle name="Calculation 4 4 4" xfId="13290"/>
    <cellStyle name="Calculation 4 4 4 2" xfId="13291"/>
    <cellStyle name="Calculation 4 4 4 2 2" xfId="14941"/>
    <cellStyle name="Calculation 4 4 4 2 3" xfId="14942"/>
    <cellStyle name="Calculation 4 4 4 2 4" xfId="18474"/>
    <cellStyle name="Calculation 4 4 4 2 5" xfId="18475"/>
    <cellStyle name="Calculation 4 4 4 2 6" xfId="18476"/>
    <cellStyle name="Calculation 4 4 4 2 7" xfId="18477"/>
    <cellStyle name="Calculation 4 4 4 3" xfId="14943"/>
    <cellStyle name="Calculation 4 4 4 4" xfId="14944"/>
    <cellStyle name="Calculation 4 4 4 5" xfId="18478"/>
    <cellStyle name="Calculation 4 4 4 6" xfId="18479"/>
    <cellStyle name="Calculation 4 4 4 7" xfId="18480"/>
    <cellStyle name="Calculation 4 4 4 8" xfId="18481"/>
    <cellStyle name="Calculation 4 4 5" xfId="13292"/>
    <cellStyle name="Calculation 4 4 5 2" xfId="14945"/>
    <cellStyle name="Calculation 4 4 5 3" xfId="14946"/>
    <cellStyle name="Calculation 4 4 5 4" xfId="18482"/>
    <cellStyle name="Calculation 4 4 5 5" xfId="18483"/>
    <cellStyle name="Calculation 4 4 5 6" xfId="18484"/>
    <cellStyle name="Calculation 4 4 5 7" xfId="18485"/>
    <cellStyle name="Calculation 4 4 6" xfId="3277"/>
    <cellStyle name="Calculation 4 4 7" xfId="14947"/>
    <cellStyle name="Calculation 4 4 8" xfId="18486"/>
    <cellStyle name="Calculation 4 4 9" xfId="18487"/>
    <cellStyle name="Calculation 4 5" xfId="13293"/>
    <cellStyle name="Calculation 4 5 2" xfId="13294"/>
    <cellStyle name="Calculation 4 5 2 2" xfId="14948"/>
    <cellStyle name="Calculation 4 5 2 3" xfId="14949"/>
    <cellStyle name="Calculation 4 5 2 4" xfId="18488"/>
    <cellStyle name="Calculation 4 5 2 5" xfId="18489"/>
    <cellStyle name="Calculation 4 5 2 6" xfId="18490"/>
    <cellStyle name="Calculation 4 5 2 7" xfId="18491"/>
    <cellStyle name="Calculation 4 5 3" xfId="14950"/>
    <cellStyle name="Calculation 4 5 4" xfId="14951"/>
    <cellStyle name="Calculation 4 5 5" xfId="18492"/>
    <cellStyle name="Calculation 4 5 6" xfId="18493"/>
    <cellStyle name="Calculation 4 5 7" xfId="18494"/>
    <cellStyle name="Calculation 4 5 8" xfId="18495"/>
    <cellStyle name="Calculation 4 6" xfId="13295"/>
    <cellStyle name="Calculation 4 6 2" xfId="13296"/>
    <cellStyle name="Calculation 4 6 2 2" xfId="14952"/>
    <cellStyle name="Calculation 4 6 2 3" xfId="14953"/>
    <cellStyle name="Calculation 4 6 2 4" xfId="18496"/>
    <cellStyle name="Calculation 4 6 2 5" xfId="18497"/>
    <cellStyle name="Calculation 4 6 2 6" xfId="18498"/>
    <cellStyle name="Calculation 4 6 2 7" xfId="18499"/>
    <cellStyle name="Calculation 4 6 3" xfId="14954"/>
    <cellStyle name="Calculation 4 6 4" xfId="14955"/>
    <cellStyle name="Calculation 4 6 5" xfId="18500"/>
    <cellStyle name="Calculation 4 6 6" xfId="18501"/>
    <cellStyle name="Calculation 4 6 7" xfId="18502"/>
    <cellStyle name="Calculation 4 6 8" xfId="18503"/>
    <cellStyle name="Calculation 4 7" xfId="13297"/>
    <cellStyle name="Calculation 4 7 2" xfId="13298"/>
    <cellStyle name="Calculation 4 7 2 2" xfId="14956"/>
    <cellStyle name="Calculation 4 7 2 3" xfId="14957"/>
    <cellStyle name="Calculation 4 7 2 4" xfId="18504"/>
    <cellStyle name="Calculation 4 7 2 5" xfId="18505"/>
    <cellStyle name="Calculation 4 7 2 6" xfId="18506"/>
    <cellStyle name="Calculation 4 7 2 7" xfId="18507"/>
    <cellStyle name="Calculation 4 7 3" xfId="14958"/>
    <cellStyle name="Calculation 4 7 4" xfId="14959"/>
    <cellStyle name="Calculation 4 7 5" xfId="18508"/>
    <cellStyle name="Calculation 4 7 6" xfId="18509"/>
    <cellStyle name="Calculation 4 7 7" xfId="18510"/>
    <cellStyle name="Calculation 4 7 8" xfId="18511"/>
    <cellStyle name="Calculation 4 8" xfId="13299"/>
    <cellStyle name="Calculation 4 8 2" xfId="14960"/>
    <cellStyle name="Calculation 4 8 3" xfId="14961"/>
    <cellStyle name="Calculation 4 8 4" xfId="18512"/>
    <cellStyle name="Calculation 4 8 5" xfId="18513"/>
    <cellStyle name="Calculation 4 8 6" xfId="18514"/>
    <cellStyle name="Calculation 4 8 7" xfId="18515"/>
    <cellStyle name="Calculation 4 9" xfId="14962"/>
    <cellStyle name="Check Cell" xfId="2862" builtinId="23" customBuiltin="1"/>
    <cellStyle name="Check Cell 2" xfId="182"/>
    <cellStyle name="Check Cell 2 2" xfId="323"/>
    <cellStyle name="Check Cell 2 2 2" xfId="761"/>
    <cellStyle name="Check Cell 2 3" xfId="324"/>
    <cellStyle name="Check Cell 2 4" xfId="322"/>
    <cellStyle name="Check Cell 2 4 2" xfId="1556"/>
    <cellStyle name="Check Cell 3" xfId="183"/>
    <cellStyle name="Check Cell 4" xfId="325"/>
    <cellStyle name="Check Cell 4 2" xfId="1557"/>
    <cellStyle name="Color" xfId="762"/>
    <cellStyle name="combo" xfId="326"/>
    <cellStyle name="Comma" xfId="1" builtinId="3"/>
    <cellStyle name="Comma 10" xfId="79"/>
    <cellStyle name="Comma 10 2" xfId="184"/>
    <cellStyle name="Comma 11" xfId="80"/>
    <cellStyle name="Comma 11 2" xfId="185"/>
    <cellStyle name="Comma 11 2 2" xfId="763"/>
    <cellStyle name="Comma 11 2 2 2" xfId="1558"/>
    <cellStyle name="Comma 11 2 2 2 2" xfId="3359"/>
    <cellStyle name="Comma 11 2 2 2 2 2" xfId="3360"/>
    <cellStyle name="Comma 11 2 2 2 2 2 2" xfId="3361"/>
    <cellStyle name="Comma 11 2 2 2 2 2 3" xfId="9337"/>
    <cellStyle name="Comma 11 2 2 2 2 3" xfId="3362"/>
    <cellStyle name="Comma 11 2 2 2 2 3 2" xfId="3363"/>
    <cellStyle name="Comma 11 2 2 2 2 3 3" xfId="9338"/>
    <cellStyle name="Comma 11 2 2 2 2 4" xfId="3364"/>
    <cellStyle name="Comma 11 2 2 2 2 5" xfId="9339"/>
    <cellStyle name="Comma 11 2 2 2 3" xfId="3365"/>
    <cellStyle name="Comma 11 2 2 2 3 2" xfId="3366"/>
    <cellStyle name="Comma 11 2 2 2 3 3" xfId="9340"/>
    <cellStyle name="Comma 11 2 2 2 4" xfId="3367"/>
    <cellStyle name="Comma 11 2 2 2 4 2" xfId="3368"/>
    <cellStyle name="Comma 11 2 2 2 4 3" xfId="9341"/>
    <cellStyle name="Comma 11 2 2 2 5" xfId="3369"/>
    <cellStyle name="Comma 11 2 2 2 6" xfId="9342"/>
    <cellStyle name="Comma 11 2 2 3" xfId="3370"/>
    <cellStyle name="Comma 11 2 2 3 2" xfId="3371"/>
    <cellStyle name="Comma 11 2 2 3 2 2" xfId="3372"/>
    <cellStyle name="Comma 11 2 2 3 2 3" xfId="9343"/>
    <cellStyle name="Comma 11 2 2 3 3" xfId="3373"/>
    <cellStyle name="Comma 11 2 2 3 3 2" xfId="3374"/>
    <cellStyle name="Comma 11 2 2 3 3 3" xfId="9344"/>
    <cellStyle name="Comma 11 2 2 3 4" xfId="3375"/>
    <cellStyle name="Comma 11 2 2 3 5" xfId="9345"/>
    <cellStyle name="Comma 11 2 2 4" xfId="3376"/>
    <cellStyle name="Comma 11 2 2 4 2" xfId="3377"/>
    <cellStyle name="Comma 11 2 2 4 3" xfId="9346"/>
    <cellStyle name="Comma 11 2 2 5" xfId="3378"/>
    <cellStyle name="Comma 11 2 2 5 2" xfId="3379"/>
    <cellStyle name="Comma 11 2 2 5 3" xfId="9347"/>
    <cellStyle name="Comma 11 2 2 6" xfId="3380"/>
    <cellStyle name="Comma 11 2 2 7" xfId="9348"/>
    <cellStyle name="Comma 11 2 3" xfId="1559"/>
    <cellStyle name="Comma 11 2 3 2" xfId="3381"/>
    <cellStyle name="Comma 11 2 3 2 2" xfId="3382"/>
    <cellStyle name="Comma 11 2 3 2 2 2" xfId="3383"/>
    <cellStyle name="Comma 11 2 3 2 2 3" xfId="9349"/>
    <cellStyle name="Comma 11 2 3 2 3" xfId="3384"/>
    <cellStyle name="Comma 11 2 3 2 3 2" xfId="3385"/>
    <cellStyle name="Comma 11 2 3 2 3 3" xfId="9350"/>
    <cellStyle name="Comma 11 2 3 2 4" xfId="3386"/>
    <cellStyle name="Comma 11 2 3 2 5" xfId="9351"/>
    <cellStyle name="Comma 11 2 3 3" xfId="3387"/>
    <cellStyle name="Comma 11 2 3 3 2" xfId="3388"/>
    <cellStyle name="Comma 11 2 3 3 3" xfId="9352"/>
    <cellStyle name="Comma 11 2 3 4" xfId="3389"/>
    <cellStyle name="Comma 11 2 3 4 2" xfId="3390"/>
    <cellStyle name="Comma 11 2 3 4 3" xfId="9353"/>
    <cellStyle name="Comma 11 2 3 5" xfId="3391"/>
    <cellStyle name="Comma 11 2 3 6" xfId="9354"/>
    <cellStyle name="Comma 11 2 4" xfId="3392"/>
    <cellStyle name="Comma 11 2 4 2" xfId="3393"/>
    <cellStyle name="Comma 11 2 4 2 2" xfId="3394"/>
    <cellStyle name="Comma 11 2 4 2 3" xfId="9355"/>
    <cellStyle name="Comma 11 2 4 3" xfId="3395"/>
    <cellStyle name="Comma 11 2 4 3 2" xfId="3396"/>
    <cellStyle name="Comma 11 2 4 3 3" xfId="9356"/>
    <cellStyle name="Comma 11 2 4 4" xfId="3397"/>
    <cellStyle name="Comma 11 2 4 5" xfId="9357"/>
    <cellStyle name="Comma 11 2 5" xfId="3398"/>
    <cellStyle name="Comma 11 2 5 2" xfId="3399"/>
    <cellStyle name="Comma 11 2 5 3" xfId="9358"/>
    <cellStyle name="Comma 11 2 6" xfId="3400"/>
    <cellStyle name="Comma 11 2 6 2" xfId="3401"/>
    <cellStyle name="Comma 11 2 6 3" xfId="9359"/>
    <cellStyle name="Comma 11 2 7" xfId="3402"/>
    <cellStyle name="Comma 11 2 8" xfId="9360"/>
    <cellStyle name="Comma 11 3" xfId="764"/>
    <cellStyle name="Comma 11 3 2" xfId="1560"/>
    <cellStyle name="Comma 11 3 2 2" xfId="3403"/>
    <cellStyle name="Comma 11 3 2 2 2" xfId="3404"/>
    <cellStyle name="Comma 11 3 2 2 2 2" xfId="3405"/>
    <cellStyle name="Comma 11 3 2 2 2 3" xfId="9361"/>
    <cellStyle name="Comma 11 3 2 2 3" xfId="3406"/>
    <cellStyle name="Comma 11 3 2 2 3 2" xfId="3407"/>
    <cellStyle name="Comma 11 3 2 2 3 3" xfId="9362"/>
    <cellStyle name="Comma 11 3 2 2 4" xfId="3408"/>
    <cellStyle name="Comma 11 3 2 2 5" xfId="9363"/>
    <cellStyle name="Comma 11 3 2 3" xfId="3409"/>
    <cellStyle name="Comma 11 3 2 3 2" xfId="3410"/>
    <cellStyle name="Comma 11 3 2 3 3" xfId="9364"/>
    <cellStyle name="Comma 11 3 2 4" xfId="3411"/>
    <cellStyle name="Comma 11 3 2 4 2" xfId="3412"/>
    <cellStyle name="Comma 11 3 2 4 3" xfId="9365"/>
    <cellStyle name="Comma 11 3 2 5" xfId="3413"/>
    <cellStyle name="Comma 11 3 2 6" xfId="9366"/>
    <cellStyle name="Comma 11 3 3" xfId="3414"/>
    <cellStyle name="Comma 11 3 3 2" xfId="3415"/>
    <cellStyle name="Comma 11 3 3 2 2" xfId="3416"/>
    <cellStyle name="Comma 11 3 3 2 3" xfId="9367"/>
    <cellStyle name="Comma 11 3 3 3" xfId="3417"/>
    <cellStyle name="Comma 11 3 3 3 2" xfId="3418"/>
    <cellStyle name="Comma 11 3 3 3 3" xfId="9368"/>
    <cellStyle name="Comma 11 3 3 4" xfId="3419"/>
    <cellStyle name="Comma 11 3 3 5" xfId="9369"/>
    <cellStyle name="Comma 11 3 4" xfId="3420"/>
    <cellStyle name="Comma 11 3 4 2" xfId="3421"/>
    <cellStyle name="Comma 11 3 4 3" xfId="9370"/>
    <cellStyle name="Comma 11 3 5" xfId="3422"/>
    <cellStyle name="Comma 11 3 5 2" xfId="3423"/>
    <cellStyle name="Comma 11 3 5 3" xfId="9371"/>
    <cellStyle name="Comma 11 3 6" xfId="3424"/>
    <cellStyle name="Comma 11 3 7" xfId="9372"/>
    <cellStyle name="Comma 11 4" xfId="1561"/>
    <cellStyle name="Comma 11 4 2" xfId="3425"/>
    <cellStyle name="Comma 11 4 2 2" xfId="3426"/>
    <cellStyle name="Comma 11 4 2 2 2" xfId="3427"/>
    <cellStyle name="Comma 11 4 2 2 3" xfId="9373"/>
    <cellStyle name="Comma 11 4 2 3" xfId="3428"/>
    <cellStyle name="Comma 11 4 2 3 2" xfId="3429"/>
    <cellStyle name="Comma 11 4 2 3 3" xfId="9374"/>
    <cellStyle name="Comma 11 4 2 4" xfId="3430"/>
    <cellStyle name="Comma 11 4 2 5" xfId="9375"/>
    <cellStyle name="Comma 11 4 3" xfId="3431"/>
    <cellStyle name="Comma 11 4 3 2" xfId="3432"/>
    <cellStyle name="Comma 11 4 3 3" xfId="9376"/>
    <cellStyle name="Comma 11 4 4" xfId="3433"/>
    <cellStyle name="Comma 11 4 4 2" xfId="3434"/>
    <cellStyle name="Comma 11 4 4 3" xfId="9377"/>
    <cellStyle name="Comma 11 4 5" xfId="3435"/>
    <cellStyle name="Comma 11 4 6" xfId="9378"/>
    <cellStyle name="Comma 11 5" xfId="3436"/>
    <cellStyle name="Comma 11 5 2" xfId="3437"/>
    <cellStyle name="Comma 11 5 2 2" xfId="3438"/>
    <cellStyle name="Comma 11 5 2 3" xfId="9379"/>
    <cellStyle name="Comma 11 5 3" xfId="3439"/>
    <cellStyle name="Comma 11 5 3 2" xfId="3440"/>
    <cellStyle name="Comma 11 5 3 3" xfId="9380"/>
    <cellStyle name="Comma 11 5 4" xfId="3441"/>
    <cellStyle name="Comma 11 5 5" xfId="9381"/>
    <cellStyle name="Comma 11 6" xfId="3442"/>
    <cellStyle name="Comma 11 6 2" xfId="3443"/>
    <cellStyle name="Comma 11 6 3" xfId="9382"/>
    <cellStyle name="Comma 11 7" xfId="3444"/>
    <cellStyle name="Comma 11 7 2" xfId="3445"/>
    <cellStyle name="Comma 11 7 3" xfId="9383"/>
    <cellStyle name="Comma 11 8" xfId="3446"/>
    <cellStyle name="Comma 11 9" xfId="9384"/>
    <cellStyle name="Comma 12" xfId="81"/>
    <cellStyle name="Comma 12 2" xfId="186"/>
    <cellStyle name="Comma 12 2 2" xfId="765"/>
    <cellStyle name="Comma 12 2 2 2" xfId="3447"/>
    <cellStyle name="Comma 12 2 2 2 2" xfId="3448"/>
    <cellStyle name="Comma 12 2 2 2 2 2" xfId="3449"/>
    <cellStyle name="Comma 12 2 2 2 2 3" xfId="9385"/>
    <cellStyle name="Comma 12 2 2 2 3" xfId="3450"/>
    <cellStyle name="Comma 12 2 2 2 3 2" xfId="3451"/>
    <cellStyle name="Comma 12 2 2 2 3 3" xfId="9386"/>
    <cellStyle name="Comma 12 2 2 2 4" xfId="3452"/>
    <cellStyle name="Comma 12 2 2 2 5" xfId="9387"/>
    <cellStyle name="Comma 12 2 2 3" xfId="3453"/>
    <cellStyle name="Comma 12 2 2 3 2" xfId="3454"/>
    <cellStyle name="Comma 12 2 2 3 3" xfId="9388"/>
    <cellStyle name="Comma 12 2 2 4" xfId="3455"/>
    <cellStyle name="Comma 12 2 2 4 2" xfId="3456"/>
    <cellStyle name="Comma 12 2 2 4 3" xfId="9389"/>
    <cellStyle name="Comma 12 2 2 5" xfId="3457"/>
    <cellStyle name="Comma 12 2 2 6" xfId="9390"/>
    <cellStyle name="Comma 12 2 3" xfId="2946"/>
    <cellStyle name="Comma 12 2 3 2" xfId="3458"/>
    <cellStyle name="Comma 12 2 3 2 2" xfId="3459"/>
    <cellStyle name="Comma 12 2 3 2 3" xfId="9391"/>
    <cellStyle name="Comma 12 2 3 3" xfId="3460"/>
    <cellStyle name="Comma 12 2 3 3 2" xfId="3461"/>
    <cellStyle name="Comma 12 2 3 3 3" xfId="9392"/>
    <cellStyle name="Comma 12 2 3 4" xfId="3462"/>
    <cellStyle name="Comma 12 2 3 5" xfId="9393"/>
    <cellStyle name="Comma 12 2 4" xfId="3463"/>
    <cellStyle name="Comma 12 2 4 2" xfId="3464"/>
    <cellStyle name="Comma 12 2 4 3" xfId="9394"/>
    <cellStyle name="Comma 12 2 5" xfId="3465"/>
    <cellStyle name="Comma 12 2 5 2" xfId="3466"/>
    <cellStyle name="Comma 12 2 5 3" xfId="9395"/>
    <cellStyle name="Comma 12 2 6" xfId="3467"/>
    <cellStyle name="Comma 12 2 7" xfId="9396"/>
    <cellStyle name="Comma 12 3" xfId="766"/>
    <cellStyle name="Comma 12 4" xfId="767"/>
    <cellStyle name="Comma 12 5" xfId="768"/>
    <cellStyle name="Comma 12 6" xfId="3278"/>
    <cellStyle name="Comma 13" xfId="82"/>
    <cellStyle name="Comma 13 2" xfId="769"/>
    <cellStyle name="Comma 13 2 2" xfId="2974"/>
    <cellStyle name="Comma 13 2 2 2" xfId="3468"/>
    <cellStyle name="Comma 13 2 2 2 2" xfId="3469"/>
    <cellStyle name="Comma 13 2 2 2 2 2" xfId="3470"/>
    <cellStyle name="Comma 13 2 2 2 2 3" xfId="9397"/>
    <cellStyle name="Comma 13 2 2 2 3" xfId="3471"/>
    <cellStyle name="Comma 13 2 2 2 3 2" xfId="3472"/>
    <cellStyle name="Comma 13 2 2 2 3 3" xfId="9398"/>
    <cellStyle name="Comma 13 2 2 2 4" xfId="3473"/>
    <cellStyle name="Comma 13 2 2 2 5" xfId="9399"/>
    <cellStyle name="Comma 13 2 2 3" xfId="3474"/>
    <cellStyle name="Comma 13 2 2 3 2" xfId="3475"/>
    <cellStyle name="Comma 13 2 2 3 3" xfId="9400"/>
    <cellStyle name="Comma 13 2 2 4" xfId="3476"/>
    <cellStyle name="Comma 13 2 2 4 2" xfId="3477"/>
    <cellStyle name="Comma 13 2 2 4 3" xfId="9401"/>
    <cellStyle name="Comma 13 2 2 5" xfId="3478"/>
    <cellStyle name="Comma 13 2 2 6" xfId="9402"/>
    <cellStyle name="Comma 13 2 3" xfId="3479"/>
    <cellStyle name="Comma 13 2 3 2" xfId="3480"/>
    <cellStyle name="Comma 13 2 3 2 2" xfId="3481"/>
    <cellStyle name="Comma 13 2 3 2 3" xfId="9403"/>
    <cellStyle name="Comma 13 2 3 3" xfId="3482"/>
    <cellStyle name="Comma 13 2 3 3 2" xfId="3483"/>
    <cellStyle name="Comma 13 2 3 3 3" xfId="9404"/>
    <cellStyle name="Comma 13 2 3 4" xfId="3484"/>
    <cellStyle name="Comma 13 2 3 5" xfId="9405"/>
    <cellStyle name="Comma 13 2 4" xfId="3485"/>
    <cellStyle name="Comma 13 2 4 2" xfId="3486"/>
    <cellStyle name="Comma 13 2 4 3" xfId="9406"/>
    <cellStyle name="Comma 13 2 5" xfId="3487"/>
    <cellStyle name="Comma 13 2 5 2" xfId="3488"/>
    <cellStyle name="Comma 13 2 5 3" xfId="9407"/>
    <cellStyle name="Comma 13 2 6" xfId="3489"/>
    <cellStyle name="Comma 13 2 7" xfId="9408"/>
    <cellStyle name="Comma 13 3" xfId="770"/>
    <cellStyle name="Comma 13 3 2" xfId="3490"/>
    <cellStyle name="Comma 13 3 2 2" xfId="3491"/>
    <cellStyle name="Comma 13 3 2 2 2" xfId="3492"/>
    <cellStyle name="Comma 13 3 2 2 3" xfId="9409"/>
    <cellStyle name="Comma 13 3 2 3" xfId="3493"/>
    <cellStyle name="Comma 13 3 2 3 2" xfId="3494"/>
    <cellStyle name="Comma 13 3 2 3 3" xfId="9410"/>
    <cellStyle name="Comma 13 3 2 4" xfId="3495"/>
    <cellStyle name="Comma 13 3 2 5" xfId="9411"/>
    <cellStyle name="Comma 13 3 3" xfId="3496"/>
    <cellStyle name="Comma 13 3 3 2" xfId="3497"/>
    <cellStyle name="Comma 13 3 3 3" xfId="9412"/>
    <cellStyle name="Comma 13 3 4" xfId="3498"/>
    <cellStyle name="Comma 13 3 4 2" xfId="3499"/>
    <cellStyle name="Comma 13 3 4 3" xfId="9413"/>
    <cellStyle name="Comma 13 3 5" xfId="3500"/>
    <cellStyle name="Comma 13 3 6" xfId="9414"/>
    <cellStyle name="Comma 13 4" xfId="3279"/>
    <cellStyle name="Comma 13 4 2" xfId="3501"/>
    <cellStyle name="Comma 13 4 2 2" xfId="3502"/>
    <cellStyle name="Comma 13 4 2 3" xfId="9415"/>
    <cellStyle name="Comma 13 4 3" xfId="3503"/>
    <cellStyle name="Comma 13 4 3 2" xfId="3504"/>
    <cellStyle name="Comma 13 4 3 3" xfId="9416"/>
    <cellStyle name="Comma 13 4 4" xfId="3505"/>
    <cellStyle name="Comma 13 4 5" xfId="9417"/>
    <cellStyle name="Comma 13 5" xfId="3506"/>
    <cellStyle name="Comma 13 5 2" xfId="3507"/>
    <cellStyle name="Comma 13 5 3" xfId="9418"/>
    <cellStyle name="Comma 13 6" xfId="3508"/>
    <cellStyle name="Comma 13 6 2" xfId="3509"/>
    <cellStyle name="Comma 13 6 3" xfId="9419"/>
    <cellStyle name="Comma 13 7" xfId="3510"/>
    <cellStyle name="Comma 13 8" xfId="9420"/>
    <cellStyle name="Comma 14" xfId="83"/>
    <cellStyle name="Comma 14 2" xfId="1562"/>
    <cellStyle name="Comma 15" xfId="84"/>
    <cellStyle name="Comma 15 2" xfId="771"/>
    <cellStyle name="Comma 15 2 2" xfId="2975"/>
    <cellStyle name="Comma 15 3" xfId="772"/>
    <cellStyle name="Comma 15 4" xfId="3280"/>
    <cellStyle name="Comma 16" xfId="85"/>
    <cellStyle name="Comma 16 2" xfId="773"/>
    <cellStyle name="Comma 16 2 2" xfId="3511"/>
    <cellStyle name="Comma 16 2 2 2" xfId="3512"/>
    <cellStyle name="Comma 16 2 2 3" xfId="9421"/>
    <cellStyle name="Comma 16 2 3" xfId="3513"/>
    <cellStyle name="Comma 16 2 3 2" xfId="3514"/>
    <cellStyle name="Comma 16 2 3 3" xfId="9422"/>
    <cellStyle name="Comma 16 2 4" xfId="3515"/>
    <cellStyle name="Comma 16 2 5" xfId="9423"/>
    <cellStyle name="Comma 16 3" xfId="774"/>
    <cellStyle name="Comma 16 3 2" xfId="3516"/>
    <cellStyle name="Comma 16 3 3" xfId="9424"/>
    <cellStyle name="Comma 16 4" xfId="3517"/>
    <cellStyle name="Comma 16 4 2" xfId="3518"/>
    <cellStyle name="Comma 16 4 3" xfId="9425"/>
    <cellStyle name="Comma 16 5" xfId="3519"/>
    <cellStyle name="Comma 16 6" xfId="9426"/>
    <cellStyle name="Comma 17" xfId="134"/>
    <cellStyle name="Comma 17 2" xfId="328"/>
    <cellStyle name="Comma 17 2 2" xfId="1563"/>
    <cellStyle name="Comma 17 3" xfId="327"/>
    <cellStyle name="Comma 17 3 2" xfId="1372"/>
    <cellStyle name="Comma 17 4" xfId="775"/>
    <cellStyle name="Comma 17 5" xfId="3281"/>
    <cellStyle name="Comma 18" xfId="329"/>
    <cellStyle name="Comma 18 2" xfId="776"/>
    <cellStyle name="Comma 18 2 2" xfId="1564"/>
    <cellStyle name="Comma 18 3" xfId="777"/>
    <cellStyle name="Comma 18 4" xfId="778"/>
    <cellStyle name="Comma 18 5" xfId="779"/>
    <cellStyle name="Comma 19" xfId="696"/>
    <cellStyle name="Comma 19 2" xfId="780"/>
    <cellStyle name="Comma 19 2 2" xfId="1565"/>
    <cellStyle name="Comma 19 3" xfId="1566"/>
    <cellStyle name="Comma 19 4" xfId="1567"/>
    <cellStyle name="Comma 19 5" xfId="12764"/>
    <cellStyle name="Comma 2" xfId="3"/>
    <cellStyle name="Comma 2 2" xfId="86"/>
    <cellStyle name="Comma 2 2 2" xfId="331"/>
    <cellStyle name="Comma 2 2 2 2" xfId="781"/>
    <cellStyle name="Comma 2 2 2 2 2" xfId="782"/>
    <cellStyle name="Comma 2 2 2 2 2 2" xfId="1568"/>
    <cellStyle name="Comma 2 2 2 2 3" xfId="3282"/>
    <cellStyle name="Comma 2 2 2 2 4" xfId="2892"/>
    <cellStyle name="Comma 2 2 2 3" xfId="1569"/>
    <cellStyle name="Comma 2 2 2 4" xfId="1373"/>
    <cellStyle name="Comma 2 2 3" xfId="332"/>
    <cellStyle name="Comma 2 2 3 2" xfId="783"/>
    <cellStyle name="Comma 2 2 3 3" xfId="12765"/>
    <cellStyle name="Comma 2 2 4" xfId="330"/>
    <cellStyle name="Comma 2 2 4 2" xfId="1570"/>
    <cellStyle name="Comma 2 2 4 3" xfId="13300"/>
    <cellStyle name="Comma 2 3" xfId="87"/>
    <cellStyle name="Comma 2 3 2" xfId="334"/>
    <cellStyle name="Comma 2 3 2 2" xfId="1571"/>
    <cellStyle name="Comma 2 3 3" xfId="333"/>
    <cellStyle name="Comma 2 4" xfId="187"/>
    <cellStyle name="Comma 2 4 2" xfId="188"/>
    <cellStyle name="Comma 2 4 2 2" xfId="784"/>
    <cellStyle name="Comma 2 4 2 3" xfId="1374"/>
    <cellStyle name="Comma 2 4 3" xfId="785"/>
    <cellStyle name="Comma 2 4 4" xfId="786"/>
    <cellStyle name="Comma 2 4 5" xfId="1572"/>
    <cellStyle name="Comma 2 4 6" xfId="13301"/>
    <cellStyle name="Comma 2 5" xfId="189"/>
    <cellStyle name="Comma 2 5 2" xfId="787"/>
    <cellStyle name="Comma 2 5 3" xfId="788"/>
    <cellStyle name="Comma 2 6" xfId="190"/>
    <cellStyle name="Comma 2 6 2" xfId="789"/>
    <cellStyle name="Comma 2 6 2 2" xfId="790"/>
    <cellStyle name="Comma 2 6 3" xfId="791"/>
    <cellStyle name="Comma 2 6 3 2" xfId="792"/>
    <cellStyle name="Comma 2 6 4" xfId="1573"/>
    <cellStyle name="Comma 2 7" xfId="697"/>
    <cellStyle name="Comma 2 7 2" xfId="793"/>
    <cellStyle name="Comma 2 7 3" xfId="794"/>
    <cellStyle name="Comma 2 7 4" xfId="12766"/>
    <cellStyle name="Comma 2 7 5" xfId="2898"/>
    <cellStyle name="Comma 2 8" xfId="795"/>
    <cellStyle name="Comma 2 8 2" xfId="1482"/>
    <cellStyle name="Comma 2 9" xfId="1574"/>
    <cellStyle name="Comma 2 9 2" xfId="16346"/>
    <cellStyle name="Comma 20" xfId="796"/>
    <cellStyle name="Comma 20 2" xfId="797"/>
    <cellStyle name="Comma 20 2 2" xfId="2902"/>
    <cellStyle name="Comma 20 3" xfId="3283"/>
    <cellStyle name="Comma 20 4" xfId="2899"/>
    <cellStyle name="Comma 21" xfId="798"/>
    <cellStyle name="Comma 21 2" xfId="799"/>
    <cellStyle name="Comma 21 3" xfId="800"/>
    <cellStyle name="Comma 21 3 2" xfId="1575"/>
    <cellStyle name="Comma 21 4" xfId="1483"/>
    <cellStyle name="Comma 22" xfId="801"/>
    <cellStyle name="Comma 22 2" xfId="802"/>
    <cellStyle name="Comma 23" xfId="803"/>
    <cellStyle name="Comma 24" xfId="804"/>
    <cellStyle name="Comma 24 2" xfId="16347"/>
    <cellStyle name="Comma 25" xfId="1576"/>
    <cellStyle name="Comma 25 2" xfId="1577"/>
    <cellStyle name="Comma 25 2 2" xfId="12762"/>
    <cellStyle name="Comma 26" xfId="1578"/>
    <cellStyle name="Comma 27" xfId="1579"/>
    <cellStyle name="Comma 28" xfId="1580"/>
    <cellStyle name="Comma 29" xfId="1581"/>
    <cellStyle name="Comma 29 2" xfId="3087"/>
    <cellStyle name="Comma 3" xfId="9"/>
    <cellStyle name="Comma 3 2" xfId="10"/>
    <cellStyle name="Comma 3 2 2" xfId="88"/>
    <cellStyle name="Comma 3 3" xfId="89"/>
    <cellStyle name="Comma 3 4" xfId="805"/>
    <cellStyle name="Comma 3_2186" xfId="335"/>
    <cellStyle name="Comma 30" xfId="3271"/>
    <cellStyle name="Comma 31" xfId="13302"/>
    <cellStyle name="Comma 32" xfId="14963"/>
    <cellStyle name="Comma 4" xfId="11"/>
    <cellStyle name="Comma 4 10" xfId="1582"/>
    <cellStyle name="Comma 4 11" xfId="1583"/>
    <cellStyle name="Comma 4 12" xfId="1584"/>
    <cellStyle name="Comma 4 13" xfId="14964"/>
    <cellStyle name="Comma 4 2" xfId="12"/>
    <cellStyle name="Comma 4 2 10" xfId="9427"/>
    <cellStyle name="Comma 4 2 2" xfId="143"/>
    <cellStyle name="Comma 4 2 2 2" xfId="337"/>
    <cellStyle name="Comma 4 2 2 2 2" xfId="1585"/>
    <cellStyle name="Comma 4 2 2 2 2 2" xfId="3520"/>
    <cellStyle name="Comma 4 2 2 2 2 2 2" xfId="3521"/>
    <cellStyle name="Comma 4 2 2 2 2 2 2 2" xfId="3522"/>
    <cellStyle name="Comma 4 2 2 2 2 2 2 3" xfId="9428"/>
    <cellStyle name="Comma 4 2 2 2 2 2 3" xfId="3523"/>
    <cellStyle name="Comma 4 2 2 2 2 2 3 2" xfId="3524"/>
    <cellStyle name="Comma 4 2 2 2 2 2 3 3" xfId="9429"/>
    <cellStyle name="Comma 4 2 2 2 2 2 4" xfId="3525"/>
    <cellStyle name="Comma 4 2 2 2 2 2 5" xfId="9430"/>
    <cellStyle name="Comma 4 2 2 2 2 3" xfId="3526"/>
    <cellStyle name="Comma 4 2 2 2 2 3 2" xfId="3527"/>
    <cellStyle name="Comma 4 2 2 2 2 3 3" xfId="9431"/>
    <cellStyle name="Comma 4 2 2 2 2 4" xfId="3528"/>
    <cellStyle name="Comma 4 2 2 2 2 4 2" xfId="3529"/>
    <cellStyle name="Comma 4 2 2 2 2 4 3" xfId="9432"/>
    <cellStyle name="Comma 4 2 2 2 2 5" xfId="3530"/>
    <cellStyle name="Comma 4 2 2 2 2 6" xfId="9433"/>
    <cellStyle name="Comma 4 2 2 2 3" xfId="3531"/>
    <cellStyle name="Comma 4 2 2 2 3 2" xfId="3532"/>
    <cellStyle name="Comma 4 2 2 2 3 2 2" xfId="3533"/>
    <cellStyle name="Comma 4 2 2 2 3 2 3" xfId="9434"/>
    <cellStyle name="Comma 4 2 2 2 3 3" xfId="3534"/>
    <cellStyle name="Comma 4 2 2 2 3 3 2" xfId="3535"/>
    <cellStyle name="Comma 4 2 2 2 3 3 3" xfId="9435"/>
    <cellStyle name="Comma 4 2 2 2 3 4" xfId="3536"/>
    <cellStyle name="Comma 4 2 2 2 3 5" xfId="9436"/>
    <cellStyle name="Comma 4 2 2 2 4" xfId="3537"/>
    <cellStyle name="Comma 4 2 2 2 4 2" xfId="3538"/>
    <cellStyle name="Comma 4 2 2 2 4 3" xfId="9437"/>
    <cellStyle name="Comma 4 2 2 2 5" xfId="3539"/>
    <cellStyle name="Comma 4 2 2 2 5 2" xfId="3540"/>
    <cellStyle name="Comma 4 2 2 2 5 3" xfId="9438"/>
    <cellStyle name="Comma 4 2 2 2 6" xfId="3541"/>
    <cellStyle name="Comma 4 2 2 2 7" xfId="9439"/>
    <cellStyle name="Comma 4 2 2 2 8" xfId="2904"/>
    <cellStyle name="Comma 4 2 2 3" xfId="336"/>
    <cellStyle name="Comma 4 2 2 3 2" xfId="1586"/>
    <cellStyle name="Comma 4 2 2 3 2 2" xfId="3542"/>
    <cellStyle name="Comma 4 2 2 3 2 2 2" xfId="3543"/>
    <cellStyle name="Comma 4 2 2 3 2 2 2 2" xfId="3544"/>
    <cellStyle name="Comma 4 2 2 3 2 2 2 3" xfId="9440"/>
    <cellStyle name="Comma 4 2 2 3 2 2 3" xfId="3545"/>
    <cellStyle name="Comma 4 2 2 3 2 2 3 2" xfId="3546"/>
    <cellStyle name="Comma 4 2 2 3 2 2 3 3" xfId="9441"/>
    <cellStyle name="Comma 4 2 2 3 2 2 4" xfId="3547"/>
    <cellStyle name="Comma 4 2 2 3 2 2 5" xfId="9442"/>
    <cellStyle name="Comma 4 2 2 3 2 3" xfId="3548"/>
    <cellStyle name="Comma 4 2 2 3 2 3 2" xfId="3549"/>
    <cellStyle name="Comma 4 2 2 3 2 3 3" xfId="9443"/>
    <cellStyle name="Comma 4 2 2 3 2 4" xfId="3550"/>
    <cellStyle name="Comma 4 2 2 3 2 4 2" xfId="3551"/>
    <cellStyle name="Comma 4 2 2 3 2 4 3" xfId="9444"/>
    <cellStyle name="Comma 4 2 2 3 2 5" xfId="3552"/>
    <cellStyle name="Comma 4 2 2 3 2 6" xfId="9445"/>
    <cellStyle name="Comma 4 2 2 3 3" xfId="3553"/>
    <cellStyle name="Comma 4 2 2 3 3 2" xfId="3554"/>
    <cellStyle name="Comma 4 2 2 3 3 2 2" xfId="3555"/>
    <cellStyle name="Comma 4 2 2 3 3 2 3" xfId="9446"/>
    <cellStyle name="Comma 4 2 2 3 3 3" xfId="3556"/>
    <cellStyle name="Comma 4 2 2 3 3 3 2" xfId="3557"/>
    <cellStyle name="Comma 4 2 2 3 3 3 3" xfId="9447"/>
    <cellStyle name="Comma 4 2 2 3 3 4" xfId="3558"/>
    <cellStyle name="Comma 4 2 2 3 3 5" xfId="9448"/>
    <cellStyle name="Comma 4 2 2 3 4" xfId="3559"/>
    <cellStyle name="Comma 4 2 2 3 4 2" xfId="3560"/>
    <cellStyle name="Comma 4 2 2 3 4 3" xfId="9449"/>
    <cellStyle name="Comma 4 2 2 3 5" xfId="3561"/>
    <cellStyle name="Comma 4 2 2 3 5 2" xfId="3562"/>
    <cellStyle name="Comma 4 2 2 3 5 3" xfId="9450"/>
    <cellStyle name="Comma 4 2 2 3 6" xfId="3563"/>
    <cellStyle name="Comma 4 2 2 3 7" xfId="9451"/>
    <cellStyle name="Comma 4 2 2 4" xfId="1587"/>
    <cellStyle name="Comma 4 2 2 4 2" xfId="3564"/>
    <cellStyle name="Comma 4 2 2 4 2 2" xfId="3565"/>
    <cellStyle name="Comma 4 2 2 4 2 2 2" xfId="3566"/>
    <cellStyle name="Comma 4 2 2 4 2 2 3" xfId="9452"/>
    <cellStyle name="Comma 4 2 2 4 2 3" xfId="3567"/>
    <cellStyle name="Comma 4 2 2 4 2 3 2" xfId="3568"/>
    <cellStyle name="Comma 4 2 2 4 2 3 3" xfId="9453"/>
    <cellStyle name="Comma 4 2 2 4 2 4" xfId="3569"/>
    <cellStyle name="Comma 4 2 2 4 2 5" xfId="9454"/>
    <cellStyle name="Comma 4 2 2 4 3" xfId="3570"/>
    <cellStyle name="Comma 4 2 2 4 3 2" xfId="3571"/>
    <cellStyle name="Comma 4 2 2 4 3 3" xfId="9455"/>
    <cellStyle name="Comma 4 2 2 4 4" xfId="3572"/>
    <cellStyle name="Comma 4 2 2 4 4 2" xfId="3573"/>
    <cellStyle name="Comma 4 2 2 4 4 3" xfId="9456"/>
    <cellStyle name="Comma 4 2 2 4 5" xfId="3574"/>
    <cellStyle name="Comma 4 2 2 4 6" xfId="9457"/>
    <cellStyle name="Comma 4 2 2 5" xfId="3575"/>
    <cellStyle name="Comma 4 2 2 5 2" xfId="3576"/>
    <cellStyle name="Comma 4 2 2 5 2 2" xfId="3577"/>
    <cellStyle name="Comma 4 2 2 5 2 3" xfId="9458"/>
    <cellStyle name="Comma 4 2 2 5 3" xfId="3578"/>
    <cellStyle name="Comma 4 2 2 5 3 2" xfId="3579"/>
    <cellStyle name="Comma 4 2 2 5 3 3" xfId="9459"/>
    <cellStyle name="Comma 4 2 2 5 4" xfId="3580"/>
    <cellStyle name="Comma 4 2 2 5 5" xfId="9460"/>
    <cellStyle name="Comma 4 2 2 6" xfId="3581"/>
    <cellStyle name="Comma 4 2 2 6 2" xfId="3582"/>
    <cellStyle name="Comma 4 2 2 6 3" xfId="9461"/>
    <cellStyle name="Comma 4 2 2 7" xfId="3583"/>
    <cellStyle name="Comma 4 2 2 7 2" xfId="3584"/>
    <cellStyle name="Comma 4 2 2 7 3" xfId="9462"/>
    <cellStyle name="Comma 4 2 2 8" xfId="3585"/>
    <cellStyle name="Comma 4 2 2 9" xfId="9463"/>
    <cellStyle name="Comma 4 2 3" xfId="338"/>
    <cellStyle name="Comma 4 2 3 2" xfId="806"/>
    <cellStyle name="Comma 4 2 3 2 2" xfId="3586"/>
    <cellStyle name="Comma 4 2 3 2 2 2" xfId="3587"/>
    <cellStyle name="Comma 4 2 3 2 2 2 2" xfId="3588"/>
    <cellStyle name="Comma 4 2 3 2 2 2 3" xfId="9464"/>
    <cellStyle name="Comma 4 2 3 2 2 3" xfId="3589"/>
    <cellStyle name="Comma 4 2 3 2 2 3 2" xfId="3590"/>
    <cellStyle name="Comma 4 2 3 2 2 3 3" xfId="9465"/>
    <cellStyle name="Comma 4 2 3 2 2 4" xfId="3591"/>
    <cellStyle name="Comma 4 2 3 2 2 5" xfId="9466"/>
    <cellStyle name="Comma 4 2 3 2 3" xfId="3592"/>
    <cellStyle name="Comma 4 2 3 2 3 2" xfId="3593"/>
    <cellStyle name="Comma 4 2 3 2 3 3" xfId="9467"/>
    <cellStyle name="Comma 4 2 3 2 4" xfId="3594"/>
    <cellStyle name="Comma 4 2 3 2 4 2" xfId="3595"/>
    <cellStyle name="Comma 4 2 3 2 4 3" xfId="9468"/>
    <cellStyle name="Comma 4 2 3 2 5" xfId="3596"/>
    <cellStyle name="Comma 4 2 3 2 6" xfId="9469"/>
    <cellStyle name="Comma 4 2 3 3" xfId="3597"/>
    <cellStyle name="Comma 4 2 3 3 2" xfId="3598"/>
    <cellStyle name="Comma 4 2 3 3 2 2" xfId="3599"/>
    <cellStyle name="Comma 4 2 3 3 2 3" xfId="9470"/>
    <cellStyle name="Comma 4 2 3 3 3" xfId="3600"/>
    <cellStyle name="Comma 4 2 3 3 3 2" xfId="3601"/>
    <cellStyle name="Comma 4 2 3 3 3 3" xfId="9471"/>
    <cellStyle name="Comma 4 2 3 3 4" xfId="3602"/>
    <cellStyle name="Comma 4 2 3 3 5" xfId="9472"/>
    <cellStyle name="Comma 4 2 3 4" xfId="3603"/>
    <cellStyle name="Comma 4 2 3 4 2" xfId="3604"/>
    <cellStyle name="Comma 4 2 3 4 3" xfId="9473"/>
    <cellStyle name="Comma 4 2 3 5" xfId="3605"/>
    <cellStyle name="Comma 4 2 3 5 2" xfId="3606"/>
    <cellStyle name="Comma 4 2 3 5 3" xfId="9474"/>
    <cellStyle name="Comma 4 2 3 6" xfId="3607"/>
    <cellStyle name="Comma 4 2 3 7" xfId="9475"/>
    <cellStyle name="Comma 4 2 4" xfId="339"/>
    <cellStyle name="Comma 4 2 4 2" xfId="807"/>
    <cellStyle name="Comma 4 2 4 2 2" xfId="1588"/>
    <cellStyle name="Comma 4 2 4 2 2 2" xfId="3609"/>
    <cellStyle name="Comma 4 2 4 2 2 2 2" xfId="3610"/>
    <cellStyle name="Comma 4 2 4 2 2 2 3" xfId="9476"/>
    <cellStyle name="Comma 4 2 4 2 2 3" xfId="3611"/>
    <cellStyle name="Comma 4 2 4 2 2 3 2" xfId="3612"/>
    <cellStyle name="Comma 4 2 4 2 2 3 3" xfId="9477"/>
    <cellStyle name="Comma 4 2 4 2 2 4" xfId="3613"/>
    <cellStyle name="Comma 4 2 4 2 2 5" xfId="9478"/>
    <cellStyle name="Comma 4 2 4 2 2 6" xfId="3608"/>
    <cellStyle name="Comma 4 2 4 2 3" xfId="3614"/>
    <cellStyle name="Comma 4 2 4 2 3 2" xfId="3615"/>
    <cellStyle name="Comma 4 2 4 2 3 3" xfId="9479"/>
    <cellStyle name="Comma 4 2 4 2 4" xfId="3616"/>
    <cellStyle name="Comma 4 2 4 2 4 2" xfId="3617"/>
    <cellStyle name="Comma 4 2 4 2 4 3" xfId="9480"/>
    <cellStyle name="Comma 4 2 4 2 5" xfId="3618"/>
    <cellStyle name="Comma 4 2 4 2 6" xfId="9481"/>
    <cellStyle name="Comma 4 2 4 3" xfId="1589"/>
    <cellStyle name="Comma 4 2 4 3 2" xfId="3619"/>
    <cellStyle name="Comma 4 2 4 3 2 2" xfId="3620"/>
    <cellStyle name="Comma 4 2 4 3 2 3" xfId="9482"/>
    <cellStyle name="Comma 4 2 4 3 3" xfId="3621"/>
    <cellStyle name="Comma 4 2 4 3 3 2" xfId="3622"/>
    <cellStyle name="Comma 4 2 4 3 3 3" xfId="9483"/>
    <cellStyle name="Comma 4 2 4 3 4" xfId="3623"/>
    <cellStyle name="Comma 4 2 4 3 5" xfId="9484"/>
    <cellStyle name="Comma 4 2 4 4" xfId="3624"/>
    <cellStyle name="Comma 4 2 4 4 2" xfId="3625"/>
    <cellStyle name="Comma 4 2 4 4 3" xfId="9485"/>
    <cellStyle name="Comma 4 2 4 5" xfId="3626"/>
    <cellStyle name="Comma 4 2 4 5 2" xfId="3627"/>
    <cellStyle name="Comma 4 2 4 5 3" xfId="9486"/>
    <cellStyle name="Comma 4 2 4 6" xfId="3628"/>
    <cellStyle name="Comma 4 2 4 7" xfId="9487"/>
    <cellStyle name="Comma 4 2 5" xfId="340"/>
    <cellStyle name="Comma 4 2 5 2" xfId="1591"/>
    <cellStyle name="Comma 4 2 5 2 2" xfId="3629"/>
    <cellStyle name="Comma 4 2 5 2 2 2" xfId="3630"/>
    <cellStyle name="Comma 4 2 5 2 2 3" xfId="9488"/>
    <cellStyle name="Comma 4 2 5 2 3" xfId="3631"/>
    <cellStyle name="Comma 4 2 5 2 3 2" xfId="3632"/>
    <cellStyle name="Comma 4 2 5 2 3 3" xfId="9489"/>
    <cellStyle name="Comma 4 2 5 2 4" xfId="3633"/>
    <cellStyle name="Comma 4 2 5 2 5" xfId="9490"/>
    <cellStyle name="Comma 4 2 5 3" xfId="1590"/>
    <cellStyle name="Comma 4 2 5 3 2" xfId="3635"/>
    <cellStyle name="Comma 4 2 5 3 3" xfId="9491"/>
    <cellStyle name="Comma 4 2 5 3 4" xfId="3634"/>
    <cellStyle name="Comma 4 2 5 4" xfId="3636"/>
    <cellStyle name="Comma 4 2 5 4 2" xfId="3637"/>
    <cellStyle name="Comma 4 2 5 4 3" xfId="9492"/>
    <cellStyle name="Comma 4 2 5 5" xfId="3638"/>
    <cellStyle name="Comma 4 2 5 6" xfId="9493"/>
    <cellStyle name="Comma 4 2 6" xfId="341"/>
    <cellStyle name="Comma 4 2 6 2" xfId="3639"/>
    <cellStyle name="Comma 4 2 6 2 2" xfId="3640"/>
    <cellStyle name="Comma 4 2 6 2 3" xfId="9494"/>
    <cellStyle name="Comma 4 2 6 3" xfId="3641"/>
    <cellStyle name="Comma 4 2 6 3 2" xfId="3642"/>
    <cellStyle name="Comma 4 2 6 3 3" xfId="9495"/>
    <cellStyle name="Comma 4 2 6 4" xfId="3643"/>
    <cellStyle name="Comma 4 2 6 5" xfId="9496"/>
    <cellStyle name="Comma 4 2 7" xfId="342"/>
    <cellStyle name="Comma 4 2 7 2" xfId="3644"/>
    <cellStyle name="Comma 4 2 7 3" xfId="9497"/>
    <cellStyle name="Comma 4 2 8" xfId="3645"/>
    <cellStyle name="Comma 4 2 8 2" xfId="3646"/>
    <cellStyle name="Comma 4 2 8 3" xfId="9498"/>
    <cellStyle name="Comma 4 2 9" xfId="3647"/>
    <cellStyle name="Comma 4 3" xfId="13"/>
    <cellStyle name="Comma 4 3 10" xfId="1592"/>
    <cellStyle name="Comma 4 3 2" xfId="343"/>
    <cellStyle name="Comma 4 3 2 2" xfId="808"/>
    <cellStyle name="Comma 4 3 2 2 2" xfId="1593"/>
    <cellStyle name="Comma 4 3 2 2 2 2" xfId="3648"/>
    <cellStyle name="Comma 4 3 2 2 2 2 2" xfId="3649"/>
    <cellStyle name="Comma 4 3 2 2 2 2 3" xfId="9499"/>
    <cellStyle name="Comma 4 3 2 2 2 3" xfId="3650"/>
    <cellStyle name="Comma 4 3 2 2 2 3 2" xfId="3651"/>
    <cellStyle name="Comma 4 3 2 2 2 3 3" xfId="9500"/>
    <cellStyle name="Comma 4 3 2 2 2 4" xfId="3652"/>
    <cellStyle name="Comma 4 3 2 2 2 5" xfId="9501"/>
    <cellStyle name="Comma 4 3 2 2 3" xfId="1594"/>
    <cellStyle name="Comma 4 3 2 2 3 2" xfId="3653"/>
    <cellStyle name="Comma 4 3 2 2 3 3" xfId="9502"/>
    <cellStyle name="Comma 4 3 2 2 4" xfId="3654"/>
    <cellStyle name="Comma 4 3 2 2 4 2" xfId="3655"/>
    <cellStyle name="Comma 4 3 2 2 4 3" xfId="9503"/>
    <cellStyle name="Comma 4 3 2 2 5" xfId="3656"/>
    <cellStyle name="Comma 4 3 2 2 6" xfId="9504"/>
    <cellStyle name="Comma 4 3 2 3" xfId="1595"/>
    <cellStyle name="Comma 4 3 2 3 2" xfId="1596"/>
    <cellStyle name="Comma 4 3 2 3 2 2" xfId="3657"/>
    <cellStyle name="Comma 4 3 2 3 2 3" xfId="9505"/>
    <cellStyle name="Comma 4 3 2 3 3" xfId="1597"/>
    <cellStyle name="Comma 4 3 2 3 3 2" xfId="3658"/>
    <cellStyle name="Comma 4 3 2 3 3 3" xfId="9506"/>
    <cellStyle name="Comma 4 3 2 3 4" xfId="3659"/>
    <cellStyle name="Comma 4 3 2 3 5" xfId="9507"/>
    <cellStyle name="Comma 4 3 2 4" xfId="1598"/>
    <cellStyle name="Comma 4 3 2 4 2" xfId="3660"/>
    <cellStyle name="Comma 4 3 2 4 3" xfId="9508"/>
    <cellStyle name="Comma 4 3 2 5" xfId="1599"/>
    <cellStyle name="Comma 4 3 2 5 2" xfId="3661"/>
    <cellStyle name="Comma 4 3 2 5 3" xfId="9509"/>
    <cellStyle name="Comma 4 3 2 6" xfId="1600"/>
    <cellStyle name="Comma 4 3 2 7" xfId="9510"/>
    <cellStyle name="Comma 4 3 3" xfId="809"/>
    <cellStyle name="Comma 4 3 3 2" xfId="810"/>
    <cellStyle name="Comma 4 3 3 2 2" xfId="3662"/>
    <cellStyle name="Comma 4 3 3 2 2 2" xfId="3663"/>
    <cellStyle name="Comma 4 3 3 2 2 2 2" xfId="3664"/>
    <cellStyle name="Comma 4 3 3 2 2 2 3" xfId="9511"/>
    <cellStyle name="Comma 4 3 3 2 2 3" xfId="3665"/>
    <cellStyle name="Comma 4 3 3 2 2 3 2" xfId="3666"/>
    <cellStyle name="Comma 4 3 3 2 2 3 3" xfId="9512"/>
    <cellStyle name="Comma 4 3 3 2 2 4" xfId="3667"/>
    <cellStyle name="Comma 4 3 3 2 2 5" xfId="9513"/>
    <cellStyle name="Comma 4 3 3 2 3" xfId="3668"/>
    <cellStyle name="Comma 4 3 3 2 3 2" xfId="3669"/>
    <cellStyle name="Comma 4 3 3 2 3 3" xfId="9514"/>
    <cellStyle name="Comma 4 3 3 2 4" xfId="3670"/>
    <cellStyle name="Comma 4 3 3 2 4 2" xfId="3671"/>
    <cellStyle name="Comma 4 3 3 2 4 3" xfId="9515"/>
    <cellStyle name="Comma 4 3 3 2 5" xfId="3672"/>
    <cellStyle name="Comma 4 3 3 2 6" xfId="9516"/>
    <cellStyle name="Comma 4 3 3 3" xfId="1601"/>
    <cellStyle name="Comma 4 3 3 3 2" xfId="3673"/>
    <cellStyle name="Comma 4 3 3 3 2 2" xfId="3674"/>
    <cellStyle name="Comma 4 3 3 3 2 3" xfId="9517"/>
    <cellStyle name="Comma 4 3 3 3 3" xfId="3675"/>
    <cellStyle name="Comma 4 3 3 3 3 2" xfId="3676"/>
    <cellStyle name="Comma 4 3 3 3 3 3" xfId="9518"/>
    <cellStyle name="Comma 4 3 3 3 4" xfId="3677"/>
    <cellStyle name="Comma 4 3 3 3 5" xfId="9519"/>
    <cellStyle name="Comma 4 3 3 4" xfId="1602"/>
    <cellStyle name="Comma 4 3 3 4 2" xfId="3678"/>
    <cellStyle name="Comma 4 3 3 4 3" xfId="9520"/>
    <cellStyle name="Comma 4 3 3 5" xfId="3679"/>
    <cellStyle name="Comma 4 3 3 5 2" xfId="3680"/>
    <cellStyle name="Comma 4 3 3 5 3" xfId="9521"/>
    <cellStyle name="Comma 4 3 3 6" xfId="3681"/>
    <cellStyle name="Comma 4 3 3 7" xfId="9522"/>
    <cellStyle name="Comma 4 3 4" xfId="811"/>
    <cellStyle name="Comma 4 3 4 2" xfId="1603"/>
    <cellStyle name="Comma 4 3 4 2 2" xfId="3682"/>
    <cellStyle name="Comma 4 3 4 2 2 2" xfId="3683"/>
    <cellStyle name="Comma 4 3 4 2 2 3" xfId="9523"/>
    <cellStyle name="Comma 4 3 4 2 3" xfId="3684"/>
    <cellStyle name="Comma 4 3 4 2 3 2" xfId="3685"/>
    <cellStyle name="Comma 4 3 4 2 3 3" xfId="9524"/>
    <cellStyle name="Comma 4 3 4 2 4" xfId="3686"/>
    <cellStyle name="Comma 4 3 4 2 5" xfId="9525"/>
    <cellStyle name="Comma 4 3 4 3" xfId="1604"/>
    <cellStyle name="Comma 4 3 4 3 2" xfId="3687"/>
    <cellStyle name="Comma 4 3 4 3 3" xfId="9526"/>
    <cellStyle name="Comma 4 3 4 4" xfId="3688"/>
    <cellStyle name="Comma 4 3 4 4 2" xfId="3689"/>
    <cellStyle name="Comma 4 3 4 4 3" xfId="9527"/>
    <cellStyle name="Comma 4 3 4 5" xfId="3690"/>
    <cellStyle name="Comma 4 3 4 6" xfId="9528"/>
    <cellStyle name="Comma 4 3 5" xfId="1605"/>
    <cellStyle name="Comma 4 3 5 2" xfId="1606"/>
    <cellStyle name="Comma 4 3 5 2 2" xfId="3691"/>
    <cellStyle name="Comma 4 3 5 2 3" xfId="9529"/>
    <cellStyle name="Comma 4 3 5 3" xfId="1607"/>
    <cellStyle name="Comma 4 3 5 3 2" xfId="3692"/>
    <cellStyle name="Comma 4 3 5 3 3" xfId="9530"/>
    <cellStyle name="Comma 4 3 5 4" xfId="3693"/>
    <cellStyle name="Comma 4 3 5 5" xfId="9531"/>
    <cellStyle name="Comma 4 3 6" xfId="1608"/>
    <cellStyle name="Comma 4 3 6 2" xfId="3694"/>
    <cellStyle name="Comma 4 3 6 3" xfId="9532"/>
    <cellStyle name="Comma 4 3 7" xfId="1609"/>
    <cellStyle name="Comma 4 3 7 2" xfId="3695"/>
    <cellStyle name="Comma 4 3 7 3" xfId="9533"/>
    <cellStyle name="Comma 4 3 8" xfId="1610"/>
    <cellStyle name="Comma 4 3 9" xfId="1611"/>
    <cellStyle name="Comma 4 4" xfId="14"/>
    <cellStyle name="Comma 4 4 10" xfId="1612"/>
    <cellStyle name="Comma 4 4 2" xfId="344"/>
    <cellStyle name="Comma 4 4 2 2" xfId="812"/>
    <cellStyle name="Comma 4 4 2 2 2" xfId="1613"/>
    <cellStyle name="Comma 4 4 2 2 2 2" xfId="3696"/>
    <cellStyle name="Comma 4 4 2 2 2 2 2" xfId="3697"/>
    <cellStyle name="Comma 4 4 2 2 2 2 3" xfId="9534"/>
    <cellStyle name="Comma 4 4 2 2 2 3" xfId="3698"/>
    <cellStyle name="Comma 4 4 2 2 2 3 2" xfId="3699"/>
    <cellStyle name="Comma 4 4 2 2 2 3 3" xfId="9535"/>
    <cellStyle name="Comma 4 4 2 2 2 4" xfId="3700"/>
    <cellStyle name="Comma 4 4 2 2 2 5" xfId="9536"/>
    <cellStyle name="Comma 4 4 2 2 3" xfId="1614"/>
    <cellStyle name="Comma 4 4 2 2 3 2" xfId="3701"/>
    <cellStyle name="Comma 4 4 2 2 3 3" xfId="9537"/>
    <cellStyle name="Comma 4 4 2 2 4" xfId="3702"/>
    <cellStyle name="Comma 4 4 2 2 4 2" xfId="3703"/>
    <cellStyle name="Comma 4 4 2 2 4 3" xfId="9538"/>
    <cellStyle name="Comma 4 4 2 2 5" xfId="3704"/>
    <cellStyle name="Comma 4 4 2 2 6" xfId="9539"/>
    <cellStyle name="Comma 4 4 2 3" xfId="1615"/>
    <cellStyle name="Comma 4 4 2 3 2" xfId="1616"/>
    <cellStyle name="Comma 4 4 2 3 2 2" xfId="3705"/>
    <cellStyle name="Comma 4 4 2 3 2 3" xfId="9540"/>
    <cellStyle name="Comma 4 4 2 3 3" xfId="1617"/>
    <cellStyle name="Comma 4 4 2 3 3 2" xfId="3706"/>
    <cellStyle name="Comma 4 4 2 3 3 3" xfId="9541"/>
    <cellStyle name="Comma 4 4 2 3 4" xfId="3707"/>
    <cellStyle name="Comma 4 4 2 3 5" xfId="9542"/>
    <cellStyle name="Comma 4 4 2 4" xfId="1618"/>
    <cellStyle name="Comma 4 4 2 4 2" xfId="3708"/>
    <cellStyle name="Comma 4 4 2 4 3" xfId="9543"/>
    <cellStyle name="Comma 4 4 2 5" xfId="1619"/>
    <cellStyle name="Comma 4 4 2 5 2" xfId="3709"/>
    <cellStyle name="Comma 4 4 2 5 3" xfId="9544"/>
    <cellStyle name="Comma 4 4 2 6" xfId="1620"/>
    <cellStyle name="Comma 4 4 2 7" xfId="9545"/>
    <cellStyle name="Comma 4 4 3" xfId="813"/>
    <cellStyle name="Comma 4 4 3 2" xfId="814"/>
    <cellStyle name="Comma 4 4 3 2 2" xfId="3710"/>
    <cellStyle name="Comma 4 4 3 2 2 2" xfId="3711"/>
    <cellStyle name="Comma 4 4 3 2 2 3" xfId="9546"/>
    <cellStyle name="Comma 4 4 3 2 3" xfId="3712"/>
    <cellStyle name="Comma 4 4 3 2 3 2" xfId="3713"/>
    <cellStyle name="Comma 4 4 3 2 3 3" xfId="9547"/>
    <cellStyle name="Comma 4 4 3 2 4" xfId="3714"/>
    <cellStyle name="Comma 4 4 3 2 5" xfId="9548"/>
    <cellStyle name="Comma 4 4 3 3" xfId="1621"/>
    <cellStyle name="Comma 4 4 3 3 2" xfId="3715"/>
    <cellStyle name="Comma 4 4 3 3 3" xfId="9549"/>
    <cellStyle name="Comma 4 4 3 4" xfId="1622"/>
    <cellStyle name="Comma 4 4 3 4 2" xfId="3716"/>
    <cellStyle name="Comma 4 4 3 4 3" xfId="9550"/>
    <cellStyle name="Comma 4 4 3 5" xfId="3717"/>
    <cellStyle name="Comma 4 4 3 6" xfId="9551"/>
    <cellStyle name="Comma 4 4 4" xfId="815"/>
    <cellStyle name="Comma 4 4 4 2" xfId="1623"/>
    <cellStyle name="Comma 4 4 4 2 2" xfId="3718"/>
    <cellStyle name="Comma 4 4 4 2 3" xfId="9552"/>
    <cellStyle name="Comma 4 4 4 3" xfId="1624"/>
    <cellStyle name="Comma 4 4 4 3 2" xfId="3719"/>
    <cellStyle name="Comma 4 4 4 3 3" xfId="9553"/>
    <cellStyle name="Comma 4 4 4 4" xfId="3720"/>
    <cellStyle name="Comma 4 4 4 5" xfId="9554"/>
    <cellStyle name="Comma 4 4 5" xfId="1625"/>
    <cellStyle name="Comma 4 4 5 2" xfId="1626"/>
    <cellStyle name="Comma 4 4 5 3" xfId="1627"/>
    <cellStyle name="Comma 4 4 6" xfId="1628"/>
    <cellStyle name="Comma 4 4 6 2" xfId="3721"/>
    <cellStyle name="Comma 4 4 6 3" xfId="9555"/>
    <cellStyle name="Comma 4 4 7" xfId="1629"/>
    <cellStyle name="Comma 4 4 8" xfId="1630"/>
    <cellStyle name="Comma 4 4 9" xfId="1631"/>
    <cellStyle name="Comma 4 5" xfId="90"/>
    <cellStyle name="Comma 4 5 2" xfId="816"/>
    <cellStyle name="Comma 4 5 2 2" xfId="817"/>
    <cellStyle name="Comma 4 5 2 2 2" xfId="3722"/>
    <cellStyle name="Comma 4 5 2 2 2 2" xfId="3723"/>
    <cellStyle name="Comma 4 5 2 2 2 3" xfId="9556"/>
    <cellStyle name="Comma 4 5 2 2 3" xfId="3724"/>
    <cellStyle name="Comma 4 5 2 2 3 2" xfId="3725"/>
    <cellStyle name="Comma 4 5 2 2 3 3" xfId="9557"/>
    <cellStyle name="Comma 4 5 2 2 4" xfId="3726"/>
    <cellStyle name="Comma 4 5 2 2 5" xfId="9558"/>
    <cellStyle name="Comma 4 5 2 3" xfId="3727"/>
    <cellStyle name="Comma 4 5 2 3 2" xfId="3728"/>
    <cellStyle name="Comma 4 5 2 3 3" xfId="9559"/>
    <cellStyle name="Comma 4 5 2 4" xfId="3729"/>
    <cellStyle name="Comma 4 5 2 4 2" xfId="3730"/>
    <cellStyle name="Comma 4 5 2 4 3" xfId="9560"/>
    <cellStyle name="Comma 4 5 2 5" xfId="3731"/>
    <cellStyle name="Comma 4 5 2 6" xfId="9561"/>
    <cellStyle name="Comma 4 5 3" xfId="1632"/>
    <cellStyle name="Comma 4 5 3 2" xfId="3732"/>
    <cellStyle name="Comma 4 5 3 2 2" xfId="3733"/>
    <cellStyle name="Comma 4 5 3 2 3" xfId="9562"/>
    <cellStyle name="Comma 4 5 3 3" xfId="3734"/>
    <cellStyle name="Comma 4 5 3 3 2" xfId="3735"/>
    <cellStyle name="Comma 4 5 3 3 3" xfId="9563"/>
    <cellStyle name="Comma 4 5 3 4" xfId="3736"/>
    <cellStyle name="Comma 4 5 3 5" xfId="9564"/>
    <cellStyle name="Comma 4 5 3 6" xfId="3001"/>
    <cellStyle name="Comma 4 5 4" xfId="1633"/>
    <cellStyle name="Comma 4 5 4 2" xfId="3737"/>
    <cellStyle name="Comma 4 5 4 3" xfId="9565"/>
    <cellStyle name="Comma 4 5 5" xfId="3738"/>
    <cellStyle name="Comma 4 5 5 2" xfId="3739"/>
    <cellStyle name="Comma 4 5 5 3" xfId="9566"/>
    <cellStyle name="Comma 4 5 6" xfId="3740"/>
    <cellStyle name="Comma 4 5 7" xfId="9567"/>
    <cellStyle name="Comma 4 6" xfId="142"/>
    <cellStyle name="Comma 4 6 2" xfId="345"/>
    <cellStyle name="Comma 4 6 2 2" xfId="818"/>
    <cellStyle name="Comma 4 6 2 2 2" xfId="3741"/>
    <cellStyle name="Comma 4 6 2 2 3" xfId="9568"/>
    <cellStyle name="Comma 4 6 2 3" xfId="3742"/>
    <cellStyle name="Comma 4 6 2 3 2" xfId="3743"/>
    <cellStyle name="Comma 4 6 2 3 3" xfId="9569"/>
    <cellStyle name="Comma 4 6 2 4" xfId="3744"/>
    <cellStyle name="Comma 4 6 2 5" xfId="9570"/>
    <cellStyle name="Comma 4 6 3" xfId="1634"/>
    <cellStyle name="Comma 4 6 3 2" xfId="3745"/>
    <cellStyle name="Comma 4 6 3 3" xfId="9571"/>
    <cellStyle name="Comma 4 6 4" xfId="2947"/>
    <cellStyle name="Comma 4 6 4 2" xfId="3746"/>
    <cellStyle name="Comma 4 6 4 3" xfId="9572"/>
    <cellStyle name="Comma 4 6 5" xfId="3747"/>
    <cellStyle name="Comma 4 6 6" xfId="9573"/>
    <cellStyle name="Comma 4 7" xfId="819"/>
    <cellStyle name="Comma 4 7 2" xfId="1635"/>
    <cellStyle name="Comma 4 7 2 2" xfId="3748"/>
    <cellStyle name="Comma 4 7 2 3" xfId="9574"/>
    <cellStyle name="Comma 4 7 3" xfId="3749"/>
    <cellStyle name="Comma 4 7 3 2" xfId="3750"/>
    <cellStyle name="Comma 4 7 3 3" xfId="9575"/>
    <cellStyle name="Comma 4 7 4" xfId="3751"/>
    <cellStyle name="Comma 4 7 5" xfId="9576"/>
    <cellStyle name="Comma 4 8" xfId="1636"/>
    <cellStyle name="Comma 4 8 2" xfId="3752"/>
    <cellStyle name="Comma 4 8 3" xfId="9577"/>
    <cellStyle name="Comma 4 9" xfId="1637"/>
    <cellStyle name="Comma 4 9 2" xfId="3753"/>
    <cellStyle name="Comma 4 9 3" xfId="9578"/>
    <cellStyle name="Comma 4_2186" xfId="346"/>
    <cellStyle name="Comma 5" xfId="15"/>
    <cellStyle name="Comma 5 10" xfId="3754"/>
    <cellStyle name="Comma 5 11" xfId="9579"/>
    <cellStyle name="Comma 5 2" xfId="144"/>
    <cellStyle name="Comma 5 2 2" xfId="348"/>
    <cellStyle name="Comma 5 2 2 2" xfId="820"/>
    <cellStyle name="Comma 5 2 2 2 2" xfId="1638"/>
    <cellStyle name="Comma 5 2 2 2 2 2" xfId="3755"/>
    <cellStyle name="Comma 5 2 2 2 2 2 2" xfId="3756"/>
    <cellStyle name="Comma 5 2 2 2 2 2 2 2" xfId="3757"/>
    <cellStyle name="Comma 5 2 2 2 2 2 2 3" xfId="9580"/>
    <cellStyle name="Comma 5 2 2 2 2 2 3" xfId="3758"/>
    <cellStyle name="Comma 5 2 2 2 2 2 3 2" xfId="3759"/>
    <cellStyle name="Comma 5 2 2 2 2 2 3 3" xfId="9581"/>
    <cellStyle name="Comma 5 2 2 2 2 2 4" xfId="3760"/>
    <cellStyle name="Comma 5 2 2 2 2 2 5" xfId="9582"/>
    <cellStyle name="Comma 5 2 2 2 2 3" xfId="3761"/>
    <cellStyle name="Comma 5 2 2 2 2 3 2" xfId="3762"/>
    <cellStyle name="Comma 5 2 2 2 2 3 3" xfId="9583"/>
    <cellStyle name="Comma 5 2 2 2 2 4" xfId="3763"/>
    <cellStyle name="Comma 5 2 2 2 2 4 2" xfId="3764"/>
    <cellStyle name="Comma 5 2 2 2 2 4 3" xfId="9584"/>
    <cellStyle name="Comma 5 2 2 2 2 5" xfId="3765"/>
    <cellStyle name="Comma 5 2 2 2 2 6" xfId="9585"/>
    <cellStyle name="Comma 5 2 2 2 3" xfId="3766"/>
    <cellStyle name="Comma 5 2 2 2 3 2" xfId="3767"/>
    <cellStyle name="Comma 5 2 2 2 3 2 2" xfId="3768"/>
    <cellStyle name="Comma 5 2 2 2 3 2 3" xfId="9586"/>
    <cellStyle name="Comma 5 2 2 2 3 3" xfId="3769"/>
    <cellStyle name="Comma 5 2 2 2 3 3 2" xfId="3770"/>
    <cellStyle name="Comma 5 2 2 2 3 3 3" xfId="9587"/>
    <cellStyle name="Comma 5 2 2 2 3 4" xfId="3771"/>
    <cellStyle name="Comma 5 2 2 2 3 5" xfId="9588"/>
    <cellStyle name="Comma 5 2 2 2 4" xfId="3772"/>
    <cellStyle name="Comma 5 2 2 2 4 2" xfId="3773"/>
    <cellStyle name="Comma 5 2 2 2 4 3" xfId="9589"/>
    <cellStyle name="Comma 5 2 2 2 5" xfId="3774"/>
    <cellStyle name="Comma 5 2 2 2 5 2" xfId="3775"/>
    <cellStyle name="Comma 5 2 2 2 5 3" xfId="9590"/>
    <cellStyle name="Comma 5 2 2 2 6" xfId="3776"/>
    <cellStyle name="Comma 5 2 2 2 7" xfId="9591"/>
    <cellStyle name="Comma 5 2 2 3" xfId="821"/>
    <cellStyle name="Comma 5 2 2 3 2" xfId="3777"/>
    <cellStyle name="Comma 5 2 2 3 2 2" xfId="3778"/>
    <cellStyle name="Comma 5 2 2 3 2 2 2" xfId="3779"/>
    <cellStyle name="Comma 5 2 2 3 2 2 3" xfId="9592"/>
    <cellStyle name="Comma 5 2 2 3 2 3" xfId="3780"/>
    <cellStyle name="Comma 5 2 2 3 2 3 2" xfId="3781"/>
    <cellStyle name="Comma 5 2 2 3 2 3 3" xfId="9593"/>
    <cellStyle name="Comma 5 2 2 3 2 4" xfId="3782"/>
    <cellStyle name="Comma 5 2 2 3 2 5" xfId="9594"/>
    <cellStyle name="Comma 5 2 2 3 3" xfId="3783"/>
    <cellStyle name="Comma 5 2 2 3 3 2" xfId="3784"/>
    <cellStyle name="Comma 5 2 2 3 3 3" xfId="9595"/>
    <cellStyle name="Comma 5 2 2 3 4" xfId="3785"/>
    <cellStyle name="Comma 5 2 2 3 4 2" xfId="3786"/>
    <cellStyle name="Comma 5 2 2 3 4 3" xfId="9596"/>
    <cellStyle name="Comma 5 2 2 3 5" xfId="3787"/>
    <cellStyle name="Comma 5 2 2 3 6" xfId="9597"/>
    <cellStyle name="Comma 5 2 2 4" xfId="3788"/>
    <cellStyle name="Comma 5 2 2 4 2" xfId="3789"/>
    <cellStyle name="Comma 5 2 2 4 2 2" xfId="3790"/>
    <cellStyle name="Comma 5 2 2 4 2 3" xfId="9598"/>
    <cellStyle name="Comma 5 2 2 4 3" xfId="3791"/>
    <cellStyle name="Comma 5 2 2 4 3 2" xfId="3792"/>
    <cellStyle name="Comma 5 2 2 4 3 3" xfId="9599"/>
    <cellStyle name="Comma 5 2 2 4 4" xfId="3793"/>
    <cellStyle name="Comma 5 2 2 4 5" xfId="9600"/>
    <cellStyle name="Comma 5 2 2 5" xfId="3794"/>
    <cellStyle name="Comma 5 2 2 5 2" xfId="3795"/>
    <cellStyle name="Comma 5 2 2 5 3" xfId="9601"/>
    <cellStyle name="Comma 5 2 2 6" xfId="3796"/>
    <cellStyle name="Comma 5 2 2 6 2" xfId="3797"/>
    <cellStyle name="Comma 5 2 2 6 3" xfId="9602"/>
    <cellStyle name="Comma 5 2 2 7" xfId="3798"/>
    <cellStyle name="Comma 5 2 2 8" xfId="9603"/>
    <cellStyle name="Comma 5 2 3" xfId="347"/>
    <cellStyle name="Comma 5 2 3 2" xfId="1640"/>
    <cellStyle name="Comma 5 2 3 2 2" xfId="3799"/>
    <cellStyle name="Comma 5 2 3 2 2 2" xfId="3800"/>
    <cellStyle name="Comma 5 2 3 2 2 2 2" xfId="3801"/>
    <cellStyle name="Comma 5 2 3 2 2 2 3" xfId="9604"/>
    <cellStyle name="Comma 5 2 3 2 2 3" xfId="3802"/>
    <cellStyle name="Comma 5 2 3 2 2 3 2" xfId="3803"/>
    <cellStyle name="Comma 5 2 3 2 2 3 3" xfId="9605"/>
    <cellStyle name="Comma 5 2 3 2 2 4" xfId="3804"/>
    <cellStyle name="Comma 5 2 3 2 2 5" xfId="9606"/>
    <cellStyle name="Comma 5 2 3 2 3" xfId="3805"/>
    <cellStyle name="Comma 5 2 3 2 3 2" xfId="3806"/>
    <cellStyle name="Comma 5 2 3 2 3 3" xfId="9607"/>
    <cellStyle name="Comma 5 2 3 2 4" xfId="3807"/>
    <cellStyle name="Comma 5 2 3 2 4 2" xfId="3808"/>
    <cellStyle name="Comma 5 2 3 2 4 3" xfId="9608"/>
    <cellStyle name="Comma 5 2 3 2 5" xfId="3809"/>
    <cellStyle name="Comma 5 2 3 2 6" xfId="9609"/>
    <cellStyle name="Comma 5 2 3 3" xfId="1639"/>
    <cellStyle name="Comma 5 2 3 3 2" xfId="3811"/>
    <cellStyle name="Comma 5 2 3 3 2 2" xfId="3812"/>
    <cellStyle name="Comma 5 2 3 3 2 3" xfId="9610"/>
    <cellStyle name="Comma 5 2 3 3 3" xfId="3813"/>
    <cellStyle name="Comma 5 2 3 3 3 2" xfId="3814"/>
    <cellStyle name="Comma 5 2 3 3 3 3" xfId="9611"/>
    <cellStyle name="Comma 5 2 3 3 4" xfId="3815"/>
    <cellStyle name="Comma 5 2 3 3 5" xfId="9612"/>
    <cellStyle name="Comma 5 2 3 3 6" xfId="3810"/>
    <cellStyle name="Comma 5 2 3 4" xfId="3816"/>
    <cellStyle name="Comma 5 2 3 4 2" xfId="3817"/>
    <cellStyle name="Comma 5 2 3 4 3" xfId="9613"/>
    <cellStyle name="Comma 5 2 3 5" xfId="3818"/>
    <cellStyle name="Comma 5 2 3 5 2" xfId="3819"/>
    <cellStyle name="Comma 5 2 3 5 3" xfId="9614"/>
    <cellStyle name="Comma 5 2 3 6" xfId="3820"/>
    <cellStyle name="Comma 5 2 3 7" xfId="9615"/>
    <cellStyle name="Comma 5 2 4" xfId="822"/>
    <cellStyle name="Comma 5 2 4 2" xfId="3821"/>
    <cellStyle name="Comma 5 2 4 2 2" xfId="3822"/>
    <cellStyle name="Comma 5 2 4 2 2 2" xfId="3823"/>
    <cellStyle name="Comma 5 2 4 2 2 3" xfId="9616"/>
    <cellStyle name="Comma 5 2 4 2 3" xfId="3824"/>
    <cellStyle name="Comma 5 2 4 2 3 2" xfId="3825"/>
    <cellStyle name="Comma 5 2 4 2 3 3" xfId="9617"/>
    <cellStyle name="Comma 5 2 4 2 4" xfId="3826"/>
    <cellStyle name="Comma 5 2 4 2 5" xfId="9618"/>
    <cellStyle name="Comma 5 2 4 3" xfId="3827"/>
    <cellStyle name="Comma 5 2 4 3 2" xfId="3828"/>
    <cellStyle name="Comma 5 2 4 3 3" xfId="9619"/>
    <cellStyle name="Comma 5 2 4 4" xfId="3829"/>
    <cellStyle name="Comma 5 2 4 4 2" xfId="3830"/>
    <cellStyle name="Comma 5 2 4 4 3" xfId="9620"/>
    <cellStyle name="Comma 5 2 4 5" xfId="3831"/>
    <cellStyle name="Comma 5 2 4 6" xfId="9621"/>
    <cellStyle name="Comma 5 2 5" xfId="3832"/>
    <cellStyle name="Comma 5 2 5 2" xfId="3833"/>
    <cellStyle name="Comma 5 2 5 2 2" xfId="3834"/>
    <cellStyle name="Comma 5 2 5 2 3" xfId="9622"/>
    <cellStyle name="Comma 5 2 5 3" xfId="3835"/>
    <cellStyle name="Comma 5 2 5 3 2" xfId="3836"/>
    <cellStyle name="Comma 5 2 5 3 3" xfId="9623"/>
    <cellStyle name="Comma 5 2 5 4" xfId="3837"/>
    <cellStyle name="Comma 5 2 5 5" xfId="9624"/>
    <cellStyle name="Comma 5 2 6" xfId="3838"/>
    <cellStyle name="Comma 5 2 6 2" xfId="3839"/>
    <cellStyle name="Comma 5 2 6 3" xfId="9625"/>
    <cellStyle name="Comma 5 2 7" xfId="3840"/>
    <cellStyle name="Comma 5 2 7 2" xfId="3841"/>
    <cellStyle name="Comma 5 2 7 3" xfId="9626"/>
    <cellStyle name="Comma 5 2 8" xfId="3842"/>
    <cellStyle name="Comma 5 2 9" xfId="9627"/>
    <cellStyle name="Comma 5 3" xfId="349"/>
    <cellStyle name="Comma 5 3 2" xfId="350"/>
    <cellStyle name="Comma 5 3 2 2" xfId="1642"/>
    <cellStyle name="Comma 5 3 2 2 2" xfId="3843"/>
    <cellStyle name="Comma 5 3 2 2 2 2" xfId="3844"/>
    <cellStyle name="Comma 5 3 2 2 2 2 2" xfId="3845"/>
    <cellStyle name="Comma 5 3 2 2 2 2 3" xfId="9628"/>
    <cellStyle name="Comma 5 3 2 2 2 3" xfId="3846"/>
    <cellStyle name="Comma 5 3 2 2 2 3 2" xfId="3847"/>
    <cellStyle name="Comma 5 3 2 2 2 3 3" xfId="9629"/>
    <cellStyle name="Comma 5 3 2 2 2 4" xfId="3848"/>
    <cellStyle name="Comma 5 3 2 2 2 5" xfId="9630"/>
    <cellStyle name="Comma 5 3 2 2 3" xfId="3849"/>
    <cellStyle name="Comma 5 3 2 2 3 2" xfId="3850"/>
    <cellStyle name="Comma 5 3 2 2 3 3" xfId="9631"/>
    <cellStyle name="Comma 5 3 2 2 4" xfId="3851"/>
    <cellStyle name="Comma 5 3 2 2 4 2" xfId="3852"/>
    <cellStyle name="Comma 5 3 2 2 4 3" xfId="9632"/>
    <cellStyle name="Comma 5 3 2 2 5" xfId="3853"/>
    <cellStyle name="Comma 5 3 2 2 6" xfId="9633"/>
    <cellStyle name="Comma 5 3 2 3" xfId="1641"/>
    <cellStyle name="Comma 5 3 2 3 2" xfId="3854"/>
    <cellStyle name="Comma 5 3 2 3 2 2" xfId="3855"/>
    <cellStyle name="Comma 5 3 2 3 2 3" xfId="9634"/>
    <cellStyle name="Comma 5 3 2 3 3" xfId="3856"/>
    <cellStyle name="Comma 5 3 2 3 3 2" xfId="3857"/>
    <cellStyle name="Comma 5 3 2 3 3 3" xfId="9635"/>
    <cellStyle name="Comma 5 3 2 3 4" xfId="3858"/>
    <cellStyle name="Comma 5 3 2 3 5" xfId="9636"/>
    <cellStyle name="Comma 5 3 2 4" xfId="3859"/>
    <cellStyle name="Comma 5 3 2 4 2" xfId="3860"/>
    <cellStyle name="Comma 5 3 2 4 3" xfId="9637"/>
    <cellStyle name="Comma 5 3 2 5" xfId="3861"/>
    <cellStyle name="Comma 5 3 2 5 2" xfId="3862"/>
    <cellStyle name="Comma 5 3 2 5 3" xfId="9638"/>
    <cellStyle name="Comma 5 3 2 6" xfId="3863"/>
    <cellStyle name="Comma 5 3 2 7" xfId="9639"/>
    <cellStyle name="Comma 5 3 3" xfId="823"/>
    <cellStyle name="Comma 5 3 3 2" xfId="3864"/>
    <cellStyle name="Comma 5 3 3 2 2" xfId="3865"/>
    <cellStyle name="Comma 5 3 3 2 2 2" xfId="3866"/>
    <cellStyle name="Comma 5 3 3 2 2 3" xfId="9640"/>
    <cellStyle name="Comma 5 3 3 2 3" xfId="3867"/>
    <cellStyle name="Comma 5 3 3 2 3 2" xfId="3868"/>
    <cellStyle name="Comma 5 3 3 2 3 3" xfId="9641"/>
    <cellStyle name="Comma 5 3 3 2 4" xfId="3869"/>
    <cellStyle name="Comma 5 3 3 2 5" xfId="9642"/>
    <cellStyle name="Comma 5 3 3 3" xfId="3870"/>
    <cellStyle name="Comma 5 3 3 3 2" xfId="3871"/>
    <cellStyle name="Comma 5 3 3 3 3" xfId="9643"/>
    <cellStyle name="Comma 5 3 3 4" xfId="3872"/>
    <cellStyle name="Comma 5 3 3 4 2" xfId="3873"/>
    <cellStyle name="Comma 5 3 3 4 3" xfId="9644"/>
    <cellStyle name="Comma 5 3 3 5" xfId="3874"/>
    <cellStyle name="Comma 5 3 3 6" xfId="9645"/>
    <cellStyle name="Comma 5 3 4" xfId="1643"/>
    <cellStyle name="Comma 5 3 4 2" xfId="3875"/>
    <cellStyle name="Comma 5 3 4 2 2" xfId="3876"/>
    <cellStyle name="Comma 5 3 4 2 3" xfId="9646"/>
    <cellStyle name="Comma 5 3 4 3" xfId="3877"/>
    <cellStyle name="Comma 5 3 4 3 2" xfId="3878"/>
    <cellStyle name="Comma 5 3 4 3 3" xfId="9647"/>
    <cellStyle name="Comma 5 3 4 4" xfId="3879"/>
    <cellStyle name="Comma 5 3 4 5" xfId="9648"/>
    <cellStyle name="Comma 5 3 5" xfId="3880"/>
    <cellStyle name="Comma 5 3 5 2" xfId="3881"/>
    <cellStyle name="Comma 5 3 5 3" xfId="9649"/>
    <cellStyle name="Comma 5 3 6" xfId="3882"/>
    <cellStyle name="Comma 5 3 6 2" xfId="3883"/>
    <cellStyle name="Comma 5 3 6 3" xfId="9650"/>
    <cellStyle name="Comma 5 3 7" xfId="3884"/>
    <cellStyle name="Comma 5 3 8" xfId="9651"/>
    <cellStyle name="Comma 5 4" xfId="351"/>
    <cellStyle name="Comma 5 4 2" xfId="824"/>
    <cellStyle name="Comma 5 4 2 2" xfId="3284"/>
    <cellStyle name="Comma 5 4 2 2 2" xfId="3885"/>
    <cellStyle name="Comma 5 4 2 2 2 2" xfId="3886"/>
    <cellStyle name="Comma 5 4 2 2 2 2 2" xfId="3887"/>
    <cellStyle name="Comma 5 4 2 2 2 2 3" xfId="9652"/>
    <cellStyle name="Comma 5 4 2 2 2 3" xfId="3888"/>
    <cellStyle name="Comma 5 4 2 2 2 3 2" xfId="3889"/>
    <cellStyle name="Comma 5 4 2 2 2 3 3" xfId="9653"/>
    <cellStyle name="Comma 5 4 2 2 2 4" xfId="3890"/>
    <cellStyle name="Comma 5 4 2 2 2 5" xfId="9654"/>
    <cellStyle name="Comma 5 4 2 2 3" xfId="3891"/>
    <cellStyle name="Comma 5 4 2 2 3 2" xfId="3892"/>
    <cellStyle name="Comma 5 4 2 2 3 3" xfId="9655"/>
    <cellStyle name="Comma 5 4 2 2 4" xfId="3893"/>
    <cellStyle name="Comma 5 4 2 2 4 2" xfId="3894"/>
    <cellStyle name="Comma 5 4 2 2 4 3" xfId="9656"/>
    <cellStyle name="Comma 5 4 2 2 5" xfId="3895"/>
    <cellStyle name="Comma 5 4 2 2 6" xfId="9657"/>
    <cellStyle name="Comma 5 4 2 3" xfId="3896"/>
    <cellStyle name="Comma 5 4 2 3 2" xfId="3897"/>
    <cellStyle name="Comma 5 4 2 3 2 2" xfId="3898"/>
    <cellStyle name="Comma 5 4 2 3 2 3" xfId="9658"/>
    <cellStyle name="Comma 5 4 2 3 3" xfId="3899"/>
    <cellStyle name="Comma 5 4 2 3 3 2" xfId="3900"/>
    <cellStyle name="Comma 5 4 2 3 3 3" xfId="9659"/>
    <cellStyle name="Comma 5 4 2 3 4" xfId="3901"/>
    <cellStyle name="Comma 5 4 2 3 5" xfId="9660"/>
    <cellStyle name="Comma 5 4 2 4" xfId="3902"/>
    <cellStyle name="Comma 5 4 2 4 2" xfId="3903"/>
    <cellStyle name="Comma 5 4 2 4 3" xfId="9661"/>
    <cellStyle name="Comma 5 4 2 5" xfId="3904"/>
    <cellStyle name="Comma 5 4 2 5 2" xfId="3905"/>
    <cellStyle name="Comma 5 4 2 5 3" xfId="9662"/>
    <cellStyle name="Comma 5 4 2 6" xfId="3906"/>
    <cellStyle name="Comma 5 4 2 7" xfId="9663"/>
    <cellStyle name="Comma 5 4 3" xfId="1644"/>
    <cellStyle name="Comma 5 4 3 2" xfId="3907"/>
    <cellStyle name="Comma 5 4 3 2 2" xfId="3908"/>
    <cellStyle name="Comma 5 4 3 2 2 2" xfId="3909"/>
    <cellStyle name="Comma 5 4 3 2 2 3" xfId="9664"/>
    <cellStyle name="Comma 5 4 3 2 3" xfId="3910"/>
    <cellStyle name="Comma 5 4 3 2 3 2" xfId="3911"/>
    <cellStyle name="Comma 5 4 3 2 3 3" xfId="9665"/>
    <cellStyle name="Comma 5 4 3 2 4" xfId="3912"/>
    <cellStyle name="Comma 5 4 3 2 5" xfId="9666"/>
    <cellStyle name="Comma 5 4 3 3" xfId="3913"/>
    <cellStyle name="Comma 5 4 3 3 2" xfId="3914"/>
    <cellStyle name="Comma 5 4 3 3 3" xfId="9667"/>
    <cellStyle name="Comma 5 4 3 4" xfId="3915"/>
    <cellStyle name="Comma 5 4 3 4 2" xfId="3916"/>
    <cellStyle name="Comma 5 4 3 4 3" xfId="9668"/>
    <cellStyle name="Comma 5 4 3 5" xfId="3917"/>
    <cellStyle name="Comma 5 4 3 6" xfId="9669"/>
    <cellStyle name="Comma 5 4 4" xfId="1375"/>
    <cellStyle name="Comma 5 4 4 2" xfId="3919"/>
    <cellStyle name="Comma 5 4 4 2 2" xfId="3920"/>
    <cellStyle name="Comma 5 4 4 2 3" xfId="9670"/>
    <cellStyle name="Comma 5 4 4 3" xfId="3921"/>
    <cellStyle name="Comma 5 4 4 3 2" xfId="3922"/>
    <cellStyle name="Comma 5 4 4 3 3" xfId="9671"/>
    <cellStyle name="Comma 5 4 4 4" xfId="3923"/>
    <cellStyle name="Comma 5 4 4 5" xfId="9672"/>
    <cellStyle name="Comma 5 4 4 6" xfId="3918"/>
    <cellStyle name="Comma 5 4 5" xfId="3924"/>
    <cellStyle name="Comma 5 4 5 2" xfId="3925"/>
    <cellStyle name="Comma 5 4 5 3" xfId="9673"/>
    <cellStyle name="Comma 5 4 6" xfId="3926"/>
    <cellStyle name="Comma 5 4 6 2" xfId="3927"/>
    <cellStyle name="Comma 5 4 6 3" xfId="9674"/>
    <cellStyle name="Comma 5 4 7" xfId="3928"/>
    <cellStyle name="Comma 5 4 8" xfId="9675"/>
    <cellStyle name="Comma 5 5" xfId="825"/>
    <cellStyle name="Comma 5 5 2" xfId="1645"/>
    <cellStyle name="Comma 5 5 2 2" xfId="3929"/>
    <cellStyle name="Comma 5 5 2 2 2" xfId="3930"/>
    <cellStyle name="Comma 5 5 2 2 2 2" xfId="3931"/>
    <cellStyle name="Comma 5 5 2 2 2 3" xfId="9676"/>
    <cellStyle name="Comma 5 5 2 2 3" xfId="3932"/>
    <cellStyle name="Comma 5 5 2 2 3 2" xfId="3933"/>
    <cellStyle name="Comma 5 5 2 2 3 3" xfId="9677"/>
    <cellStyle name="Comma 5 5 2 2 4" xfId="3934"/>
    <cellStyle name="Comma 5 5 2 2 5" xfId="9678"/>
    <cellStyle name="Comma 5 5 2 3" xfId="3935"/>
    <cellStyle name="Comma 5 5 2 3 2" xfId="3936"/>
    <cellStyle name="Comma 5 5 2 3 3" xfId="9679"/>
    <cellStyle name="Comma 5 5 2 4" xfId="3937"/>
    <cellStyle name="Comma 5 5 2 4 2" xfId="3938"/>
    <cellStyle name="Comma 5 5 2 4 3" xfId="9680"/>
    <cellStyle name="Comma 5 5 2 5" xfId="3939"/>
    <cellStyle name="Comma 5 5 2 6" xfId="9681"/>
    <cellStyle name="Comma 5 5 3" xfId="3940"/>
    <cellStyle name="Comma 5 5 3 2" xfId="3941"/>
    <cellStyle name="Comma 5 5 3 2 2" xfId="3942"/>
    <cellStyle name="Comma 5 5 3 2 3" xfId="9682"/>
    <cellStyle name="Comma 5 5 3 3" xfId="3943"/>
    <cellStyle name="Comma 5 5 3 3 2" xfId="3944"/>
    <cellStyle name="Comma 5 5 3 3 3" xfId="9683"/>
    <cellStyle name="Comma 5 5 3 4" xfId="3945"/>
    <cellStyle name="Comma 5 5 3 5" xfId="9684"/>
    <cellStyle name="Comma 5 5 4" xfId="3946"/>
    <cellStyle name="Comma 5 5 4 2" xfId="3947"/>
    <cellStyle name="Comma 5 5 4 3" xfId="9685"/>
    <cellStyle name="Comma 5 5 5" xfId="3948"/>
    <cellStyle name="Comma 5 5 5 2" xfId="3949"/>
    <cellStyle name="Comma 5 5 5 3" xfId="9686"/>
    <cellStyle name="Comma 5 5 6" xfId="3950"/>
    <cellStyle name="Comma 5 5 7" xfId="9687"/>
    <cellStyle name="Comma 5 6" xfId="1646"/>
    <cellStyle name="Comma 5 6 2" xfId="3951"/>
    <cellStyle name="Comma 5 6 2 2" xfId="3952"/>
    <cellStyle name="Comma 5 6 2 2 2" xfId="3953"/>
    <cellStyle name="Comma 5 6 2 2 3" xfId="9688"/>
    <cellStyle name="Comma 5 6 2 3" xfId="3954"/>
    <cellStyle name="Comma 5 6 2 3 2" xfId="3955"/>
    <cellStyle name="Comma 5 6 2 3 3" xfId="9689"/>
    <cellStyle name="Comma 5 6 2 4" xfId="3956"/>
    <cellStyle name="Comma 5 6 2 5" xfId="9690"/>
    <cellStyle name="Comma 5 6 3" xfId="3957"/>
    <cellStyle name="Comma 5 6 3 2" xfId="3958"/>
    <cellStyle name="Comma 5 6 3 3" xfId="9691"/>
    <cellStyle name="Comma 5 6 4" xfId="3959"/>
    <cellStyle name="Comma 5 6 4 2" xfId="3960"/>
    <cellStyle name="Comma 5 6 4 3" xfId="9692"/>
    <cellStyle name="Comma 5 6 5" xfId="3961"/>
    <cellStyle name="Comma 5 6 6" xfId="9693"/>
    <cellStyle name="Comma 5 7" xfId="3962"/>
    <cellStyle name="Comma 5 7 2" xfId="3963"/>
    <cellStyle name="Comma 5 7 2 2" xfId="3964"/>
    <cellStyle name="Comma 5 7 2 3" xfId="9694"/>
    <cellStyle name="Comma 5 7 3" xfId="3965"/>
    <cellStyle name="Comma 5 7 3 2" xfId="3966"/>
    <cellStyle name="Comma 5 7 3 3" xfId="9695"/>
    <cellStyle name="Comma 5 7 4" xfId="3967"/>
    <cellStyle name="Comma 5 7 5" xfId="9696"/>
    <cellStyle name="Comma 5 8" xfId="3968"/>
    <cellStyle name="Comma 5 8 2" xfId="3969"/>
    <cellStyle name="Comma 5 8 3" xfId="9697"/>
    <cellStyle name="Comma 5 9" xfId="3970"/>
    <cellStyle name="Comma 5 9 2" xfId="3971"/>
    <cellStyle name="Comma 5 9 3" xfId="9698"/>
    <cellStyle name="Comma 6" xfId="91"/>
    <cellStyle name="Comma 6 10" xfId="3972"/>
    <cellStyle name="Comma 6 11" xfId="9699"/>
    <cellStyle name="Comma 6 2" xfId="191"/>
    <cellStyle name="Comma 6 2 2" xfId="353"/>
    <cellStyle name="Comma 6 2 2 2" xfId="826"/>
    <cellStyle name="Comma 6 2 2 2 2" xfId="1647"/>
    <cellStyle name="Comma 6 2 2 2 2 2" xfId="3973"/>
    <cellStyle name="Comma 6 2 2 2 2 2 2" xfId="3974"/>
    <cellStyle name="Comma 6 2 2 2 2 2 2 2" xfId="3975"/>
    <cellStyle name="Comma 6 2 2 2 2 2 2 3" xfId="9700"/>
    <cellStyle name="Comma 6 2 2 2 2 2 3" xfId="3976"/>
    <cellStyle name="Comma 6 2 2 2 2 2 3 2" xfId="3977"/>
    <cellStyle name="Comma 6 2 2 2 2 2 3 3" xfId="9701"/>
    <cellStyle name="Comma 6 2 2 2 2 2 4" xfId="3978"/>
    <cellStyle name="Comma 6 2 2 2 2 2 5" xfId="9702"/>
    <cellStyle name="Comma 6 2 2 2 2 3" xfId="3979"/>
    <cellStyle name="Comma 6 2 2 2 2 3 2" xfId="3980"/>
    <cellStyle name="Comma 6 2 2 2 2 3 3" xfId="9703"/>
    <cellStyle name="Comma 6 2 2 2 2 4" xfId="3981"/>
    <cellStyle name="Comma 6 2 2 2 2 4 2" xfId="3982"/>
    <cellStyle name="Comma 6 2 2 2 2 4 3" xfId="9704"/>
    <cellStyle name="Comma 6 2 2 2 2 5" xfId="3983"/>
    <cellStyle name="Comma 6 2 2 2 2 6" xfId="9705"/>
    <cellStyle name="Comma 6 2 2 2 3" xfId="3984"/>
    <cellStyle name="Comma 6 2 2 2 3 2" xfId="3985"/>
    <cellStyle name="Comma 6 2 2 2 3 2 2" xfId="3986"/>
    <cellStyle name="Comma 6 2 2 2 3 2 3" xfId="9706"/>
    <cellStyle name="Comma 6 2 2 2 3 3" xfId="3987"/>
    <cellStyle name="Comma 6 2 2 2 3 3 2" xfId="3988"/>
    <cellStyle name="Comma 6 2 2 2 3 3 3" xfId="9707"/>
    <cellStyle name="Comma 6 2 2 2 3 4" xfId="3989"/>
    <cellStyle name="Comma 6 2 2 2 3 5" xfId="9708"/>
    <cellStyle name="Comma 6 2 2 2 4" xfId="3990"/>
    <cellStyle name="Comma 6 2 2 2 4 2" xfId="3991"/>
    <cellStyle name="Comma 6 2 2 2 4 3" xfId="9709"/>
    <cellStyle name="Comma 6 2 2 2 5" xfId="3992"/>
    <cellStyle name="Comma 6 2 2 2 5 2" xfId="3993"/>
    <cellStyle name="Comma 6 2 2 2 5 3" xfId="9710"/>
    <cellStyle name="Comma 6 2 2 2 6" xfId="3994"/>
    <cellStyle name="Comma 6 2 2 2 7" xfId="9711"/>
    <cellStyle name="Comma 6 2 2 2 8" xfId="2905"/>
    <cellStyle name="Comma 6 2 2 3" xfId="827"/>
    <cellStyle name="Comma 6 2 2 3 2" xfId="3995"/>
    <cellStyle name="Comma 6 2 2 3 2 2" xfId="3996"/>
    <cellStyle name="Comma 6 2 2 3 2 2 2" xfId="3997"/>
    <cellStyle name="Comma 6 2 2 3 2 2 3" xfId="9712"/>
    <cellStyle name="Comma 6 2 2 3 2 3" xfId="3998"/>
    <cellStyle name="Comma 6 2 2 3 2 3 2" xfId="3999"/>
    <cellStyle name="Comma 6 2 2 3 2 3 3" xfId="9713"/>
    <cellStyle name="Comma 6 2 2 3 2 4" xfId="4000"/>
    <cellStyle name="Comma 6 2 2 3 2 5" xfId="9714"/>
    <cellStyle name="Comma 6 2 2 3 3" xfId="4001"/>
    <cellStyle name="Comma 6 2 2 3 3 2" xfId="4002"/>
    <cellStyle name="Comma 6 2 2 3 3 3" xfId="9715"/>
    <cellStyle name="Comma 6 2 2 3 4" xfId="4003"/>
    <cellStyle name="Comma 6 2 2 3 4 2" xfId="4004"/>
    <cellStyle name="Comma 6 2 2 3 4 3" xfId="9716"/>
    <cellStyle name="Comma 6 2 2 3 5" xfId="4005"/>
    <cellStyle name="Comma 6 2 2 3 6" xfId="9717"/>
    <cellStyle name="Comma 6 2 2 4" xfId="4006"/>
    <cellStyle name="Comma 6 2 2 4 2" xfId="4007"/>
    <cellStyle name="Comma 6 2 2 4 2 2" xfId="4008"/>
    <cellStyle name="Comma 6 2 2 4 2 3" xfId="9718"/>
    <cellStyle name="Comma 6 2 2 4 3" xfId="4009"/>
    <cellStyle name="Comma 6 2 2 4 3 2" xfId="4010"/>
    <cellStyle name="Comma 6 2 2 4 3 3" xfId="9719"/>
    <cellStyle name="Comma 6 2 2 4 4" xfId="4011"/>
    <cellStyle name="Comma 6 2 2 4 5" xfId="9720"/>
    <cellStyle name="Comma 6 2 2 5" xfId="4012"/>
    <cellStyle name="Comma 6 2 2 5 2" xfId="4013"/>
    <cellStyle name="Comma 6 2 2 5 3" xfId="9721"/>
    <cellStyle name="Comma 6 2 2 6" xfId="4014"/>
    <cellStyle name="Comma 6 2 2 6 2" xfId="4015"/>
    <cellStyle name="Comma 6 2 2 6 3" xfId="9722"/>
    <cellStyle name="Comma 6 2 2 7" xfId="4016"/>
    <cellStyle name="Comma 6 2 2 8" xfId="9723"/>
    <cellStyle name="Comma 6 2 3" xfId="352"/>
    <cellStyle name="Comma 6 2 3 2" xfId="1649"/>
    <cellStyle name="Comma 6 2 3 2 2" xfId="4017"/>
    <cellStyle name="Comma 6 2 3 2 2 2" xfId="4018"/>
    <cellStyle name="Comma 6 2 3 2 2 2 2" xfId="4019"/>
    <cellStyle name="Comma 6 2 3 2 2 2 3" xfId="9724"/>
    <cellStyle name="Comma 6 2 3 2 2 3" xfId="4020"/>
    <cellStyle name="Comma 6 2 3 2 2 3 2" xfId="4021"/>
    <cellStyle name="Comma 6 2 3 2 2 3 3" xfId="9725"/>
    <cellStyle name="Comma 6 2 3 2 2 4" xfId="4022"/>
    <cellStyle name="Comma 6 2 3 2 2 5" xfId="9726"/>
    <cellStyle name="Comma 6 2 3 2 3" xfId="4023"/>
    <cellStyle name="Comma 6 2 3 2 3 2" xfId="4024"/>
    <cellStyle name="Comma 6 2 3 2 3 3" xfId="9727"/>
    <cellStyle name="Comma 6 2 3 2 4" xfId="4025"/>
    <cellStyle name="Comma 6 2 3 2 4 2" xfId="4026"/>
    <cellStyle name="Comma 6 2 3 2 4 3" xfId="9728"/>
    <cellStyle name="Comma 6 2 3 2 5" xfId="4027"/>
    <cellStyle name="Comma 6 2 3 2 6" xfId="9729"/>
    <cellStyle name="Comma 6 2 3 3" xfId="1648"/>
    <cellStyle name="Comma 6 2 3 3 2" xfId="4029"/>
    <cellStyle name="Comma 6 2 3 3 2 2" xfId="4030"/>
    <cellStyle name="Comma 6 2 3 3 2 3" xfId="9730"/>
    <cellStyle name="Comma 6 2 3 3 3" xfId="4031"/>
    <cellStyle name="Comma 6 2 3 3 3 2" xfId="4032"/>
    <cellStyle name="Comma 6 2 3 3 3 3" xfId="9731"/>
    <cellStyle name="Comma 6 2 3 3 4" xfId="4033"/>
    <cellStyle name="Comma 6 2 3 3 5" xfId="9732"/>
    <cellStyle name="Comma 6 2 3 3 6" xfId="4028"/>
    <cellStyle name="Comma 6 2 3 4" xfId="4034"/>
    <cellStyle name="Comma 6 2 3 4 2" xfId="4035"/>
    <cellStyle name="Comma 6 2 3 4 3" xfId="9733"/>
    <cellStyle name="Comma 6 2 3 5" xfId="4036"/>
    <cellStyle name="Comma 6 2 3 5 2" xfId="4037"/>
    <cellStyle name="Comma 6 2 3 5 3" xfId="9734"/>
    <cellStyle name="Comma 6 2 3 6" xfId="4038"/>
    <cellStyle name="Comma 6 2 3 7" xfId="9735"/>
    <cellStyle name="Comma 6 2 3 8" xfId="2906"/>
    <cellStyle name="Comma 6 2 4" xfId="1650"/>
    <cellStyle name="Comma 6 2 4 2" xfId="4039"/>
    <cellStyle name="Comma 6 2 4 2 2" xfId="4040"/>
    <cellStyle name="Comma 6 2 4 2 2 2" xfId="4041"/>
    <cellStyle name="Comma 6 2 4 2 2 3" xfId="9736"/>
    <cellStyle name="Comma 6 2 4 2 3" xfId="4042"/>
    <cellStyle name="Comma 6 2 4 2 3 2" xfId="4043"/>
    <cellStyle name="Comma 6 2 4 2 3 3" xfId="9737"/>
    <cellStyle name="Comma 6 2 4 2 4" xfId="4044"/>
    <cellStyle name="Comma 6 2 4 2 5" xfId="9738"/>
    <cellStyle name="Comma 6 2 4 3" xfId="4045"/>
    <cellStyle name="Comma 6 2 4 3 2" xfId="4046"/>
    <cellStyle name="Comma 6 2 4 3 3" xfId="9739"/>
    <cellStyle name="Comma 6 2 4 4" xfId="4047"/>
    <cellStyle name="Comma 6 2 4 4 2" xfId="4048"/>
    <cellStyle name="Comma 6 2 4 4 3" xfId="9740"/>
    <cellStyle name="Comma 6 2 4 5" xfId="4049"/>
    <cellStyle name="Comma 6 2 4 6" xfId="9741"/>
    <cellStyle name="Comma 6 2 5" xfId="4050"/>
    <cellStyle name="Comma 6 2 5 2" xfId="4051"/>
    <cellStyle name="Comma 6 2 5 2 2" xfId="4052"/>
    <cellStyle name="Comma 6 2 5 2 3" xfId="9742"/>
    <cellStyle name="Comma 6 2 5 3" xfId="4053"/>
    <cellStyle name="Comma 6 2 5 3 2" xfId="4054"/>
    <cellStyle name="Comma 6 2 5 3 3" xfId="9743"/>
    <cellStyle name="Comma 6 2 5 4" xfId="4055"/>
    <cellStyle name="Comma 6 2 5 5" xfId="9744"/>
    <cellStyle name="Comma 6 2 6" xfId="4056"/>
    <cellStyle name="Comma 6 2 6 2" xfId="4057"/>
    <cellStyle name="Comma 6 2 6 3" xfId="9745"/>
    <cellStyle name="Comma 6 2 7" xfId="4058"/>
    <cellStyle name="Comma 6 2 7 2" xfId="4059"/>
    <cellStyle name="Comma 6 2 7 3" xfId="9746"/>
    <cellStyle name="Comma 6 2 8" xfId="4060"/>
    <cellStyle name="Comma 6 2 9" xfId="9747"/>
    <cellStyle name="Comma 6 3" xfId="354"/>
    <cellStyle name="Comma 6 3 2" xfId="828"/>
    <cellStyle name="Comma 6 3 2 2" xfId="1651"/>
    <cellStyle name="Comma 6 3 2 2 2" xfId="4061"/>
    <cellStyle name="Comma 6 3 2 2 2 2" xfId="4062"/>
    <cellStyle name="Comma 6 3 2 2 2 2 2" xfId="4063"/>
    <cellStyle name="Comma 6 3 2 2 2 2 3" xfId="9748"/>
    <cellStyle name="Comma 6 3 2 2 2 3" xfId="4064"/>
    <cellStyle name="Comma 6 3 2 2 2 3 2" xfId="4065"/>
    <cellStyle name="Comma 6 3 2 2 2 3 3" xfId="9749"/>
    <cellStyle name="Comma 6 3 2 2 2 4" xfId="4066"/>
    <cellStyle name="Comma 6 3 2 2 2 5" xfId="9750"/>
    <cellStyle name="Comma 6 3 2 2 3" xfId="4067"/>
    <cellStyle name="Comma 6 3 2 2 3 2" xfId="4068"/>
    <cellStyle name="Comma 6 3 2 2 3 3" xfId="9751"/>
    <cellStyle name="Comma 6 3 2 2 4" xfId="4069"/>
    <cellStyle name="Comma 6 3 2 2 4 2" xfId="4070"/>
    <cellStyle name="Comma 6 3 2 2 4 3" xfId="9752"/>
    <cellStyle name="Comma 6 3 2 2 5" xfId="4071"/>
    <cellStyle name="Comma 6 3 2 2 6" xfId="9753"/>
    <cellStyle name="Comma 6 3 2 3" xfId="4072"/>
    <cellStyle name="Comma 6 3 2 3 2" xfId="4073"/>
    <cellStyle name="Comma 6 3 2 3 2 2" xfId="4074"/>
    <cellStyle name="Comma 6 3 2 3 2 3" xfId="9754"/>
    <cellStyle name="Comma 6 3 2 3 3" xfId="4075"/>
    <cellStyle name="Comma 6 3 2 3 3 2" xfId="4076"/>
    <cellStyle name="Comma 6 3 2 3 3 3" xfId="9755"/>
    <cellStyle name="Comma 6 3 2 3 4" xfId="4077"/>
    <cellStyle name="Comma 6 3 2 3 5" xfId="9756"/>
    <cellStyle name="Comma 6 3 2 4" xfId="4078"/>
    <cellStyle name="Comma 6 3 2 4 2" xfId="4079"/>
    <cellStyle name="Comma 6 3 2 4 3" xfId="9757"/>
    <cellStyle name="Comma 6 3 2 5" xfId="4080"/>
    <cellStyle name="Comma 6 3 2 5 2" xfId="4081"/>
    <cellStyle name="Comma 6 3 2 5 3" xfId="9758"/>
    <cellStyle name="Comma 6 3 2 6" xfId="4082"/>
    <cellStyle name="Comma 6 3 2 7" xfId="9759"/>
    <cellStyle name="Comma 6 3 2 8" xfId="2907"/>
    <cellStyle name="Comma 6 3 3" xfId="1652"/>
    <cellStyle name="Comma 6 3 3 2" xfId="4083"/>
    <cellStyle name="Comma 6 3 3 2 2" xfId="4084"/>
    <cellStyle name="Comma 6 3 3 2 2 2" xfId="4085"/>
    <cellStyle name="Comma 6 3 3 2 2 3" xfId="9760"/>
    <cellStyle name="Comma 6 3 3 2 3" xfId="4086"/>
    <cellStyle name="Comma 6 3 3 2 3 2" xfId="4087"/>
    <cellStyle name="Comma 6 3 3 2 3 3" xfId="9761"/>
    <cellStyle name="Comma 6 3 3 2 4" xfId="4088"/>
    <cellStyle name="Comma 6 3 3 2 5" xfId="9762"/>
    <cellStyle name="Comma 6 3 3 3" xfId="4089"/>
    <cellStyle name="Comma 6 3 3 3 2" xfId="4090"/>
    <cellStyle name="Comma 6 3 3 3 3" xfId="9763"/>
    <cellStyle name="Comma 6 3 3 4" xfId="4091"/>
    <cellStyle name="Comma 6 3 3 4 2" xfId="4092"/>
    <cellStyle name="Comma 6 3 3 4 3" xfId="9764"/>
    <cellStyle name="Comma 6 3 3 5" xfId="4093"/>
    <cellStyle name="Comma 6 3 3 6" xfId="9765"/>
    <cellStyle name="Comma 6 3 4" xfId="4094"/>
    <cellStyle name="Comma 6 3 4 2" xfId="4095"/>
    <cellStyle name="Comma 6 3 4 2 2" xfId="4096"/>
    <cellStyle name="Comma 6 3 4 2 3" xfId="9766"/>
    <cellStyle name="Comma 6 3 4 3" xfId="4097"/>
    <cellStyle name="Comma 6 3 4 3 2" xfId="4098"/>
    <cellStyle name="Comma 6 3 4 3 3" xfId="9767"/>
    <cellStyle name="Comma 6 3 4 4" xfId="4099"/>
    <cellStyle name="Comma 6 3 4 5" xfId="9768"/>
    <cellStyle name="Comma 6 3 5" xfId="4100"/>
    <cellStyle name="Comma 6 3 5 2" xfId="4101"/>
    <cellStyle name="Comma 6 3 5 3" xfId="9769"/>
    <cellStyle name="Comma 6 3 6" xfId="4102"/>
    <cellStyle name="Comma 6 3 6 2" xfId="4103"/>
    <cellStyle name="Comma 6 3 6 3" xfId="9770"/>
    <cellStyle name="Comma 6 3 7" xfId="4104"/>
    <cellStyle name="Comma 6 3 8" xfId="9771"/>
    <cellStyle name="Comma 6 4" xfId="355"/>
    <cellStyle name="Comma 6 4 2" xfId="829"/>
    <cellStyle name="Comma 6 4 2 2" xfId="3285"/>
    <cellStyle name="Comma 6 4 2 2 2" xfId="4105"/>
    <cellStyle name="Comma 6 4 2 2 2 2" xfId="4106"/>
    <cellStyle name="Comma 6 4 2 2 2 2 2" xfId="4107"/>
    <cellStyle name="Comma 6 4 2 2 2 2 3" xfId="9772"/>
    <cellStyle name="Comma 6 4 2 2 2 3" xfId="4108"/>
    <cellStyle name="Comma 6 4 2 2 2 3 2" xfId="4109"/>
    <cellStyle name="Comma 6 4 2 2 2 3 3" xfId="9773"/>
    <cellStyle name="Comma 6 4 2 2 2 4" xfId="4110"/>
    <cellStyle name="Comma 6 4 2 2 2 5" xfId="9774"/>
    <cellStyle name="Comma 6 4 2 2 3" xfId="4111"/>
    <cellStyle name="Comma 6 4 2 2 3 2" xfId="4112"/>
    <cellStyle name="Comma 6 4 2 2 3 3" xfId="9775"/>
    <cellStyle name="Comma 6 4 2 2 4" xfId="4113"/>
    <cellStyle name="Comma 6 4 2 2 4 2" xfId="4114"/>
    <cellStyle name="Comma 6 4 2 2 4 3" xfId="9776"/>
    <cellStyle name="Comma 6 4 2 2 5" xfId="4115"/>
    <cellStyle name="Comma 6 4 2 2 6" xfId="9777"/>
    <cellStyle name="Comma 6 4 2 3" xfId="4116"/>
    <cellStyle name="Comma 6 4 2 3 2" xfId="4117"/>
    <cellStyle name="Comma 6 4 2 3 2 2" xfId="4118"/>
    <cellStyle name="Comma 6 4 2 3 2 3" xfId="9778"/>
    <cellStyle name="Comma 6 4 2 3 3" xfId="4119"/>
    <cellStyle name="Comma 6 4 2 3 3 2" xfId="4120"/>
    <cellStyle name="Comma 6 4 2 3 3 3" xfId="9779"/>
    <cellStyle name="Comma 6 4 2 3 4" xfId="4121"/>
    <cellStyle name="Comma 6 4 2 3 5" xfId="9780"/>
    <cellStyle name="Comma 6 4 2 4" xfId="4122"/>
    <cellStyle name="Comma 6 4 2 4 2" xfId="4123"/>
    <cellStyle name="Comma 6 4 2 4 3" xfId="9781"/>
    <cellStyle name="Comma 6 4 2 5" xfId="4124"/>
    <cellStyle name="Comma 6 4 2 5 2" xfId="4125"/>
    <cellStyle name="Comma 6 4 2 5 3" xfId="9782"/>
    <cellStyle name="Comma 6 4 2 6" xfId="4126"/>
    <cellStyle name="Comma 6 4 2 7" xfId="9783"/>
    <cellStyle name="Comma 6 4 3" xfId="1469"/>
    <cellStyle name="Comma 6 4 3 2" xfId="4127"/>
    <cellStyle name="Comma 6 4 3 2 2" xfId="4128"/>
    <cellStyle name="Comma 6 4 3 2 2 2" xfId="4129"/>
    <cellStyle name="Comma 6 4 3 2 2 3" xfId="9784"/>
    <cellStyle name="Comma 6 4 3 2 3" xfId="4130"/>
    <cellStyle name="Comma 6 4 3 2 3 2" xfId="4131"/>
    <cellStyle name="Comma 6 4 3 2 3 3" xfId="9785"/>
    <cellStyle name="Comma 6 4 3 2 4" xfId="4132"/>
    <cellStyle name="Comma 6 4 3 2 5" xfId="9786"/>
    <cellStyle name="Comma 6 4 3 3" xfId="4133"/>
    <cellStyle name="Comma 6 4 3 3 2" xfId="4134"/>
    <cellStyle name="Comma 6 4 3 3 3" xfId="9787"/>
    <cellStyle name="Comma 6 4 3 4" xfId="4135"/>
    <cellStyle name="Comma 6 4 3 4 2" xfId="4136"/>
    <cellStyle name="Comma 6 4 3 4 3" xfId="9788"/>
    <cellStyle name="Comma 6 4 3 5" xfId="4137"/>
    <cellStyle name="Comma 6 4 3 6" xfId="9789"/>
    <cellStyle name="Comma 6 4 3 7" xfId="3286"/>
    <cellStyle name="Comma 6 4 4" xfId="4138"/>
    <cellStyle name="Comma 6 4 4 2" xfId="4139"/>
    <cellStyle name="Comma 6 4 4 2 2" xfId="4140"/>
    <cellStyle name="Comma 6 4 4 2 3" xfId="9790"/>
    <cellStyle name="Comma 6 4 4 3" xfId="4141"/>
    <cellStyle name="Comma 6 4 4 3 2" xfId="4142"/>
    <cellStyle name="Comma 6 4 4 3 3" xfId="9791"/>
    <cellStyle name="Comma 6 4 4 4" xfId="4143"/>
    <cellStyle name="Comma 6 4 4 5" xfId="9792"/>
    <cellStyle name="Comma 6 4 5" xfId="4144"/>
    <cellStyle name="Comma 6 4 5 2" xfId="4145"/>
    <cellStyle name="Comma 6 4 5 3" xfId="9793"/>
    <cellStyle name="Comma 6 4 6" xfId="4146"/>
    <cellStyle name="Comma 6 4 6 2" xfId="4147"/>
    <cellStyle name="Comma 6 4 6 3" xfId="9794"/>
    <cellStyle name="Comma 6 4 7" xfId="4148"/>
    <cellStyle name="Comma 6 4 8" xfId="9795"/>
    <cellStyle name="Comma 6 5" xfId="830"/>
    <cellStyle name="Comma 6 5 2" xfId="3287"/>
    <cellStyle name="Comma 6 5 2 2" xfId="4149"/>
    <cellStyle name="Comma 6 5 2 2 2" xfId="4150"/>
    <cellStyle name="Comma 6 5 2 2 2 2" xfId="4151"/>
    <cellStyle name="Comma 6 5 2 2 2 3" xfId="9796"/>
    <cellStyle name="Comma 6 5 2 2 3" xfId="4152"/>
    <cellStyle name="Comma 6 5 2 2 3 2" xfId="4153"/>
    <cellStyle name="Comma 6 5 2 2 3 3" xfId="9797"/>
    <cellStyle name="Comma 6 5 2 2 4" xfId="4154"/>
    <cellStyle name="Comma 6 5 2 2 5" xfId="9798"/>
    <cellStyle name="Comma 6 5 2 3" xfId="4155"/>
    <cellStyle name="Comma 6 5 2 3 2" xfId="4156"/>
    <cellStyle name="Comma 6 5 2 3 3" xfId="9799"/>
    <cellStyle name="Comma 6 5 2 4" xfId="4157"/>
    <cellStyle name="Comma 6 5 2 4 2" xfId="4158"/>
    <cellStyle name="Comma 6 5 2 4 3" xfId="9800"/>
    <cellStyle name="Comma 6 5 2 5" xfId="4159"/>
    <cellStyle name="Comma 6 5 2 6" xfId="9801"/>
    <cellStyle name="Comma 6 5 3" xfId="4160"/>
    <cellStyle name="Comma 6 5 3 2" xfId="4161"/>
    <cellStyle name="Comma 6 5 3 2 2" xfId="4162"/>
    <cellStyle name="Comma 6 5 3 2 3" xfId="9802"/>
    <cellStyle name="Comma 6 5 3 3" xfId="4163"/>
    <cellStyle name="Comma 6 5 3 3 2" xfId="4164"/>
    <cellStyle name="Comma 6 5 3 3 3" xfId="9803"/>
    <cellStyle name="Comma 6 5 3 4" xfId="4165"/>
    <cellStyle name="Comma 6 5 3 5" xfId="9804"/>
    <cellStyle name="Comma 6 5 4" xfId="4166"/>
    <cellStyle name="Comma 6 5 4 2" xfId="4167"/>
    <cellStyle name="Comma 6 5 4 3" xfId="9805"/>
    <cellStyle name="Comma 6 5 5" xfId="4168"/>
    <cellStyle name="Comma 6 5 5 2" xfId="4169"/>
    <cellStyle name="Comma 6 5 5 3" xfId="9806"/>
    <cellStyle name="Comma 6 5 6" xfId="4170"/>
    <cellStyle name="Comma 6 5 7" xfId="9807"/>
    <cellStyle name="Comma 6 6" xfId="1653"/>
    <cellStyle name="Comma 6 6 2" xfId="4171"/>
    <cellStyle name="Comma 6 6 2 2" xfId="4172"/>
    <cellStyle name="Comma 6 6 2 2 2" xfId="4173"/>
    <cellStyle name="Comma 6 6 2 2 3" xfId="9808"/>
    <cellStyle name="Comma 6 6 2 3" xfId="4174"/>
    <cellStyle name="Comma 6 6 2 3 2" xfId="4175"/>
    <cellStyle name="Comma 6 6 2 3 3" xfId="9809"/>
    <cellStyle name="Comma 6 6 2 4" xfId="4176"/>
    <cellStyle name="Comma 6 6 2 5" xfId="9810"/>
    <cellStyle name="Comma 6 6 3" xfId="4177"/>
    <cellStyle name="Comma 6 6 3 2" xfId="4178"/>
    <cellStyle name="Comma 6 6 3 3" xfId="9811"/>
    <cellStyle name="Comma 6 6 4" xfId="4179"/>
    <cellStyle name="Comma 6 6 4 2" xfId="4180"/>
    <cellStyle name="Comma 6 6 4 3" xfId="9812"/>
    <cellStyle name="Comma 6 6 5" xfId="4181"/>
    <cellStyle name="Comma 6 6 6" xfId="9813"/>
    <cellStyle name="Comma 6 6 7" xfId="3002"/>
    <cellStyle name="Comma 6 7" xfId="4182"/>
    <cellStyle name="Comma 6 7 2" xfId="4183"/>
    <cellStyle name="Comma 6 7 2 2" xfId="4184"/>
    <cellStyle name="Comma 6 7 2 3" xfId="9814"/>
    <cellStyle name="Comma 6 7 3" xfId="4185"/>
    <cellStyle name="Comma 6 7 3 2" xfId="4186"/>
    <cellStyle name="Comma 6 7 3 3" xfId="9815"/>
    <cellStyle name="Comma 6 7 4" xfId="4187"/>
    <cellStyle name="Comma 6 7 5" xfId="9816"/>
    <cellStyle name="Comma 6 8" xfId="4188"/>
    <cellStyle name="Comma 6 8 2" xfId="4189"/>
    <cellStyle name="Comma 6 8 3" xfId="9817"/>
    <cellStyle name="Comma 6 9" xfId="4190"/>
    <cellStyle name="Comma 6 9 2" xfId="4191"/>
    <cellStyle name="Comma 6 9 3" xfId="9818"/>
    <cellStyle name="Comma 7" xfId="92"/>
    <cellStyle name="Comma 7 10" xfId="4192"/>
    <cellStyle name="Comma 7 11" xfId="9819"/>
    <cellStyle name="Comma 7 2" xfId="192"/>
    <cellStyle name="Comma 7 2 2" xfId="831"/>
    <cellStyle name="Comma 7 2 2 2" xfId="832"/>
    <cellStyle name="Comma 7 2 2 2 2" xfId="1654"/>
    <cellStyle name="Comma 7 2 2 2 2 2" xfId="4193"/>
    <cellStyle name="Comma 7 2 2 2 2 2 2" xfId="4194"/>
    <cellStyle name="Comma 7 2 2 2 2 2 2 2" xfId="4195"/>
    <cellStyle name="Comma 7 2 2 2 2 2 2 3" xfId="9820"/>
    <cellStyle name="Comma 7 2 2 2 2 2 3" xfId="4196"/>
    <cellStyle name="Comma 7 2 2 2 2 2 3 2" xfId="4197"/>
    <cellStyle name="Comma 7 2 2 2 2 2 3 3" xfId="9821"/>
    <cellStyle name="Comma 7 2 2 2 2 2 4" xfId="4198"/>
    <cellStyle name="Comma 7 2 2 2 2 2 5" xfId="9822"/>
    <cellStyle name="Comma 7 2 2 2 2 3" xfId="4199"/>
    <cellStyle name="Comma 7 2 2 2 2 3 2" xfId="4200"/>
    <cellStyle name="Comma 7 2 2 2 2 3 3" xfId="9823"/>
    <cellStyle name="Comma 7 2 2 2 2 4" xfId="4201"/>
    <cellStyle name="Comma 7 2 2 2 2 4 2" xfId="4202"/>
    <cellStyle name="Comma 7 2 2 2 2 4 3" xfId="9824"/>
    <cellStyle name="Comma 7 2 2 2 2 5" xfId="4203"/>
    <cellStyle name="Comma 7 2 2 2 2 6" xfId="9825"/>
    <cellStyle name="Comma 7 2 2 2 3" xfId="4204"/>
    <cellStyle name="Comma 7 2 2 2 3 2" xfId="4205"/>
    <cellStyle name="Comma 7 2 2 2 3 2 2" xfId="4206"/>
    <cellStyle name="Comma 7 2 2 2 3 2 3" xfId="9826"/>
    <cellStyle name="Comma 7 2 2 2 3 3" xfId="4207"/>
    <cellStyle name="Comma 7 2 2 2 3 3 2" xfId="4208"/>
    <cellStyle name="Comma 7 2 2 2 3 3 3" xfId="9827"/>
    <cellStyle name="Comma 7 2 2 2 3 4" xfId="4209"/>
    <cellStyle name="Comma 7 2 2 2 3 5" xfId="9828"/>
    <cellStyle name="Comma 7 2 2 2 4" xfId="4210"/>
    <cellStyle name="Comma 7 2 2 2 4 2" xfId="4211"/>
    <cellStyle name="Comma 7 2 2 2 4 3" xfId="9829"/>
    <cellStyle name="Comma 7 2 2 2 5" xfId="4212"/>
    <cellStyle name="Comma 7 2 2 2 5 2" xfId="4213"/>
    <cellStyle name="Comma 7 2 2 2 5 3" xfId="9830"/>
    <cellStyle name="Comma 7 2 2 2 6" xfId="4214"/>
    <cellStyle name="Comma 7 2 2 2 7" xfId="9831"/>
    <cellStyle name="Comma 7 2 2 3" xfId="833"/>
    <cellStyle name="Comma 7 2 2 3 2" xfId="4215"/>
    <cellStyle name="Comma 7 2 2 3 2 2" xfId="4216"/>
    <cellStyle name="Comma 7 2 2 3 2 2 2" xfId="4217"/>
    <cellStyle name="Comma 7 2 2 3 2 2 3" xfId="9832"/>
    <cellStyle name="Comma 7 2 2 3 2 3" xfId="4218"/>
    <cellStyle name="Comma 7 2 2 3 2 3 2" xfId="4219"/>
    <cellStyle name="Comma 7 2 2 3 2 3 3" xfId="9833"/>
    <cellStyle name="Comma 7 2 2 3 2 4" xfId="4220"/>
    <cellStyle name="Comma 7 2 2 3 2 5" xfId="9834"/>
    <cellStyle name="Comma 7 2 2 3 3" xfId="4221"/>
    <cellStyle name="Comma 7 2 2 3 3 2" xfId="4222"/>
    <cellStyle name="Comma 7 2 2 3 3 3" xfId="9835"/>
    <cellStyle name="Comma 7 2 2 3 4" xfId="4223"/>
    <cellStyle name="Comma 7 2 2 3 4 2" xfId="4224"/>
    <cellStyle name="Comma 7 2 2 3 4 3" xfId="9836"/>
    <cellStyle name="Comma 7 2 2 3 5" xfId="4225"/>
    <cellStyle name="Comma 7 2 2 3 6" xfId="9837"/>
    <cellStyle name="Comma 7 2 2 4" xfId="4226"/>
    <cellStyle name="Comma 7 2 2 4 2" xfId="4227"/>
    <cellStyle name="Comma 7 2 2 4 2 2" xfId="4228"/>
    <cellStyle name="Comma 7 2 2 4 2 3" xfId="9838"/>
    <cellStyle name="Comma 7 2 2 4 3" xfId="4229"/>
    <cellStyle name="Comma 7 2 2 4 3 2" xfId="4230"/>
    <cellStyle name="Comma 7 2 2 4 3 3" xfId="9839"/>
    <cellStyle name="Comma 7 2 2 4 4" xfId="4231"/>
    <cellStyle name="Comma 7 2 2 4 5" xfId="9840"/>
    <cellStyle name="Comma 7 2 2 5" xfId="4232"/>
    <cellStyle name="Comma 7 2 2 5 2" xfId="4233"/>
    <cellStyle name="Comma 7 2 2 5 3" xfId="9841"/>
    <cellStyle name="Comma 7 2 2 6" xfId="4234"/>
    <cellStyle name="Comma 7 2 2 6 2" xfId="4235"/>
    <cellStyle name="Comma 7 2 2 6 3" xfId="9842"/>
    <cellStyle name="Comma 7 2 2 7" xfId="4236"/>
    <cellStyle name="Comma 7 2 2 8" xfId="9843"/>
    <cellStyle name="Comma 7 2 3" xfId="834"/>
    <cellStyle name="Comma 7 2 3 2" xfId="1655"/>
    <cellStyle name="Comma 7 2 3 2 2" xfId="4237"/>
    <cellStyle name="Comma 7 2 3 2 2 2" xfId="4238"/>
    <cellStyle name="Comma 7 2 3 2 2 2 2" xfId="4239"/>
    <cellStyle name="Comma 7 2 3 2 2 2 3" xfId="9844"/>
    <cellStyle name="Comma 7 2 3 2 2 3" xfId="4240"/>
    <cellStyle name="Comma 7 2 3 2 2 3 2" xfId="4241"/>
    <cellStyle name="Comma 7 2 3 2 2 3 3" xfId="9845"/>
    <cellStyle name="Comma 7 2 3 2 2 4" xfId="4242"/>
    <cellStyle name="Comma 7 2 3 2 2 5" xfId="9846"/>
    <cellStyle name="Comma 7 2 3 2 3" xfId="4243"/>
    <cellStyle name="Comma 7 2 3 2 3 2" xfId="4244"/>
    <cellStyle name="Comma 7 2 3 2 3 3" xfId="9847"/>
    <cellStyle name="Comma 7 2 3 2 4" xfId="4245"/>
    <cellStyle name="Comma 7 2 3 2 4 2" xfId="4246"/>
    <cellStyle name="Comma 7 2 3 2 4 3" xfId="9848"/>
    <cellStyle name="Comma 7 2 3 2 5" xfId="4247"/>
    <cellStyle name="Comma 7 2 3 2 6" xfId="9849"/>
    <cellStyle name="Comma 7 2 3 3" xfId="4248"/>
    <cellStyle name="Comma 7 2 3 3 2" xfId="4249"/>
    <cellStyle name="Comma 7 2 3 3 2 2" xfId="4250"/>
    <cellStyle name="Comma 7 2 3 3 2 3" xfId="9850"/>
    <cellStyle name="Comma 7 2 3 3 3" xfId="4251"/>
    <cellStyle name="Comma 7 2 3 3 3 2" xfId="4252"/>
    <cellStyle name="Comma 7 2 3 3 3 3" xfId="9851"/>
    <cellStyle name="Comma 7 2 3 3 4" xfId="4253"/>
    <cellStyle name="Comma 7 2 3 3 5" xfId="9852"/>
    <cellStyle name="Comma 7 2 3 4" xfId="4254"/>
    <cellStyle name="Comma 7 2 3 4 2" xfId="4255"/>
    <cellStyle name="Comma 7 2 3 4 3" xfId="9853"/>
    <cellStyle name="Comma 7 2 3 5" xfId="4256"/>
    <cellStyle name="Comma 7 2 3 5 2" xfId="4257"/>
    <cellStyle name="Comma 7 2 3 5 3" xfId="9854"/>
    <cellStyle name="Comma 7 2 3 6" xfId="4258"/>
    <cellStyle name="Comma 7 2 3 7" xfId="9855"/>
    <cellStyle name="Comma 7 2 3 8" xfId="2908"/>
    <cellStyle name="Comma 7 2 4" xfId="835"/>
    <cellStyle name="Comma 7 2 4 2" xfId="1656"/>
    <cellStyle name="Comma 7 2 4 2 2" xfId="4259"/>
    <cellStyle name="Comma 7 2 4 2 2 2" xfId="4260"/>
    <cellStyle name="Comma 7 2 4 2 2 3" xfId="9856"/>
    <cellStyle name="Comma 7 2 4 2 3" xfId="4261"/>
    <cellStyle name="Comma 7 2 4 2 3 2" xfId="4262"/>
    <cellStyle name="Comma 7 2 4 2 3 3" xfId="9857"/>
    <cellStyle name="Comma 7 2 4 2 4" xfId="4263"/>
    <cellStyle name="Comma 7 2 4 2 5" xfId="9858"/>
    <cellStyle name="Comma 7 2 4 3" xfId="4264"/>
    <cellStyle name="Comma 7 2 4 3 2" xfId="4265"/>
    <cellStyle name="Comma 7 2 4 3 3" xfId="9859"/>
    <cellStyle name="Comma 7 2 4 4" xfId="4266"/>
    <cellStyle name="Comma 7 2 4 4 2" xfId="4267"/>
    <cellStyle name="Comma 7 2 4 4 3" xfId="9860"/>
    <cellStyle name="Comma 7 2 4 5" xfId="4268"/>
    <cellStyle name="Comma 7 2 4 6" xfId="9861"/>
    <cellStyle name="Comma 7 2 5" xfId="4269"/>
    <cellStyle name="Comma 7 2 5 2" xfId="4270"/>
    <cellStyle name="Comma 7 2 5 2 2" xfId="4271"/>
    <cellStyle name="Comma 7 2 5 2 3" xfId="9862"/>
    <cellStyle name="Comma 7 2 5 3" xfId="4272"/>
    <cellStyle name="Comma 7 2 5 3 2" xfId="4273"/>
    <cellStyle name="Comma 7 2 5 3 3" xfId="9863"/>
    <cellStyle name="Comma 7 2 5 4" xfId="4274"/>
    <cellStyle name="Comma 7 2 5 5" xfId="9864"/>
    <cellStyle name="Comma 7 2 6" xfId="4275"/>
    <cellStyle name="Comma 7 2 6 2" xfId="4276"/>
    <cellStyle name="Comma 7 2 6 3" xfId="9865"/>
    <cellStyle name="Comma 7 2 7" xfId="4277"/>
    <cellStyle name="Comma 7 2 7 2" xfId="4278"/>
    <cellStyle name="Comma 7 2 7 3" xfId="9866"/>
    <cellStyle name="Comma 7 2 8" xfId="4279"/>
    <cellStyle name="Comma 7 2 9" xfId="9867"/>
    <cellStyle name="Comma 7 3" xfId="356"/>
    <cellStyle name="Comma 7 3 2" xfId="836"/>
    <cellStyle name="Comma 7 3 2 2" xfId="1657"/>
    <cellStyle name="Comma 7 3 2 2 2" xfId="4280"/>
    <cellStyle name="Comma 7 3 2 2 2 2" xfId="4281"/>
    <cellStyle name="Comma 7 3 2 2 2 2 2" xfId="4282"/>
    <cellStyle name="Comma 7 3 2 2 2 2 3" xfId="9868"/>
    <cellStyle name="Comma 7 3 2 2 2 3" xfId="4283"/>
    <cellStyle name="Comma 7 3 2 2 2 3 2" xfId="4284"/>
    <cellStyle name="Comma 7 3 2 2 2 3 3" xfId="9869"/>
    <cellStyle name="Comma 7 3 2 2 2 4" xfId="4285"/>
    <cellStyle name="Comma 7 3 2 2 2 5" xfId="9870"/>
    <cellStyle name="Comma 7 3 2 2 3" xfId="4286"/>
    <cellStyle name="Comma 7 3 2 2 3 2" xfId="4287"/>
    <cellStyle name="Comma 7 3 2 2 3 3" xfId="9871"/>
    <cellStyle name="Comma 7 3 2 2 4" xfId="4288"/>
    <cellStyle name="Comma 7 3 2 2 4 2" xfId="4289"/>
    <cellStyle name="Comma 7 3 2 2 4 3" xfId="9872"/>
    <cellStyle name="Comma 7 3 2 2 5" xfId="4290"/>
    <cellStyle name="Comma 7 3 2 2 6" xfId="9873"/>
    <cellStyle name="Comma 7 3 2 3" xfId="4291"/>
    <cellStyle name="Comma 7 3 2 3 2" xfId="4292"/>
    <cellStyle name="Comma 7 3 2 3 2 2" xfId="4293"/>
    <cellStyle name="Comma 7 3 2 3 2 3" xfId="9874"/>
    <cellStyle name="Comma 7 3 2 3 3" xfId="4294"/>
    <cellStyle name="Comma 7 3 2 3 3 2" xfId="4295"/>
    <cellStyle name="Comma 7 3 2 3 3 3" xfId="9875"/>
    <cellStyle name="Comma 7 3 2 3 4" xfId="4296"/>
    <cellStyle name="Comma 7 3 2 3 5" xfId="9876"/>
    <cellStyle name="Comma 7 3 2 4" xfId="4297"/>
    <cellStyle name="Comma 7 3 2 4 2" xfId="4298"/>
    <cellStyle name="Comma 7 3 2 4 3" xfId="9877"/>
    <cellStyle name="Comma 7 3 2 5" xfId="4299"/>
    <cellStyle name="Comma 7 3 2 5 2" xfId="4300"/>
    <cellStyle name="Comma 7 3 2 5 3" xfId="9878"/>
    <cellStyle name="Comma 7 3 2 6" xfId="4301"/>
    <cellStyle name="Comma 7 3 2 7" xfId="9879"/>
    <cellStyle name="Comma 7 3 3" xfId="1658"/>
    <cellStyle name="Comma 7 3 3 2" xfId="4302"/>
    <cellStyle name="Comma 7 3 3 2 2" xfId="4303"/>
    <cellStyle name="Comma 7 3 3 2 2 2" xfId="4304"/>
    <cellStyle name="Comma 7 3 3 2 2 3" xfId="9880"/>
    <cellStyle name="Comma 7 3 3 2 3" xfId="4305"/>
    <cellStyle name="Comma 7 3 3 2 3 2" xfId="4306"/>
    <cellStyle name="Comma 7 3 3 2 3 3" xfId="9881"/>
    <cellStyle name="Comma 7 3 3 2 4" xfId="4307"/>
    <cellStyle name="Comma 7 3 3 2 5" xfId="9882"/>
    <cellStyle name="Comma 7 3 3 3" xfId="4308"/>
    <cellStyle name="Comma 7 3 3 3 2" xfId="4309"/>
    <cellStyle name="Comma 7 3 3 3 3" xfId="9883"/>
    <cellStyle name="Comma 7 3 3 4" xfId="4310"/>
    <cellStyle name="Comma 7 3 3 4 2" xfId="4311"/>
    <cellStyle name="Comma 7 3 3 4 3" xfId="9884"/>
    <cellStyle name="Comma 7 3 3 5" xfId="4312"/>
    <cellStyle name="Comma 7 3 3 6" xfId="9885"/>
    <cellStyle name="Comma 7 3 4" xfId="1470"/>
    <cellStyle name="Comma 7 3 4 2" xfId="4314"/>
    <cellStyle name="Comma 7 3 4 2 2" xfId="4315"/>
    <cellStyle name="Comma 7 3 4 2 3" xfId="9886"/>
    <cellStyle name="Comma 7 3 4 3" xfId="4316"/>
    <cellStyle name="Comma 7 3 4 3 2" xfId="4317"/>
    <cellStyle name="Comma 7 3 4 3 3" xfId="9887"/>
    <cellStyle name="Comma 7 3 4 4" xfId="4318"/>
    <cellStyle name="Comma 7 3 4 5" xfId="9888"/>
    <cellStyle name="Comma 7 3 4 6" xfId="4313"/>
    <cellStyle name="Comma 7 3 5" xfId="4319"/>
    <cellStyle name="Comma 7 3 5 2" xfId="4320"/>
    <cellStyle name="Comma 7 3 5 3" xfId="9889"/>
    <cellStyle name="Comma 7 3 6" xfId="4321"/>
    <cellStyle name="Comma 7 3 6 2" xfId="4322"/>
    <cellStyle name="Comma 7 3 6 3" xfId="9890"/>
    <cellStyle name="Comma 7 3 7" xfId="4323"/>
    <cellStyle name="Comma 7 3 8" xfId="9891"/>
    <cellStyle name="Comma 7 4" xfId="837"/>
    <cellStyle name="Comma 7 4 2" xfId="838"/>
    <cellStyle name="Comma 7 4 2 2" xfId="3288"/>
    <cellStyle name="Comma 7 4 2 2 2" xfId="4324"/>
    <cellStyle name="Comma 7 4 2 2 2 2" xfId="4325"/>
    <cellStyle name="Comma 7 4 2 2 2 2 2" xfId="4326"/>
    <cellStyle name="Comma 7 4 2 2 2 2 3" xfId="9892"/>
    <cellStyle name="Comma 7 4 2 2 2 3" xfId="4327"/>
    <cellStyle name="Comma 7 4 2 2 2 3 2" xfId="4328"/>
    <cellStyle name="Comma 7 4 2 2 2 3 3" xfId="9893"/>
    <cellStyle name="Comma 7 4 2 2 2 4" xfId="4329"/>
    <cellStyle name="Comma 7 4 2 2 2 5" xfId="9894"/>
    <cellStyle name="Comma 7 4 2 2 3" xfId="4330"/>
    <cellStyle name="Comma 7 4 2 2 3 2" xfId="4331"/>
    <cellStyle name="Comma 7 4 2 2 3 3" xfId="9895"/>
    <cellStyle name="Comma 7 4 2 2 4" xfId="4332"/>
    <cellStyle name="Comma 7 4 2 2 4 2" xfId="4333"/>
    <cellStyle name="Comma 7 4 2 2 4 3" xfId="9896"/>
    <cellStyle name="Comma 7 4 2 2 5" xfId="4334"/>
    <cellStyle name="Comma 7 4 2 2 6" xfId="9897"/>
    <cellStyle name="Comma 7 4 2 3" xfId="4335"/>
    <cellStyle name="Comma 7 4 2 3 2" xfId="4336"/>
    <cellStyle name="Comma 7 4 2 3 2 2" xfId="4337"/>
    <cellStyle name="Comma 7 4 2 3 2 3" xfId="9898"/>
    <cellStyle name="Comma 7 4 2 3 3" xfId="4338"/>
    <cellStyle name="Comma 7 4 2 3 3 2" xfId="4339"/>
    <cellStyle name="Comma 7 4 2 3 3 3" xfId="9899"/>
    <cellStyle name="Comma 7 4 2 3 4" xfId="4340"/>
    <cellStyle name="Comma 7 4 2 3 5" xfId="9900"/>
    <cellStyle name="Comma 7 4 2 4" xfId="4341"/>
    <cellStyle name="Comma 7 4 2 4 2" xfId="4342"/>
    <cellStyle name="Comma 7 4 2 4 3" xfId="9901"/>
    <cellStyle name="Comma 7 4 2 5" xfId="4343"/>
    <cellStyle name="Comma 7 4 2 5 2" xfId="4344"/>
    <cellStyle name="Comma 7 4 2 5 3" xfId="9902"/>
    <cellStyle name="Comma 7 4 2 6" xfId="4345"/>
    <cellStyle name="Comma 7 4 2 7" xfId="9903"/>
    <cellStyle name="Comma 7 4 3" xfId="3289"/>
    <cellStyle name="Comma 7 4 3 2" xfId="4346"/>
    <cellStyle name="Comma 7 4 3 2 2" xfId="4347"/>
    <cellStyle name="Comma 7 4 3 2 2 2" xfId="4348"/>
    <cellStyle name="Comma 7 4 3 2 2 3" xfId="9904"/>
    <cellStyle name="Comma 7 4 3 2 3" xfId="4349"/>
    <cellStyle name="Comma 7 4 3 2 3 2" xfId="4350"/>
    <cellStyle name="Comma 7 4 3 2 3 3" xfId="9905"/>
    <cellStyle name="Comma 7 4 3 2 4" xfId="4351"/>
    <cellStyle name="Comma 7 4 3 2 5" xfId="9906"/>
    <cellStyle name="Comma 7 4 3 3" xfId="4352"/>
    <cellStyle name="Comma 7 4 3 3 2" xfId="4353"/>
    <cellStyle name="Comma 7 4 3 3 3" xfId="9907"/>
    <cellStyle name="Comma 7 4 3 4" xfId="4354"/>
    <cellStyle name="Comma 7 4 3 4 2" xfId="4355"/>
    <cellStyle name="Comma 7 4 3 4 3" xfId="9908"/>
    <cellStyle name="Comma 7 4 3 5" xfId="4356"/>
    <cellStyle name="Comma 7 4 3 6" xfId="9909"/>
    <cellStyle name="Comma 7 4 4" xfId="4357"/>
    <cellStyle name="Comma 7 4 4 2" xfId="4358"/>
    <cellStyle name="Comma 7 4 4 2 2" xfId="4359"/>
    <cellStyle name="Comma 7 4 4 2 3" xfId="9910"/>
    <cellStyle name="Comma 7 4 4 3" xfId="4360"/>
    <cellStyle name="Comma 7 4 4 3 2" xfId="4361"/>
    <cellStyle name="Comma 7 4 4 3 3" xfId="9911"/>
    <cellStyle name="Comma 7 4 4 4" xfId="4362"/>
    <cellStyle name="Comma 7 4 4 5" xfId="9912"/>
    <cellStyle name="Comma 7 4 5" xfId="4363"/>
    <cellStyle name="Comma 7 4 5 2" xfId="4364"/>
    <cellStyle name="Comma 7 4 5 3" xfId="9913"/>
    <cellStyle name="Comma 7 4 6" xfId="4365"/>
    <cellStyle name="Comma 7 4 6 2" xfId="4366"/>
    <cellStyle name="Comma 7 4 6 3" xfId="9914"/>
    <cellStyle name="Comma 7 4 7" xfId="4367"/>
    <cellStyle name="Comma 7 4 8" xfId="9915"/>
    <cellStyle name="Comma 7 5" xfId="839"/>
    <cellStyle name="Comma 7 5 2" xfId="3290"/>
    <cellStyle name="Comma 7 5 2 2" xfId="4368"/>
    <cellStyle name="Comma 7 5 2 2 2" xfId="4369"/>
    <cellStyle name="Comma 7 5 2 2 2 2" xfId="4370"/>
    <cellStyle name="Comma 7 5 2 2 2 3" xfId="9916"/>
    <cellStyle name="Comma 7 5 2 2 3" xfId="4371"/>
    <cellStyle name="Comma 7 5 2 2 3 2" xfId="4372"/>
    <cellStyle name="Comma 7 5 2 2 3 3" xfId="9917"/>
    <cellStyle name="Comma 7 5 2 2 4" xfId="4373"/>
    <cellStyle name="Comma 7 5 2 2 5" xfId="9918"/>
    <cellStyle name="Comma 7 5 2 3" xfId="4374"/>
    <cellStyle name="Comma 7 5 2 3 2" xfId="4375"/>
    <cellStyle name="Comma 7 5 2 3 3" xfId="9919"/>
    <cellStyle name="Comma 7 5 2 4" xfId="4376"/>
    <cellStyle name="Comma 7 5 2 4 2" xfId="4377"/>
    <cellStyle name="Comma 7 5 2 4 3" xfId="9920"/>
    <cellStyle name="Comma 7 5 2 5" xfId="4378"/>
    <cellStyle name="Comma 7 5 2 6" xfId="9921"/>
    <cellStyle name="Comma 7 5 3" xfId="4379"/>
    <cellStyle name="Comma 7 5 3 2" xfId="4380"/>
    <cellStyle name="Comma 7 5 3 2 2" xfId="4381"/>
    <cellStyle name="Comma 7 5 3 2 3" xfId="9922"/>
    <cellStyle name="Comma 7 5 3 3" xfId="4382"/>
    <cellStyle name="Comma 7 5 3 3 2" xfId="4383"/>
    <cellStyle name="Comma 7 5 3 3 3" xfId="9923"/>
    <cellStyle name="Comma 7 5 3 4" xfId="4384"/>
    <cellStyle name="Comma 7 5 3 5" xfId="9924"/>
    <cellStyle name="Comma 7 5 4" xfId="4385"/>
    <cellStyle name="Comma 7 5 4 2" xfId="4386"/>
    <cellStyle name="Comma 7 5 4 3" xfId="9925"/>
    <cellStyle name="Comma 7 5 5" xfId="4387"/>
    <cellStyle name="Comma 7 5 5 2" xfId="4388"/>
    <cellStyle name="Comma 7 5 5 3" xfId="9926"/>
    <cellStyle name="Comma 7 5 6" xfId="4389"/>
    <cellStyle name="Comma 7 5 7" xfId="9927"/>
    <cellStyle name="Comma 7 6" xfId="1659"/>
    <cellStyle name="Comma 7 6 2" xfId="4390"/>
    <cellStyle name="Comma 7 6 2 2" xfId="4391"/>
    <cellStyle name="Comma 7 6 2 2 2" xfId="4392"/>
    <cellStyle name="Comma 7 6 2 2 3" xfId="9928"/>
    <cellStyle name="Comma 7 6 2 3" xfId="4393"/>
    <cellStyle name="Comma 7 6 2 3 2" xfId="4394"/>
    <cellStyle name="Comma 7 6 2 3 3" xfId="9929"/>
    <cellStyle name="Comma 7 6 2 4" xfId="4395"/>
    <cellStyle name="Comma 7 6 2 5" xfId="9930"/>
    <cellStyle name="Comma 7 6 3" xfId="4396"/>
    <cellStyle name="Comma 7 6 3 2" xfId="4397"/>
    <cellStyle name="Comma 7 6 3 3" xfId="9931"/>
    <cellStyle name="Comma 7 6 4" xfId="4398"/>
    <cellStyle name="Comma 7 6 4 2" xfId="4399"/>
    <cellStyle name="Comma 7 6 4 3" xfId="9932"/>
    <cellStyle name="Comma 7 6 5" xfId="4400"/>
    <cellStyle name="Comma 7 6 6" xfId="9933"/>
    <cellStyle name="Comma 7 7" xfId="4401"/>
    <cellStyle name="Comma 7 7 2" xfId="4402"/>
    <cellStyle name="Comma 7 7 2 2" xfId="4403"/>
    <cellStyle name="Comma 7 7 2 3" xfId="9934"/>
    <cellStyle name="Comma 7 7 3" xfId="4404"/>
    <cellStyle name="Comma 7 7 3 2" xfId="4405"/>
    <cellStyle name="Comma 7 7 3 3" xfId="9935"/>
    <cellStyle name="Comma 7 7 4" xfId="4406"/>
    <cellStyle name="Comma 7 7 5" xfId="9936"/>
    <cellStyle name="Comma 7 8" xfId="4407"/>
    <cellStyle name="Comma 7 8 2" xfId="4408"/>
    <cellStyle name="Comma 7 8 3" xfId="9937"/>
    <cellStyle name="Comma 7 9" xfId="4409"/>
    <cellStyle name="Comma 7 9 2" xfId="4410"/>
    <cellStyle name="Comma 7 9 3" xfId="9938"/>
    <cellStyle name="Comma 8" xfId="93"/>
    <cellStyle name="Comma 8 10" xfId="9939"/>
    <cellStyle name="Comma 8 2" xfId="193"/>
    <cellStyle name="Comma 8 2 2" xfId="840"/>
    <cellStyle name="Comma 8 2 2 2" xfId="841"/>
    <cellStyle name="Comma 8 2 2 2 2" xfId="4411"/>
    <cellStyle name="Comma 8 2 2 2 2 2" xfId="4412"/>
    <cellStyle name="Comma 8 2 2 2 2 2 2" xfId="4413"/>
    <cellStyle name="Comma 8 2 2 2 2 2 3" xfId="9940"/>
    <cellStyle name="Comma 8 2 2 2 2 3" xfId="4414"/>
    <cellStyle name="Comma 8 2 2 2 2 3 2" xfId="4415"/>
    <cellStyle name="Comma 8 2 2 2 2 3 3" xfId="9941"/>
    <cellStyle name="Comma 8 2 2 2 2 4" xfId="4416"/>
    <cellStyle name="Comma 8 2 2 2 2 5" xfId="9942"/>
    <cellStyle name="Comma 8 2 2 2 3" xfId="4417"/>
    <cellStyle name="Comma 8 2 2 2 3 2" xfId="4418"/>
    <cellStyle name="Comma 8 2 2 2 3 3" xfId="9943"/>
    <cellStyle name="Comma 8 2 2 2 4" xfId="4419"/>
    <cellStyle name="Comma 8 2 2 2 4 2" xfId="4420"/>
    <cellStyle name="Comma 8 2 2 2 4 3" xfId="9944"/>
    <cellStyle name="Comma 8 2 2 2 5" xfId="4421"/>
    <cellStyle name="Comma 8 2 2 2 6" xfId="9945"/>
    <cellStyle name="Comma 8 2 2 3" xfId="842"/>
    <cellStyle name="Comma 8 2 2 3 2" xfId="4422"/>
    <cellStyle name="Comma 8 2 2 3 2 2" xfId="4423"/>
    <cellStyle name="Comma 8 2 2 3 2 3" xfId="9946"/>
    <cellStyle name="Comma 8 2 2 3 3" xfId="4424"/>
    <cellStyle name="Comma 8 2 2 3 3 2" xfId="4425"/>
    <cellStyle name="Comma 8 2 2 3 3 3" xfId="9947"/>
    <cellStyle name="Comma 8 2 2 3 4" xfId="4426"/>
    <cellStyle name="Comma 8 2 2 3 5" xfId="9948"/>
    <cellStyle name="Comma 8 2 2 4" xfId="843"/>
    <cellStyle name="Comma 8 2 2 4 2" xfId="4427"/>
    <cellStyle name="Comma 8 2 2 4 3" xfId="9949"/>
    <cellStyle name="Comma 8 2 2 5" xfId="4428"/>
    <cellStyle name="Comma 8 2 2 5 2" xfId="4429"/>
    <cellStyle name="Comma 8 2 2 5 3" xfId="9950"/>
    <cellStyle name="Comma 8 2 2 6" xfId="4430"/>
    <cellStyle name="Comma 8 2 2 7" xfId="9951"/>
    <cellStyle name="Comma 8 2 3" xfId="844"/>
    <cellStyle name="Comma 8 2 3 2" xfId="4431"/>
    <cellStyle name="Comma 8 2 3 2 2" xfId="4432"/>
    <cellStyle name="Comma 8 2 3 2 2 2" xfId="4433"/>
    <cellStyle name="Comma 8 2 3 2 2 3" xfId="9952"/>
    <cellStyle name="Comma 8 2 3 2 3" xfId="4434"/>
    <cellStyle name="Comma 8 2 3 2 3 2" xfId="4435"/>
    <cellStyle name="Comma 8 2 3 2 3 3" xfId="9953"/>
    <cellStyle name="Comma 8 2 3 2 4" xfId="4436"/>
    <cellStyle name="Comma 8 2 3 2 5" xfId="9954"/>
    <cellStyle name="Comma 8 2 3 3" xfId="4437"/>
    <cellStyle name="Comma 8 2 3 3 2" xfId="4438"/>
    <cellStyle name="Comma 8 2 3 3 3" xfId="9955"/>
    <cellStyle name="Comma 8 2 3 4" xfId="4439"/>
    <cellStyle name="Comma 8 2 3 4 2" xfId="4440"/>
    <cellStyle name="Comma 8 2 3 4 3" xfId="9956"/>
    <cellStyle name="Comma 8 2 3 5" xfId="4441"/>
    <cellStyle name="Comma 8 2 3 6" xfId="9957"/>
    <cellStyle name="Comma 8 2 4" xfId="845"/>
    <cellStyle name="Comma 8 2 4 2" xfId="4442"/>
    <cellStyle name="Comma 8 2 4 2 2" xfId="4443"/>
    <cellStyle name="Comma 8 2 4 2 3" xfId="9958"/>
    <cellStyle name="Comma 8 2 4 3" xfId="4444"/>
    <cellStyle name="Comma 8 2 4 3 2" xfId="4445"/>
    <cellStyle name="Comma 8 2 4 3 3" xfId="9959"/>
    <cellStyle name="Comma 8 2 4 4" xfId="4446"/>
    <cellStyle name="Comma 8 2 4 5" xfId="9960"/>
    <cellStyle name="Comma 8 2 5" xfId="4447"/>
    <cellStyle name="Comma 8 2 5 2" xfId="4448"/>
    <cellStyle name="Comma 8 2 5 3" xfId="9961"/>
    <cellStyle name="Comma 8 2 6" xfId="4449"/>
    <cellStyle name="Comma 8 2 6 2" xfId="4450"/>
    <cellStyle name="Comma 8 2 6 3" xfId="9962"/>
    <cellStyle name="Comma 8 2 7" xfId="4451"/>
    <cellStyle name="Comma 8 2 8" xfId="9963"/>
    <cellStyle name="Comma 8 3" xfId="846"/>
    <cellStyle name="Comma 8 3 2" xfId="847"/>
    <cellStyle name="Comma 8 3 2 2" xfId="3291"/>
    <cellStyle name="Comma 8 3 2 2 2" xfId="4452"/>
    <cellStyle name="Comma 8 3 2 2 2 2" xfId="4453"/>
    <cellStyle name="Comma 8 3 2 2 2 2 2" xfId="4454"/>
    <cellStyle name="Comma 8 3 2 2 2 2 3" xfId="9964"/>
    <cellStyle name="Comma 8 3 2 2 2 3" xfId="4455"/>
    <cellStyle name="Comma 8 3 2 2 2 3 2" xfId="4456"/>
    <cellStyle name="Comma 8 3 2 2 2 3 3" xfId="9965"/>
    <cellStyle name="Comma 8 3 2 2 2 4" xfId="4457"/>
    <cellStyle name="Comma 8 3 2 2 2 5" xfId="9966"/>
    <cellStyle name="Comma 8 3 2 2 3" xfId="4458"/>
    <cellStyle name="Comma 8 3 2 2 3 2" xfId="4459"/>
    <cellStyle name="Comma 8 3 2 2 3 3" xfId="9967"/>
    <cellStyle name="Comma 8 3 2 2 4" xfId="4460"/>
    <cellStyle name="Comma 8 3 2 2 4 2" xfId="4461"/>
    <cellStyle name="Comma 8 3 2 2 4 3" xfId="9968"/>
    <cellStyle name="Comma 8 3 2 2 5" xfId="4462"/>
    <cellStyle name="Comma 8 3 2 2 6" xfId="9969"/>
    <cellStyle name="Comma 8 3 2 3" xfId="4463"/>
    <cellStyle name="Comma 8 3 2 3 2" xfId="4464"/>
    <cellStyle name="Comma 8 3 2 3 2 2" xfId="4465"/>
    <cellStyle name="Comma 8 3 2 3 2 3" xfId="9970"/>
    <cellStyle name="Comma 8 3 2 3 3" xfId="4466"/>
    <cellStyle name="Comma 8 3 2 3 3 2" xfId="4467"/>
    <cellStyle name="Comma 8 3 2 3 3 3" xfId="9971"/>
    <cellStyle name="Comma 8 3 2 3 4" xfId="4468"/>
    <cellStyle name="Comma 8 3 2 3 5" xfId="9972"/>
    <cellStyle name="Comma 8 3 2 4" xfId="4469"/>
    <cellStyle name="Comma 8 3 2 4 2" xfId="4470"/>
    <cellStyle name="Comma 8 3 2 4 3" xfId="9973"/>
    <cellStyle name="Comma 8 3 2 5" xfId="4471"/>
    <cellStyle name="Comma 8 3 2 5 2" xfId="4472"/>
    <cellStyle name="Comma 8 3 2 5 3" xfId="9974"/>
    <cellStyle name="Comma 8 3 2 6" xfId="4473"/>
    <cellStyle name="Comma 8 3 2 7" xfId="9975"/>
    <cellStyle name="Comma 8 3 3" xfId="848"/>
    <cellStyle name="Comma 8 3 3 2" xfId="4474"/>
    <cellStyle name="Comma 8 3 3 2 2" xfId="4475"/>
    <cellStyle name="Comma 8 3 3 2 2 2" xfId="4476"/>
    <cellStyle name="Comma 8 3 3 2 2 3" xfId="9976"/>
    <cellStyle name="Comma 8 3 3 2 3" xfId="4477"/>
    <cellStyle name="Comma 8 3 3 2 3 2" xfId="4478"/>
    <cellStyle name="Comma 8 3 3 2 3 3" xfId="9977"/>
    <cellStyle name="Comma 8 3 3 2 4" xfId="4479"/>
    <cellStyle name="Comma 8 3 3 2 5" xfId="9978"/>
    <cellStyle name="Comma 8 3 3 3" xfId="4480"/>
    <cellStyle name="Comma 8 3 3 3 2" xfId="4481"/>
    <cellStyle name="Comma 8 3 3 3 3" xfId="9979"/>
    <cellStyle name="Comma 8 3 3 4" xfId="4482"/>
    <cellStyle name="Comma 8 3 3 4 2" xfId="4483"/>
    <cellStyle name="Comma 8 3 3 4 3" xfId="9980"/>
    <cellStyle name="Comma 8 3 3 5" xfId="4484"/>
    <cellStyle name="Comma 8 3 3 6" xfId="9981"/>
    <cellStyle name="Comma 8 3 4" xfId="4485"/>
    <cellStyle name="Comma 8 3 4 2" xfId="4486"/>
    <cellStyle name="Comma 8 3 4 2 2" xfId="4487"/>
    <cellStyle name="Comma 8 3 4 2 3" xfId="9982"/>
    <cellStyle name="Comma 8 3 4 3" xfId="4488"/>
    <cellStyle name="Comma 8 3 4 3 2" xfId="4489"/>
    <cellStyle name="Comma 8 3 4 3 3" xfId="9983"/>
    <cellStyle name="Comma 8 3 4 4" xfId="4490"/>
    <cellStyle name="Comma 8 3 4 5" xfId="9984"/>
    <cellStyle name="Comma 8 3 5" xfId="4491"/>
    <cellStyle name="Comma 8 3 5 2" xfId="4492"/>
    <cellStyle name="Comma 8 3 5 3" xfId="9985"/>
    <cellStyle name="Comma 8 3 6" xfId="4493"/>
    <cellStyle name="Comma 8 3 6 2" xfId="4494"/>
    <cellStyle name="Comma 8 3 6 3" xfId="9986"/>
    <cellStyle name="Comma 8 3 7" xfId="4495"/>
    <cellStyle name="Comma 8 3 8" xfId="9987"/>
    <cellStyle name="Comma 8 4" xfId="849"/>
    <cellStyle name="Comma 8 4 2" xfId="850"/>
    <cellStyle name="Comma 8 4 2 2" xfId="4496"/>
    <cellStyle name="Comma 8 4 2 2 2" xfId="4497"/>
    <cellStyle name="Comma 8 4 2 2 2 2" xfId="4498"/>
    <cellStyle name="Comma 8 4 2 2 2 3" xfId="9988"/>
    <cellStyle name="Comma 8 4 2 2 3" xfId="4499"/>
    <cellStyle name="Comma 8 4 2 2 3 2" xfId="4500"/>
    <cellStyle name="Comma 8 4 2 2 3 3" xfId="9989"/>
    <cellStyle name="Comma 8 4 2 2 4" xfId="4501"/>
    <cellStyle name="Comma 8 4 2 2 5" xfId="9990"/>
    <cellStyle name="Comma 8 4 2 3" xfId="4502"/>
    <cellStyle name="Comma 8 4 2 3 2" xfId="4503"/>
    <cellStyle name="Comma 8 4 2 3 3" xfId="9991"/>
    <cellStyle name="Comma 8 4 2 4" xfId="4504"/>
    <cellStyle name="Comma 8 4 2 4 2" xfId="4505"/>
    <cellStyle name="Comma 8 4 2 4 3" xfId="9992"/>
    <cellStyle name="Comma 8 4 2 5" xfId="4506"/>
    <cellStyle name="Comma 8 4 2 6" xfId="9993"/>
    <cellStyle name="Comma 8 4 3" xfId="4507"/>
    <cellStyle name="Comma 8 4 3 2" xfId="4508"/>
    <cellStyle name="Comma 8 4 3 2 2" xfId="4509"/>
    <cellStyle name="Comma 8 4 3 2 3" xfId="9994"/>
    <cellStyle name="Comma 8 4 3 3" xfId="4510"/>
    <cellStyle name="Comma 8 4 3 3 2" xfId="4511"/>
    <cellStyle name="Comma 8 4 3 3 3" xfId="9995"/>
    <cellStyle name="Comma 8 4 3 4" xfId="4512"/>
    <cellStyle name="Comma 8 4 3 5" xfId="9996"/>
    <cellStyle name="Comma 8 4 4" xfId="4513"/>
    <cellStyle name="Comma 8 4 4 2" xfId="4514"/>
    <cellStyle name="Comma 8 4 4 3" xfId="9997"/>
    <cellStyle name="Comma 8 4 5" xfId="4515"/>
    <cellStyle name="Comma 8 4 5 2" xfId="4516"/>
    <cellStyle name="Comma 8 4 5 3" xfId="9998"/>
    <cellStyle name="Comma 8 4 6" xfId="4517"/>
    <cellStyle name="Comma 8 4 7" xfId="9999"/>
    <cellStyle name="Comma 8 5" xfId="1660"/>
    <cellStyle name="Comma 8 5 2" xfId="4518"/>
    <cellStyle name="Comma 8 5 2 2" xfId="4519"/>
    <cellStyle name="Comma 8 5 2 2 2" xfId="4520"/>
    <cellStyle name="Comma 8 5 2 2 3" xfId="10000"/>
    <cellStyle name="Comma 8 5 2 3" xfId="4521"/>
    <cellStyle name="Comma 8 5 2 3 2" xfId="4522"/>
    <cellStyle name="Comma 8 5 2 3 3" xfId="10001"/>
    <cellStyle name="Comma 8 5 2 4" xfId="4523"/>
    <cellStyle name="Comma 8 5 2 5" xfId="10002"/>
    <cellStyle name="Comma 8 5 3" xfId="4524"/>
    <cellStyle name="Comma 8 5 3 2" xfId="4525"/>
    <cellStyle name="Comma 8 5 3 3" xfId="10003"/>
    <cellStyle name="Comma 8 5 4" xfId="4526"/>
    <cellStyle name="Comma 8 5 4 2" xfId="4527"/>
    <cellStyle name="Comma 8 5 4 3" xfId="10004"/>
    <cellStyle name="Comma 8 5 5" xfId="4528"/>
    <cellStyle name="Comma 8 5 6" xfId="10005"/>
    <cellStyle name="Comma 8 6" xfId="4529"/>
    <cellStyle name="Comma 8 6 2" xfId="4530"/>
    <cellStyle name="Comma 8 6 2 2" xfId="4531"/>
    <cellStyle name="Comma 8 6 2 3" xfId="10006"/>
    <cellStyle name="Comma 8 6 3" xfId="4532"/>
    <cellStyle name="Comma 8 6 3 2" xfId="4533"/>
    <cellStyle name="Comma 8 6 3 3" xfId="10007"/>
    <cellStyle name="Comma 8 6 4" xfId="4534"/>
    <cellStyle name="Comma 8 6 5" xfId="10008"/>
    <cellStyle name="Comma 8 7" xfId="4535"/>
    <cellStyle name="Comma 8 7 2" xfId="4536"/>
    <cellStyle name="Comma 8 7 3" xfId="10009"/>
    <cellStyle name="Comma 8 8" xfId="4537"/>
    <cellStyle name="Comma 8 8 2" xfId="4538"/>
    <cellStyle name="Comma 8 8 3" xfId="10010"/>
    <cellStyle name="Comma 8 9" xfId="4539"/>
    <cellStyle name="Comma 9" xfId="94"/>
    <cellStyle name="Comma 9 2" xfId="194"/>
    <cellStyle name="Comma(2)" xfId="95"/>
    <cellStyle name="Comma(2) 2" xfId="357"/>
    <cellStyle name="Comma0" xfId="851"/>
    <cellStyle name="Comma0 - Style2" xfId="96"/>
    <cellStyle name="Comma1 - Style1" xfId="97"/>
    <cellStyle name="Comments" xfId="98"/>
    <cellStyle name="Currency" xfId="141" builtinId="4"/>
    <cellStyle name="Currency 10" xfId="358"/>
    <cellStyle name="Currency 10 2" xfId="852"/>
    <cellStyle name="Currency 10 2 2" xfId="3292"/>
    <cellStyle name="Currency 10 2 2 2" xfId="4540"/>
    <cellStyle name="Currency 10 2 2 2 2" xfId="4541"/>
    <cellStyle name="Currency 10 2 2 2 2 2" xfId="4542"/>
    <cellStyle name="Currency 10 2 2 2 2 3" xfId="10011"/>
    <cellStyle name="Currency 10 2 2 2 3" xfId="4543"/>
    <cellStyle name="Currency 10 2 2 2 3 2" xfId="4544"/>
    <cellStyle name="Currency 10 2 2 2 3 3" xfId="10012"/>
    <cellStyle name="Currency 10 2 2 2 4" xfId="4545"/>
    <cellStyle name="Currency 10 2 2 2 5" xfId="10013"/>
    <cellStyle name="Currency 10 2 2 3" xfId="4546"/>
    <cellStyle name="Currency 10 2 2 3 2" xfId="4547"/>
    <cellStyle name="Currency 10 2 2 3 3" xfId="10014"/>
    <cellStyle name="Currency 10 2 2 4" xfId="4548"/>
    <cellStyle name="Currency 10 2 2 4 2" xfId="4549"/>
    <cellStyle name="Currency 10 2 2 4 3" xfId="10015"/>
    <cellStyle name="Currency 10 2 2 5" xfId="4550"/>
    <cellStyle name="Currency 10 2 2 6" xfId="10016"/>
    <cellStyle name="Currency 10 2 3" xfId="4551"/>
    <cellStyle name="Currency 10 2 3 2" xfId="4552"/>
    <cellStyle name="Currency 10 2 3 2 2" xfId="4553"/>
    <cellStyle name="Currency 10 2 3 2 3" xfId="10017"/>
    <cellStyle name="Currency 10 2 3 3" xfId="4554"/>
    <cellStyle name="Currency 10 2 3 3 2" xfId="4555"/>
    <cellStyle name="Currency 10 2 3 3 3" xfId="10018"/>
    <cellStyle name="Currency 10 2 3 4" xfId="4556"/>
    <cellStyle name="Currency 10 2 3 5" xfId="10019"/>
    <cellStyle name="Currency 10 2 4" xfId="4557"/>
    <cellStyle name="Currency 10 2 4 2" xfId="4558"/>
    <cellStyle name="Currency 10 2 4 3" xfId="10020"/>
    <cellStyle name="Currency 10 2 5" xfId="4559"/>
    <cellStyle name="Currency 10 2 5 2" xfId="4560"/>
    <cellStyle name="Currency 10 2 5 3" xfId="10021"/>
    <cellStyle name="Currency 10 2 6" xfId="4561"/>
    <cellStyle name="Currency 10 2 7" xfId="10022"/>
    <cellStyle name="Currency 10 3" xfId="853"/>
    <cellStyle name="Currency 10 4" xfId="12767"/>
    <cellStyle name="Currency 10 5" xfId="21495"/>
    <cellStyle name="Currency 11" xfId="854"/>
    <cellStyle name="Currency 11 2" xfId="855"/>
    <cellStyle name="Currency 11 2 2" xfId="12768"/>
    <cellStyle name="Currency 11 3" xfId="1661"/>
    <cellStyle name="Currency 11 4" xfId="2948"/>
    <cellStyle name="Currency 11 5" xfId="12769"/>
    <cellStyle name="Currency 11 6" xfId="2894"/>
    <cellStyle name="Currency 12" xfId="856"/>
    <cellStyle name="Currency 12 2" xfId="1662"/>
    <cellStyle name="Currency 12 2 2" xfId="12770"/>
    <cellStyle name="Currency 12 3" xfId="12771"/>
    <cellStyle name="Currency 13" xfId="857"/>
    <cellStyle name="Currency 14" xfId="858"/>
    <cellStyle name="Currency 14 2" xfId="859"/>
    <cellStyle name="Currency 15" xfId="860"/>
    <cellStyle name="Currency 16" xfId="861"/>
    <cellStyle name="Currency 17" xfId="1663"/>
    <cellStyle name="Currency 18" xfId="1664"/>
    <cellStyle name="Currency 19" xfId="12772"/>
    <cellStyle name="Currency 2" xfId="16"/>
    <cellStyle name="Currency 2 2" xfId="99"/>
    <cellStyle name="Currency 2 2 2" xfId="195"/>
    <cellStyle name="Currency 2 2 2 2" xfId="360"/>
    <cellStyle name="Currency 2 2 2 2 2" xfId="1665"/>
    <cellStyle name="Currency 2 2 2 3" xfId="1666"/>
    <cellStyle name="Currency 2 2 2 4" xfId="1667"/>
    <cellStyle name="Currency 2 2 2 5" xfId="1668"/>
    <cellStyle name="Currency 2 2 2 6" xfId="1669"/>
    <cellStyle name="Currency 2 2 3" xfId="361"/>
    <cellStyle name="Currency 2 2 3 2" xfId="862"/>
    <cellStyle name="Currency 2 2 3 3" xfId="863"/>
    <cellStyle name="Currency 2 2 3 3 2" xfId="1670"/>
    <cellStyle name="Currency 2 2 4" xfId="362"/>
    <cellStyle name="Currency 2 2 4 2" xfId="864"/>
    <cellStyle name="Currency 2 2 4 2 2" xfId="1671"/>
    <cellStyle name="Currency 2 2 4 3" xfId="1672"/>
    <cellStyle name="Currency 2 2 5" xfId="363"/>
    <cellStyle name="Currency 2 2 5 2" xfId="1673"/>
    <cellStyle name="Currency 2 2 6" xfId="364"/>
    <cellStyle name="Currency 2 2 7" xfId="359"/>
    <cellStyle name="Currency 2 2 7 2" xfId="1674"/>
    <cellStyle name="Currency 2 2 8" xfId="1675"/>
    <cellStyle name="Currency 2 3" xfId="196"/>
    <cellStyle name="Currency 2 3 2" xfId="365"/>
    <cellStyle name="Currency 2 3 2 2" xfId="1676"/>
    <cellStyle name="Currency 2 3 2 3" xfId="1677"/>
    <cellStyle name="Currency 2 3 2 4" xfId="1678"/>
    <cellStyle name="Currency 2 3 2 5" xfId="1679"/>
    <cellStyle name="Currency 2 3 2 6" xfId="1680"/>
    <cellStyle name="Currency 2 3 2 7" xfId="1377"/>
    <cellStyle name="Currency 2 3 3" xfId="865"/>
    <cellStyle name="Currency 2 3 3 2" xfId="866"/>
    <cellStyle name="Currency 2 3 3 2 2" xfId="1681"/>
    <cellStyle name="Currency 2 3 3 2 3" xfId="3003"/>
    <cellStyle name="Currency 2 3 3 3" xfId="1682"/>
    <cellStyle name="Currency 2 3 3 4" xfId="1683"/>
    <cellStyle name="Currency 2 3 3 5" xfId="2949"/>
    <cellStyle name="Currency 2 3 4" xfId="867"/>
    <cellStyle name="Currency 2 3 4 2" xfId="1685"/>
    <cellStyle name="Currency 2 3 4 3" xfId="1686"/>
    <cellStyle name="Currency 2 3 4 4" xfId="1684"/>
    <cellStyle name="Currency 2 3 5" xfId="1687"/>
    <cellStyle name="Currency 2 3 6" xfId="1688"/>
    <cellStyle name="Currency 2 3 7" xfId="1689"/>
    <cellStyle name="Currency 2 3 8" xfId="1376"/>
    <cellStyle name="Currency 2 4" xfId="197"/>
    <cellStyle name="Currency 2 4 2" xfId="868"/>
    <cellStyle name="Currency 2 4 2 2" xfId="869"/>
    <cellStyle name="Currency 2 4 2 3" xfId="1690"/>
    <cellStyle name="Currency 2 4 2 4" xfId="1691"/>
    <cellStyle name="Currency 2 4 2 5" xfId="1692"/>
    <cellStyle name="Currency 2 4 3" xfId="870"/>
    <cellStyle name="Currency 2 4 3 2" xfId="1693"/>
    <cellStyle name="Currency 2 4 3 3" xfId="1694"/>
    <cellStyle name="Currency 2 4 4" xfId="1695"/>
    <cellStyle name="Currency 2 4 4 2" xfId="1696"/>
    <cellStyle name="Currency 2 4 4 3" xfId="1697"/>
    <cellStyle name="Currency 2 4 5" xfId="1698"/>
    <cellStyle name="Currency 2 4 6" xfId="1699"/>
    <cellStyle name="Currency 2 4 7" xfId="1700"/>
    <cellStyle name="Currency 2 4 8" xfId="1378"/>
    <cellStyle name="Currency 2 5" xfId="871"/>
    <cellStyle name="Currency 2 5 2" xfId="872"/>
    <cellStyle name="Currency 2 5 3" xfId="873"/>
    <cellStyle name="Currency 2 6" xfId="874"/>
    <cellStyle name="Currency 2 6 2" xfId="875"/>
    <cellStyle name="Currency 2 6 3" xfId="876"/>
    <cellStyle name="Currency 2 7" xfId="877"/>
    <cellStyle name="Currency 3" xfId="17"/>
    <cellStyle name="Currency 3 10" xfId="4562"/>
    <cellStyle name="Currency 3 11" xfId="10023"/>
    <cellStyle name="Currency 3 2" xfId="366"/>
    <cellStyle name="Currency 3 2 2" xfId="367"/>
    <cellStyle name="Currency 3 2 2 2" xfId="878"/>
    <cellStyle name="Currency 3 2 2 2 2" xfId="1701"/>
    <cellStyle name="Currency 3 2 2 2 2 2" xfId="4563"/>
    <cellStyle name="Currency 3 2 2 2 2 2 2" xfId="4564"/>
    <cellStyle name="Currency 3 2 2 2 2 2 2 2" xfId="4565"/>
    <cellStyle name="Currency 3 2 2 2 2 2 2 3" xfId="10024"/>
    <cellStyle name="Currency 3 2 2 2 2 2 3" xfId="4566"/>
    <cellStyle name="Currency 3 2 2 2 2 2 3 2" xfId="4567"/>
    <cellStyle name="Currency 3 2 2 2 2 2 3 3" xfId="10025"/>
    <cellStyle name="Currency 3 2 2 2 2 2 4" xfId="4568"/>
    <cellStyle name="Currency 3 2 2 2 2 2 5" xfId="10026"/>
    <cellStyle name="Currency 3 2 2 2 2 3" xfId="4569"/>
    <cellStyle name="Currency 3 2 2 2 2 3 2" xfId="4570"/>
    <cellStyle name="Currency 3 2 2 2 2 3 3" xfId="10027"/>
    <cellStyle name="Currency 3 2 2 2 2 4" xfId="4571"/>
    <cellStyle name="Currency 3 2 2 2 2 4 2" xfId="4572"/>
    <cellStyle name="Currency 3 2 2 2 2 4 3" xfId="10028"/>
    <cellStyle name="Currency 3 2 2 2 2 5" xfId="4573"/>
    <cellStyle name="Currency 3 2 2 2 2 6" xfId="10029"/>
    <cellStyle name="Currency 3 2 2 2 3" xfId="1702"/>
    <cellStyle name="Currency 3 2 2 2 3 2" xfId="4574"/>
    <cellStyle name="Currency 3 2 2 2 3 2 2" xfId="4575"/>
    <cellStyle name="Currency 3 2 2 2 3 2 3" xfId="10030"/>
    <cellStyle name="Currency 3 2 2 2 3 3" xfId="4576"/>
    <cellStyle name="Currency 3 2 2 2 3 3 2" xfId="4577"/>
    <cellStyle name="Currency 3 2 2 2 3 3 3" xfId="10031"/>
    <cellStyle name="Currency 3 2 2 2 3 4" xfId="4578"/>
    <cellStyle name="Currency 3 2 2 2 3 5" xfId="10032"/>
    <cellStyle name="Currency 3 2 2 2 4" xfId="4579"/>
    <cellStyle name="Currency 3 2 2 2 4 2" xfId="4580"/>
    <cellStyle name="Currency 3 2 2 2 4 3" xfId="10033"/>
    <cellStyle name="Currency 3 2 2 2 5" xfId="4581"/>
    <cellStyle name="Currency 3 2 2 2 5 2" xfId="4582"/>
    <cellStyle name="Currency 3 2 2 2 5 3" xfId="10034"/>
    <cellStyle name="Currency 3 2 2 2 6" xfId="4583"/>
    <cellStyle name="Currency 3 2 2 2 7" xfId="10035"/>
    <cellStyle name="Currency 3 2 2 3" xfId="879"/>
    <cellStyle name="Currency 3 2 2 3 2" xfId="1703"/>
    <cellStyle name="Currency 3 2 2 3 2 2" xfId="4584"/>
    <cellStyle name="Currency 3 2 2 3 2 2 2" xfId="4585"/>
    <cellStyle name="Currency 3 2 2 3 2 2 3" xfId="10036"/>
    <cellStyle name="Currency 3 2 2 3 2 3" xfId="4586"/>
    <cellStyle name="Currency 3 2 2 3 2 3 2" xfId="4587"/>
    <cellStyle name="Currency 3 2 2 3 2 3 3" xfId="10037"/>
    <cellStyle name="Currency 3 2 2 3 2 4" xfId="4588"/>
    <cellStyle name="Currency 3 2 2 3 2 5" xfId="10038"/>
    <cellStyle name="Currency 3 2 2 3 3" xfId="1704"/>
    <cellStyle name="Currency 3 2 2 3 3 2" xfId="4589"/>
    <cellStyle name="Currency 3 2 2 3 3 3" xfId="10039"/>
    <cellStyle name="Currency 3 2 2 3 4" xfId="4590"/>
    <cellStyle name="Currency 3 2 2 3 4 2" xfId="4591"/>
    <cellStyle name="Currency 3 2 2 3 4 3" xfId="10040"/>
    <cellStyle name="Currency 3 2 2 3 5" xfId="4592"/>
    <cellStyle name="Currency 3 2 2 3 6" xfId="10041"/>
    <cellStyle name="Currency 3 2 2 4" xfId="1705"/>
    <cellStyle name="Currency 3 2 2 4 2" xfId="4593"/>
    <cellStyle name="Currency 3 2 2 4 2 2" xfId="4594"/>
    <cellStyle name="Currency 3 2 2 4 2 3" xfId="10042"/>
    <cellStyle name="Currency 3 2 2 4 3" xfId="4595"/>
    <cellStyle name="Currency 3 2 2 4 3 2" xfId="4596"/>
    <cellStyle name="Currency 3 2 2 4 3 3" xfId="10043"/>
    <cellStyle name="Currency 3 2 2 4 4" xfId="4597"/>
    <cellStyle name="Currency 3 2 2 4 5" xfId="10044"/>
    <cellStyle name="Currency 3 2 2 5" xfId="1706"/>
    <cellStyle name="Currency 3 2 2 5 2" xfId="4598"/>
    <cellStyle name="Currency 3 2 2 5 3" xfId="10045"/>
    <cellStyle name="Currency 3 2 2 6" xfId="4599"/>
    <cellStyle name="Currency 3 2 2 6 2" xfId="4600"/>
    <cellStyle name="Currency 3 2 2 6 3" xfId="10046"/>
    <cellStyle name="Currency 3 2 2 7" xfId="4601"/>
    <cellStyle name="Currency 3 2 2 8" xfId="10047"/>
    <cellStyle name="Currency 3 2 3" xfId="368"/>
    <cellStyle name="Currency 3 2 3 2" xfId="1707"/>
    <cellStyle name="Currency 3 2 3 2 2" xfId="4602"/>
    <cellStyle name="Currency 3 2 3 2 2 2" xfId="4603"/>
    <cellStyle name="Currency 3 2 3 2 2 2 2" xfId="4604"/>
    <cellStyle name="Currency 3 2 3 2 2 2 3" xfId="10048"/>
    <cellStyle name="Currency 3 2 3 2 2 3" xfId="4605"/>
    <cellStyle name="Currency 3 2 3 2 2 3 2" xfId="4606"/>
    <cellStyle name="Currency 3 2 3 2 2 3 3" xfId="10049"/>
    <cellStyle name="Currency 3 2 3 2 2 4" xfId="4607"/>
    <cellStyle name="Currency 3 2 3 2 2 5" xfId="10050"/>
    <cellStyle name="Currency 3 2 3 2 3" xfId="4608"/>
    <cellStyle name="Currency 3 2 3 2 3 2" xfId="4609"/>
    <cellStyle name="Currency 3 2 3 2 3 3" xfId="10051"/>
    <cellStyle name="Currency 3 2 3 2 4" xfId="4610"/>
    <cellStyle name="Currency 3 2 3 2 4 2" xfId="4611"/>
    <cellStyle name="Currency 3 2 3 2 4 3" xfId="10052"/>
    <cellStyle name="Currency 3 2 3 2 5" xfId="4612"/>
    <cellStyle name="Currency 3 2 3 2 6" xfId="10053"/>
    <cellStyle name="Currency 3 2 3 3" xfId="1708"/>
    <cellStyle name="Currency 3 2 3 3 2" xfId="4613"/>
    <cellStyle name="Currency 3 2 3 3 2 2" xfId="4614"/>
    <cellStyle name="Currency 3 2 3 3 2 3" xfId="10054"/>
    <cellStyle name="Currency 3 2 3 3 3" xfId="4615"/>
    <cellStyle name="Currency 3 2 3 3 3 2" xfId="4616"/>
    <cellStyle name="Currency 3 2 3 3 3 3" xfId="10055"/>
    <cellStyle name="Currency 3 2 3 3 4" xfId="4617"/>
    <cellStyle name="Currency 3 2 3 3 5" xfId="10056"/>
    <cellStyle name="Currency 3 2 3 4" xfId="1709"/>
    <cellStyle name="Currency 3 2 3 4 2" xfId="4618"/>
    <cellStyle name="Currency 3 2 3 4 3" xfId="10057"/>
    <cellStyle name="Currency 3 2 3 5" xfId="1710"/>
    <cellStyle name="Currency 3 2 3 5 2" xfId="4619"/>
    <cellStyle name="Currency 3 2 3 5 3" xfId="10058"/>
    <cellStyle name="Currency 3 2 3 6" xfId="4620"/>
    <cellStyle name="Currency 3 2 3 7" xfId="10059"/>
    <cellStyle name="Currency 3 2 4" xfId="369"/>
    <cellStyle name="Currency 3 2 4 2" xfId="1711"/>
    <cellStyle name="Currency 3 2 4 2 2" xfId="4621"/>
    <cellStyle name="Currency 3 2 4 2 2 2" xfId="4622"/>
    <cellStyle name="Currency 3 2 4 2 2 3" xfId="10060"/>
    <cellStyle name="Currency 3 2 4 2 3" xfId="4623"/>
    <cellStyle name="Currency 3 2 4 2 3 2" xfId="4624"/>
    <cellStyle name="Currency 3 2 4 2 3 3" xfId="10061"/>
    <cellStyle name="Currency 3 2 4 2 4" xfId="4625"/>
    <cellStyle name="Currency 3 2 4 2 5" xfId="10062"/>
    <cellStyle name="Currency 3 2 4 3" xfId="1712"/>
    <cellStyle name="Currency 3 2 4 3 2" xfId="4626"/>
    <cellStyle name="Currency 3 2 4 3 3" xfId="10063"/>
    <cellStyle name="Currency 3 2 4 4" xfId="4627"/>
    <cellStyle name="Currency 3 2 4 4 2" xfId="4628"/>
    <cellStyle name="Currency 3 2 4 4 3" xfId="10064"/>
    <cellStyle name="Currency 3 2 4 5" xfId="4629"/>
    <cellStyle name="Currency 3 2 4 6" xfId="10065"/>
    <cellStyle name="Currency 3 2 5" xfId="1713"/>
    <cellStyle name="Currency 3 2 5 2" xfId="1714"/>
    <cellStyle name="Currency 3 2 5 2 2" xfId="4630"/>
    <cellStyle name="Currency 3 2 5 2 3" xfId="10066"/>
    <cellStyle name="Currency 3 2 5 3" xfId="1715"/>
    <cellStyle name="Currency 3 2 5 3 2" xfId="4631"/>
    <cellStyle name="Currency 3 2 5 3 3" xfId="10067"/>
    <cellStyle name="Currency 3 2 5 4" xfId="4632"/>
    <cellStyle name="Currency 3 2 5 5" xfId="10068"/>
    <cellStyle name="Currency 3 2 6" xfId="1716"/>
    <cellStyle name="Currency 3 2 6 2" xfId="4633"/>
    <cellStyle name="Currency 3 2 6 3" xfId="10069"/>
    <cellStyle name="Currency 3 2 7" xfId="1717"/>
    <cellStyle name="Currency 3 2 7 2" xfId="4634"/>
    <cellStyle name="Currency 3 2 7 3" xfId="10070"/>
    <cellStyle name="Currency 3 2 8" xfId="1718"/>
    <cellStyle name="Currency 3 2 9" xfId="10071"/>
    <cellStyle name="Currency 3 3" xfId="370"/>
    <cellStyle name="Currency 3 3 2" xfId="371"/>
    <cellStyle name="Currency 3 3 2 2" xfId="1719"/>
    <cellStyle name="Currency 3 3 2 2 2" xfId="4635"/>
    <cellStyle name="Currency 3 3 2 2 2 2" xfId="4636"/>
    <cellStyle name="Currency 3 3 2 2 2 2 2" xfId="4637"/>
    <cellStyle name="Currency 3 3 2 2 2 2 3" xfId="10072"/>
    <cellStyle name="Currency 3 3 2 2 2 3" xfId="4638"/>
    <cellStyle name="Currency 3 3 2 2 2 3 2" xfId="4639"/>
    <cellStyle name="Currency 3 3 2 2 2 3 3" xfId="10073"/>
    <cellStyle name="Currency 3 3 2 2 2 4" xfId="4640"/>
    <cellStyle name="Currency 3 3 2 2 2 5" xfId="10074"/>
    <cellStyle name="Currency 3 3 2 2 3" xfId="4641"/>
    <cellStyle name="Currency 3 3 2 2 3 2" xfId="4642"/>
    <cellStyle name="Currency 3 3 2 2 3 3" xfId="10075"/>
    <cellStyle name="Currency 3 3 2 2 4" xfId="4643"/>
    <cellStyle name="Currency 3 3 2 2 4 2" xfId="4644"/>
    <cellStyle name="Currency 3 3 2 2 4 3" xfId="10076"/>
    <cellStyle name="Currency 3 3 2 2 5" xfId="4645"/>
    <cellStyle name="Currency 3 3 2 2 6" xfId="10077"/>
    <cellStyle name="Currency 3 3 2 3" xfId="1379"/>
    <cellStyle name="Currency 3 3 2 3 2" xfId="4647"/>
    <cellStyle name="Currency 3 3 2 3 2 2" xfId="4648"/>
    <cellStyle name="Currency 3 3 2 3 2 3" xfId="10078"/>
    <cellStyle name="Currency 3 3 2 3 3" xfId="4649"/>
    <cellStyle name="Currency 3 3 2 3 3 2" xfId="4650"/>
    <cellStyle name="Currency 3 3 2 3 3 3" xfId="10079"/>
    <cellStyle name="Currency 3 3 2 3 4" xfId="4651"/>
    <cellStyle name="Currency 3 3 2 3 5" xfId="10080"/>
    <cellStyle name="Currency 3 3 2 3 6" xfId="4646"/>
    <cellStyle name="Currency 3 3 2 4" xfId="4652"/>
    <cellStyle name="Currency 3 3 2 4 2" xfId="4653"/>
    <cellStyle name="Currency 3 3 2 4 3" xfId="10081"/>
    <cellStyle name="Currency 3 3 2 5" xfId="4654"/>
    <cellStyle name="Currency 3 3 2 5 2" xfId="4655"/>
    <cellStyle name="Currency 3 3 2 5 3" xfId="10082"/>
    <cellStyle name="Currency 3 3 2 6" xfId="4656"/>
    <cellStyle name="Currency 3 3 2 7" xfId="10083"/>
    <cellStyle name="Currency 3 3 3" xfId="1720"/>
    <cellStyle name="Currency 3 3 3 2" xfId="4657"/>
    <cellStyle name="Currency 3 3 3 2 2" xfId="4658"/>
    <cellStyle name="Currency 3 3 3 2 2 2" xfId="4659"/>
    <cellStyle name="Currency 3 3 3 2 2 3" xfId="10084"/>
    <cellStyle name="Currency 3 3 3 2 3" xfId="4660"/>
    <cellStyle name="Currency 3 3 3 2 3 2" xfId="4661"/>
    <cellStyle name="Currency 3 3 3 2 3 3" xfId="10085"/>
    <cellStyle name="Currency 3 3 3 2 4" xfId="4662"/>
    <cellStyle name="Currency 3 3 3 2 5" xfId="10086"/>
    <cellStyle name="Currency 3 3 3 3" xfId="4663"/>
    <cellStyle name="Currency 3 3 3 3 2" xfId="4664"/>
    <cellStyle name="Currency 3 3 3 3 3" xfId="10087"/>
    <cellStyle name="Currency 3 3 3 4" xfId="4665"/>
    <cellStyle name="Currency 3 3 3 4 2" xfId="4666"/>
    <cellStyle name="Currency 3 3 3 4 3" xfId="10088"/>
    <cellStyle name="Currency 3 3 3 5" xfId="4667"/>
    <cellStyle name="Currency 3 3 3 6" xfId="10089"/>
    <cellStyle name="Currency 3 3 4" xfId="1721"/>
    <cellStyle name="Currency 3 3 4 2" xfId="4668"/>
    <cellStyle name="Currency 3 3 4 2 2" xfId="4669"/>
    <cellStyle name="Currency 3 3 4 2 3" xfId="10090"/>
    <cellStyle name="Currency 3 3 4 3" xfId="4670"/>
    <cellStyle name="Currency 3 3 4 3 2" xfId="4671"/>
    <cellStyle name="Currency 3 3 4 3 3" xfId="10091"/>
    <cellStyle name="Currency 3 3 4 4" xfId="4672"/>
    <cellStyle name="Currency 3 3 4 5" xfId="10092"/>
    <cellStyle name="Currency 3 3 5" xfId="2950"/>
    <cellStyle name="Currency 3 3 5 2" xfId="4673"/>
    <cellStyle name="Currency 3 3 5 3" xfId="10093"/>
    <cellStyle name="Currency 3 3 6" xfId="4674"/>
    <cellStyle name="Currency 3 3 6 2" xfId="4675"/>
    <cellStyle name="Currency 3 3 6 3" xfId="10094"/>
    <cellStyle name="Currency 3 3 7" xfId="4676"/>
    <cellStyle name="Currency 3 3 8" xfId="10095"/>
    <cellStyle name="Currency 3 4" xfId="880"/>
    <cellStyle name="Currency 3 4 2" xfId="881"/>
    <cellStyle name="Currency 3 4 2 2" xfId="3293"/>
    <cellStyle name="Currency 3 4 2 2 2" xfId="4677"/>
    <cellStyle name="Currency 3 4 2 2 2 2" xfId="4678"/>
    <cellStyle name="Currency 3 4 2 2 2 2 2" xfId="4679"/>
    <cellStyle name="Currency 3 4 2 2 2 2 3" xfId="10096"/>
    <cellStyle name="Currency 3 4 2 2 2 3" xfId="4680"/>
    <cellStyle name="Currency 3 4 2 2 2 3 2" xfId="4681"/>
    <cellStyle name="Currency 3 4 2 2 2 3 3" xfId="10097"/>
    <cellStyle name="Currency 3 4 2 2 2 4" xfId="4682"/>
    <cellStyle name="Currency 3 4 2 2 2 5" xfId="10098"/>
    <cellStyle name="Currency 3 4 2 2 3" xfId="4683"/>
    <cellStyle name="Currency 3 4 2 2 3 2" xfId="4684"/>
    <cellStyle name="Currency 3 4 2 2 3 3" xfId="10099"/>
    <cellStyle name="Currency 3 4 2 2 4" xfId="4685"/>
    <cellStyle name="Currency 3 4 2 2 4 2" xfId="4686"/>
    <cellStyle name="Currency 3 4 2 2 4 3" xfId="10100"/>
    <cellStyle name="Currency 3 4 2 2 5" xfId="4687"/>
    <cellStyle name="Currency 3 4 2 2 6" xfId="10101"/>
    <cellStyle name="Currency 3 4 2 3" xfId="4688"/>
    <cellStyle name="Currency 3 4 2 3 2" xfId="4689"/>
    <cellStyle name="Currency 3 4 2 3 2 2" xfId="4690"/>
    <cellStyle name="Currency 3 4 2 3 2 3" xfId="10102"/>
    <cellStyle name="Currency 3 4 2 3 3" xfId="4691"/>
    <cellStyle name="Currency 3 4 2 3 3 2" xfId="4692"/>
    <cellStyle name="Currency 3 4 2 3 3 3" xfId="10103"/>
    <cellStyle name="Currency 3 4 2 3 4" xfId="4693"/>
    <cellStyle name="Currency 3 4 2 3 5" xfId="10104"/>
    <cellStyle name="Currency 3 4 2 4" xfId="4694"/>
    <cellStyle name="Currency 3 4 2 4 2" xfId="4695"/>
    <cellStyle name="Currency 3 4 2 4 3" xfId="10105"/>
    <cellStyle name="Currency 3 4 2 5" xfId="4696"/>
    <cellStyle name="Currency 3 4 2 5 2" xfId="4697"/>
    <cellStyle name="Currency 3 4 2 5 3" xfId="10106"/>
    <cellStyle name="Currency 3 4 2 6" xfId="4698"/>
    <cellStyle name="Currency 3 4 2 7" xfId="10107"/>
    <cellStyle name="Currency 3 4 3" xfId="1722"/>
    <cellStyle name="Currency 3 4 3 2" xfId="4699"/>
    <cellStyle name="Currency 3 4 3 2 2" xfId="4700"/>
    <cellStyle name="Currency 3 4 3 2 2 2" xfId="4701"/>
    <cellStyle name="Currency 3 4 3 2 2 3" xfId="10108"/>
    <cellStyle name="Currency 3 4 3 2 3" xfId="4702"/>
    <cellStyle name="Currency 3 4 3 2 3 2" xfId="4703"/>
    <cellStyle name="Currency 3 4 3 2 3 3" xfId="10109"/>
    <cellStyle name="Currency 3 4 3 2 4" xfId="4704"/>
    <cellStyle name="Currency 3 4 3 2 5" xfId="10110"/>
    <cellStyle name="Currency 3 4 3 3" xfId="4705"/>
    <cellStyle name="Currency 3 4 3 3 2" xfId="4706"/>
    <cellStyle name="Currency 3 4 3 3 3" xfId="10111"/>
    <cellStyle name="Currency 3 4 3 4" xfId="4707"/>
    <cellStyle name="Currency 3 4 3 4 2" xfId="4708"/>
    <cellStyle name="Currency 3 4 3 4 3" xfId="10112"/>
    <cellStyle name="Currency 3 4 3 5" xfId="4709"/>
    <cellStyle name="Currency 3 4 3 6" xfId="10113"/>
    <cellStyle name="Currency 3 4 4" xfId="1723"/>
    <cellStyle name="Currency 3 4 4 2" xfId="4710"/>
    <cellStyle name="Currency 3 4 4 2 2" xfId="4711"/>
    <cellStyle name="Currency 3 4 4 2 3" xfId="10114"/>
    <cellStyle name="Currency 3 4 4 3" xfId="4712"/>
    <cellStyle name="Currency 3 4 4 3 2" xfId="4713"/>
    <cellStyle name="Currency 3 4 4 3 3" xfId="10115"/>
    <cellStyle name="Currency 3 4 4 4" xfId="4714"/>
    <cellStyle name="Currency 3 4 4 5" xfId="10116"/>
    <cellStyle name="Currency 3 4 5" xfId="1724"/>
    <cellStyle name="Currency 3 4 5 2" xfId="4715"/>
    <cellStyle name="Currency 3 4 5 3" xfId="10117"/>
    <cellStyle name="Currency 3 4 6" xfId="1725"/>
    <cellStyle name="Currency 3 4 6 2" xfId="4716"/>
    <cellStyle name="Currency 3 4 6 3" xfId="10118"/>
    <cellStyle name="Currency 3 4 7" xfId="4717"/>
    <cellStyle name="Currency 3 4 8" xfId="10119"/>
    <cellStyle name="Currency 3 5" xfId="882"/>
    <cellStyle name="Currency 3 5 2" xfId="883"/>
    <cellStyle name="Currency 3 5 2 2" xfId="1726"/>
    <cellStyle name="Currency 3 5 2 2 2" xfId="4719"/>
    <cellStyle name="Currency 3 5 2 2 2 2" xfId="4720"/>
    <cellStyle name="Currency 3 5 2 2 2 3" xfId="10120"/>
    <cellStyle name="Currency 3 5 2 2 3" xfId="4721"/>
    <cellStyle name="Currency 3 5 2 2 3 2" xfId="4722"/>
    <cellStyle name="Currency 3 5 2 2 3 3" xfId="10121"/>
    <cellStyle name="Currency 3 5 2 2 4" xfId="4723"/>
    <cellStyle name="Currency 3 5 2 2 5" xfId="10122"/>
    <cellStyle name="Currency 3 5 2 2 6" xfId="4718"/>
    <cellStyle name="Currency 3 5 2 3" xfId="4724"/>
    <cellStyle name="Currency 3 5 2 3 2" xfId="4725"/>
    <cellStyle name="Currency 3 5 2 3 3" xfId="10123"/>
    <cellStyle name="Currency 3 5 2 4" xfId="4726"/>
    <cellStyle name="Currency 3 5 2 4 2" xfId="4727"/>
    <cellStyle name="Currency 3 5 2 4 3" xfId="10124"/>
    <cellStyle name="Currency 3 5 2 5" xfId="4728"/>
    <cellStyle name="Currency 3 5 2 6" xfId="10125"/>
    <cellStyle name="Currency 3 5 3" xfId="1727"/>
    <cellStyle name="Currency 3 5 3 2" xfId="4729"/>
    <cellStyle name="Currency 3 5 3 2 2" xfId="4730"/>
    <cellStyle name="Currency 3 5 3 2 3" xfId="10126"/>
    <cellStyle name="Currency 3 5 3 3" xfId="4731"/>
    <cellStyle name="Currency 3 5 3 3 2" xfId="4732"/>
    <cellStyle name="Currency 3 5 3 3 3" xfId="10127"/>
    <cellStyle name="Currency 3 5 3 4" xfId="4733"/>
    <cellStyle name="Currency 3 5 3 5" xfId="10128"/>
    <cellStyle name="Currency 3 5 4" xfId="4734"/>
    <cellStyle name="Currency 3 5 4 2" xfId="4735"/>
    <cellStyle name="Currency 3 5 4 3" xfId="10129"/>
    <cellStyle name="Currency 3 5 5" xfId="4736"/>
    <cellStyle name="Currency 3 5 5 2" xfId="4737"/>
    <cellStyle name="Currency 3 5 5 3" xfId="10130"/>
    <cellStyle name="Currency 3 5 6" xfId="4738"/>
    <cellStyle name="Currency 3 5 7" xfId="10131"/>
    <cellStyle name="Currency 3 6" xfId="1728"/>
    <cellStyle name="Currency 3 6 2" xfId="1729"/>
    <cellStyle name="Currency 3 6 2 2" xfId="4739"/>
    <cellStyle name="Currency 3 6 2 2 2" xfId="4740"/>
    <cellStyle name="Currency 3 6 2 2 3" xfId="10132"/>
    <cellStyle name="Currency 3 6 2 3" xfId="4741"/>
    <cellStyle name="Currency 3 6 2 3 2" xfId="4742"/>
    <cellStyle name="Currency 3 6 2 3 3" xfId="10133"/>
    <cellStyle name="Currency 3 6 2 4" xfId="4743"/>
    <cellStyle name="Currency 3 6 2 5" xfId="10134"/>
    <cellStyle name="Currency 3 6 3" xfId="1730"/>
    <cellStyle name="Currency 3 6 3 2" xfId="4744"/>
    <cellStyle name="Currency 3 6 3 3" xfId="10135"/>
    <cellStyle name="Currency 3 6 4" xfId="4745"/>
    <cellStyle name="Currency 3 6 4 2" xfId="4746"/>
    <cellStyle name="Currency 3 6 4 3" xfId="10136"/>
    <cellStyle name="Currency 3 6 5" xfId="4747"/>
    <cellStyle name="Currency 3 6 6" xfId="10137"/>
    <cellStyle name="Currency 3 7" xfId="1731"/>
    <cellStyle name="Currency 3 7 2" xfId="4748"/>
    <cellStyle name="Currency 3 7 2 2" xfId="4749"/>
    <cellStyle name="Currency 3 7 2 3" xfId="10138"/>
    <cellStyle name="Currency 3 7 3" xfId="4750"/>
    <cellStyle name="Currency 3 7 3 2" xfId="4751"/>
    <cellStyle name="Currency 3 7 3 3" xfId="10139"/>
    <cellStyle name="Currency 3 7 4" xfId="4752"/>
    <cellStyle name="Currency 3 7 5" xfId="10140"/>
    <cellStyle name="Currency 3 8" xfId="1732"/>
    <cellStyle name="Currency 3 8 2" xfId="4753"/>
    <cellStyle name="Currency 3 8 3" xfId="10141"/>
    <cellStyle name="Currency 3 9" xfId="1733"/>
    <cellStyle name="Currency 3 9 2" xfId="4754"/>
    <cellStyle name="Currency 3 9 3" xfId="10142"/>
    <cellStyle name="Currency 3_31000" xfId="372"/>
    <cellStyle name="Currency 4" xfId="100"/>
    <cellStyle name="Currency 4 10" xfId="4755"/>
    <cellStyle name="Currency 4 11" xfId="10143"/>
    <cellStyle name="Currency 4 2" xfId="374"/>
    <cellStyle name="Currency 4 2 2" xfId="375"/>
    <cellStyle name="Currency 4 2 2 2" xfId="884"/>
    <cellStyle name="Currency 4 2 2 2 2" xfId="1734"/>
    <cellStyle name="Currency 4 2 2 2 2 2" xfId="4756"/>
    <cellStyle name="Currency 4 2 2 2 2 2 2" xfId="4757"/>
    <cellStyle name="Currency 4 2 2 2 2 2 2 2" xfId="4758"/>
    <cellStyle name="Currency 4 2 2 2 2 2 2 3" xfId="10144"/>
    <cellStyle name="Currency 4 2 2 2 2 2 3" xfId="4759"/>
    <cellStyle name="Currency 4 2 2 2 2 2 3 2" xfId="4760"/>
    <cellStyle name="Currency 4 2 2 2 2 2 3 3" xfId="10145"/>
    <cellStyle name="Currency 4 2 2 2 2 2 4" xfId="4761"/>
    <cellStyle name="Currency 4 2 2 2 2 2 5" xfId="10146"/>
    <cellStyle name="Currency 4 2 2 2 2 3" xfId="4762"/>
    <cellStyle name="Currency 4 2 2 2 2 3 2" xfId="4763"/>
    <cellStyle name="Currency 4 2 2 2 2 3 3" xfId="10147"/>
    <cellStyle name="Currency 4 2 2 2 2 4" xfId="4764"/>
    <cellStyle name="Currency 4 2 2 2 2 4 2" xfId="4765"/>
    <cellStyle name="Currency 4 2 2 2 2 4 3" xfId="10148"/>
    <cellStyle name="Currency 4 2 2 2 2 5" xfId="4766"/>
    <cellStyle name="Currency 4 2 2 2 2 6" xfId="10149"/>
    <cellStyle name="Currency 4 2 2 2 3" xfId="4767"/>
    <cellStyle name="Currency 4 2 2 2 3 2" xfId="4768"/>
    <cellStyle name="Currency 4 2 2 2 3 2 2" xfId="4769"/>
    <cellStyle name="Currency 4 2 2 2 3 2 3" xfId="10150"/>
    <cellStyle name="Currency 4 2 2 2 3 3" xfId="4770"/>
    <cellStyle name="Currency 4 2 2 2 3 3 2" xfId="4771"/>
    <cellStyle name="Currency 4 2 2 2 3 3 3" xfId="10151"/>
    <cellStyle name="Currency 4 2 2 2 3 4" xfId="4772"/>
    <cellStyle name="Currency 4 2 2 2 3 5" xfId="10152"/>
    <cellStyle name="Currency 4 2 2 2 4" xfId="4773"/>
    <cellStyle name="Currency 4 2 2 2 4 2" xfId="4774"/>
    <cellStyle name="Currency 4 2 2 2 4 3" xfId="10153"/>
    <cellStyle name="Currency 4 2 2 2 5" xfId="4775"/>
    <cellStyle name="Currency 4 2 2 2 5 2" xfId="4776"/>
    <cellStyle name="Currency 4 2 2 2 5 3" xfId="10154"/>
    <cellStyle name="Currency 4 2 2 2 6" xfId="4777"/>
    <cellStyle name="Currency 4 2 2 2 7" xfId="10155"/>
    <cellStyle name="Currency 4 2 2 3" xfId="885"/>
    <cellStyle name="Currency 4 2 2 3 2" xfId="4778"/>
    <cellStyle name="Currency 4 2 2 3 2 2" xfId="4779"/>
    <cellStyle name="Currency 4 2 2 3 2 2 2" xfId="4780"/>
    <cellStyle name="Currency 4 2 2 3 2 2 3" xfId="10156"/>
    <cellStyle name="Currency 4 2 2 3 2 3" xfId="4781"/>
    <cellStyle name="Currency 4 2 2 3 2 3 2" xfId="4782"/>
    <cellStyle name="Currency 4 2 2 3 2 3 3" xfId="10157"/>
    <cellStyle name="Currency 4 2 2 3 2 4" xfId="4783"/>
    <cellStyle name="Currency 4 2 2 3 2 5" xfId="10158"/>
    <cellStyle name="Currency 4 2 2 3 3" xfId="4784"/>
    <cellStyle name="Currency 4 2 2 3 3 2" xfId="4785"/>
    <cellStyle name="Currency 4 2 2 3 3 3" xfId="10159"/>
    <cellStyle name="Currency 4 2 2 3 4" xfId="4786"/>
    <cellStyle name="Currency 4 2 2 3 4 2" xfId="4787"/>
    <cellStyle name="Currency 4 2 2 3 4 3" xfId="10160"/>
    <cellStyle name="Currency 4 2 2 3 5" xfId="4788"/>
    <cellStyle name="Currency 4 2 2 3 6" xfId="10161"/>
    <cellStyle name="Currency 4 2 2 4" xfId="4789"/>
    <cellStyle name="Currency 4 2 2 4 2" xfId="4790"/>
    <cellStyle name="Currency 4 2 2 4 2 2" xfId="4791"/>
    <cellStyle name="Currency 4 2 2 4 2 3" xfId="10162"/>
    <cellStyle name="Currency 4 2 2 4 3" xfId="4792"/>
    <cellStyle name="Currency 4 2 2 4 3 2" xfId="4793"/>
    <cellStyle name="Currency 4 2 2 4 3 3" xfId="10163"/>
    <cellStyle name="Currency 4 2 2 4 4" xfId="4794"/>
    <cellStyle name="Currency 4 2 2 4 5" xfId="10164"/>
    <cellStyle name="Currency 4 2 2 5" xfId="4795"/>
    <cellStyle name="Currency 4 2 2 5 2" xfId="4796"/>
    <cellStyle name="Currency 4 2 2 5 3" xfId="10165"/>
    <cellStyle name="Currency 4 2 2 6" xfId="4797"/>
    <cellStyle name="Currency 4 2 2 6 2" xfId="4798"/>
    <cellStyle name="Currency 4 2 2 6 3" xfId="10166"/>
    <cellStyle name="Currency 4 2 2 7" xfId="4799"/>
    <cellStyle name="Currency 4 2 2 8" xfId="10167"/>
    <cellStyle name="Currency 4 2 3" xfId="886"/>
    <cellStyle name="Currency 4 2 3 2" xfId="1735"/>
    <cellStyle name="Currency 4 2 3 2 2" xfId="4800"/>
    <cellStyle name="Currency 4 2 3 2 2 2" xfId="4801"/>
    <cellStyle name="Currency 4 2 3 2 2 2 2" xfId="4802"/>
    <cellStyle name="Currency 4 2 3 2 2 2 3" xfId="10168"/>
    <cellStyle name="Currency 4 2 3 2 2 3" xfId="4803"/>
    <cellStyle name="Currency 4 2 3 2 2 3 2" xfId="4804"/>
    <cellStyle name="Currency 4 2 3 2 2 3 3" xfId="10169"/>
    <cellStyle name="Currency 4 2 3 2 2 4" xfId="4805"/>
    <cellStyle name="Currency 4 2 3 2 2 5" xfId="10170"/>
    <cellStyle name="Currency 4 2 3 2 3" xfId="4806"/>
    <cellStyle name="Currency 4 2 3 2 3 2" xfId="4807"/>
    <cellStyle name="Currency 4 2 3 2 3 3" xfId="10171"/>
    <cellStyle name="Currency 4 2 3 2 4" xfId="4808"/>
    <cellStyle name="Currency 4 2 3 2 4 2" xfId="4809"/>
    <cellStyle name="Currency 4 2 3 2 4 3" xfId="10172"/>
    <cellStyle name="Currency 4 2 3 2 5" xfId="4810"/>
    <cellStyle name="Currency 4 2 3 2 6" xfId="10173"/>
    <cellStyle name="Currency 4 2 3 3" xfId="4811"/>
    <cellStyle name="Currency 4 2 3 3 2" xfId="4812"/>
    <cellStyle name="Currency 4 2 3 3 2 2" xfId="4813"/>
    <cellStyle name="Currency 4 2 3 3 2 3" xfId="10174"/>
    <cellStyle name="Currency 4 2 3 3 3" xfId="4814"/>
    <cellStyle name="Currency 4 2 3 3 3 2" xfId="4815"/>
    <cellStyle name="Currency 4 2 3 3 3 3" xfId="10175"/>
    <cellStyle name="Currency 4 2 3 3 4" xfId="4816"/>
    <cellStyle name="Currency 4 2 3 3 5" xfId="10176"/>
    <cellStyle name="Currency 4 2 3 4" xfId="4817"/>
    <cellStyle name="Currency 4 2 3 4 2" xfId="4818"/>
    <cellStyle name="Currency 4 2 3 4 3" xfId="10177"/>
    <cellStyle name="Currency 4 2 3 5" xfId="4819"/>
    <cellStyle name="Currency 4 2 3 5 2" xfId="4820"/>
    <cellStyle name="Currency 4 2 3 5 3" xfId="10178"/>
    <cellStyle name="Currency 4 2 3 6" xfId="4821"/>
    <cellStyle name="Currency 4 2 3 7" xfId="10179"/>
    <cellStyle name="Currency 4 2 4" xfId="1736"/>
    <cellStyle name="Currency 4 2 4 2" xfId="4822"/>
    <cellStyle name="Currency 4 2 4 2 2" xfId="4823"/>
    <cellStyle name="Currency 4 2 4 2 2 2" xfId="4824"/>
    <cellStyle name="Currency 4 2 4 2 2 3" xfId="10180"/>
    <cellStyle name="Currency 4 2 4 2 3" xfId="4825"/>
    <cellStyle name="Currency 4 2 4 2 3 2" xfId="4826"/>
    <cellStyle name="Currency 4 2 4 2 3 3" xfId="10181"/>
    <cellStyle name="Currency 4 2 4 2 4" xfId="4827"/>
    <cellStyle name="Currency 4 2 4 2 5" xfId="10182"/>
    <cellStyle name="Currency 4 2 4 3" xfId="4828"/>
    <cellStyle name="Currency 4 2 4 3 2" xfId="4829"/>
    <cellStyle name="Currency 4 2 4 3 3" xfId="10183"/>
    <cellStyle name="Currency 4 2 4 4" xfId="4830"/>
    <cellStyle name="Currency 4 2 4 4 2" xfId="4831"/>
    <cellStyle name="Currency 4 2 4 4 3" xfId="10184"/>
    <cellStyle name="Currency 4 2 4 5" xfId="4832"/>
    <cellStyle name="Currency 4 2 4 6" xfId="10185"/>
    <cellStyle name="Currency 4 2 5" xfId="4833"/>
    <cellStyle name="Currency 4 2 5 2" xfId="4834"/>
    <cellStyle name="Currency 4 2 5 2 2" xfId="4835"/>
    <cellStyle name="Currency 4 2 5 2 3" xfId="10186"/>
    <cellStyle name="Currency 4 2 5 3" xfId="4836"/>
    <cellStyle name="Currency 4 2 5 3 2" xfId="4837"/>
    <cellStyle name="Currency 4 2 5 3 3" xfId="10187"/>
    <cellStyle name="Currency 4 2 5 4" xfId="4838"/>
    <cellStyle name="Currency 4 2 5 5" xfId="10188"/>
    <cellStyle name="Currency 4 2 6" xfId="4839"/>
    <cellStyle name="Currency 4 2 6 2" xfId="4840"/>
    <cellStyle name="Currency 4 2 6 3" xfId="10189"/>
    <cellStyle name="Currency 4 2 7" xfId="4841"/>
    <cellStyle name="Currency 4 2 7 2" xfId="4842"/>
    <cellStyle name="Currency 4 2 7 3" xfId="10190"/>
    <cellStyle name="Currency 4 2 8" xfId="4843"/>
    <cellStyle name="Currency 4 2 9" xfId="10191"/>
    <cellStyle name="Currency 4 3" xfId="376"/>
    <cellStyle name="Currency 4 3 2" xfId="377"/>
    <cellStyle name="Currency 4 3 2 2" xfId="1738"/>
    <cellStyle name="Currency 4 3 2 2 2" xfId="4844"/>
    <cellStyle name="Currency 4 3 2 2 2 2" xfId="4845"/>
    <cellStyle name="Currency 4 3 2 2 2 2 2" xfId="4846"/>
    <cellStyle name="Currency 4 3 2 2 2 2 3" xfId="10192"/>
    <cellStyle name="Currency 4 3 2 2 2 3" xfId="4847"/>
    <cellStyle name="Currency 4 3 2 2 2 3 2" xfId="4848"/>
    <cellStyle name="Currency 4 3 2 2 2 3 3" xfId="10193"/>
    <cellStyle name="Currency 4 3 2 2 2 4" xfId="4849"/>
    <cellStyle name="Currency 4 3 2 2 2 5" xfId="10194"/>
    <cellStyle name="Currency 4 3 2 2 3" xfId="4850"/>
    <cellStyle name="Currency 4 3 2 2 3 2" xfId="4851"/>
    <cellStyle name="Currency 4 3 2 2 3 3" xfId="10195"/>
    <cellStyle name="Currency 4 3 2 2 4" xfId="4852"/>
    <cellStyle name="Currency 4 3 2 2 4 2" xfId="4853"/>
    <cellStyle name="Currency 4 3 2 2 4 3" xfId="10196"/>
    <cellStyle name="Currency 4 3 2 2 5" xfId="4854"/>
    <cellStyle name="Currency 4 3 2 2 6" xfId="10197"/>
    <cellStyle name="Currency 4 3 2 3" xfId="1737"/>
    <cellStyle name="Currency 4 3 2 3 2" xfId="4855"/>
    <cellStyle name="Currency 4 3 2 3 2 2" xfId="4856"/>
    <cellStyle name="Currency 4 3 2 3 2 3" xfId="10198"/>
    <cellStyle name="Currency 4 3 2 3 3" xfId="4857"/>
    <cellStyle name="Currency 4 3 2 3 3 2" xfId="4858"/>
    <cellStyle name="Currency 4 3 2 3 3 3" xfId="10199"/>
    <cellStyle name="Currency 4 3 2 3 4" xfId="4859"/>
    <cellStyle name="Currency 4 3 2 3 5" xfId="10200"/>
    <cellStyle name="Currency 4 3 2 4" xfId="4860"/>
    <cellStyle name="Currency 4 3 2 4 2" xfId="4861"/>
    <cellStyle name="Currency 4 3 2 4 3" xfId="10201"/>
    <cellStyle name="Currency 4 3 2 5" xfId="4862"/>
    <cellStyle name="Currency 4 3 2 5 2" xfId="4863"/>
    <cellStyle name="Currency 4 3 2 5 3" xfId="10202"/>
    <cellStyle name="Currency 4 3 2 6" xfId="4864"/>
    <cellStyle name="Currency 4 3 2 7" xfId="10203"/>
    <cellStyle name="Currency 4 3 3" xfId="1739"/>
    <cellStyle name="Currency 4 3 3 2" xfId="4865"/>
    <cellStyle name="Currency 4 3 3 2 2" xfId="4866"/>
    <cellStyle name="Currency 4 3 3 2 2 2" xfId="4867"/>
    <cellStyle name="Currency 4 3 3 2 2 3" xfId="10204"/>
    <cellStyle name="Currency 4 3 3 2 3" xfId="4868"/>
    <cellStyle name="Currency 4 3 3 2 3 2" xfId="4869"/>
    <cellStyle name="Currency 4 3 3 2 3 3" xfId="10205"/>
    <cellStyle name="Currency 4 3 3 2 4" xfId="4870"/>
    <cellStyle name="Currency 4 3 3 2 5" xfId="10206"/>
    <cellStyle name="Currency 4 3 3 3" xfId="4871"/>
    <cellStyle name="Currency 4 3 3 3 2" xfId="4872"/>
    <cellStyle name="Currency 4 3 3 3 3" xfId="10207"/>
    <cellStyle name="Currency 4 3 3 4" xfId="4873"/>
    <cellStyle name="Currency 4 3 3 4 2" xfId="4874"/>
    <cellStyle name="Currency 4 3 3 4 3" xfId="10208"/>
    <cellStyle name="Currency 4 3 3 5" xfId="4875"/>
    <cellStyle name="Currency 4 3 3 6" xfId="10209"/>
    <cellStyle name="Currency 4 3 4" xfId="1740"/>
    <cellStyle name="Currency 4 3 4 2" xfId="4876"/>
    <cellStyle name="Currency 4 3 4 2 2" xfId="4877"/>
    <cellStyle name="Currency 4 3 4 2 3" xfId="10210"/>
    <cellStyle name="Currency 4 3 4 3" xfId="4878"/>
    <cellStyle name="Currency 4 3 4 3 2" xfId="4879"/>
    <cellStyle name="Currency 4 3 4 3 3" xfId="10211"/>
    <cellStyle name="Currency 4 3 4 4" xfId="4880"/>
    <cellStyle name="Currency 4 3 4 5" xfId="10212"/>
    <cellStyle name="Currency 4 3 5" xfId="1381"/>
    <cellStyle name="Currency 4 3 5 2" xfId="4882"/>
    <cellStyle name="Currency 4 3 5 3" xfId="10213"/>
    <cellStyle name="Currency 4 3 5 4" xfId="4881"/>
    <cellStyle name="Currency 4 3 6" xfId="4883"/>
    <cellStyle name="Currency 4 3 6 2" xfId="4884"/>
    <cellStyle name="Currency 4 3 6 3" xfId="10214"/>
    <cellStyle name="Currency 4 3 7" xfId="4885"/>
    <cellStyle name="Currency 4 3 8" xfId="10215"/>
    <cellStyle name="Currency 4 4" xfId="378"/>
    <cellStyle name="Currency 4 4 2" xfId="887"/>
    <cellStyle name="Currency 4 4 2 2" xfId="3294"/>
    <cellStyle name="Currency 4 4 2 2 2" xfId="4886"/>
    <cellStyle name="Currency 4 4 2 2 2 2" xfId="4887"/>
    <cellStyle name="Currency 4 4 2 2 2 2 2" xfId="4888"/>
    <cellStyle name="Currency 4 4 2 2 2 2 3" xfId="10216"/>
    <cellStyle name="Currency 4 4 2 2 2 3" xfId="4889"/>
    <cellStyle name="Currency 4 4 2 2 2 3 2" xfId="4890"/>
    <cellStyle name="Currency 4 4 2 2 2 3 3" xfId="10217"/>
    <cellStyle name="Currency 4 4 2 2 2 4" xfId="4891"/>
    <cellStyle name="Currency 4 4 2 2 2 5" xfId="10218"/>
    <cellStyle name="Currency 4 4 2 2 3" xfId="4892"/>
    <cellStyle name="Currency 4 4 2 2 3 2" xfId="4893"/>
    <cellStyle name="Currency 4 4 2 2 3 3" xfId="10219"/>
    <cellStyle name="Currency 4 4 2 2 4" xfId="4894"/>
    <cellStyle name="Currency 4 4 2 2 4 2" xfId="4895"/>
    <cellStyle name="Currency 4 4 2 2 4 3" xfId="10220"/>
    <cellStyle name="Currency 4 4 2 2 5" xfId="4896"/>
    <cellStyle name="Currency 4 4 2 2 6" xfId="10221"/>
    <cellStyle name="Currency 4 4 2 3" xfId="4897"/>
    <cellStyle name="Currency 4 4 2 3 2" xfId="4898"/>
    <cellStyle name="Currency 4 4 2 3 2 2" xfId="4899"/>
    <cellStyle name="Currency 4 4 2 3 2 3" xfId="10222"/>
    <cellStyle name="Currency 4 4 2 3 3" xfId="4900"/>
    <cellStyle name="Currency 4 4 2 3 3 2" xfId="4901"/>
    <cellStyle name="Currency 4 4 2 3 3 3" xfId="10223"/>
    <cellStyle name="Currency 4 4 2 3 4" xfId="4902"/>
    <cellStyle name="Currency 4 4 2 3 5" xfId="10224"/>
    <cellStyle name="Currency 4 4 2 4" xfId="4903"/>
    <cellStyle name="Currency 4 4 2 4 2" xfId="4904"/>
    <cellStyle name="Currency 4 4 2 4 3" xfId="10225"/>
    <cellStyle name="Currency 4 4 2 5" xfId="4905"/>
    <cellStyle name="Currency 4 4 2 5 2" xfId="4906"/>
    <cellStyle name="Currency 4 4 2 5 3" xfId="10226"/>
    <cellStyle name="Currency 4 4 2 6" xfId="4907"/>
    <cellStyle name="Currency 4 4 2 7" xfId="10227"/>
    <cellStyle name="Currency 4 4 3" xfId="3295"/>
    <cellStyle name="Currency 4 4 3 2" xfId="4908"/>
    <cellStyle name="Currency 4 4 3 2 2" xfId="4909"/>
    <cellStyle name="Currency 4 4 3 2 2 2" xfId="4910"/>
    <cellStyle name="Currency 4 4 3 2 2 3" xfId="10228"/>
    <cellStyle name="Currency 4 4 3 2 3" xfId="4911"/>
    <cellStyle name="Currency 4 4 3 2 3 2" xfId="4912"/>
    <cellStyle name="Currency 4 4 3 2 3 3" xfId="10229"/>
    <cellStyle name="Currency 4 4 3 2 4" xfId="4913"/>
    <cellStyle name="Currency 4 4 3 2 5" xfId="10230"/>
    <cellStyle name="Currency 4 4 3 3" xfId="4914"/>
    <cellStyle name="Currency 4 4 3 3 2" xfId="4915"/>
    <cellStyle name="Currency 4 4 3 3 3" xfId="10231"/>
    <cellStyle name="Currency 4 4 3 4" xfId="4916"/>
    <cellStyle name="Currency 4 4 3 4 2" xfId="4917"/>
    <cellStyle name="Currency 4 4 3 4 3" xfId="10232"/>
    <cellStyle name="Currency 4 4 3 5" xfId="4918"/>
    <cellStyle name="Currency 4 4 3 6" xfId="10233"/>
    <cellStyle name="Currency 4 4 4" xfId="4919"/>
    <cellStyle name="Currency 4 4 4 2" xfId="4920"/>
    <cellStyle name="Currency 4 4 4 2 2" xfId="4921"/>
    <cellStyle name="Currency 4 4 4 2 3" xfId="10234"/>
    <cellStyle name="Currency 4 4 4 3" xfId="4922"/>
    <cellStyle name="Currency 4 4 4 3 2" xfId="4923"/>
    <cellStyle name="Currency 4 4 4 3 3" xfId="10235"/>
    <cellStyle name="Currency 4 4 4 4" xfId="4924"/>
    <cellStyle name="Currency 4 4 4 5" xfId="10236"/>
    <cellStyle name="Currency 4 4 5" xfId="4925"/>
    <cellStyle name="Currency 4 4 5 2" xfId="4926"/>
    <cellStyle name="Currency 4 4 5 3" xfId="10237"/>
    <cellStyle name="Currency 4 4 6" xfId="4927"/>
    <cellStyle name="Currency 4 4 6 2" xfId="4928"/>
    <cellStyle name="Currency 4 4 6 3" xfId="10238"/>
    <cellStyle name="Currency 4 4 7" xfId="4929"/>
    <cellStyle name="Currency 4 4 8" xfId="10239"/>
    <cellStyle name="Currency 4 5" xfId="373"/>
    <cellStyle name="Currency 4 5 2" xfId="1741"/>
    <cellStyle name="Currency 4 5 2 2" xfId="4930"/>
    <cellStyle name="Currency 4 5 2 2 2" xfId="4931"/>
    <cellStyle name="Currency 4 5 2 2 2 2" xfId="4932"/>
    <cellStyle name="Currency 4 5 2 2 2 3" xfId="10240"/>
    <cellStyle name="Currency 4 5 2 2 3" xfId="4933"/>
    <cellStyle name="Currency 4 5 2 2 3 2" xfId="4934"/>
    <cellStyle name="Currency 4 5 2 2 3 3" xfId="10241"/>
    <cellStyle name="Currency 4 5 2 2 4" xfId="4935"/>
    <cellStyle name="Currency 4 5 2 2 5" xfId="10242"/>
    <cellStyle name="Currency 4 5 2 3" xfId="4936"/>
    <cellStyle name="Currency 4 5 2 3 2" xfId="4937"/>
    <cellStyle name="Currency 4 5 2 3 3" xfId="10243"/>
    <cellStyle name="Currency 4 5 2 4" xfId="4938"/>
    <cellStyle name="Currency 4 5 2 4 2" xfId="4939"/>
    <cellStyle name="Currency 4 5 2 4 3" xfId="10244"/>
    <cellStyle name="Currency 4 5 2 5" xfId="4940"/>
    <cellStyle name="Currency 4 5 2 6" xfId="10245"/>
    <cellStyle name="Currency 4 5 3" xfId="4941"/>
    <cellStyle name="Currency 4 5 3 2" xfId="4942"/>
    <cellStyle name="Currency 4 5 3 2 2" xfId="4943"/>
    <cellStyle name="Currency 4 5 3 2 3" xfId="10246"/>
    <cellStyle name="Currency 4 5 3 3" xfId="4944"/>
    <cellStyle name="Currency 4 5 3 3 2" xfId="4945"/>
    <cellStyle name="Currency 4 5 3 3 3" xfId="10247"/>
    <cellStyle name="Currency 4 5 3 4" xfId="4946"/>
    <cellStyle name="Currency 4 5 3 5" xfId="10248"/>
    <cellStyle name="Currency 4 5 4" xfId="4947"/>
    <cellStyle name="Currency 4 5 4 2" xfId="4948"/>
    <cellStyle name="Currency 4 5 4 3" xfId="10249"/>
    <cellStyle name="Currency 4 5 5" xfId="4949"/>
    <cellStyle name="Currency 4 5 5 2" xfId="4950"/>
    <cellStyle name="Currency 4 5 5 3" xfId="10250"/>
    <cellStyle name="Currency 4 5 6" xfId="4951"/>
    <cellStyle name="Currency 4 5 7" xfId="10251"/>
    <cellStyle name="Currency 4 6" xfId="1742"/>
    <cellStyle name="Currency 4 6 2" xfId="4952"/>
    <cellStyle name="Currency 4 6 2 2" xfId="4953"/>
    <cellStyle name="Currency 4 6 2 2 2" xfId="4954"/>
    <cellStyle name="Currency 4 6 2 2 3" xfId="10252"/>
    <cellStyle name="Currency 4 6 2 3" xfId="4955"/>
    <cellStyle name="Currency 4 6 2 3 2" xfId="4956"/>
    <cellStyle name="Currency 4 6 2 3 3" xfId="10253"/>
    <cellStyle name="Currency 4 6 2 4" xfId="4957"/>
    <cellStyle name="Currency 4 6 2 5" xfId="10254"/>
    <cellStyle name="Currency 4 6 3" xfId="4958"/>
    <cellStyle name="Currency 4 6 3 2" xfId="4959"/>
    <cellStyle name="Currency 4 6 3 3" xfId="10255"/>
    <cellStyle name="Currency 4 6 4" xfId="4960"/>
    <cellStyle name="Currency 4 6 4 2" xfId="4961"/>
    <cellStyle name="Currency 4 6 4 3" xfId="10256"/>
    <cellStyle name="Currency 4 6 5" xfId="4962"/>
    <cellStyle name="Currency 4 6 6" xfId="10257"/>
    <cellStyle name="Currency 4 6 7" xfId="3004"/>
    <cellStyle name="Currency 4 7" xfId="1743"/>
    <cellStyle name="Currency 4 7 2" xfId="4963"/>
    <cellStyle name="Currency 4 7 2 2" xfId="4964"/>
    <cellStyle name="Currency 4 7 2 3" xfId="10258"/>
    <cellStyle name="Currency 4 7 3" xfId="4965"/>
    <cellStyle name="Currency 4 7 3 2" xfId="4966"/>
    <cellStyle name="Currency 4 7 3 3" xfId="10259"/>
    <cellStyle name="Currency 4 7 4" xfId="4967"/>
    <cellStyle name="Currency 4 7 5" xfId="10260"/>
    <cellStyle name="Currency 4 8" xfId="1744"/>
    <cellStyle name="Currency 4 8 2" xfId="4968"/>
    <cellStyle name="Currency 4 8 3" xfId="10261"/>
    <cellStyle name="Currency 4 9" xfId="1380"/>
    <cellStyle name="Currency 4 9 2" xfId="4970"/>
    <cellStyle name="Currency 4 9 3" xfId="10262"/>
    <cellStyle name="Currency 4 9 4" xfId="4969"/>
    <cellStyle name="Currency 5" xfId="101"/>
    <cellStyle name="Currency 5 10" xfId="10263"/>
    <cellStyle name="Currency 5 2" xfId="380"/>
    <cellStyle name="Currency 5 2 2" xfId="888"/>
    <cellStyle name="Currency 5 2 2 2" xfId="1745"/>
    <cellStyle name="Currency 5 2 2 2 2" xfId="4971"/>
    <cellStyle name="Currency 5 2 2 2 2 2" xfId="4972"/>
    <cellStyle name="Currency 5 2 2 2 2 2 2" xfId="4973"/>
    <cellStyle name="Currency 5 2 2 2 2 2 3" xfId="10264"/>
    <cellStyle name="Currency 5 2 2 2 2 3" xfId="4974"/>
    <cellStyle name="Currency 5 2 2 2 2 3 2" xfId="4975"/>
    <cellStyle name="Currency 5 2 2 2 2 3 3" xfId="10265"/>
    <cellStyle name="Currency 5 2 2 2 2 4" xfId="4976"/>
    <cellStyle name="Currency 5 2 2 2 2 5" xfId="10266"/>
    <cellStyle name="Currency 5 2 2 2 3" xfId="4977"/>
    <cellStyle name="Currency 5 2 2 2 3 2" xfId="4978"/>
    <cellStyle name="Currency 5 2 2 2 3 3" xfId="10267"/>
    <cellStyle name="Currency 5 2 2 2 4" xfId="4979"/>
    <cellStyle name="Currency 5 2 2 2 4 2" xfId="4980"/>
    <cellStyle name="Currency 5 2 2 2 4 3" xfId="10268"/>
    <cellStyle name="Currency 5 2 2 2 5" xfId="4981"/>
    <cellStyle name="Currency 5 2 2 2 6" xfId="10269"/>
    <cellStyle name="Currency 5 2 2 3" xfId="4982"/>
    <cellStyle name="Currency 5 2 2 3 2" xfId="4983"/>
    <cellStyle name="Currency 5 2 2 3 2 2" xfId="4984"/>
    <cellStyle name="Currency 5 2 2 3 2 3" xfId="10270"/>
    <cellStyle name="Currency 5 2 2 3 3" xfId="4985"/>
    <cellStyle name="Currency 5 2 2 3 3 2" xfId="4986"/>
    <cellStyle name="Currency 5 2 2 3 3 3" xfId="10271"/>
    <cellStyle name="Currency 5 2 2 3 4" xfId="4987"/>
    <cellStyle name="Currency 5 2 2 3 5" xfId="10272"/>
    <cellStyle name="Currency 5 2 2 4" xfId="4988"/>
    <cellStyle name="Currency 5 2 2 4 2" xfId="4989"/>
    <cellStyle name="Currency 5 2 2 4 3" xfId="10273"/>
    <cellStyle name="Currency 5 2 2 5" xfId="4990"/>
    <cellStyle name="Currency 5 2 2 5 2" xfId="4991"/>
    <cellStyle name="Currency 5 2 2 5 3" xfId="10274"/>
    <cellStyle name="Currency 5 2 2 6" xfId="4992"/>
    <cellStyle name="Currency 5 2 2 7" xfId="10275"/>
    <cellStyle name="Currency 5 2 3" xfId="1746"/>
    <cellStyle name="Currency 5 2 3 2" xfId="4993"/>
    <cellStyle name="Currency 5 2 3 2 2" xfId="4994"/>
    <cellStyle name="Currency 5 2 3 2 2 2" xfId="4995"/>
    <cellStyle name="Currency 5 2 3 2 2 3" xfId="10276"/>
    <cellStyle name="Currency 5 2 3 2 3" xfId="4996"/>
    <cellStyle name="Currency 5 2 3 2 3 2" xfId="4997"/>
    <cellStyle name="Currency 5 2 3 2 3 3" xfId="10277"/>
    <cellStyle name="Currency 5 2 3 2 4" xfId="4998"/>
    <cellStyle name="Currency 5 2 3 2 5" xfId="10278"/>
    <cellStyle name="Currency 5 2 3 3" xfId="4999"/>
    <cellStyle name="Currency 5 2 3 3 2" xfId="5000"/>
    <cellStyle name="Currency 5 2 3 3 3" xfId="10279"/>
    <cellStyle name="Currency 5 2 3 4" xfId="5001"/>
    <cellStyle name="Currency 5 2 3 4 2" xfId="5002"/>
    <cellStyle name="Currency 5 2 3 4 3" xfId="10280"/>
    <cellStyle name="Currency 5 2 3 5" xfId="5003"/>
    <cellStyle name="Currency 5 2 3 6" xfId="10281"/>
    <cellStyle name="Currency 5 2 4" xfId="1382"/>
    <cellStyle name="Currency 5 2 4 2" xfId="5005"/>
    <cellStyle name="Currency 5 2 4 2 2" xfId="5006"/>
    <cellStyle name="Currency 5 2 4 2 3" xfId="10282"/>
    <cellStyle name="Currency 5 2 4 3" xfId="5007"/>
    <cellStyle name="Currency 5 2 4 3 2" xfId="5008"/>
    <cellStyle name="Currency 5 2 4 3 3" xfId="10283"/>
    <cellStyle name="Currency 5 2 4 4" xfId="5009"/>
    <cellStyle name="Currency 5 2 4 5" xfId="10284"/>
    <cellStyle name="Currency 5 2 4 6" xfId="5004"/>
    <cellStyle name="Currency 5 2 5" xfId="5010"/>
    <cellStyle name="Currency 5 2 5 2" xfId="5011"/>
    <cellStyle name="Currency 5 2 5 3" xfId="10285"/>
    <cellStyle name="Currency 5 2 6" xfId="5012"/>
    <cellStyle name="Currency 5 2 6 2" xfId="5013"/>
    <cellStyle name="Currency 5 2 6 3" xfId="10286"/>
    <cellStyle name="Currency 5 2 7" xfId="5014"/>
    <cellStyle name="Currency 5 2 8" xfId="10287"/>
    <cellStyle name="Currency 5 3" xfId="381"/>
    <cellStyle name="Currency 5 3 2" xfId="889"/>
    <cellStyle name="Currency 5 3 2 2" xfId="3296"/>
    <cellStyle name="Currency 5 3 2 2 2" xfId="5015"/>
    <cellStyle name="Currency 5 3 2 2 2 2" xfId="5016"/>
    <cellStyle name="Currency 5 3 2 2 2 2 2" xfId="5017"/>
    <cellStyle name="Currency 5 3 2 2 2 2 3" xfId="10288"/>
    <cellStyle name="Currency 5 3 2 2 2 3" xfId="5018"/>
    <cellStyle name="Currency 5 3 2 2 2 3 2" xfId="5019"/>
    <cellStyle name="Currency 5 3 2 2 2 3 3" xfId="10289"/>
    <cellStyle name="Currency 5 3 2 2 2 4" xfId="5020"/>
    <cellStyle name="Currency 5 3 2 2 2 5" xfId="10290"/>
    <cellStyle name="Currency 5 3 2 2 3" xfId="5021"/>
    <cellStyle name="Currency 5 3 2 2 3 2" xfId="5022"/>
    <cellStyle name="Currency 5 3 2 2 3 3" xfId="10291"/>
    <cellStyle name="Currency 5 3 2 2 4" xfId="5023"/>
    <cellStyle name="Currency 5 3 2 2 4 2" xfId="5024"/>
    <cellStyle name="Currency 5 3 2 2 4 3" xfId="10292"/>
    <cellStyle name="Currency 5 3 2 2 5" xfId="5025"/>
    <cellStyle name="Currency 5 3 2 2 6" xfId="10293"/>
    <cellStyle name="Currency 5 3 2 3" xfId="5026"/>
    <cellStyle name="Currency 5 3 2 3 2" xfId="5027"/>
    <cellStyle name="Currency 5 3 2 3 2 2" xfId="5028"/>
    <cellStyle name="Currency 5 3 2 3 2 3" xfId="10294"/>
    <cellStyle name="Currency 5 3 2 3 3" xfId="5029"/>
    <cellStyle name="Currency 5 3 2 3 3 2" xfId="5030"/>
    <cellStyle name="Currency 5 3 2 3 3 3" xfId="10295"/>
    <cellStyle name="Currency 5 3 2 3 4" xfId="5031"/>
    <cellStyle name="Currency 5 3 2 3 5" xfId="10296"/>
    <cellStyle name="Currency 5 3 2 4" xfId="5032"/>
    <cellStyle name="Currency 5 3 2 4 2" xfId="5033"/>
    <cellStyle name="Currency 5 3 2 4 3" xfId="10297"/>
    <cellStyle name="Currency 5 3 2 5" xfId="5034"/>
    <cellStyle name="Currency 5 3 2 5 2" xfId="5035"/>
    <cellStyle name="Currency 5 3 2 5 3" xfId="10298"/>
    <cellStyle name="Currency 5 3 2 6" xfId="5036"/>
    <cellStyle name="Currency 5 3 2 7" xfId="10299"/>
    <cellStyle name="Currency 5 3 3" xfId="1747"/>
    <cellStyle name="Currency 5 3 3 2" xfId="5037"/>
    <cellStyle name="Currency 5 3 3 2 2" xfId="5038"/>
    <cellStyle name="Currency 5 3 3 2 2 2" xfId="5039"/>
    <cellStyle name="Currency 5 3 3 2 2 3" xfId="10300"/>
    <cellStyle name="Currency 5 3 3 2 3" xfId="5040"/>
    <cellStyle name="Currency 5 3 3 2 3 2" xfId="5041"/>
    <cellStyle name="Currency 5 3 3 2 3 3" xfId="10301"/>
    <cellStyle name="Currency 5 3 3 2 4" xfId="5042"/>
    <cellStyle name="Currency 5 3 3 2 5" xfId="10302"/>
    <cellStyle name="Currency 5 3 3 3" xfId="5043"/>
    <cellStyle name="Currency 5 3 3 3 2" xfId="5044"/>
    <cellStyle name="Currency 5 3 3 3 3" xfId="10303"/>
    <cellStyle name="Currency 5 3 3 4" xfId="5045"/>
    <cellStyle name="Currency 5 3 3 4 2" xfId="5046"/>
    <cellStyle name="Currency 5 3 3 4 3" xfId="10304"/>
    <cellStyle name="Currency 5 3 3 5" xfId="5047"/>
    <cellStyle name="Currency 5 3 3 6" xfId="10305"/>
    <cellStyle name="Currency 5 3 4" xfId="1383"/>
    <cellStyle name="Currency 5 3 4 2" xfId="5049"/>
    <cellStyle name="Currency 5 3 4 2 2" xfId="5050"/>
    <cellStyle name="Currency 5 3 4 2 3" xfId="10306"/>
    <cellStyle name="Currency 5 3 4 3" xfId="5051"/>
    <cellStyle name="Currency 5 3 4 3 2" xfId="5052"/>
    <cellStyle name="Currency 5 3 4 3 3" xfId="10307"/>
    <cellStyle name="Currency 5 3 4 4" xfId="5053"/>
    <cellStyle name="Currency 5 3 4 5" xfId="10308"/>
    <cellStyle name="Currency 5 3 4 6" xfId="5048"/>
    <cellStyle name="Currency 5 3 5" xfId="5054"/>
    <cellStyle name="Currency 5 3 5 2" xfId="5055"/>
    <cellStyle name="Currency 5 3 5 3" xfId="10309"/>
    <cellStyle name="Currency 5 3 6" xfId="5056"/>
    <cellStyle name="Currency 5 3 6 2" xfId="5057"/>
    <cellStyle name="Currency 5 3 6 3" xfId="10310"/>
    <cellStyle name="Currency 5 3 7" xfId="5058"/>
    <cellStyle name="Currency 5 3 8" xfId="10311"/>
    <cellStyle name="Currency 5 4" xfId="382"/>
    <cellStyle name="Currency 5 4 2" xfId="1748"/>
    <cellStyle name="Currency 5 4 2 2" xfId="5059"/>
    <cellStyle name="Currency 5 4 2 2 2" xfId="5060"/>
    <cellStyle name="Currency 5 4 2 2 2 2" xfId="5061"/>
    <cellStyle name="Currency 5 4 2 2 2 3" xfId="10312"/>
    <cellStyle name="Currency 5 4 2 2 3" xfId="5062"/>
    <cellStyle name="Currency 5 4 2 2 3 2" xfId="5063"/>
    <cellStyle name="Currency 5 4 2 2 3 3" xfId="10313"/>
    <cellStyle name="Currency 5 4 2 2 4" xfId="5064"/>
    <cellStyle name="Currency 5 4 2 2 5" xfId="10314"/>
    <cellStyle name="Currency 5 4 2 3" xfId="5065"/>
    <cellStyle name="Currency 5 4 2 3 2" xfId="5066"/>
    <cellStyle name="Currency 5 4 2 3 3" xfId="10315"/>
    <cellStyle name="Currency 5 4 2 4" xfId="5067"/>
    <cellStyle name="Currency 5 4 2 4 2" xfId="5068"/>
    <cellStyle name="Currency 5 4 2 4 3" xfId="10316"/>
    <cellStyle name="Currency 5 4 2 5" xfId="5069"/>
    <cellStyle name="Currency 5 4 2 6" xfId="10317"/>
    <cellStyle name="Currency 5 4 3" xfId="5070"/>
    <cellStyle name="Currency 5 4 3 2" xfId="5071"/>
    <cellStyle name="Currency 5 4 3 2 2" xfId="5072"/>
    <cellStyle name="Currency 5 4 3 2 3" xfId="10318"/>
    <cellStyle name="Currency 5 4 3 3" xfId="5073"/>
    <cellStyle name="Currency 5 4 3 3 2" xfId="5074"/>
    <cellStyle name="Currency 5 4 3 3 3" xfId="10319"/>
    <cellStyle name="Currency 5 4 3 4" xfId="5075"/>
    <cellStyle name="Currency 5 4 3 5" xfId="10320"/>
    <cellStyle name="Currency 5 4 4" xfId="5076"/>
    <cellStyle name="Currency 5 4 4 2" xfId="5077"/>
    <cellStyle name="Currency 5 4 4 3" xfId="10321"/>
    <cellStyle name="Currency 5 4 5" xfId="5078"/>
    <cellStyle name="Currency 5 4 5 2" xfId="5079"/>
    <cellStyle name="Currency 5 4 5 3" xfId="10322"/>
    <cellStyle name="Currency 5 4 6" xfId="5080"/>
    <cellStyle name="Currency 5 4 7" xfId="10323"/>
    <cellStyle name="Currency 5 5" xfId="379"/>
    <cellStyle name="Currency 5 5 2" xfId="5081"/>
    <cellStyle name="Currency 5 5 2 2" xfId="5082"/>
    <cellStyle name="Currency 5 5 2 2 2" xfId="5083"/>
    <cellStyle name="Currency 5 5 2 2 3" xfId="10324"/>
    <cellStyle name="Currency 5 5 2 3" xfId="5084"/>
    <cellStyle name="Currency 5 5 2 3 2" xfId="5085"/>
    <cellStyle name="Currency 5 5 2 3 3" xfId="10325"/>
    <cellStyle name="Currency 5 5 2 4" xfId="5086"/>
    <cellStyle name="Currency 5 5 2 5" xfId="10326"/>
    <cellStyle name="Currency 5 5 3" xfId="5087"/>
    <cellStyle name="Currency 5 5 3 2" xfId="5088"/>
    <cellStyle name="Currency 5 5 3 3" xfId="10327"/>
    <cellStyle name="Currency 5 5 4" xfId="5089"/>
    <cellStyle name="Currency 5 5 4 2" xfId="5090"/>
    <cellStyle name="Currency 5 5 4 3" xfId="10328"/>
    <cellStyle name="Currency 5 5 5" xfId="5091"/>
    <cellStyle name="Currency 5 5 6" xfId="10329"/>
    <cellStyle name="Currency 5 5 7" xfId="3005"/>
    <cellStyle name="Currency 5 6" xfId="5092"/>
    <cellStyle name="Currency 5 6 2" xfId="5093"/>
    <cellStyle name="Currency 5 6 2 2" xfId="5094"/>
    <cellStyle name="Currency 5 6 2 3" xfId="10330"/>
    <cellStyle name="Currency 5 6 3" xfId="5095"/>
    <cellStyle name="Currency 5 6 3 2" xfId="5096"/>
    <cellStyle name="Currency 5 6 3 3" xfId="10331"/>
    <cellStyle name="Currency 5 6 4" xfId="5097"/>
    <cellStyle name="Currency 5 6 5" xfId="10332"/>
    <cellStyle name="Currency 5 7" xfId="5098"/>
    <cellStyle name="Currency 5 7 2" xfId="5099"/>
    <cellStyle name="Currency 5 7 3" xfId="10333"/>
    <cellStyle name="Currency 5 8" xfId="5100"/>
    <cellStyle name="Currency 5 8 2" xfId="5101"/>
    <cellStyle name="Currency 5 8 3" xfId="10334"/>
    <cellStyle name="Currency 5 9" xfId="5102"/>
    <cellStyle name="Currency 6" xfId="102"/>
    <cellStyle name="Currency 6 2" xfId="384"/>
    <cellStyle name="Currency 6 3" xfId="385"/>
    <cellStyle name="Currency 6 3 2" xfId="1749"/>
    <cellStyle name="Currency 6 4" xfId="383"/>
    <cellStyle name="Currency 6 4 2" xfId="1750"/>
    <cellStyle name="Currency 7" xfId="103"/>
    <cellStyle name="Currency 7 2" xfId="1751"/>
    <cellStyle name="Currency 8" xfId="386"/>
    <cellStyle name="Currency 8 2" xfId="890"/>
    <cellStyle name="Currency 8 2 2" xfId="891"/>
    <cellStyle name="Currency 8 2 2 2" xfId="1752"/>
    <cellStyle name="Currency 8 2 2 2 2" xfId="5103"/>
    <cellStyle name="Currency 8 2 2 2 2 2" xfId="5104"/>
    <cellStyle name="Currency 8 2 2 2 2 2 2" xfId="5105"/>
    <cellStyle name="Currency 8 2 2 2 2 2 3" xfId="10335"/>
    <cellStyle name="Currency 8 2 2 2 2 3" xfId="5106"/>
    <cellStyle name="Currency 8 2 2 2 2 3 2" xfId="5107"/>
    <cellStyle name="Currency 8 2 2 2 2 3 3" xfId="10336"/>
    <cellStyle name="Currency 8 2 2 2 2 4" xfId="5108"/>
    <cellStyle name="Currency 8 2 2 2 2 5" xfId="10337"/>
    <cellStyle name="Currency 8 2 2 2 3" xfId="5109"/>
    <cellStyle name="Currency 8 2 2 2 3 2" xfId="5110"/>
    <cellStyle name="Currency 8 2 2 2 3 3" xfId="10338"/>
    <cellStyle name="Currency 8 2 2 2 4" xfId="5111"/>
    <cellStyle name="Currency 8 2 2 2 4 2" xfId="5112"/>
    <cellStyle name="Currency 8 2 2 2 4 3" xfId="10339"/>
    <cellStyle name="Currency 8 2 2 2 5" xfId="5113"/>
    <cellStyle name="Currency 8 2 2 2 6" xfId="10340"/>
    <cellStyle name="Currency 8 2 2 3" xfId="5114"/>
    <cellStyle name="Currency 8 2 2 3 2" xfId="5115"/>
    <cellStyle name="Currency 8 2 2 3 2 2" xfId="5116"/>
    <cellStyle name="Currency 8 2 2 3 2 3" xfId="10341"/>
    <cellStyle name="Currency 8 2 2 3 3" xfId="5117"/>
    <cellStyle name="Currency 8 2 2 3 3 2" xfId="5118"/>
    <cellStyle name="Currency 8 2 2 3 3 3" xfId="10342"/>
    <cellStyle name="Currency 8 2 2 3 4" xfId="5119"/>
    <cellStyle name="Currency 8 2 2 3 5" xfId="10343"/>
    <cellStyle name="Currency 8 2 2 4" xfId="5120"/>
    <cellStyle name="Currency 8 2 2 4 2" xfId="5121"/>
    <cellStyle name="Currency 8 2 2 4 3" xfId="10344"/>
    <cellStyle name="Currency 8 2 2 5" xfId="5122"/>
    <cellStyle name="Currency 8 2 2 5 2" xfId="5123"/>
    <cellStyle name="Currency 8 2 2 5 3" xfId="10345"/>
    <cellStyle name="Currency 8 2 2 6" xfId="5124"/>
    <cellStyle name="Currency 8 2 2 7" xfId="10346"/>
    <cellStyle name="Currency 8 2 3" xfId="1753"/>
    <cellStyle name="Currency 8 2 3 2" xfId="5125"/>
    <cellStyle name="Currency 8 2 3 2 2" xfId="5126"/>
    <cellStyle name="Currency 8 2 3 2 2 2" xfId="5127"/>
    <cellStyle name="Currency 8 2 3 2 2 3" xfId="10347"/>
    <cellStyle name="Currency 8 2 3 2 3" xfId="5128"/>
    <cellStyle name="Currency 8 2 3 2 3 2" xfId="5129"/>
    <cellStyle name="Currency 8 2 3 2 3 3" xfId="10348"/>
    <cellStyle name="Currency 8 2 3 2 4" xfId="5130"/>
    <cellStyle name="Currency 8 2 3 2 5" xfId="10349"/>
    <cellStyle name="Currency 8 2 3 3" xfId="5131"/>
    <cellStyle name="Currency 8 2 3 3 2" xfId="5132"/>
    <cellStyle name="Currency 8 2 3 3 3" xfId="10350"/>
    <cellStyle name="Currency 8 2 3 4" xfId="5133"/>
    <cellStyle name="Currency 8 2 3 4 2" xfId="5134"/>
    <cellStyle name="Currency 8 2 3 4 3" xfId="10351"/>
    <cellStyle name="Currency 8 2 3 5" xfId="5135"/>
    <cellStyle name="Currency 8 2 3 6" xfId="10352"/>
    <cellStyle name="Currency 8 2 4" xfId="5136"/>
    <cellStyle name="Currency 8 2 4 2" xfId="5137"/>
    <cellStyle name="Currency 8 2 4 2 2" xfId="5138"/>
    <cellStyle name="Currency 8 2 4 2 3" xfId="10353"/>
    <cellStyle name="Currency 8 2 4 3" xfId="5139"/>
    <cellStyle name="Currency 8 2 4 3 2" xfId="5140"/>
    <cellStyle name="Currency 8 2 4 3 3" xfId="10354"/>
    <cellStyle name="Currency 8 2 4 4" xfId="5141"/>
    <cellStyle name="Currency 8 2 4 5" xfId="10355"/>
    <cellStyle name="Currency 8 2 5" xfId="5142"/>
    <cellStyle name="Currency 8 2 5 2" xfId="5143"/>
    <cellStyle name="Currency 8 2 5 3" xfId="10356"/>
    <cellStyle name="Currency 8 2 6" xfId="5144"/>
    <cellStyle name="Currency 8 2 6 2" xfId="5145"/>
    <cellStyle name="Currency 8 2 6 3" xfId="10357"/>
    <cellStyle name="Currency 8 2 7" xfId="5146"/>
    <cellStyle name="Currency 8 2 8" xfId="10358"/>
    <cellStyle name="Currency 8 3" xfId="892"/>
    <cellStyle name="Currency 8 3 2" xfId="1754"/>
    <cellStyle name="Currency 8 3 2 2" xfId="5147"/>
    <cellStyle name="Currency 8 3 2 2 2" xfId="5148"/>
    <cellStyle name="Currency 8 3 2 2 2 2" xfId="5149"/>
    <cellStyle name="Currency 8 3 2 2 2 3" xfId="10359"/>
    <cellStyle name="Currency 8 3 2 2 3" xfId="5150"/>
    <cellStyle name="Currency 8 3 2 2 3 2" xfId="5151"/>
    <cellStyle name="Currency 8 3 2 2 3 3" xfId="10360"/>
    <cellStyle name="Currency 8 3 2 2 4" xfId="5152"/>
    <cellStyle name="Currency 8 3 2 2 5" xfId="10361"/>
    <cellStyle name="Currency 8 3 2 3" xfId="5153"/>
    <cellStyle name="Currency 8 3 2 3 2" xfId="5154"/>
    <cellStyle name="Currency 8 3 2 3 3" xfId="10362"/>
    <cellStyle name="Currency 8 3 2 4" xfId="5155"/>
    <cellStyle name="Currency 8 3 2 4 2" xfId="5156"/>
    <cellStyle name="Currency 8 3 2 4 3" xfId="10363"/>
    <cellStyle name="Currency 8 3 2 5" xfId="5157"/>
    <cellStyle name="Currency 8 3 2 6" xfId="10364"/>
    <cellStyle name="Currency 8 3 3" xfId="1755"/>
    <cellStyle name="Currency 8 3 3 2" xfId="5158"/>
    <cellStyle name="Currency 8 3 3 2 2" xfId="5159"/>
    <cellStyle name="Currency 8 3 3 2 3" xfId="10365"/>
    <cellStyle name="Currency 8 3 3 3" xfId="5160"/>
    <cellStyle name="Currency 8 3 3 3 2" xfId="5161"/>
    <cellStyle name="Currency 8 3 3 3 3" xfId="10366"/>
    <cellStyle name="Currency 8 3 3 4" xfId="5162"/>
    <cellStyle name="Currency 8 3 3 5" xfId="10367"/>
    <cellStyle name="Currency 8 3 4" xfId="5163"/>
    <cellStyle name="Currency 8 3 4 2" xfId="5164"/>
    <cellStyle name="Currency 8 3 4 3" xfId="10368"/>
    <cellStyle name="Currency 8 3 5" xfId="5165"/>
    <cellStyle name="Currency 8 3 5 2" xfId="5166"/>
    <cellStyle name="Currency 8 3 5 3" xfId="10369"/>
    <cellStyle name="Currency 8 3 6" xfId="5167"/>
    <cellStyle name="Currency 8 3 7" xfId="10370"/>
    <cellStyle name="Currency 8 3 8" xfId="2909"/>
    <cellStyle name="Currency 8 4" xfId="893"/>
    <cellStyle name="Currency 8 4 2" xfId="1756"/>
    <cellStyle name="Currency 8 4 2 2" xfId="5169"/>
    <cellStyle name="Currency 8 4 2 2 2" xfId="5170"/>
    <cellStyle name="Currency 8 4 2 2 3" xfId="10371"/>
    <cellStyle name="Currency 8 4 2 3" xfId="5171"/>
    <cellStyle name="Currency 8 4 2 3 2" xfId="5172"/>
    <cellStyle name="Currency 8 4 2 3 3" xfId="10372"/>
    <cellStyle name="Currency 8 4 2 4" xfId="5173"/>
    <cellStyle name="Currency 8 4 2 5" xfId="10373"/>
    <cellStyle name="Currency 8 4 2 6" xfId="5168"/>
    <cellStyle name="Currency 8 4 3" xfId="5174"/>
    <cellStyle name="Currency 8 4 3 2" xfId="5175"/>
    <cellStyle name="Currency 8 4 3 3" xfId="10374"/>
    <cellStyle name="Currency 8 4 4" xfId="5176"/>
    <cellStyle name="Currency 8 4 4 2" xfId="5177"/>
    <cellStyle name="Currency 8 4 4 3" xfId="10375"/>
    <cellStyle name="Currency 8 4 5" xfId="5178"/>
    <cellStyle name="Currency 8 4 6" xfId="10376"/>
    <cellStyle name="Currency 8 5" xfId="3297"/>
    <cellStyle name="Currency 8 5 2" xfId="5179"/>
    <cellStyle name="Currency 8 5 2 2" xfId="5180"/>
    <cellStyle name="Currency 8 5 2 3" xfId="10377"/>
    <cellStyle name="Currency 8 5 3" xfId="5181"/>
    <cellStyle name="Currency 8 5 3 2" xfId="5182"/>
    <cellStyle name="Currency 8 5 3 3" xfId="10378"/>
    <cellStyle name="Currency 8 5 4" xfId="5183"/>
    <cellStyle name="Currency 8 5 5" xfId="10379"/>
    <cellStyle name="Currency 8 6" xfId="5184"/>
    <cellStyle name="Currency 8 6 2" xfId="5185"/>
    <cellStyle name="Currency 8 6 3" xfId="10380"/>
    <cellStyle name="Currency 8 7" xfId="5186"/>
    <cellStyle name="Currency 8 7 2" xfId="5187"/>
    <cellStyle name="Currency 8 7 3" xfId="10381"/>
    <cellStyle name="Currency 8 8" xfId="5188"/>
    <cellStyle name="Currency 8 9" xfId="10382"/>
    <cellStyle name="Currency 9" xfId="135"/>
    <cellStyle name="Currency 9 2" xfId="388"/>
    <cellStyle name="Currency 9 2 2" xfId="1758"/>
    <cellStyle name="Currency 9 2 2 2" xfId="5189"/>
    <cellStyle name="Currency 9 2 2 2 2" xfId="5190"/>
    <cellStyle name="Currency 9 2 2 2 2 2" xfId="5191"/>
    <cellStyle name="Currency 9 2 2 2 2 3" xfId="10383"/>
    <cellStyle name="Currency 9 2 2 2 3" xfId="5192"/>
    <cellStyle name="Currency 9 2 2 2 3 2" xfId="5193"/>
    <cellStyle name="Currency 9 2 2 2 3 3" xfId="10384"/>
    <cellStyle name="Currency 9 2 2 2 4" xfId="5194"/>
    <cellStyle name="Currency 9 2 2 2 5" xfId="10385"/>
    <cellStyle name="Currency 9 2 2 3" xfId="5195"/>
    <cellStyle name="Currency 9 2 2 3 2" xfId="5196"/>
    <cellStyle name="Currency 9 2 2 3 3" xfId="10386"/>
    <cellStyle name="Currency 9 2 2 4" xfId="5197"/>
    <cellStyle name="Currency 9 2 2 4 2" xfId="5198"/>
    <cellStyle name="Currency 9 2 2 4 3" xfId="10387"/>
    <cellStyle name="Currency 9 2 2 5" xfId="5199"/>
    <cellStyle name="Currency 9 2 2 6" xfId="10388"/>
    <cellStyle name="Currency 9 2 3" xfId="1757"/>
    <cellStyle name="Currency 9 2 3 2" xfId="5200"/>
    <cellStyle name="Currency 9 2 3 2 2" xfId="5201"/>
    <cellStyle name="Currency 9 2 3 2 3" xfId="10389"/>
    <cellStyle name="Currency 9 2 3 3" xfId="5202"/>
    <cellStyle name="Currency 9 2 3 3 2" xfId="5203"/>
    <cellStyle name="Currency 9 2 3 3 3" xfId="10390"/>
    <cellStyle name="Currency 9 2 3 4" xfId="5204"/>
    <cellStyle name="Currency 9 2 3 5" xfId="10391"/>
    <cellStyle name="Currency 9 2 4" xfId="5205"/>
    <cellStyle name="Currency 9 2 4 2" xfId="5206"/>
    <cellStyle name="Currency 9 2 4 3" xfId="10392"/>
    <cellStyle name="Currency 9 2 5" xfId="5207"/>
    <cellStyle name="Currency 9 2 5 2" xfId="5208"/>
    <cellStyle name="Currency 9 2 5 3" xfId="10393"/>
    <cellStyle name="Currency 9 2 6" xfId="5209"/>
    <cellStyle name="Currency 9 2 7" xfId="10394"/>
    <cellStyle name="Currency 9 3" xfId="387"/>
    <cellStyle name="Currency 9 3 2" xfId="1759"/>
    <cellStyle name="Currency 9 3 2 2" xfId="5211"/>
    <cellStyle name="Currency 9 3 2 2 2" xfId="5212"/>
    <cellStyle name="Currency 9 3 2 2 3" xfId="10395"/>
    <cellStyle name="Currency 9 3 2 3" xfId="5213"/>
    <cellStyle name="Currency 9 3 2 3 2" xfId="5214"/>
    <cellStyle name="Currency 9 3 2 3 3" xfId="10396"/>
    <cellStyle name="Currency 9 3 2 4" xfId="5215"/>
    <cellStyle name="Currency 9 3 2 5" xfId="10397"/>
    <cellStyle name="Currency 9 3 2 6" xfId="5210"/>
    <cellStyle name="Currency 9 3 3" xfId="5216"/>
    <cellStyle name="Currency 9 3 3 2" xfId="5217"/>
    <cellStyle name="Currency 9 3 3 3" xfId="10398"/>
    <cellStyle name="Currency 9 3 4" xfId="5218"/>
    <cellStyle name="Currency 9 3 4 2" xfId="5219"/>
    <cellStyle name="Currency 9 3 4 3" xfId="10399"/>
    <cellStyle name="Currency 9 3 5" xfId="5220"/>
    <cellStyle name="Currency 9 3 6" xfId="10400"/>
    <cellStyle name="Currency 9 4" xfId="5221"/>
    <cellStyle name="Currency 9 4 2" xfId="5222"/>
    <cellStyle name="Currency 9 4 2 2" xfId="5223"/>
    <cellStyle name="Currency 9 4 2 3" xfId="10401"/>
    <cellStyle name="Currency 9 4 3" xfId="5224"/>
    <cellStyle name="Currency 9 4 3 2" xfId="5225"/>
    <cellStyle name="Currency 9 4 3 3" xfId="10402"/>
    <cellStyle name="Currency 9 4 4" xfId="5226"/>
    <cellStyle name="Currency 9 4 5" xfId="10403"/>
    <cellStyle name="Currency 9 5" xfId="5227"/>
    <cellStyle name="Currency 9 5 2" xfId="5228"/>
    <cellStyle name="Currency 9 5 3" xfId="10404"/>
    <cellStyle name="Currency 9 6" xfId="5229"/>
    <cellStyle name="Currency 9 6 2" xfId="5230"/>
    <cellStyle name="Currency 9 6 3" xfId="10405"/>
    <cellStyle name="Currency 9 7" xfId="5231"/>
    <cellStyle name="Currency 9 8" xfId="10406"/>
    <cellStyle name="Currency0" xfId="894"/>
    <cellStyle name="Custom - Style1" xfId="1760"/>
    <cellStyle name="Custom - Style8" xfId="1761"/>
    <cellStyle name="Data   - Style2" xfId="1762"/>
    <cellStyle name="Data   - Style2 10" xfId="13303"/>
    <cellStyle name="Data   - Style2 10 2" xfId="14965"/>
    <cellStyle name="Data   - Style2 10 3" xfId="14966"/>
    <cellStyle name="Data   - Style2 10 4" xfId="18516"/>
    <cellStyle name="Data   - Style2 10 5" xfId="18517"/>
    <cellStyle name="Data   - Style2 10 6" xfId="18518"/>
    <cellStyle name="Data   - Style2 10 7" xfId="18519"/>
    <cellStyle name="Data   - Style2 11" xfId="3006"/>
    <cellStyle name="Data   - Style2 12" xfId="14967"/>
    <cellStyle name="Data   - Style2 2" xfId="3071"/>
    <cellStyle name="Data   - Style2 2 2" xfId="13304"/>
    <cellStyle name="Data   - Style2 2 2 2" xfId="13305"/>
    <cellStyle name="Data   - Style2 2 2 2 2" xfId="14968"/>
    <cellStyle name="Data   - Style2 2 2 2 3" xfId="14969"/>
    <cellStyle name="Data   - Style2 2 2 2 4" xfId="18520"/>
    <cellStyle name="Data   - Style2 2 2 2 5" xfId="18521"/>
    <cellStyle name="Data   - Style2 2 2 2 6" xfId="18522"/>
    <cellStyle name="Data   - Style2 2 2 2 7" xfId="18523"/>
    <cellStyle name="Data   - Style2 2 2 3" xfId="14970"/>
    <cellStyle name="Data   - Style2 2 2 4" xfId="14971"/>
    <cellStyle name="Data   - Style2 2 2 5" xfId="18524"/>
    <cellStyle name="Data   - Style2 2 2 6" xfId="18525"/>
    <cellStyle name="Data   - Style2 2 2 7" xfId="18526"/>
    <cellStyle name="Data   - Style2 2 2 8" xfId="18527"/>
    <cellStyle name="Data   - Style2 2 3" xfId="13306"/>
    <cellStyle name="Data   - Style2 2 3 2" xfId="13307"/>
    <cellStyle name="Data   - Style2 2 3 2 2" xfId="14972"/>
    <cellStyle name="Data   - Style2 2 3 2 3" xfId="14973"/>
    <cellStyle name="Data   - Style2 2 3 2 4" xfId="18528"/>
    <cellStyle name="Data   - Style2 2 3 2 5" xfId="18529"/>
    <cellStyle name="Data   - Style2 2 3 2 6" xfId="18530"/>
    <cellStyle name="Data   - Style2 2 3 2 7" xfId="18531"/>
    <cellStyle name="Data   - Style2 2 3 3" xfId="14974"/>
    <cellStyle name="Data   - Style2 2 3 4" xfId="14975"/>
    <cellStyle name="Data   - Style2 2 3 5" xfId="18532"/>
    <cellStyle name="Data   - Style2 2 3 6" xfId="18533"/>
    <cellStyle name="Data   - Style2 2 3 7" xfId="18534"/>
    <cellStyle name="Data   - Style2 2 3 8" xfId="18535"/>
    <cellStyle name="Data   - Style2 2 4" xfId="13308"/>
    <cellStyle name="Data   - Style2 2 4 2" xfId="13309"/>
    <cellStyle name="Data   - Style2 2 4 2 2" xfId="14976"/>
    <cellStyle name="Data   - Style2 2 4 2 3" xfId="14977"/>
    <cellStyle name="Data   - Style2 2 4 2 4" xfId="18536"/>
    <cellStyle name="Data   - Style2 2 4 2 5" xfId="18537"/>
    <cellStyle name="Data   - Style2 2 4 2 6" xfId="18538"/>
    <cellStyle name="Data   - Style2 2 4 2 7" xfId="18539"/>
    <cellStyle name="Data   - Style2 2 4 3" xfId="14978"/>
    <cellStyle name="Data   - Style2 2 4 4" xfId="14979"/>
    <cellStyle name="Data   - Style2 2 4 5" xfId="18540"/>
    <cellStyle name="Data   - Style2 2 4 6" xfId="18541"/>
    <cellStyle name="Data   - Style2 2 4 7" xfId="18542"/>
    <cellStyle name="Data   - Style2 2 4 8" xfId="18543"/>
    <cellStyle name="Data   - Style2 2 5" xfId="13310"/>
    <cellStyle name="Data   - Style2 2 5 2" xfId="13311"/>
    <cellStyle name="Data   - Style2 2 5 2 2" xfId="14980"/>
    <cellStyle name="Data   - Style2 2 5 2 3" xfId="14981"/>
    <cellStyle name="Data   - Style2 2 5 2 4" xfId="18544"/>
    <cellStyle name="Data   - Style2 2 5 2 5" xfId="18545"/>
    <cellStyle name="Data   - Style2 2 5 2 6" xfId="18546"/>
    <cellStyle name="Data   - Style2 2 5 2 7" xfId="18547"/>
    <cellStyle name="Data   - Style2 2 5 3" xfId="14982"/>
    <cellStyle name="Data   - Style2 2 5 4" xfId="14983"/>
    <cellStyle name="Data   - Style2 2 5 5" xfId="18548"/>
    <cellStyle name="Data   - Style2 2 5 6" xfId="18549"/>
    <cellStyle name="Data   - Style2 2 5 7" xfId="18550"/>
    <cellStyle name="Data   - Style2 2 5 8" xfId="18551"/>
    <cellStyle name="Data   - Style2 2 6" xfId="13312"/>
    <cellStyle name="Data   - Style2 2 6 2" xfId="14984"/>
    <cellStyle name="Data   - Style2 2 6 3" xfId="14985"/>
    <cellStyle name="Data   - Style2 2 6 4" xfId="18552"/>
    <cellStyle name="Data   - Style2 2 6 5" xfId="18553"/>
    <cellStyle name="Data   - Style2 2 6 6" xfId="18554"/>
    <cellStyle name="Data   - Style2 2 6 7" xfId="18555"/>
    <cellStyle name="Data   - Style2 2 7" xfId="14986"/>
    <cellStyle name="Data   - Style2 2 8" xfId="14987"/>
    <cellStyle name="Data   - Style2 3" xfId="3188"/>
    <cellStyle name="Data   - Style2 3 2" xfId="13313"/>
    <cellStyle name="Data   - Style2 3 2 2" xfId="13314"/>
    <cellStyle name="Data   - Style2 3 2 2 2" xfId="14988"/>
    <cellStyle name="Data   - Style2 3 2 2 3" xfId="14989"/>
    <cellStyle name="Data   - Style2 3 2 2 4" xfId="18556"/>
    <cellStyle name="Data   - Style2 3 2 2 5" xfId="18557"/>
    <cellStyle name="Data   - Style2 3 2 2 6" xfId="18558"/>
    <cellStyle name="Data   - Style2 3 2 2 7" xfId="18559"/>
    <cellStyle name="Data   - Style2 3 2 3" xfId="14990"/>
    <cellStyle name="Data   - Style2 3 2 4" xfId="14991"/>
    <cellStyle name="Data   - Style2 3 2 5" xfId="18560"/>
    <cellStyle name="Data   - Style2 3 2 6" xfId="18561"/>
    <cellStyle name="Data   - Style2 3 2 7" xfId="18562"/>
    <cellStyle name="Data   - Style2 3 2 8" xfId="18563"/>
    <cellStyle name="Data   - Style2 3 3" xfId="13315"/>
    <cellStyle name="Data   - Style2 3 3 2" xfId="13316"/>
    <cellStyle name="Data   - Style2 3 3 2 2" xfId="14992"/>
    <cellStyle name="Data   - Style2 3 3 2 3" xfId="14993"/>
    <cellStyle name="Data   - Style2 3 3 2 4" xfId="18564"/>
    <cellStyle name="Data   - Style2 3 3 2 5" xfId="18565"/>
    <cellStyle name="Data   - Style2 3 3 2 6" xfId="18566"/>
    <cellStyle name="Data   - Style2 3 3 2 7" xfId="18567"/>
    <cellStyle name="Data   - Style2 3 3 3" xfId="14994"/>
    <cellStyle name="Data   - Style2 3 3 4" xfId="14995"/>
    <cellStyle name="Data   - Style2 3 3 5" xfId="18568"/>
    <cellStyle name="Data   - Style2 3 3 6" xfId="18569"/>
    <cellStyle name="Data   - Style2 3 3 7" xfId="18570"/>
    <cellStyle name="Data   - Style2 3 3 8" xfId="18571"/>
    <cellStyle name="Data   - Style2 3 4" xfId="13317"/>
    <cellStyle name="Data   - Style2 3 4 2" xfId="13318"/>
    <cellStyle name="Data   - Style2 3 4 2 2" xfId="14996"/>
    <cellStyle name="Data   - Style2 3 4 2 3" xfId="14997"/>
    <cellStyle name="Data   - Style2 3 4 2 4" xfId="18572"/>
    <cellStyle name="Data   - Style2 3 4 2 5" xfId="18573"/>
    <cellStyle name="Data   - Style2 3 4 2 6" xfId="18574"/>
    <cellStyle name="Data   - Style2 3 4 2 7" xfId="18575"/>
    <cellStyle name="Data   - Style2 3 4 3" xfId="14998"/>
    <cellStyle name="Data   - Style2 3 4 4" xfId="14999"/>
    <cellStyle name="Data   - Style2 3 4 5" xfId="18576"/>
    <cellStyle name="Data   - Style2 3 4 6" xfId="18577"/>
    <cellStyle name="Data   - Style2 3 4 7" xfId="18578"/>
    <cellStyle name="Data   - Style2 3 4 8" xfId="18579"/>
    <cellStyle name="Data   - Style2 3 5" xfId="13319"/>
    <cellStyle name="Data   - Style2 3 5 2" xfId="13320"/>
    <cellStyle name="Data   - Style2 3 5 2 2" xfId="15000"/>
    <cellStyle name="Data   - Style2 3 5 2 3" xfId="15001"/>
    <cellStyle name="Data   - Style2 3 5 2 4" xfId="18580"/>
    <cellStyle name="Data   - Style2 3 5 2 5" xfId="18581"/>
    <cellStyle name="Data   - Style2 3 5 2 6" xfId="18582"/>
    <cellStyle name="Data   - Style2 3 5 2 7" xfId="18583"/>
    <cellStyle name="Data   - Style2 3 5 3" xfId="15002"/>
    <cellStyle name="Data   - Style2 3 5 4" xfId="15003"/>
    <cellStyle name="Data   - Style2 3 5 5" xfId="18584"/>
    <cellStyle name="Data   - Style2 3 5 6" xfId="18585"/>
    <cellStyle name="Data   - Style2 3 5 7" xfId="18586"/>
    <cellStyle name="Data   - Style2 3 5 8" xfId="18587"/>
    <cellStyle name="Data   - Style2 3 6" xfId="13321"/>
    <cellStyle name="Data   - Style2 3 6 2" xfId="15004"/>
    <cellStyle name="Data   - Style2 3 6 3" xfId="15005"/>
    <cellStyle name="Data   - Style2 3 6 4" xfId="18588"/>
    <cellStyle name="Data   - Style2 3 6 5" xfId="18589"/>
    <cellStyle name="Data   - Style2 3 6 6" xfId="18590"/>
    <cellStyle name="Data   - Style2 3 6 7" xfId="18591"/>
    <cellStyle name="Data   - Style2 3 7" xfId="15006"/>
    <cellStyle name="Data   - Style2 3 8" xfId="15007"/>
    <cellStyle name="Data   - Style2 4" xfId="3199"/>
    <cellStyle name="Data   - Style2 4 2" xfId="13322"/>
    <cellStyle name="Data   - Style2 4 2 2" xfId="13323"/>
    <cellStyle name="Data   - Style2 4 2 2 2" xfId="15008"/>
    <cellStyle name="Data   - Style2 4 2 2 3" xfId="15009"/>
    <cellStyle name="Data   - Style2 4 2 2 4" xfId="18592"/>
    <cellStyle name="Data   - Style2 4 2 2 5" xfId="18593"/>
    <cellStyle name="Data   - Style2 4 2 2 6" xfId="18594"/>
    <cellStyle name="Data   - Style2 4 2 2 7" xfId="18595"/>
    <cellStyle name="Data   - Style2 4 2 3" xfId="15010"/>
    <cellStyle name="Data   - Style2 4 2 4" xfId="15011"/>
    <cellStyle name="Data   - Style2 4 2 5" xfId="18596"/>
    <cellStyle name="Data   - Style2 4 2 6" xfId="18597"/>
    <cellStyle name="Data   - Style2 4 2 7" xfId="18598"/>
    <cellStyle name="Data   - Style2 4 2 8" xfId="18599"/>
    <cellStyle name="Data   - Style2 4 3" xfId="13324"/>
    <cellStyle name="Data   - Style2 4 3 2" xfId="13325"/>
    <cellStyle name="Data   - Style2 4 3 2 2" xfId="15012"/>
    <cellStyle name="Data   - Style2 4 3 2 3" xfId="15013"/>
    <cellStyle name="Data   - Style2 4 3 2 4" xfId="18600"/>
    <cellStyle name="Data   - Style2 4 3 2 5" xfId="18601"/>
    <cellStyle name="Data   - Style2 4 3 2 6" xfId="18602"/>
    <cellStyle name="Data   - Style2 4 3 2 7" xfId="18603"/>
    <cellStyle name="Data   - Style2 4 3 3" xfId="15014"/>
    <cellStyle name="Data   - Style2 4 3 4" xfId="15015"/>
    <cellStyle name="Data   - Style2 4 3 5" xfId="18604"/>
    <cellStyle name="Data   - Style2 4 3 6" xfId="18605"/>
    <cellStyle name="Data   - Style2 4 3 7" xfId="18606"/>
    <cellStyle name="Data   - Style2 4 3 8" xfId="18607"/>
    <cellStyle name="Data   - Style2 4 4" xfId="13326"/>
    <cellStyle name="Data   - Style2 4 4 2" xfId="13327"/>
    <cellStyle name="Data   - Style2 4 4 2 2" xfId="15016"/>
    <cellStyle name="Data   - Style2 4 4 2 3" xfId="15017"/>
    <cellStyle name="Data   - Style2 4 4 2 4" xfId="18608"/>
    <cellStyle name="Data   - Style2 4 4 2 5" xfId="18609"/>
    <cellStyle name="Data   - Style2 4 4 2 6" xfId="18610"/>
    <cellStyle name="Data   - Style2 4 4 2 7" xfId="18611"/>
    <cellStyle name="Data   - Style2 4 4 3" xfId="15018"/>
    <cellStyle name="Data   - Style2 4 4 4" xfId="15019"/>
    <cellStyle name="Data   - Style2 4 4 5" xfId="18612"/>
    <cellStyle name="Data   - Style2 4 4 6" xfId="18613"/>
    <cellStyle name="Data   - Style2 4 4 7" xfId="18614"/>
    <cellStyle name="Data   - Style2 4 4 8" xfId="18615"/>
    <cellStyle name="Data   - Style2 4 5" xfId="13328"/>
    <cellStyle name="Data   - Style2 4 5 2" xfId="13329"/>
    <cellStyle name="Data   - Style2 4 5 2 2" xfId="15020"/>
    <cellStyle name="Data   - Style2 4 5 2 3" xfId="15021"/>
    <cellStyle name="Data   - Style2 4 5 2 4" xfId="18616"/>
    <cellStyle name="Data   - Style2 4 5 2 5" xfId="18617"/>
    <cellStyle name="Data   - Style2 4 5 2 6" xfId="18618"/>
    <cellStyle name="Data   - Style2 4 5 2 7" xfId="18619"/>
    <cellStyle name="Data   - Style2 4 5 3" xfId="15022"/>
    <cellStyle name="Data   - Style2 4 5 4" xfId="15023"/>
    <cellStyle name="Data   - Style2 4 5 5" xfId="18620"/>
    <cellStyle name="Data   - Style2 4 5 6" xfId="18621"/>
    <cellStyle name="Data   - Style2 4 5 7" xfId="18622"/>
    <cellStyle name="Data   - Style2 4 5 8" xfId="18623"/>
    <cellStyle name="Data   - Style2 4 6" xfId="13330"/>
    <cellStyle name="Data   - Style2 4 6 2" xfId="15024"/>
    <cellStyle name="Data   - Style2 4 6 3" xfId="15025"/>
    <cellStyle name="Data   - Style2 4 6 4" xfId="18624"/>
    <cellStyle name="Data   - Style2 4 6 5" xfId="18625"/>
    <cellStyle name="Data   - Style2 4 6 6" xfId="18626"/>
    <cellStyle name="Data   - Style2 4 6 7" xfId="18627"/>
    <cellStyle name="Data   - Style2 4 7" xfId="15026"/>
    <cellStyle name="Data   - Style2 4 8" xfId="15027"/>
    <cellStyle name="Data   - Style2 5" xfId="3100"/>
    <cellStyle name="Data   - Style2 5 2" xfId="13331"/>
    <cellStyle name="Data   - Style2 5 2 2" xfId="13332"/>
    <cellStyle name="Data   - Style2 5 2 2 2" xfId="15028"/>
    <cellStyle name="Data   - Style2 5 2 2 3" xfId="15029"/>
    <cellStyle name="Data   - Style2 5 2 2 4" xfId="18628"/>
    <cellStyle name="Data   - Style2 5 2 2 5" xfId="18629"/>
    <cellStyle name="Data   - Style2 5 2 2 6" xfId="18630"/>
    <cellStyle name="Data   - Style2 5 2 2 7" xfId="18631"/>
    <cellStyle name="Data   - Style2 5 2 3" xfId="15030"/>
    <cellStyle name="Data   - Style2 5 2 4" xfId="15031"/>
    <cellStyle name="Data   - Style2 5 2 5" xfId="18632"/>
    <cellStyle name="Data   - Style2 5 2 6" xfId="18633"/>
    <cellStyle name="Data   - Style2 5 2 7" xfId="18634"/>
    <cellStyle name="Data   - Style2 5 2 8" xfId="18635"/>
    <cellStyle name="Data   - Style2 5 3" xfId="13333"/>
    <cellStyle name="Data   - Style2 5 3 2" xfId="13334"/>
    <cellStyle name="Data   - Style2 5 3 2 2" xfId="15032"/>
    <cellStyle name="Data   - Style2 5 3 2 3" xfId="15033"/>
    <cellStyle name="Data   - Style2 5 3 2 4" xfId="18636"/>
    <cellStyle name="Data   - Style2 5 3 2 5" xfId="18637"/>
    <cellStyle name="Data   - Style2 5 3 2 6" xfId="18638"/>
    <cellStyle name="Data   - Style2 5 3 2 7" xfId="18639"/>
    <cellStyle name="Data   - Style2 5 3 3" xfId="15034"/>
    <cellStyle name="Data   - Style2 5 3 4" xfId="15035"/>
    <cellStyle name="Data   - Style2 5 3 5" xfId="18640"/>
    <cellStyle name="Data   - Style2 5 3 6" xfId="18641"/>
    <cellStyle name="Data   - Style2 5 3 7" xfId="18642"/>
    <cellStyle name="Data   - Style2 5 3 8" xfId="18643"/>
    <cellStyle name="Data   - Style2 5 4" xfId="13335"/>
    <cellStyle name="Data   - Style2 5 4 2" xfId="13336"/>
    <cellStyle name="Data   - Style2 5 4 2 2" xfId="15036"/>
    <cellStyle name="Data   - Style2 5 4 2 3" xfId="15037"/>
    <cellStyle name="Data   - Style2 5 4 2 4" xfId="18644"/>
    <cellStyle name="Data   - Style2 5 4 2 5" xfId="18645"/>
    <cellStyle name="Data   - Style2 5 4 2 6" xfId="18646"/>
    <cellStyle name="Data   - Style2 5 4 2 7" xfId="18647"/>
    <cellStyle name="Data   - Style2 5 4 3" xfId="15038"/>
    <cellStyle name="Data   - Style2 5 4 4" xfId="15039"/>
    <cellStyle name="Data   - Style2 5 4 5" xfId="18648"/>
    <cellStyle name="Data   - Style2 5 4 6" xfId="18649"/>
    <cellStyle name="Data   - Style2 5 4 7" xfId="18650"/>
    <cellStyle name="Data   - Style2 5 4 8" xfId="18651"/>
    <cellStyle name="Data   - Style2 5 5" xfId="13337"/>
    <cellStyle name="Data   - Style2 5 5 2" xfId="13338"/>
    <cellStyle name="Data   - Style2 5 5 2 2" xfId="15040"/>
    <cellStyle name="Data   - Style2 5 5 2 3" xfId="15041"/>
    <cellStyle name="Data   - Style2 5 5 2 4" xfId="18652"/>
    <cellStyle name="Data   - Style2 5 5 2 5" xfId="18653"/>
    <cellStyle name="Data   - Style2 5 5 2 6" xfId="18654"/>
    <cellStyle name="Data   - Style2 5 5 2 7" xfId="18655"/>
    <cellStyle name="Data   - Style2 5 5 3" xfId="15042"/>
    <cellStyle name="Data   - Style2 5 5 4" xfId="15043"/>
    <cellStyle name="Data   - Style2 5 5 5" xfId="18656"/>
    <cellStyle name="Data   - Style2 5 5 6" xfId="18657"/>
    <cellStyle name="Data   - Style2 5 5 7" xfId="18658"/>
    <cellStyle name="Data   - Style2 5 5 8" xfId="18659"/>
    <cellStyle name="Data   - Style2 5 6" xfId="13339"/>
    <cellStyle name="Data   - Style2 5 6 2" xfId="15044"/>
    <cellStyle name="Data   - Style2 5 6 3" xfId="15045"/>
    <cellStyle name="Data   - Style2 5 6 4" xfId="18660"/>
    <cellStyle name="Data   - Style2 5 6 5" xfId="18661"/>
    <cellStyle name="Data   - Style2 5 6 6" xfId="18662"/>
    <cellStyle name="Data   - Style2 5 6 7" xfId="18663"/>
    <cellStyle name="Data   - Style2 5 7" xfId="15046"/>
    <cellStyle name="Data   - Style2 5 8" xfId="15047"/>
    <cellStyle name="Data   - Style2 6" xfId="13340"/>
    <cellStyle name="Data   - Style2 6 2" xfId="13341"/>
    <cellStyle name="Data   - Style2 6 2 2" xfId="15048"/>
    <cellStyle name="Data   - Style2 6 2 3" xfId="15049"/>
    <cellStyle name="Data   - Style2 6 2 4" xfId="18664"/>
    <cellStyle name="Data   - Style2 6 2 5" xfId="18665"/>
    <cellStyle name="Data   - Style2 6 2 6" xfId="18666"/>
    <cellStyle name="Data   - Style2 6 2 7" xfId="18667"/>
    <cellStyle name="Data   - Style2 6 3" xfId="15050"/>
    <cellStyle name="Data   - Style2 6 4" xfId="15051"/>
    <cellStyle name="Data   - Style2 6 5" xfId="18668"/>
    <cellStyle name="Data   - Style2 6 6" xfId="18669"/>
    <cellStyle name="Data   - Style2 6 7" xfId="18670"/>
    <cellStyle name="Data   - Style2 6 8" xfId="18671"/>
    <cellStyle name="Data   - Style2 7" xfId="13342"/>
    <cellStyle name="Data   - Style2 7 2" xfId="13343"/>
    <cellStyle name="Data   - Style2 7 2 2" xfId="15052"/>
    <cellStyle name="Data   - Style2 7 2 3" xfId="15053"/>
    <cellStyle name="Data   - Style2 7 2 4" xfId="18672"/>
    <cellStyle name="Data   - Style2 7 2 5" xfId="18673"/>
    <cellStyle name="Data   - Style2 7 2 6" xfId="18674"/>
    <cellStyle name="Data   - Style2 7 2 7" xfId="18675"/>
    <cellStyle name="Data   - Style2 7 3" xfId="15054"/>
    <cellStyle name="Data   - Style2 7 4" xfId="15055"/>
    <cellStyle name="Data   - Style2 7 5" xfId="18676"/>
    <cellStyle name="Data   - Style2 7 6" xfId="18677"/>
    <cellStyle name="Data   - Style2 7 7" xfId="18678"/>
    <cellStyle name="Data   - Style2 7 8" xfId="18679"/>
    <cellStyle name="Data   - Style2 8" xfId="13344"/>
    <cellStyle name="Data   - Style2 8 2" xfId="13345"/>
    <cellStyle name="Data   - Style2 8 2 2" xfId="15056"/>
    <cellStyle name="Data   - Style2 8 2 3" xfId="15057"/>
    <cellStyle name="Data   - Style2 8 2 4" xfId="18680"/>
    <cellStyle name="Data   - Style2 8 2 5" xfId="18681"/>
    <cellStyle name="Data   - Style2 8 2 6" xfId="18682"/>
    <cellStyle name="Data   - Style2 8 2 7" xfId="18683"/>
    <cellStyle name="Data   - Style2 8 3" xfId="15058"/>
    <cellStyle name="Data   - Style2 8 4" xfId="15059"/>
    <cellStyle name="Data   - Style2 8 5" xfId="18684"/>
    <cellStyle name="Data   - Style2 8 6" xfId="18685"/>
    <cellStyle name="Data   - Style2 8 7" xfId="18686"/>
    <cellStyle name="Data   - Style2 8 8" xfId="18687"/>
    <cellStyle name="Data   - Style2 9" xfId="13346"/>
    <cellStyle name="Data   - Style2 9 2" xfId="13347"/>
    <cellStyle name="Data   - Style2 9 2 2" xfId="15060"/>
    <cellStyle name="Data   - Style2 9 2 3" xfId="15061"/>
    <cellStyle name="Data   - Style2 9 2 4" xfId="18688"/>
    <cellStyle name="Data   - Style2 9 2 5" xfId="18689"/>
    <cellStyle name="Data   - Style2 9 2 6" xfId="18690"/>
    <cellStyle name="Data   - Style2 9 2 7" xfId="18691"/>
    <cellStyle name="Data   - Style2 9 3" xfId="15062"/>
    <cellStyle name="Data   - Style2 9 4" xfId="15063"/>
    <cellStyle name="Data   - Style2 9 5" xfId="18692"/>
    <cellStyle name="Data   - Style2 9 6" xfId="18693"/>
    <cellStyle name="Data   - Style2 9 7" xfId="18694"/>
    <cellStyle name="Data   - Style2 9 8" xfId="18695"/>
    <cellStyle name="Data Enter" xfId="104"/>
    <cellStyle name="date" xfId="895"/>
    <cellStyle name="Euro" xfId="389"/>
    <cellStyle name="Euro 2" xfId="1763"/>
    <cellStyle name="Explanatory Text" xfId="2865" builtinId="53" customBuiltin="1"/>
    <cellStyle name="Explanatory Text 2" xfId="198"/>
    <cellStyle name="Explanatory Text 3" xfId="199"/>
    <cellStyle name="Explanatory Text 4" xfId="896"/>
    <cellStyle name="F9ReportControlStyle_ctpInquire" xfId="18"/>
    <cellStyle name="FactSheet" xfId="105"/>
    <cellStyle name="fish" xfId="897"/>
    <cellStyle name="Fixed" xfId="1764"/>
    <cellStyle name="Good" xfId="2855" builtinId="26" customBuiltin="1"/>
    <cellStyle name="Good 2" xfId="19"/>
    <cellStyle name="Good 2 2" xfId="390"/>
    <cellStyle name="Good 2 2 2" xfId="898"/>
    <cellStyle name="Good 2 3" xfId="899"/>
    <cellStyle name="Good 2 4" xfId="1765"/>
    <cellStyle name="Good 2 5" xfId="1766"/>
    <cellStyle name="Good 3" xfId="200"/>
    <cellStyle name="Good 3 2" xfId="391"/>
    <cellStyle name="Good 3 2 2" xfId="1384"/>
    <cellStyle name="Good 3 3" xfId="1298"/>
    <cellStyle name="Good 3 3 2" xfId="1767"/>
    <cellStyle name="Good 4" xfId="900"/>
    <cellStyle name="Good 5" xfId="901"/>
    <cellStyle name="Heading 1" xfId="2851" builtinId="16" customBuiltin="1"/>
    <cellStyle name="Heading 1 2" xfId="106"/>
    <cellStyle name="Heading 1 2 2" xfId="393"/>
    <cellStyle name="Heading 1 2 2 2" xfId="1768"/>
    <cellStyle name="Heading 1 2 2 3" xfId="1385"/>
    <cellStyle name="Heading 1 2 3" xfId="394"/>
    <cellStyle name="Heading 1 2 3 2" xfId="1386"/>
    <cellStyle name="Heading 1 2 4" xfId="392"/>
    <cellStyle name="Heading 1 2 4 2" xfId="1769"/>
    <cellStyle name="Heading 1 3" xfId="201"/>
    <cellStyle name="Heading 1 3 2" xfId="395"/>
    <cellStyle name="Heading 1 3 3" xfId="902"/>
    <cellStyle name="Heading 1 3 4" xfId="1299"/>
    <cellStyle name="Heading 1 4" xfId="396"/>
    <cellStyle name="Heading 1 4 2" xfId="903"/>
    <cellStyle name="Heading 1 4 3" xfId="1387"/>
    <cellStyle name="Heading 2" xfId="2852" builtinId="17" customBuiltin="1"/>
    <cellStyle name="Heading 2 2" xfId="107"/>
    <cellStyle name="Heading 2 2 2" xfId="397"/>
    <cellStyle name="Heading 2 2 2 2" xfId="1388"/>
    <cellStyle name="Heading 2 2 3" xfId="904"/>
    <cellStyle name="Heading 2 2 4" xfId="905"/>
    <cellStyle name="Heading 2 3" xfId="202"/>
    <cellStyle name="Heading 2 3 2" xfId="398"/>
    <cellStyle name="Heading 2 3 3" xfId="906"/>
    <cellStyle name="Heading 2 3 4" xfId="1300"/>
    <cellStyle name="Heading 2 4" xfId="399"/>
    <cellStyle name="Heading 2 4 2" xfId="907"/>
    <cellStyle name="Heading 2 4 3" xfId="1389"/>
    <cellStyle name="Heading 3" xfId="2853" builtinId="18" customBuiltin="1"/>
    <cellStyle name="Heading 3 2" xfId="108"/>
    <cellStyle name="Heading 3 2 2" xfId="401"/>
    <cellStyle name="Heading 3 2 2 2" xfId="1770"/>
    <cellStyle name="Heading 3 2 2 3" xfId="1390"/>
    <cellStyle name="Heading 3 2 3" xfId="402"/>
    <cellStyle name="Heading 3 2 3 2" xfId="1391"/>
    <cellStyle name="Heading 3 2 4" xfId="400"/>
    <cellStyle name="Heading 3 2 4 2" xfId="1771"/>
    <cellStyle name="Heading 3 3" xfId="203"/>
    <cellStyle name="Heading 3 3 2" xfId="403"/>
    <cellStyle name="Heading 3 3 3" xfId="908"/>
    <cellStyle name="Heading 3 3 4" xfId="1301"/>
    <cellStyle name="Heading 3 4" xfId="404"/>
    <cellStyle name="Heading 3 4 2" xfId="909"/>
    <cellStyle name="Heading 3 4 3" xfId="1392"/>
    <cellStyle name="Heading 4" xfId="2854" builtinId="19" customBuiltin="1"/>
    <cellStyle name="Heading 4 2" xfId="204"/>
    <cellStyle name="Heading 4 2 2" xfId="405"/>
    <cellStyle name="Heading 4 2 2 2" xfId="910"/>
    <cellStyle name="Heading 4 2 2 2 2" xfId="1772"/>
    <cellStyle name="Heading 4 2 3" xfId="406"/>
    <cellStyle name="Heading 4 2 3 2" xfId="1773"/>
    <cellStyle name="Heading 4 3" xfId="205"/>
    <cellStyle name="Heading 4 3 2" xfId="407"/>
    <cellStyle name="Heading 4 3 2 2" xfId="1393"/>
    <cellStyle name="Heading 4 3 3" xfId="1302"/>
    <cellStyle name="Heading 4 4" xfId="408"/>
    <cellStyle name="Heading 4 4 2" xfId="1774"/>
    <cellStyle name="Hyperlink 2" xfId="20"/>
    <cellStyle name="Hyperlink 2 2" xfId="410"/>
    <cellStyle name="Hyperlink 2 2 2" xfId="411"/>
    <cellStyle name="Hyperlink 2 2 2 2" xfId="1776"/>
    <cellStyle name="Hyperlink 2 2 3" xfId="1777"/>
    <cellStyle name="Hyperlink 2 2 4" xfId="1778"/>
    <cellStyle name="Hyperlink 2 2 5" xfId="1775"/>
    <cellStyle name="Hyperlink 2 2 5 2" xfId="12773"/>
    <cellStyle name="Hyperlink 2 2 6" xfId="13348"/>
    <cellStyle name="Hyperlink 2 2 7" xfId="2910"/>
    <cellStyle name="Hyperlink 2 3" xfId="412"/>
    <cellStyle name="Hyperlink 2 3 2" xfId="911"/>
    <cellStyle name="Hyperlink 2 4" xfId="409"/>
    <cellStyle name="Hyperlink 2 4 2" xfId="1779"/>
    <cellStyle name="Hyperlink 3" xfId="109"/>
    <cellStyle name="Hyperlink 3 2" xfId="414"/>
    <cellStyle name="Hyperlink 3 2 2" xfId="415"/>
    <cellStyle name="Hyperlink 3 2 3" xfId="1394"/>
    <cellStyle name="Hyperlink 3 3" xfId="416"/>
    <cellStyle name="Hyperlink 3 3 2" xfId="1780"/>
    <cellStyle name="Hyperlink 3 4" xfId="413"/>
    <cellStyle name="Hyperlink 4" xfId="417"/>
    <cellStyle name="Hyperlink 4 2" xfId="1781"/>
    <cellStyle name="Hyperlink 4 2 2" xfId="12774"/>
    <cellStyle name="Hyperlink 5" xfId="1782"/>
    <cellStyle name="Input" xfId="2858" builtinId="20" customBuiltin="1"/>
    <cellStyle name="Input 2" xfId="206"/>
    <cellStyle name="Input 2 10" xfId="13844"/>
    <cellStyle name="Input 2 10 2" xfId="15064"/>
    <cellStyle name="Input 2 10 3" xfId="15065"/>
    <cellStyle name="Input 2 10 4" xfId="18696"/>
    <cellStyle name="Input 2 10 5" xfId="18697"/>
    <cellStyle name="Input 2 10 6" xfId="18698"/>
    <cellStyle name="Input 2 10 7" xfId="18699"/>
    <cellStyle name="Input 2 2" xfId="419"/>
    <cellStyle name="Input 2 2 10" xfId="15066"/>
    <cellStyle name="Input 2 2 11" xfId="18700"/>
    <cellStyle name="Input 2 2 12" xfId="18701"/>
    <cellStyle name="Input 2 2 2" xfId="912"/>
    <cellStyle name="Input 2 2 2 10" xfId="18702"/>
    <cellStyle name="Input 2 2 2 11" xfId="18703"/>
    <cellStyle name="Input 2 2 2 2" xfId="1784"/>
    <cellStyle name="Input 2 2 2 2 10" xfId="2983"/>
    <cellStyle name="Input 2 2 2 2 11" xfId="15067"/>
    <cellStyle name="Input 2 2 2 2 12" xfId="18704"/>
    <cellStyle name="Input 2 2 2 2 13" xfId="18705"/>
    <cellStyle name="Input 2 2 2 2 2" xfId="3054"/>
    <cellStyle name="Input 2 2 2 2 2 2" xfId="13349"/>
    <cellStyle name="Input 2 2 2 2 2 2 2" xfId="13350"/>
    <cellStyle name="Input 2 2 2 2 2 2 2 2" xfId="15068"/>
    <cellStyle name="Input 2 2 2 2 2 2 2 3" xfId="15069"/>
    <cellStyle name="Input 2 2 2 2 2 2 2 4" xfId="18706"/>
    <cellStyle name="Input 2 2 2 2 2 2 2 5" xfId="18707"/>
    <cellStyle name="Input 2 2 2 2 2 2 2 6" xfId="18708"/>
    <cellStyle name="Input 2 2 2 2 2 2 2 7" xfId="18709"/>
    <cellStyle name="Input 2 2 2 2 2 2 3" xfId="15070"/>
    <cellStyle name="Input 2 2 2 2 2 2 4" xfId="15071"/>
    <cellStyle name="Input 2 2 2 2 2 2 5" xfId="18710"/>
    <cellStyle name="Input 2 2 2 2 2 2 6" xfId="18711"/>
    <cellStyle name="Input 2 2 2 2 2 2 7" xfId="18712"/>
    <cellStyle name="Input 2 2 2 2 2 2 8" xfId="18713"/>
    <cellStyle name="Input 2 2 2 2 2 3" xfId="13351"/>
    <cellStyle name="Input 2 2 2 2 2 3 2" xfId="13352"/>
    <cellStyle name="Input 2 2 2 2 2 3 2 2" xfId="15072"/>
    <cellStyle name="Input 2 2 2 2 2 3 2 3" xfId="15073"/>
    <cellStyle name="Input 2 2 2 2 2 3 2 4" xfId="18714"/>
    <cellStyle name="Input 2 2 2 2 2 3 2 5" xfId="18715"/>
    <cellStyle name="Input 2 2 2 2 2 3 2 6" xfId="18716"/>
    <cellStyle name="Input 2 2 2 2 2 3 2 7" xfId="18717"/>
    <cellStyle name="Input 2 2 2 2 2 3 3" xfId="15074"/>
    <cellStyle name="Input 2 2 2 2 2 3 4" xfId="15075"/>
    <cellStyle name="Input 2 2 2 2 2 3 5" xfId="18718"/>
    <cellStyle name="Input 2 2 2 2 2 3 6" xfId="18719"/>
    <cellStyle name="Input 2 2 2 2 2 3 7" xfId="18720"/>
    <cellStyle name="Input 2 2 2 2 2 3 8" xfId="18721"/>
    <cellStyle name="Input 2 2 2 2 2 4" xfId="13353"/>
    <cellStyle name="Input 2 2 2 2 2 4 2" xfId="13354"/>
    <cellStyle name="Input 2 2 2 2 2 4 2 2" xfId="15076"/>
    <cellStyle name="Input 2 2 2 2 2 4 2 3" xfId="15077"/>
    <cellStyle name="Input 2 2 2 2 2 4 2 4" xfId="18722"/>
    <cellStyle name="Input 2 2 2 2 2 4 2 5" xfId="18723"/>
    <cellStyle name="Input 2 2 2 2 2 4 2 6" xfId="18724"/>
    <cellStyle name="Input 2 2 2 2 2 4 2 7" xfId="18725"/>
    <cellStyle name="Input 2 2 2 2 2 4 3" xfId="15078"/>
    <cellStyle name="Input 2 2 2 2 2 4 4" xfId="15079"/>
    <cellStyle name="Input 2 2 2 2 2 4 5" xfId="18726"/>
    <cellStyle name="Input 2 2 2 2 2 4 6" xfId="18727"/>
    <cellStyle name="Input 2 2 2 2 2 4 7" xfId="18728"/>
    <cellStyle name="Input 2 2 2 2 2 4 8" xfId="18729"/>
    <cellStyle name="Input 2 2 2 2 2 5" xfId="13355"/>
    <cellStyle name="Input 2 2 2 2 2 5 2" xfId="15080"/>
    <cellStyle name="Input 2 2 2 2 2 5 3" xfId="15081"/>
    <cellStyle name="Input 2 2 2 2 2 5 4" xfId="18730"/>
    <cellStyle name="Input 2 2 2 2 2 5 5" xfId="18731"/>
    <cellStyle name="Input 2 2 2 2 2 5 6" xfId="18732"/>
    <cellStyle name="Input 2 2 2 2 2 5 7" xfId="18733"/>
    <cellStyle name="Input 2 2 2 2 2 6" xfId="15082"/>
    <cellStyle name="Input 2 2 2 2 2 7" xfId="15083"/>
    <cellStyle name="Input 2 2 2 2 2 8" xfId="18734"/>
    <cellStyle name="Input 2 2 2 2 2 9" xfId="18735"/>
    <cellStyle name="Input 2 2 2 2 3" xfId="3157"/>
    <cellStyle name="Input 2 2 2 2 3 2" xfId="13356"/>
    <cellStyle name="Input 2 2 2 2 3 2 2" xfId="13357"/>
    <cellStyle name="Input 2 2 2 2 3 2 2 2" xfId="15084"/>
    <cellStyle name="Input 2 2 2 2 3 2 2 3" xfId="15085"/>
    <cellStyle name="Input 2 2 2 2 3 2 2 4" xfId="18736"/>
    <cellStyle name="Input 2 2 2 2 3 2 2 5" xfId="18737"/>
    <cellStyle name="Input 2 2 2 2 3 2 2 6" xfId="18738"/>
    <cellStyle name="Input 2 2 2 2 3 2 2 7" xfId="18739"/>
    <cellStyle name="Input 2 2 2 2 3 2 3" xfId="15086"/>
    <cellStyle name="Input 2 2 2 2 3 2 4" xfId="15087"/>
    <cellStyle name="Input 2 2 2 2 3 2 5" xfId="18740"/>
    <cellStyle name="Input 2 2 2 2 3 2 6" xfId="18741"/>
    <cellStyle name="Input 2 2 2 2 3 2 7" xfId="18742"/>
    <cellStyle name="Input 2 2 2 2 3 2 8" xfId="18743"/>
    <cellStyle name="Input 2 2 2 2 3 3" xfId="13358"/>
    <cellStyle name="Input 2 2 2 2 3 3 2" xfId="13359"/>
    <cellStyle name="Input 2 2 2 2 3 3 2 2" xfId="15088"/>
    <cellStyle name="Input 2 2 2 2 3 3 2 3" xfId="15089"/>
    <cellStyle name="Input 2 2 2 2 3 3 2 4" xfId="18744"/>
    <cellStyle name="Input 2 2 2 2 3 3 2 5" xfId="18745"/>
    <cellStyle name="Input 2 2 2 2 3 3 2 6" xfId="18746"/>
    <cellStyle name="Input 2 2 2 2 3 3 2 7" xfId="18747"/>
    <cellStyle name="Input 2 2 2 2 3 3 3" xfId="15090"/>
    <cellStyle name="Input 2 2 2 2 3 3 4" xfId="15091"/>
    <cellStyle name="Input 2 2 2 2 3 3 5" xfId="18748"/>
    <cellStyle name="Input 2 2 2 2 3 3 6" xfId="18749"/>
    <cellStyle name="Input 2 2 2 2 3 3 7" xfId="18750"/>
    <cellStyle name="Input 2 2 2 2 3 3 8" xfId="18751"/>
    <cellStyle name="Input 2 2 2 2 3 4" xfId="13360"/>
    <cellStyle name="Input 2 2 2 2 3 4 2" xfId="13361"/>
    <cellStyle name="Input 2 2 2 2 3 4 2 2" xfId="15092"/>
    <cellStyle name="Input 2 2 2 2 3 4 2 3" xfId="15093"/>
    <cellStyle name="Input 2 2 2 2 3 4 2 4" xfId="18752"/>
    <cellStyle name="Input 2 2 2 2 3 4 2 5" xfId="18753"/>
    <cellStyle name="Input 2 2 2 2 3 4 2 6" xfId="18754"/>
    <cellStyle name="Input 2 2 2 2 3 4 2 7" xfId="18755"/>
    <cellStyle name="Input 2 2 2 2 3 4 3" xfId="15094"/>
    <cellStyle name="Input 2 2 2 2 3 4 4" xfId="15095"/>
    <cellStyle name="Input 2 2 2 2 3 4 5" xfId="18756"/>
    <cellStyle name="Input 2 2 2 2 3 4 6" xfId="18757"/>
    <cellStyle name="Input 2 2 2 2 3 4 7" xfId="18758"/>
    <cellStyle name="Input 2 2 2 2 3 4 8" xfId="18759"/>
    <cellStyle name="Input 2 2 2 2 3 5" xfId="13362"/>
    <cellStyle name="Input 2 2 2 2 3 5 2" xfId="15096"/>
    <cellStyle name="Input 2 2 2 2 3 5 3" xfId="15097"/>
    <cellStyle name="Input 2 2 2 2 3 5 4" xfId="18760"/>
    <cellStyle name="Input 2 2 2 2 3 5 5" xfId="18761"/>
    <cellStyle name="Input 2 2 2 2 3 5 6" xfId="18762"/>
    <cellStyle name="Input 2 2 2 2 3 5 7" xfId="18763"/>
    <cellStyle name="Input 2 2 2 2 3 6" xfId="15098"/>
    <cellStyle name="Input 2 2 2 2 3 7" xfId="15099"/>
    <cellStyle name="Input 2 2 2 2 3 8" xfId="18764"/>
    <cellStyle name="Input 2 2 2 2 3 9" xfId="18765"/>
    <cellStyle name="Input 2 2 2 2 4" xfId="3177"/>
    <cellStyle name="Input 2 2 2 2 4 2" xfId="13363"/>
    <cellStyle name="Input 2 2 2 2 4 2 2" xfId="13364"/>
    <cellStyle name="Input 2 2 2 2 4 2 2 2" xfId="15100"/>
    <cellStyle name="Input 2 2 2 2 4 2 2 3" xfId="15101"/>
    <cellStyle name="Input 2 2 2 2 4 2 2 4" xfId="18766"/>
    <cellStyle name="Input 2 2 2 2 4 2 2 5" xfId="18767"/>
    <cellStyle name="Input 2 2 2 2 4 2 2 6" xfId="18768"/>
    <cellStyle name="Input 2 2 2 2 4 2 2 7" xfId="18769"/>
    <cellStyle name="Input 2 2 2 2 4 2 3" xfId="15102"/>
    <cellStyle name="Input 2 2 2 2 4 2 4" xfId="15103"/>
    <cellStyle name="Input 2 2 2 2 4 2 5" xfId="18770"/>
    <cellStyle name="Input 2 2 2 2 4 2 6" xfId="18771"/>
    <cellStyle name="Input 2 2 2 2 4 2 7" xfId="18772"/>
    <cellStyle name="Input 2 2 2 2 4 2 8" xfId="18773"/>
    <cellStyle name="Input 2 2 2 2 4 3" xfId="13365"/>
    <cellStyle name="Input 2 2 2 2 4 3 2" xfId="13366"/>
    <cellStyle name="Input 2 2 2 2 4 3 2 2" xfId="15104"/>
    <cellStyle name="Input 2 2 2 2 4 3 2 3" xfId="15105"/>
    <cellStyle name="Input 2 2 2 2 4 3 2 4" xfId="18774"/>
    <cellStyle name="Input 2 2 2 2 4 3 2 5" xfId="18775"/>
    <cellStyle name="Input 2 2 2 2 4 3 2 6" xfId="18776"/>
    <cellStyle name="Input 2 2 2 2 4 3 2 7" xfId="18777"/>
    <cellStyle name="Input 2 2 2 2 4 3 3" xfId="15106"/>
    <cellStyle name="Input 2 2 2 2 4 3 4" xfId="15107"/>
    <cellStyle name="Input 2 2 2 2 4 3 5" xfId="18778"/>
    <cellStyle name="Input 2 2 2 2 4 3 6" xfId="18779"/>
    <cellStyle name="Input 2 2 2 2 4 3 7" xfId="18780"/>
    <cellStyle name="Input 2 2 2 2 4 3 8" xfId="18781"/>
    <cellStyle name="Input 2 2 2 2 4 4" xfId="13367"/>
    <cellStyle name="Input 2 2 2 2 4 4 2" xfId="13368"/>
    <cellStyle name="Input 2 2 2 2 4 4 2 2" xfId="15108"/>
    <cellStyle name="Input 2 2 2 2 4 4 2 3" xfId="15109"/>
    <cellStyle name="Input 2 2 2 2 4 4 2 4" xfId="18782"/>
    <cellStyle name="Input 2 2 2 2 4 4 2 5" xfId="18783"/>
    <cellStyle name="Input 2 2 2 2 4 4 2 6" xfId="18784"/>
    <cellStyle name="Input 2 2 2 2 4 4 2 7" xfId="18785"/>
    <cellStyle name="Input 2 2 2 2 4 4 3" xfId="15110"/>
    <cellStyle name="Input 2 2 2 2 4 4 4" xfId="15111"/>
    <cellStyle name="Input 2 2 2 2 4 4 5" xfId="18786"/>
    <cellStyle name="Input 2 2 2 2 4 4 6" xfId="18787"/>
    <cellStyle name="Input 2 2 2 2 4 4 7" xfId="18788"/>
    <cellStyle name="Input 2 2 2 2 4 4 8" xfId="18789"/>
    <cellStyle name="Input 2 2 2 2 4 5" xfId="13369"/>
    <cellStyle name="Input 2 2 2 2 4 5 2" xfId="15112"/>
    <cellStyle name="Input 2 2 2 2 4 5 3" xfId="15113"/>
    <cellStyle name="Input 2 2 2 2 4 5 4" xfId="18790"/>
    <cellStyle name="Input 2 2 2 2 4 5 5" xfId="18791"/>
    <cellStyle name="Input 2 2 2 2 4 5 6" xfId="18792"/>
    <cellStyle name="Input 2 2 2 2 4 5 7" xfId="18793"/>
    <cellStyle name="Input 2 2 2 2 4 6" xfId="15114"/>
    <cellStyle name="Input 2 2 2 2 4 7" xfId="15115"/>
    <cellStyle name="Input 2 2 2 2 4 8" xfId="18794"/>
    <cellStyle name="Input 2 2 2 2 4 9" xfId="18795"/>
    <cellStyle name="Input 2 2 2 2 5" xfId="3209"/>
    <cellStyle name="Input 2 2 2 2 5 2" xfId="13370"/>
    <cellStyle name="Input 2 2 2 2 5 2 2" xfId="13371"/>
    <cellStyle name="Input 2 2 2 2 5 2 2 2" xfId="15116"/>
    <cellStyle name="Input 2 2 2 2 5 2 2 3" xfId="15117"/>
    <cellStyle name="Input 2 2 2 2 5 2 2 4" xfId="18796"/>
    <cellStyle name="Input 2 2 2 2 5 2 2 5" xfId="18797"/>
    <cellStyle name="Input 2 2 2 2 5 2 2 6" xfId="18798"/>
    <cellStyle name="Input 2 2 2 2 5 2 2 7" xfId="18799"/>
    <cellStyle name="Input 2 2 2 2 5 2 3" xfId="15118"/>
    <cellStyle name="Input 2 2 2 2 5 2 4" xfId="15119"/>
    <cellStyle name="Input 2 2 2 2 5 2 5" xfId="18800"/>
    <cellStyle name="Input 2 2 2 2 5 2 6" xfId="18801"/>
    <cellStyle name="Input 2 2 2 2 5 2 7" xfId="18802"/>
    <cellStyle name="Input 2 2 2 2 5 2 8" xfId="18803"/>
    <cellStyle name="Input 2 2 2 2 5 3" xfId="13372"/>
    <cellStyle name="Input 2 2 2 2 5 3 2" xfId="13373"/>
    <cellStyle name="Input 2 2 2 2 5 3 2 2" xfId="15120"/>
    <cellStyle name="Input 2 2 2 2 5 3 2 3" xfId="15121"/>
    <cellStyle name="Input 2 2 2 2 5 3 2 4" xfId="18804"/>
    <cellStyle name="Input 2 2 2 2 5 3 2 5" xfId="18805"/>
    <cellStyle name="Input 2 2 2 2 5 3 2 6" xfId="18806"/>
    <cellStyle name="Input 2 2 2 2 5 3 2 7" xfId="18807"/>
    <cellStyle name="Input 2 2 2 2 5 3 3" xfId="15122"/>
    <cellStyle name="Input 2 2 2 2 5 3 4" xfId="15123"/>
    <cellStyle name="Input 2 2 2 2 5 3 5" xfId="18808"/>
    <cellStyle name="Input 2 2 2 2 5 3 6" xfId="18809"/>
    <cellStyle name="Input 2 2 2 2 5 3 7" xfId="18810"/>
    <cellStyle name="Input 2 2 2 2 5 3 8" xfId="18811"/>
    <cellStyle name="Input 2 2 2 2 5 4" xfId="13374"/>
    <cellStyle name="Input 2 2 2 2 5 4 2" xfId="13375"/>
    <cellStyle name="Input 2 2 2 2 5 4 2 2" xfId="15124"/>
    <cellStyle name="Input 2 2 2 2 5 4 2 3" xfId="15125"/>
    <cellStyle name="Input 2 2 2 2 5 4 2 4" xfId="18812"/>
    <cellStyle name="Input 2 2 2 2 5 4 2 5" xfId="18813"/>
    <cellStyle name="Input 2 2 2 2 5 4 2 6" xfId="18814"/>
    <cellStyle name="Input 2 2 2 2 5 4 2 7" xfId="18815"/>
    <cellStyle name="Input 2 2 2 2 5 4 3" xfId="15126"/>
    <cellStyle name="Input 2 2 2 2 5 4 4" xfId="15127"/>
    <cellStyle name="Input 2 2 2 2 5 4 5" xfId="18816"/>
    <cellStyle name="Input 2 2 2 2 5 4 6" xfId="18817"/>
    <cellStyle name="Input 2 2 2 2 5 4 7" xfId="18818"/>
    <cellStyle name="Input 2 2 2 2 5 4 8" xfId="18819"/>
    <cellStyle name="Input 2 2 2 2 5 5" xfId="13376"/>
    <cellStyle name="Input 2 2 2 2 5 5 2" xfId="15128"/>
    <cellStyle name="Input 2 2 2 2 5 5 3" xfId="15129"/>
    <cellStyle name="Input 2 2 2 2 5 5 4" xfId="18820"/>
    <cellStyle name="Input 2 2 2 2 5 5 5" xfId="18821"/>
    <cellStyle name="Input 2 2 2 2 5 5 6" xfId="18822"/>
    <cellStyle name="Input 2 2 2 2 5 5 7" xfId="18823"/>
    <cellStyle name="Input 2 2 2 2 5 6" xfId="15130"/>
    <cellStyle name="Input 2 2 2 2 5 7" xfId="15131"/>
    <cellStyle name="Input 2 2 2 2 5 8" xfId="18824"/>
    <cellStyle name="Input 2 2 2 2 5 9" xfId="18825"/>
    <cellStyle name="Input 2 2 2 2 6" xfId="13377"/>
    <cellStyle name="Input 2 2 2 2 6 2" xfId="13378"/>
    <cellStyle name="Input 2 2 2 2 6 2 2" xfId="15132"/>
    <cellStyle name="Input 2 2 2 2 6 2 3" xfId="15133"/>
    <cellStyle name="Input 2 2 2 2 6 2 4" xfId="18826"/>
    <cellStyle name="Input 2 2 2 2 6 2 5" xfId="18827"/>
    <cellStyle name="Input 2 2 2 2 6 2 6" xfId="18828"/>
    <cellStyle name="Input 2 2 2 2 6 2 7" xfId="18829"/>
    <cellStyle name="Input 2 2 2 2 6 3" xfId="15134"/>
    <cellStyle name="Input 2 2 2 2 6 4" xfId="15135"/>
    <cellStyle name="Input 2 2 2 2 6 5" xfId="18830"/>
    <cellStyle name="Input 2 2 2 2 6 6" xfId="18831"/>
    <cellStyle name="Input 2 2 2 2 6 7" xfId="18832"/>
    <cellStyle name="Input 2 2 2 2 6 8" xfId="18833"/>
    <cellStyle name="Input 2 2 2 2 7" xfId="13379"/>
    <cellStyle name="Input 2 2 2 2 7 2" xfId="13380"/>
    <cellStyle name="Input 2 2 2 2 7 2 2" xfId="15136"/>
    <cellStyle name="Input 2 2 2 2 7 2 3" xfId="15137"/>
    <cellStyle name="Input 2 2 2 2 7 2 4" xfId="18834"/>
    <cellStyle name="Input 2 2 2 2 7 2 5" xfId="18835"/>
    <cellStyle name="Input 2 2 2 2 7 2 6" xfId="18836"/>
    <cellStyle name="Input 2 2 2 2 7 2 7" xfId="18837"/>
    <cellStyle name="Input 2 2 2 2 7 3" xfId="15138"/>
    <cellStyle name="Input 2 2 2 2 7 4" xfId="15139"/>
    <cellStyle name="Input 2 2 2 2 7 5" xfId="18838"/>
    <cellStyle name="Input 2 2 2 2 7 6" xfId="18839"/>
    <cellStyle name="Input 2 2 2 2 7 7" xfId="18840"/>
    <cellStyle name="Input 2 2 2 2 7 8" xfId="18841"/>
    <cellStyle name="Input 2 2 2 2 8" xfId="13381"/>
    <cellStyle name="Input 2 2 2 2 8 2" xfId="13382"/>
    <cellStyle name="Input 2 2 2 2 8 2 2" xfId="15140"/>
    <cellStyle name="Input 2 2 2 2 8 2 3" xfId="15141"/>
    <cellStyle name="Input 2 2 2 2 8 2 4" xfId="18842"/>
    <cellStyle name="Input 2 2 2 2 8 2 5" xfId="18843"/>
    <cellStyle name="Input 2 2 2 2 8 2 6" xfId="18844"/>
    <cellStyle name="Input 2 2 2 2 8 2 7" xfId="18845"/>
    <cellStyle name="Input 2 2 2 2 8 3" xfId="15142"/>
    <cellStyle name="Input 2 2 2 2 8 4" xfId="15143"/>
    <cellStyle name="Input 2 2 2 2 8 5" xfId="18846"/>
    <cellStyle name="Input 2 2 2 2 8 6" xfId="18847"/>
    <cellStyle name="Input 2 2 2 2 8 7" xfId="18848"/>
    <cellStyle name="Input 2 2 2 2 8 8" xfId="18849"/>
    <cellStyle name="Input 2 2 2 2 9" xfId="13383"/>
    <cellStyle name="Input 2 2 2 2 9 2" xfId="15144"/>
    <cellStyle name="Input 2 2 2 2 9 3" xfId="15145"/>
    <cellStyle name="Input 2 2 2 2 9 4" xfId="18850"/>
    <cellStyle name="Input 2 2 2 2 9 5" xfId="18851"/>
    <cellStyle name="Input 2 2 2 2 9 6" xfId="18852"/>
    <cellStyle name="Input 2 2 2 2 9 7" xfId="18853"/>
    <cellStyle name="Input 2 2 2 3" xfId="3298"/>
    <cellStyle name="Input 2 2 2 3 10" xfId="18854"/>
    <cellStyle name="Input 2 2 2 3 11" xfId="18855"/>
    <cellStyle name="Input 2 2 2 3 2" xfId="13384"/>
    <cellStyle name="Input 2 2 2 3 2 2" xfId="13385"/>
    <cellStyle name="Input 2 2 2 3 2 2 2" xfId="15146"/>
    <cellStyle name="Input 2 2 2 3 2 2 3" xfId="15147"/>
    <cellStyle name="Input 2 2 2 3 2 2 4" xfId="18856"/>
    <cellStyle name="Input 2 2 2 3 2 2 5" xfId="18857"/>
    <cellStyle name="Input 2 2 2 3 2 2 6" xfId="18858"/>
    <cellStyle name="Input 2 2 2 3 2 2 7" xfId="18859"/>
    <cellStyle name="Input 2 2 2 3 2 3" xfId="15148"/>
    <cellStyle name="Input 2 2 2 3 2 4" xfId="15149"/>
    <cellStyle name="Input 2 2 2 3 2 5" xfId="18860"/>
    <cellStyle name="Input 2 2 2 3 2 6" xfId="18861"/>
    <cellStyle name="Input 2 2 2 3 2 7" xfId="18862"/>
    <cellStyle name="Input 2 2 2 3 2 8" xfId="18863"/>
    <cellStyle name="Input 2 2 2 3 3" xfId="13386"/>
    <cellStyle name="Input 2 2 2 3 3 2" xfId="13387"/>
    <cellStyle name="Input 2 2 2 3 3 2 2" xfId="15150"/>
    <cellStyle name="Input 2 2 2 3 3 2 3" xfId="15151"/>
    <cellStyle name="Input 2 2 2 3 3 2 4" xfId="18864"/>
    <cellStyle name="Input 2 2 2 3 3 2 5" xfId="18865"/>
    <cellStyle name="Input 2 2 2 3 3 2 6" xfId="18866"/>
    <cellStyle name="Input 2 2 2 3 3 2 7" xfId="18867"/>
    <cellStyle name="Input 2 2 2 3 3 3" xfId="15152"/>
    <cellStyle name="Input 2 2 2 3 3 4" xfId="15153"/>
    <cellStyle name="Input 2 2 2 3 3 5" xfId="18868"/>
    <cellStyle name="Input 2 2 2 3 3 6" xfId="18869"/>
    <cellStyle name="Input 2 2 2 3 3 7" xfId="18870"/>
    <cellStyle name="Input 2 2 2 3 3 8" xfId="18871"/>
    <cellStyle name="Input 2 2 2 3 4" xfId="13388"/>
    <cellStyle name="Input 2 2 2 3 4 2" xfId="13389"/>
    <cellStyle name="Input 2 2 2 3 4 2 2" xfId="15154"/>
    <cellStyle name="Input 2 2 2 3 4 2 3" xfId="15155"/>
    <cellStyle name="Input 2 2 2 3 4 2 4" xfId="18872"/>
    <cellStyle name="Input 2 2 2 3 4 2 5" xfId="18873"/>
    <cellStyle name="Input 2 2 2 3 4 2 6" xfId="18874"/>
    <cellStyle name="Input 2 2 2 3 4 2 7" xfId="18875"/>
    <cellStyle name="Input 2 2 2 3 4 3" xfId="15156"/>
    <cellStyle name="Input 2 2 2 3 4 4" xfId="15157"/>
    <cellStyle name="Input 2 2 2 3 4 5" xfId="18876"/>
    <cellStyle name="Input 2 2 2 3 4 6" xfId="18877"/>
    <cellStyle name="Input 2 2 2 3 4 7" xfId="18878"/>
    <cellStyle name="Input 2 2 2 3 4 8" xfId="18879"/>
    <cellStyle name="Input 2 2 2 3 5" xfId="13390"/>
    <cellStyle name="Input 2 2 2 3 5 2" xfId="15158"/>
    <cellStyle name="Input 2 2 2 3 5 3" xfId="15159"/>
    <cellStyle name="Input 2 2 2 3 5 4" xfId="18880"/>
    <cellStyle name="Input 2 2 2 3 5 5" xfId="18881"/>
    <cellStyle name="Input 2 2 2 3 5 6" xfId="18882"/>
    <cellStyle name="Input 2 2 2 3 5 7" xfId="18883"/>
    <cellStyle name="Input 2 2 2 3 6" xfId="15160"/>
    <cellStyle name="Input 2 2 2 3 7" xfId="15161"/>
    <cellStyle name="Input 2 2 2 3 8" xfId="18884"/>
    <cellStyle name="Input 2 2 2 3 9" xfId="18885"/>
    <cellStyle name="Input 2 2 2 4" xfId="13391"/>
    <cellStyle name="Input 2 2 2 4 2" xfId="13392"/>
    <cellStyle name="Input 2 2 2 4 2 2" xfId="15162"/>
    <cellStyle name="Input 2 2 2 4 2 3" xfId="15163"/>
    <cellStyle name="Input 2 2 2 4 2 4" xfId="18886"/>
    <cellStyle name="Input 2 2 2 4 2 5" xfId="18887"/>
    <cellStyle name="Input 2 2 2 4 2 6" xfId="18888"/>
    <cellStyle name="Input 2 2 2 4 2 7" xfId="18889"/>
    <cellStyle name="Input 2 2 2 4 3" xfId="15164"/>
    <cellStyle name="Input 2 2 2 4 4" xfId="15165"/>
    <cellStyle name="Input 2 2 2 4 5" xfId="18890"/>
    <cellStyle name="Input 2 2 2 4 6" xfId="18891"/>
    <cellStyle name="Input 2 2 2 4 7" xfId="18892"/>
    <cellStyle name="Input 2 2 2 4 8" xfId="18893"/>
    <cellStyle name="Input 2 2 2 5" xfId="13393"/>
    <cellStyle name="Input 2 2 2 5 2" xfId="13394"/>
    <cellStyle name="Input 2 2 2 5 2 2" xfId="15166"/>
    <cellStyle name="Input 2 2 2 5 2 3" xfId="15167"/>
    <cellStyle name="Input 2 2 2 5 2 4" xfId="18894"/>
    <cellStyle name="Input 2 2 2 5 2 5" xfId="18895"/>
    <cellStyle name="Input 2 2 2 5 2 6" xfId="18896"/>
    <cellStyle name="Input 2 2 2 5 2 7" xfId="18897"/>
    <cellStyle name="Input 2 2 2 5 3" xfId="15168"/>
    <cellStyle name="Input 2 2 2 5 4" xfId="15169"/>
    <cellStyle name="Input 2 2 2 5 5" xfId="18898"/>
    <cellStyle name="Input 2 2 2 5 6" xfId="18899"/>
    <cellStyle name="Input 2 2 2 5 7" xfId="18900"/>
    <cellStyle name="Input 2 2 2 5 8" xfId="18901"/>
    <cellStyle name="Input 2 2 2 6" xfId="13395"/>
    <cellStyle name="Input 2 2 2 6 2" xfId="13396"/>
    <cellStyle name="Input 2 2 2 6 2 2" xfId="15170"/>
    <cellStyle name="Input 2 2 2 6 2 3" xfId="15171"/>
    <cellStyle name="Input 2 2 2 6 2 4" xfId="18902"/>
    <cellStyle name="Input 2 2 2 6 2 5" xfId="18903"/>
    <cellStyle name="Input 2 2 2 6 2 6" xfId="18904"/>
    <cellStyle name="Input 2 2 2 6 2 7" xfId="18905"/>
    <cellStyle name="Input 2 2 2 6 3" xfId="15172"/>
    <cellStyle name="Input 2 2 2 6 4" xfId="15173"/>
    <cellStyle name="Input 2 2 2 6 5" xfId="18906"/>
    <cellStyle name="Input 2 2 2 6 6" xfId="18907"/>
    <cellStyle name="Input 2 2 2 6 7" xfId="18908"/>
    <cellStyle name="Input 2 2 2 6 8" xfId="18909"/>
    <cellStyle name="Input 2 2 2 7" xfId="13397"/>
    <cellStyle name="Input 2 2 2 7 2" xfId="15174"/>
    <cellStyle name="Input 2 2 2 7 3" xfId="15175"/>
    <cellStyle name="Input 2 2 2 7 4" xfId="18910"/>
    <cellStyle name="Input 2 2 2 7 5" xfId="18911"/>
    <cellStyle name="Input 2 2 2 7 6" xfId="18912"/>
    <cellStyle name="Input 2 2 2 7 7" xfId="18913"/>
    <cellStyle name="Input 2 2 2 8" xfId="15176"/>
    <cellStyle name="Input 2 2 2 9" xfId="15177"/>
    <cellStyle name="Input 2 2 3" xfId="1785"/>
    <cellStyle name="Input 2 2 3 10" xfId="2982"/>
    <cellStyle name="Input 2 2 3 11" xfId="15178"/>
    <cellStyle name="Input 2 2 3 12" xfId="18914"/>
    <cellStyle name="Input 2 2 3 13" xfId="18915"/>
    <cellStyle name="Input 2 2 3 2" xfId="3053"/>
    <cellStyle name="Input 2 2 3 2 2" xfId="13398"/>
    <cellStyle name="Input 2 2 3 2 2 2" xfId="13399"/>
    <cellStyle name="Input 2 2 3 2 2 2 2" xfId="15179"/>
    <cellStyle name="Input 2 2 3 2 2 2 3" xfId="15180"/>
    <cellStyle name="Input 2 2 3 2 2 2 4" xfId="18916"/>
    <cellStyle name="Input 2 2 3 2 2 2 5" xfId="18917"/>
    <cellStyle name="Input 2 2 3 2 2 2 6" xfId="18918"/>
    <cellStyle name="Input 2 2 3 2 2 2 7" xfId="18919"/>
    <cellStyle name="Input 2 2 3 2 2 3" xfId="15181"/>
    <cellStyle name="Input 2 2 3 2 2 4" xfId="15182"/>
    <cellStyle name="Input 2 2 3 2 2 5" xfId="18920"/>
    <cellStyle name="Input 2 2 3 2 2 6" xfId="18921"/>
    <cellStyle name="Input 2 2 3 2 2 7" xfId="18922"/>
    <cellStyle name="Input 2 2 3 2 2 8" xfId="18923"/>
    <cellStyle name="Input 2 2 3 2 3" xfId="13400"/>
    <cellStyle name="Input 2 2 3 2 3 2" xfId="13401"/>
    <cellStyle name="Input 2 2 3 2 3 2 2" xfId="15183"/>
    <cellStyle name="Input 2 2 3 2 3 2 3" xfId="15184"/>
    <cellStyle name="Input 2 2 3 2 3 2 4" xfId="18924"/>
    <cellStyle name="Input 2 2 3 2 3 2 5" xfId="18925"/>
    <cellStyle name="Input 2 2 3 2 3 2 6" xfId="18926"/>
    <cellStyle name="Input 2 2 3 2 3 2 7" xfId="18927"/>
    <cellStyle name="Input 2 2 3 2 3 3" xfId="15185"/>
    <cellStyle name="Input 2 2 3 2 3 4" xfId="15186"/>
    <cellStyle name="Input 2 2 3 2 3 5" xfId="18928"/>
    <cellStyle name="Input 2 2 3 2 3 6" xfId="18929"/>
    <cellStyle name="Input 2 2 3 2 3 7" xfId="18930"/>
    <cellStyle name="Input 2 2 3 2 3 8" xfId="18931"/>
    <cellStyle name="Input 2 2 3 2 4" xfId="13402"/>
    <cellStyle name="Input 2 2 3 2 4 2" xfId="13403"/>
    <cellStyle name="Input 2 2 3 2 4 2 2" xfId="15187"/>
    <cellStyle name="Input 2 2 3 2 4 2 3" xfId="15188"/>
    <cellStyle name="Input 2 2 3 2 4 2 4" xfId="18932"/>
    <cellStyle name="Input 2 2 3 2 4 2 5" xfId="18933"/>
    <cellStyle name="Input 2 2 3 2 4 2 6" xfId="18934"/>
    <cellStyle name="Input 2 2 3 2 4 2 7" xfId="18935"/>
    <cellStyle name="Input 2 2 3 2 4 3" xfId="15189"/>
    <cellStyle name="Input 2 2 3 2 4 4" xfId="15190"/>
    <cellStyle name="Input 2 2 3 2 4 5" xfId="18936"/>
    <cellStyle name="Input 2 2 3 2 4 6" xfId="18937"/>
    <cellStyle name="Input 2 2 3 2 4 7" xfId="18938"/>
    <cellStyle name="Input 2 2 3 2 4 8" xfId="18939"/>
    <cellStyle name="Input 2 2 3 2 5" xfId="13404"/>
    <cellStyle name="Input 2 2 3 2 5 2" xfId="15191"/>
    <cellStyle name="Input 2 2 3 2 5 3" xfId="15192"/>
    <cellStyle name="Input 2 2 3 2 5 4" xfId="18940"/>
    <cellStyle name="Input 2 2 3 2 5 5" xfId="18941"/>
    <cellStyle name="Input 2 2 3 2 5 6" xfId="18942"/>
    <cellStyle name="Input 2 2 3 2 5 7" xfId="18943"/>
    <cellStyle name="Input 2 2 3 2 6" xfId="15193"/>
    <cellStyle name="Input 2 2 3 2 7" xfId="15194"/>
    <cellStyle name="Input 2 2 3 2 8" xfId="18944"/>
    <cellStyle name="Input 2 2 3 2 9" xfId="18945"/>
    <cellStyle name="Input 2 2 3 3" xfId="3156"/>
    <cellStyle name="Input 2 2 3 3 2" xfId="13405"/>
    <cellStyle name="Input 2 2 3 3 2 2" xfId="13406"/>
    <cellStyle name="Input 2 2 3 3 2 2 2" xfId="15195"/>
    <cellStyle name="Input 2 2 3 3 2 2 3" xfId="15196"/>
    <cellStyle name="Input 2 2 3 3 2 2 4" xfId="18946"/>
    <cellStyle name="Input 2 2 3 3 2 2 5" xfId="18947"/>
    <cellStyle name="Input 2 2 3 3 2 2 6" xfId="18948"/>
    <cellStyle name="Input 2 2 3 3 2 2 7" xfId="18949"/>
    <cellStyle name="Input 2 2 3 3 2 3" xfId="15197"/>
    <cellStyle name="Input 2 2 3 3 2 4" xfId="15198"/>
    <cellStyle name="Input 2 2 3 3 2 5" xfId="18950"/>
    <cellStyle name="Input 2 2 3 3 2 6" xfId="18951"/>
    <cellStyle name="Input 2 2 3 3 2 7" xfId="18952"/>
    <cellStyle name="Input 2 2 3 3 2 8" xfId="18953"/>
    <cellStyle name="Input 2 2 3 3 3" xfId="13407"/>
    <cellStyle name="Input 2 2 3 3 3 2" xfId="13408"/>
    <cellStyle name="Input 2 2 3 3 3 2 2" xfId="15199"/>
    <cellStyle name="Input 2 2 3 3 3 2 3" xfId="15200"/>
    <cellStyle name="Input 2 2 3 3 3 2 4" xfId="18954"/>
    <cellStyle name="Input 2 2 3 3 3 2 5" xfId="18955"/>
    <cellStyle name="Input 2 2 3 3 3 2 6" xfId="18956"/>
    <cellStyle name="Input 2 2 3 3 3 2 7" xfId="18957"/>
    <cellStyle name="Input 2 2 3 3 3 3" xfId="15201"/>
    <cellStyle name="Input 2 2 3 3 3 4" xfId="15202"/>
    <cellStyle name="Input 2 2 3 3 3 5" xfId="18958"/>
    <cellStyle name="Input 2 2 3 3 3 6" xfId="18959"/>
    <cellStyle name="Input 2 2 3 3 3 7" xfId="18960"/>
    <cellStyle name="Input 2 2 3 3 3 8" xfId="18961"/>
    <cellStyle name="Input 2 2 3 3 4" xfId="13409"/>
    <cellStyle name="Input 2 2 3 3 4 2" xfId="13410"/>
    <cellStyle name="Input 2 2 3 3 4 2 2" xfId="15203"/>
    <cellStyle name="Input 2 2 3 3 4 2 3" xfId="15204"/>
    <cellStyle name="Input 2 2 3 3 4 2 4" xfId="18962"/>
    <cellStyle name="Input 2 2 3 3 4 2 5" xfId="18963"/>
    <cellStyle name="Input 2 2 3 3 4 2 6" xfId="18964"/>
    <cellStyle name="Input 2 2 3 3 4 2 7" xfId="18965"/>
    <cellStyle name="Input 2 2 3 3 4 3" xfId="15205"/>
    <cellStyle name="Input 2 2 3 3 4 4" xfId="15206"/>
    <cellStyle name="Input 2 2 3 3 4 5" xfId="18966"/>
    <cellStyle name="Input 2 2 3 3 4 6" xfId="18967"/>
    <cellStyle name="Input 2 2 3 3 4 7" xfId="18968"/>
    <cellStyle name="Input 2 2 3 3 4 8" xfId="18969"/>
    <cellStyle name="Input 2 2 3 3 5" xfId="13411"/>
    <cellStyle name="Input 2 2 3 3 5 2" xfId="15207"/>
    <cellStyle name="Input 2 2 3 3 5 3" xfId="15208"/>
    <cellStyle name="Input 2 2 3 3 5 4" xfId="18970"/>
    <cellStyle name="Input 2 2 3 3 5 5" xfId="18971"/>
    <cellStyle name="Input 2 2 3 3 5 6" xfId="18972"/>
    <cellStyle name="Input 2 2 3 3 5 7" xfId="18973"/>
    <cellStyle name="Input 2 2 3 3 6" xfId="15209"/>
    <cellStyle name="Input 2 2 3 3 7" xfId="15210"/>
    <cellStyle name="Input 2 2 3 3 8" xfId="18974"/>
    <cellStyle name="Input 2 2 3 3 9" xfId="18975"/>
    <cellStyle name="Input 2 2 3 4" xfId="3102"/>
    <cellStyle name="Input 2 2 3 4 2" xfId="13412"/>
    <cellStyle name="Input 2 2 3 4 2 2" xfId="13413"/>
    <cellStyle name="Input 2 2 3 4 2 2 2" xfId="15211"/>
    <cellStyle name="Input 2 2 3 4 2 2 3" xfId="15212"/>
    <cellStyle name="Input 2 2 3 4 2 2 4" xfId="18976"/>
    <cellStyle name="Input 2 2 3 4 2 2 5" xfId="18977"/>
    <cellStyle name="Input 2 2 3 4 2 2 6" xfId="18978"/>
    <cellStyle name="Input 2 2 3 4 2 2 7" xfId="18979"/>
    <cellStyle name="Input 2 2 3 4 2 3" xfId="15213"/>
    <cellStyle name="Input 2 2 3 4 2 4" xfId="15214"/>
    <cellStyle name="Input 2 2 3 4 2 5" xfId="18980"/>
    <cellStyle name="Input 2 2 3 4 2 6" xfId="18981"/>
    <cellStyle name="Input 2 2 3 4 2 7" xfId="18982"/>
    <cellStyle name="Input 2 2 3 4 2 8" xfId="18983"/>
    <cellStyle name="Input 2 2 3 4 3" xfId="13414"/>
    <cellStyle name="Input 2 2 3 4 3 2" xfId="13415"/>
    <cellStyle name="Input 2 2 3 4 3 2 2" xfId="15215"/>
    <cellStyle name="Input 2 2 3 4 3 2 3" xfId="15216"/>
    <cellStyle name="Input 2 2 3 4 3 2 4" xfId="18984"/>
    <cellStyle name="Input 2 2 3 4 3 2 5" xfId="18985"/>
    <cellStyle name="Input 2 2 3 4 3 2 6" xfId="18986"/>
    <cellStyle name="Input 2 2 3 4 3 2 7" xfId="18987"/>
    <cellStyle name="Input 2 2 3 4 3 3" xfId="15217"/>
    <cellStyle name="Input 2 2 3 4 3 4" xfId="15218"/>
    <cellStyle name="Input 2 2 3 4 3 5" xfId="18988"/>
    <cellStyle name="Input 2 2 3 4 3 6" xfId="18989"/>
    <cellStyle name="Input 2 2 3 4 3 7" xfId="18990"/>
    <cellStyle name="Input 2 2 3 4 3 8" xfId="18991"/>
    <cellStyle name="Input 2 2 3 4 4" xfId="13416"/>
    <cellStyle name="Input 2 2 3 4 4 2" xfId="13417"/>
    <cellStyle name="Input 2 2 3 4 4 2 2" xfId="15219"/>
    <cellStyle name="Input 2 2 3 4 4 2 3" xfId="15220"/>
    <cellStyle name="Input 2 2 3 4 4 2 4" xfId="18992"/>
    <cellStyle name="Input 2 2 3 4 4 2 5" xfId="18993"/>
    <cellStyle name="Input 2 2 3 4 4 2 6" xfId="18994"/>
    <cellStyle name="Input 2 2 3 4 4 2 7" xfId="18995"/>
    <cellStyle name="Input 2 2 3 4 4 3" xfId="15221"/>
    <cellStyle name="Input 2 2 3 4 4 4" xfId="15222"/>
    <cellStyle name="Input 2 2 3 4 4 5" xfId="18996"/>
    <cellStyle name="Input 2 2 3 4 4 6" xfId="18997"/>
    <cellStyle name="Input 2 2 3 4 4 7" xfId="18998"/>
    <cellStyle name="Input 2 2 3 4 4 8" xfId="18999"/>
    <cellStyle name="Input 2 2 3 4 5" xfId="13418"/>
    <cellStyle name="Input 2 2 3 4 5 2" xfId="15223"/>
    <cellStyle name="Input 2 2 3 4 5 3" xfId="15224"/>
    <cellStyle name="Input 2 2 3 4 5 4" xfId="19000"/>
    <cellStyle name="Input 2 2 3 4 5 5" xfId="19001"/>
    <cellStyle name="Input 2 2 3 4 5 6" xfId="19002"/>
    <cellStyle name="Input 2 2 3 4 5 7" xfId="19003"/>
    <cellStyle name="Input 2 2 3 4 6" xfId="15225"/>
    <cellStyle name="Input 2 2 3 4 7" xfId="15226"/>
    <cellStyle name="Input 2 2 3 4 8" xfId="19004"/>
    <cellStyle name="Input 2 2 3 4 9" xfId="19005"/>
    <cellStyle name="Input 2 2 3 5" xfId="3210"/>
    <cellStyle name="Input 2 2 3 5 2" xfId="13419"/>
    <cellStyle name="Input 2 2 3 5 2 2" xfId="13420"/>
    <cellStyle name="Input 2 2 3 5 2 2 2" xfId="15227"/>
    <cellStyle name="Input 2 2 3 5 2 2 3" xfId="15228"/>
    <cellStyle name="Input 2 2 3 5 2 2 4" xfId="19006"/>
    <cellStyle name="Input 2 2 3 5 2 2 5" xfId="19007"/>
    <cellStyle name="Input 2 2 3 5 2 2 6" xfId="19008"/>
    <cellStyle name="Input 2 2 3 5 2 2 7" xfId="19009"/>
    <cellStyle name="Input 2 2 3 5 2 3" xfId="15229"/>
    <cellStyle name="Input 2 2 3 5 2 4" xfId="15230"/>
    <cellStyle name="Input 2 2 3 5 2 5" xfId="19010"/>
    <cellStyle name="Input 2 2 3 5 2 6" xfId="19011"/>
    <cellStyle name="Input 2 2 3 5 2 7" xfId="19012"/>
    <cellStyle name="Input 2 2 3 5 2 8" xfId="19013"/>
    <cellStyle name="Input 2 2 3 5 3" xfId="13421"/>
    <cellStyle name="Input 2 2 3 5 3 2" xfId="13422"/>
    <cellStyle name="Input 2 2 3 5 3 2 2" xfId="15231"/>
    <cellStyle name="Input 2 2 3 5 3 2 3" xfId="15232"/>
    <cellStyle name="Input 2 2 3 5 3 2 4" xfId="19014"/>
    <cellStyle name="Input 2 2 3 5 3 2 5" xfId="19015"/>
    <cellStyle name="Input 2 2 3 5 3 2 6" xfId="19016"/>
    <cellStyle name="Input 2 2 3 5 3 2 7" xfId="19017"/>
    <cellStyle name="Input 2 2 3 5 3 3" xfId="15233"/>
    <cellStyle name="Input 2 2 3 5 3 4" xfId="15234"/>
    <cellStyle name="Input 2 2 3 5 3 5" xfId="19018"/>
    <cellStyle name="Input 2 2 3 5 3 6" xfId="19019"/>
    <cellStyle name="Input 2 2 3 5 3 7" xfId="19020"/>
    <cellStyle name="Input 2 2 3 5 3 8" xfId="19021"/>
    <cellStyle name="Input 2 2 3 5 4" xfId="13423"/>
    <cellStyle name="Input 2 2 3 5 4 2" xfId="13424"/>
    <cellStyle name="Input 2 2 3 5 4 2 2" xfId="15235"/>
    <cellStyle name="Input 2 2 3 5 4 2 3" xfId="15236"/>
    <cellStyle name="Input 2 2 3 5 4 2 4" xfId="19022"/>
    <cellStyle name="Input 2 2 3 5 4 2 5" xfId="19023"/>
    <cellStyle name="Input 2 2 3 5 4 2 6" xfId="19024"/>
    <cellStyle name="Input 2 2 3 5 4 2 7" xfId="19025"/>
    <cellStyle name="Input 2 2 3 5 4 3" xfId="15237"/>
    <cellStyle name="Input 2 2 3 5 4 4" xfId="15238"/>
    <cellStyle name="Input 2 2 3 5 4 5" xfId="19026"/>
    <cellStyle name="Input 2 2 3 5 4 6" xfId="19027"/>
    <cellStyle name="Input 2 2 3 5 4 7" xfId="19028"/>
    <cellStyle name="Input 2 2 3 5 4 8" xfId="19029"/>
    <cellStyle name="Input 2 2 3 5 5" xfId="13425"/>
    <cellStyle name="Input 2 2 3 5 5 2" xfId="15239"/>
    <cellStyle name="Input 2 2 3 5 5 3" xfId="15240"/>
    <cellStyle name="Input 2 2 3 5 5 4" xfId="19030"/>
    <cellStyle name="Input 2 2 3 5 5 5" xfId="19031"/>
    <cellStyle name="Input 2 2 3 5 5 6" xfId="19032"/>
    <cellStyle name="Input 2 2 3 5 5 7" xfId="19033"/>
    <cellStyle name="Input 2 2 3 5 6" xfId="15241"/>
    <cellStyle name="Input 2 2 3 5 7" xfId="15242"/>
    <cellStyle name="Input 2 2 3 5 8" xfId="19034"/>
    <cellStyle name="Input 2 2 3 5 9" xfId="19035"/>
    <cellStyle name="Input 2 2 3 6" xfId="13426"/>
    <cellStyle name="Input 2 2 3 6 2" xfId="13427"/>
    <cellStyle name="Input 2 2 3 6 2 2" xfId="15243"/>
    <cellStyle name="Input 2 2 3 6 2 3" xfId="15244"/>
    <cellStyle name="Input 2 2 3 6 2 4" xfId="19036"/>
    <cellStyle name="Input 2 2 3 6 2 5" xfId="19037"/>
    <cellStyle name="Input 2 2 3 6 2 6" xfId="19038"/>
    <cellStyle name="Input 2 2 3 6 2 7" xfId="19039"/>
    <cellStyle name="Input 2 2 3 6 3" xfId="15245"/>
    <cellStyle name="Input 2 2 3 6 4" xfId="15246"/>
    <cellStyle name="Input 2 2 3 6 5" xfId="19040"/>
    <cellStyle name="Input 2 2 3 6 6" xfId="19041"/>
    <cellStyle name="Input 2 2 3 6 7" xfId="19042"/>
    <cellStyle name="Input 2 2 3 6 8" xfId="19043"/>
    <cellStyle name="Input 2 2 3 7" xfId="13428"/>
    <cellStyle name="Input 2 2 3 7 2" xfId="13429"/>
    <cellStyle name="Input 2 2 3 7 2 2" xfId="15247"/>
    <cellStyle name="Input 2 2 3 7 2 3" xfId="15248"/>
    <cellStyle name="Input 2 2 3 7 2 4" xfId="19044"/>
    <cellStyle name="Input 2 2 3 7 2 5" xfId="19045"/>
    <cellStyle name="Input 2 2 3 7 2 6" xfId="19046"/>
    <cellStyle name="Input 2 2 3 7 2 7" xfId="19047"/>
    <cellStyle name="Input 2 2 3 7 3" xfId="15249"/>
    <cellStyle name="Input 2 2 3 7 4" xfId="15250"/>
    <cellStyle name="Input 2 2 3 7 5" xfId="19048"/>
    <cellStyle name="Input 2 2 3 7 6" xfId="19049"/>
    <cellStyle name="Input 2 2 3 7 7" xfId="19050"/>
    <cellStyle name="Input 2 2 3 7 8" xfId="19051"/>
    <cellStyle name="Input 2 2 3 8" xfId="13430"/>
    <cellStyle name="Input 2 2 3 8 2" xfId="13431"/>
    <cellStyle name="Input 2 2 3 8 2 2" xfId="15251"/>
    <cellStyle name="Input 2 2 3 8 2 3" xfId="15252"/>
    <cellStyle name="Input 2 2 3 8 2 4" xfId="19052"/>
    <cellStyle name="Input 2 2 3 8 2 5" xfId="19053"/>
    <cellStyle name="Input 2 2 3 8 2 6" xfId="19054"/>
    <cellStyle name="Input 2 2 3 8 2 7" xfId="19055"/>
    <cellStyle name="Input 2 2 3 8 3" xfId="15253"/>
    <cellStyle name="Input 2 2 3 8 4" xfId="15254"/>
    <cellStyle name="Input 2 2 3 8 5" xfId="19056"/>
    <cellStyle name="Input 2 2 3 8 6" xfId="19057"/>
    <cellStyle name="Input 2 2 3 8 7" xfId="19058"/>
    <cellStyle name="Input 2 2 3 8 8" xfId="19059"/>
    <cellStyle name="Input 2 2 3 9" xfId="13432"/>
    <cellStyle name="Input 2 2 3 9 2" xfId="15255"/>
    <cellStyle name="Input 2 2 3 9 3" xfId="15256"/>
    <cellStyle name="Input 2 2 3 9 4" xfId="19060"/>
    <cellStyle name="Input 2 2 3 9 5" xfId="19061"/>
    <cellStyle name="Input 2 2 3 9 6" xfId="19062"/>
    <cellStyle name="Input 2 2 3 9 7" xfId="19063"/>
    <cellStyle name="Input 2 2 4" xfId="1783"/>
    <cellStyle name="Input 2 2 4 10" xfId="19064"/>
    <cellStyle name="Input 2 2 4 11" xfId="19065"/>
    <cellStyle name="Input 2 2 4 2" xfId="13433"/>
    <cellStyle name="Input 2 2 4 2 2" xfId="13434"/>
    <cellStyle name="Input 2 2 4 2 2 2" xfId="15257"/>
    <cellStyle name="Input 2 2 4 2 2 3" xfId="15258"/>
    <cellStyle name="Input 2 2 4 2 2 4" xfId="19066"/>
    <cellStyle name="Input 2 2 4 2 2 5" xfId="19067"/>
    <cellStyle name="Input 2 2 4 2 2 6" xfId="19068"/>
    <cellStyle name="Input 2 2 4 2 2 7" xfId="19069"/>
    <cellStyle name="Input 2 2 4 2 3" xfId="15259"/>
    <cellStyle name="Input 2 2 4 2 4" xfId="15260"/>
    <cellStyle name="Input 2 2 4 2 5" xfId="19070"/>
    <cellStyle name="Input 2 2 4 2 6" xfId="19071"/>
    <cellStyle name="Input 2 2 4 2 7" xfId="19072"/>
    <cellStyle name="Input 2 2 4 2 8" xfId="19073"/>
    <cellStyle name="Input 2 2 4 3" xfId="13435"/>
    <cellStyle name="Input 2 2 4 3 2" xfId="13436"/>
    <cellStyle name="Input 2 2 4 3 2 2" xfId="15261"/>
    <cellStyle name="Input 2 2 4 3 2 3" xfId="15262"/>
    <cellStyle name="Input 2 2 4 3 2 4" xfId="19074"/>
    <cellStyle name="Input 2 2 4 3 2 5" xfId="19075"/>
    <cellStyle name="Input 2 2 4 3 2 6" xfId="19076"/>
    <cellStyle name="Input 2 2 4 3 2 7" xfId="19077"/>
    <cellStyle name="Input 2 2 4 3 3" xfId="15263"/>
    <cellStyle name="Input 2 2 4 3 4" xfId="15264"/>
    <cellStyle name="Input 2 2 4 3 5" xfId="19078"/>
    <cellStyle name="Input 2 2 4 3 6" xfId="19079"/>
    <cellStyle name="Input 2 2 4 3 7" xfId="19080"/>
    <cellStyle name="Input 2 2 4 3 8" xfId="19081"/>
    <cellStyle name="Input 2 2 4 4" xfId="13437"/>
    <cellStyle name="Input 2 2 4 4 2" xfId="13438"/>
    <cellStyle name="Input 2 2 4 4 2 2" xfId="15265"/>
    <cellStyle name="Input 2 2 4 4 2 3" xfId="15266"/>
    <cellStyle name="Input 2 2 4 4 2 4" xfId="19082"/>
    <cellStyle name="Input 2 2 4 4 2 5" xfId="19083"/>
    <cellStyle name="Input 2 2 4 4 2 6" xfId="19084"/>
    <cellStyle name="Input 2 2 4 4 2 7" xfId="19085"/>
    <cellStyle name="Input 2 2 4 4 3" xfId="15267"/>
    <cellStyle name="Input 2 2 4 4 4" xfId="15268"/>
    <cellStyle name="Input 2 2 4 4 5" xfId="19086"/>
    <cellStyle name="Input 2 2 4 4 6" xfId="19087"/>
    <cellStyle name="Input 2 2 4 4 7" xfId="19088"/>
    <cellStyle name="Input 2 2 4 4 8" xfId="19089"/>
    <cellStyle name="Input 2 2 4 5" xfId="13439"/>
    <cellStyle name="Input 2 2 4 5 2" xfId="15269"/>
    <cellStyle name="Input 2 2 4 5 3" xfId="15270"/>
    <cellStyle name="Input 2 2 4 5 4" xfId="19090"/>
    <cellStyle name="Input 2 2 4 5 5" xfId="19091"/>
    <cellStyle name="Input 2 2 4 5 6" xfId="19092"/>
    <cellStyle name="Input 2 2 4 5 7" xfId="19093"/>
    <cellStyle name="Input 2 2 4 6" xfId="3299"/>
    <cellStyle name="Input 2 2 4 7" xfId="15271"/>
    <cellStyle name="Input 2 2 4 8" xfId="19094"/>
    <cellStyle name="Input 2 2 4 9" xfId="19095"/>
    <cellStyle name="Input 2 2 5" xfId="13440"/>
    <cellStyle name="Input 2 2 5 2" xfId="13441"/>
    <cellStyle name="Input 2 2 5 2 2" xfId="15272"/>
    <cellStyle name="Input 2 2 5 2 3" xfId="15273"/>
    <cellStyle name="Input 2 2 5 2 4" xfId="19096"/>
    <cellStyle name="Input 2 2 5 2 5" xfId="19097"/>
    <cellStyle name="Input 2 2 5 2 6" xfId="19098"/>
    <cellStyle name="Input 2 2 5 2 7" xfId="19099"/>
    <cellStyle name="Input 2 2 5 3" xfId="15274"/>
    <cellStyle name="Input 2 2 5 4" xfId="15275"/>
    <cellStyle name="Input 2 2 5 5" xfId="19100"/>
    <cellStyle name="Input 2 2 5 6" xfId="19101"/>
    <cellStyle name="Input 2 2 5 7" xfId="19102"/>
    <cellStyle name="Input 2 2 5 8" xfId="19103"/>
    <cellStyle name="Input 2 2 6" xfId="13442"/>
    <cellStyle name="Input 2 2 6 2" xfId="13443"/>
    <cellStyle name="Input 2 2 6 2 2" xfId="15276"/>
    <cellStyle name="Input 2 2 6 2 3" xfId="15277"/>
    <cellStyle name="Input 2 2 6 2 4" xfId="19104"/>
    <cellStyle name="Input 2 2 6 2 5" xfId="19105"/>
    <cellStyle name="Input 2 2 6 2 6" xfId="19106"/>
    <cellStyle name="Input 2 2 6 2 7" xfId="19107"/>
    <cellStyle name="Input 2 2 6 3" xfId="15278"/>
    <cellStyle name="Input 2 2 6 4" xfId="15279"/>
    <cellStyle name="Input 2 2 6 5" xfId="19108"/>
    <cellStyle name="Input 2 2 6 6" xfId="19109"/>
    <cellStyle name="Input 2 2 6 7" xfId="19110"/>
    <cellStyle name="Input 2 2 6 8" xfId="19111"/>
    <cellStyle name="Input 2 2 7" xfId="13444"/>
    <cellStyle name="Input 2 2 7 2" xfId="13445"/>
    <cellStyle name="Input 2 2 7 2 2" xfId="15280"/>
    <cellStyle name="Input 2 2 7 2 3" xfId="15281"/>
    <cellStyle name="Input 2 2 7 2 4" xfId="19112"/>
    <cellStyle name="Input 2 2 7 2 5" xfId="19113"/>
    <cellStyle name="Input 2 2 7 2 6" xfId="19114"/>
    <cellStyle name="Input 2 2 7 2 7" xfId="19115"/>
    <cellStyle name="Input 2 2 7 3" xfId="15282"/>
    <cellStyle name="Input 2 2 7 4" xfId="15283"/>
    <cellStyle name="Input 2 2 7 5" xfId="19116"/>
    <cellStyle name="Input 2 2 7 6" xfId="19117"/>
    <cellStyle name="Input 2 2 7 7" xfId="19118"/>
    <cellStyle name="Input 2 2 7 8" xfId="19119"/>
    <cellStyle name="Input 2 2 8" xfId="13446"/>
    <cellStyle name="Input 2 2 8 2" xfId="15284"/>
    <cellStyle name="Input 2 2 8 3" xfId="15285"/>
    <cellStyle name="Input 2 2 8 4" xfId="19120"/>
    <cellStyle name="Input 2 2 8 5" xfId="19121"/>
    <cellStyle name="Input 2 2 8 6" xfId="19122"/>
    <cellStyle name="Input 2 2 8 7" xfId="19123"/>
    <cellStyle name="Input 2 2 9" xfId="15286"/>
    <cellStyle name="Input 2 3" xfId="418"/>
    <cellStyle name="Input 2 3 10" xfId="19124"/>
    <cellStyle name="Input 2 3 11" xfId="19125"/>
    <cellStyle name="Input 2 3 2" xfId="1787"/>
    <cellStyle name="Input 2 3 2 10" xfId="2984"/>
    <cellStyle name="Input 2 3 2 11" xfId="15287"/>
    <cellStyle name="Input 2 3 2 12" xfId="19126"/>
    <cellStyle name="Input 2 3 2 13" xfId="19127"/>
    <cellStyle name="Input 2 3 2 2" xfId="3055"/>
    <cellStyle name="Input 2 3 2 2 2" xfId="13447"/>
    <cellStyle name="Input 2 3 2 2 2 2" xfId="13448"/>
    <cellStyle name="Input 2 3 2 2 2 2 2" xfId="15288"/>
    <cellStyle name="Input 2 3 2 2 2 2 3" xfId="15289"/>
    <cellStyle name="Input 2 3 2 2 2 2 4" xfId="19128"/>
    <cellStyle name="Input 2 3 2 2 2 2 5" xfId="19129"/>
    <cellStyle name="Input 2 3 2 2 2 2 6" xfId="19130"/>
    <cellStyle name="Input 2 3 2 2 2 2 7" xfId="19131"/>
    <cellStyle name="Input 2 3 2 2 2 3" xfId="15290"/>
    <cellStyle name="Input 2 3 2 2 2 4" xfId="15291"/>
    <cellStyle name="Input 2 3 2 2 2 5" xfId="19132"/>
    <cellStyle name="Input 2 3 2 2 2 6" xfId="19133"/>
    <cellStyle name="Input 2 3 2 2 2 7" xfId="19134"/>
    <cellStyle name="Input 2 3 2 2 2 8" xfId="19135"/>
    <cellStyle name="Input 2 3 2 2 3" xfId="13449"/>
    <cellStyle name="Input 2 3 2 2 3 2" xfId="13450"/>
    <cellStyle name="Input 2 3 2 2 3 2 2" xfId="15292"/>
    <cellStyle name="Input 2 3 2 2 3 2 3" xfId="15293"/>
    <cellStyle name="Input 2 3 2 2 3 2 4" xfId="19136"/>
    <cellStyle name="Input 2 3 2 2 3 2 5" xfId="19137"/>
    <cellStyle name="Input 2 3 2 2 3 2 6" xfId="19138"/>
    <cellStyle name="Input 2 3 2 2 3 2 7" xfId="19139"/>
    <cellStyle name="Input 2 3 2 2 3 3" xfId="15294"/>
    <cellStyle name="Input 2 3 2 2 3 4" xfId="15295"/>
    <cellStyle name="Input 2 3 2 2 3 5" xfId="19140"/>
    <cellStyle name="Input 2 3 2 2 3 6" xfId="19141"/>
    <cellStyle name="Input 2 3 2 2 3 7" xfId="19142"/>
    <cellStyle name="Input 2 3 2 2 3 8" xfId="19143"/>
    <cellStyle name="Input 2 3 2 2 4" xfId="13451"/>
    <cellStyle name="Input 2 3 2 2 4 2" xfId="13452"/>
    <cellStyle name="Input 2 3 2 2 4 2 2" xfId="15296"/>
    <cellStyle name="Input 2 3 2 2 4 2 3" xfId="15297"/>
    <cellStyle name="Input 2 3 2 2 4 2 4" xfId="19144"/>
    <cellStyle name="Input 2 3 2 2 4 2 5" xfId="19145"/>
    <cellStyle name="Input 2 3 2 2 4 2 6" xfId="19146"/>
    <cellStyle name="Input 2 3 2 2 4 2 7" xfId="19147"/>
    <cellStyle name="Input 2 3 2 2 4 3" xfId="15298"/>
    <cellStyle name="Input 2 3 2 2 4 4" xfId="15299"/>
    <cellStyle name="Input 2 3 2 2 4 5" xfId="19148"/>
    <cellStyle name="Input 2 3 2 2 4 6" xfId="19149"/>
    <cellStyle name="Input 2 3 2 2 4 7" xfId="19150"/>
    <cellStyle name="Input 2 3 2 2 4 8" xfId="19151"/>
    <cellStyle name="Input 2 3 2 2 5" xfId="13453"/>
    <cellStyle name="Input 2 3 2 2 5 2" xfId="15300"/>
    <cellStyle name="Input 2 3 2 2 5 3" xfId="15301"/>
    <cellStyle name="Input 2 3 2 2 5 4" xfId="19152"/>
    <cellStyle name="Input 2 3 2 2 5 5" xfId="19153"/>
    <cellStyle name="Input 2 3 2 2 5 6" xfId="19154"/>
    <cellStyle name="Input 2 3 2 2 5 7" xfId="19155"/>
    <cellStyle name="Input 2 3 2 2 6" xfId="15302"/>
    <cellStyle name="Input 2 3 2 2 7" xfId="15303"/>
    <cellStyle name="Input 2 3 2 2 8" xfId="19156"/>
    <cellStyle name="Input 2 3 2 2 9" xfId="19157"/>
    <cellStyle name="Input 2 3 2 3" xfId="3158"/>
    <cellStyle name="Input 2 3 2 3 2" xfId="13454"/>
    <cellStyle name="Input 2 3 2 3 2 2" xfId="13455"/>
    <cellStyle name="Input 2 3 2 3 2 2 2" xfId="15304"/>
    <cellStyle name="Input 2 3 2 3 2 2 3" xfId="15305"/>
    <cellStyle name="Input 2 3 2 3 2 2 4" xfId="19158"/>
    <cellStyle name="Input 2 3 2 3 2 2 5" xfId="19159"/>
    <cellStyle name="Input 2 3 2 3 2 2 6" xfId="19160"/>
    <cellStyle name="Input 2 3 2 3 2 2 7" xfId="19161"/>
    <cellStyle name="Input 2 3 2 3 2 3" xfId="15306"/>
    <cellStyle name="Input 2 3 2 3 2 4" xfId="15307"/>
    <cellStyle name="Input 2 3 2 3 2 5" xfId="19162"/>
    <cellStyle name="Input 2 3 2 3 2 6" xfId="19163"/>
    <cellStyle name="Input 2 3 2 3 2 7" xfId="19164"/>
    <cellStyle name="Input 2 3 2 3 2 8" xfId="19165"/>
    <cellStyle name="Input 2 3 2 3 3" xfId="13456"/>
    <cellStyle name="Input 2 3 2 3 3 2" xfId="13457"/>
    <cellStyle name="Input 2 3 2 3 3 2 2" xfId="15308"/>
    <cellStyle name="Input 2 3 2 3 3 2 3" xfId="15309"/>
    <cellStyle name="Input 2 3 2 3 3 2 4" xfId="19166"/>
    <cellStyle name="Input 2 3 2 3 3 2 5" xfId="19167"/>
    <cellStyle name="Input 2 3 2 3 3 2 6" xfId="19168"/>
    <cellStyle name="Input 2 3 2 3 3 2 7" xfId="19169"/>
    <cellStyle name="Input 2 3 2 3 3 3" xfId="15310"/>
    <cellStyle name="Input 2 3 2 3 3 4" xfId="15311"/>
    <cellStyle name="Input 2 3 2 3 3 5" xfId="19170"/>
    <cellStyle name="Input 2 3 2 3 3 6" xfId="19171"/>
    <cellStyle name="Input 2 3 2 3 3 7" xfId="19172"/>
    <cellStyle name="Input 2 3 2 3 3 8" xfId="19173"/>
    <cellStyle name="Input 2 3 2 3 4" xfId="13458"/>
    <cellStyle name="Input 2 3 2 3 4 2" xfId="13459"/>
    <cellStyle name="Input 2 3 2 3 4 2 2" xfId="15312"/>
    <cellStyle name="Input 2 3 2 3 4 2 3" xfId="15313"/>
    <cellStyle name="Input 2 3 2 3 4 2 4" xfId="19174"/>
    <cellStyle name="Input 2 3 2 3 4 2 5" xfId="19175"/>
    <cellStyle name="Input 2 3 2 3 4 2 6" xfId="19176"/>
    <cellStyle name="Input 2 3 2 3 4 2 7" xfId="19177"/>
    <cellStyle name="Input 2 3 2 3 4 3" xfId="15314"/>
    <cellStyle name="Input 2 3 2 3 4 4" xfId="15315"/>
    <cellStyle name="Input 2 3 2 3 4 5" xfId="19178"/>
    <cellStyle name="Input 2 3 2 3 4 6" xfId="19179"/>
    <cellStyle name="Input 2 3 2 3 4 7" xfId="19180"/>
    <cellStyle name="Input 2 3 2 3 4 8" xfId="19181"/>
    <cellStyle name="Input 2 3 2 3 5" xfId="13460"/>
    <cellStyle name="Input 2 3 2 3 5 2" xfId="15316"/>
    <cellStyle name="Input 2 3 2 3 5 3" xfId="15317"/>
    <cellStyle name="Input 2 3 2 3 5 4" xfId="19182"/>
    <cellStyle name="Input 2 3 2 3 5 5" xfId="19183"/>
    <cellStyle name="Input 2 3 2 3 5 6" xfId="19184"/>
    <cellStyle name="Input 2 3 2 3 5 7" xfId="19185"/>
    <cellStyle name="Input 2 3 2 3 6" xfId="15318"/>
    <cellStyle name="Input 2 3 2 3 7" xfId="15319"/>
    <cellStyle name="Input 2 3 2 3 8" xfId="19186"/>
    <cellStyle name="Input 2 3 2 3 9" xfId="19187"/>
    <cellStyle name="Input 2 3 2 4" xfId="3178"/>
    <cellStyle name="Input 2 3 2 4 2" xfId="13461"/>
    <cellStyle name="Input 2 3 2 4 2 2" xfId="13462"/>
    <cellStyle name="Input 2 3 2 4 2 2 2" xfId="15320"/>
    <cellStyle name="Input 2 3 2 4 2 2 3" xfId="15321"/>
    <cellStyle name="Input 2 3 2 4 2 2 4" xfId="19188"/>
    <cellStyle name="Input 2 3 2 4 2 2 5" xfId="19189"/>
    <cellStyle name="Input 2 3 2 4 2 2 6" xfId="19190"/>
    <cellStyle name="Input 2 3 2 4 2 2 7" xfId="19191"/>
    <cellStyle name="Input 2 3 2 4 2 3" xfId="15322"/>
    <cellStyle name="Input 2 3 2 4 2 4" xfId="15323"/>
    <cellStyle name="Input 2 3 2 4 2 5" xfId="19192"/>
    <cellStyle name="Input 2 3 2 4 2 6" xfId="19193"/>
    <cellStyle name="Input 2 3 2 4 2 7" xfId="19194"/>
    <cellStyle name="Input 2 3 2 4 2 8" xfId="19195"/>
    <cellStyle name="Input 2 3 2 4 3" xfId="13463"/>
    <cellStyle name="Input 2 3 2 4 3 2" xfId="13464"/>
    <cellStyle name="Input 2 3 2 4 3 2 2" xfId="15324"/>
    <cellStyle name="Input 2 3 2 4 3 2 3" xfId="15325"/>
    <cellStyle name="Input 2 3 2 4 3 2 4" xfId="19196"/>
    <cellStyle name="Input 2 3 2 4 3 2 5" xfId="19197"/>
    <cellStyle name="Input 2 3 2 4 3 2 6" xfId="19198"/>
    <cellStyle name="Input 2 3 2 4 3 2 7" xfId="19199"/>
    <cellStyle name="Input 2 3 2 4 3 3" xfId="15326"/>
    <cellStyle name="Input 2 3 2 4 3 4" xfId="15327"/>
    <cellStyle name="Input 2 3 2 4 3 5" xfId="19200"/>
    <cellStyle name="Input 2 3 2 4 3 6" xfId="19201"/>
    <cellStyle name="Input 2 3 2 4 3 7" xfId="19202"/>
    <cellStyle name="Input 2 3 2 4 3 8" xfId="19203"/>
    <cellStyle name="Input 2 3 2 4 4" xfId="13465"/>
    <cellStyle name="Input 2 3 2 4 4 2" xfId="13466"/>
    <cellStyle name="Input 2 3 2 4 4 2 2" xfId="15328"/>
    <cellStyle name="Input 2 3 2 4 4 2 3" xfId="15329"/>
    <cellStyle name="Input 2 3 2 4 4 2 4" xfId="19204"/>
    <cellStyle name="Input 2 3 2 4 4 2 5" xfId="19205"/>
    <cellStyle name="Input 2 3 2 4 4 2 6" xfId="19206"/>
    <cellStyle name="Input 2 3 2 4 4 2 7" xfId="19207"/>
    <cellStyle name="Input 2 3 2 4 4 3" xfId="15330"/>
    <cellStyle name="Input 2 3 2 4 4 4" xfId="15331"/>
    <cellStyle name="Input 2 3 2 4 4 5" xfId="19208"/>
    <cellStyle name="Input 2 3 2 4 4 6" xfId="19209"/>
    <cellStyle name="Input 2 3 2 4 4 7" xfId="19210"/>
    <cellStyle name="Input 2 3 2 4 4 8" xfId="19211"/>
    <cellStyle name="Input 2 3 2 4 5" xfId="13467"/>
    <cellStyle name="Input 2 3 2 4 5 2" xfId="15332"/>
    <cellStyle name="Input 2 3 2 4 5 3" xfId="15333"/>
    <cellStyle name="Input 2 3 2 4 5 4" xfId="19212"/>
    <cellStyle name="Input 2 3 2 4 5 5" xfId="19213"/>
    <cellStyle name="Input 2 3 2 4 5 6" xfId="19214"/>
    <cellStyle name="Input 2 3 2 4 5 7" xfId="19215"/>
    <cellStyle name="Input 2 3 2 4 6" xfId="15334"/>
    <cellStyle name="Input 2 3 2 4 7" xfId="15335"/>
    <cellStyle name="Input 2 3 2 4 8" xfId="19216"/>
    <cellStyle name="Input 2 3 2 4 9" xfId="19217"/>
    <cellStyle name="Input 2 3 2 5" xfId="3128"/>
    <cellStyle name="Input 2 3 2 5 2" xfId="13468"/>
    <cellStyle name="Input 2 3 2 5 2 2" xfId="13469"/>
    <cellStyle name="Input 2 3 2 5 2 2 2" xfId="15336"/>
    <cellStyle name="Input 2 3 2 5 2 2 3" xfId="15337"/>
    <cellStyle name="Input 2 3 2 5 2 2 4" xfId="19218"/>
    <cellStyle name="Input 2 3 2 5 2 2 5" xfId="19219"/>
    <cellStyle name="Input 2 3 2 5 2 2 6" xfId="19220"/>
    <cellStyle name="Input 2 3 2 5 2 2 7" xfId="19221"/>
    <cellStyle name="Input 2 3 2 5 2 3" xfId="15338"/>
    <cellStyle name="Input 2 3 2 5 2 4" xfId="15339"/>
    <cellStyle name="Input 2 3 2 5 2 5" xfId="19222"/>
    <cellStyle name="Input 2 3 2 5 2 6" xfId="19223"/>
    <cellStyle name="Input 2 3 2 5 2 7" xfId="19224"/>
    <cellStyle name="Input 2 3 2 5 2 8" xfId="19225"/>
    <cellStyle name="Input 2 3 2 5 3" xfId="13470"/>
    <cellStyle name="Input 2 3 2 5 3 2" xfId="13471"/>
    <cellStyle name="Input 2 3 2 5 3 2 2" xfId="15340"/>
    <cellStyle name="Input 2 3 2 5 3 2 3" xfId="15341"/>
    <cellStyle name="Input 2 3 2 5 3 2 4" xfId="19226"/>
    <cellStyle name="Input 2 3 2 5 3 2 5" xfId="19227"/>
    <cellStyle name="Input 2 3 2 5 3 2 6" xfId="19228"/>
    <cellStyle name="Input 2 3 2 5 3 2 7" xfId="19229"/>
    <cellStyle name="Input 2 3 2 5 3 3" xfId="15342"/>
    <cellStyle name="Input 2 3 2 5 3 4" xfId="15343"/>
    <cellStyle name="Input 2 3 2 5 3 5" xfId="19230"/>
    <cellStyle name="Input 2 3 2 5 3 6" xfId="19231"/>
    <cellStyle name="Input 2 3 2 5 3 7" xfId="19232"/>
    <cellStyle name="Input 2 3 2 5 3 8" xfId="19233"/>
    <cellStyle name="Input 2 3 2 5 4" xfId="13472"/>
    <cellStyle name="Input 2 3 2 5 4 2" xfId="13473"/>
    <cellStyle name="Input 2 3 2 5 4 2 2" xfId="15344"/>
    <cellStyle name="Input 2 3 2 5 4 2 3" xfId="15345"/>
    <cellStyle name="Input 2 3 2 5 4 2 4" xfId="19234"/>
    <cellStyle name="Input 2 3 2 5 4 2 5" xfId="19235"/>
    <cellStyle name="Input 2 3 2 5 4 2 6" xfId="19236"/>
    <cellStyle name="Input 2 3 2 5 4 2 7" xfId="19237"/>
    <cellStyle name="Input 2 3 2 5 4 3" xfId="15346"/>
    <cellStyle name="Input 2 3 2 5 4 4" xfId="15347"/>
    <cellStyle name="Input 2 3 2 5 4 5" xfId="19238"/>
    <cellStyle name="Input 2 3 2 5 4 6" xfId="19239"/>
    <cellStyle name="Input 2 3 2 5 4 7" xfId="19240"/>
    <cellStyle name="Input 2 3 2 5 4 8" xfId="19241"/>
    <cellStyle name="Input 2 3 2 5 5" xfId="13474"/>
    <cellStyle name="Input 2 3 2 5 5 2" xfId="15348"/>
    <cellStyle name="Input 2 3 2 5 5 3" xfId="15349"/>
    <cellStyle name="Input 2 3 2 5 5 4" xfId="19242"/>
    <cellStyle name="Input 2 3 2 5 5 5" xfId="19243"/>
    <cellStyle name="Input 2 3 2 5 5 6" xfId="19244"/>
    <cellStyle name="Input 2 3 2 5 5 7" xfId="19245"/>
    <cellStyle name="Input 2 3 2 5 6" xfId="15350"/>
    <cellStyle name="Input 2 3 2 5 7" xfId="15351"/>
    <cellStyle name="Input 2 3 2 5 8" xfId="19246"/>
    <cellStyle name="Input 2 3 2 5 9" xfId="19247"/>
    <cellStyle name="Input 2 3 2 6" xfId="13475"/>
    <cellStyle name="Input 2 3 2 6 2" xfId="13476"/>
    <cellStyle name="Input 2 3 2 6 2 2" xfId="15352"/>
    <cellStyle name="Input 2 3 2 6 2 3" xfId="15353"/>
    <cellStyle name="Input 2 3 2 6 2 4" xfId="19248"/>
    <cellStyle name="Input 2 3 2 6 2 5" xfId="19249"/>
    <cellStyle name="Input 2 3 2 6 2 6" xfId="19250"/>
    <cellStyle name="Input 2 3 2 6 2 7" xfId="19251"/>
    <cellStyle name="Input 2 3 2 6 3" xfId="15354"/>
    <cellStyle name="Input 2 3 2 6 4" xfId="15355"/>
    <cellStyle name="Input 2 3 2 6 5" xfId="19252"/>
    <cellStyle name="Input 2 3 2 6 6" xfId="19253"/>
    <cellStyle name="Input 2 3 2 6 7" xfId="19254"/>
    <cellStyle name="Input 2 3 2 6 8" xfId="19255"/>
    <cellStyle name="Input 2 3 2 7" xfId="13477"/>
    <cellStyle name="Input 2 3 2 7 2" xfId="13478"/>
    <cellStyle name="Input 2 3 2 7 2 2" xfId="15356"/>
    <cellStyle name="Input 2 3 2 7 2 3" xfId="15357"/>
    <cellStyle name="Input 2 3 2 7 2 4" xfId="19256"/>
    <cellStyle name="Input 2 3 2 7 2 5" xfId="19257"/>
    <cellStyle name="Input 2 3 2 7 2 6" xfId="19258"/>
    <cellStyle name="Input 2 3 2 7 2 7" xfId="19259"/>
    <cellStyle name="Input 2 3 2 7 3" xfId="15358"/>
    <cellStyle name="Input 2 3 2 7 4" xfId="15359"/>
    <cellStyle name="Input 2 3 2 7 5" xfId="19260"/>
    <cellStyle name="Input 2 3 2 7 6" xfId="19261"/>
    <cellStyle name="Input 2 3 2 7 7" xfId="19262"/>
    <cellStyle name="Input 2 3 2 7 8" xfId="19263"/>
    <cellStyle name="Input 2 3 2 8" xfId="13479"/>
    <cellStyle name="Input 2 3 2 8 2" xfId="13480"/>
    <cellStyle name="Input 2 3 2 8 2 2" xfId="15360"/>
    <cellStyle name="Input 2 3 2 8 2 3" xfId="15361"/>
    <cellStyle name="Input 2 3 2 8 2 4" xfId="19264"/>
    <cellStyle name="Input 2 3 2 8 2 5" xfId="19265"/>
    <cellStyle name="Input 2 3 2 8 2 6" xfId="19266"/>
    <cellStyle name="Input 2 3 2 8 2 7" xfId="19267"/>
    <cellStyle name="Input 2 3 2 8 3" xfId="15362"/>
    <cellStyle name="Input 2 3 2 8 4" xfId="15363"/>
    <cellStyle name="Input 2 3 2 8 5" xfId="19268"/>
    <cellStyle name="Input 2 3 2 8 6" xfId="19269"/>
    <cellStyle name="Input 2 3 2 8 7" xfId="19270"/>
    <cellStyle name="Input 2 3 2 8 8" xfId="19271"/>
    <cellStyle name="Input 2 3 2 9" xfId="13481"/>
    <cellStyle name="Input 2 3 2 9 2" xfId="15364"/>
    <cellStyle name="Input 2 3 2 9 3" xfId="15365"/>
    <cellStyle name="Input 2 3 2 9 4" xfId="19272"/>
    <cellStyle name="Input 2 3 2 9 5" xfId="19273"/>
    <cellStyle name="Input 2 3 2 9 6" xfId="19274"/>
    <cellStyle name="Input 2 3 2 9 7" xfId="19275"/>
    <cellStyle name="Input 2 3 3" xfId="1786"/>
    <cellStyle name="Input 2 3 3 10" xfId="19276"/>
    <cellStyle name="Input 2 3 3 11" xfId="19277"/>
    <cellStyle name="Input 2 3 3 2" xfId="13482"/>
    <cellStyle name="Input 2 3 3 2 2" xfId="13483"/>
    <cellStyle name="Input 2 3 3 2 2 2" xfId="15366"/>
    <cellStyle name="Input 2 3 3 2 2 3" xfId="15367"/>
    <cellStyle name="Input 2 3 3 2 2 4" xfId="19278"/>
    <cellStyle name="Input 2 3 3 2 2 5" xfId="19279"/>
    <cellStyle name="Input 2 3 3 2 2 6" xfId="19280"/>
    <cellStyle name="Input 2 3 3 2 2 7" xfId="19281"/>
    <cellStyle name="Input 2 3 3 2 3" xfId="15368"/>
    <cellStyle name="Input 2 3 3 2 4" xfId="15369"/>
    <cellStyle name="Input 2 3 3 2 5" xfId="19282"/>
    <cellStyle name="Input 2 3 3 2 6" xfId="19283"/>
    <cellStyle name="Input 2 3 3 2 7" xfId="19284"/>
    <cellStyle name="Input 2 3 3 2 8" xfId="19285"/>
    <cellStyle name="Input 2 3 3 3" xfId="13484"/>
    <cellStyle name="Input 2 3 3 3 2" xfId="13485"/>
    <cellStyle name="Input 2 3 3 3 2 2" xfId="15370"/>
    <cellStyle name="Input 2 3 3 3 2 3" xfId="15371"/>
    <cellStyle name="Input 2 3 3 3 2 4" xfId="19286"/>
    <cellStyle name="Input 2 3 3 3 2 5" xfId="19287"/>
    <cellStyle name="Input 2 3 3 3 2 6" xfId="19288"/>
    <cellStyle name="Input 2 3 3 3 2 7" xfId="19289"/>
    <cellStyle name="Input 2 3 3 3 3" xfId="15372"/>
    <cellStyle name="Input 2 3 3 3 4" xfId="15373"/>
    <cellStyle name="Input 2 3 3 3 5" xfId="19290"/>
    <cellStyle name="Input 2 3 3 3 6" xfId="19291"/>
    <cellStyle name="Input 2 3 3 3 7" xfId="19292"/>
    <cellStyle name="Input 2 3 3 3 8" xfId="19293"/>
    <cellStyle name="Input 2 3 3 4" xfId="13486"/>
    <cellStyle name="Input 2 3 3 4 2" xfId="13487"/>
    <cellStyle name="Input 2 3 3 4 2 2" xfId="15374"/>
    <cellStyle name="Input 2 3 3 4 2 3" xfId="15375"/>
    <cellStyle name="Input 2 3 3 4 2 4" xfId="19294"/>
    <cellStyle name="Input 2 3 3 4 2 5" xfId="19295"/>
    <cellStyle name="Input 2 3 3 4 2 6" xfId="19296"/>
    <cellStyle name="Input 2 3 3 4 2 7" xfId="19297"/>
    <cellStyle name="Input 2 3 3 4 3" xfId="15376"/>
    <cellStyle name="Input 2 3 3 4 4" xfId="15377"/>
    <cellStyle name="Input 2 3 3 4 5" xfId="19298"/>
    <cellStyle name="Input 2 3 3 4 6" xfId="19299"/>
    <cellStyle name="Input 2 3 3 4 7" xfId="19300"/>
    <cellStyle name="Input 2 3 3 4 8" xfId="19301"/>
    <cellStyle name="Input 2 3 3 5" xfId="13488"/>
    <cellStyle name="Input 2 3 3 5 2" xfId="15378"/>
    <cellStyle name="Input 2 3 3 5 3" xfId="15379"/>
    <cellStyle name="Input 2 3 3 5 4" xfId="19302"/>
    <cellStyle name="Input 2 3 3 5 5" xfId="19303"/>
    <cellStyle name="Input 2 3 3 5 6" xfId="19304"/>
    <cellStyle name="Input 2 3 3 5 7" xfId="19305"/>
    <cellStyle name="Input 2 3 3 6" xfId="3300"/>
    <cellStyle name="Input 2 3 3 7" xfId="15380"/>
    <cellStyle name="Input 2 3 3 8" xfId="19306"/>
    <cellStyle name="Input 2 3 3 9" xfId="19307"/>
    <cellStyle name="Input 2 3 4" xfId="13489"/>
    <cellStyle name="Input 2 3 4 2" xfId="13490"/>
    <cellStyle name="Input 2 3 4 2 2" xfId="15381"/>
    <cellStyle name="Input 2 3 4 2 3" xfId="15382"/>
    <cellStyle name="Input 2 3 4 2 4" xfId="19308"/>
    <cellStyle name="Input 2 3 4 2 5" xfId="19309"/>
    <cellStyle name="Input 2 3 4 2 6" xfId="19310"/>
    <cellStyle name="Input 2 3 4 2 7" xfId="19311"/>
    <cellStyle name="Input 2 3 4 3" xfId="15383"/>
    <cellStyle name="Input 2 3 4 4" xfId="15384"/>
    <cellStyle name="Input 2 3 4 5" xfId="19312"/>
    <cellStyle name="Input 2 3 4 6" xfId="19313"/>
    <cellStyle name="Input 2 3 4 7" xfId="19314"/>
    <cellStyle name="Input 2 3 4 8" xfId="19315"/>
    <cellStyle name="Input 2 3 5" xfId="13491"/>
    <cellStyle name="Input 2 3 5 2" xfId="13492"/>
    <cellStyle name="Input 2 3 5 2 2" xfId="15385"/>
    <cellStyle name="Input 2 3 5 2 3" xfId="15386"/>
    <cellStyle name="Input 2 3 5 2 4" xfId="19316"/>
    <cellStyle name="Input 2 3 5 2 5" xfId="19317"/>
    <cellStyle name="Input 2 3 5 2 6" xfId="19318"/>
    <cellStyle name="Input 2 3 5 2 7" xfId="19319"/>
    <cellStyle name="Input 2 3 5 3" xfId="15387"/>
    <cellStyle name="Input 2 3 5 4" xfId="15388"/>
    <cellStyle name="Input 2 3 5 5" xfId="19320"/>
    <cellStyle name="Input 2 3 5 6" xfId="19321"/>
    <cellStyle name="Input 2 3 5 7" xfId="19322"/>
    <cellStyle name="Input 2 3 5 8" xfId="19323"/>
    <cellStyle name="Input 2 3 6" xfId="13493"/>
    <cellStyle name="Input 2 3 6 2" xfId="13494"/>
    <cellStyle name="Input 2 3 6 2 2" xfId="15389"/>
    <cellStyle name="Input 2 3 6 2 3" xfId="15390"/>
    <cellStyle name="Input 2 3 6 2 4" xfId="19324"/>
    <cellStyle name="Input 2 3 6 2 5" xfId="19325"/>
    <cellStyle name="Input 2 3 6 2 6" xfId="19326"/>
    <cellStyle name="Input 2 3 6 2 7" xfId="19327"/>
    <cellStyle name="Input 2 3 6 3" xfId="15391"/>
    <cellStyle name="Input 2 3 6 4" xfId="15392"/>
    <cellStyle name="Input 2 3 6 5" xfId="19328"/>
    <cellStyle name="Input 2 3 6 6" xfId="19329"/>
    <cellStyle name="Input 2 3 6 7" xfId="19330"/>
    <cellStyle name="Input 2 3 6 8" xfId="19331"/>
    <cellStyle name="Input 2 3 7" xfId="13495"/>
    <cellStyle name="Input 2 3 7 2" xfId="15393"/>
    <cellStyle name="Input 2 3 7 3" xfId="15394"/>
    <cellStyle name="Input 2 3 7 4" xfId="19332"/>
    <cellStyle name="Input 2 3 7 5" xfId="19333"/>
    <cellStyle name="Input 2 3 7 6" xfId="19334"/>
    <cellStyle name="Input 2 3 7 7" xfId="19335"/>
    <cellStyle name="Input 2 3 8" xfId="15395"/>
    <cellStyle name="Input 2 3 9" xfId="15396"/>
    <cellStyle name="Input 2 4" xfId="1788"/>
    <cellStyle name="Input 2 4 10" xfId="2951"/>
    <cellStyle name="Input 2 4 11" xfId="15397"/>
    <cellStyle name="Input 2 4 12" xfId="19336"/>
    <cellStyle name="Input 2 4 13" xfId="19337"/>
    <cellStyle name="Input 2 4 2" xfId="3037"/>
    <cellStyle name="Input 2 4 2 2" xfId="13496"/>
    <cellStyle name="Input 2 4 2 2 2" xfId="13497"/>
    <cellStyle name="Input 2 4 2 2 2 2" xfId="15398"/>
    <cellStyle name="Input 2 4 2 2 2 3" xfId="15399"/>
    <cellStyle name="Input 2 4 2 2 2 4" xfId="19338"/>
    <cellStyle name="Input 2 4 2 2 2 5" xfId="19339"/>
    <cellStyle name="Input 2 4 2 2 2 6" xfId="19340"/>
    <cellStyle name="Input 2 4 2 2 2 7" xfId="19341"/>
    <cellStyle name="Input 2 4 2 2 3" xfId="15400"/>
    <cellStyle name="Input 2 4 2 2 4" xfId="15401"/>
    <cellStyle name="Input 2 4 2 2 5" xfId="19342"/>
    <cellStyle name="Input 2 4 2 2 6" xfId="19343"/>
    <cellStyle name="Input 2 4 2 2 7" xfId="19344"/>
    <cellStyle name="Input 2 4 2 2 8" xfId="19345"/>
    <cellStyle name="Input 2 4 2 3" xfId="13498"/>
    <cellStyle name="Input 2 4 2 3 2" xfId="13499"/>
    <cellStyle name="Input 2 4 2 3 2 2" xfId="15402"/>
    <cellStyle name="Input 2 4 2 3 2 3" xfId="15403"/>
    <cellStyle name="Input 2 4 2 3 2 4" xfId="19346"/>
    <cellStyle name="Input 2 4 2 3 2 5" xfId="19347"/>
    <cellStyle name="Input 2 4 2 3 2 6" xfId="19348"/>
    <cellStyle name="Input 2 4 2 3 2 7" xfId="19349"/>
    <cellStyle name="Input 2 4 2 3 3" xfId="15404"/>
    <cellStyle name="Input 2 4 2 3 4" xfId="15405"/>
    <cellStyle name="Input 2 4 2 3 5" xfId="19350"/>
    <cellStyle name="Input 2 4 2 3 6" xfId="19351"/>
    <cellStyle name="Input 2 4 2 3 7" xfId="19352"/>
    <cellStyle name="Input 2 4 2 3 8" xfId="19353"/>
    <cellStyle name="Input 2 4 2 4" xfId="13500"/>
    <cellStyle name="Input 2 4 2 4 2" xfId="13501"/>
    <cellStyle name="Input 2 4 2 4 2 2" xfId="15406"/>
    <cellStyle name="Input 2 4 2 4 2 3" xfId="15407"/>
    <cellStyle name="Input 2 4 2 4 2 4" xfId="19354"/>
    <cellStyle name="Input 2 4 2 4 2 5" xfId="19355"/>
    <cellStyle name="Input 2 4 2 4 2 6" xfId="19356"/>
    <cellStyle name="Input 2 4 2 4 2 7" xfId="19357"/>
    <cellStyle name="Input 2 4 2 4 3" xfId="15408"/>
    <cellStyle name="Input 2 4 2 4 4" xfId="15409"/>
    <cellStyle name="Input 2 4 2 4 5" xfId="19358"/>
    <cellStyle name="Input 2 4 2 4 6" xfId="19359"/>
    <cellStyle name="Input 2 4 2 4 7" xfId="19360"/>
    <cellStyle name="Input 2 4 2 4 8" xfId="19361"/>
    <cellStyle name="Input 2 4 2 5" xfId="13502"/>
    <cellStyle name="Input 2 4 2 5 2" xfId="15410"/>
    <cellStyle name="Input 2 4 2 5 3" xfId="15411"/>
    <cellStyle name="Input 2 4 2 5 4" xfId="19362"/>
    <cellStyle name="Input 2 4 2 5 5" xfId="19363"/>
    <cellStyle name="Input 2 4 2 5 6" xfId="19364"/>
    <cellStyle name="Input 2 4 2 5 7" xfId="19365"/>
    <cellStyle name="Input 2 4 2 6" xfId="15412"/>
    <cellStyle name="Input 2 4 2 7" xfId="15413"/>
    <cellStyle name="Input 2 4 2 8" xfId="19366"/>
    <cellStyle name="Input 2 4 2 9" xfId="19367"/>
    <cellStyle name="Input 2 4 3" xfId="3140"/>
    <cellStyle name="Input 2 4 3 2" xfId="13503"/>
    <cellStyle name="Input 2 4 3 2 2" xfId="13504"/>
    <cellStyle name="Input 2 4 3 2 2 2" xfId="15414"/>
    <cellStyle name="Input 2 4 3 2 2 3" xfId="15415"/>
    <cellStyle name="Input 2 4 3 2 2 4" xfId="19368"/>
    <cellStyle name="Input 2 4 3 2 2 5" xfId="19369"/>
    <cellStyle name="Input 2 4 3 2 2 6" xfId="19370"/>
    <cellStyle name="Input 2 4 3 2 2 7" xfId="19371"/>
    <cellStyle name="Input 2 4 3 2 3" xfId="15416"/>
    <cellStyle name="Input 2 4 3 2 4" xfId="15417"/>
    <cellStyle name="Input 2 4 3 2 5" xfId="19372"/>
    <cellStyle name="Input 2 4 3 2 6" xfId="19373"/>
    <cellStyle name="Input 2 4 3 2 7" xfId="19374"/>
    <cellStyle name="Input 2 4 3 2 8" xfId="19375"/>
    <cellStyle name="Input 2 4 3 3" xfId="13505"/>
    <cellStyle name="Input 2 4 3 3 2" xfId="13506"/>
    <cellStyle name="Input 2 4 3 3 2 2" xfId="15418"/>
    <cellStyle name="Input 2 4 3 3 2 3" xfId="15419"/>
    <cellStyle name="Input 2 4 3 3 2 4" xfId="19376"/>
    <cellStyle name="Input 2 4 3 3 2 5" xfId="19377"/>
    <cellStyle name="Input 2 4 3 3 2 6" xfId="19378"/>
    <cellStyle name="Input 2 4 3 3 2 7" xfId="19379"/>
    <cellStyle name="Input 2 4 3 3 3" xfId="15420"/>
    <cellStyle name="Input 2 4 3 3 4" xfId="15421"/>
    <cellStyle name="Input 2 4 3 3 5" xfId="19380"/>
    <cellStyle name="Input 2 4 3 3 6" xfId="19381"/>
    <cellStyle name="Input 2 4 3 3 7" xfId="19382"/>
    <cellStyle name="Input 2 4 3 3 8" xfId="19383"/>
    <cellStyle name="Input 2 4 3 4" xfId="13507"/>
    <cellStyle name="Input 2 4 3 4 2" xfId="13508"/>
    <cellStyle name="Input 2 4 3 4 2 2" xfId="15422"/>
    <cellStyle name="Input 2 4 3 4 2 3" xfId="15423"/>
    <cellStyle name="Input 2 4 3 4 2 4" xfId="19384"/>
    <cellStyle name="Input 2 4 3 4 2 5" xfId="19385"/>
    <cellStyle name="Input 2 4 3 4 2 6" xfId="19386"/>
    <cellStyle name="Input 2 4 3 4 2 7" xfId="19387"/>
    <cellStyle name="Input 2 4 3 4 3" xfId="15424"/>
    <cellStyle name="Input 2 4 3 4 4" xfId="15425"/>
    <cellStyle name="Input 2 4 3 4 5" xfId="19388"/>
    <cellStyle name="Input 2 4 3 4 6" xfId="19389"/>
    <cellStyle name="Input 2 4 3 4 7" xfId="19390"/>
    <cellStyle name="Input 2 4 3 4 8" xfId="19391"/>
    <cellStyle name="Input 2 4 3 5" xfId="13509"/>
    <cellStyle name="Input 2 4 3 5 2" xfId="15426"/>
    <cellStyle name="Input 2 4 3 5 3" xfId="15427"/>
    <cellStyle name="Input 2 4 3 5 4" xfId="19392"/>
    <cellStyle name="Input 2 4 3 5 5" xfId="19393"/>
    <cellStyle name="Input 2 4 3 5 6" xfId="19394"/>
    <cellStyle name="Input 2 4 3 5 7" xfId="19395"/>
    <cellStyle name="Input 2 4 3 6" xfId="15428"/>
    <cellStyle name="Input 2 4 3 7" xfId="15429"/>
    <cellStyle name="Input 2 4 3 8" xfId="19396"/>
    <cellStyle name="Input 2 4 3 9" xfId="19397"/>
    <cellStyle name="Input 2 4 4" xfId="3113"/>
    <cellStyle name="Input 2 4 4 2" xfId="13510"/>
    <cellStyle name="Input 2 4 4 2 2" xfId="13511"/>
    <cellStyle name="Input 2 4 4 2 2 2" xfId="15430"/>
    <cellStyle name="Input 2 4 4 2 2 3" xfId="15431"/>
    <cellStyle name="Input 2 4 4 2 2 4" xfId="19398"/>
    <cellStyle name="Input 2 4 4 2 2 5" xfId="19399"/>
    <cellStyle name="Input 2 4 4 2 2 6" xfId="19400"/>
    <cellStyle name="Input 2 4 4 2 2 7" xfId="19401"/>
    <cellStyle name="Input 2 4 4 2 3" xfId="15432"/>
    <cellStyle name="Input 2 4 4 2 4" xfId="15433"/>
    <cellStyle name="Input 2 4 4 2 5" xfId="19402"/>
    <cellStyle name="Input 2 4 4 2 6" xfId="19403"/>
    <cellStyle name="Input 2 4 4 2 7" xfId="19404"/>
    <cellStyle name="Input 2 4 4 2 8" xfId="19405"/>
    <cellStyle name="Input 2 4 4 3" xfId="13512"/>
    <cellStyle name="Input 2 4 4 3 2" xfId="13513"/>
    <cellStyle name="Input 2 4 4 3 2 2" xfId="15434"/>
    <cellStyle name="Input 2 4 4 3 2 3" xfId="15435"/>
    <cellStyle name="Input 2 4 4 3 2 4" xfId="19406"/>
    <cellStyle name="Input 2 4 4 3 2 5" xfId="19407"/>
    <cellStyle name="Input 2 4 4 3 2 6" xfId="19408"/>
    <cellStyle name="Input 2 4 4 3 2 7" xfId="19409"/>
    <cellStyle name="Input 2 4 4 3 3" xfId="15436"/>
    <cellStyle name="Input 2 4 4 3 4" xfId="15437"/>
    <cellStyle name="Input 2 4 4 3 5" xfId="19410"/>
    <cellStyle name="Input 2 4 4 3 6" xfId="19411"/>
    <cellStyle name="Input 2 4 4 3 7" xfId="19412"/>
    <cellStyle name="Input 2 4 4 3 8" xfId="19413"/>
    <cellStyle name="Input 2 4 4 4" xfId="13514"/>
    <cellStyle name="Input 2 4 4 4 2" xfId="13515"/>
    <cellStyle name="Input 2 4 4 4 2 2" xfId="15438"/>
    <cellStyle name="Input 2 4 4 4 2 3" xfId="15439"/>
    <cellStyle name="Input 2 4 4 4 2 4" xfId="19414"/>
    <cellStyle name="Input 2 4 4 4 2 5" xfId="19415"/>
    <cellStyle name="Input 2 4 4 4 2 6" xfId="19416"/>
    <cellStyle name="Input 2 4 4 4 2 7" xfId="19417"/>
    <cellStyle name="Input 2 4 4 4 3" xfId="15440"/>
    <cellStyle name="Input 2 4 4 4 4" xfId="15441"/>
    <cellStyle name="Input 2 4 4 4 5" xfId="19418"/>
    <cellStyle name="Input 2 4 4 4 6" xfId="19419"/>
    <cellStyle name="Input 2 4 4 4 7" xfId="19420"/>
    <cellStyle name="Input 2 4 4 4 8" xfId="19421"/>
    <cellStyle name="Input 2 4 4 5" xfId="13516"/>
    <cellStyle name="Input 2 4 4 5 2" xfId="15442"/>
    <cellStyle name="Input 2 4 4 5 3" xfId="15443"/>
    <cellStyle name="Input 2 4 4 5 4" xfId="19422"/>
    <cellStyle name="Input 2 4 4 5 5" xfId="19423"/>
    <cellStyle name="Input 2 4 4 5 6" xfId="19424"/>
    <cellStyle name="Input 2 4 4 5 7" xfId="19425"/>
    <cellStyle name="Input 2 4 4 6" xfId="15444"/>
    <cellStyle name="Input 2 4 4 7" xfId="15445"/>
    <cellStyle name="Input 2 4 4 8" xfId="19426"/>
    <cellStyle name="Input 2 4 4 9" xfId="19427"/>
    <cellStyle name="Input 2 4 5" xfId="3217"/>
    <cellStyle name="Input 2 4 5 2" xfId="13517"/>
    <cellStyle name="Input 2 4 5 2 2" xfId="13518"/>
    <cellStyle name="Input 2 4 5 2 2 2" xfId="15446"/>
    <cellStyle name="Input 2 4 5 2 2 3" xfId="15447"/>
    <cellStyle name="Input 2 4 5 2 2 4" xfId="19428"/>
    <cellStyle name="Input 2 4 5 2 2 5" xfId="19429"/>
    <cellStyle name="Input 2 4 5 2 2 6" xfId="19430"/>
    <cellStyle name="Input 2 4 5 2 2 7" xfId="19431"/>
    <cellStyle name="Input 2 4 5 2 3" xfId="15448"/>
    <cellStyle name="Input 2 4 5 2 4" xfId="15449"/>
    <cellStyle name="Input 2 4 5 2 5" xfId="19432"/>
    <cellStyle name="Input 2 4 5 2 6" xfId="19433"/>
    <cellStyle name="Input 2 4 5 2 7" xfId="19434"/>
    <cellStyle name="Input 2 4 5 2 8" xfId="19435"/>
    <cellStyle name="Input 2 4 5 3" xfId="13519"/>
    <cellStyle name="Input 2 4 5 3 2" xfId="13520"/>
    <cellStyle name="Input 2 4 5 3 2 2" xfId="15450"/>
    <cellStyle name="Input 2 4 5 3 2 3" xfId="15451"/>
    <cellStyle name="Input 2 4 5 3 2 4" xfId="19436"/>
    <cellStyle name="Input 2 4 5 3 2 5" xfId="19437"/>
    <cellStyle name="Input 2 4 5 3 2 6" xfId="19438"/>
    <cellStyle name="Input 2 4 5 3 2 7" xfId="19439"/>
    <cellStyle name="Input 2 4 5 3 3" xfId="15452"/>
    <cellStyle name="Input 2 4 5 3 4" xfId="15453"/>
    <cellStyle name="Input 2 4 5 3 5" xfId="19440"/>
    <cellStyle name="Input 2 4 5 3 6" xfId="19441"/>
    <cellStyle name="Input 2 4 5 3 7" xfId="19442"/>
    <cellStyle name="Input 2 4 5 3 8" xfId="19443"/>
    <cellStyle name="Input 2 4 5 4" xfId="13521"/>
    <cellStyle name="Input 2 4 5 4 2" xfId="13522"/>
    <cellStyle name="Input 2 4 5 4 2 2" xfId="15454"/>
    <cellStyle name="Input 2 4 5 4 2 3" xfId="15455"/>
    <cellStyle name="Input 2 4 5 4 2 4" xfId="19444"/>
    <cellStyle name="Input 2 4 5 4 2 5" xfId="19445"/>
    <cellStyle name="Input 2 4 5 4 2 6" xfId="19446"/>
    <cellStyle name="Input 2 4 5 4 2 7" xfId="19447"/>
    <cellStyle name="Input 2 4 5 4 3" xfId="15456"/>
    <cellStyle name="Input 2 4 5 4 4" xfId="15457"/>
    <cellStyle name="Input 2 4 5 4 5" xfId="19448"/>
    <cellStyle name="Input 2 4 5 4 6" xfId="19449"/>
    <cellStyle name="Input 2 4 5 4 7" xfId="19450"/>
    <cellStyle name="Input 2 4 5 4 8" xfId="19451"/>
    <cellStyle name="Input 2 4 5 5" xfId="13523"/>
    <cellStyle name="Input 2 4 5 5 2" xfId="15458"/>
    <cellStyle name="Input 2 4 5 5 3" xfId="15459"/>
    <cellStyle name="Input 2 4 5 5 4" xfId="19452"/>
    <cellStyle name="Input 2 4 5 5 5" xfId="19453"/>
    <cellStyle name="Input 2 4 5 5 6" xfId="19454"/>
    <cellStyle name="Input 2 4 5 5 7" xfId="19455"/>
    <cellStyle name="Input 2 4 5 6" xfId="15460"/>
    <cellStyle name="Input 2 4 5 7" xfId="15461"/>
    <cellStyle name="Input 2 4 5 8" xfId="19456"/>
    <cellStyle name="Input 2 4 5 9" xfId="19457"/>
    <cellStyle name="Input 2 4 6" xfId="13524"/>
    <cellStyle name="Input 2 4 6 2" xfId="13525"/>
    <cellStyle name="Input 2 4 6 2 2" xfId="15462"/>
    <cellStyle name="Input 2 4 6 2 3" xfId="15463"/>
    <cellStyle name="Input 2 4 6 2 4" xfId="19458"/>
    <cellStyle name="Input 2 4 6 2 5" xfId="19459"/>
    <cellStyle name="Input 2 4 6 2 6" xfId="19460"/>
    <cellStyle name="Input 2 4 6 2 7" xfId="19461"/>
    <cellStyle name="Input 2 4 6 3" xfId="15464"/>
    <cellStyle name="Input 2 4 6 4" xfId="15465"/>
    <cellStyle name="Input 2 4 6 5" xfId="19462"/>
    <cellStyle name="Input 2 4 6 6" xfId="19463"/>
    <cellStyle name="Input 2 4 6 7" xfId="19464"/>
    <cellStyle name="Input 2 4 6 8" xfId="19465"/>
    <cellStyle name="Input 2 4 7" xfId="13526"/>
    <cellStyle name="Input 2 4 7 2" xfId="13527"/>
    <cellStyle name="Input 2 4 7 2 2" xfId="15466"/>
    <cellStyle name="Input 2 4 7 2 3" xfId="15467"/>
    <cellStyle name="Input 2 4 7 2 4" xfId="19466"/>
    <cellStyle name="Input 2 4 7 2 5" xfId="19467"/>
    <cellStyle name="Input 2 4 7 2 6" xfId="19468"/>
    <cellStyle name="Input 2 4 7 2 7" xfId="19469"/>
    <cellStyle name="Input 2 4 7 3" xfId="15468"/>
    <cellStyle name="Input 2 4 7 4" xfId="15469"/>
    <cellStyle name="Input 2 4 7 5" xfId="19470"/>
    <cellStyle name="Input 2 4 7 6" xfId="19471"/>
    <cellStyle name="Input 2 4 7 7" xfId="19472"/>
    <cellStyle name="Input 2 4 7 8" xfId="19473"/>
    <cellStyle name="Input 2 4 8" xfId="13528"/>
    <cellStyle name="Input 2 4 8 2" xfId="13529"/>
    <cellStyle name="Input 2 4 8 2 2" xfId="15470"/>
    <cellStyle name="Input 2 4 8 2 3" xfId="15471"/>
    <cellStyle name="Input 2 4 8 2 4" xfId="19474"/>
    <cellStyle name="Input 2 4 8 2 5" xfId="19475"/>
    <cellStyle name="Input 2 4 8 2 6" xfId="19476"/>
    <cellStyle name="Input 2 4 8 2 7" xfId="19477"/>
    <cellStyle name="Input 2 4 8 3" xfId="15472"/>
    <cellStyle name="Input 2 4 8 4" xfId="15473"/>
    <cellStyle name="Input 2 4 8 5" xfId="19478"/>
    <cellStyle name="Input 2 4 8 6" xfId="19479"/>
    <cellStyle name="Input 2 4 8 7" xfId="19480"/>
    <cellStyle name="Input 2 4 8 8" xfId="19481"/>
    <cellStyle name="Input 2 4 9" xfId="13530"/>
    <cellStyle name="Input 2 4 9 2" xfId="15474"/>
    <cellStyle name="Input 2 4 9 3" xfId="15475"/>
    <cellStyle name="Input 2 4 9 4" xfId="19482"/>
    <cellStyle name="Input 2 4 9 5" xfId="19483"/>
    <cellStyle name="Input 2 4 9 6" xfId="19484"/>
    <cellStyle name="Input 2 4 9 7" xfId="19485"/>
    <cellStyle name="Input 2 5" xfId="1395"/>
    <cellStyle name="Input 2 5 10" xfId="19486"/>
    <cellStyle name="Input 2 5 11" xfId="19487"/>
    <cellStyle name="Input 2 5 2" xfId="13531"/>
    <cellStyle name="Input 2 5 2 2" xfId="13532"/>
    <cellStyle name="Input 2 5 2 2 2" xfId="15476"/>
    <cellStyle name="Input 2 5 2 2 3" xfId="15477"/>
    <cellStyle name="Input 2 5 2 2 4" xfId="19488"/>
    <cellStyle name="Input 2 5 2 2 5" xfId="19489"/>
    <cellStyle name="Input 2 5 2 2 6" xfId="19490"/>
    <cellStyle name="Input 2 5 2 2 7" xfId="19491"/>
    <cellStyle name="Input 2 5 2 3" xfId="15478"/>
    <cellStyle name="Input 2 5 2 4" xfId="15479"/>
    <cellStyle name="Input 2 5 2 5" xfId="19492"/>
    <cellStyle name="Input 2 5 2 6" xfId="19493"/>
    <cellStyle name="Input 2 5 2 7" xfId="19494"/>
    <cellStyle name="Input 2 5 2 8" xfId="19495"/>
    <cellStyle name="Input 2 5 3" xfId="13533"/>
    <cellStyle name="Input 2 5 3 2" xfId="13534"/>
    <cellStyle name="Input 2 5 3 2 2" xfId="15480"/>
    <cellStyle name="Input 2 5 3 2 3" xfId="15481"/>
    <cellStyle name="Input 2 5 3 2 4" xfId="19496"/>
    <cellStyle name="Input 2 5 3 2 5" xfId="19497"/>
    <cellStyle name="Input 2 5 3 2 6" xfId="19498"/>
    <cellStyle name="Input 2 5 3 2 7" xfId="19499"/>
    <cellStyle name="Input 2 5 3 3" xfId="15482"/>
    <cellStyle name="Input 2 5 3 4" xfId="15483"/>
    <cellStyle name="Input 2 5 3 5" xfId="19500"/>
    <cellStyle name="Input 2 5 3 6" xfId="19501"/>
    <cellStyle name="Input 2 5 3 7" xfId="19502"/>
    <cellStyle name="Input 2 5 3 8" xfId="19503"/>
    <cellStyle name="Input 2 5 4" xfId="13535"/>
    <cellStyle name="Input 2 5 4 2" xfId="13536"/>
    <cellStyle name="Input 2 5 4 2 2" xfId="15484"/>
    <cellStyle name="Input 2 5 4 2 3" xfId="15485"/>
    <cellStyle name="Input 2 5 4 2 4" xfId="19504"/>
    <cellStyle name="Input 2 5 4 2 5" xfId="19505"/>
    <cellStyle name="Input 2 5 4 2 6" xfId="19506"/>
    <cellStyle name="Input 2 5 4 2 7" xfId="19507"/>
    <cellStyle name="Input 2 5 4 3" xfId="15486"/>
    <cellStyle name="Input 2 5 4 4" xfId="15487"/>
    <cellStyle name="Input 2 5 4 5" xfId="19508"/>
    <cellStyle name="Input 2 5 4 6" xfId="19509"/>
    <cellStyle name="Input 2 5 4 7" xfId="19510"/>
    <cellStyle name="Input 2 5 4 8" xfId="19511"/>
    <cellStyle name="Input 2 5 5" xfId="13537"/>
    <cellStyle name="Input 2 5 5 2" xfId="15488"/>
    <cellStyle name="Input 2 5 5 3" xfId="15489"/>
    <cellStyle name="Input 2 5 5 4" xfId="19512"/>
    <cellStyle name="Input 2 5 5 5" xfId="19513"/>
    <cellStyle name="Input 2 5 5 6" xfId="19514"/>
    <cellStyle name="Input 2 5 5 7" xfId="19515"/>
    <cellStyle name="Input 2 5 6" xfId="3301"/>
    <cellStyle name="Input 2 5 7" xfId="15490"/>
    <cellStyle name="Input 2 5 8" xfId="19516"/>
    <cellStyle name="Input 2 5 9" xfId="19517"/>
    <cellStyle name="Input 2 6" xfId="13538"/>
    <cellStyle name="Input 2 6 2" xfId="13539"/>
    <cellStyle name="Input 2 6 2 2" xfId="15491"/>
    <cellStyle name="Input 2 6 2 3" xfId="15492"/>
    <cellStyle name="Input 2 6 2 4" xfId="19518"/>
    <cellStyle name="Input 2 6 2 5" xfId="19519"/>
    <cellStyle name="Input 2 6 2 6" xfId="19520"/>
    <cellStyle name="Input 2 6 2 7" xfId="19521"/>
    <cellStyle name="Input 2 6 3" xfId="15493"/>
    <cellStyle name="Input 2 6 4" xfId="15494"/>
    <cellStyle name="Input 2 6 5" xfId="19522"/>
    <cellStyle name="Input 2 6 6" xfId="19523"/>
    <cellStyle name="Input 2 6 7" xfId="19524"/>
    <cellStyle name="Input 2 6 8" xfId="19525"/>
    <cellStyle name="Input 2 7" xfId="13540"/>
    <cellStyle name="Input 2 7 2" xfId="13541"/>
    <cellStyle name="Input 2 7 2 2" xfId="15495"/>
    <cellStyle name="Input 2 7 2 3" xfId="15496"/>
    <cellStyle name="Input 2 7 2 4" xfId="19526"/>
    <cellStyle name="Input 2 7 2 5" xfId="19527"/>
    <cellStyle name="Input 2 7 2 6" xfId="19528"/>
    <cellStyle name="Input 2 7 2 7" xfId="19529"/>
    <cellStyle name="Input 2 7 3" xfId="15497"/>
    <cellStyle name="Input 2 7 4" xfId="15498"/>
    <cellStyle name="Input 2 7 5" xfId="19530"/>
    <cellStyle name="Input 2 7 6" xfId="19531"/>
    <cellStyle name="Input 2 7 7" xfId="19532"/>
    <cellStyle name="Input 2 7 8" xfId="19533"/>
    <cellStyle name="Input 2 8" xfId="13542"/>
    <cellStyle name="Input 2 8 2" xfId="13543"/>
    <cellStyle name="Input 2 8 2 2" xfId="15499"/>
    <cellStyle name="Input 2 8 2 3" xfId="15500"/>
    <cellStyle name="Input 2 8 2 4" xfId="19534"/>
    <cellStyle name="Input 2 8 2 5" xfId="19535"/>
    <cellStyle name="Input 2 8 2 6" xfId="19536"/>
    <cellStyle name="Input 2 8 2 7" xfId="19537"/>
    <cellStyle name="Input 2 8 3" xfId="15501"/>
    <cellStyle name="Input 2 8 4" xfId="15502"/>
    <cellStyle name="Input 2 8 5" xfId="19538"/>
    <cellStyle name="Input 2 8 6" xfId="19539"/>
    <cellStyle name="Input 2 8 7" xfId="19540"/>
    <cellStyle name="Input 2 8 8" xfId="19541"/>
    <cellStyle name="Input 2 9" xfId="13544"/>
    <cellStyle name="Input 2 9 2" xfId="15503"/>
    <cellStyle name="Input 2 9 3" xfId="15504"/>
    <cellStyle name="Input 2 9 4" xfId="19542"/>
    <cellStyle name="Input 2 9 5" xfId="19543"/>
    <cellStyle name="Input 2 9 6" xfId="19544"/>
    <cellStyle name="Input 2 9 7" xfId="19545"/>
    <cellStyle name="Input 3" xfId="207"/>
    <cellStyle name="Input 3 2" xfId="420"/>
    <cellStyle name="Input 3 2 10" xfId="19546"/>
    <cellStyle name="Input 3 2 11" xfId="19547"/>
    <cellStyle name="Input 3 2 2" xfId="1789"/>
    <cellStyle name="Input 3 2 2 10" xfId="2985"/>
    <cellStyle name="Input 3 2 2 11" xfId="15505"/>
    <cellStyle name="Input 3 2 2 12" xfId="19548"/>
    <cellStyle name="Input 3 2 2 13" xfId="19549"/>
    <cellStyle name="Input 3 2 2 2" xfId="3056"/>
    <cellStyle name="Input 3 2 2 2 2" xfId="13545"/>
    <cellStyle name="Input 3 2 2 2 2 2" xfId="13546"/>
    <cellStyle name="Input 3 2 2 2 2 2 2" xfId="15506"/>
    <cellStyle name="Input 3 2 2 2 2 2 3" xfId="15507"/>
    <cellStyle name="Input 3 2 2 2 2 2 4" xfId="19550"/>
    <cellStyle name="Input 3 2 2 2 2 2 5" xfId="19551"/>
    <cellStyle name="Input 3 2 2 2 2 2 6" xfId="19552"/>
    <cellStyle name="Input 3 2 2 2 2 2 7" xfId="19553"/>
    <cellStyle name="Input 3 2 2 2 2 3" xfId="15508"/>
    <cellStyle name="Input 3 2 2 2 2 4" xfId="15509"/>
    <cellStyle name="Input 3 2 2 2 2 5" xfId="19554"/>
    <cellStyle name="Input 3 2 2 2 2 6" xfId="19555"/>
    <cellStyle name="Input 3 2 2 2 2 7" xfId="19556"/>
    <cellStyle name="Input 3 2 2 2 2 8" xfId="19557"/>
    <cellStyle name="Input 3 2 2 2 3" xfId="13547"/>
    <cellStyle name="Input 3 2 2 2 3 2" xfId="13548"/>
    <cellStyle name="Input 3 2 2 2 3 2 2" xfId="15510"/>
    <cellStyle name="Input 3 2 2 2 3 2 3" xfId="15511"/>
    <cellStyle name="Input 3 2 2 2 3 2 4" xfId="19558"/>
    <cellStyle name="Input 3 2 2 2 3 2 5" xfId="19559"/>
    <cellStyle name="Input 3 2 2 2 3 2 6" xfId="19560"/>
    <cellStyle name="Input 3 2 2 2 3 2 7" xfId="19561"/>
    <cellStyle name="Input 3 2 2 2 3 3" xfId="15512"/>
    <cellStyle name="Input 3 2 2 2 3 4" xfId="15513"/>
    <cellStyle name="Input 3 2 2 2 3 5" xfId="19562"/>
    <cellStyle name="Input 3 2 2 2 3 6" xfId="19563"/>
    <cellStyle name="Input 3 2 2 2 3 7" xfId="19564"/>
    <cellStyle name="Input 3 2 2 2 3 8" xfId="19565"/>
    <cellStyle name="Input 3 2 2 2 4" xfId="13549"/>
    <cellStyle name="Input 3 2 2 2 4 2" xfId="13550"/>
    <cellStyle name="Input 3 2 2 2 4 2 2" xfId="15514"/>
    <cellStyle name="Input 3 2 2 2 4 2 3" xfId="15515"/>
    <cellStyle name="Input 3 2 2 2 4 2 4" xfId="19566"/>
    <cellStyle name="Input 3 2 2 2 4 2 5" xfId="19567"/>
    <cellStyle name="Input 3 2 2 2 4 2 6" xfId="19568"/>
    <cellStyle name="Input 3 2 2 2 4 2 7" xfId="19569"/>
    <cellStyle name="Input 3 2 2 2 4 3" xfId="15516"/>
    <cellStyle name="Input 3 2 2 2 4 4" xfId="15517"/>
    <cellStyle name="Input 3 2 2 2 4 5" xfId="19570"/>
    <cellStyle name="Input 3 2 2 2 4 6" xfId="19571"/>
    <cellStyle name="Input 3 2 2 2 4 7" xfId="19572"/>
    <cellStyle name="Input 3 2 2 2 4 8" xfId="19573"/>
    <cellStyle name="Input 3 2 2 2 5" xfId="13551"/>
    <cellStyle name="Input 3 2 2 2 5 2" xfId="15518"/>
    <cellStyle name="Input 3 2 2 2 5 3" xfId="15519"/>
    <cellStyle name="Input 3 2 2 2 5 4" xfId="19574"/>
    <cellStyle name="Input 3 2 2 2 5 5" xfId="19575"/>
    <cellStyle name="Input 3 2 2 2 5 6" xfId="19576"/>
    <cellStyle name="Input 3 2 2 2 5 7" xfId="19577"/>
    <cellStyle name="Input 3 2 2 2 6" xfId="15520"/>
    <cellStyle name="Input 3 2 2 2 7" xfId="15521"/>
    <cellStyle name="Input 3 2 2 2 8" xfId="19578"/>
    <cellStyle name="Input 3 2 2 2 9" xfId="19579"/>
    <cellStyle name="Input 3 2 2 3" xfId="3159"/>
    <cellStyle name="Input 3 2 2 3 2" xfId="13552"/>
    <cellStyle name="Input 3 2 2 3 2 2" xfId="13553"/>
    <cellStyle name="Input 3 2 2 3 2 2 2" xfId="15522"/>
    <cellStyle name="Input 3 2 2 3 2 2 3" xfId="15523"/>
    <cellStyle name="Input 3 2 2 3 2 2 4" xfId="19580"/>
    <cellStyle name="Input 3 2 2 3 2 2 5" xfId="19581"/>
    <cellStyle name="Input 3 2 2 3 2 2 6" xfId="19582"/>
    <cellStyle name="Input 3 2 2 3 2 2 7" xfId="19583"/>
    <cellStyle name="Input 3 2 2 3 2 3" xfId="15524"/>
    <cellStyle name="Input 3 2 2 3 2 4" xfId="15525"/>
    <cellStyle name="Input 3 2 2 3 2 5" xfId="19584"/>
    <cellStyle name="Input 3 2 2 3 2 6" xfId="19585"/>
    <cellStyle name="Input 3 2 2 3 2 7" xfId="19586"/>
    <cellStyle name="Input 3 2 2 3 2 8" xfId="19587"/>
    <cellStyle name="Input 3 2 2 3 3" xfId="13554"/>
    <cellStyle name="Input 3 2 2 3 3 2" xfId="13555"/>
    <cellStyle name="Input 3 2 2 3 3 2 2" xfId="15526"/>
    <cellStyle name="Input 3 2 2 3 3 2 3" xfId="15527"/>
    <cellStyle name="Input 3 2 2 3 3 2 4" xfId="19588"/>
    <cellStyle name="Input 3 2 2 3 3 2 5" xfId="19589"/>
    <cellStyle name="Input 3 2 2 3 3 2 6" xfId="19590"/>
    <cellStyle name="Input 3 2 2 3 3 2 7" xfId="19591"/>
    <cellStyle name="Input 3 2 2 3 3 3" xfId="15528"/>
    <cellStyle name="Input 3 2 2 3 3 4" xfId="15529"/>
    <cellStyle name="Input 3 2 2 3 3 5" xfId="19592"/>
    <cellStyle name="Input 3 2 2 3 3 6" xfId="19593"/>
    <cellStyle name="Input 3 2 2 3 3 7" xfId="19594"/>
    <cellStyle name="Input 3 2 2 3 3 8" xfId="19595"/>
    <cellStyle name="Input 3 2 2 3 4" xfId="13556"/>
    <cellStyle name="Input 3 2 2 3 4 2" xfId="13557"/>
    <cellStyle name="Input 3 2 2 3 4 2 2" xfId="15530"/>
    <cellStyle name="Input 3 2 2 3 4 2 3" xfId="15531"/>
    <cellStyle name="Input 3 2 2 3 4 2 4" xfId="19596"/>
    <cellStyle name="Input 3 2 2 3 4 2 5" xfId="19597"/>
    <cellStyle name="Input 3 2 2 3 4 2 6" xfId="19598"/>
    <cellStyle name="Input 3 2 2 3 4 2 7" xfId="19599"/>
    <cellStyle name="Input 3 2 2 3 4 3" xfId="15532"/>
    <cellStyle name="Input 3 2 2 3 4 4" xfId="15533"/>
    <cellStyle name="Input 3 2 2 3 4 5" xfId="19600"/>
    <cellStyle name="Input 3 2 2 3 4 6" xfId="19601"/>
    <cellStyle name="Input 3 2 2 3 4 7" xfId="19602"/>
    <cellStyle name="Input 3 2 2 3 4 8" xfId="19603"/>
    <cellStyle name="Input 3 2 2 3 5" xfId="13558"/>
    <cellStyle name="Input 3 2 2 3 5 2" xfId="15534"/>
    <cellStyle name="Input 3 2 2 3 5 3" xfId="15535"/>
    <cellStyle name="Input 3 2 2 3 5 4" xfId="19604"/>
    <cellStyle name="Input 3 2 2 3 5 5" xfId="19605"/>
    <cellStyle name="Input 3 2 2 3 5 6" xfId="19606"/>
    <cellStyle name="Input 3 2 2 3 5 7" xfId="19607"/>
    <cellStyle name="Input 3 2 2 3 6" xfId="15536"/>
    <cellStyle name="Input 3 2 2 3 7" xfId="15537"/>
    <cellStyle name="Input 3 2 2 3 8" xfId="19608"/>
    <cellStyle name="Input 3 2 2 3 9" xfId="19609"/>
    <cellStyle name="Input 3 2 2 4" xfId="3179"/>
    <cellStyle name="Input 3 2 2 4 2" xfId="13559"/>
    <cellStyle name="Input 3 2 2 4 2 2" xfId="13560"/>
    <cellStyle name="Input 3 2 2 4 2 2 2" xfId="15538"/>
    <cellStyle name="Input 3 2 2 4 2 2 3" xfId="15539"/>
    <cellStyle name="Input 3 2 2 4 2 2 4" xfId="19610"/>
    <cellStyle name="Input 3 2 2 4 2 2 5" xfId="19611"/>
    <cellStyle name="Input 3 2 2 4 2 2 6" xfId="19612"/>
    <cellStyle name="Input 3 2 2 4 2 2 7" xfId="19613"/>
    <cellStyle name="Input 3 2 2 4 2 3" xfId="15540"/>
    <cellStyle name="Input 3 2 2 4 2 4" xfId="15541"/>
    <cellStyle name="Input 3 2 2 4 2 5" xfId="19614"/>
    <cellStyle name="Input 3 2 2 4 2 6" xfId="19615"/>
    <cellStyle name="Input 3 2 2 4 2 7" xfId="19616"/>
    <cellStyle name="Input 3 2 2 4 2 8" xfId="19617"/>
    <cellStyle name="Input 3 2 2 4 3" xfId="13561"/>
    <cellStyle name="Input 3 2 2 4 3 2" xfId="13562"/>
    <cellStyle name="Input 3 2 2 4 3 2 2" xfId="15542"/>
    <cellStyle name="Input 3 2 2 4 3 2 3" xfId="15543"/>
    <cellStyle name="Input 3 2 2 4 3 2 4" xfId="19618"/>
    <cellStyle name="Input 3 2 2 4 3 2 5" xfId="19619"/>
    <cellStyle name="Input 3 2 2 4 3 2 6" xfId="19620"/>
    <cellStyle name="Input 3 2 2 4 3 2 7" xfId="19621"/>
    <cellStyle name="Input 3 2 2 4 3 3" xfId="15544"/>
    <cellStyle name="Input 3 2 2 4 3 4" xfId="15545"/>
    <cellStyle name="Input 3 2 2 4 3 5" xfId="19622"/>
    <cellStyle name="Input 3 2 2 4 3 6" xfId="19623"/>
    <cellStyle name="Input 3 2 2 4 3 7" xfId="19624"/>
    <cellStyle name="Input 3 2 2 4 3 8" xfId="19625"/>
    <cellStyle name="Input 3 2 2 4 4" xfId="13563"/>
    <cellStyle name="Input 3 2 2 4 4 2" xfId="13564"/>
    <cellStyle name="Input 3 2 2 4 4 2 2" xfId="15546"/>
    <cellStyle name="Input 3 2 2 4 4 2 3" xfId="15547"/>
    <cellStyle name="Input 3 2 2 4 4 2 4" xfId="19626"/>
    <cellStyle name="Input 3 2 2 4 4 2 5" xfId="19627"/>
    <cellStyle name="Input 3 2 2 4 4 2 6" xfId="19628"/>
    <cellStyle name="Input 3 2 2 4 4 2 7" xfId="19629"/>
    <cellStyle name="Input 3 2 2 4 4 3" xfId="15548"/>
    <cellStyle name="Input 3 2 2 4 4 4" xfId="15549"/>
    <cellStyle name="Input 3 2 2 4 4 5" xfId="19630"/>
    <cellStyle name="Input 3 2 2 4 4 6" xfId="19631"/>
    <cellStyle name="Input 3 2 2 4 4 7" xfId="19632"/>
    <cellStyle name="Input 3 2 2 4 4 8" xfId="19633"/>
    <cellStyle name="Input 3 2 2 4 5" xfId="13565"/>
    <cellStyle name="Input 3 2 2 4 5 2" xfId="15550"/>
    <cellStyle name="Input 3 2 2 4 5 3" xfId="15551"/>
    <cellStyle name="Input 3 2 2 4 5 4" xfId="19634"/>
    <cellStyle name="Input 3 2 2 4 5 5" xfId="19635"/>
    <cellStyle name="Input 3 2 2 4 5 6" xfId="19636"/>
    <cellStyle name="Input 3 2 2 4 5 7" xfId="19637"/>
    <cellStyle name="Input 3 2 2 4 6" xfId="15552"/>
    <cellStyle name="Input 3 2 2 4 7" xfId="15553"/>
    <cellStyle name="Input 3 2 2 4 8" xfId="19638"/>
    <cellStyle name="Input 3 2 2 4 9" xfId="19639"/>
    <cellStyle name="Input 3 2 2 5" xfId="3234"/>
    <cellStyle name="Input 3 2 2 5 2" xfId="13566"/>
    <cellStyle name="Input 3 2 2 5 2 2" xfId="13567"/>
    <cellStyle name="Input 3 2 2 5 2 2 2" xfId="15554"/>
    <cellStyle name="Input 3 2 2 5 2 2 3" xfId="15555"/>
    <cellStyle name="Input 3 2 2 5 2 2 4" xfId="19640"/>
    <cellStyle name="Input 3 2 2 5 2 2 5" xfId="19641"/>
    <cellStyle name="Input 3 2 2 5 2 2 6" xfId="19642"/>
    <cellStyle name="Input 3 2 2 5 2 2 7" xfId="19643"/>
    <cellStyle name="Input 3 2 2 5 2 3" xfId="15556"/>
    <cellStyle name="Input 3 2 2 5 2 4" xfId="15557"/>
    <cellStyle name="Input 3 2 2 5 2 5" xfId="19644"/>
    <cellStyle name="Input 3 2 2 5 2 6" xfId="19645"/>
    <cellStyle name="Input 3 2 2 5 2 7" xfId="19646"/>
    <cellStyle name="Input 3 2 2 5 2 8" xfId="19647"/>
    <cellStyle name="Input 3 2 2 5 3" xfId="13568"/>
    <cellStyle name="Input 3 2 2 5 3 2" xfId="13569"/>
    <cellStyle name="Input 3 2 2 5 3 2 2" xfId="15558"/>
    <cellStyle name="Input 3 2 2 5 3 2 3" xfId="15559"/>
    <cellStyle name="Input 3 2 2 5 3 2 4" xfId="19648"/>
    <cellStyle name="Input 3 2 2 5 3 2 5" xfId="19649"/>
    <cellStyle name="Input 3 2 2 5 3 2 6" xfId="19650"/>
    <cellStyle name="Input 3 2 2 5 3 2 7" xfId="19651"/>
    <cellStyle name="Input 3 2 2 5 3 3" xfId="15560"/>
    <cellStyle name="Input 3 2 2 5 3 4" xfId="15561"/>
    <cellStyle name="Input 3 2 2 5 3 5" xfId="19652"/>
    <cellStyle name="Input 3 2 2 5 3 6" xfId="19653"/>
    <cellStyle name="Input 3 2 2 5 3 7" xfId="19654"/>
    <cellStyle name="Input 3 2 2 5 3 8" xfId="19655"/>
    <cellStyle name="Input 3 2 2 5 4" xfId="13570"/>
    <cellStyle name="Input 3 2 2 5 4 2" xfId="13571"/>
    <cellStyle name="Input 3 2 2 5 4 2 2" xfId="15562"/>
    <cellStyle name="Input 3 2 2 5 4 2 3" xfId="15563"/>
    <cellStyle name="Input 3 2 2 5 4 2 4" xfId="19656"/>
    <cellStyle name="Input 3 2 2 5 4 2 5" xfId="19657"/>
    <cellStyle name="Input 3 2 2 5 4 2 6" xfId="19658"/>
    <cellStyle name="Input 3 2 2 5 4 2 7" xfId="19659"/>
    <cellStyle name="Input 3 2 2 5 4 3" xfId="15564"/>
    <cellStyle name="Input 3 2 2 5 4 4" xfId="15565"/>
    <cellStyle name="Input 3 2 2 5 4 5" xfId="19660"/>
    <cellStyle name="Input 3 2 2 5 4 6" xfId="19661"/>
    <cellStyle name="Input 3 2 2 5 4 7" xfId="19662"/>
    <cellStyle name="Input 3 2 2 5 4 8" xfId="19663"/>
    <cellStyle name="Input 3 2 2 5 5" xfId="13572"/>
    <cellStyle name="Input 3 2 2 5 5 2" xfId="15566"/>
    <cellStyle name="Input 3 2 2 5 5 3" xfId="15567"/>
    <cellStyle name="Input 3 2 2 5 5 4" xfId="19664"/>
    <cellStyle name="Input 3 2 2 5 5 5" xfId="19665"/>
    <cellStyle name="Input 3 2 2 5 5 6" xfId="19666"/>
    <cellStyle name="Input 3 2 2 5 5 7" xfId="19667"/>
    <cellStyle name="Input 3 2 2 5 6" xfId="15568"/>
    <cellStyle name="Input 3 2 2 5 7" xfId="15569"/>
    <cellStyle name="Input 3 2 2 5 8" xfId="19668"/>
    <cellStyle name="Input 3 2 2 5 9" xfId="19669"/>
    <cellStyle name="Input 3 2 2 6" xfId="13573"/>
    <cellStyle name="Input 3 2 2 6 2" xfId="13574"/>
    <cellStyle name="Input 3 2 2 6 2 2" xfId="15570"/>
    <cellStyle name="Input 3 2 2 6 2 3" xfId="15571"/>
    <cellStyle name="Input 3 2 2 6 2 4" xfId="19670"/>
    <cellStyle name="Input 3 2 2 6 2 5" xfId="19671"/>
    <cellStyle name="Input 3 2 2 6 2 6" xfId="19672"/>
    <cellStyle name="Input 3 2 2 6 2 7" xfId="19673"/>
    <cellStyle name="Input 3 2 2 6 3" xfId="15572"/>
    <cellStyle name="Input 3 2 2 6 4" xfId="15573"/>
    <cellStyle name="Input 3 2 2 6 5" xfId="19674"/>
    <cellStyle name="Input 3 2 2 6 6" xfId="19675"/>
    <cellStyle name="Input 3 2 2 6 7" xfId="19676"/>
    <cellStyle name="Input 3 2 2 6 8" xfId="19677"/>
    <cellStyle name="Input 3 2 2 7" xfId="13575"/>
    <cellStyle name="Input 3 2 2 7 2" xfId="13576"/>
    <cellStyle name="Input 3 2 2 7 2 2" xfId="15574"/>
    <cellStyle name="Input 3 2 2 7 2 3" xfId="15575"/>
    <cellStyle name="Input 3 2 2 7 2 4" xfId="19678"/>
    <cellStyle name="Input 3 2 2 7 2 5" xfId="19679"/>
    <cellStyle name="Input 3 2 2 7 2 6" xfId="19680"/>
    <cellStyle name="Input 3 2 2 7 2 7" xfId="19681"/>
    <cellStyle name="Input 3 2 2 7 3" xfId="15576"/>
    <cellStyle name="Input 3 2 2 7 4" xfId="15577"/>
    <cellStyle name="Input 3 2 2 7 5" xfId="19682"/>
    <cellStyle name="Input 3 2 2 7 6" xfId="19683"/>
    <cellStyle name="Input 3 2 2 7 7" xfId="19684"/>
    <cellStyle name="Input 3 2 2 7 8" xfId="19685"/>
    <cellStyle name="Input 3 2 2 8" xfId="13577"/>
    <cellStyle name="Input 3 2 2 8 2" xfId="13578"/>
    <cellStyle name="Input 3 2 2 8 2 2" xfId="15578"/>
    <cellStyle name="Input 3 2 2 8 2 3" xfId="15579"/>
    <cellStyle name="Input 3 2 2 8 2 4" xfId="19686"/>
    <cellStyle name="Input 3 2 2 8 2 5" xfId="19687"/>
    <cellStyle name="Input 3 2 2 8 2 6" xfId="19688"/>
    <cellStyle name="Input 3 2 2 8 2 7" xfId="19689"/>
    <cellStyle name="Input 3 2 2 8 3" xfId="15580"/>
    <cellStyle name="Input 3 2 2 8 4" xfId="15581"/>
    <cellStyle name="Input 3 2 2 8 5" xfId="19690"/>
    <cellStyle name="Input 3 2 2 8 6" xfId="19691"/>
    <cellStyle name="Input 3 2 2 8 7" xfId="19692"/>
    <cellStyle name="Input 3 2 2 8 8" xfId="19693"/>
    <cellStyle name="Input 3 2 2 9" xfId="13579"/>
    <cellStyle name="Input 3 2 2 9 2" xfId="15582"/>
    <cellStyle name="Input 3 2 2 9 3" xfId="15583"/>
    <cellStyle name="Input 3 2 2 9 4" xfId="19694"/>
    <cellStyle name="Input 3 2 2 9 5" xfId="19695"/>
    <cellStyle name="Input 3 2 2 9 6" xfId="19696"/>
    <cellStyle name="Input 3 2 2 9 7" xfId="19697"/>
    <cellStyle name="Input 3 2 3" xfId="1397"/>
    <cellStyle name="Input 3 2 3 10" xfId="19698"/>
    <cellStyle name="Input 3 2 3 11" xfId="19699"/>
    <cellStyle name="Input 3 2 3 2" xfId="13580"/>
    <cellStyle name="Input 3 2 3 2 2" xfId="13581"/>
    <cellStyle name="Input 3 2 3 2 2 2" xfId="15584"/>
    <cellStyle name="Input 3 2 3 2 2 3" xfId="15585"/>
    <cellStyle name="Input 3 2 3 2 2 4" xfId="19700"/>
    <cellStyle name="Input 3 2 3 2 2 5" xfId="19701"/>
    <cellStyle name="Input 3 2 3 2 2 6" xfId="19702"/>
    <cellStyle name="Input 3 2 3 2 2 7" xfId="19703"/>
    <cellStyle name="Input 3 2 3 2 3" xfId="15586"/>
    <cellStyle name="Input 3 2 3 2 4" xfId="15587"/>
    <cellStyle name="Input 3 2 3 2 5" xfId="19704"/>
    <cellStyle name="Input 3 2 3 2 6" xfId="19705"/>
    <cellStyle name="Input 3 2 3 2 7" xfId="19706"/>
    <cellStyle name="Input 3 2 3 2 8" xfId="19707"/>
    <cellStyle name="Input 3 2 3 3" xfId="13582"/>
    <cellStyle name="Input 3 2 3 3 2" xfId="13583"/>
    <cellStyle name="Input 3 2 3 3 2 2" xfId="15588"/>
    <cellStyle name="Input 3 2 3 3 2 3" xfId="15589"/>
    <cellStyle name="Input 3 2 3 3 2 4" xfId="19708"/>
    <cellStyle name="Input 3 2 3 3 2 5" xfId="19709"/>
    <cellStyle name="Input 3 2 3 3 2 6" xfId="19710"/>
    <cellStyle name="Input 3 2 3 3 2 7" xfId="19711"/>
    <cellStyle name="Input 3 2 3 3 3" xfId="15590"/>
    <cellStyle name="Input 3 2 3 3 4" xfId="15591"/>
    <cellStyle name="Input 3 2 3 3 5" xfId="19712"/>
    <cellStyle name="Input 3 2 3 3 6" xfId="19713"/>
    <cellStyle name="Input 3 2 3 3 7" xfId="19714"/>
    <cellStyle name="Input 3 2 3 3 8" xfId="19715"/>
    <cellStyle name="Input 3 2 3 4" xfId="13584"/>
    <cellStyle name="Input 3 2 3 4 2" xfId="13585"/>
    <cellStyle name="Input 3 2 3 4 2 2" xfId="15592"/>
    <cellStyle name="Input 3 2 3 4 2 3" xfId="15593"/>
    <cellStyle name="Input 3 2 3 4 2 4" xfId="19716"/>
    <cellStyle name="Input 3 2 3 4 2 5" xfId="19717"/>
    <cellStyle name="Input 3 2 3 4 2 6" xfId="19718"/>
    <cellStyle name="Input 3 2 3 4 2 7" xfId="19719"/>
    <cellStyle name="Input 3 2 3 4 3" xfId="15594"/>
    <cellStyle name="Input 3 2 3 4 4" xfId="15595"/>
    <cellStyle name="Input 3 2 3 4 5" xfId="19720"/>
    <cellStyle name="Input 3 2 3 4 6" xfId="19721"/>
    <cellStyle name="Input 3 2 3 4 7" xfId="19722"/>
    <cellStyle name="Input 3 2 3 4 8" xfId="19723"/>
    <cellStyle name="Input 3 2 3 5" xfId="13586"/>
    <cellStyle name="Input 3 2 3 5 2" xfId="15596"/>
    <cellStyle name="Input 3 2 3 5 3" xfId="15597"/>
    <cellStyle name="Input 3 2 3 5 4" xfId="19724"/>
    <cellStyle name="Input 3 2 3 5 5" xfId="19725"/>
    <cellStyle name="Input 3 2 3 5 6" xfId="19726"/>
    <cellStyle name="Input 3 2 3 5 7" xfId="19727"/>
    <cellStyle name="Input 3 2 3 6" xfId="3302"/>
    <cellStyle name="Input 3 2 3 7" xfId="15598"/>
    <cellStyle name="Input 3 2 3 8" xfId="19728"/>
    <cellStyle name="Input 3 2 3 9" xfId="19729"/>
    <cellStyle name="Input 3 2 4" xfId="13587"/>
    <cellStyle name="Input 3 2 4 2" xfId="13588"/>
    <cellStyle name="Input 3 2 4 2 2" xfId="15599"/>
    <cellStyle name="Input 3 2 4 2 3" xfId="15600"/>
    <cellStyle name="Input 3 2 4 2 4" xfId="19730"/>
    <cellStyle name="Input 3 2 4 2 5" xfId="19731"/>
    <cellStyle name="Input 3 2 4 2 6" xfId="19732"/>
    <cellStyle name="Input 3 2 4 2 7" xfId="19733"/>
    <cellStyle name="Input 3 2 4 3" xfId="15601"/>
    <cellStyle name="Input 3 2 4 4" xfId="15602"/>
    <cellStyle name="Input 3 2 4 5" xfId="19734"/>
    <cellStyle name="Input 3 2 4 6" xfId="19735"/>
    <cellStyle name="Input 3 2 4 7" xfId="19736"/>
    <cellStyle name="Input 3 2 4 8" xfId="19737"/>
    <cellStyle name="Input 3 2 5" xfId="13589"/>
    <cellStyle name="Input 3 2 5 2" xfId="13590"/>
    <cellStyle name="Input 3 2 5 2 2" xfId="15603"/>
    <cellStyle name="Input 3 2 5 2 3" xfId="15604"/>
    <cellStyle name="Input 3 2 5 2 4" xfId="19738"/>
    <cellStyle name="Input 3 2 5 2 5" xfId="19739"/>
    <cellStyle name="Input 3 2 5 2 6" xfId="19740"/>
    <cellStyle name="Input 3 2 5 2 7" xfId="19741"/>
    <cellStyle name="Input 3 2 5 3" xfId="15605"/>
    <cellStyle name="Input 3 2 5 4" xfId="15606"/>
    <cellStyle name="Input 3 2 5 5" xfId="19742"/>
    <cellStyle name="Input 3 2 5 6" xfId="19743"/>
    <cellStyle name="Input 3 2 5 7" xfId="19744"/>
    <cellStyle name="Input 3 2 5 8" xfId="19745"/>
    <cellStyle name="Input 3 2 6" xfId="13591"/>
    <cellStyle name="Input 3 2 6 2" xfId="13592"/>
    <cellStyle name="Input 3 2 6 2 2" xfId="15607"/>
    <cellStyle name="Input 3 2 6 2 3" xfId="15608"/>
    <cellStyle name="Input 3 2 6 2 4" xfId="19746"/>
    <cellStyle name="Input 3 2 6 2 5" xfId="19747"/>
    <cellStyle name="Input 3 2 6 2 6" xfId="19748"/>
    <cellStyle name="Input 3 2 6 2 7" xfId="19749"/>
    <cellStyle name="Input 3 2 6 3" xfId="15609"/>
    <cellStyle name="Input 3 2 6 4" xfId="15610"/>
    <cellStyle name="Input 3 2 6 5" xfId="19750"/>
    <cellStyle name="Input 3 2 6 6" xfId="19751"/>
    <cellStyle name="Input 3 2 6 7" xfId="19752"/>
    <cellStyle name="Input 3 2 6 8" xfId="19753"/>
    <cellStyle name="Input 3 2 7" xfId="13593"/>
    <cellStyle name="Input 3 2 7 2" xfId="15611"/>
    <cellStyle name="Input 3 2 7 3" xfId="15612"/>
    <cellStyle name="Input 3 2 7 4" xfId="19754"/>
    <cellStyle name="Input 3 2 7 5" xfId="19755"/>
    <cellStyle name="Input 3 2 7 6" xfId="19756"/>
    <cellStyle name="Input 3 2 7 7" xfId="19757"/>
    <cellStyle name="Input 3 2 8" xfId="15613"/>
    <cellStyle name="Input 3 2 9" xfId="15614"/>
    <cellStyle name="Input 3 3" xfId="1303"/>
    <cellStyle name="Input 3 3 10" xfId="3020"/>
    <cellStyle name="Input 3 3 11" xfId="15615"/>
    <cellStyle name="Input 3 3 12" xfId="19758"/>
    <cellStyle name="Input 3 3 13" xfId="19759"/>
    <cellStyle name="Input 3 3 2" xfId="1790"/>
    <cellStyle name="Input 3 3 2 2" xfId="13594"/>
    <cellStyle name="Input 3 3 2 2 2" xfId="13595"/>
    <cellStyle name="Input 3 3 2 2 2 2" xfId="15616"/>
    <cellStyle name="Input 3 3 2 2 2 3" xfId="15617"/>
    <cellStyle name="Input 3 3 2 2 2 4" xfId="19760"/>
    <cellStyle name="Input 3 3 2 2 2 5" xfId="19761"/>
    <cellStyle name="Input 3 3 2 2 2 6" xfId="19762"/>
    <cellStyle name="Input 3 3 2 2 2 7" xfId="19763"/>
    <cellStyle name="Input 3 3 2 2 3" xfId="15618"/>
    <cellStyle name="Input 3 3 2 2 4" xfId="15619"/>
    <cellStyle name="Input 3 3 2 2 5" xfId="19764"/>
    <cellStyle name="Input 3 3 2 2 6" xfId="19765"/>
    <cellStyle name="Input 3 3 2 2 7" xfId="19766"/>
    <cellStyle name="Input 3 3 2 2 8" xfId="19767"/>
    <cellStyle name="Input 3 3 2 3" xfId="13596"/>
    <cellStyle name="Input 3 3 2 3 2" xfId="13597"/>
    <cellStyle name="Input 3 3 2 3 2 2" xfId="15620"/>
    <cellStyle name="Input 3 3 2 3 2 3" xfId="15621"/>
    <cellStyle name="Input 3 3 2 3 2 4" xfId="19768"/>
    <cellStyle name="Input 3 3 2 3 2 5" xfId="19769"/>
    <cellStyle name="Input 3 3 2 3 2 6" xfId="19770"/>
    <cellStyle name="Input 3 3 2 3 2 7" xfId="19771"/>
    <cellStyle name="Input 3 3 2 3 3" xfId="15622"/>
    <cellStyle name="Input 3 3 2 3 4" xfId="15623"/>
    <cellStyle name="Input 3 3 2 3 5" xfId="19772"/>
    <cellStyle name="Input 3 3 2 3 6" xfId="19773"/>
    <cellStyle name="Input 3 3 2 3 7" xfId="19774"/>
    <cellStyle name="Input 3 3 2 3 8" xfId="19775"/>
    <cellStyle name="Input 3 3 2 4" xfId="13598"/>
    <cellStyle name="Input 3 3 2 4 2" xfId="13599"/>
    <cellStyle name="Input 3 3 2 4 2 2" xfId="15624"/>
    <cellStyle name="Input 3 3 2 4 2 3" xfId="15625"/>
    <cellStyle name="Input 3 3 2 4 2 4" xfId="19776"/>
    <cellStyle name="Input 3 3 2 4 2 5" xfId="19777"/>
    <cellStyle name="Input 3 3 2 4 2 6" xfId="19778"/>
    <cellStyle name="Input 3 3 2 4 2 7" xfId="19779"/>
    <cellStyle name="Input 3 3 2 4 3" xfId="15626"/>
    <cellStyle name="Input 3 3 2 4 4" xfId="15627"/>
    <cellStyle name="Input 3 3 2 4 5" xfId="19780"/>
    <cellStyle name="Input 3 3 2 4 6" xfId="19781"/>
    <cellStyle name="Input 3 3 2 4 7" xfId="19782"/>
    <cellStyle name="Input 3 3 2 4 8" xfId="19783"/>
    <cellStyle name="Input 3 3 2 5" xfId="13600"/>
    <cellStyle name="Input 3 3 2 5 2" xfId="15628"/>
    <cellStyle name="Input 3 3 2 5 3" xfId="15629"/>
    <cellStyle name="Input 3 3 2 5 4" xfId="19784"/>
    <cellStyle name="Input 3 3 2 5 5" xfId="19785"/>
    <cellStyle name="Input 3 3 2 5 6" xfId="19786"/>
    <cellStyle name="Input 3 3 2 5 7" xfId="19787"/>
    <cellStyle name="Input 3 3 2 6" xfId="3083"/>
    <cellStyle name="Input 3 3 2 7" xfId="15630"/>
    <cellStyle name="Input 3 3 2 8" xfId="19788"/>
    <cellStyle name="Input 3 3 2 9" xfId="19789"/>
    <cellStyle name="Input 3 3 3" xfId="3251"/>
    <cellStyle name="Input 3 3 3 2" xfId="13601"/>
    <cellStyle name="Input 3 3 3 2 2" xfId="13602"/>
    <cellStyle name="Input 3 3 3 2 2 2" xfId="15631"/>
    <cellStyle name="Input 3 3 3 2 2 3" xfId="15632"/>
    <cellStyle name="Input 3 3 3 2 2 4" xfId="19790"/>
    <cellStyle name="Input 3 3 3 2 2 5" xfId="19791"/>
    <cellStyle name="Input 3 3 3 2 2 6" xfId="19792"/>
    <cellStyle name="Input 3 3 3 2 2 7" xfId="19793"/>
    <cellStyle name="Input 3 3 3 2 3" xfId="15633"/>
    <cellStyle name="Input 3 3 3 2 4" xfId="15634"/>
    <cellStyle name="Input 3 3 3 2 5" xfId="19794"/>
    <cellStyle name="Input 3 3 3 2 6" xfId="19795"/>
    <cellStyle name="Input 3 3 3 2 7" xfId="19796"/>
    <cellStyle name="Input 3 3 3 2 8" xfId="19797"/>
    <cellStyle name="Input 3 3 3 3" xfId="13603"/>
    <cellStyle name="Input 3 3 3 3 2" xfId="13604"/>
    <cellStyle name="Input 3 3 3 3 2 2" xfId="15635"/>
    <cellStyle name="Input 3 3 3 3 2 3" xfId="15636"/>
    <cellStyle name="Input 3 3 3 3 2 4" xfId="19798"/>
    <cellStyle name="Input 3 3 3 3 2 5" xfId="19799"/>
    <cellStyle name="Input 3 3 3 3 2 6" xfId="19800"/>
    <cellStyle name="Input 3 3 3 3 2 7" xfId="19801"/>
    <cellStyle name="Input 3 3 3 3 3" xfId="15637"/>
    <cellStyle name="Input 3 3 3 3 4" xfId="15638"/>
    <cellStyle name="Input 3 3 3 3 5" xfId="19802"/>
    <cellStyle name="Input 3 3 3 3 6" xfId="19803"/>
    <cellStyle name="Input 3 3 3 3 7" xfId="19804"/>
    <cellStyle name="Input 3 3 3 3 8" xfId="19805"/>
    <cellStyle name="Input 3 3 3 4" xfId="13605"/>
    <cellStyle name="Input 3 3 3 4 2" xfId="13606"/>
    <cellStyle name="Input 3 3 3 4 2 2" xfId="15639"/>
    <cellStyle name="Input 3 3 3 4 2 3" xfId="15640"/>
    <cellStyle name="Input 3 3 3 4 2 4" xfId="19806"/>
    <cellStyle name="Input 3 3 3 4 2 5" xfId="19807"/>
    <cellStyle name="Input 3 3 3 4 2 6" xfId="19808"/>
    <cellStyle name="Input 3 3 3 4 2 7" xfId="19809"/>
    <cellStyle name="Input 3 3 3 4 3" xfId="15641"/>
    <cellStyle name="Input 3 3 3 4 4" xfId="15642"/>
    <cellStyle name="Input 3 3 3 4 5" xfId="19810"/>
    <cellStyle name="Input 3 3 3 4 6" xfId="19811"/>
    <cellStyle name="Input 3 3 3 4 7" xfId="19812"/>
    <cellStyle name="Input 3 3 3 4 8" xfId="19813"/>
    <cellStyle name="Input 3 3 3 5" xfId="13607"/>
    <cellStyle name="Input 3 3 3 5 2" xfId="15643"/>
    <cellStyle name="Input 3 3 3 5 3" xfId="15644"/>
    <cellStyle name="Input 3 3 3 5 4" xfId="19814"/>
    <cellStyle name="Input 3 3 3 5 5" xfId="19815"/>
    <cellStyle name="Input 3 3 3 5 6" xfId="19816"/>
    <cellStyle name="Input 3 3 3 5 7" xfId="19817"/>
    <cellStyle name="Input 3 3 3 6" xfId="15645"/>
    <cellStyle name="Input 3 3 3 7" xfId="15646"/>
    <cellStyle name="Input 3 3 3 8" xfId="19818"/>
    <cellStyle name="Input 3 3 3 9" xfId="19819"/>
    <cellStyle name="Input 3 3 4" xfId="3195"/>
    <cellStyle name="Input 3 3 4 2" xfId="13608"/>
    <cellStyle name="Input 3 3 4 2 2" xfId="13609"/>
    <cellStyle name="Input 3 3 4 2 2 2" xfId="15647"/>
    <cellStyle name="Input 3 3 4 2 2 3" xfId="15648"/>
    <cellStyle name="Input 3 3 4 2 2 4" xfId="19820"/>
    <cellStyle name="Input 3 3 4 2 2 5" xfId="19821"/>
    <cellStyle name="Input 3 3 4 2 2 6" xfId="19822"/>
    <cellStyle name="Input 3 3 4 2 2 7" xfId="19823"/>
    <cellStyle name="Input 3 3 4 2 3" xfId="15649"/>
    <cellStyle name="Input 3 3 4 2 4" xfId="15650"/>
    <cellStyle name="Input 3 3 4 2 5" xfId="19824"/>
    <cellStyle name="Input 3 3 4 2 6" xfId="19825"/>
    <cellStyle name="Input 3 3 4 2 7" xfId="19826"/>
    <cellStyle name="Input 3 3 4 2 8" xfId="19827"/>
    <cellStyle name="Input 3 3 4 3" xfId="13610"/>
    <cellStyle name="Input 3 3 4 3 2" xfId="13611"/>
    <cellStyle name="Input 3 3 4 3 2 2" xfId="15651"/>
    <cellStyle name="Input 3 3 4 3 2 3" xfId="15652"/>
    <cellStyle name="Input 3 3 4 3 2 4" xfId="19828"/>
    <cellStyle name="Input 3 3 4 3 2 5" xfId="19829"/>
    <cellStyle name="Input 3 3 4 3 2 6" xfId="19830"/>
    <cellStyle name="Input 3 3 4 3 2 7" xfId="19831"/>
    <cellStyle name="Input 3 3 4 3 3" xfId="15653"/>
    <cellStyle name="Input 3 3 4 3 4" xfId="15654"/>
    <cellStyle name="Input 3 3 4 3 5" xfId="19832"/>
    <cellStyle name="Input 3 3 4 3 6" xfId="19833"/>
    <cellStyle name="Input 3 3 4 3 7" xfId="19834"/>
    <cellStyle name="Input 3 3 4 3 8" xfId="19835"/>
    <cellStyle name="Input 3 3 4 4" xfId="13612"/>
    <cellStyle name="Input 3 3 4 4 2" xfId="13613"/>
    <cellStyle name="Input 3 3 4 4 2 2" xfId="15655"/>
    <cellStyle name="Input 3 3 4 4 2 3" xfId="15656"/>
    <cellStyle name="Input 3 3 4 4 2 4" xfId="19836"/>
    <cellStyle name="Input 3 3 4 4 2 5" xfId="19837"/>
    <cellStyle name="Input 3 3 4 4 2 6" xfId="19838"/>
    <cellStyle name="Input 3 3 4 4 2 7" xfId="19839"/>
    <cellStyle name="Input 3 3 4 4 3" xfId="15657"/>
    <cellStyle name="Input 3 3 4 4 4" xfId="15658"/>
    <cellStyle name="Input 3 3 4 4 5" xfId="19840"/>
    <cellStyle name="Input 3 3 4 4 6" xfId="19841"/>
    <cellStyle name="Input 3 3 4 4 7" xfId="19842"/>
    <cellStyle name="Input 3 3 4 4 8" xfId="19843"/>
    <cellStyle name="Input 3 3 4 5" xfId="13614"/>
    <cellStyle name="Input 3 3 4 5 2" xfId="15659"/>
    <cellStyle name="Input 3 3 4 5 3" xfId="15660"/>
    <cellStyle name="Input 3 3 4 5 4" xfId="19844"/>
    <cellStyle name="Input 3 3 4 5 5" xfId="19845"/>
    <cellStyle name="Input 3 3 4 5 6" xfId="19846"/>
    <cellStyle name="Input 3 3 4 5 7" xfId="19847"/>
    <cellStyle name="Input 3 3 4 6" xfId="15661"/>
    <cellStyle name="Input 3 3 4 7" xfId="15662"/>
    <cellStyle name="Input 3 3 4 8" xfId="19848"/>
    <cellStyle name="Input 3 3 4 9" xfId="19849"/>
    <cellStyle name="Input 3 3 5" xfId="3266"/>
    <cellStyle name="Input 3 3 5 2" xfId="13615"/>
    <cellStyle name="Input 3 3 5 2 2" xfId="13616"/>
    <cellStyle name="Input 3 3 5 2 2 2" xfId="15663"/>
    <cellStyle name="Input 3 3 5 2 2 3" xfId="15664"/>
    <cellStyle name="Input 3 3 5 2 2 4" xfId="19850"/>
    <cellStyle name="Input 3 3 5 2 2 5" xfId="19851"/>
    <cellStyle name="Input 3 3 5 2 2 6" xfId="19852"/>
    <cellStyle name="Input 3 3 5 2 2 7" xfId="19853"/>
    <cellStyle name="Input 3 3 5 2 3" xfId="15665"/>
    <cellStyle name="Input 3 3 5 2 4" xfId="15666"/>
    <cellStyle name="Input 3 3 5 2 5" xfId="19854"/>
    <cellStyle name="Input 3 3 5 2 6" xfId="19855"/>
    <cellStyle name="Input 3 3 5 2 7" xfId="19856"/>
    <cellStyle name="Input 3 3 5 2 8" xfId="19857"/>
    <cellStyle name="Input 3 3 5 3" xfId="13617"/>
    <cellStyle name="Input 3 3 5 3 2" xfId="13618"/>
    <cellStyle name="Input 3 3 5 3 2 2" xfId="15667"/>
    <cellStyle name="Input 3 3 5 3 2 3" xfId="15668"/>
    <cellStyle name="Input 3 3 5 3 2 4" xfId="19858"/>
    <cellStyle name="Input 3 3 5 3 2 5" xfId="19859"/>
    <cellStyle name="Input 3 3 5 3 2 6" xfId="19860"/>
    <cellStyle name="Input 3 3 5 3 2 7" xfId="19861"/>
    <cellStyle name="Input 3 3 5 3 3" xfId="15669"/>
    <cellStyle name="Input 3 3 5 3 4" xfId="15670"/>
    <cellStyle name="Input 3 3 5 3 5" xfId="19862"/>
    <cellStyle name="Input 3 3 5 3 6" xfId="19863"/>
    <cellStyle name="Input 3 3 5 3 7" xfId="19864"/>
    <cellStyle name="Input 3 3 5 3 8" xfId="19865"/>
    <cellStyle name="Input 3 3 5 4" xfId="13619"/>
    <cellStyle name="Input 3 3 5 4 2" xfId="13620"/>
    <cellStyle name="Input 3 3 5 4 2 2" xfId="15671"/>
    <cellStyle name="Input 3 3 5 4 2 3" xfId="15672"/>
    <cellStyle name="Input 3 3 5 4 2 4" xfId="19866"/>
    <cellStyle name="Input 3 3 5 4 2 5" xfId="19867"/>
    <cellStyle name="Input 3 3 5 4 2 6" xfId="19868"/>
    <cellStyle name="Input 3 3 5 4 2 7" xfId="19869"/>
    <cellStyle name="Input 3 3 5 4 3" xfId="15673"/>
    <cellStyle name="Input 3 3 5 4 4" xfId="15674"/>
    <cellStyle name="Input 3 3 5 4 5" xfId="19870"/>
    <cellStyle name="Input 3 3 5 4 6" xfId="19871"/>
    <cellStyle name="Input 3 3 5 4 7" xfId="19872"/>
    <cellStyle name="Input 3 3 5 4 8" xfId="19873"/>
    <cellStyle name="Input 3 3 5 5" xfId="13621"/>
    <cellStyle name="Input 3 3 5 5 2" xfId="15675"/>
    <cellStyle name="Input 3 3 5 5 3" xfId="15676"/>
    <cellStyle name="Input 3 3 5 5 4" xfId="19874"/>
    <cellStyle name="Input 3 3 5 5 5" xfId="19875"/>
    <cellStyle name="Input 3 3 5 5 6" xfId="19876"/>
    <cellStyle name="Input 3 3 5 5 7" xfId="19877"/>
    <cellStyle name="Input 3 3 5 6" xfId="15677"/>
    <cellStyle name="Input 3 3 5 7" xfId="15678"/>
    <cellStyle name="Input 3 3 5 8" xfId="19878"/>
    <cellStyle name="Input 3 3 5 9" xfId="19879"/>
    <cellStyle name="Input 3 3 6" xfId="13622"/>
    <cellStyle name="Input 3 3 6 2" xfId="13623"/>
    <cellStyle name="Input 3 3 6 2 2" xfId="15679"/>
    <cellStyle name="Input 3 3 6 2 3" xfId="15680"/>
    <cellStyle name="Input 3 3 6 2 4" xfId="19880"/>
    <cellStyle name="Input 3 3 6 2 5" xfId="19881"/>
    <cellStyle name="Input 3 3 6 2 6" xfId="19882"/>
    <cellStyle name="Input 3 3 6 2 7" xfId="19883"/>
    <cellStyle name="Input 3 3 6 3" xfId="15681"/>
    <cellStyle name="Input 3 3 6 4" xfId="15682"/>
    <cellStyle name="Input 3 3 6 5" xfId="19884"/>
    <cellStyle name="Input 3 3 6 6" xfId="19885"/>
    <cellStyle name="Input 3 3 6 7" xfId="19886"/>
    <cellStyle name="Input 3 3 6 8" xfId="19887"/>
    <cellStyle name="Input 3 3 7" xfId="13624"/>
    <cellStyle name="Input 3 3 7 2" xfId="13625"/>
    <cellStyle name="Input 3 3 7 2 2" xfId="15683"/>
    <cellStyle name="Input 3 3 7 2 3" xfId="15684"/>
    <cellStyle name="Input 3 3 7 2 4" xfId="19888"/>
    <cellStyle name="Input 3 3 7 2 5" xfId="19889"/>
    <cellStyle name="Input 3 3 7 2 6" xfId="19890"/>
    <cellStyle name="Input 3 3 7 2 7" xfId="19891"/>
    <cellStyle name="Input 3 3 7 3" xfId="15685"/>
    <cellStyle name="Input 3 3 7 4" xfId="15686"/>
    <cellStyle name="Input 3 3 7 5" xfId="19892"/>
    <cellStyle name="Input 3 3 7 6" xfId="19893"/>
    <cellStyle name="Input 3 3 7 7" xfId="19894"/>
    <cellStyle name="Input 3 3 7 8" xfId="19895"/>
    <cellStyle name="Input 3 3 8" xfId="13626"/>
    <cellStyle name="Input 3 3 8 2" xfId="13627"/>
    <cellStyle name="Input 3 3 8 2 2" xfId="15687"/>
    <cellStyle name="Input 3 3 8 2 3" xfId="15688"/>
    <cellStyle name="Input 3 3 8 2 4" xfId="19896"/>
    <cellStyle name="Input 3 3 8 2 5" xfId="19897"/>
    <cellStyle name="Input 3 3 8 2 6" xfId="19898"/>
    <cellStyle name="Input 3 3 8 2 7" xfId="19899"/>
    <cellStyle name="Input 3 3 8 3" xfId="15689"/>
    <cellStyle name="Input 3 3 8 4" xfId="15690"/>
    <cellStyle name="Input 3 3 8 5" xfId="19900"/>
    <cellStyle name="Input 3 3 8 6" xfId="19901"/>
    <cellStyle name="Input 3 3 8 7" xfId="19902"/>
    <cellStyle name="Input 3 3 8 8" xfId="19903"/>
    <cellStyle name="Input 3 3 9" xfId="13628"/>
    <cellStyle name="Input 3 3 9 2" xfId="15691"/>
    <cellStyle name="Input 3 3 9 3" xfId="15692"/>
    <cellStyle name="Input 3 3 9 4" xfId="19904"/>
    <cellStyle name="Input 3 3 9 5" xfId="19905"/>
    <cellStyle name="Input 3 3 9 6" xfId="19906"/>
    <cellStyle name="Input 3 3 9 7" xfId="19907"/>
    <cellStyle name="Input 3 4" xfId="1791"/>
    <cellStyle name="Input 3 4 10" xfId="2952"/>
    <cellStyle name="Input 3 4 11" xfId="15693"/>
    <cellStyle name="Input 3 4 12" xfId="19908"/>
    <cellStyle name="Input 3 4 13" xfId="19909"/>
    <cellStyle name="Input 3 4 2" xfId="3038"/>
    <cellStyle name="Input 3 4 2 2" xfId="13629"/>
    <cellStyle name="Input 3 4 2 2 2" xfId="13630"/>
    <cellStyle name="Input 3 4 2 2 2 2" xfId="15694"/>
    <cellStyle name="Input 3 4 2 2 2 3" xfId="15695"/>
    <cellStyle name="Input 3 4 2 2 2 4" xfId="19910"/>
    <cellStyle name="Input 3 4 2 2 2 5" xfId="19911"/>
    <cellStyle name="Input 3 4 2 2 2 6" xfId="19912"/>
    <cellStyle name="Input 3 4 2 2 2 7" xfId="19913"/>
    <cellStyle name="Input 3 4 2 2 3" xfId="15696"/>
    <cellStyle name="Input 3 4 2 2 4" xfId="15697"/>
    <cellStyle name="Input 3 4 2 2 5" xfId="19914"/>
    <cellStyle name="Input 3 4 2 2 6" xfId="19915"/>
    <cellStyle name="Input 3 4 2 2 7" xfId="19916"/>
    <cellStyle name="Input 3 4 2 2 8" xfId="19917"/>
    <cellStyle name="Input 3 4 2 3" xfId="13631"/>
    <cellStyle name="Input 3 4 2 3 2" xfId="13632"/>
    <cellStyle name="Input 3 4 2 3 2 2" xfId="15698"/>
    <cellStyle name="Input 3 4 2 3 2 3" xfId="15699"/>
    <cellStyle name="Input 3 4 2 3 2 4" xfId="19918"/>
    <cellStyle name="Input 3 4 2 3 2 5" xfId="19919"/>
    <cellStyle name="Input 3 4 2 3 2 6" xfId="19920"/>
    <cellStyle name="Input 3 4 2 3 2 7" xfId="19921"/>
    <cellStyle name="Input 3 4 2 3 3" xfId="15700"/>
    <cellStyle name="Input 3 4 2 3 4" xfId="15701"/>
    <cellStyle name="Input 3 4 2 3 5" xfId="19922"/>
    <cellStyle name="Input 3 4 2 3 6" xfId="19923"/>
    <cellStyle name="Input 3 4 2 3 7" xfId="19924"/>
    <cellStyle name="Input 3 4 2 3 8" xfId="19925"/>
    <cellStyle name="Input 3 4 2 4" xfId="13633"/>
    <cellStyle name="Input 3 4 2 4 2" xfId="13634"/>
    <cellStyle name="Input 3 4 2 4 2 2" xfId="15702"/>
    <cellStyle name="Input 3 4 2 4 2 3" xfId="15703"/>
    <cellStyle name="Input 3 4 2 4 2 4" xfId="19926"/>
    <cellStyle name="Input 3 4 2 4 2 5" xfId="19927"/>
    <cellStyle name="Input 3 4 2 4 2 6" xfId="19928"/>
    <cellStyle name="Input 3 4 2 4 2 7" xfId="19929"/>
    <cellStyle name="Input 3 4 2 4 3" xfId="15704"/>
    <cellStyle name="Input 3 4 2 4 4" xfId="15705"/>
    <cellStyle name="Input 3 4 2 4 5" xfId="19930"/>
    <cellStyle name="Input 3 4 2 4 6" xfId="19931"/>
    <cellStyle name="Input 3 4 2 4 7" xfId="19932"/>
    <cellStyle name="Input 3 4 2 4 8" xfId="19933"/>
    <cellStyle name="Input 3 4 2 5" xfId="13635"/>
    <cellStyle name="Input 3 4 2 5 2" xfId="15706"/>
    <cellStyle name="Input 3 4 2 5 3" xfId="15707"/>
    <cellStyle name="Input 3 4 2 5 4" xfId="19934"/>
    <cellStyle name="Input 3 4 2 5 5" xfId="19935"/>
    <cellStyle name="Input 3 4 2 5 6" xfId="19936"/>
    <cellStyle name="Input 3 4 2 5 7" xfId="19937"/>
    <cellStyle name="Input 3 4 2 6" xfId="15708"/>
    <cellStyle name="Input 3 4 2 7" xfId="15709"/>
    <cellStyle name="Input 3 4 2 8" xfId="19938"/>
    <cellStyle name="Input 3 4 2 9" xfId="19939"/>
    <cellStyle name="Input 3 4 3" xfId="3141"/>
    <cellStyle name="Input 3 4 3 2" xfId="13636"/>
    <cellStyle name="Input 3 4 3 2 2" xfId="13637"/>
    <cellStyle name="Input 3 4 3 2 2 2" xfId="15710"/>
    <cellStyle name="Input 3 4 3 2 2 3" xfId="15711"/>
    <cellStyle name="Input 3 4 3 2 2 4" xfId="19940"/>
    <cellStyle name="Input 3 4 3 2 2 5" xfId="19941"/>
    <cellStyle name="Input 3 4 3 2 2 6" xfId="19942"/>
    <cellStyle name="Input 3 4 3 2 2 7" xfId="19943"/>
    <cellStyle name="Input 3 4 3 2 3" xfId="15712"/>
    <cellStyle name="Input 3 4 3 2 4" xfId="15713"/>
    <cellStyle name="Input 3 4 3 2 5" xfId="19944"/>
    <cellStyle name="Input 3 4 3 2 6" xfId="19945"/>
    <cellStyle name="Input 3 4 3 2 7" xfId="19946"/>
    <cellStyle name="Input 3 4 3 2 8" xfId="19947"/>
    <cellStyle name="Input 3 4 3 3" xfId="13638"/>
    <cellStyle name="Input 3 4 3 3 2" xfId="13639"/>
    <cellStyle name="Input 3 4 3 3 2 2" xfId="15714"/>
    <cellStyle name="Input 3 4 3 3 2 3" xfId="15715"/>
    <cellStyle name="Input 3 4 3 3 2 4" xfId="19948"/>
    <cellStyle name="Input 3 4 3 3 2 5" xfId="19949"/>
    <cellStyle name="Input 3 4 3 3 2 6" xfId="19950"/>
    <cellStyle name="Input 3 4 3 3 2 7" xfId="19951"/>
    <cellStyle name="Input 3 4 3 3 3" xfId="15716"/>
    <cellStyle name="Input 3 4 3 3 4" xfId="15717"/>
    <cellStyle name="Input 3 4 3 3 5" xfId="19952"/>
    <cellStyle name="Input 3 4 3 3 6" xfId="19953"/>
    <cellStyle name="Input 3 4 3 3 7" xfId="19954"/>
    <cellStyle name="Input 3 4 3 3 8" xfId="19955"/>
    <cellStyle name="Input 3 4 3 4" xfId="13640"/>
    <cellStyle name="Input 3 4 3 4 2" xfId="13641"/>
    <cellStyle name="Input 3 4 3 4 2 2" xfId="15718"/>
    <cellStyle name="Input 3 4 3 4 2 3" xfId="15719"/>
    <cellStyle name="Input 3 4 3 4 2 4" xfId="19956"/>
    <cellStyle name="Input 3 4 3 4 2 5" xfId="19957"/>
    <cellStyle name="Input 3 4 3 4 2 6" xfId="19958"/>
    <cellStyle name="Input 3 4 3 4 2 7" xfId="19959"/>
    <cellStyle name="Input 3 4 3 4 3" xfId="15720"/>
    <cellStyle name="Input 3 4 3 4 4" xfId="15721"/>
    <cellStyle name="Input 3 4 3 4 5" xfId="19960"/>
    <cellStyle name="Input 3 4 3 4 6" xfId="19961"/>
    <cellStyle name="Input 3 4 3 4 7" xfId="19962"/>
    <cellStyle name="Input 3 4 3 4 8" xfId="19963"/>
    <cellStyle name="Input 3 4 3 5" xfId="13642"/>
    <cellStyle name="Input 3 4 3 5 2" xfId="15722"/>
    <cellStyle name="Input 3 4 3 5 3" xfId="15723"/>
    <cellStyle name="Input 3 4 3 5 4" xfId="19964"/>
    <cellStyle name="Input 3 4 3 5 5" xfId="19965"/>
    <cellStyle name="Input 3 4 3 5 6" xfId="19966"/>
    <cellStyle name="Input 3 4 3 5 7" xfId="19967"/>
    <cellStyle name="Input 3 4 3 6" xfId="15724"/>
    <cellStyle name="Input 3 4 3 7" xfId="15725"/>
    <cellStyle name="Input 3 4 3 8" xfId="19968"/>
    <cellStyle name="Input 3 4 3 9" xfId="19969"/>
    <cellStyle name="Input 3 4 4" xfId="3114"/>
    <cellStyle name="Input 3 4 4 2" xfId="13643"/>
    <cellStyle name="Input 3 4 4 2 2" xfId="13644"/>
    <cellStyle name="Input 3 4 4 2 2 2" xfId="15726"/>
    <cellStyle name="Input 3 4 4 2 2 3" xfId="15727"/>
    <cellStyle name="Input 3 4 4 2 2 4" xfId="19970"/>
    <cellStyle name="Input 3 4 4 2 2 5" xfId="19971"/>
    <cellStyle name="Input 3 4 4 2 2 6" xfId="19972"/>
    <cellStyle name="Input 3 4 4 2 2 7" xfId="19973"/>
    <cellStyle name="Input 3 4 4 2 3" xfId="15728"/>
    <cellStyle name="Input 3 4 4 2 4" xfId="15729"/>
    <cellStyle name="Input 3 4 4 2 5" xfId="19974"/>
    <cellStyle name="Input 3 4 4 2 6" xfId="19975"/>
    <cellStyle name="Input 3 4 4 2 7" xfId="19976"/>
    <cellStyle name="Input 3 4 4 2 8" xfId="19977"/>
    <cellStyle name="Input 3 4 4 3" xfId="13645"/>
    <cellStyle name="Input 3 4 4 3 2" xfId="13646"/>
    <cellStyle name="Input 3 4 4 3 2 2" xfId="15730"/>
    <cellStyle name="Input 3 4 4 3 2 3" xfId="15731"/>
    <cellStyle name="Input 3 4 4 3 2 4" xfId="19978"/>
    <cellStyle name="Input 3 4 4 3 2 5" xfId="19979"/>
    <cellStyle name="Input 3 4 4 3 2 6" xfId="19980"/>
    <cellStyle name="Input 3 4 4 3 2 7" xfId="19981"/>
    <cellStyle name="Input 3 4 4 3 3" xfId="15732"/>
    <cellStyle name="Input 3 4 4 3 4" xfId="15733"/>
    <cellStyle name="Input 3 4 4 3 5" xfId="19982"/>
    <cellStyle name="Input 3 4 4 3 6" xfId="19983"/>
    <cellStyle name="Input 3 4 4 3 7" xfId="19984"/>
    <cellStyle name="Input 3 4 4 3 8" xfId="19985"/>
    <cellStyle name="Input 3 4 4 4" xfId="13647"/>
    <cellStyle name="Input 3 4 4 4 2" xfId="13648"/>
    <cellStyle name="Input 3 4 4 4 2 2" xfId="15734"/>
    <cellStyle name="Input 3 4 4 4 2 3" xfId="15735"/>
    <cellStyle name="Input 3 4 4 4 2 4" xfId="19986"/>
    <cellStyle name="Input 3 4 4 4 2 5" xfId="19987"/>
    <cellStyle name="Input 3 4 4 4 2 6" xfId="19988"/>
    <cellStyle name="Input 3 4 4 4 2 7" xfId="19989"/>
    <cellStyle name="Input 3 4 4 4 3" xfId="15736"/>
    <cellStyle name="Input 3 4 4 4 4" xfId="15737"/>
    <cellStyle name="Input 3 4 4 4 5" xfId="19990"/>
    <cellStyle name="Input 3 4 4 4 6" xfId="19991"/>
    <cellStyle name="Input 3 4 4 4 7" xfId="19992"/>
    <cellStyle name="Input 3 4 4 4 8" xfId="19993"/>
    <cellStyle name="Input 3 4 4 5" xfId="13649"/>
    <cellStyle name="Input 3 4 4 5 2" xfId="15738"/>
    <cellStyle name="Input 3 4 4 5 3" xfId="15739"/>
    <cellStyle name="Input 3 4 4 5 4" xfId="19994"/>
    <cellStyle name="Input 3 4 4 5 5" xfId="19995"/>
    <cellStyle name="Input 3 4 4 5 6" xfId="19996"/>
    <cellStyle name="Input 3 4 4 5 7" xfId="19997"/>
    <cellStyle name="Input 3 4 4 6" xfId="15740"/>
    <cellStyle name="Input 3 4 4 7" xfId="15741"/>
    <cellStyle name="Input 3 4 4 8" xfId="19998"/>
    <cellStyle name="Input 3 4 4 9" xfId="19999"/>
    <cellStyle name="Input 3 4 5" xfId="3216"/>
    <cellStyle name="Input 3 4 5 2" xfId="13650"/>
    <cellStyle name="Input 3 4 5 2 2" xfId="13651"/>
    <cellStyle name="Input 3 4 5 2 2 2" xfId="15742"/>
    <cellStyle name="Input 3 4 5 2 2 3" xfId="15743"/>
    <cellStyle name="Input 3 4 5 2 2 4" xfId="20000"/>
    <cellStyle name="Input 3 4 5 2 2 5" xfId="20001"/>
    <cellStyle name="Input 3 4 5 2 2 6" xfId="20002"/>
    <cellStyle name="Input 3 4 5 2 2 7" xfId="20003"/>
    <cellStyle name="Input 3 4 5 2 3" xfId="15744"/>
    <cellStyle name="Input 3 4 5 2 4" xfId="15745"/>
    <cellStyle name="Input 3 4 5 2 5" xfId="20004"/>
    <cellStyle name="Input 3 4 5 2 6" xfId="20005"/>
    <cellStyle name="Input 3 4 5 2 7" xfId="20006"/>
    <cellStyle name="Input 3 4 5 2 8" xfId="20007"/>
    <cellStyle name="Input 3 4 5 3" xfId="13652"/>
    <cellStyle name="Input 3 4 5 3 2" xfId="13653"/>
    <cellStyle name="Input 3 4 5 3 2 2" xfId="15746"/>
    <cellStyle name="Input 3 4 5 3 2 3" xfId="15747"/>
    <cellStyle name="Input 3 4 5 3 2 4" xfId="20008"/>
    <cellStyle name="Input 3 4 5 3 2 5" xfId="20009"/>
    <cellStyle name="Input 3 4 5 3 2 6" xfId="20010"/>
    <cellStyle name="Input 3 4 5 3 2 7" xfId="20011"/>
    <cellStyle name="Input 3 4 5 3 3" xfId="15748"/>
    <cellStyle name="Input 3 4 5 3 4" xfId="15749"/>
    <cellStyle name="Input 3 4 5 3 5" xfId="20012"/>
    <cellStyle name="Input 3 4 5 3 6" xfId="20013"/>
    <cellStyle name="Input 3 4 5 3 7" xfId="20014"/>
    <cellStyle name="Input 3 4 5 3 8" xfId="20015"/>
    <cellStyle name="Input 3 4 5 4" xfId="13654"/>
    <cellStyle name="Input 3 4 5 4 2" xfId="13655"/>
    <cellStyle name="Input 3 4 5 4 2 2" xfId="15750"/>
    <cellStyle name="Input 3 4 5 4 2 3" xfId="15751"/>
    <cellStyle name="Input 3 4 5 4 2 4" xfId="20016"/>
    <cellStyle name="Input 3 4 5 4 2 5" xfId="20017"/>
    <cellStyle name="Input 3 4 5 4 2 6" xfId="20018"/>
    <cellStyle name="Input 3 4 5 4 2 7" xfId="20019"/>
    <cellStyle name="Input 3 4 5 4 3" xfId="15752"/>
    <cellStyle name="Input 3 4 5 4 4" xfId="15753"/>
    <cellStyle name="Input 3 4 5 4 5" xfId="20020"/>
    <cellStyle name="Input 3 4 5 4 6" xfId="20021"/>
    <cellStyle name="Input 3 4 5 4 7" xfId="20022"/>
    <cellStyle name="Input 3 4 5 4 8" xfId="20023"/>
    <cellStyle name="Input 3 4 5 5" xfId="13656"/>
    <cellStyle name="Input 3 4 5 5 2" xfId="15754"/>
    <cellStyle name="Input 3 4 5 5 3" xfId="15755"/>
    <cellStyle name="Input 3 4 5 5 4" xfId="20024"/>
    <cellStyle name="Input 3 4 5 5 5" xfId="20025"/>
    <cellStyle name="Input 3 4 5 5 6" xfId="20026"/>
    <cellStyle name="Input 3 4 5 5 7" xfId="20027"/>
    <cellStyle name="Input 3 4 5 6" xfId="15756"/>
    <cellStyle name="Input 3 4 5 7" xfId="15757"/>
    <cellStyle name="Input 3 4 5 8" xfId="20028"/>
    <cellStyle name="Input 3 4 5 9" xfId="20029"/>
    <cellStyle name="Input 3 4 6" xfId="13657"/>
    <cellStyle name="Input 3 4 6 2" xfId="13658"/>
    <cellStyle name="Input 3 4 6 2 2" xfId="15758"/>
    <cellStyle name="Input 3 4 6 2 3" xfId="15759"/>
    <cellStyle name="Input 3 4 6 2 4" xfId="20030"/>
    <cellStyle name="Input 3 4 6 2 5" xfId="20031"/>
    <cellStyle name="Input 3 4 6 2 6" xfId="20032"/>
    <cellStyle name="Input 3 4 6 2 7" xfId="20033"/>
    <cellStyle name="Input 3 4 6 3" xfId="15760"/>
    <cellStyle name="Input 3 4 6 4" xfId="15761"/>
    <cellStyle name="Input 3 4 6 5" xfId="20034"/>
    <cellStyle name="Input 3 4 6 6" xfId="20035"/>
    <cellStyle name="Input 3 4 6 7" xfId="20036"/>
    <cellStyle name="Input 3 4 6 8" xfId="20037"/>
    <cellStyle name="Input 3 4 7" xfId="13659"/>
    <cellStyle name="Input 3 4 7 2" xfId="13660"/>
    <cellStyle name="Input 3 4 7 2 2" xfId="15762"/>
    <cellStyle name="Input 3 4 7 2 3" xfId="15763"/>
    <cellStyle name="Input 3 4 7 2 4" xfId="20038"/>
    <cellStyle name="Input 3 4 7 2 5" xfId="20039"/>
    <cellStyle name="Input 3 4 7 2 6" xfId="20040"/>
    <cellStyle name="Input 3 4 7 2 7" xfId="20041"/>
    <cellStyle name="Input 3 4 7 3" xfId="15764"/>
    <cellStyle name="Input 3 4 7 4" xfId="15765"/>
    <cellStyle name="Input 3 4 7 5" xfId="20042"/>
    <cellStyle name="Input 3 4 7 6" xfId="20043"/>
    <cellStyle name="Input 3 4 7 7" xfId="20044"/>
    <cellStyle name="Input 3 4 7 8" xfId="20045"/>
    <cellStyle name="Input 3 4 8" xfId="13661"/>
    <cellStyle name="Input 3 4 8 2" xfId="13662"/>
    <cellStyle name="Input 3 4 8 2 2" xfId="15766"/>
    <cellStyle name="Input 3 4 8 2 3" xfId="15767"/>
    <cellStyle name="Input 3 4 8 2 4" xfId="20046"/>
    <cellStyle name="Input 3 4 8 2 5" xfId="20047"/>
    <cellStyle name="Input 3 4 8 2 6" xfId="20048"/>
    <cellStyle name="Input 3 4 8 2 7" xfId="20049"/>
    <cellStyle name="Input 3 4 8 3" xfId="15768"/>
    <cellStyle name="Input 3 4 8 4" xfId="15769"/>
    <cellStyle name="Input 3 4 8 5" xfId="20050"/>
    <cellStyle name="Input 3 4 8 6" xfId="20051"/>
    <cellStyle name="Input 3 4 8 7" xfId="20052"/>
    <cellStyle name="Input 3 4 8 8" xfId="20053"/>
    <cellStyle name="Input 3 4 9" xfId="13663"/>
    <cellStyle name="Input 3 4 9 2" xfId="15770"/>
    <cellStyle name="Input 3 4 9 3" xfId="15771"/>
    <cellStyle name="Input 3 4 9 4" xfId="20054"/>
    <cellStyle name="Input 3 4 9 5" xfId="20055"/>
    <cellStyle name="Input 3 4 9 6" xfId="20056"/>
    <cellStyle name="Input 3 4 9 7" xfId="20057"/>
    <cellStyle name="Input 3 5" xfId="1396"/>
    <cellStyle name="Input 3 5 2" xfId="13665"/>
    <cellStyle name="Input 3 5 2 2" xfId="15772"/>
    <cellStyle name="Input 3 5 2 3" xfId="15773"/>
    <cellStyle name="Input 3 5 2 4" xfId="20058"/>
    <cellStyle name="Input 3 5 2 5" xfId="20059"/>
    <cellStyle name="Input 3 5 2 6" xfId="20060"/>
    <cellStyle name="Input 3 5 2 7" xfId="20061"/>
    <cellStyle name="Input 3 5 3" xfId="13664"/>
    <cellStyle name="Input 3 5 4" xfId="15774"/>
    <cellStyle name="Input 3 5 5" xfId="20062"/>
    <cellStyle name="Input 3 5 6" xfId="20063"/>
    <cellStyle name="Input 3 5 7" xfId="20064"/>
    <cellStyle name="Input 3 5 8" xfId="20065"/>
    <cellStyle name="Input 3 6" xfId="13666"/>
    <cellStyle name="Input 3 6 2" xfId="13667"/>
    <cellStyle name="Input 3 6 2 2" xfId="15775"/>
    <cellStyle name="Input 3 6 2 3" xfId="15776"/>
    <cellStyle name="Input 3 6 2 4" xfId="20066"/>
    <cellStyle name="Input 3 6 2 5" xfId="20067"/>
    <cellStyle name="Input 3 6 2 6" xfId="20068"/>
    <cellStyle name="Input 3 6 2 7" xfId="20069"/>
    <cellStyle name="Input 3 6 3" xfId="15777"/>
    <cellStyle name="Input 3 6 4" xfId="15778"/>
    <cellStyle name="Input 3 6 5" xfId="20070"/>
    <cellStyle name="Input 3 6 6" xfId="20071"/>
    <cellStyle name="Input 3 6 7" xfId="20072"/>
    <cellStyle name="Input 3 6 8" xfId="20073"/>
    <cellStyle name="Input 3 7" xfId="13668"/>
    <cellStyle name="Input 3 7 2" xfId="13669"/>
    <cellStyle name="Input 3 7 2 2" xfId="15779"/>
    <cellStyle name="Input 3 7 2 3" xfId="15780"/>
    <cellStyle name="Input 3 7 2 4" xfId="20074"/>
    <cellStyle name="Input 3 7 2 5" xfId="20075"/>
    <cellStyle name="Input 3 7 2 6" xfId="20076"/>
    <cellStyle name="Input 3 7 2 7" xfId="20077"/>
    <cellStyle name="Input 3 7 3" xfId="15781"/>
    <cellStyle name="Input 3 7 4" xfId="15782"/>
    <cellStyle name="Input 3 7 5" xfId="20078"/>
    <cellStyle name="Input 3 7 6" xfId="20079"/>
    <cellStyle name="Input 3 7 7" xfId="20080"/>
    <cellStyle name="Input 3 7 8" xfId="20081"/>
    <cellStyle name="Input 3 8" xfId="13670"/>
    <cellStyle name="Input 3 8 2" xfId="15783"/>
    <cellStyle name="Input 3 8 3" xfId="15784"/>
    <cellStyle name="Input 3 8 4" xfId="20082"/>
    <cellStyle name="Input 3 8 5" xfId="20083"/>
    <cellStyle name="Input 3 8 6" xfId="20084"/>
    <cellStyle name="Input 3 8 7" xfId="20085"/>
    <cellStyle name="Input 3 9" xfId="13839"/>
    <cellStyle name="Input 3 9 2" xfId="15785"/>
    <cellStyle name="Input 3 9 3" xfId="15786"/>
    <cellStyle name="Input 3 9 4" xfId="20086"/>
    <cellStyle name="Input 3 9 5" xfId="20087"/>
    <cellStyle name="Input 3 9 6" xfId="20088"/>
    <cellStyle name="Input 3 9 7" xfId="20089"/>
    <cellStyle name="input 4" xfId="421"/>
    <cellStyle name="Input 4 2" xfId="1792"/>
    <cellStyle name="input 5" xfId="422"/>
    <cellStyle name="input 6" xfId="423"/>
    <cellStyle name="input 7" xfId="424"/>
    <cellStyle name="input 8" xfId="425"/>
    <cellStyle name="input(0)" xfId="110"/>
    <cellStyle name="Input(2)" xfId="111"/>
    <cellStyle name="INT Paramter" xfId="426"/>
    <cellStyle name="Labels" xfId="913"/>
    <cellStyle name="Labels - Style3" xfId="1793"/>
    <cellStyle name="Labels - Style3 10" xfId="13671"/>
    <cellStyle name="Labels - Style3 10 2" xfId="15787"/>
    <cellStyle name="Labels - Style3 10 3" xfId="15788"/>
    <cellStyle name="Labels - Style3 10 4" xfId="20090"/>
    <cellStyle name="Labels - Style3 10 5" xfId="20091"/>
    <cellStyle name="Labels - Style3 10 6" xfId="20092"/>
    <cellStyle name="Labels - Style3 10 7" xfId="20093"/>
    <cellStyle name="Labels - Style3 11" xfId="3007"/>
    <cellStyle name="Labels - Style3 12" xfId="15789"/>
    <cellStyle name="Labels - Style3 2" xfId="3072"/>
    <cellStyle name="Labels - Style3 2 2" xfId="13672"/>
    <cellStyle name="Labels - Style3 2 2 2" xfId="13673"/>
    <cellStyle name="Labels - Style3 2 2 2 2" xfId="15790"/>
    <cellStyle name="Labels - Style3 2 2 2 3" xfId="15791"/>
    <cellStyle name="Labels - Style3 2 2 2 4" xfId="20094"/>
    <cellStyle name="Labels - Style3 2 2 2 5" xfId="20095"/>
    <cellStyle name="Labels - Style3 2 2 2 6" xfId="20096"/>
    <cellStyle name="Labels - Style3 2 2 2 7" xfId="20097"/>
    <cellStyle name="Labels - Style3 2 2 3" xfId="15792"/>
    <cellStyle name="Labels - Style3 2 2 4" xfId="15793"/>
    <cellStyle name="Labels - Style3 2 2 5" xfId="20098"/>
    <cellStyle name="Labels - Style3 2 2 6" xfId="20099"/>
    <cellStyle name="Labels - Style3 2 2 7" xfId="20100"/>
    <cellStyle name="Labels - Style3 2 2 8" xfId="20101"/>
    <cellStyle name="Labels - Style3 2 3" xfId="13674"/>
    <cellStyle name="Labels - Style3 2 3 2" xfId="13675"/>
    <cellStyle name="Labels - Style3 2 3 2 2" xfId="15794"/>
    <cellStyle name="Labels - Style3 2 3 2 3" xfId="15795"/>
    <cellStyle name="Labels - Style3 2 3 2 4" xfId="20102"/>
    <cellStyle name="Labels - Style3 2 3 2 5" xfId="20103"/>
    <cellStyle name="Labels - Style3 2 3 2 6" xfId="20104"/>
    <cellStyle name="Labels - Style3 2 3 2 7" xfId="20105"/>
    <cellStyle name="Labels - Style3 2 3 3" xfId="15796"/>
    <cellStyle name="Labels - Style3 2 3 4" xfId="15797"/>
    <cellStyle name="Labels - Style3 2 3 5" xfId="20106"/>
    <cellStyle name="Labels - Style3 2 3 6" xfId="20107"/>
    <cellStyle name="Labels - Style3 2 3 7" xfId="20108"/>
    <cellStyle name="Labels - Style3 2 3 8" xfId="20109"/>
    <cellStyle name="Labels - Style3 2 4" xfId="13676"/>
    <cellStyle name="Labels - Style3 2 4 2" xfId="13677"/>
    <cellStyle name="Labels - Style3 2 4 2 2" xfId="15798"/>
    <cellStyle name="Labels - Style3 2 4 2 3" xfId="15799"/>
    <cellStyle name="Labels - Style3 2 4 2 4" xfId="20110"/>
    <cellStyle name="Labels - Style3 2 4 2 5" xfId="20111"/>
    <cellStyle name="Labels - Style3 2 4 2 6" xfId="20112"/>
    <cellStyle name="Labels - Style3 2 4 2 7" xfId="20113"/>
    <cellStyle name="Labels - Style3 2 4 3" xfId="15800"/>
    <cellStyle name="Labels - Style3 2 4 4" xfId="15801"/>
    <cellStyle name="Labels - Style3 2 4 5" xfId="20114"/>
    <cellStyle name="Labels - Style3 2 4 6" xfId="20115"/>
    <cellStyle name="Labels - Style3 2 4 7" xfId="20116"/>
    <cellStyle name="Labels - Style3 2 4 8" xfId="20117"/>
    <cellStyle name="Labels - Style3 2 5" xfId="13678"/>
    <cellStyle name="Labels - Style3 2 5 2" xfId="13679"/>
    <cellStyle name="Labels - Style3 2 5 2 2" xfId="15802"/>
    <cellStyle name="Labels - Style3 2 5 2 3" xfId="15803"/>
    <cellStyle name="Labels - Style3 2 5 2 4" xfId="20118"/>
    <cellStyle name="Labels - Style3 2 5 2 5" xfId="20119"/>
    <cellStyle name="Labels - Style3 2 5 2 6" xfId="20120"/>
    <cellStyle name="Labels - Style3 2 5 2 7" xfId="20121"/>
    <cellStyle name="Labels - Style3 2 5 3" xfId="15804"/>
    <cellStyle name="Labels - Style3 2 5 4" xfId="15805"/>
    <cellStyle name="Labels - Style3 2 5 5" xfId="20122"/>
    <cellStyle name="Labels - Style3 2 5 6" xfId="20123"/>
    <cellStyle name="Labels - Style3 2 5 7" xfId="20124"/>
    <cellStyle name="Labels - Style3 2 5 8" xfId="20125"/>
    <cellStyle name="Labels - Style3 2 6" xfId="13680"/>
    <cellStyle name="Labels - Style3 2 6 2" xfId="15806"/>
    <cellStyle name="Labels - Style3 2 6 3" xfId="15807"/>
    <cellStyle name="Labels - Style3 2 6 4" xfId="20126"/>
    <cellStyle name="Labels - Style3 2 6 5" xfId="20127"/>
    <cellStyle name="Labels - Style3 2 6 6" xfId="20128"/>
    <cellStyle name="Labels - Style3 2 6 7" xfId="20129"/>
    <cellStyle name="Labels - Style3 2 7" xfId="15808"/>
    <cellStyle name="Labels - Style3 2 8" xfId="15809"/>
    <cellStyle name="Labels - Style3 3" xfId="3189"/>
    <cellStyle name="Labels - Style3 3 2" xfId="13681"/>
    <cellStyle name="Labels - Style3 3 2 2" xfId="13682"/>
    <cellStyle name="Labels - Style3 3 2 2 2" xfId="15810"/>
    <cellStyle name="Labels - Style3 3 2 2 3" xfId="15811"/>
    <cellStyle name="Labels - Style3 3 2 2 4" xfId="20130"/>
    <cellStyle name="Labels - Style3 3 2 2 5" xfId="20131"/>
    <cellStyle name="Labels - Style3 3 2 2 6" xfId="20132"/>
    <cellStyle name="Labels - Style3 3 2 2 7" xfId="20133"/>
    <cellStyle name="Labels - Style3 3 2 3" xfId="15812"/>
    <cellStyle name="Labels - Style3 3 2 4" xfId="15813"/>
    <cellStyle name="Labels - Style3 3 2 5" xfId="20134"/>
    <cellStyle name="Labels - Style3 3 2 6" xfId="20135"/>
    <cellStyle name="Labels - Style3 3 2 7" xfId="20136"/>
    <cellStyle name="Labels - Style3 3 2 8" xfId="20137"/>
    <cellStyle name="Labels - Style3 3 3" xfId="13683"/>
    <cellStyle name="Labels - Style3 3 3 2" xfId="13684"/>
    <cellStyle name="Labels - Style3 3 3 2 2" xfId="15814"/>
    <cellStyle name="Labels - Style3 3 3 2 3" xfId="15815"/>
    <cellStyle name="Labels - Style3 3 3 2 4" xfId="20138"/>
    <cellStyle name="Labels - Style3 3 3 2 5" xfId="20139"/>
    <cellStyle name="Labels - Style3 3 3 2 6" xfId="20140"/>
    <cellStyle name="Labels - Style3 3 3 2 7" xfId="20141"/>
    <cellStyle name="Labels - Style3 3 3 3" xfId="15816"/>
    <cellStyle name="Labels - Style3 3 3 4" xfId="15817"/>
    <cellStyle name="Labels - Style3 3 3 5" xfId="20142"/>
    <cellStyle name="Labels - Style3 3 3 6" xfId="20143"/>
    <cellStyle name="Labels - Style3 3 3 7" xfId="20144"/>
    <cellStyle name="Labels - Style3 3 3 8" xfId="20145"/>
    <cellStyle name="Labels - Style3 3 4" xfId="13685"/>
    <cellStyle name="Labels - Style3 3 4 2" xfId="13686"/>
    <cellStyle name="Labels - Style3 3 4 2 2" xfId="15818"/>
    <cellStyle name="Labels - Style3 3 4 2 3" xfId="15819"/>
    <cellStyle name="Labels - Style3 3 4 2 4" xfId="20146"/>
    <cellStyle name="Labels - Style3 3 4 2 5" xfId="20147"/>
    <cellStyle name="Labels - Style3 3 4 2 6" xfId="20148"/>
    <cellStyle name="Labels - Style3 3 4 2 7" xfId="20149"/>
    <cellStyle name="Labels - Style3 3 4 3" xfId="15820"/>
    <cellStyle name="Labels - Style3 3 4 4" xfId="15821"/>
    <cellStyle name="Labels - Style3 3 4 5" xfId="20150"/>
    <cellStyle name="Labels - Style3 3 4 6" xfId="20151"/>
    <cellStyle name="Labels - Style3 3 4 7" xfId="20152"/>
    <cellStyle name="Labels - Style3 3 4 8" xfId="20153"/>
    <cellStyle name="Labels - Style3 3 5" xfId="13687"/>
    <cellStyle name="Labels - Style3 3 5 2" xfId="13688"/>
    <cellStyle name="Labels - Style3 3 5 2 2" xfId="15822"/>
    <cellStyle name="Labels - Style3 3 5 2 3" xfId="15823"/>
    <cellStyle name="Labels - Style3 3 5 2 4" xfId="20154"/>
    <cellStyle name="Labels - Style3 3 5 2 5" xfId="20155"/>
    <cellStyle name="Labels - Style3 3 5 2 6" xfId="20156"/>
    <cellStyle name="Labels - Style3 3 5 2 7" xfId="20157"/>
    <cellStyle name="Labels - Style3 3 5 3" xfId="15824"/>
    <cellStyle name="Labels - Style3 3 5 4" xfId="15825"/>
    <cellStyle name="Labels - Style3 3 5 5" xfId="20158"/>
    <cellStyle name="Labels - Style3 3 5 6" xfId="20159"/>
    <cellStyle name="Labels - Style3 3 5 7" xfId="20160"/>
    <cellStyle name="Labels - Style3 3 5 8" xfId="20161"/>
    <cellStyle name="Labels - Style3 3 6" xfId="13689"/>
    <cellStyle name="Labels - Style3 3 6 2" xfId="15826"/>
    <cellStyle name="Labels - Style3 3 6 3" xfId="15827"/>
    <cellStyle name="Labels - Style3 3 6 4" xfId="20162"/>
    <cellStyle name="Labels - Style3 3 6 5" xfId="20163"/>
    <cellStyle name="Labels - Style3 3 6 6" xfId="20164"/>
    <cellStyle name="Labels - Style3 3 6 7" xfId="20165"/>
    <cellStyle name="Labels - Style3 3 7" xfId="15828"/>
    <cellStyle name="Labels - Style3 3 8" xfId="15829"/>
    <cellStyle name="Labels - Style3 4" xfId="3108"/>
    <cellStyle name="Labels - Style3 4 2" xfId="13690"/>
    <cellStyle name="Labels - Style3 4 2 2" xfId="13691"/>
    <cellStyle name="Labels - Style3 4 2 2 2" xfId="15830"/>
    <cellStyle name="Labels - Style3 4 2 2 3" xfId="15831"/>
    <cellStyle name="Labels - Style3 4 2 2 4" xfId="20166"/>
    <cellStyle name="Labels - Style3 4 2 2 5" xfId="20167"/>
    <cellStyle name="Labels - Style3 4 2 2 6" xfId="20168"/>
    <cellStyle name="Labels - Style3 4 2 2 7" xfId="20169"/>
    <cellStyle name="Labels - Style3 4 2 3" xfId="15832"/>
    <cellStyle name="Labels - Style3 4 2 4" xfId="15833"/>
    <cellStyle name="Labels - Style3 4 2 5" xfId="20170"/>
    <cellStyle name="Labels - Style3 4 2 6" xfId="20171"/>
    <cellStyle name="Labels - Style3 4 2 7" xfId="20172"/>
    <cellStyle name="Labels - Style3 4 2 8" xfId="20173"/>
    <cellStyle name="Labels - Style3 4 3" xfId="13692"/>
    <cellStyle name="Labels - Style3 4 3 2" xfId="13693"/>
    <cellStyle name="Labels - Style3 4 3 2 2" xfId="15834"/>
    <cellStyle name="Labels - Style3 4 3 2 3" xfId="15835"/>
    <cellStyle name="Labels - Style3 4 3 2 4" xfId="20174"/>
    <cellStyle name="Labels - Style3 4 3 2 5" xfId="20175"/>
    <cellStyle name="Labels - Style3 4 3 2 6" xfId="20176"/>
    <cellStyle name="Labels - Style3 4 3 2 7" xfId="20177"/>
    <cellStyle name="Labels - Style3 4 3 3" xfId="15836"/>
    <cellStyle name="Labels - Style3 4 3 4" xfId="15837"/>
    <cellStyle name="Labels - Style3 4 3 5" xfId="20178"/>
    <cellStyle name="Labels - Style3 4 3 6" xfId="20179"/>
    <cellStyle name="Labels - Style3 4 3 7" xfId="20180"/>
    <cellStyle name="Labels - Style3 4 3 8" xfId="20181"/>
    <cellStyle name="Labels - Style3 4 4" xfId="13694"/>
    <cellStyle name="Labels - Style3 4 4 2" xfId="13695"/>
    <cellStyle name="Labels - Style3 4 4 2 2" xfId="15838"/>
    <cellStyle name="Labels - Style3 4 4 2 3" xfId="15839"/>
    <cellStyle name="Labels - Style3 4 4 2 4" xfId="20182"/>
    <cellStyle name="Labels - Style3 4 4 2 5" xfId="20183"/>
    <cellStyle name="Labels - Style3 4 4 2 6" xfId="20184"/>
    <cellStyle name="Labels - Style3 4 4 2 7" xfId="20185"/>
    <cellStyle name="Labels - Style3 4 4 3" xfId="15840"/>
    <cellStyle name="Labels - Style3 4 4 4" xfId="15841"/>
    <cellStyle name="Labels - Style3 4 4 5" xfId="20186"/>
    <cellStyle name="Labels - Style3 4 4 6" xfId="20187"/>
    <cellStyle name="Labels - Style3 4 4 7" xfId="20188"/>
    <cellStyle name="Labels - Style3 4 4 8" xfId="20189"/>
    <cellStyle name="Labels - Style3 4 5" xfId="13696"/>
    <cellStyle name="Labels - Style3 4 5 2" xfId="13697"/>
    <cellStyle name="Labels - Style3 4 5 2 2" xfId="15842"/>
    <cellStyle name="Labels - Style3 4 5 2 3" xfId="15843"/>
    <cellStyle name="Labels - Style3 4 5 2 4" xfId="20190"/>
    <cellStyle name="Labels - Style3 4 5 2 5" xfId="20191"/>
    <cellStyle name="Labels - Style3 4 5 2 6" xfId="20192"/>
    <cellStyle name="Labels - Style3 4 5 2 7" xfId="20193"/>
    <cellStyle name="Labels - Style3 4 5 3" xfId="15844"/>
    <cellStyle name="Labels - Style3 4 5 4" xfId="15845"/>
    <cellStyle name="Labels - Style3 4 5 5" xfId="20194"/>
    <cellStyle name="Labels - Style3 4 5 6" xfId="20195"/>
    <cellStyle name="Labels - Style3 4 5 7" xfId="20196"/>
    <cellStyle name="Labels - Style3 4 5 8" xfId="20197"/>
    <cellStyle name="Labels - Style3 4 6" xfId="13698"/>
    <cellStyle name="Labels - Style3 4 6 2" xfId="15846"/>
    <cellStyle name="Labels - Style3 4 6 3" xfId="15847"/>
    <cellStyle name="Labels - Style3 4 6 4" xfId="20198"/>
    <cellStyle name="Labels - Style3 4 6 5" xfId="20199"/>
    <cellStyle name="Labels - Style3 4 6 6" xfId="20200"/>
    <cellStyle name="Labels - Style3 4 6 7" xfId="20201"/>
    <cellStyle name="Labels - Style3 4 7" xfId="15848"/>
    <cellStyle name="Labels - Style3 4 8" xfId="15849"/>
    <cellStyle name="Labels - Style3 5" xfId="3099"/>
    <cellStyle name="Labels - Style3 5 2" xfId="13699"/>
    <cellStyle name="Labels - Style3 5 2 2" xfId="13700"/>
    <cellStyle name="Labels - Style3 5 2 2 2" xfId="15850"/>
    <cellStyle name="Labels - Style3 5 2 2 3" xfId="15851"/>
    <cellStyle name="Labels - Style3 5 2 2 4" xfId="20202"/>
    <cellStyle name="Labels - Style3 5 2 2 5" xfId="20203"/>
    <cellStyle name="Labels - Style3 5 2 2 6" xfId="20204"/>
    <cellStyle name="Labels - Style3 5 2 2 7" xfId="20205"/>
    <cellStyle name="Labels - Style3 5 2 3" xfId="15852"/>
    <cellStyle name="Labels - Style3 5 2 4" xfId="15853"/>
    <cellStyle name="Labels - Style3 5 2 5" xfId="20206"/>
    <cellStyle name="Labels - Style3 5 2 6" xfId="20207"/>
    <cellStyle name="Labels - Style3 5 2 7" xfId="20208"/>
    <cellStyle name="Labels - Style3 5 2 8" xfId="20209"/>
    <cellStyle name="Labels - Style3 5 3" xfId="13701"/>
    <cellStyle name="Labels - Style3 5 3 2" xfId="13702"/>
    <cellStyle name="Labels - Style3 5 3 2 2" xfId="15854"/>
    <cellStyle name="Labels - Style3 5 3 2 3" xfId="15855"/>
    <cellStyle name="Labels - Style3 5 3 2 4" xfId="20210"/>
    <cellStyle name="Labels - Style3 5 3 2 5" xfId="20211"/>
    <cellStyle name="Labels - Style3 5 3 2 6" xfId="20212"/>
    <cellStyle name="Labels - Style3 5 3 2 7" xfId="20213"/>
    <cellStyle name="Labels - Style3 5 3 3" xfId="15856"/>
    <cellStyle name="Labels - Style3 5 3 4" xfId="15857"/>
    <cellStyle name="Labels - Style3 5 3 5" xfId="20214"/>
    <cellStyle name="Labels - Style3 5 3 6" xfId="20215"/>
    <cellStyle name="Labels - Style3 5 3 7" xfId="20216"/>
    <cellStyle name="Labels - Style3 5 3 8" xfId="20217"/>
    <cellStyle name="Labels - Style3 5 4" xfId="13703"/>
    <cellStyle name="Labels - Style3 5 4 2" xfId="13704"/>
    <cellStyle name="Labels - Style3 5 4 2 2" xfId="15858"/>
    <cellStyle name="Labels - Style3 5 4 2 3" xfId="15859"/>
    <cellStyle name="Labels - Style3 5 4 2 4" xfId="20218"/>
    <cellStyle name="Labels - Style3 5 4 2 5" xfId="20219"/>
    <cellStyle name="Labels - Style3 5 4 2 6" xfId="20220"/>
    <cellStyle name="Labels - Style3 5 4 2 7" xfId="20221"/>
    <cellStyle name="Labels - Style3 5 4 3" xfId="15860"/>
    <cellStyle name="Labels - Style3 5 4 4" xfId="15861"/>
    <cellStyle name="Labels - Style3 5 4 5" xfId="20222"/>
    <cellStyle name="Labels - Style3 5 4 6" xfId="20223"/>
    <cellStyle name="Labels - Style3 5 4 7" xfId="20224"/>
    <cellStyle name="Labels - Style3 5 4 8" xfId="20225"/>
    <cellStyle name="Labels - Style3 5 5" xfId="13705"/>
    <cellStyle name="Labels - Style3 5 5 2" xfId="13706"/>
    <cellStyle name="Labels - Style3 5 5 2 2" xfId="15862"/>
    <cellStyle name="Labels - Style3 5 5 2 3" xfId="15863"/>
    <cellStyle name="Labels - Style3 5 5 2 4" xfId="20226"/>
    <cellStyle name="Labels - Style3 5 5 2 5" xfId="20227"/>
    <cellStyle name="Labels - Style3 5 5 2 6" xfId="20228"/>
    <cellStyle name="Labels - Style3 5 5 2 7" xfId="20229"/>
    <cellStyle name="Labels - Style3 5 5 3" xfId="15864"/>
    <cellStyle name="Labels - Style3 5 5 4" xfId="15865"/>
    <cellStyle name="Labels - Style3 5 5 5" xfId="20230"/>
    <cellStyle name="Labels - Style3 5 5 6" xfId="20231"/>
    <cellStyle name="Labels - Style3 5 5 7" xfId="20232"/>
    <cellStyle name="Labels - Style3 5 5 8" xfId="20233"/>
    <cellStyle name="Labels - Style3 5 6" xfId="13707"/>
    <cellStyle name="Labels - Style3 5 6 2" xfId="15866"/>
    <cellStyle name="Labels - Style3 5 6 3" xfId="15867"/>
    <cellStyle name="Labels - Style3 5 6 4" xfId="20234"/>
    <cellStyle name="Labels - Style3 5 6 5" xfId="20235"/>
    <cellStyle name="Labels - Style3 5 6 6" xfId="20236"/>
    <cellStyle name="Labels - Style3 5 6 7" xfId="20237"/>
    <cellStyle name="Labels - Style3 5 7" xfId="15868"/>
    <cellStyle name="Labels - Style3 5 8" xfId="15869"/>
    <cellStyle name="Labels - Style3 6" xfId="13708"/>
    <cellStyle name="Labels - Style3 6 2" xfId="13709"/>
    <cellStyle name="Labels - Style3 6 2 2" xfId="15870"/>
    <cellStyle name="Labels - Style3 6 2 3" xfId="15871"/>
    <cellStyle name="Labels - Style3 6 2 4" xfId="20238"/>
    <cellStyle name="Labels - Style3 6 2 5" xfId="20239"/>
    <cellStyle name="Labels - Style3 6 2 6" xfId="20240"/>
    <cellStyle name="Labels - Style3 6 2 7" xfId="20241"/>
    <cellStyle name="Labels - Style3 6 3" xfId="15872"/>
    <cellStyle name="Labels - Style3 6 4" xfId="15873"/>
    <cellStyle name="Labels - Style3 6 5" xfId="20242"/>
    <cellStyle name="Labels - Style3 6 6" xfId="20243"/>
    <cellStyle name="Labels - Style3 6 7" xfId="20244"/>
    <cellStyle name="Labels - Style3 6 8" xfId="20245"/>
    <cellStyle name="Labels - Style3 7" xfId="13710"/>
    <cellStyle name="Labels - Style3 7 2" xfId="13711"/>
    <cellStyle name="Labels - Style3 7 2 2" xfId="15874"/>
    <cellStyle name="Labels - Style3 7 2 3" xfId="15875"/>
    <cellStyle name="Labels - Style3 7 2 4" xfId="20246"/>
    <cellStyle name="Labels - Style3 7 2 5" xfId="20247"/>
    <cellStyle name="Labels - Style3 7 2 6" xfId="20248"/>
    <cellStyle name="Labels - Style3 7 2 7" xfId="20249"/>
    <cellStyle name="Labels - Style3 7 3" xfId="15876"/>
    <cellStyle name="Labels - Style3 7 4" xfId="15877"/>
    <cellStyle name="Labels - Style3 7 5" xfId="20250"/>
    <cellStyle name="Labels - Style3 7 6" xfId="20251"/>
    <cellStyle name="Labels - Style3 7 7" xfId="20252"/>
    <cellStyle name="Labels - Style3 7 8" xfId="20253"/>
    <cellStyle name="Labels - Style3 8" xfId="13712"/>
    <cellStyle name="Labels - Style3 8 2" xfId="13713"/>
    <cellStyle name="Labels - Style3 8 2 2" xfId="15878"/>
    <cellStyle name="Labels - Style3 8 2 3" xfId="15879"/>
    <cellStyle name="Labels - Style3 8 2 4" xfId="20254"/>
    <cellStyle name="Labels - Style3 8 2 5" xfId="20255"/>
    <cellStyle name="Labels - Style3 8 2 6" xfId="20256"/>
    <cellStyle name="Labels - Style3 8 2 7" xfId="20257"/>
    <cellStyle name="Labels - Style3 8 3" xfId="15880"/>
    <cellStyle name="Labels - Style3 8 4" xfId="15881"/>
    <cellStyle name="Labels - Style3 8 5" xfId="20258"/>
    <cellStyle name="Labels - Style3 8 6" xfId="20259"/>
    <cellStyle name="Labels - Style3 8 7" xfId="20260"/>
    <cellStyle name="Labels - Style3 8 8" xfId="20261"/>
    <cellStyle name="Labels - Style3 9" xfId="13714"/>
    <cellStyle name="Labels - Style3 9 2" xfId="13715"/>
    <cellStyle name="Labels - Style3 9 2 2" xfId="15882"/>
    <cellStyle name="Labels - Style3 9 2 3" xfId="15883"/>
    <cellStyle name="Labels - Style3 9 2 4" xfId="20262"/>
    <cellStyle name="Labels - Style3 9 2 5" xfId="20263"/>
    <cellStyle name="Labels - Style3 9 2 6" xfId="20264"/>
    <cellStyle name="Labels - Style3 9 2 7" xfId="20265"/>
    <cellStyle name="Labels - Style3 9 3" xfId="15884"/>
    <cellStyle name="Labels - Style3 9 4" xfId="15885"/>
    <cellStyle name="Labels - Style3 9 5" xfId="20266"/>
    <cellStyle name="Labels - Style3 9 6" xfId="20267"/>
    <cellStyle name="Labels - Style3 9 7" xfId="20268"/>
    <cellStyle name="Labels - Style3 9 8" xfId="20269"/>
    <cellStyle name="Labels 10" xfId="13716"/>
    <cellStyle name="Labels 10 2" xfId="13717"/>
    <cellStyle name="Labels 10 2 2" xfId="15886"/>
    <cellStyle name="Labels 10 2 3" xfId="20270"/>
    <cellStyle name="Labels 10 2 4" xfId="20271"/>
    <cellStyle name="Labels 10 2 5" xfId="20272"/>
    <cellStyle name="Labels 10 2 6" xfId="20273"/>
    <cellStyle name="Labels 10 2 7" xfId="20274"/>
    <cellStyle name="Labels 10 3" xfId="15887"/>
    <cellStyle name="Labels 10 4" xfId="20275"/>
    <cellStyle name="Labels 10 5" xfId="20276"/>
    <cellStyle name="Labels 10 6" xfId="20277"/>
    <cellStyle name="Labels 10 7" xfId="20278"/>
    <cellStyle name="Labels 10 8" xfId="20279"/>
    <cellStyle name="Labels 11" xfId="13718"/>
    <cellStyle name="Labels 11 2" xfId="13719"/>
    <cellStyle name="Labels 11 2 2" xfId="15888"/>
    <cellStyle name="Labels 11 2 3" xfId="20280"/>
    <cellStyle name="Labels 11 2 4" xfId="20281"/>
    <cellStyle name="Labels 11 2 5" xfId="20282"/>
    <cellStyle name="Labels 11 2 6" xfId="20283"/>
    <cellStyle name="Labels 11 2 7" xfId="20284"/>
    <cellStyle name="Labels 11 3" xfId="15889"/>
    <cellStyle name="Labels 11 4" xfId="20285"/>
    <cellStyle name="Labels 11 5" xfId="20286"/>
    <cellStyle name="Labels 11 6" xfId="20287"/>
    <cellStyle name="Labels 11 7" xfId="20288"/>
    <cellStyle name="Labels 11 8" xfId="20289"/>
    <cellStyle name="Labels 12" xfId="13720"/>
    <cellStyle name="Labels 12 2" xfId="13721"/>
    <cellStyle name="Labels 12 2 2" xfId="15890"/>
    <cellStyle name="Labels 12 2 3" xfId="20290"/>
    <cellStyle name="Labels 12 2 4" xfId="20291"/>
    <cellStyle name="Labels 12 2 5" xfId="20292"/>
    <cellStyle name="Labels 12 2 6" xfId="20293"/>
    <cellStyle name="Labels 12 2 7" xfId="20294"/>
    <cellStyle name="Labels 12 3" xfId="15891"/>
    <cellStyle name="Labels 12 4" xfId="20295"/>
    <cellStyle name="Labels 12 5" xfId="20296"/>
    <cellStyle name="Labels 12 6" xfId="20297"/>
    <cellStyle name="Labels 12 7" xfId="20298"/>
    <cellStyle name="Labels 12 8" xfId="20299"/>
    <cellStyle name="Labels 13" xfId="13722"/>
    <cellStyle name="Labels 13 2" xfId="13723"/>
    <cellStyle name="Labels 13 2 2" xfId="15892"/>
    <cellStyle name="Labels 13 2 3" xfId="20300"/>
    <cellStyle name="Labels 13 2 4" xfId="20301"/>
    <cellStyle name="Labels 13 2 5" xfId="20302"/>
    <cellStyle name="Labels 13 2 6" xfId="20303"/>
    <cellStyle name="Labels 13 2 7" xfId="20304"/>
    <cellStyle name="Labels 13 3" xfId="15893"/>
    <cellStyle name="Labels 13 4" xfId="20305"/>
    <cellStyle name="Labels 13 5" xfId="20306"/>
    <cellStyle name="Labels 13 6" xfId="20307"/>
    <cellStyle name="Labels 13 7" xfId="20308"/>
    <cellStyle name="Labels 13 8" xfId="20309"/>
    <cellStyle name="Labels 14" xfId="13724"/>
    <cellStyle name="Labels 14 2" xfId="13725"/>
    <cellStyle name="Labels 14 2 2" xfId="15894"/>
    <cellStyle name="Labels 14 2 3" xfId="20310"/>
    <cellStyle name="Labels 14 2 4" xfId="20311"/>
    <cellStyle name="Labels 14 2 5" xfId="20312"/>
    <cellStyle name="Labels 14 2 6" xfId="20313"/>
    <cellStyle name="Labels 14 2 7" xfId="20314"/>
    <cellStyle name="Labels 14 3" xfId="15895"/>
    <cellStyle name="Labels 14 4" xfId="20315"/>
    <cellStyle name="Labels 14 5" xfId="20316"/>
    <cellStyle name="Labels 14 6" xfId="20317"/>
    <cellStyle name="Labels 14 7" xfId="20318"/>
    <cellStyle name="Labels 14 8" xfId="20319"/>
    <cellStyle name="Labels 15" xfId="13726"/>
    <cellStyle name="Labels 15 2" xfId="15896"/>
    <cellStyle name="Labels 15 3" xfId="20320"/>
    <cellStyle name="Labels 15 4" xfId="20321"/>
    <cellStyle name="Labels 15 5" xfId="20322"/>
    <cellStyle name="Labels 15 6" xfId="20323"/>
    <cellStyle name="Labels 15 7" xfId="20324"/>
    <cellStyle name="Labels 16" xfId="13727"/>
    <cellStyle name="Labels 16 2" xfId="15897"/>
    <cellStyle name="Labels 16 3" xfId="20325"/>
    <cellStyle name="Labels 16 4" xfId="20326"/>
    <cellStyle name="Labels 16 5" xfId="20327"/>
    <cellStyle name="Labels 16 6" xfId="20328"/>
    <cellStyle name="Labels 16 7" xfId="20329"/>
    <cellStyle name="Labels 17" xfId="13728"/>
    <cellStyle name="Labels 17 2" xfId="15898"/>
    <cellStyle name="Labels 17 3" xfId="20330"/>
    <cellStyle name="Labels 17 4" xfId="20331"/>
    <cellStyle name="Labels 17 5" xfId="20332"/>
    <cellStyle name="Labels 17 6" xfId="20333"/>
    <cellStyle name="Labels 17 7" xfId="20334"/>
    <cellStyle name="Labels 18" xfId="13729"/>
    <cellStyle name="Labels 18 2" xfId="15899"/>
    <cellStyle name="Labels 18 3" xfId="20335"/>
    <cellStyle name="Labels 18 4" xfId="20336"/>
    <cellStyle name="Labels 18 5" xfId="20337"/>
    <cellStyle name="Labels 18 6" xfId="20338"/>
    <cellStyle name="Labels 18 7" xfId="20339"/>
    <cellStyle name="Labels 19" xfId="2911"/>
    <cellStyle name="Labels 2" xfId="2986"/>
    <cellStyle name="Labels 2 10" xfId="20340"/>
    <cellStyle name="Labels 2 2" xfId="3208"/>
    <cellStyle name="Labels 2 2 2" xfId="13730"/>
    <cellStyle name="Labels 2 2 2 2" xfId="13731"/>
    <cellStyle name="Labels 2 2 2 2 2" xfId="15900"/>
    <cellStyle name="Labels 2 2 2 2 3" xfId="20341"/>
    <cellStyle name="Labels 2 2 2 2 4" xfId="20342"/>
    <cellStyle name="Labels 2 2 2 2 5" xfId="20343"/>
    <cellStyle name="Labels 2 2 2 2 6" xfId="20344"/>
    <cellStyle name="Labels 2 2 2 2 7" xfId="20345"/>
    <cellStyle name="Labels 2 2 2 3" xfId="15901"/>
    <cellStyle name="Labels 2 2 2 4" xfId="20346"/>
    <cellStyle name="Labels 2 2 2 5" xfId="20347"/>
    <cellStyle name="Labels 2 2 2 6" xfId="20348"/>
    <cellStyle name="Labels 2 2 2 7" xfId="20349"/>
    <cellStyle name="Labels 2 2 2 8" xfId="20350"/>
    <cellStyle name="Labels 2 2 3" xfId="13732"/>
    <cellStyle name="Labels 2 2 3 2" xfId="13733"/>
    <cellStyle name="Labels 2 2 3 2 2" xfId="15902"/>
    <cellStyle name="Labels 2 2 3 2 3" xfId="20351"/>
    <cellStyle name="Labels 2 2 3 2 4" xfId="20352"/>
    <cellStyle name="Labels 2 2 3 2 5" xfId="20353"/>
    <cellStyle name="Labels 2 2 3 2 6" xfId="20354"/>
    <cellStyle name="Labels 2 2 3 2 7" xfId="20355"/>
    <cellStyle name="Labels 2 2 3 3" xfId="15903"/>
    <cellStyle name="Labels 2 2 3 4" xfId="20356"/>
    <cellStyle name="Labels 2 2 3 5" xfId="20357"/>
    <cellStyle name="Labels 2 2 3 6" xfId="20358"/>
    <cellStyle name="Labels 2 2 3 7" xfId="20359"/>
    <cellStyle name="Labels 2 2 3 8" xfId="20360"/>
    <cellStyle name="Labels 2 2 4" xfId="13734"/>
    <cellStyle name="Labels 2 2 4 2" xfId="15904"/>
    <cellStyle name="Labels 2 2 4 3" xfId="20361"/>
    <cellStyle name="Labels 2 2 4 4" xfId="20362"/>
    <cellStyle name="Labels 2 2 4 5" xfId="20363"/>
    <cellStyle name="Labels 2 2 4 6" xfId="20364"/>
    <cellStyle name="Labels 2 2 4 7" xfId="20365"/>
    <cellStyle name="Labels 2 2 5" xfId="13735"/>
    <cellStyle name="Labels 2 2 5 2" xfId="15905"/>
    <cellStyle name="Labels 2 2 5 3" xfId="20366"/>
    <cellStyle name="Labels 2 2 5 4" xfId="20367"/>
    <cellStyle name="Labels 2 2 5 5" xfId="20368"/>
    <cellStyle name="Labels 2 2 5 6" xfId="20369"/>
    <cellStyle name="Labels 2 2 5 7" xfId="20370"/>
    <cellStyle name="Labels 2 2 6" xfId="15906"/>
    <cellStyle name="Labels 2 2 7" xfId="20371"/>
    <cellStyle name="Labels 2 2 8" xfId="20372"/>
    <cellStyle name="Labels 2 2 9" xfId="20373"/>
    <cellStyle name="Labels 2 3" xfId="13736"/>
    <cellStyle name="Labels 2 3 2" xfId="13737"/>
    <cellStyle name="Labels 2 3 2 2" xfId="15907"/>
    <cellStyle name="Labels 2 3 2 3" xfId="20374"/>
    <cellStyle name="Labels 2 3 2 4" xfId="20375"/>
    <cellStyle name="Labels 2 3 2 5" xfId="20376"/>
    <cellStyle name="Labels 2 3 2 6" xfId="20377"/>
    <cellStyle name="Labels 2 3 2 7" xfId="20378"/>
    <cellStyle name="Labels 2 3 3" xfId="15908"/>
    <cellStyle name="Labels 2 3 4" xfId="20379"/>
    <cellStyle name="Labels 2 3 5" xfId="20380"/>
    <cellStyle name="Labels 2 3 6" xfId="20381"/>
    <cellStyle name="Labels 2 3 7" xfId="20382"/>
    <cellStyle name="Labels 2 3 8" xfId="20383"/>
    <cellStyle name="Labels 2 4" xfId="13738"/>
    <cellStyle name="Labels 2 4 2" xfId="13739"/>
    <cellStyle name="Labels 2 4 2 2" xfId="15909"/>
    <cellStyle name="Labels 2 4 2 3" xfId="20384"/>
    <cellStyle name="Labels 2 4 2 4" xfId="20385"/>
    <cellStyle name="Labels 2 4 2 5" xfId="20386"/>
    <cellStyle name="Labels 2 4 2 6" xfId="20387"/>
    <cellStyle name="Labels 2 4 2 7" xfId="20388"/>
    <cellStyle name="Labels 2 4 3" xfId="15910"/>
    <cellStyle name="Labels 2 4 4" xfId="20389"/>
    <cellStyle name="Labels 2 4 5" xfId="20390"/>
    <cellStyle name="Labels 2 4 6" xfId="20391"/>
    <cellStyle name="Labels 2 4 7" xfId="20392"/>
    <cellStyle name="Labels 2 4 8" xfId="20393"/>
    <cellStyle name="Labels 2 5" xfId="13740"/>
    <cellStyle name="Labels 2 5 2" xfId="15911"/>
    <cellStyle name="Labels 2 5 3" xfId="20394"/>
    <cellStyle name="Labels 2 5 4" xfId="20395"/>
    <cellStyle name="Labels 2 5 5" xfId="20396"/>
    <cellStyle name="Labels 2 5 6" xfId="20397"/>
    <cellStyle name="Labels 2 5 7" xfId="20398"/>
    <cellStyle name="Labels 2 6" xfId="13741"/>
    <cellStyle name="Labels 2 6 2" xfId="15912"/>
    <cellStyle name="Labels 2 6 3" xfId="20399"/>
    <cellStyle name="Labels 2 6 4" xfId="20400"/>
    <cellStyle name="Labels 2 6 5" xfId="20401"/>
    <cellStyle name="Labels 2 6 6" xfId="20402"/>
    <cellStyle name="Labels 2 6 7" xfId="20403"/>
    <cellStyle name="Labels 2 7" xfId="15913"/>
    <cellStyle name="Labels 2 8" xfId="20404"/>
    <cellStyle name="Labels 2 9" xfId="20405"/>
    <cellStyle name="Labels 20" xfId="15914"/>
    <cellStyle name="Labels 21" xfId="16339"/>
    <cellStyle name="Labels 22" xfId="20406"/>
    <cellStyle name="Labels 23" xfId="20407"/>
    <cellStyle name="Labels 24" xfId="20408"/>
    <cellStyle name="Labels 25" xfId="21489"/>
    <cellStyle name="Labels 26" xfId="21490"/>
    <cellStyle name="Labels 27" xfId="21496"/>
    <cellStyle name="Labels 3" xfId="3025"/>
    <cellStyle name="Labels 3 2" xfId="13742"/>
    <cellStyle name="Labels 3 2 2" xfId="13743"/>
    <cellStyle name="Labels 3 2 2 2" xfId="15915"/>
    <cellStyle name="Labels 3 2 2 3" xfId="20409"/>
    <cellStyle name="Labels 3 2 2 4" xfId="20410"/>
    <cellStyle name="Labels 3 2 2 5" xfId="20411"/>
    <cellStyle name="Labels 3 2 2 6" xfId="20412"/>
    <cellStyle name="Labels 3 2 2 7" xfId="20413"/>
    <cellStyle name="Labels 3 2 3" xfId="15916"/>
    <cellStyle name="Labels 3 2 4" xfId="20414"/>
    <cellStyle name="Labels 3 2 5" xfId="20415"/>
    <cellStyle name="Labels 3 2 6" xfId="20416"/>
    <cellStyle name="Labels 3 2 7" xfId="20417"/>
    <cellStyle name="Labels 3 2 8" xfId="20418"/>
    <cellStyle name="Labels 3 3" xfId="13744"/>
    <cellStyle name="Labels 3 3 2" xfId="13745"/>
    <cellStyle name="Labels 3 3 2 2" xfId="15917"/>
    <cellStyle name="Labels 3 3 2 3" xfId="20419"/>
    <cellStyle name="Labels 3 3 2 4" xfId="20420"/>
    <cellStyle name="Labels 3 3 2 5" xfId="20421"/>
    <cellStyle name="Labels 3 3 2 6" xfId="20422"/>
    <cellStyle name="Labels 3 3 2 7" xfId="20423"/>
    <cellStyle name="Labels 3 3 3" xfId="15918"/>
    <cellStyle name="Labels 3 3 4" xfId="20424"/>
    <cellStyle name="Labels 3 3 5" xfId="20425"/>
    <cellStyle name="Labels 3 3 6" xfId="20426"/>
    <cellStyle name="Labels 3 3 7" xfId="20427"/>
    <cellStyle name="Labels 3 3 8" xfId="20428"/>
    <cellStyle name="Labels 3 4" xfId="13746"/>
    <cellStyle name="Labels 3 4 2" xfId="15919"/>
    <cellStyle name="Labels 3 4 3" xfId="20429"/>
    <cellStyle name="Labels 3 4 4" xfId="20430"/>
    <cellStyle name="Labels 3 4 5" xfId="20431"/>
    <cellStyle name="Labels 3 4 6" xfId="20432"/>
    <cellStyle name="Labels 3 4 7" xfId="20433"/>
    <cellStyle name="Labels 3 5" xfId="13747"/>
    <cellStyle name="Labels 3 5 2" xfId="15920"/>
    <cellStyle name="Labels 3 5 3" xfId="20434"/>
    <cellStyle name="Labels 3 5 4" xfId="20435"/>
    <cellStyle name="Labels 3 5 5" xfId="20436"/>
    <cellStyle name="Labels 3 5 6" xfId="20437"/>
    <cellStyle name="Labels 3 5 7" xfId="20438"/>
    <cellStyle name="Labels 3 6" xfId="15921"/>
    <cellStyle name="Labels 3 7" xfId="20439"/>
    <cellStyle name="Labels 3 8" xfId="20440"/>
    <cellStyle name="Labels 3 9" xfId="20441"/>
    <cellStyle name="Labels 4" xfId="3107"/>
    <cellStyle name="Labels 4 2" xfId="13748"/>
    <cellStyle name="Labels 4 2 2" xfId="13749"/>
    <cellStyle name="Labels 4 2 2 2" xfId="15922"/>
    <cellStyle name="Labels 4 2 2 3" xfId="20442"/>
    <cellStyle name="Labels 4 2 2 4" xfId="20443"/>
    <cellStyle name="Labels 4 2 2 5" xfId="20444"/>
    <cellStyle name="Labels 4 2 2 6" xfId="20445"/>
    <cellStyle name="Labels 4 2 2 7" xfId="20446"/>
    <cellStyle name="Labels 4 2 3" xfId="15923"/>
    <cellStyle name="Labels 4 2 4" xfId="20447"/>
    <cellStyle name="Labels 4 2 5" xfId="20448"/>
    <cellStyle name="Labels 4 2 6" xfId="20449"/>
    <cellStyle name="Labels 4 2 7" xfId="20450"/>
    <cellStyle name="Labels 4 2 8" xfId="20451"/>
    <cellStyle name="Labels 4 3" xfId="13750"/>
    <cellStyle name="Labels 4 3 2" xfId="13751"/>
    <cellStyle name="Labels 4 3 2 2" xfId="15924"/>
    <cellStyle name="Labels 4 3 2 3" xfId="20452"/>
    <cellStyle name="Labels 4 3 2 4" xfId="20453"/>
    <cellStyle name="Labels 4 3 2 5" xfId="20454"/>
    <cellStyle name="Labels 4 3 2 6" xfId="20455"/>
    <cellStyle name="Labels 4 3 2 7" xfId="20456"/>
    <cellStyle name="Labels 4 3 3" xfId="15925"/>
    <cellStyle name="Labels 4 3 4" xfId="20457"/>
    <cellStyle name="Labels 4 3 5" xfId="20458"/>
    <cellStyle name="Labels 4 3 6" xfId="20459"/>
    <cellStyle name="Labels 4 3 7" xfId="20460"/>
    <cellStyle name="Labels 4 3 8" xfId="20461"/>
    <cellStyle name="Labels 4 4" xfId="13752"/>
    <cellStyle name="Labels 4 4 2" xfId="15926"/>
    <cellStyle name="Labels 4 4 3" xfId="20462"/>
    <cellStyle name="Labels 4 4 4" xfId="20463"/>
    <cellStyle name="Labels 4 4 5" xfId="20464"/>
    <cellStyle name="Labels 4 4 6" xfId="20465"/>
    <cellStyle name="Labels 4 4 7" xfId="20466"/>
    <cellStyle name="Labels 4 5" xfId="13753"/>
    <cellStyle name="Labels 4 5 2" xfId="15927"/>
    <cellStyle name="Labels 4 5 3" xfId="20467"/>
    <cellStyle name="Labels 4 5 4" xfId="20468"/>
    <cellStyle name="Labels 4 5 5" xfId="20469"/>
    <cellStyle name="Labels 4 5 6" xfId="20470"/>
    <cellStyle name="Labels 4 5 7" xfId="20471"/>
    <cellStyle name="Labels 4 6" xfId="15928"/>
    <cellStyle name="Labels 4 7" xfId="20472"/>
    <cellStyle name="Labels 4 8" xfId="20473"/>
    <cellStyle name="Labels 4 9" xfId="20474"/>
    <cellStyle name="Labels 5" xfId="3200"/>
    <cellStyle name="Labels 5 2" xfId="13754"/>
    <cellStyle name="Labels 5 2 2" xfId="13755"/>
    <cellStyle name="Labels 5 2 2 2" xfId="15929"/>
    <cellStyle name="Labels 5 2 2 3" xfId="20475"/>
    <cellStyle name="Labels 5 2 2 4" xfId="20476"/>
    <cellStyle name="Labels 5 2 2 5" xfId="20477"/>
    <cellStyle name="Labels 5 2 2 6" xfId="20478"/>
    <cellStyle name="Labels 5 2 2 7" xfId="20479"/>
    <cellStyle name="Labels 5 2 3" xfId="15930"/>
    <cellStyle name="Labels 5 2 4" xfId="20480"/>
    <cellStyle name="Labels 5 2 5" xfId="20481"/>
    <cellStyle name="Labels 5 2 6" xfId="20482"/>
    <cellStyle name="Labels 5 2 7" xfId="20483"/>
    <cellStyle name="Labels 5 2 8" xfId="20484"/>
    <cellStyle name="Labels 5 3" xfId="13756"/>
    <cellStyle name="Labels 5 3 2" xfId="13757"/>
    <cellStyle name="Labels 5 3 2 2" xfId="15931"/>
    <cellStyle name="Labels 5 3 2 3" xfId="20485"/>
    <cellStyle name="Labels 5 3 2 4" xfId="20486"/>
    <cellStyle name="Labels 5 3 2 5" xfId="20487"/>
    <cellStyle name="Labels 5 3 2 6" xfId="20488"/>
    <cellStyle name="Labels 5 3 2 7" xfId="20489"/>
    <cellStyle name="Labels 5 3 3" xfId="15932"/>
    <cellStyle name="Labels 5 3 4" xfId="20490"/>
    <cellStyle name="Labels 5 3 5" xfId="20491"/>
    <cellStyle name="Labels 5 3 6" xfId="20492"/>
    <cellStyle name="Labels 5 3 7" xfId="20493"/>
    <cellStyle name="Labels 5 3 8" xfId="20494"/>
    <cellStyle name="Labels 5 4" xfId="13758"/>
    <cellStyle name="Labels 5 4 2" xfId="15933"/>
    <cellStyle name="Labels 5 4 3" xfId="20495"/>
    <cellStyle name="Labels 5 4 4" xfId="20496"/>
    <cellStyle name="Labels 5 4 5" xfId="20497"/>
    <cellStyle name="Labels 5 4 6" xfId="20498"/>
    <cellStyle name="Labels 5 4 7" xfId="20499"/>
    <cellStyle name="Labels 5 5" xfId="13759"/>
    <cellStyle name="Labels 5 5 2" xfId="15934"/>
    <cellStyle name="Labels 5 5 3" xfId="20500"/>
    <cellStyle name="Labels 5 5 4" xfId="20501"/>
    <cellStyle name="Labels 5 5 5" xfId="20502"/>
    <cellStyle name="Labels 5 5 6" xfId="20503"/>
    <cellStyle name="Labels 5 5 7" xfId="20504"/>
    <cellStyle name="Labels 5 6" xfId="15935"/>
    <cellStyle name="Labels 5 7" xfId="15936"/>
    <cellStyle name="Labels 5 8" xfId="20505"/>
    <cellStyle name="Labels 5 9" xfId="20506"/>
    <cellStyle name="Labels 6" xfId="3174"/>
    <cellStyle name="Labels 6 2" xfId="13760"/>
    <cellStyle name="Labels 6 2 2" xfId="13761"/>
    <cellStyle name="Labels 6 2 2 2" xfId="15937"/>
    <cellStyle name="Labels 6 2 2 3" xfId="20507"/>
    <cellStyle name="Labels 6 2 2 4" xfId="20508"/>
    <cellStyle name="Labels 6 2 2 5" xfId="20509"/>
    <cellStyle name="Labels 6 2 2 6" xfId="20510"/>
    <cellStyle name="Labels 6 2 2 7" xfId="20511"/>
    <cellStyle name="Labels 6 2 3" xfId="15938"/>
    <cellStyle name="Labels 6 2 4" xfId="20512"/>
    <cellStyle name="Labels 6 2 5" xfId="20513"/>
    <cellStyle name="Labels 6 2 6" xfId="20514"/>
    <cellStyle name="Labels 6 2 7" xfId="20515"/>
    <cellStyle name="Labels 6 2 8" xfId="20516"/>
    <cellStyle name="Labels 6 3" xfId="13762"/>
    <cellStyle name="Labels 6 3 2" xfId="13763"/>
    <cellStyle name="Labels 6 3 2 2" xfId="15939"/>
    <cellStyle name="Labels 6 3 2 3" xfId="20517"/>
    <cellStyle name="Labels 6 3 2 4" xfId="20518"/>
    <cellStyle name="Labels 6 3 2 5" xfId="20519"/>
    <cellStyle name="Labels 6 3 2 6" xfId="20520"/>
    <cellStyle name="Labels 6 3 2 7" xfId="20521"/>
    <cellStyle name="Labels 6 3 3" xfId="15940"/>
    <cellStyle name="Labels 6 3 4" xfId="20522"/>
    <cellStyle name="Labels 6 3 5" xfId="20523"/>
    <cellStyle name="Labels 6 3 6" xfId="20524"/>
    <cellStyle name="Labels 6 3 7" xfId="20525"/>
    <cellStyle name="Labels 6 3 8" xfId="20526"/>
    <cellStyle name="Labels 6 4" xfId="13764"/>
    <cellStyle name="Labels 6 4 2" xfId="15941"/>
    <cellStyle name="Labels 6 4 3" xfId="20527"/>
    <cellStyle name="Labels 6 4 4" xfId="20528"/>
    <cellStyle name="Labels 6 4 5" xfId="20529"/>
    <cellStyle name="Labels 6 4 6" xfId="20530"/>
    <cellStyle name="Labels 6 4 7" xfId="20531"/>
    <cellStyle name="Labels 6 5" xfId="13765"/>
    <cellStyle name="Labels 6 5 2" xfId="15942"/>
    <cellStyle name="Labels 6 5 3" xfId="20532"/>
    <cellStyle name="Labels 6 5 4" xfId="20533"/>
    <cellStyle name="Labels 6 5 5" xfId="20534"/>
    <cellStyle name="Labels 6 5 6" xfId="20535"/>
    <cellStyle name="Labels 6 5 7" xfId="20536"/>
    <cellStyle name="Labels 6 6" xfId="15943"/>
    <cellStyle name="Labels 6 7" xfId="20537"/>
    <cellStyle name="Labels 6 8" xfId="20538"/>
    <cellStyle name="Labels 6 9" xfId="20539"/>
    <cellStyle name="Labels 7" xfId="3222"/>
    <cellStyle name="Labels 7 2" xfId="13766"/>
    <cellStyle name="Labels 7 2 2" xfId="13767"/>
    <cellStyle name="Labels 7 2 2 2" xfId="15944"/>
    <cellStyle name="Labels 7 2 2 3" xfId="20540"/>
    <cellStyle name="Labels 7 2 2 4" xfId="20541"/>
    <cellStyle name="Labels 7 2 2 5" xfId="20542"/>
    <cellStyle name="Labels 7 2 2 6" xfId="20543"/>
    <cellStyle name="Labels 7 2 2 7" xfId="20544"/>
    <cellStyle name="Labels 7 2 3" xfId="15945"/>
    <cellStyle name="Labels 7 2 4" xfId="20545"/>
    <cellStyle name="Labels 7 2 5" xfId="20546"/>
    <cellStyle name="Labels 7 2 6" xfId="20547"/>
    <cellStyle name="Labels 7 2 7" xfId="20548"/>
    <cellStyle name="Labels 7 2 8" xfId="20549"/>
    <cellStyle name="Labels 7 3" xfId="13768"/>
    <cellStyle name="Labels 7 3 2" xfId="13769"/>
    <cellStyle name="Labels 7 3 2 2" xfId="15946"/>
    <cellStyle name="Labels 7 3 2 3" xfId="20550"/>
    <cellStyle name="Labels 7 3 2 4" xfId="20551"/>
    <cellStyle name="Labels 7 3 2 5" xfId="20552"/>
    <cellStyle name="Labels 7 3 2 6" xfId="20553"/>
    <cellStyle name="Labels 7 3 2 7" xfId="20554"/>
    <cellStyle name="Labels 7 3 3" xfId="15947"/>
    <cellStyle name="Labels 7 3 4" xfId="20555"/>
    <cellStyle name="Labels 7 3 5" xfId="20556"/>
    <cellStyle name="Labels 7 3 6" xfId="20557"/>
    <cellStyle name="Labels 7 3 7" xfId="20558"/>
    <cellStyle name="Labels 7 3 8" xfId="20559"/>
    <cellStyle name="Labels 7 4" xfId="13770"/>
    <cellStyle name="Labels 7 4 2" xfId="15948"/>
    <cellStyle name="Labels 7 4 3" xfId="20560"/>
    <cellStyle name="Labels 7 4 4" xfId="20561"/>
    <cellStyle name="Labels 7 4 5" xfId="20562"/>
    <cellStyle name="Labels 7 4 6" xfId="20563"/>
    <cellStyle name="Labels 7 4 7" xfId="20564"/>
    <cellStyle name="Labels 7 5" xfId="13771"/>
    <cellStyle name="Labels 7 5 2" xfId="15949"/>
    <cellStyle name="Labels 7 5 3" xfId="20565"/>
    <cellStyle name="Labels 7 5 4" xfId="20566"/>
    <cellStyle name="Labels 7 5 5" xfId="20567"/>
    <cellStyle name="Labels 7 5 6" xfId="20568"/>
    <cellStyle name="Labels 7 5 7" xfId="20569"/>
    <cellStyle name="Labels 7 6" xfId="15950"/>
    <cellStyle name="Labels 7 7" xfId="15951"/>
    <cellStyle name="Labels 7 8" xfId="20570"/>
    <cellStyle name="Labels 7 9" xfId="20571"/>
    <cellStyle name="Labels 8" xfId="13772"/>
    <cellStyle name="Labels 8 2" xfId="13773"/>
    <cellStyle name="Labels 8 2 2" xfId="15952"/>
    <cellStyle name="Labels 8 2 3" xfId="20572"/>
    <cellStyle name="Labels 8 2 4" xfId="20573"/>
    <cellStyle name="Labels 8 2 5" xfId="20574"/>
    <cellStyle name="Labels 8 2 6" xfId="20575"/>
    <cellStyle name="Labels 8 2 7" xfId="20576"/>
    <cellStyle name="Labels 8 3" xfId="15953"/>
    <cellStyle name="Labels 8 4" xfId="20577"/>
    <cellStyle name="Labels 8 5" xfId="20578"/>
    <cellStyle name="Labels 8 6" xfId="20579"/>
    <cellStyle name="Labels 8 7" xfId="20580"/>
    <cellStyle name="Labels 8 8" xfId="20581"/>
    <cellStyle name="Labels 9" xfId="13774"/>
    <cellStyle name="Labels 9 2" xfId="13775"/>
    <cellStyle name="Labels 9 2 2" xfId="15954"/>
    <cellStyle name="Labels 9 2 3" xfId="20582"/>
    <cellStyle name="Labels 9 2 4" xfId="20583"/>
    <cellStyle name="Labels 9 2 5" xfId="20584"/>
    <cellStyle name="Labels 9 2 6" xfId="20585"/>
    <cellStyle name="Labels 9 2 7" xfId="20586"/>
    <cellStyle name="Labels 9 3" xfId="15955"/>
    <cellStyle name="Labels 9 4" xfId="20587"/>
    <cellStyle name="Labels 9 5" xfId="20588"/>
    <cellStyle name="Labels 9 6" xfId="20589"/>
    <cellStyle name="Labels 9 7" xfId="20590"/>
    <cellStyle name="Labels 9 8" xfId="20591"/>
    <cellStyle name="Linked Cell" xfId="2861" builtinId="24" customBuiltin="1"/>
    <cellStyle name="Linked Cell 2" xfId="112"/>
    <cellStyle name="Linked Cell 2 2" xfId="427"/>
    <cellStyle name="Linked Cell 2 2 2" xfId="1398"/>
    <cellStyle name="Linked Cell 2 3" xfId="914"/>
    <cellStyle name="Linked Cell 2 4" xfId="915"/>
    <cellStyle name="Linked Cell 3" xfId="208"/>
    <cellStyle name="Linked Cell 3 2" xfId="428"/>
    <cellStyle name="Linked Cell 3 2 2" xfId="1399"/>
    <cellStyle name="Linked Cell 3 3" xfId="1304"/>
    <cellStyle name="Linked Cell 4" xfId="916"/>
    <cellStyle name="Neutral" xfId="2857" builtinId="28" customBuiltin="1"/>
    <cellStyle name="Neutral 2" xfId="113"/>
    <cellStyle name="Neutral 2 2" xfId="430"/>
    <cellStyle name="Neutral 2 2 2" xfId="1794"/>
    <cellStyle name="Neutral 2 2 3" xfId="1400"/>
    <cellStyle name="Neutral 2 3" xfId="431"/>
    <cellStyle name="Neutral 2 3 2" xfId="1401"/>
    <cellStyle name="Neutral 2 4" xfId="429"/>
    <cellStyle name="Neutral 2 4 2" xfId="1795"/>
    <cellStyle name="Neutral 3" xfId="209"/>
    <cellStyle name="Neutral 3 2" xfId="432"/>
    <cellStyle name="Neutral 3 2 2" xfId="1402"/>
    <cellStyle name="Neutral 3 3" xfId="1305"/>
    <cellStyle name="Neutral 4" xfId="433"/>
    <cellStyle name="Neutral 4 2" xfId="1796"/>
    <cellStyle name="New_normal" xfId="114"/>
    <cellStyle name="Normal" xfId="0" builtinId="0"/>
    <cellStyle name="Normal - Style1" xfId="21"/>
    <cellStyle name="Normal - Style2" xfId="22"/>
    <cellStyle name="Normal - Style3" xfId="23"/>
    <cellStyle name="Normal - Style4" xfId="24"/>
    <cellStyle name="Normal - Style5" xfId="25"/>
    <cellStyle name="Normal - Style6" xfId="1797"/>
    <cellStyle name="Normal - Style7" xfId="1798"/>
    <cellStyle name="Normal - Style8" xfId="1799"/>
    <cellStyle name="Normal 10" xfId="26"/>
    <cellStyle name="Normal 10 10" xfId="5232"/>
    <cellStyle name="Normal 10 11" xfId="10407"/>
    <cellStyle name="Normal 10 2" xfId="27"/>
    <cellStyle name="Normal 10 2 2" xfId="435"/>
    <cellStyle name="Normal 10 2 2 2" xfId="917"/>
    <cellStyle name="Normal 10 2 2 2 2" xfId="1800"/>
    <cellStyle name="Normal 10 2 2 2 2 2" xfId="5233"/>
    <cellStyle name="Normal 10 2 2 2 2 2 2" xfId="5234"/>
    <cellStyle name="Normal 10 2 2 2 2 2 2 2" xfId="5235"/>
    <cellStyle name="Normal 10 2 2 2 2 2 2 3" xfId="10408"/>
    <cellStyle name="Normal 10 2 2 2 2 2 3" xfId="5236"/>
    <cellStyle name="Normal 10 2 2 2 2 2 3 2" xfId="5237"/>
    <cellStyle name="Normal 10 2 2 2 2 2 3 3" xfId="10409"/>
    <cellStyle name="Normal 10 2 2 2 2 2 4" xfId="5238"/>
    <cellStyle name="Normal 10 2 2 2 2 2 5" xfId="10410"/>
    <cellStyle name="Normal 10 2 2 2 2 3" xfId="5239"/>
    <cellStyle name="Normal 10 2 2 2 2 3 2" xfId="5240"/>
    <cellStyle name="Normal 10 2 2 2 2 3 3" xfId="10411"/>
    <cellStyle name="Normal 10 2 2 2 2 4" xfId="5241"/>
    <cellStyle name="Normal 10 2 2 2 2 4 2" xfId="5242"/>
    <cellStyle name="Normal 10 2 2 2 2 4 3" xfId="10412"/>
    <cellStyle name="Normal 10 2 2 2 2 5" xfId="5243"/>
    <cellStyle name="Normal 10 2 2 2 2 6" xfId="10413"/>
    <cellStyle name="Normal 10 2 2 2 3" xfId="5244"/>
    <cellStyle name="Normal 10 2 2 2 3 2" xfId="5245"/>
    <cellStyle name="Normal 10 2 2 2 3 2 2" xfId="5246"/>
    <cellStyle name="Normal 10 2 2 2 3 2 3" xfId="10414"/>
    <cellStyle name="Normal 10 2 2 2 3 3" xfId="5247"/>
    <cellStyle name="Normal 10 2 2 2 3 3 2" xfId="5248"/>
    <cellStyle name="Normal 10 2 2 2 3 3 3" xfId="10415"/>
    <cellStyle name="Normal 10 2 2 2 3 4" xfId="5249"/>
    <cellStyle name="Normal 10 2 2 2 3 5" xfId="10416"/>
    <cellStyle name="Normal 10 2 2 2 4" xfId="5250"/>
    <cellStyle name="Normal 10 2 2 2 4 2" xfId="5251"/>
    <cellStyle name="Normal 10 2 2 2 4 3" xfId="10417"/>
    <cellStyle name="Normal 10 2 2 2 5" xfId="5252"/>
    <cellStyle name="Normal 10 2 2 2 5 2" xfId="5253"/>
    <cellStyle name="Normal 10 2 2 2 5 3" xfId="10418"/>
    <cellStyle name="Normal 10 2 2 2 6" xfId="5254"/>
    <cellStyle name="Normal 10 2 2 2 7" xfId="10419"/>
    <cellStyle name="Normal 10 2 2 3" xfId="918"/>
    <cellStyle name="Normal 10 2 2 3 2" xfId="5255"/>
    <cellStyle name="Normal 10 2 2 3 2 2" xfId="5256"/>
    <cellStyle name="Normal 10 2 2 3 2 2 2" xfId="5257"/>
    <cellStyle name="Normal 10 2 2 3 2 2 3" xfId="10420"/>
    <cellStyle name="Normal 10 2 2 3 2 3" xfId="5258"/>
    <cellStyle name="Normal 10 2 2 3 2 3 2" xfId="5259"/>
    <cellStyle name="Normal 10 2 2 3 2 3 3" xfId="10421"/>
    <cellStyle name="Normal 10 2 2 3 2 4" xfId="5260"/>
    <cellStyle name="Normal 10 2 2 3 2 5" xfId="10422"/>
    <cellStyle name="Normal 10 2 2 3 3" xfId="5261"/>
    <cellStyle name="Normal 10 2 2 3 3 2" xfId="5262"/>
    <cellStyle name="Normal 10 2 2 3 3 3" xfId="10423"/>
    <cellStyle name="Normal 10 2 2 3 4" xfId="5263"/>
    <cellStyle name="Normal 10 2 2 3 4 2" xfId="5264"/>
    <cellStyle name="Normal 10 2 2 3 4 3" xfId="10424"/>
    <cellStyle name="Normal 10 2 2 3 5" xfId="5265"/>
    <cellStyle name="Normal 10 2 2 3 6" xfId="10425"/>
    <cellStyle name="Normal 10 2 2 4" xfId="5266"/>
    <cellStyle name="Normal 10 2 2 4 2" xfId="5267"/>
    <cellStyle name="Normal 10 2 2 4 2 2" xfId="5268"/>
    <cellStyle name="Normal 10 2 2 4 2 3" xfId="10426"/>
    <cellStyle name="Normal 10 2 2 4 3" xfId="5269"/>
    <cellStyle name="Normal 10 2 2 4 3 2" xfId="5270"/>
    <cellStyle name="Normal 10 2 2 4 3 3" xfId="10427"/>
    <cellStyle name="Normal 10 2 2 4 4" xfId="5271"/>
    <cellStyle name="Normal 10 2 2 4 5" xfId="10428"/>
    <cellStyle name="Normal 10 2 2 5" xfId="5272"/>
    <cellStyle name="Normal 10 2 2 5 2" xfId="5273"/>
    <cellStyle name="Normal 10 2 2 5 3" xfId="10429"/>
    <cellStyle name="Normal 10 2 2 6" xfId="5274"/>
    <cellStyle name="Normal 10 2 2 6 2" xfId="5275"/>
    <cellStyle name="Normal 10 2 2 6 3" xfId="10430"/>
    <cellStyle name="Normal 10 2 2 7" xfId="5276"/>
    <cellStyle name="Normal 10 2 2 8" xfId="10431"/>
    <cellStyle name="Normal 10 2 3" xfId="436"/>
    <cellStyle name="Normal 10 2 3 2" xfId="1801"/>
    <cellStyle name="Normal 10 2 3 2 2" xfId="5277"/>
    <cellStyle name="Normal 10 2 3 2 2 2" xfId="5278"/>
    <cellStyle name="Normal 10 2 3 2 2 2 2" xfId="5279"/>
    <cellStyle name="Normal 10 2 3 2 2 2 3" xfId="10432"/>
    <cellStyle name="Normal 10 2 3 2 2 3" xfId="5280"/>
    <cellStyle name="Normal 10 2 3 2 2 3 2" xfId="5281"/>
    <cellStyle name="Normal 10 2 3 2 2 3 3" xfId="10433"/>
    <cellStyle name="Normal 10 2 3 2 2 4" xfId="5282"/>
    <cellStyle name="Normal 10 2 3 2 2 5" xfId="10434"/>
    <cellStyle name="Normal 10 2 3 2 3" xfId="5283"/>
    <cellStyle name="Normal 10 2 3 2 3 2" xfId="5284"/>
    <cellStyle name="Normal 10 2 3 2 3 3" xfId="10435"/>
    <cellStyle name="Normal 10 2 3 2 4" xfId="5285"/>
    <cellStyle name="Normal 10 2 3 2 4 2" xfId="5286"/>
    <cellStyle name="Normal 10 2 3 2 4 3" xfId="10436"/>
    <cellStyle name="Normal 10 2 3 2 5" xfId="5287"/>
    <cellStyle name="Normal 10 2 3 2 6" xfId="10437"/>
    <cellStyle name="Normal 10 2 3 3" xfId="1802"/>
    <cellStyle name="Normal 10 2 3 3 2" xfId="5288"/>
    <cellStyle name="Normal 10 2 3 3 2 2" xfId="5289"/>
    <cellStyle name="Normal 10 2 3 3 2 3" xfId="10438"/>
    <cellStyle name="Normal 10 2 3 3 3" xfId="5290"/>
    <cellStyle name="Normal 10 2 3 3 3 2" xfId="5291"/>
    <cellStyle name="Normal 10 2 3 3 3 3" xfId="10439"/>
    <cellStyle name="Normal 10 2 3 3 4" xfId="5292"/>
    <cellStyle name="Normal 10 2 3 3 5" xfId="10440"/>
    <cellStyle name="Normal 10 2 3 4" xfId="1803"/>
    <cellStyle name="Normal 10 2 3 4 2" xfId="5293"/>
    <cellStyle name="Normal 10 2 3 4 3" xfId="10441"/>
    <cellStyle name="Normal 10 2 3 5" xfId="1403"/>
    <cellStyle name="Normal 10 2 3 5 2" xfId="5295"/>
    <cellStyle name="Normal 10 2 3 5 3" xfId="10442"/>
    <cellStyle name="Normal 10 2 3 5 4" xfId="5294"/>
    <cellStyle name="Normal 10 2 3 6" xfId="5296"/>
    <cellStyle name="Normal 10 2 3 7" xfId="10443"/>
    <cellStyle name="Normal 10 2 4" xfId="434"/>
    <cellStyle name="Normal 10 2 4 2" xfId="919"/>
    <cellStyle name="Normal 10 2 4 2 2" xfId="1804"/>
    <cellStyle name="Normal 10 2 4 2 2 2" xfId="5298"/>
    <cellStyle name="Normal 10 2 4 2 2 3" xfId="10444"/>
    <cellStyle name="Normal 10 2 4 2 2 4" xfId="5297"/>
    <cellStyle name="Normal 10 2 4 2 3" xfId="5299"/>
    <cellStyle name="Normal 10 2 4 2 3 2" xfId="5300"/>
    <cellStyle name="Normal 10 2 4 2 3 3" xfId="10445"/>
    <cellStyle name="Normal 10 2 4 2 4" xfId="5301"/>
    <cellStyle name="Normal 10 2 4 2 5" xfId="10446"/>
    <cellStyle name="Normal 10 2 4 3" xfId="5302"/>
    <cellStyle name="Normal 10 2 4 3 2" xfId="5303"/>
    <cellStyle name="Normal 10 2 4 3 3" xfId="10447"/>
    <cellStyle name="Normal 10 2 4 4" xfId="5304"/>
    <cellStyle name="Normal 10 2 4 4 2" xfId="5305"/>
    <cellStyle name="Normal 10 2 4 4 3" xfId="10448"/>
    <cellStyle name="Normal 10 2 4 5" xfId="5306"/>
    <cellStyle name="Normal 10 2 4 6" xfId="10449"/>
    <cellStyle name="Normal 10 2 5" xfId="920"/>
    <cellStyle name="Normal 10 2 5 2" xfId="5307"/>
    <cellStyle name="Normal 10 2 5 2 2" xfId="5308"/>
    <cellStyle name="Normal 10 2 5 2 3" xfId="10450"/>
    <cellStyle name="Normal 10 2 5 3" xfId="5309"/>
    <cellStyle name="Normal 10 2 5 3 2" xfId="5310"/>
    <cellStyle name="Normal 10 2 5 3 3" xfId="10451"/>
    <cellStyle name="Normal 10 2 5 4" xfId="5311"/>
    <cellStyle name="Normal 10 2 5 5" xfId="10452"/>
    <cellStyle name="Normal 10 2 6" xfId="1805"/>
    <cellStyle name="Normal 10 2 6 2" xfId="5312"/>
    <cellStyle name="Normal 10 2 6 3" xfId="10453"/>
    <cellStyle name="Normal 10 2 7" xfId="5313"/>
    <cellStyle name="Normal 10 2 7 2" xfId="5314"/>
    <cellStyle name="Normal 10 2 7 3" xfId="10454"/>
    <cellStyle name="Normal 10 2 8" xfId="5315"/>
    <cellStyle name="Normal 10 2 9" xfId="10455"/>
    <cellStyle name="Normal 10 3" xfId="28"/>
    <cellStyle name="Normal 10 3 2" xfId="437"/>
    <cellStyle name="Normal 10 3 2 2" xfId="1807"/>
    <cellStyle name="Normal 10 3 2 2 2" xfId="5316"/>
    <cellStyle name="Normal 10 3 2 2 2 2" xfId="5317"/>
    <cellStyle name="Normal 10 3 2 2 2 2 2" xfId="5318"/>
    <cellStyle name="Normal 10 3 2 2 2 2 3" xfId="10456"/>
    <cellStyle name="Normal 10 3 2 2 2 3" xfId="5319"/>
    <cellStyle name="Normal 10 3 2 2 2 3 2" xfId="5320"/>
    <cellStyle name="Normal 10 3 2 2 2 3 3" xfId="10457"/>
    <cellStyle name="Normal 10 3 2 2 2 4" xfId="5321"/>
    <cellStyle name="Normal 10 3 2 2 2 5" xfId="10458"/>
    <cellStyle name="Normal 10 3 2 2 3" xfId="5322"/>
    <cellStyle name="Normal 10 3 2 2 3 2" xfId="5323"/>
    <cellStyle name="Normal 10 3 2 2 3 3" xfId="10459"/>
    <cellStyle name="Normal 10 3 2 2 4" xfId="5324"/>
    <cellStyle name="Normal 10 3 2 2 4 2" xfId="5325"/>
    <cellStyle name="Normal 10 3 2 2 4 3" xfId="10460"/>
    <cellStyle name="Normal 10 3 2 2 5" xfId="5326"/>
    <cellStyle name="Normal 10 3 2 2 6" xfId="10461"/>
    <cellStyle name="Normal 10 3 2 3" xfId="1806"/>
    <cellStyle name="Normal 10 3 2 3 2" xfId="5327"/>
    <cellStyle name="Normal 10 3 2 3 2 2" xfId="5328"/>
    <cellStyle name="Normal 10 3 2 3 2 3" xfId="10462"/>
    <cellStyle name="Normal 10 3 2 3 3" xfId="5329"/>
    <cellStyle name="Normal 10 3 2 3 3 2" xfId="5330"/>
    <cellStyle name="Normal 10 3 2 3 3 3" xfId="10463"/>
    <cellStyle name="Normal 10 3 2 3 4" xfId="5331"/>
    <cellStyle name="Normal 10 3 2 3 5" xfId="10464"/>
    <cellStyle name="Normal 10 3 2 4" xfId="5332"/>
    <cellStyle name="Normal 10 3 2 4 2" xfId="5333"/>
    <cellStyle name="Normal 10 3 2 4 3" xfId="10465"/>
    <cellStyle name="Normal 10 3 2 5" xfId="5334"/>
    <cellStyle name="Normal 10 3 2 5 2" xfId="5335"/>
    <cellStyle name="Normal 10 3 2 5 3" xfId="10466"/>
    <cellStyle name="Normal 10 3 2 6" xfId="5336"/>
    <cellStyle name="Normal 10 3 2 7" xfId="10467"/>
    <cellStyle name="Normal 10 3 3" xfId="1808"/>
    <cellStyle name="Normal 10 3 3 2" xfId="5337"/>
    <cellStyle name="Normal 10 3 3 2 2" xfId="5338"/>
    <cellStyle name="Normal 10 3 3 2 2 2" xfId="5339"/>
    <cellStyle name="Normal 10 3 3 2 2 3" xfId="10468"/>
    <cellStyle name="Normal 10 3 3 2 3" xfId="5340"/>
    <cellStyle name="Normal 10 3 3 2 3 2" xfId="5341"/>
    <cellStyle name="Normal 10 3 3 2 3 3" xfId="10469"/>
    <cellStyle name="Normal 10 3 3 2 4" xfId="5342"/>
    <cellStyle name="Normal 10 3 3 2 5" xfId="10470"/>
    <cellStyle name="Normal 10 3 3 3" xfId="5343"/>
    <cellStyle name="Normal 10 3 3 3 2" xfId="5344"/>
    <cellStyle name="Normal 10 3 3 3 3" xfId="10471"/>
    <cellStyle name="Normal 10 3 3 4" xfId="5345"/>
    <cellStyle name="Normal 10 3 3 4 2" xfId="5346"/>
    <cellStyle name="Normal 10 3 3 4 3" xfId="10472"/>
    <cellStyle name="Normal 10 3 3 5" xfId="5347"/>
    <cellStyle name="Normal 10 3 3 6" xfId="10473"/>
    <cellStyle name="Normal 10 3 4" xfId="1809"/>
    <cellStyle name="Normal 10 3 4 2" xfId="5348"/>
    <cellStyle name="Normal 10 3 4 2 2" xfId="5349"/>
    <cellStyle name="Normal 10 3 4 2 3" xfId="10474"/>
    <cellStyle name="Normal 10 3 4 3" xfId="5350"/>
    <cellStyle name="Normal 10 3 4 3 2" xfId="5351"/>
    <cellStyle name="Normal 10 3 4 3 3" xfId="10475"/>
    <cellStyle name="Normal 10 3 4 4" xfId="5352"/>
    <cellStyle name="Normal 10 3 4 5" xfId="10476"/>
    <cellStyle name="Normal 10 3 5" xfId="1810"/>
    <cellStyle name="Normal 10 3 5 2" xfId="5353"/>
    <cellStyle name="Normal 10 3 5 3" xfId="10477"/>
    <cellStyle name="Normal 10 3 6" xfId="1811"/>
    <cellStyle name="Normal 10 3 6 2" xfId="5354"/>
    <cellStyle name="Normal 10 3 6 3" xfId="10478"/>
    <cellStyle name="Normal 10 3 7" xfId="5355"/>
    <cellStyle name="Normal 10 3 8" xfId="10479"/>
    <cellStyle name="Normal 10 4" xfId="438"/>
    <cellStyle name="Normal 10 4 2" xfId="921"/>
    <cellStyle name="Normal 10 4 2 2" xfId="3303"/>
    <cellStyle name="Normal 10 4 2 2 2" xfId="5356"/>
    <cellStyle name="Normal 10 4 2 2 2 2" xfId="5357"/>
    <cellStyle name="Normal 10 4 2 2 2 2 2" xfId="5358"/>
    <cellStyle name="Normal 10 4 2 2 2 2 3" xfId="10480"/>
    <cellStyle name="Normal 10 4 2 2 2 3" xfId="5359"/>
    <cellStyle name="Normal 10 4 2 2 2 3 2" xfId="5360"/>
    <cellStyle name="Normal 10 4 2 2 2 3 3" xfId="10481"/>
    <cellStyle name="Normal 10 4 2 2 2 4" xfId="5361"/>
    <cellStyle name="Normal 10 4 2 2 2 5" xfId="10482"/>
    <cellStyle name="Normal 10 4 2 2 3" xfId="5362"/>
    <cellStyle name="Normal 10 4 2 2 3 2" xfId="5363"/>
    <cellStyle name="Normal 10 4 2 2 3 3" xfId="10483"/>
    <cellStyle name="Normal 10 4 2 2 4" xfId="5364"/>
    <cellStyle name="Normal 10 4 2 2 4 2" xfId="5365"/>
    <cellStyle name="Normal 10 4 2 2 4 3" xfId="10484"/>
    <cellStyle name="Normal 10 4 2 2 5" xfId="5366"/>
    <cellStyle name="Normal 10 4 2 2 6" xfId="10485"/>
    <cellStyle name="Normal 10 4 2 3" xfId="5367"/>
    <cellStyle name="Normal 10 4 2 3 2" xfId="5368"/>
    <cellStyle name="Normal 10 4 2 3 2 2" xfId="5369"/>
    <cellStyle name="Normal 10 4 2 3 2 3" xfId="10486"/>
    <cellStyle name="Normal 10 4 2 3 3" xfId="5370"/>
    <cellStyle name="Normal 10 4 2 3 3 2" xfId="5371"/>
    <cellStyle name="Normal 10 4 2 3 3 3" xfId="10487"/>
    <cellStyle name="Normal 10 4 2 3 4" xfId="5372"/>
    <cellStyle name="Normal 10 4 2 3 5" xfId="10488"/>
    <cellStyle name="Normal 10 4 2 4" xfId="5373"/>
    <cellStyle name="Normal 10 4 2 4 2" xfId="5374"/>
    <cellStyle name="Normal 10 4 2 4 3" xfId="10489"/>
    <cellStyle name="Normal 10 4 2 5" xfId="5375"/>
    <cellStyle name="Normal 10 4 2 5 2" xfId="5376"/>
    <cellStyle name="Normal 10 4 2 5 3" xfId="10490"/>
    <cellStyle name="Normal 10 4 2 6" xfId="5377"/>
    <cellStyle name="Normal 10 4 2 7" xfId="10491"/>
    <cellStyle name="Normal 10 4 3" xfId="1812"/>
    <cellStyle name="Normal 10 4 3 2" xfId="5378"/>
    <cellStyle name="Normal 10 4 3 2 2" xfId="5379"/>
    <cellStyle name="Normal 10 4 3 2 2 2" xfId="5380"/>
    <cellStyle name="Normal 10 4 3 2 2 3" xfId="10492"/>
    <cellStyle name="Normal 10 4 3 2 3" xfId="5381"/>
    <cellStyle name="Normal 10 4 3 2 3 2" xfId="5382"/>
    <cellStyle name="Normal 10 4 3 2 3 3" xfId="10493"/>
    <cellStyle name="Normal 10 4 3 2 4" xfId="5383"/>
    <cellStyle name="Normal 10 4 3 2 5" xfId="10494"/>
    <cellStyle name="Normal 10 4 3 3" xfId="5384"/>
    <cellStyle name="Normal 10 4 3 3 2" xfId="5385"/>
    <cellStyle name="Normal 10 4 3 3 3" xfId="10495"/>
    <cellStyle name="Normal 10 4 3 4" xfId="5386"/>
    <cellStyle name="Normal 10 4 3 4 2" xfId="5387"/>
    <cellStyle name="Normal 10 4 3 4 3" xfId="10496"/>
    <cellStyle name="Normal 10 4 3 5" xfId="5388"/>
    <cellStyle name="Normal 10 4 3 6" xfId="10497"/>
    <cellStyle name="Normal 10 4 4" xfId="5389"/>
    <cellStyle name="Normal 10 4 4 2" xfId="5390"/>
    <cellStyle name="Normal 10 4 4 2 2" xfId="5391"/>
    <cellStyle name="Normal 10 4 4 2 3" xfId="10498"/>
    <cellStyle name="Normal 10 4 4 3" xfId="5392"/>
    <cellStyle name="Normal 10 4 4 3 2" xfId="5393"/>
    <cellStyle name="Normal 10 4 4 3 3" xfId="10499"/>
    <cellStyle name="Normal 10 4 4 4" xfId="5394"/>
    <cellStyle name="Normal 10 4 4 5" xfId="10500"/>
    <cellStyle name="Normal 10 4 5" xfId="5395"/>
    <cellStyle name="Normal 10 4 5 2" xfId="5396"/>
    <cellStyle name="Normal 10 4 5 3" xfId="10501"/>
    <cellStyle name="Normal 10 4 6" xfId="5397"/>
    <cellStyle name="Normal 10 4 6 2" xfId="5398"/>
    <cellStyle name="Normal 10 4 6 3" xfId="10502"/>
    <cellStyle name="Normal 10 4 7" xfId="5399"/>
    <cellStyle name="Normal 10 4 8" xfId="10503"/>
    <cellStyle name="Normal 10 5" xfId="439"/>
    <cellStyle name="Normal 10 5 2" xfId="1813"/>
    <cellStyle name="Normal 10 5 2 2" xfId="5400"/>
    <cellStyle name="Normal 10 5 2 2 2" xfId="5401"/>
    <cellStyle name="Normal 10 5 2 2 2 2" xfId="5402"/>
    <cellStyle name="Normal 10 5 2 2 2 3" xfId="10504"/>
    <cellStyle name="Normal 10 5 2 2 3" xfId="5403"/>
    <cellStyle name="Normal 10 5 2 2 3 2" xfId="5404"/>
    <cellStyle name="Normal 10 5 2 2 3 3" xfId="10505"/>
    <cellStyle name="Normal 10 5 2 2 4" xfId="5405"/>
    <cellStyle name="Normal 10 5 2 2 5" xfId="10506"/>
    <cellStyle name="Normal 10 5 2 3" xfId="5406"/>
    <cellStyle name="Normal 10 5 2 3 2" xfId="5407"/>
    <cellStyle name="Normal 10 5 2 3 3" xfId="10507"/>
    <cellStyle name="Normal 10 5 2 4" xfId="5408"/>
    <cellStyle name="Normal 10 5 2 4 2" xfId="5409"/>
    <cellStyle name="Normal 10 5 2 4 3" xfId="10508"/>
    <cellStyle name="Normal 10 5 2 5" xfId="5410"/>
    <cellStyle name="Normal 10 5 2 6" xfId="10509"/>
    <cellStyle name="Normal 10 5 3" xfId="1814"/>
    <cellStyle name="Normal 10 5 3 2" xfId="5411"/>
    <cellStyle name="Normal 10 5 3 2 2" xfId="5412"/>
    <cellStyle name="Normal 10 5 3 2 3" xfId="10510"/>
    <cellStyle name="Normal 10 5 3 3" xfId="5413"/>
    <cellStyle name="Normal 10 5 3 3 2" xfId="5414"/>
    <cellStyle name="Normal 10 5 3 3 3" xfId="10511"/>
    <cellStyle name="Normal 10 5 3 4" xfId="5415"/>
    <cellStyle name="Normal 10 5 3 5" xfId="10512"/>
    <cellStyle name="Normal 10 5 4" xfId="5416"/>
    <cellStyle name="Normal 10 5 4 2" xfId="5417"/>
    <cellStyle name="Normal 10 5 4 3" xfId="10513"/>
    <cellStyle name="Normal 10 5 5" xfId="5418"/>
    <cellStyle name="Normal 10 5 5 2" xfId="5419"/>
    <cellStyle name="Normal 10 5 5 3" xfId="10514"/>
    <cellStyle name="Normal 10 5 6" xfId="5420"/>
    <cellStyle name="Normal 10 5 7" xfId="10515"/>
    <cellStyle name="Normal 10 6" xfId="1815"/>
    <cellStyle name="Normal 10 6 2" xfId="5421"/>
    <cellStyle name="Normal 10 6 2 2" xfId="5422"/>
    <cellStyle name="Normal 10 6 2 2 2" xfId="5423"/>
    <cellStyle name="Normal 10 6 2 2 3" xfId="10516"/>
    <cellStyle name="Normal 10 6 2 3" xfId="5424"/>
    <cellStyle name="Normal 10 6 2 3 2" xfId="5425"/>
    <cellStyle name="Normal 10 6 2 3 3" xfId="10517"/>
    <cellStyle name="Normal 10 6 2 4" xfId="5426"/>
    <cellStyle name="Normal 10 6 2 5" xfId="10518"/>
    <cellStyle name="Normal 10 6 3" xfId="5427"/>
    <cellStyle name="Normal 10 6 3 2" xfId="5428"/>
    <cellStyle name="Normal 10 6 3 3" xfId="10519"/>
    <cellStyle name="Normal 10 6 4" xfId="5429"/>
    <cellStyle name="Normal 10 6 4 2" xfId="5430"/>
    <cellStyle name="Normal 10 6 4 3" xfId="10520"/>
    <cellStyle name="Normal 10 6 5" xfId="5431"/>
    <cellStyle name="Normal 10 6 6" xfId="10521"/>
    <cellStyle name="Normal 10 7" xfId="1816"/>
    <cellStyle name="Normal 10 7 2" xfId="5432"/>
    <cellStyle name="Normal 10 7 2 2" xfId="5433"/>
    <cellStyle name="Normal 10 7 2 3" xfId="10522"/>
    <cellStyle name="Normal 10 7 3" xfId="5434"/>
    <cellStyle name="Normal 10 7 3 2" xfId="5435"/>
    <cellStyle name="Normal 10 7 3 3" xfId="10523"/>
    <cellStyle name="Normal 10 7 4" xfId="5436"/>
    <cellStyle name="Normal 10 7 5" xfId="10524"/>
    <cellStyle name="Normal 10 8" xfId="1817"/>
    <cellStyle name="Normal 10 8 2" xfId="5437"/>
    <cellStyle name="Normal 10 8 3" xfId="10525"/>
    <cellStyle name="Normal 10 9" xfId="1818"/>
    <cellStyle name="Normal 10 9 2" xfId="5438"/>
    <cellStyle name="Normal 10 9 3" xfId="10526"/>
    <cellStyle name="Normal 10_2112 DF Schedule" xfId="922"/>
    <cellStyle name="Normal 100" xfId="923"/>
    <cellStyle name="Normal 100 2" xfId="924"/>
    <cellStyle name="Normal 100 3" xfId="1819"/>
    <cellStyle name="Normal 101" xfId="925"/>
    <cellStyle name="Normal 101 2" xfId="926"/>
    <cellStyle name="Normal 102" xfId="927"/>
    <cellStyle name="Normal 102 2" xfId="928"/>
    <cellStyle name="Normal 103" xfId="929"/>
    <cellStyle name="Normal 103 2" xfId="930"/>
    <cellStyle name="Normal 104" xfId="931"/>
    <cellStyle name="Normal 104 2" xfId="932"/>
    <cellStyle name="Normal 105" xfId="933"/>
    <cellStyle name="Normal 105 2" xfId="934"/>
    <cellStyle name="Normal 106" xfId="935"/>
    <cellStyle name="Normal 107" xfId="936"/>
    <cellStyle name="Normal 107 2" xfId="937"/>
    <cellStyle name="Normal 108" xfId="938"/>
    <cellStyle name="Normal 108 2" xfId="939"/>
    <cellStyle name="Normal 109" xfId="940"/>
    <cellStyle name="Normal 109 2" xfId="941"/>
    <cellStyle name="Normal 109 2 2" xfId="2976"/>
    <cellStyle name="Normal 109 3" xfId="942"/>
    <cellStyle name="Normal 109 4" xfId="2972"/>
    <cellStyle name="Normal 11" xfId="29"/>
    <cellStyle name="Normal 11 10" xfId="1820"/>
    <cellStyle name="Normal 11 11" xfId="1821"/>
    <cellStyle name="Normal 11 12" xfId="1822"/>
    <cellStyle name="Normal 11 2" xfId="30"/>
    <cellStyle name="Normal 11 2 2" xfId="441"/>
    <cellStyle name="Normal 11 2 2 2" xfId="943"/>
    <cellStyle name="Normal 11 2 2 2 2" xfId="944"/>
    <cellStyle name="Normal 11 2 2 2 2 2" xfId="5439"/>
    <cellStyle name="Normal 11 2 2 2 2 2 2" xfId="5440"/>
    <cellStyle name="Normal 11 2 2 2 2 2 2 2" xfId="5441"/>
    <cellStyle name="Normal 11 2 2 2 2 2 2 3" xfId="10527"/>
    <cellStyle name="Normal 11 2 2 2 2 2 3" xfId="5442"/>
    <cellStyle name="Normal 11 2 2 2 2 2 3 2" xfId="5443"/>
    <cellStyle name="Normal 11 2 2 2 2 2 3 3" xfId="10528"/>
    <cellStyle name="Normal 11 2 2 2 2 2 4" xfId="5444"/>
    <cellStyle name="Normal 11 2 2 2 2 2 5" xfId="10529"/>
    <cellStyle name="Normal 11 2 2 2 2 3" xfId="5445"/>
    <cellStyle name="Normal 11 2 2 2 2 3 2" xfId="5446"/>
    <cellStyle name="Normal 11 2 2 2 2 3 3" xfId="10530"/>
    <cellStyle name="Normal 11 2 2 2 2 4" xfId="5447"/>
    <cellStyle name="Normal 11 2 2 2 2 4 2" xfId="5448"/>
    <cellStyle name="Normal 11 2 2 2 2 4 3" xfId="10531"/>
    <cellStyle name="Normal 11 2 2 2 2 5" xfId="5449"/>
    <cellStyle name="Normal 11 2 2 2 2 6" xfId="10532"/>
    <cellStyle name="Normal 11 2 2 2 3" xfId="5450"/>
    <cellStyle name="Normal 11 2 2 2 3 2" xfId="5451"/>
    <cellStyle name="Normal 11 2 2 2 3 2 2" xfId="5452"/>
    <cellStyle name="Normal 11 2 2 2 3 2 3" xfId="10533"/>
    <cellStyle name="Normal 11 2 2 2 3 3" xfId="5453"/>
    <cellStyle name="Normal 11 2 2 2 3 3 2" xfId="5454"/>
    <cellStyle name="Normal 11 2 2 2 3 3 3" xfId="10534"/>
    <cellStyle name="Normal 11 2 2 2 3 4" xfId="5455"/>
    <cellStyle name="Normal 11 2 2 2 3 5" xfId="10535"/>
    <cellStyle name="Normal 11 2 2 2 4" xfId="5456"/>
    <cellStyle name="Normal 11 2 2 2 4 2" xfId="5457"/>
    <cellStyle name="Normal 11 2 2 2 4 3" xfId="10536"/>
    <cellStyle name="Normal 11 2 2 2 5" xfId="5458"/>
    <cellStyle name="Normal 11 2 2 2 5 2" xfId="5459"/>
    <cellStyle name="Normal 11 2 2 2 5 3" xfId="10537"/>
    <cellStyle name="Normal 11 2 2 2 6" xfId="5460"/>
    <cellStyle name="Normal 11 2 2 2 7" xfId="10538"/>
    <cellStyle name="Normal 11 2 2 2 8" xfId="2912"/>
    <cellStyle name="Normal 11 2 2 3" xfId="1823"/>
    <cellStyle name="Normal 11 2 2 3 2" xfId="5461"/>
    <cellStyle name="Normal 11 2 2 3 2 2" xfId="5462"/>
    <cellStyle name="Normal 11 2 2 3 2 2 2" xfId="5463"/>
    <cellStyle name="Normal 11 2 2 3 2 2 3" xfId="10539"/>
    <cellStyle name="Normal 11 2 2 3 2 3" xfId="5464"/>
    <cellStyle name="Normal 11 2 2 3 2 3 2" xfId="5465"/>
    <cellStyle name="Normal 11 2 2 3 2 3 3" xfId="10540"/>
    <cellStyle name="Normal 11 2 2 3 2 4" xfId="5466"/>
    <cellStyle name="Normal 11 2 2 3 2 5" xfId="10541"/>
    <cellStyle name="Normal 11 2 2 3 3" xfId="5467"/>
    <cellStyle name="Normal 11 2 2 3 3 2" xfId="5468"/>
    <cellStyle name="Normal 11 2 2 3 3 3" xfId="10542"/>
    <cellStyle name="Normal 11 2 2 3 4" xfId="5469"/>
    <cellStyle name="Normal 11 2 2 3 4 2" xfId="5470"/>
    <cellStyle name="Normal 11 2 2 3 4 3" xfId="10543"/>
    <cellStyle name="Normal 11 2 2 3 5" xfId="5471"/>
    <cellStyle name="Normal 11 2 2 3 6" xfId="10544"/>
    <cellStyle name="Normal 11 2 2 4" xfId="1824"/>
    <cellStyle name="Normal 11 2 2 4 2" xfId="5472"/>
    <cellStyle name="Normal 11 2 2 4 2 2" xfId="5473"/>
    <cellStyle name="Normal 11 2 2 4 2 3" xfId="10545"/>
    <cellStyle name="Normal 11 2 2 4 3" xfId="5474"/>
    <cellStyle name="Normal 11 2 2 4 3 2" xfId="5475"/>
    <cellStyle name="Normal 11 2 2 4 3 3" xfId="10546"/>
    <cellStyle name="Normal 11 2 2 4 4" xfId="5476"/>
    <cellStyle name="Normal 11 2 2 4 5" xfId="10547"/>
    <cellStyle name="Normal 11 2 2 5" xfId="1825"/>
    <cellStyle name="Normal 11 2 2 5 2" xfId="5477"/>
    <cellStyle name="Normal 11 2 2 5 3" xfId="10548"/>
    <cellStyle name="Normal 11 2 2 6" xfId="5478"/>
    <cellStyle name="Normal 11 2 2 6 2" xfId="5479"/>
    <cellStyle name="Normal 11 2 2 6 3" xfId="10549"/>
    <cellStyle name="Normal 11 2 2 7" xfId="5480"/>
    <cellStyle name="Normal 11 2 2 8" xfId="10550"/>
    <cellStyle name="Normal 11 2 3" xfId="442"/>
    <cellStyle name="Normal 11 2 3 2" xfId="1826"/>
    <cellStyle name="Normal 11 2 3 2 2" xfId="5481"/>
    <cellStyle name="Normal 11 2 3 2 2 2" xfId="5482"/>
    <cellStyle name="Normal 11 2 3 2 2 2 2" xfId="5483"/>
    <cellStyle name="Normal 11 2 3 2 2 2 3" xfId="10551"/>
    <cellStyle name="Normal 11 2 3 2 2 3" xfId="5484"/>
    <cellStyle name="Normal 11 2 3 2 2 3 2" xfId="5485"/>
    <cellStyle name="Normal 11 2 3 2 2 3 3" xfId="10552"/>
    <cellStyle name="Normal 11 2 3 2 2 4" xfId="5486"/>
    <cellStyle name="Normal 11 2 3 2 2 5" xfId="10553"/>
    <cellStyle name="Normal 11 2 3 2 3" xfId="5487"/>
    <cellStyle name="Normal 11 2 3 2 3 2" xfId="5488"/>
    <cellStyle name="Normal 11 2 3 2 3 3" xfId="10554"/>
    <cellStyle name="Normal 11 2 3 2 4" xfId="5489"/>
    <cellStyle name="Normal 11 2 3 2 4 2" xfId="5490"/>
    <cellStyle name="Normal 11 2 3 2 4 3" xfId="10555"/>
    <cellStyle name="Normal 11 2 3 2 5" xfId="5491"/>
    <cellStyle name="Normal 11 2 3 2 6" xfId="10556"/>
    <cellStyle name="Normal 11 2 3 3" xfId="1827"/>
    <cellStyle name="Normal 11 2 3 3 2" xfId="5492"/>
    <cellStyle name="Normal 11 2 3 3 2 2" xfId="5493"/>
    <cellStyle name="Normal 11 2 3 3 2 3" xfId="10557"/>
    <cellStyle name="Normal 11 2 3 3 3" xfId="5494"/>
    <cellStyle name="Normal 11 2 3 3 3 2" xfId="5495"/>
    <cellStyle name="Normal 11 2 3 3 3 3" xfId="10558"/>
    <cellStyle name="Normal 11 2 3 3 4" xfId="5496"/>
    <cellStyle name="Normal 11 2 3 3 5" xfId="10559"/>
    <cellStyle name="Normal 11 2 3 4" xfId="5497"/>
    <cellStyle name="Normal 11 2 3 4 2" xfId="5498"/>
    <cellStyle name="Normal 11 2 3 4 3" xfId="10560"/>
    <cellStyle name="Normal 11 2 3 5" xfId="5499"/>
    <cellStyle name="Normal 11 2 3 5 2" xfId="5500"/>
    <cellStyle name="Normal 11 2 3 5 3" xfId="10561"/>
    <cellStyle name="Normal 11 2 3 6" xfId="5501"/>
    <cellStyle name="Normal 11 2 3 7" xfId="10562"/>
    <cellStyle name="Normal 11 2 4" xfId="440"/>
    <cellStyle name="Normal 11 2 4 2" xfId="1828"/>
    <cellStyle name="Normal 11 2 4 2 2" xfId="5502"/>
    <cellStyle name="Normal 11 2 4 2 2 2" xfId="5503"/>
    <cellStyle name="Normal 11 2 4 2 2 3" xfId="10563"/>
    <cellStyle name="Normal 11 2 4 2 3" xfId="5504"/>
    <cellStyle name="Normal 11 2 4 2 3 2" xfId="5505"/>
    <cellStyle name="Normal 11 2 4 2 3 3" xfId="10564"/>
    <cellStyle name="Normal 11 2 4 2 4" xfId="5506"/>
    <cellStyle name="Normal 11 2 4 2 5" xfId="10565"/>
    <cellStyle name="Normal 11 2 4 3" xfId="1829"/>
    <cellStyle name="Normal 11 2 4 3 2" xfId="5507"/>
    <cellStyle name="Normal 11 2 4 3 3" xfId="10566"/>
    <cellStyle name="Normal 11 2 4 4" xfId="5508"/>
    <cellStyle name="Normal 11 2 4 4 2" xfId="5509"/>
    <cellStyle name="Normal 11 2 4 4 3" xfId="10567"/>
    <cellStyle name="Normal 11 2 4 5" xfId="5510"/>
    <cellStyle name="Normal 11 2 4 6" xfId="10568"/>
    <cellStyle name="Normal 11 2 5" xfId="1830"/>
    <cellStyle name="Normal 11 2 5 2" xfId="5511"/>
    <cellStyle name="Normal 11 2 5 2 2" xfId="5512"/>
    <cellStyle name="Normal 11 2 5 2 3" xfId="10569"/>
    <cellStyle name="Normal 11 2 5 3" xfId="5513"/>
    <cellStyle name="Normal 11 2 5 3 2" xfId="5514"/>
    <cellStyle name="Normal 11 2 5 3 3" xfId="10570"/>
    <cellStyle name="Normal 11 2 5 4" xfId="5515"/>
    <cellStyle name="Normal 11 2 5 5" xfId="10571"/>
    <cellStyle name="Normal 11 2 6" xfId="1831"/>
    <cellStyle name="Normal 11 2 6 2" xfId="5516"/>
    <cellStyle name="Normal 11 2 6 3" xfId="10572"/>
    <cellStyle name="Normal 11 2 7" xfId="1832"/>
    <cellStyle name="Normal 11 2 7 2" xfId="5517"/>
    <cellStyle name="Normal 11 2 7 3" xfId="10573"/>
    <cellStyle name="Normal 11 2 8" xfId="5518"/>
    <cellStyle name="Normal 11 2 9" xfId="10574"/>
    <cellStyle name="Normal 11 3" xfId="210"/>
    <cellStyle name="Normal 11 3 2" xfId="443"/>
    <cellStyle name="Normal 11 3 2 2" xfId="945"/>
    <cellStyle name="Normal 11 3 2 2 2" xfId="5519"/>
    <cellStyle name="Normal 11 3 2 2 2 2" xfId="5520"/>
    <cellStyle name="Normal 11 3 2 2 2 2 2" xfId="5521"/>
    <cellStyle name="Normal 11 3 2 2 2 2 3" xfId="10575"/>
    <cellStyle name="Normal 11 3 2 2 2 3" xfId="5522"/>
    <cellStyle name="Normal 11 3 2 2 2 3 2" xfId="5523"/>
    <cellStyle name="Normal 11 3 2 2 2 3 3" xfId="10576"/>
    <cellStyle name="Normal 11 3 2 2 2 4" xfId="5524"/>
    <cellStyle name="Normal 11 3 2 2 2 5" xfId="10577"/>
    <cellStyle name="Normal 11 3 2 2 3" xfId="5525"/>
    <cellStyle name="Normal 11 3 2 2 3 2" xfId="5526"/>
    <cellStyle name="Normal 11 3 2 2 3 3" xfId="10578"/>
    <cellStyle name="Normal 11 3 2 2 4" xfId="5527"/>
    <cellStyle name="Normal 11 3 2 2 4 2" xfId="5528"/>
    <cellStyle name="Normal 11 3 2 2 4 3" xfId="10579"/>
    <cellStyle name="Normal 11 3 2 2 5" xfId="5529"/>
    <cellStyle name="Normal 11 3 2 2 6" xfId="10580"/>
    <cellStyle name="Normal 11 3 2 3" xfId="1833"/>
    <cellStyle name="Normal 11 3 2 3 2" xfId="5530"/>
    <cellStyle name="Normal 11 3 2 3 2 2" xfId="5531"/>
    <cellStyle name="Normal 11 3 2 3 2 3" xfId="10581"/>
    <cellStyle name="Normal 11 3 2 3 3" xfId="5532"/>
    <cellStyle name="Normal 11 3 2 3 3 2" xfId="5533"/>
    <cellStyle name="Normal 11 3 2 3 3 3" xfId="10582"/>
    <cellStyle name="Normal 11 3 2 3 4" xfId="5534"/>
    <cellStyle name="Normal 11 3 2 3 5" xfId="10583"/>
    <cellStyle name="Normal 11 3 2 4" xfId="1834"/>
    <cellStyle name="Normal 11 3 2 4 2" xfId="5535"/>
    <cellStyle name="Normal 11 3 2 4 3" xfId="10584"/>
    <cellStyle name="Normal 11 3 2 5" xfId="1835"/>
    <cellStyle name="Normal 11 3 2 5 2" xfId="5536"/>
    <cellStyle name="Normal 11 3 2 5 3" xfId="10585"/>
    <cellStyle name="Normal 11 3 2 6" xfId="5537"/>
    <cellStyle name="Normal 11 3 2 7" xfId="10586"/>
    <cellStyle name="Normal 11 3 3" xfId="946"/>
    <cellStyle name="Normal 11 3 3 2" xfId="1836"/>
    <cellStyle name="Normal 11 3 3 2 2" xfId="5538"/>
    <cellStyle name="Normal 11 3 3 2 2 2" xfId="5539"/>
    <cellStyle name="Normal 11 3 3 2 2 3" xfId="10587"/>
    <cellStyle name="Normal 11 3 3 2 3" xfId="5540"/>
    <cellStyle name="Normal 11 3 3 2 3 2" xfId="5541"/>
    <cellStyle name="Normal 11 3 3 2 3 3" xfId="10588"/>
    <cellStyle name="Normal 11 3 3 2 4" xfId="5542"/>
    <cellStyle name="Normal 11 3 3 2 5" xfId="10589"/>
    <cellStyle name="Normal 11 3 3 3" xfId="1837"/>
    <cellStyle name="Normal 11 3 3 3 2" xfId="5543"/>
    <cellStyle name="Normal 11 3 3 3 3" xfId="10590"/>
    <cellStyle name="Normal 11 3 3 4" xfId="5544"/>
    <cellStyle name="Normal 11 3 3 4 2" xfId="5545"/>
    <cellStyle name="Normal 11 3 3 4 3" xfId="10591"/>
    <cellStyle name="Normal 11 3 3 5" xfId="5546"/>
    <cellStyle name="Normal 11 3 3 6" xfId="10592"/>
    <cellStyle name="Normal 11 3 4" xfId="1838"/>
    <cellStyle name="Normal 11 3 4 2" xfId="1839"/>
    <cellStyle name="Normal 11 3 4 2 2" xfId="5547"/>
    <cellStyle name="Normal 11 3 4 2 3" xfId="10593"/>
    <cellStyle name="Normal 11 3 4 3" xfId="1840"/>
    <cellStyle name="Normal 11 3 4 3 2" xfId="5548"/>
    <cellStyle name="Normal 11 3 4 3 3" xfId="10594"/>
    <cellStyle name="Normal 11 3 4 4" xfId="5549"/>
    <cellStyle name="Normal 11 3 4 5" xfId="10595"/>
    <cellStyle name="Normal 11 3 5" xfId="1841"/>
    <cellStyle name="Normal 11 3 5 2" xfId="5550"/>
    <cellStyle name="Normal 11 3 5 3" xfId="10596"/>
    <cellStyle name="Normal 11 3 6" xfId="1842"/>
    <cellStyle name="Normal 11 3 6 2" xfId="5551"/>
    <cellStyle name="Normal 11 3 6 3" xfId="10597"/>
    <cellStyle name="Normal 11 3 7" xfId="5552"/>
    <cellStyle name="Normal 11 3 8" xfId="10598"/>
    <cellStyle name="Normal 11 4" xfId="444"/>
    <cellStyle name="Normal 11 4 2" xfId="947"/>
    <cellStyle name="Normal 11 4 2 2" xfId="1843"/>
    <cellStyle name="Normal 11 4 2 2 2" xfId="5553"/>
    <cellStyle name="Normal 11 4 2 2 2 2" xfId="5554"/>
    <cellStyle name="Normal 11 4 2 2 2 2 2" xfId="5555"/>
    <cellStyle name="Normal 11 4 2 2 2 2 3" xfId="10599"/>
    <cellStyle name="Normal 11 4 2 2 2 3" xfId="5556"/>
    <cellStyle name="Normal 11 4 2 2 2 3 2" xfId="5557"/>
    <cellStyle name="Normal 11 4 2 2 2 3 3" xfId="10600"/>
    <cellStyle name="Normal 11 4 2 2 2 4" xfId="5558"/>
    <cellStyle name="Normal 11 4 2 2 2 5" xfId="10601"/>
    <cellStyle name="Normal 11 4 2 2 3" xfId="5559"/>
    <cellStyle name="Normal 11 4 2 2 3 2" xfId="5560"/>
    <cellStyle name="Normal 11 4 2 2 3 3" xfId="10602"/>
    <cellStyle name="Normal 11 4 2 2 4" xfId="5561"/>
    <cellStyle name="Normal 11 4 2 2 4 2" xfId="5562"/>
    <cellStyle name="Normal 11 4 2 2 4 3" xfId="10603"/>
    <cellStyle name="Normal 11 4 2 2 5" xfId="5563"/>
    <cellStyle name="Normal 11 4 2 2 6" xfId="10604"/>
    <cellStyle name="Normal 11 4 2 3" xfId="1844"/>
    <cellStyle name="Normal 11 4 2 3 2" xfId="5564"/>
    <cellStyle name="Normal 11 4 2 3 2 2" xfId="5565"/>
    <cellStyle name="Normal 11 4 2 3 2 3" xfId="10605"/>
    <cellStyle name="Normal 11 4 2 3 3" xfId="5566"/>
    <cellStyle name="Normal 11 4 2 3 3 2" xfId="5567"/>
    <cellStyle name="Normal 11 4 2 3 3 3" xfId="10606"/>
    <cellStyle name="Normal 11 4 2 3 4" xfId="5568"/>
    <cellStyle name="Normal 11 4 2 3 5" xfId="10607"/>
    <cellStyle name="Normal 11 4 2 4" xfId="1845"/>
    <cellStyle name="Normal 11 4 2 4 2" xfId="5569"/>
    <cellStyle name="Normal 11 4 2 4 3" xfId="10608"/>
    <cellStyle name="Normal 11 4 2 5" xfId="1846"/>
    <cellStyle name="Normal 11 4 2 5 2" xfId="5570"/>
    <cellStyle name="Normal 11 4 2 5 3" xfId="10609"/>
    <cellStyle name="Normal 11 4 2 6" xfId="5571"/>
    <cellStyle name="Normal 11 4 2 7" xfId="10610"/>
    <cellStyle name="Normal 11 4 3" xfId="1847"/>
    <cellStyle name="Normal 11 4 3 2" xfId="1848"/>
    <cellStyle name="Normal 11 4 3 2 2" xfId="5572"/>
    <cellStyle name="Normal 11 4 3 2 2 2" xfId="5573"/>
    <cellStyle name="Normal 11 4 3 2 2 3" xfId="10611"/>
    <cellStyle name="Normal 11 4 3 2 3" xfId="5574"/>
    <cellStyle name="Normal 11 4 3 2 3 2" xfId="5575"/>
    <cellStyle name="Normal 11 4 3 2 3 3" xfId="10612"/>
    <cellStyle name="Normal 11 4 3 2 4" xfId="5576"/>
    <cellStyle name="Normal 11 4 3 2 5" xfId="10613"/>
    <cellStyle name="Normal 11 4 3 3" xfId="1849"/>
    <cellStyle name="Normal 11 4 3 3 2" xfId="5577"/>
    <cellStyle name="Normal 11 4 3 3 3" xfId="10614"/>
    <cellStyle name="Normal 11 4 3 4" xfId="5578"/>
    <cellStyle name="Normal 11 4 3 4 2" xfId="5579"/>
    <cellStyle name="Normal 11 4 3 4 3" xfId="10615"/>
    <cellStyle name="Normal 11 4 3 5" xfId="5580"/>
    <cellStyle name="Normal 11 4 3 6" xfId="10616"/>
    <cellStyle name="Normal 11 4 4" xfId="1850"/>
    <cellStyle name="Normal 11 4 4 2" xfId="1851"/>
    <cellStyle name="Normal 11 4 4 2 2" xfId="5581"/>
    <cellStyle name="Normal 11 4 4 2 3" xfId="10617"/>
    <cellStyle name="Normal 11 4 4 3" xfId="1852"/>
    <cellStyle name="Normal 11 4 4 3 2" xfId="5582"/>
    <cellStyle name="Normal 11 4 4 3 3" xfId="10618"/>
    <cellStyle name="Normal 11 4 4 4" xfId="5583"/>
    <cellStyle name="Normal 11 4 4 5" xfId="10619"/>
    <cellStyle name="Normal 11 4 5" xfId="1853"/>
    <cellStyle name="Normal 11 4 5 2" xfId="5584"/>
    <cellStyle name="Normal 11 4 5 3" xfId="10620"/>
    <cellStyle name="Normal 11 4 6" xfId="1854"/>
    <cellStyle name="Normal 11 4 6 2" xfId="5585"/>
    <cellStyle name="Normal 11 4 6 3" xfId="10621"/>
    <cellStyle name="Normal 11 4 7" xfId="5586"/>
    <cellStyle name="Normal 11 4 8" xfId="10622"/>
    <cellStyle name="Normal 11 5" xfId="445"/>
    <cellStyle name="Normal 11 5 10" xfId="1855"/>
    <cellStyle name="Normal 11 5 10 2" xfId="1856"/>
    <cellStyle name="Normal 11 5 10 3" xfId="1857"/>
    <cellStyle name="Normal 11 5 11" xfId="1858"/>
    <cellStyle name="Normal 11 5 11 2" xfId="1859"/>
    <cellStyle name="Normal 11 5 12" xfId="1860"/>
    <cellStyle name="Normal 11 5 12 2" xfId="1861"/>
    <cellStyle name="Normal 11 5 13" xfId="1862"/>
    <cellStyle name="Normal 11 5 14" xfId="1863"/>
    <cellStyle name="Normal 11 5 15" xfId="1864"/>
    <cellStyle name="Normal 11 5 16" xfId="1865"/>
    <cellStyle name="Normal 11 5 17" xfId="1866"/>
    <cellStyle name="Normal 11 5 18" xfId="1867"/>
    <cellStyle name="Normal 11 5 19" xfId="1868"/>
    <cellStyle name="Normal 11 5 19 2" xfId="1869"/>
    <cellStyle name="Normal 11 5 19 3" xfId="1870"/>
    <cellStyle name="Normal 11 5 19 4" xfId="1871"/>
    <cellStyle name="Normal 11 5 19 5" xfId="1872"/>
    <cellStyle name="Normal 11 5 19 6" xfId="1873"/>
    <cellStyle name="Normal 11 5 2" xfId="1874"/>
    <cellStyle name="Normal 11 5 2 2" xfId="1875"/>
    <cellStyle name="Normal 11 5 2 2 2" xfId="1876"/>
    <cellStyle name="Normal 11 5 2 2 2 2" xfId="5587"/>
    <cellStyle name="Normal 11 5 2 2 2 3" xfId="10623"/>
    <cellStyle name="Normal 11 5 2 2 3" xfId="1877"/>
    <cellStyle name="Normal 11 5 2 2 3 2" xfId="5588"/>
    <cellStyle name="Normal 11 5 2 2 3 3" xfId="10624"/>
    <cellStyle name="Normal 11 5 2 2 4" xfId="1878"/>
    <cellStyle name="Normal 11 5 2 2 5" xfId="1879"/>
    <cellStyle name="Normal 11 5 2 3" xfId="1880"/>
    <cellStyle name="Normal 11 5 2 3 2" xfId="1881"/>
    <cellStyle name="Normal 11 5 2 3 3" xfId="1882"/>
    <cellStyle name="Normal 11 5 2 4" xfId="1883"/>
    <cellStyle name="Normal 11 5 2 4 2" xfId="1884"/>
    <cellStyle name="Normal 11 5 2 4 3" xfId="1885"/>
    <cellStyle name="Normal 11 5 2 5" xfId="1886"/>
    <cellStyle name="Normal 11 5 2 6" xfId="1887"/>
    <cellStyle name="Normal 11 5 20" xfId="1888"/>
    <cellStyle name="Normal 11 5 21" xfId="1889"/>
    <cellStyle name="Normal 11 5 22" xfId="1890"/>
    <cellStyle name="Normal 11 5 23" xfId="1891"/>
    <cellStyle name="Normal 11 5 24" xfId="1892"/>
    <cellStyle name="Normal 11 5 25" xfId="1893"/>
    <cellStyle name="Normal 11 5 26" xfId="1894"/>
    <cellStyle name="Normal 11 5 27" xfId="1895"/>
    <cellStyle name="Normal 11 5 28" xfId="1896"/>
    <cellStyle name="Normal 11 5 3" xfId="1897"/>
    <cellStyle name="Normal 11 5 3 2" xfId="1898"/>
    <cellStyle name="Normal 11 5 3 2 2" xfId="1899"/>
    <cellStyle name="Normal 11 5 3 2 2 2" xfId="1900"/>
    <cellStyle name="Normal 11 5 3 2 2 3" xfId="1901"/>
    <cellStyle name="Normal 11 5 3 2 3" xfId="1902"/>
    <cellStyle name="Normal 11 5 3 2 3 2" xfId="1903"/>
    <cellStyle name="Normal 11 5 3 2 3 3" xfId="1904"/>
    <cellStyle name="Normal 11 5 3 2 4" xfId="1905"/>
    <cellStyle name="Normal 11 5 3 2 5" xfId="1906"/>
    <cellStyle name="Normal 11 5 3 3" xfId="1907"/>
    <cellStyle name="Normal 11 5 3 3 2" xfId="1908"/>
    <cellStyle name="Normal 11 5 3 3 3" xfId="1909"/>
    <cellStyle name="Normal 11 5 3 3 4" xfId="1910"/>
    <cellStyle name="Normal 11 5 3 3 5" xfId="1911"/>
    <cellStyle name="Normal 11 5 3 4" xfId="1912"/>
    <cellStyle name="Normal 11 5 3 4 2" xfId="1913"/>
    <cellStyle name="Normal 11 5 3 4 3" xfId="1914"/>
    <cellStyle name="Normal 11 5 3 5" xfId="1915"/>
    <cellStyle name="Normal 11 5 3 5 2" xfId="1916"/>
    <cellStyle name="Normal 11 5 3 5 3" xfId="1917"/>
    <cellStyle name="Normal 11 5 3 6" xfId="1918"/>
    <cellStyle name="Normal 11 5 3 7" xfId="1919"/>
    <cellStyle name="Normal 11 5 4" xfId="1920"/>
    <cellStyle name="Normal 11 5 4 2" xfId="1921"/>
    <cellStyle name="Normal 11 5 4 2 2" xfId="1922"/>
    <cellStyle name="Normal 11 5 4 2 3" xfId="1923"/>
    <cellStyle name="Normal 11 5 4 2 4" xfId="1924"/>
    <cellStyle name="Normal 11 5 4 2 5" xfId="1925"/>
    <cellStyle name="Normal 11 5 4 3" xfId="1926"/>
    <cellStyle name="Normal 11 5 4 3 2" xfId="1927"/>
    <cellStyle name="Normal 11 5 4 3 3" xfId="1928"/>
    <cellStyle name="Normal 11 5 4 4" xfId="1929"/>
    <cellStyle name="Normal 11 5 4 4 2" xfId="1930"/>
    <cellStyle name="Normal 11 5 4 4 3" xfId="1931"/>
    <cellStyle name="Normal 11 5 4 5" xfId="1932"/>
    <cellStyle name="Normal 11 5 4 6" xfId="1933"/>
    <cellStyle name="Normal 11 5 5" xfId="1934"/>
    <cellStyle name="Normal 11 5 5 2" xfId="1935"/>
    <cellStyle name="Normal 11 5 5 2 2" xfId="1936"/>
    <cellStyle name="Normal 11 5 5 2 3" xfId="1937"/>
    <cellStyle name="Normal 11 5 5 2 4" xfId="1938"/>
    <cellStyle name="Normal 11 5 5 2 5" xfId="1939"/>
    <cellStyle name="Normal 11 5 5 3" xfId="1940"/>
    <cellStyle name="Normal 11 5 5 3 2" xfId="1941"/>
    <cellStyle name="Normal 11 5 5 3 3" xfId="1942"/>
    <cellStyle name="Normal 11 5 5 4" xfId="1943"/>
    <cellStyle name="Normal 11 5 5 4 2" xfId="1944"/>
    <cellStyle name="Normal 11 5 5 4 3" xfId="1945"/>
    <cellStyle name="Normal 11 5 5 5" xfId="1946"/>
    <cellStyle name="Normal 11 5 5 6" xfId="1947"/>
    <cellStyle name="Normal 11 5 6" xfId="1948"/>
    <cellStyle name="Normal 11 5 6 2" xfId="1949"/>
    <cellStyle name="Normal 11 5 6 2 2" xfId="1950"/>
    <cellStyle name="Normal 11 5 6 2 3" xfId="1951"/>
    <cellStyle name="Normal 11 5 6 2 4" xfId="1952"/>
    <cellStyle name="Normal 11 5 6 2 5" xfId="1953"/>
    <cellStyle name="Normal 11 5 6 3" xfId="1954"/>
    <cellStyle name="Normal 11 5 6 3 2" xfId="1955"/>
    <cellStyle name="Normal 11 5 6 3 3" xfId="1956"/>
    <cellStyle name="Normal 11 5 6 4" xfId="1957"/>
    <cellStyle name="Normal 11 5 6 4 2" xfId="1958"/>
    <cellStyle name="Normal 11 5 6 4 3" xfId="1959"/>
    <cellStyle name="Normal 11 5 6 5" xfId="1960"/>
    <cellStyle name="Normal 11 5 6 5 2" xfId="1961"/>
    <cellStyle name="Normal 11 5 6 6" xfId="1962"/>
    <cellStyle name="Normal 11 5 6 7" xfId="1963"/>
    <cellStyle name="Normal 11 5 7" xfId="1964"/>
    <cellStyle name="Normal 11 5 7 2" xfId="1965"/>
    <cellStyle name="Normal 11 5 7 2 2" xfId="1966"/>
    <cellStyle name="Normal 11 5 7 2 3" xfId="1967"/>
    <cellStyle name="Normal 11 5 7 3" xfId="1968"/>
    <cellStyle name="Normal 11 5 7 3 2" xfId="1969"/>
    <cellStyle name="Normal 11 5 7 3 3" xfId="1970"/>
    <cellStyle name="Normal 11 5 7 4" xfId="1971"/>
    <cellStyle name="Normal 11 5 7 4 2" xfId="1972"/>
    <cellStyle name="Normal 11 5 7 5" xfId="1973"/>
    <cellStyle name="Normal 11 5 7 6" xfId="1974"/>
    <cellStyle name="Normal 11 5 8" xfId="1975"/>
    <cellStyle name="Normal 11 5 8 2" xfId="1976"/>
    <cellStyle name="Normal 11 5 8 3" xfId="1977"/>
    <cellStyle name="Normal 11 5 8 4" xfId="1978"/>
    <cellStyle name="Normal 11 5 8 5" xfId="1979"/>
    <cellStyle name="Normal 11 5 9" xfId="1980"/>
    <cellStyle name="Normal 11 5 9 2" xfId="1981"/>
    <cellStyle name="Normal 11 5 9 3" xfId="1982"/>
    <cellStyle name="Normal 11 5_10070" xfId="1983"/>
    <cellStyle name="Normal 11 6" xfId="1984"/>
    <cellStyle name="Normal 11 6 2" xfId="1985"/>
    <cellStyle name="Normal 11 6 2 2" xfId="1986"/>
    <cellStyle name="Normal 11 6 2 2 2" xfId="5589"/>
    <cellStyle name="Normal 11 6 2 2 3" xfId="10625"/>
    <cellStyle name="Normal 11 6 2 3" xfId="1987"/>
    <cellStyle name="Normal 11 6 2 3 2" xfId="5590"/>
    <cellStyle name="Normal 11 6 2 3 3" xfId="10626"/>
    <cellStyle name="Normal 11 6 2 4" xfId="5591"/>
    <cellStyle name="Normal 11 6 2 5" xfId="10627"/>
    <cellStyle name="Normal 11 6 3" xfId="1988"/>
    <cellStyle name="Normal 11 6 3 2" xfId="1989"/>
    <cellStyle name="Normal 11 6 3 3" xfId="1990"/>
    <cellStyle name="Normal 11 6 4" xfId="1991"/>
    <cellStyle name="Normal 11 6 4 2" xfId="5592"/>
    <cellStyle name="Normal 11 6 4 3" xfId="10628"/>
    <cellStyle name="Normal 11 6 5" xfId="1992"/>
    <cellStyle name="Normal 11 6 6" xfId="10629"/>
    <cellStyle name="Normal 11 7" xfId="1993"/>
    <cellStyle name="Normal 11 7 2" xfId="1994"/>
    <cellStyle name="Normal 11 7 2 2" xfId="5593"/>
    <cellStyle name="Normal 11 7 2 3" xfId="10630"/>
    <cellStyle name="Normal 11 7 3" xfId="1995"/>
    <cellStyle name="Normal 11 7 3 2" xfId="5594"/>
    <cellStyle name="Normal 11 7 3 3" xfId="10631"/>
    <cellStyle name="Normal 11 7 4" xfId="1996"/>
    <cellStyle name="Normal 11 7 5" xfId="1997"/>
    <cellStyle name="Normal 11 8" xfId="1998"/>
    <cellStyle name="Normal 11 8 2" xfId="1999"/>
    <cellStyle name="Normal 11 8 3" xfId="2000"/>
    <cellStyle name="Normal 11 9" xfId="2001"/>
    <cellStyle name="Normal 11 9 2" xfId="5595"/>
    <cellStyle name="Normal 11 9 3" xfId="10632"/>
    <cellStyle name="Normal 11_2112 2148 Reg Labor" xfId="446"/>
    <cellStyle name="Normal 110" xfId="948"/>
    <cellStyle name="Normal 110 2" xfId="949"/>
    <cellStyle name="Normal 111" xfId="950"/>
    <cellStyle name="Normal 111 2" xfId="951"/>
    <cellStyle name="Normal 111 3" xfId="2002"/>
    <cellStyle name="Normal 112" xfId="952"/>
    <cellStyle name="Normal 112 2" xfId="953"/>
    <cellStyle name="Normal 112 3" xfId="2003"/>
    <cellStyle name="Normal 112 4" xfId="2847"/>
    <cellStyle name="Normal 113" xfId="954"/>
    <cellStyle name="Normal 113 2" xfId="955"/>
    <cellStyle name="Normal 113 3" xfId="956"/>
    <cellStyle name="Normal 113 4" xfId="957"/>
    <cellStyle name="Normal 114" xfId="958"/>
    <cellStyle name="Normal 114 2" xfId="959"/>
    <cellStyle name="Normal 115" xfId="960"/>
    <cellStyle name="Normal 116" xfId="961"/>
    <cellStyle name="Normal 116 2" xfId="2004"/>
    <cellStyle name="Normal 117" xfId="962"/>
    <cellStyle name="Normal 117 2" xfId="2005"/>
    <cellStyle name="Normal 118" xfId="1306"/>
    <cellStyle name="Normal 118 2" xfId="2007"/>
    <cellStyle name="Normal 118 3" xfId="2006"/>
    <cellStyle name="Normal 119" xfId="1307"/>
    <cellStyle name="Normal 12" xfId="31"/>
    <cellStyle name="Normal 12 10" xfId="5596"/>
    <cellStyle name="Normal 12 11" xfId="10633"/>
    <cellStyle name="Normal 12 2" xfId="447"/>
    <cellStyle name="Normal 12 2 2" xfId="448"/>
    <cellStyle name="Normal 12 2 2 2" xfId="963"/>
    <cellStyle name="Normal 12 2 2 2 2" xfId="2008"/>
    <cellStyle name="Normal 12 2 2 2 2 2" xfId="5597"/>
    <cellStyle name="Normal 12 2 2 2 2 2 2" xfId="5598"/>
    <cellStyle name="Normal 12 2 2 2 2 2 2 2" xfId="5599"/>
    <cellStyle name="Normal 12 2 2 2 2 2 2 3" xfId="10634"/>
    <cellStyle name="Normal 12 2 2 2 2 2 3" xfId="5600"/>
    <cellStyle name="Normal 12 2 2 2 2 2 3 2" xfId="5601"/>
    <cellStyle name="Normal 12 2 2 2 2 2 3 3" xfId="10635"/>
    <cellStyle name="Normal 12 2 2 2 2 2 4" xfId="5602"/>
    <cellStyle name="Normal 12 2 2 2 2 2 5" xfId="10636"/>
    <cellStyle name="Normal 12 2 2 2 2 3" xfId="5603"/>
    <cellStyle name="Normal 12 2 2 2 2 3 2" xfId="5604"/>
    <cellStyle name="Normal 12 2 2 2 2 3 3" xfId="10637"/>
    <cellStyle name="Normal 12 2 2 2 2 4" xfId="5605"/>
    <cellStyle name="Normal 12 2 2 2 2 4 2" xfId="5606"/>
    <cellStyle name="Normal 12 2 2 2 2 4 3" xfId="10638"/>
    <cellStyle name="Normal 12 2 2 2 2 5" xfId="5607"/>
    <cellStyle name="Normal 12 2 2 2 2 6" xfId="10639"/>
    <cellStyle name="Normal 12 2 2 2 3" xfId="5608"/>
    <cellStyle name="Normal 12 2 2 2 3 2" xfId="5609"/>
    <cellStyle name="Normal 12 2 2 2 3 2 2" xfId="5610"/>
    <cellStyle name="Normal 12 2 2 2 3 2 3" xfId="10640"/>
    <cellStyle name="Normal 12 2 2 2 3 3" xfId="5611"/>
    <cellStyle name="Normal 12 2 2 2 3 3 2" xfId="5612"/>
    <cellStyle name="Normal 12 2 2 2 3 3 3" xfId="10641"/>
    <cellStyle name="Normal 12 2 2 2 3 4" xfId="5613"/>
    <cellStyle name="Normal 12 2 2 2 3 5" xfId="10642"/>
    <cellStyle name="Normal 12 2 2 2 4" xfId="5614"/>
    <cellStyle name="Normal 12 2 2 2 4 2" xfId="5615"/>
    <cellStyle name="Normal 12 2 2 2 4 3" xfId="10643"/>
    <cellStyle name="Normal 12 2 2 2 5" xfId="5616"/>
    <cellStyle name="Normal 12 2 2 2 5 2" xfId="5617"/>
    <cellStyle name="Normal 12 2 2 2 5 3" xfId="10644"/>
    <cellStyle name="Normal 12 2 2 2 6" xfId="5618"/>
    <cellStyle name="Normal 12 2 2 2 7" xfId="10645"/>
    <cellStyle name="Normal 12 2 2 2 8" xfId="2913"/>
    <cellStyle name="Normal 12 2 2 3" xfId="964"/>
    <cellStyle name="Normal 12 2 2 3 2" xfId="5619"/>
    <cellStyle name="Normal 12 2 2 3 2 2" xfId="5620"/>
    <cellStyle name="Normal 12 2 2 3 2 2 2" xfId="5621"/>
    <cellStyle name="Normal 12 2 2 3 2 2 3" xfId="10646"/>
    <cellStyle name="Normal 12 2 2 3 2 3" xfId="5622"/>
    <cellStyle name="Normal 12 2 2 3 2 3 2" xfId="5623"/>
    <cellStyle name="Normal 12 2 2 3 2 3 3" xfId="10647"/>
    <cellStyle name="Normal 12 2 2 3 2 4" xfId="5624"/>
    <cellStyle name="Normal 12 2 2 3 2 5" xfId="10648"/>
    <cellStyle name="Normal 12 2 2 3 3" xfId="5625"/>
    <cellStyle name="Normal 12 2 2 3 3 2" xfId="5626"/>
    <cellStyle name="Normal 12 2 2 3 3 3" xfId="10649"/>
    <cellStyle name="Normal 12 2 2 3 4" xfId="5627"/>
    <cellStyle name="Normal 12 2 2 3 4 2" xfId="5628"/>
    <cellStyle name="Normal 12 2 2 3 4 3" xfId="10650"/>
    <cellStyle name="Normal 12 2 2 3 5" xfId="5629"/>
    <cellStyle name="Normal 12 2 2 3 6" xfId="10651"/>
    <cellStyle name="Normal 12 2 2 4" xfId="5630"/>
    <cellStyle name="Normal 12 2 2 4 2" xfId="5631"/>
    <cellStyle name="Normal 12 2 2 4 2 2" xfId="5632"/>
    <cellStyle name="Normal 12 2 2 4 2 3" xfId="10652"/>
    <cellStyle name="Normal 12 2 2 4 3" xfId="5633"/>
    <cellStyle name="Normal 12 2 2 4 3 2" xfId="5634"/>
    <cellStyle name="Normal 12 2 2 4 3 3" xfId="10653"/>
    <cellStyle name="Normal 12 2 2 4 4" xfId="5635"/>
    <cellStyle name="Normal 12 2 2 4 5" xfId="10654"/>
    <cellStyle name="Normal 12 2 2 5" xfId="5636"/>
    <cellStyle name="Normal 12 2 2 5 2" xfId="5637"/>
    <cellStyle name="Normal 12 2 2 5 3" xfId="10655"/>
    <cellStyle name="Normal 12 2 2 6" xfId="5638"/>
    <cellStyle name="Normal 12 2 2 6 2" xfId="5639"/>
    <cellStyle name="Normal 12 2 2 6 3" xfId="10656"/>
    <cellStyle name="Normal 12 2 2 7" xfId="5640"/>
    <cellStyle name="Normal 12 2 2 8" xfId="10657"/>
    <cellStyle name="Normal 12 2 3" xfId="965"/>
    <cellStyle name="Normal 12 2 3 2" xfId="2009"/>
    <cellStyle name="Normal 12 2 3 2 2" xfId="5641"/>
    <cellStyle name="Normal 12 2 3 2 2 2" xfId="5642"/>
    <cellStyle name="Normal 12 2 3 2 2 2 2" xfId="5643"/>
    <cellStyle name="Normal 12 2 3 2 2 2 3" xfId="10658"/>
    <cellStyle name="Normal 12 2 3 2 2 3" xfId="5644"/>
    <cellStyle name="Normal 12 2 3 2 2 3 2" xfId="5645"/>
    <cellStyle name="Normal 12 2 3 2 2 3 3" xfId="10659"/>
    <cellStyle name="Normal 12 2 3 2 2 4" xfId="5646"/>
    <cellStyle name="Normal 12 2 3 2 2 5" xfId="10660"/>
    <cellStyle name="Normal 12 2 3 2 3" xfId="5647"/>
    <cellStyle name="Normal 12 2 3 2 3 2" xfId="5648"/>
    <cellStyle name="Normal 12 2 3 2 3 3" xfId="10661"/>
    <cellStyle name="Normal 12 2 3 2 4" xfId="5649"/>
    <cellStyle name="Normal 12 2 3 2 4 2" xfId="5650"/>
    <cellStyle name="Normal 12 2 3 2 4 3" xfId="10662"/>
    <cellStyle name="Normal 12 2 3 2 5" xfId="5651"/>
    <cellStyle name="Normal 12 2 3 2 6" xfId="10663"/>
    <cellStyle name="Normal 12 2 3 3" xfId="5652"/>
    <cellStyle name="Normal 12 2 3 3 2" xfId="5653"/>
    <cellStyle name="Normal 12 2 3 3 2 2" xfId="5654"/>
    <cellStyle name="Normal 12 2 3 3 2 3" xfId="10664"/>
    <cellStyle name="Normal 12 2 3 3 3" xfId="5655"/>
    <cellStyle name="Normal 12 2 3 3 3 2" xfId="5656"/>
    <cellStyle name="Normal 12 2 3 3 3 3" xfId="10665"/>
    <cellStyle name="Normal 12 2 3 3 4" xfId="5657"/>
    <cellStyle name="Normal 12 2 3 3 5" xfId="10666"/>
    <cellStyle name="Normal 12 2 3 4" xfId="5658"/>
    <cellStyle name="Normal 12 2 3 4 2" xfId="5659"/>
    <cellStyle name="Normal 12 2 3 4 3" xfId="10667"/>
    <cellStyle name="Normal 12 2 3 5" xfId="5660"/>
    <cellStyle name="Normal 12 2 3 5 2" xfId="5661"/>
    <cellStyle name="Normal 12 2 3 5 3" xfId="10668"/>
    <cellStyle name="Normal 12 2 3 6" xfId="5662"/>
    <cellStyle name="Normal 12 2 3 7" xfId="10669"/>
    <cellStyle name="Normal 12 2 4" xfId="2010"/>
    <cellStyle name="Normal 12 2 4 2" xfId="5663"/>
    <cellStyle name="Normal 12 2 4 2 2" xfId="5664"/>
    <cellStyle name="Normal 12 2 4 2 2 2" xfId="5665"/>
    <cellStyle name="Normal 12 2 4 2 2 3" xfId="10670"/>
    <cellStyle name="Normal 12 2 4 2 3" xfId="5666"/>
    <cellStyle name="Normal 12 2 4 2 3 2" xfId="5667"/>
    <cellStyle name="Normal 12 2 4 2 3 3" xfId="10671"/>
    <cellStyle name="Normal 12 2 4 2 4" xfId="5668"/>
    <cellStyle name="Normal 12 2 4 2 5" xfId="10672"/>
    <cellStyle name="Normal 12 2 4 3" xfId="5669"/>
    <cellStyle name="Normal 12 2 4 3 2" xfId="5670"/>
    <cellStyle name="Normal 12 2 4 3 3" xfId="10673"/>
    <cellStyle name="Normal 12 2 4 4" xfId="5671"/>
    <cellStyle name="Normal 12 2 4 4 2" xfId="5672"/>
    <cellStyle name="Normal 12 2 4 4 3" xfId="10674"/>
    <cellStyle name="Normal 12 2 4 5" xfId="5673"/>
    <cellStyle name="Normal 12 2 4 6" xfId="10675"/>
    <cellStyle name="Normal 12 2 5" xfId="1405"/>
    <cellStyle name="Normal 12 2 5 2" xfId="5675"/>
    <cellStyle name="Normal 12 2 5 2 2" xfId="5676"/>
    <cellStyle name="Normal 12 2 5 2 3" xfId="10676"/>
    <cellStyle name="Normal 12 2 5 3" xfId="5677"/>
    <cellStyle name="Normal 12 2 5 3 2" xfId="5678"/>
    <cellStyle name="Normal 12 2 5 3 3" xfId="10677"/>
    <cellStyle name="Normal 12 2 5 4" xfId="5679"/>
    <cellStyle name="Normal 12 2 5 5" xfId="10678"/>
    <cellStyle name="Normal 12 2 5 6" xfId="5674"/>
    <cellStyle name="Normal 12 2 6" xfId="5680"/>
    <cellStyle name="Normal 12 2 6 2" xfId="5681"/>
    <cellStyle name="Normal 12 2 6 3" xfId="10679"/>
    <cellStyle name="Normal 12 2 7" xfId="5682"/>
    <cellStyle name="Normal 12 2 7 2" xfId="5683"/>
    <cellStyle name="Normal 12 2 7 3" xfId="10680"/>
    <cellStyle name="Normal 12 2 8" xfId="5684"/>
    <cellStyle name="Normal 12 2 9" xfId="10681"/>
    <cellStyle name="Normal 12 3" xfId="449"/>
    <cellStyle name="Normal 12 3 2" xfId="450"/>
    <cellStyle name="Normal 12 3 2 2" xfId="966"/>
    <cellStyle name="Normal 12 3 2 2 2" xfId="5685"/>
    <cellStyle name="Normal 12 3 2 2 2 2" xfId="5686"/>
    <cellStyle name="Normal 12 3 2 2 2 2 2" xfId="5687"/>
    <cellStyle name="Normal 12 3 2 2 2 2 3" xfId="10682"/>
    <cellStyle name="Normal 12 3 2 2 2 3" xfId="5688"/>
    <cellStyle name="Normal 12 3 2 2 2 3 2" xfId="5689"/>
    <cellStyle name="Normal 12 3 2 2 2 3 3" xfId="10683"/>
    <cellStyle name="Normal 12 3 2 2 2 4" xfId="5690"/>
    <cellStyle name="Normal 12 3 2 2 2 5" xfId="10684"/>
    <cellStyle name="Normal 12 3 2 2 3" xfId="5691"/>
    <cellStyle name="Normal 12 3 2 2 3 2" xfId="5692"/>
    <cellStyle name="Normal 12 3 2 2 3 3" xfId="10685"/>
    <cellStyle name="Normal 12 3 2 2 4" xfId="5693"/>
    <cellStyle name="Normal 12 3 2 2 4 2" xfId="5694"/>
    <cellStyle name="Normal 12 3 2 2 4 3" xfId="10686"/>
    <cellStyle name="Normal 12 3 2 2 5" xfId="5695"/>
    <cellStyle name="Normal 12 3 2 2 6" xfId="10687"/>
    <cellStyle name="Normal 12 3 2 3" xfId="5696"/>
    <cellStyle name="Normal 12 3 2 3 2" xfId="5697"/>
    <cellStyle name="Normal 12 3 2 3 2 2" xfId="5698"/>
    <cellStyle name="Normal 12 3 2 3 2 3" xfId="10688"/>
    <cellStyle name="Normal 12 3 2 3 3" xfId="5699"/>
    <cellStyle name="Normal 12 3 2 3 3 2" xfId="5700"/>
    <cellStyle name="Normal 12 3 2 3 3 3" xfId="10689"/>
    <cellStyle name="Normal 12 3 2 3 4" xfId="5701"/>
    <cellStyle name="Normal 12 3 2 3 5" xfId="10690"/>
    <cellStyle name="Normal 12 3 2 4" xfId="5702"/>
    <cellStyle name="Normal 12 3 2 4 2" xfId="5703"/>
    <cellStyle name="Normal 12 3 2 4 3" xfId="10691"/>
    <cellStyle name="Normal 12 3 2 5" xfId="5704"/>
    <cellStyle name="Normal 12 3 2 5 2" xfId="5705"/>
    <cellStyle name="Normal 12 3 2 5 3" xfId="10692"/>
    <cellStyle name="Normal 12 3 2 6" xfId="5706"/>
    <cellStyle name="Normal 12 3 2 7" xfId="10693"/>
    <cellStyle name="Normal 12 3 3" xfId="2011"/>
    <cellStyle name="Normal 12 3 3 2" xfId="5707"/>
    <cellStyle name="Normal 12 3 3 2 2" xfId="5708"/>
    <cellStyle name="Normal 12 3 3 2 2 2" xfId="5709"/>
    <cellStyle name="Normal 12 3 3 2 2 3" xfId="10694"/>
    <cellStyle name="Normal 12 3 3 2 3" xfId="5710"/>
    <cellStyle name="Normal 12 3 3 2 3 2" xfId="5711"/>
    <cellStyle name="Normal 12 3 3 2 3 3" xfId="10695"/>
    <cellStyle name="Normal 12 3 3 2 4" xfId="5712"/>
    <cellStyle name="Normal 12 3 3 2 5" xfId="10696"/>
    <cellStyle name="Normal 12 3 3 3" xfId="5713"/>
    <cellStyle name="Normal 12 3 3 3 2" xfId="5714"/>
    <cellStyle name="Normal 12 3 3 3 3" xfId="10697"/>
    <cellStyle name="Normal 12 3 3 4" xfId="5715"/>
    <cellStyle name="Normal 12 3 3 4 2" xfId="5716"/>
    <cellStyle name="Normal 12 3 3 4 3" xfId="10698"/>
    <cellStyle name="Normal 12 3 3 5" xfId="5717"/>
    <cellStyle name="Normal 12 3 3 6" xfId="10699"/>
    <cellStyle name="Normal 12 3 4" xfId="1406"/>
    <cellStyle name="Normal 12 3 4 2" xfId="5719"/>
    <cellStyle name="Normal 12 3 4 2 2" xfId="5720"/>
    <cellStyle name="Normal 12 3 4 2 3" xfId="10700"/>
    <cellStyle name="Normal 12 3 4 3" xfId="5721"/>
    <cellStyle name="Normal 12 3 4 3 2" xfId="5722"/>
    <cellStyle name="Normal 12 3 4 3 3" xfId="10701"/>
    <cellStyle name="Normal 12 3 4 4" xfId="5723"/>
    <cellStyle name="Normal 12 3 4 5" xfId="10702"/>
    <cellStyle name="Normal 12 3 4 6" xfId="5718"/>
    <cellStyle name="Normal 12 3 5" xfId="5724"/>
    <cellStyle name="Normal 12 3 5 2" xfId="5725"/>
    <cellStyle name="Normal 12 3 5 3" xfId="10703"/>
    <cellStyle name="Normal 12 3 6" xfId="5726"/>
    <cellStyle name="Normal 12 3 6 2" xfId="5727"/>
    <cellStyle name="Normal 12 3 6 3" xfId="10704"/>
    <cellStyle name="Normal 12 3 7" xfId="5728"/>
    <cellStyle name="Normal 12 3 8" xfId="10705"/>
    <cellStyle name="Normal 12 4" xfId="451"/>
    <cellStyle name="Normal 12 4 2" xfId="967"/>
    <cellStyle name="Normal 12 4 2 2" xfId="3304"/>
    <cellStyle name="Normal 12 4 2 2 2" xfId="5729"/>
    <cellStyle name="Normal 12 4 2 2 2 2" xfId="5730"/>
    <cellStyle name="Normal 12 4 2 2 2 2 2" xfId="5731"/>
    <cellStyle name="Normal 12 4 2 2 2 2 3" xfId="10706"/>
    <cellStyle name="Normal 12 4 2 2 2 3" xfId="5732"/>
    <cellStyle name="Normal 12 4 2 2 2 3 2" xfId="5733"/>
    <cellStyle name="Normal 12 4 2 2 2 3 3" xfId="10707"/>
    <cellStyle name="Normal 12 4 2 2 2 4" xfId="5734"/>
    <cellStyle name="Normal 12 4 2 2 2 5" xfId="10708"/>
    <cellStyle name="Normal 12 4 2 2 3" xfId="5735"/>
    <cellStyle name="Normal 12 4 2 2 3 2" xfId="5736"/>
    <cellStyle name="Normal 12 4 2 2 3 3" xfId="10709"/>
    <cellStyle name="Normal 12 4 2 2 4" xfId="5737"/>
    <cellStyle name="Normal 12 4 2 2 4 2" xfId="5738"/>
    <cellStyle name="Normal 12 4 2 2 4 3" xfId="10710"/>
    <cellStyle name="Normal 12 4 2 2 5" xfId="5739"/>
    <cellStyle name="Normal 12 4 2 2 6" xfId="10711"/>
    <cellStyle name="Normal 12 4 2 3" xfId="5740"/>
    <cellStyle name="Normal 12 4 2 3 2" xfId="5741"/>
    <cellStyle name="Normal 12 4 2 3 2 2" xfId="5742"/>
    <cellStyle name="Normal 12 4 2 3 2 3" xfId="10712"/>
    <cellStyle name="Normal 12 4 2 3 3" xfId="5743"/>
    <cellStyle name="Normal 12 4 2 3 3 2" xfId="5744"/>
    <cellStyle name="Normal 12 4 2 3 3 3" xfId="10713"/>
    <cellStyle name="Normal 12 4 2 3 4" xfId="5745"/>
    <cellStyle name="Normal 12 4 2 3 5" xfId="10714"/>
    <cellStyle name="Normal 12 4 2 4" xfId="5746"/>
    <cellStyle name="Normal 12 4 2 4 2" xfId="5747"/>
    <cellStyle name="Normal 12 4 2 4 3" xfId="10715"/>
    <cellStyle name="Normal 12 4 2 5" xfId="5748"/>
    <cellStyle name="Normal 12 4 2 5 2" xfId="5749"/>
    <cellStyle name="Normal 12 4 2 5 3" xfId="10716"/>
    <cellStyle name="Normal 12 4 2 6" xfId="5750"/>
    <cellStyle name="Normal 12 4 2 7" xfId="10717"/>
    <cellStyle name="Normal 12 4 3" xfId="1407"/>
    <cellStyle name="Normal 12 4 3 2" xfId="5751"/>
    <cellStyle name="Normal 12 4 3 2 2" xfId="5752"/>
    <cellStyle name="Normal 12 4 3 2 2 2" xfId="5753"/>
    <cellStyle name="Normal 12 4 3 2 2 3" xfId="10718"/>
    <cellStyle name="Normal 12 4 3 2 3" xfId="5754"/>
    <cellStyle name="Normal 12 4 3 2 3 2" xfId="5755"/>
    <cellStyle name="Normal 12 4 3 2 3 3" xfId="10719"/>
    <cellStyle name="Normal 12 4 3 2 4" xfId="5756"/>
    <cellStyle name="Normal 12 4 3 2 5" xfId="10720"/>
    <cellStyle name="Normal 12 4 3 3" xfId="5757"/>
    <cellStyle name="Normal 12 4 3 3 2" xfId="5758"/>
    <cellStyle name="Normal 12 4 3 3 3" xfId="10721"/>
    <cellStyle name="Normal 12 4 3 4" xfId="5759"/>
    <cellStyle name="Normal 12 4 3 4 2" xfId="5760"/>
    <cellStyle name="Normal 12 4 3 4 3" xfId="10722"/>
    <cellStyle name="Normal 12 4 3 5" xfId="5761"/>
    <cellStyle name="Normal 12 4 3 6" xfId="10723"/>
    <cellStyle name="Normal 12 4 3 7" xfId="3305"/>
    <cellStyle name="Normal 12 4 4" xfId="5762"/>
    <cellStyle name="Normal 12 4 4 2" xfId="5763"/>
    <cellStyle name="Normal 12 4 4 2 2" xfId="5764"/>
    <cellStyle name="Normal 12 4 4 2 3" xfId="10724"/>
    <cellStyle name="Normal 12 4 4 3" xfId="5765"/>
    <cellStyle name="Normal 12 4 4 3 2" xfId="5766"/>
    <cellStyle name="Normal 12 4 4 3 3" xfId="10725"/>
    <cellStyle name="Normal 12 4 4 4" xfId="5767"/>
    <cellStyle name="Normal 12 4 4 5" xfId="10726"/>
    <cellStyle name="Normal 12 4 5" xfId="5768"/>
    <cellStyle name="Normal 12 4 5 2" xfId="5769"/>
    <cellStyle name="Normal 12 4 5 3" xfId="10727"/>
    <cellStyle name="Normal 12 4 6" xfId="5770"/>
    <cellStyle name="Normal 12 4 6 2" xfId="5771"/>
    <cellStyle name="Normal 12 4 6 3" xfId="10728"/>
    <cellStyle name="Normal 12 4 7" xfId="5772"/>
    <cellStyle name="Normal 12 4 8" xfId="10729"/>
    <cellStyle name="Normal 12 5" xfId="452"/>
    <cellStyle name="Normal 12 5 2" xfId="968"/>
    <cellStyle name="Normal 12 5 2 2" xfId="5773"/>
    <cellStyle name="Normal 12 5 2 2 2" xfId="5774"/>
    <cellStyle name="Normal 12 5 2 2 2 2" xfId="5775"/>
    <cellStyle name="Normal 12 5 2 2 2 3" xfId="10730"/>
    <cellStyle name="Normal 12 5 2 2 3" xfId="5776"/>
    <cellStyle name="Normal 12 5 2 2 3 2" xfId="5777"/>
    <cellStyle name="Normal 12 5 2 2 3 3" xfId="10731"/>
    <cellStyle name="Normal 12 5 2 2 4" xfId="5778"/>
    <cellStyle name="Normal 12 5 2 2 5" xfId="10732"/>
    <cellStyle name="Normal 12 5 2 3" xfId="5779"/>
    <cellStyle name="Normal 12 5 2 3 2" xfId="5780"/>
    <cellStyle name="Normal 12 5 2 3 3" xfId="10733"/>
    <cellStyle name="Normal 12 5 2 4" xfId="5781"/>
    <cellStyle name="Normal 12 5 2 4 2" xfId="5782"/>
    <cellStyle name="Normal 12 5 2 4 3" xfId="10734"/>
    <cellStyle name="Normal 12 5 2 5" xfId="5783"/>
    <cellStyle name="Normal 12 5 2 6" xfId="10735"/>
    <cellStyle name="Normal 12 5 3" xfId="5784"/>
    <cellStyle name="Normal 12 5 3 2" xfId="5785"/>
    <cellStyle name="Normal 12 5 3 2 2" xfId="5786"/>
    <cellStyle name="Normal 12 5 3 2 3" xfId="10736"/>
    <cellStyle name="Normal 12 5 3 3" xfId="5787"/>
    <cellStyle name="Normal 12 5 3 3 2" xfId="5788"/>
    <cellStyle name="Normal 12 5 3 3 3" xfId="10737"/>
    <cellStyle name="Normal 12 5 3 4" xfId="5789"/>
    <cellStyle name="Normal 12 5 3 5" xfId="10738"/>
    <cellStyle name="Normal 12 5 4" xfId="5790"/>
    <cellStyle name="Normal 12 5 4 2" xfId="5791"/>
    <cellStyle name="Normal 12 5 4 3" xfId="10739"/>
    <cellStyle name="Normal 12 5 5" xfId="5792"/>
    <cellStyle name="Normal 12 5 5 2" xfId="5793"/>
    <cellStyle name="Normal 12 5 5 3" xfId="10740"/>
    <cellStyle name="Normal 12 5 6" xfId="5794"/>
    <cellStyle name="Normal 12 5 7" xfId="10741"/>
    <cellStyle name="Normal 12 6" xfId="453"/>
    <cellStyle name="Normal 12 6 2" xfId="5795"/>
    <cellStyle name="Normal 12 6 2 2" xfId="5796"/>
    <cellStyle name="Normal 12 6 2 2 2" xfId="5797"/>
    <cellStyle name="Normal 12 6 2 2 3" xfId="10742"/>
    <cellStyle name="Normal 12 6 2 3" xfId="5798"/>
    <cellStyle name="Normal 12 6 2 3 2" xfId="5799"/>
    <cellStyle name="Normal 12 6 2 3 3" xfId="10743"/>
    <cellStyle name="Normal 12 6 2 4" xfId="5800"/>
    <cellStyle name="Normal 12 6 2 5" xfId="10744"/>
    <cellStyle name="Normal 12 6 3" xfId="5801"/>
    <cellStyle name="Normal 12 6 3 2" xfId="5802"/>
    <cellStyle name="Normal 12 6 3 3" xfId="10745"/>
    <cellStyle name="Normal 12 6 4" xfId="5803"/>
    <cellStyle name="Normal 12 6 4 2" xfId="5804"/>
    <cellStyle name="Normal 12 6 4 3" xfId="10746"/>
    <cellStyle name="Normal 12 6 5" xfId="5805"/>
    <cellStyle name="Normal 12 6 6" xfId="10747"/>
    <cellStyle name="Normal 12 7" xfId="454"/>
    <cellStyle name="Normal 12 7 2" xfId="2012"/>
    <cellStyle name="Normal 12 7 2 2" xfId="5807"/>
    <cellStyle name="Normal 12 7 2 3" xfId="10748"/>
    <cellStyle name="Normal 12 7 2 4" xfId="5806"/>
    <cellStyle name="Normal 12 7 3" xfId="5808"/>
    <cellStyle name="Normal 12 7 3 2" xfId="5809"/>
    <cellStyle name="Normal 12 7 3 3" xfId="10749"/>
    <cellStyle name="Normal 12 7 4" xfId="5810"/>
    <cellStyle name="Normal 12 7 5" xfId="10750"/>
    <cellStyle name="Normal 12 8" xfId="1404"/>
    <cellStyle name="Normal 12 8 2" xfId="5811"/>
    <cellStyle name="Normal 12 8 3" xfId="10751"/>
    <cellStyle name="Normal 12 9" xfId="5812"/>
    <cellStyle name="Normal 12 9 2" xfId="5813"/>
    <cellStyle name="Normal 12 9 3" xfId="10752"/>
    <cellStyle name="Normal 12_2112 2148 Reg Labor" xfId="455"/>
    <cellStyle name="Normal 120" xfId="1308"/>
    <cellStyle name="Normal 120 2" xfId="16341"/>
    <cellStyle name="Normal 121" xfId="1309"/>
    <cellStyle name="Normal 122" xfId="1310"/>
    <cellStyle name="Normal 123" xfId="1311"/>
    <cellStyle name="Normal 124" xfId="1312"/>
    <cellStyle name="Normal 125" xfId="1313"/>
    <cellStyle name="Normal 126" xfId="1314"/>
    <cellStyle name="Normal 127" xfId="1315"/>
    <cellStyle name="Normal 128" xfId="1316"/>
    <cellStyle name="Normal 128 2" xfId="2013"/>
    <cellStyle name="Normal 129" xfId="1317"/>
    <cellStyle name="Normal 129 2" xfId="2014"/>
    <cellStyle name="Normal 13" xfId="32"/>
    <cellStyle name="Normal 13 10" xfId="5814"/>
    <cellStyle name="Normal 13 11" xfId="10753"/>
    <cellStyle name="Normal 13 2" xfId="211"/>
    <cellStyle name="Normal 13 2 2" xfId="458"/>
    <cellStyle name="Normal 13 2 2 2" xfId="969"/>
    <cellStyle name="Normal 13 2 2 2 2" xfId="2015"/>
    <cellStyle name="Normal 13 2 2 2 2 2" xfId="5815"/>
    <cellStyle name="Normal 13 2 2 2 2 2 2" xfId="5816"/>
    <cellStyle name="Normal 13 2 2 2 2 2 2 2" xfId="5817"/>
    <cellStyle name="Normal 13 2 2 2 2 2 2 3" xfId="10754"/>
    <cellStyle name="Normal 13 2 2 2 2 2 3" xfId="5818"/>
    <cellStyle name="Normal 13 2 2 2 2 2 3 2" xfId="5819"/>
    <cellStyle name="Normal 13 2 2 2 2 2 3 3" xfId="10755"/>
    <cellStyle name="Normal 13 2 2 2 2 2 4" xfId="5820"/>
    <cellStyle name="Normal 13 2 2 2 2 2 5" xfId="10756"/>
    <cellStyle name="Normal 13 2 2 2 2 3" xfId="5821"/>
    <cellStyle name="Normal 13 2 2 2 2 3 2" xfId="5822"/>
    <cellStyle name="Normal 13 2 2 2 2 3 3" xfId="10757"/>
    <cellStyle name="Normal 13 2 2 2 2 4" xfId="5823"/>
    <cellStyle name="Normal 13 2 2 2 2 4 2" xfId="5824"/>
    <cellStyle name="Normal 13 2 2 2 2 4 3" xfId="10758"/>
    <cellStyle name="Normal 13 2 2 2 2 5" xfId="5825"/>
    <cellStyle name="Normal 13 2 2 2 2 6" xfId="10759"/>
    <cellStyle name="Normal 13 2 2 2 3" xfId="5826"/>
    <cellStyle name="Normal 13 2 2 2 3 2" xfId="5827"/>
    <cellStyle name="Normal 13 2 2 2 3 2 2" xfId="5828"/>
    <cellStyle name="Normal 13 2 2 2 3 2 3" xfId="10760"/>
    <cellStyle name="Normal 13 2 2 2 3 3" xfId="5829"/>
    <cellStyle name="Normal 13 2 2 2 3 3 2" xfId="5830"/>
    <cellStyle name="Normal 13 2 2 2 3 3 3" xfId="10761"/>
    <cellStyle name="Normal 13 2 2 2 3 4" xfId="5831"/>
    <cellStyle name="Normal 13 2 2 2 3 5" xfId="10762"/>
    <cellStyle name="Normal 13 2 2 2 4" xfId="5832"/>
    <cellStyle name="Normal 13 2 2 2 4 2" xfId="5833"/>
    <cellStyle name="Normal 13 2 2 2 4 3" xfId="10763"/>
    <cellStyle name="Normal 13 2 2 2 5" xfId="5834"/>
    <cellStyle name="Normal 13 2 2 2 5 2" xfId="5835"/>
    <cellStyle name="Normal 13 2 2 2 5 3" xfId="10764"/>
    <cellStyle name="Normal 13 2 2 2 6" xfId="5836"/>
    <cellStyle name="Normal 13 2 2 2 7" xfId="10765"/>
    <cellStyle name="Normal 13 2 2 2 8" xfId="2914"/>
    <cellStyle name="Normal 13 2 2 3" xfId="970"/>
    <cellStyle name="Normal 13 2 2 3 2" xfId="2016"/>
    <cellStyle name="Normal 13 2 2 3 2 2" xfId="5838"/>
    <cellStyle name="Normal 13 2 2 3 2 2 2" xfId="5839"/>
    <cellStyle name="Normal 13 2 2 3 2 2 3" xfId="10766"/>
    <cellStyle name="Normal 13 2 2 3 2 3" xfId="5840"/>
    <cellStyle name="Normal 13 2 2 3 2 3 2" xfId="5841"/>
    <cellStyle name="Normal 13 2 2 3 2 3 3" xfId="10767"/>
    <cellStyle name="Normal 13 2 2 3 2 4" xfId="5842"/>
    <cellStyle name="Normal 13 2 2 3 2 5" xfId="10768"/>
    <cellStyle name="Normal 13 2 2 3 2 6" xfId="5837"/>
    <cellStyle name="Normal 13 2 2 3 3" xfId="5843"/>
    <cellStyle name="Normal 13 2 2 3 3 2" xfId="5844"/>
    <cellStyle name="Normal 13 2 2 3 3 3" xfId="10769"/>
    <cellStyle name="Normal 13 2 2 3 4" xfId="5845"/>
    <cellStyle name="Normal 13 2 2 3 4 2" xfId="5846"/>
    <cellStyle name="Normal 13 2 2 3 4 3" xfId="10770"/>
    <cellStyle name="Normal 13 2 2 3 5" xfId="5847"/>
    <cellStyle name="Normal 13 2 2 3 6" xfId="10771"/>
    <cellStyle name="Normal 13 2 2 4" xfId="5848"/>
    <cellStyle name="Normal 13 2 2 4 2" xfId="5849"/>
    <cellStyle name="Normal 13 2 2 4 2 2" xfId="5850"/>
    <cellStyle name="Normal 13 2 2 4 2 3" xfId="10772"/>
    <cellStyle name="Normal 13 2 2 4 3" xfId="5851"/>
    <cellStyle name="Normal 13 2 2 4 3 2" xfId="5852"/>
    <cellStyle name="Normal 13 2 2 4 3 3" xfId="10773"/>
    <cellStyle name="Normal 13 2 2 4 4" xfId="5853"/>
    <cellStyle name="Normal 13 2 2 4 5" xfId="10774"/>
    <cellStyle name="Normal 13 2 2 5" xfId="5854"/>
    <cellStyle name="Normal 13 2 2 5 2" xfId="5855"/>
    <cellStyle name="Normal 13 2 2 5 3" xfId="10775"/>
    <cellStyle name="Normal 13 2 2 6" xfId="5856"/>
    <cellStyle name="Normal 13 2 2 6 2" xfId="5857"/>
    <cellStyle name="Normal 13 2 2 6 3" xfId="10776"/>
    <cellStyle name="Normal 13 2 2 7" xfId="5858"/>
    <cellStyle name="Normal 13 2 2 8" xfId="10777"/>
    <cellStyle name="Normal 13 2 3" xfId="457"/>
    <cellStyle name="Normal 13 2 3 2" xfId="971"/>
    <cellStyle name="Normal 13 2 3 2 2" xfId="5859"/>
    <cellStyle name="Normal 13 2 3 2 2 2" xfId="5860"/>
    <cellStyle name="Normal 13 2 3 2 2 2 2" xfId="5861"/>
    <cellStyle name="Normal 13 2 3 2 2 2 3" xfId="10778"/>
    <cellStyle name="Normal 13 2 3 2 2 3" xfId="5862"/>
    <cellStyle name="Normal 13 2 3 2 2 3 2" xfId="5863"/>
    <cellStyle name="Normal 13 2 3 2 2 3 3" xfId="10779"/>
    <cellStyle name="Normal 13 2 3 2 2 4" xfId="5864"/>
    <cellStyle name="Normal 13 2 3 2 2 5" xfId="10780"/>
    <cellStyle name="Normal 13 2 3 2 3" xfId="5865"/>
    <cellStyle name="Normal 13 2 3 2 3 2" xfId="5866"/>
    <cellStyle name="Normal 13 2 3 2 3 3" xfId="10781"/>
    <cellStyle name="Normal 13 2 3 2 4" xfId="5867"/>
    <cellStyle name="Normal 13 2 3 2 4 2" xfId="5868"/>
    <cellStyle name="Normal 13 2 3 2 4 3" xfId="10782"/>
    <cellStyle name="Normal 13 2 3 2 5" xfId="5869"/>
    <cellStyle name="Normal 13 2 3 2 6" xfId="10783"/>
    <cellStyle name="Normal 13 2 3 3" xfId="5870"/>
    <cellStyle name="Normal 13 2 3 3 2" xfId="5871"/>
    <cellStyle name="Normal 13 2 3 3 2 2" xfId="5872"/>
    <cellStyle name="Normal 13 2 3 3 2 3" xfId="10784"/>
    <cellStyle name="Normal 13 2 3 3 3" xfId="5873"/>
    <cellStyle name="Normal 13 2 3 3 3 2" xfId="5874"/>
    <cellStyle name="Normal 13 2 3 3 3 3" xfId="10785"/>
    <cellStyle name="Normal 13 2 3 3 4" xfId="5875"/>
    <cellStyle name="Normal 13 2 3 3 5" xfId="10786"/>
    <cellStyle name="Normal 13 2 3 4" xfId="5876"/>
    <cellStyle name="Normal 13 2 3 4 2" xfId="5877"/>
    <cellStyle name="Normal 13 2 3 4 3" xfId="10787"/>
    <cellStyle name="Normal 13 2 3 5" xfId="5878"/>
    <cellStyle name="Normal 13 2 3 5 2" xfId="5879"/>
    <cellStyle name="Normal 13 2 3 5 3" xfId="10788"/>
    <cellStyle name="Normal 13 2 3 6" xfId="5880"/>
    <cellStyle name="Normal 13 2 3 7" xfId="10789"/>
    <cellStyle name="Normal 13 2 4" xfId="2017"/>
    <cellStyle name="Normal 13 2 4 2" xfId="5881"/>
    <cellStyle name="Normal 13 2 4 2 2" xfId="5882"/>
    <cellStyle name="Normal 13 2 4 2 2 2" xfId="5883"/>
    <cellStyle name="Normal 13 2 4 2 2 3" xfId="10790"/>
    <cellStyle name="Normal 13 2 4 2 3" xfId="5884"/>
    <cellStyle name="Normal 13 2 4 2 3 2" xfId="5885"/>
    <cellStyle name="Normal 13 2 4 2 3 3" xfId="10791"/>
    <cellStyle name="Normal 13 2 4 2 4" xfId="5886"/>
    <cellStyle name="Normal 13 2 4 2 5" xfId="10792"/>
    <cellStyle name="Normal 13 2 4 3" xfId="5887"/>
    <cellStyle name="Normal 13 2 4 3 2" xfId="5888"/>
    <cellStyle name="Normal 13 2 4 3 3" xfId="10793"/>
    <cellStyle name="Normal 13 2 4 4" xfId="5889"/>
    <cellStyle name="Normal 13 2 4 4 2" xfId="5890"/>
    <cellStyle name="Normal 13 2 4 4 3" xfId="10794"/>
    <cellStyle name="Normal 13 2 4 5" xfId="5891"/>
    <cellStyle name="Normal 13 2 4 6" xfId="10795"/>
    <cellStyle name="Normal 13 2 5" xfId="1409"/>
    <cellStyle name="Normal 13 2 5 2" xfId="5893"/>
    <cellStyle name="Normal 13 2 5 2 2" xfId="5894"/>
    <cellStyle name="Normal 13 2 5 2 3" xfId="10796"/>
    <cellStyle name="Normal 13 2 5 3" xfId="5895"/>
    <cellStyle name="Normal 13 2 5 3 2" xfId="5896"/>
    <cellStyle name="Normal 13 2 5 3 3" xfId="10797"/>
    <cellStyle name="Normal 13 2 5 4" xfId="5897"/>
    <cellStyle name="Normal 13 2 5 5" xfId="10798"/>
    <cellStyle name="Normal 13 2 5 6" xfId="5892"/>
    <cellStyle name="Normal 13 2 6" xfId="5898"/>
    <cellStyle name="Normal 13 2 6 2" xfId="5899"/>
    <cellStyle name="Normal 13 2 6 3" xfId="10799"/>
    <cellStyle name="Normal 13 2 7" xfId="5900"/>
    <cellStyle name="Normal 13 2 7 2" xfId="5901"/>
    <cellStyle name="Normal 13 2 7 3" xfId="10800"/>
    <cellStyle name="Normal 13 2 8" xfId="5902"/>
    <cellStyle name="Normal 13 2 9" xfId="10801"/>
    <cellStyle name="Normal 13 3" xfId="459"/>
    <cellStyle name="Normal 13 3 2" xfId="460"/>
    <cellStyle name="Normal 13 3 2 2" xfId="972"/>
    <cellStyle name="Normal 13 3 2 2 2" xfId="5903"/>
    <cellStyle name="Normal 13 3 2 2 2 2" xfId="5904"/>
    <cellStyle name="Normal 13 3 2 2 2 2 2" xfId="5905"/>
    <cellStyle name="Normal 13 3 2 2 2 2 3" xfId="10802"/>
    <cellStyle name="Normal 13 3 2 2 2 3" xfId="5906"/>
    <cellStyle name="Normal 13 3 2 2 2 3 2" xfId="5907"/>
    <cellStyle name="Normal 13 3 2 2 2 3 3" xfId="10803"/>
    <cellStyle name="Normal 13 3 2 2 2 4" xfId="5908"/>
    <cellStyle name="Normal 13 3 2 2 2 5" xfId="10804"/>
    <cellStyle name="Normal 13 3 2 2 3" xfId="5909"/>
    <cellStyle name="Normal 13 3 2 2 3 2" xfId="5910"/>
    <cellStyle name="Normal 13 3 2 2 3 3" xfId="10805"/>
    <cellStyle name="Normal 13 3 2 2 4" xfId="5911"/>
    <cellStyle name="Normal 13 3 2 2 4 2" xfId="5912"/>
    <cellStyle name="Normal 13 3 2 2 4 3" xfId="10806"/>
    <cellStyle name="Normal 13 3 2 2 5" xfId="5913"/>
    <cellStyle name="Normal 13 3 2 2 6" xfId="10807"/>
    <cellStyle name="Normal 13 3 2 3" xfId="5914"/>
    <cellStyle name="Normal 13 3 2 3 2" xfId="5915"/>
    <cellStyle name="Normal 13 3 2 3 2 2" xfId="5916"/>
    <cellStyle name="Normal 13 3 2 3 2 3" xfId="10808"/>
    <cellStyle name="Normal 13 3 2 3 3" xfId="5917"/>
    <cellStyle name="Normal 13 3 2 3 3 2" xfId="5918"/>
    <cellStyle name="Normal 13 3 2 3 3 3" xfId="10809"/>
    <cellStyle name="Normal 13 3 2 3 4" xfId="5919"/>
    <cellStyle name="Normal 13 3 2 3 5" xfId="10810"/>
    <cellStyle name="Normal 13 3 2 4" xfId="5920"/>
    <cellStyle name="Normal 13 3 2 4 2" xfId="5921"/>
    <cellStyle name="Normal 13 3 2 4 3" xfId="10811"/>
    <cellStyle name="Normal 13 3 2 5" xfId="5922"/>
    <cellStyle name="Normal 13 3 2 5 2" xfId="5923"/>
    <cellStyle name="Normal 13 3 2 5 3" xfId="10812"/>
    <cellStyle name="Normal 13 3 2 6" xfId="5924"/>
    <cellStyle name="Normal 13 3 2 7" xfId="10813"/>
    <cellStyle name="Normal 13 3 3" xfId="2018"/>
    <cellStyle name="Normal 13 3 3 2" xfId="5925"/>
    <cellStyle name="Normal 13 3 3 2 2" xfId="5926"/>
    <cellStyle name="Normal 13 3 3 2 2 2" xfId="5927"/>
    <cellStyle name="Normal 13 3 3 2 2 3" xfId="10814"/>
    <cellStyle name="Normal 13 3 3 2 3" xfId="5928"/>
    <cellStyle name="Normal 13 3 3 2 3 2" xfId="5929"/>
    <cellStyle name="Normal 13 3 3 2 3 3" xfId="10815"/>
    <cellStyle name="Normal 13 3 3 2 4" xfId="5930"/>
    <cellStyle name="Normal 13 3 3 2 5" xfId="10816"/>
    <cellStyle name="Normal 13 3 3 3" xfId="5931"/>
    <cellStyle name="Normal 13 3 3 3 2" xfId="5932"/>
    <cellStyle name="Normal 13 3 3 3 3" xfId="10817"/>
    <cellStyle name="Normal 13 3 3 4" xfId="5933"/>
    <cellStyle name="Normal 13 3 3 4 2" xfId="5934"/>
    <cellStyle name="Normal 13 3 3 4 3" xfId="10818"/>
    <cellStyle name="Normal 13 3 3 5" xfId="5935"/>
    <cellStyle name="Normal 13 3 3 6" xfId="10819"/>
    <cellStyle name="Normal 13 3 4" xfId="1410"/>
    <cellStyle name="Normal 13 3 4 2" xfId="5937"/>
    <cellStyle name="Normal 13 3 4 2 2" xfId="5938"/>
    <cellStyle name="Normal 13 3 4 2 3" xfId="10820"/>
    <cellStyle name="Normal 13 3 4 3" xfId="5939"/>
    <cellStyle name="Normal 13 3 4 3 2" xfId="5940"/>
    <cellStyle name="Normal 13 3 4 3 3" xfId="10821"/>
    <cellStyle name="Normal 13 3 4 4" xfId="5941"/>
    <cellStyle name="Normal 13 3 4 5" xfId="10822"/>
    <cellStyle name="Normal 13 3 4 6" xfId="5936"/>
    <cellStyle name="Normal 13 3 5" xfId="5942"/>
    <cellStyle name="Normal 13 3 5 2" xfId="5943"/>
    <cellStyle name="Normal 13 3 5 3" xfId="10823"/>
    <cellStyle name="Normal 13 3 6" xfId="5944"/>
    <cellStyle name="Normal 13 3 6 2" xfId="5945"/>
    <cellStyle name="Normal 13 3 6 3" xfId="10824"/>
    <cellStyle name="Normal 13 3 7" xfId="5946"/>
    <cellStyle name="Normal 13 3 8" xfId="10825"/>
    <cellStyle name="Normal 13 4" xfId="461"/>
    <cellStyle name="Normal 13 4 2" xfId="973"/>
    <cellStyle name="Normal 13 4 2 2" xfId="3306"/>
    <cellStyle name="Normal 13 4 2 2 2" xfId="5947"/>
    <cellStyle name="Normal 13 4 2 2 2 2" xfId="5948"/>
    <cellStyle name="Normal 13 4 2 2 2 2 2" xfId="5949"/>
    <cellStyle name="Normal 13 4 2 2 2 2 3" xfId="10826"/>
    <cellStyle name="Normal 13 4 2 2 2 3" xfId="5950"/>
    <cellStyle name="Normal 13 4 2 2 2 3 2" xfId="5951"/>
    <cellStyle name="Normal 13 4 2 2 2 3 3" xfId="10827"/>
    <cellStyle name="Normal 13 4 2 2 2 4" xfId="5952"/>
    <cellStyle name="Normal 13 4 2 2 2 5" xfId="10828"/>
    <cellStyle name="Normal 13 4 2 2 3" xfId="5953"/>
    <cellStyle name="Normal 13 4 2 2 3 2" xfId="5954"/>
    <cellStyle name="Normal 13 4 2 2 3 3" xfId="10829"/>
    <cellStyle name="Normal 13 4 2 2 4" xfId="5955"/>
    <cellStyle name="Normal 13 4 2 2 4 2" xfId="5956"/>
    <cellStyle name="Normal 13 4 2 2 4 3" xfId="10830"/>
    <cellStyle name="Normal 13 4 2 2 5" xfId="5957"/>
    <cellStyle name="Normal 13 4 2 2 6" xfId="10831"/>
    <cellStyle name="Normal 13 4 2 3" xfId="5958"/>
    <cellStyle name="Normal 13 4 2 3 2" xfId="5959"/>
    <cellStyle name="Normal 13 4 2 3 2 2" xfId="5960"/>
    <cellStyle name="Normal 13 4 2 3 2 3" xfId="10832"/>
    <cellStyle name="Normal 13 4 2 3 3" xfId="5961"/>
    <cellStyle name="Normal 13 4 2 3 3 2" xfId="5962"/>
    <cellStyle name="Normal 13 4 2 3 3 3" xfId="10833"/>
    <cellStyle name="Normal 13 4 2 3 4" xfId="5963"/>
    <cellStyle name="Normal 13 4 2 3 5" xfId="10834"/>
    <cellStyle name="Normal 13 4 2 4" xfId="5964"/>
    <cellStyle name="Normal 13 4 2 4 2" xfId="5965"/>
    <cellStyle name="Normal 13 4 2 4 3" xfId="10835"/>
    <cellStyle name="Normal 13 4 2 5" xfId="5966"/>
    <cellStyle name="Normal 13 4 2 5 2" xfId="5967"/>
    <cellStyle name="Normal 13 4 2 5 3" xfId="10836"/>
    <cellStyle name="Normal 13 4 2 6" xfId="5968"/>
    <cellStyle name="Normal 13 4 2 7" xfId="10837"/>
    <cellStyle name="Normal 13 4 3" xfId="1411"/>
    <cellStyle name="Normal 13 4 3 2" xfId="5969"/>
    <cellStyle name="Normal 13 4 3 2 2" xfId="5970"/>
    <cellStyle name="Normal 13 4 3 2 2 2" xfId="5971"/>
    <cellStyle name="Normal 13 4 3 2 2 3" xfId="10838"/>
    <cellStyle name="Normal 13 4 3 2 3" xfId="5972"/>
    <cellStyle name="Normal 13 4 3 2 3 2" xfId="5973"/>
    <cellStyle name="Normal 13 4 3 2 3 3" xfId="10839"/>
    <cellStyle name="Normal 13 4 3 2 4" xfId="5974"/>
    <cellStyle name="Normal 13 4 3 2 5" xfId="10840"/>
    <cellStyle name="Normal 13 4 3 3" xfId="5975"/>
    <cellStyle name="Normal 13 4 3 3 2" xfId="5976"/>
    <cellStyle name="Normal 13 4 3 3 3" xfId="10841"/>
    <cellStyle name="Normal 13 4 3 4" xfId="5977"/>
    <cellStyle name="Normal 13 4 3 4 2" xfId="5978"/>
    <cellStyle name="Normal 13 4 3 4 3" xfId="10842"/>
    <cellStyle name="Normal 13 4 3 5" xfId="5979"/>
    <cellStyle name="Normal 13 4 3 6" xfId="10843"/>
    <cellStyle name="Normal 13 4 3 7" xfId="3307"/>
    <cellStyle name="Normal 13 4 4" xfId="5980"/>
    <cellStyle name="Normal 13 4 4 2" xfId="5981"/>
    <cellStyle name="Normal 13 4 4 2 2" xfId="5982"/>
    <cellStyle name="Normal 13 4 4 2 3" xfId="10844"/>
    <cellStyle name="Normal 13 4 4 3" xfId="5983"/>
    <cellStyle name="Normal 13 4 4 3 2" xfId="5984"/>
    <cellStyle name="Normal 13 4 4 3 3" xfId="10845"/>
    <cellStyle name="Normal 13 4 4 4" xfId="5985"/>
    <cellStyle name="Normal 13 4 4 5" xfId="10846"/>
    <cellStyle name="Normal 13 4 5" xfId="5986"/>
    <cellStyle name="Normal 13 4 5 2" xfId="5987"/>
    <cellStyle name="Normal 13 4 5 3" xfId="10847"/>
    <cellStyle name="Normal 13 4 6" xfId="5988"/>
    <cellStyle name="Normal 13 4 6 2" xfId="5989"/>
    <cellStyle name="Normal 13 4 6 3" xfId="10848"/>
    <cellStyle name="Normal 13 4 7" xfId="5990"/>
    <cellStyle name="Normal 13 4 8" xfId="10849"/>
    <cellStyle name="Normal 13 5" xfId="462"/>
    <cellStyle name="Normal 13 5 2" xfId="974"/>
    <cellStyle name="Normal 13 5 2 2" xfId="5991"/>
    <cellStyle name="Normal 13 5 2 2 2" xfId="5992"/>
    <cellStyle name="Normal 13 5 2 2 2 2" xfId="5993"/>
    <cellStyle name="Normal 13 5 2 2 2 3" xfId="10850"/>
    <cellStyle name="Normal 13 5 2 2 3" xfId="5994"/>
    <cellStyle name="Normal 13 5 2 2 3 2" xfId="5995"/>
    <cellStyle name="Normal 13 5 2 2 3 3" xfId="10851"/>
    <cellStyle name="Normal 13 5 2 2 4" xfId="5996"/>
    <cellStyle name="Normal 13 5 2 2 5" xfId="10852"/>
    <cellStyle name="Normal 13 5 2 3" xfId="5997"/>
    <cellStyle name="Normal 13 5 2 3 2" xfId="5998"/>
    <cellStyle name="Normal 13 5 2 3 3" xfId="10853"/>
    <cellStyle name="Normal 13 5 2 4" xfId="5999"/>
    <cellStyle name="Normal 13 5 2 4 2" xfId="6000"/>
    <cellStyle name="Normal 13 5 2 4 3" xfId="10854"/>
    <cellStyle name="Normal 13 5 2 5" xfId="6001"/>
    <cellStyle name="Normal 13 5 2 6" xfId="10855"/>
    <cellStyle name="Normal 13 5 3" xfId="6002"/>
    <cellStyle name="Normal 13 5 3 2" xfId="6003"/>
    <cellStyle name="Normal 13 5 3 2 2" xfId="6004"/>
    <cellStyle name="Normal 13 5 3 2 3" xfId="10856"/>
    <cellStyle name="Normal 13 5 3 3" xfId="6005"/>
    <cellStyle name="Normal 13 5 3 3 2" xfId="6006"/>
    <cellStyle name="Normal 13 5 3 3 3" xfId="10857"/>
    <cellStyle name="Normal 13 5 3 4" xfId="6007"/>
    <cellStyle name="Normal 13 5 3 5" xfId="10858"/>
    <cellStyle name="Normal 13 5 4" xfId="6008"/>
    <cellStyle name="Normal 13 5 4 2" xfId="6009"/>
    <cellStyle name="Normal 13 5 4 3" xfId="10859"/>
    <cellStyle name="Normal 13 5 5" xfId="6010"/>
    <cellStyle name="Normal 13 5 5 2" xfId="6011"/>
    <cellStyle name="Normal 13 5 5 3" xfId="10860"/>
    <cellStyle name="Normal 13 5 6" xfId="6012"/>
    <cellStyle name="Normal 13 5 7" xfId="10861"/>
    <cellStyle name="Normal 13 6" xfId="463"/>
    <cellStyle name="Normal 13 6 2" xfId="2019"/>
    <cellStyle name="Normal 13 6 2 2" xfId="6014"/>
    <cellStyle name="Normal 13 6 2 2 2" xfId="6015"/>
    <cellStyle name="Normal 13 6 2 2 3" xfId="10862"/>
    <cellStyle name="Normal 13 6 2 3" xfId="6016"/>
    <cellStyle name="Normal 13 6 2 3 2" xfId="6017"/>
    <cellStyle name="Normal 13 6 2 3 3" xfId="10863"/>
    <cellStyle name="Normal 13 6 2 4" xfId="6018"/>
    <cellStyle name="Normal 13 6 2 5" xfId="10864"/>
    <cellStyle name="Normal 13 6 2 6" xfId="6013"/>
    <cellStyle name="Normal 13 6 3" xfId="6019"/>
    <cellStyle name="Normal 13 6 3 2" xfId="6020"/>
    <cellStyle name="Normal 13 6 3 3" xfId="10865"/>
    <cellStyle name="Normal 13 6 4" xfId="6021"/>
    <cellStyle name="Normal 13 6 4 2" xfId="6022"/>
    <cellStyle name="Normal 13 6 4 3" xfId="10866"/>
    <cellStyle name="Normal 13 6 5" xfId="6023"/>
    <cellStyle name="Normal 13 6 6" xfId="10867"/>
    <cellStyle name="Normal 13 7" xfId="464"/>
    <cellStyle name="Normal 13 7 2" xfId="2020"/>
    <cellStyle name="Normal 13 7 2 2" xfId="6025"/>
    <cellStyle name="Normal 13 7 2 3" xfId="10868"/>
    <cellStyle name="Normal 13 7 2 4" xfId="6024"/>
    <cellStyle name="Normal 13 7 3" xfId="6026"/>
    <cellStyle name="Normal 13 7 3 2" xfId="6027"/>
    <cellStyle name="Normal 13 7 3 3" xfId="10869"/>
    <cellStyle name="Normal 13 7 4" xfId="6028"/>
    <cellStyle name="Normal 13 7 5" xfId="10870"/>
    <cellStyle name="Normal 13 8" xfId="456"/>
    <cellStyle name="Normal 13 8 2" xfId="6029"/>
    <cellStyle name="Normal 13 8 3" xfId="10871"/>
    <cellStyle name="Normal 13 8 4" xfId="3308"/>
    <cellStyle name="Normal 13 9" xfId="1408"/>
    <cellStyle name="Normal 13 9 2" xfId="6031"/>
    <cellStyle name="Normal 13 9 3" xfId="10872"/>
    <cellStyle name="Normal 13 9 4" xfId="6030"/>
    <cellStyle name="Normal 13_2112 2148 Reg Labor" xfId="465"/>
    <cellStyle name="Normal 130" xfId="1318"/>
    <cellStyle name="Normal 130 2" xfId="2021"/>
    <cellStyle name="Normal 130 3" xfId="13776"/>
    <cellStyle name="Normal 131" xfId="1319"/>
    <cellStyle name="Normal 131 2" xfId="13777"/>
    <cellStyle name="Normal 132" xfId="1320"/>
    <cellStyle name="Normal 132 2" xfId="13778"/>
    <cellStyle name="Normal 133" xfId="1321"/>
    <cellStyle name="Normal 133 2" xfId="13779"/>
    <cellStyle name="Normal 134" xfId="1322"/>
    <cellStyle name="Normal 134 2" xfId="13780"/>
    <cellStyle name="Normal 135" xfId="1323"/>
    <cellStyle name="Normal 135 2" xfId="13781"/>
    <cellStyle name="Normal 136" xfId="13782"/>
    <cellStyle name="Normal 137" xfId="13783"/>
    <cellStyle name="Normal 138" xfId="13784"/>
    <cellStyle name="Normal 139" xfId="13785"/>
    <cellStyle name="Normal 14" xfId="33"/>
    <cellStyle name="Normal 14 10" xfId="9336"/>
    <cellStyle name="Normal 14 11" xfId="21493"/>
    <cellStyle name="Normal 14 2" xfId="212"/>
    <cellStyle name="Normal 14 2 2" xfId="467"/>
    <cellStyle name="Normal 14 2 2 2" xfId="975"/>
    <cellStyle name="Normal 14 2 2 2 2" xfId="2022"/>
    <cellStyle name="Normal 14 2 2 2 2 2" xfId="6033"/>
    <cellStyle name="Normal 14 2 2 2 2 2 2" xfId="6034"/>
    <cellStyle name="Normal 14 2 2 2 2 2 3" xfId="10873"/>
    <cellStyle name="Normal 14 2 2 2 2 3" xfId="6035"/>
    <cellStyle name="Normal 14 2 2 2 2 3 2" xfId="6036"/>
    <cellStyle name="Normal 14 2 2 2 2 3 3" xfId="10874"/>
    <cellStyle name="Normal 14 2 2 2 2 4" xfId="6037"/>
    <cellStyle name="Normal 14 2 2 2 2 5" xfId="10875"/>
    <cellStyle name="Normal 14 2 2 2 2 6" xfId="6032"/>
    <cellStyle name="Normal 14 2 2 2 3" xfId="6038"/>
    <cellStyle name="Normal 14 2 2 2 3 2" xfId="6039"/>
    <cellStyle name="Normal 14 2 2 2 3 3" xfId="10876"/>
    <cellStyle name="Normal 14 2 2 2 4" xfId="6040"/>
    <cellStyle name="Normal 14 2 2 2 4 2" xfId="6041"/>
    <cellStyle name="Normal 14 2 2 2 4 3" xfId="10877"/>
    <cellStyle name="Normal 14 2 2 2 5" xfId="6042"/>
    <cellStyle name="Normal 14 2 2 2 6" xfId="10878"/>
    <cellStyle name="Normal 14 2 2 3" xfId="6043"/>
    <cellStyle name="Normal 14 2 2 3 2" xfId="6044"/>
    <cellStyle name="Normal 14 2 2 3 2 2" xfId="6045"/>
    <cellStyle name="Normal 14 2 2 3 2 3" xfId="10879"/>
    <cellStyle name="Normal 14 2 2 3 3" xfId="6046"/>
    <cellStyle name="Normal 14 2 2 3 3 2" xfId="6047"/>
    <cellStyle name="Normal 14 2 2 3 3 3" xfId="10880"/>
    <cellStyle name="Normal 14 2 2 3 4" xfId="6048"/>
    <cellStyle name="Normal 14 2 2 3 5" xfId="10881"/>
    <cellStyle name="Normal 14 2 2 4" xfId="6049"/>
    <cellStyle name="Normal 14 2 2 4 2" xfId="6050"/>
    <cellStyle name="Normal 14 2 2 4 3" xfId="10882"/>
    <cellStyle name="Normal 14 2 2 5" xfId="6051"/>
    <cellStyle name="Normal 14 2 2 5 2" xfId="6052"/>
    <cellStyle name="Normal 14 2 2 5 3" xfId="10883"/>
    <cellStyle name="Normal 14 2 2 6" xfId="6053"/>
    <cellStyle name="Normal 14 2 2 7" xfId="10884"/>
    <cellStyle name="Normal 14 2 3" xfId="1324"/>
    <cellStyle name="Normal 14 2 3 2" xfId="2023"/>
    <cellStyle name="Normal 14 2 3 2 2" xfId="6054"/>
    <cellStyle name="Normal 14 2 3 2 2 2" xfId="6055"/>
    <cellStyle name="Normal 14 2 3 2 2 3" xfId="10885"/>
    <cellStyle name="Normal 14 2 3 2 3" xfId="6056"/>
    <cellStyle name="Normal 14 2 3 2 3 2" xfId="6057"/>
    <cellStyle name="Normal 14 2 3 2 3 3" xfId="10886"/>
    <cellStyle name="Normal 14 2 3 2 4" xfId="6058"/>
    <cellStyle name="Normal 14 2 3 2 5" xfId="10887"/>
    <cellStyle name="Normal 14 2 3 3" xfId="6059"/>
    <cellStyle name="Normal 14 2 3 3 2" xfId="6060"/>
    <cellStyle name="Normal 14 2 3 3 3" xfId="10888"/>
    <cellStyle name="Normal 14 2 3 4" xfId="6061"/>
    <cellStyle name="Normal 14 2 3 4 2" xfId="6062"/>
    <cellStyle name="Normal 14 2 3 4 3" xfId="10889"/>
    <cellStyle name="Normal 14 2 3 5" xfId="6063"/>
    <cellStyle name="Normal 14 2 3 6" xfId="10890"/>
    <cellStyle name="Normal 14 2 4" xfId="6064"/>
    <cellStyle name="Normal 14 2 4 2" xfId="6065"/>
    <cellStyle name="Normal 14 2 4 2 2" xfId="6066"/>
    <cellStyle name="Normal 14 2 4 2 3" xfId="10891"/>
    <cellStyle name="Normal 14 2 4 3" xfId="6067"/>
    <cellStyle name="Normal 14 2 4 3 2" xfId="6068"/>
    <cellStyle name="Normal 14 2 4 3 3" xfId="10892"/>
    <cellStyle name="Normal 14 2 4 4" xfId="6069"/>
    <cellStyle name="Normal 14 2 4 5" xfId="10893"/>
    <cellStyle name="Normal 14 2 5" xfId="6070"/>
    <cellStyle name="Normal 14 2 5 2" xfId="6071"/>
    <cellStyle name="Normal 14 2 5 3" xfId="10894"/>
    <cellStyle name="Normal 14 2 6" xfId="6072"/>
    <cellStyle name="Normal 14 2 6 2" xfId="6073"/>
    <cellStyle name="Normal 14 2 6 3" xfId="10895"/>
    <cellStyle name="Normal 14 2 7" xfId="6074"/>
    <cellStyle name="Normal 14 2 8" xfId="10896"/>
    <cellStyle name="Normal 14 3" xfId="468"/>
    <cellStyle name="Normal 14 3 2" xfId="469"/>
    <cellStyle name="Normal 14 3 2 2" xfId="3309"/>
    <cellStyle name="Normal 14 3 2 2 2" xfId="6075"/>
    <cellStyle name="Normal 14 3 2 2 2 2" xfId="6076"/>
    <cellStyle name="Normal 14 3 2 2 2 2 2" xfId="6077"/>
    <cellStyle name="Normal 14 3 2 2 2 2 3" xfId="10897"/>
    <cellStyle name="Normal 14 3 2 2 2 3" xfId="6078"/>
    <cellStyle name="Normal 14 3 2 2 2 3 2" xfId="6079"/>
    <cellStyle name="Normal 14 3 2 2 2 3 3" xfId="10898"/>
    <cellStyle name="Normal 14 3 2 2 2 4" xfId="6080"/>
    <cellStyle name="Normal 14 3 2 2 2 5" xfId="10899"/>
    <cellStyle name="Normal 14 3 2 2 3" xfId="6081"/>
    <cellStyle name="Normal 14 3 2 2 3 2" xfId="6082"/>
    <cellStyle name="Normal 14 3 2 2 3 3" xfId="10900"/>
    <cellStyle name="Normal 14 3 2 2 4" xfId="6083"/>
    <cellStyle name="Normal 14 3 2 2 4 2" xfId="6084"/>
    <cellStyle name="Normal 14 3 2 2 4 3" xfId="10901"/>
    <cellStyle name="Normal 14 3 2 2 5" xfId="6085"/>
    <cellStyle name="Normal 14 3 2 2 6" xfId="10902"/>
    <cellStyle name="Normal 14 3 2 3" xfId="6086"/>
    <cellStyle name="Normal 14 3 2 3 2" xfId="6087"/>
    <cellStyle name="Normal 14 3 2 3 2 2" xfId="6088"/>
    <cellStyle name="Normal 14 3 2 3 2 3" xfId="10903"/>
    <cellStyle name="Normal 14 3 2 3 3" xfId="6089"/>
    <cellStyle name="Normal 14 3 2 3 3 2" xfId="6090"/>
    <cellStyle name="Normal 14 3 2 3 3 3" xfId="10904"/>
    <cellStyle name="Normal 14 3 2 3 4" xfId="6091"/>
    <cellStyle name="Normal 14 3 2 3 5" xfId="10905"/>
    <cellStyle name="Normal 14 3 2 4" xfId="6092"/>
    <cellStyle name="Normal 14 3 2 4 2" xfId="6093"/>
    <cellStyle name="Normal 14 3 2 4 3" xfId="10906"/>
    <cellStyle name="Normal 14 3 2 5" xfId="6094"/>
    <cellStyle name="Normal 14 3 2 5 2" xfId="6095"/>
    <cellStyle name="Normal 14 3 2 5 3" xfId="10907"/>
    <cellStyle name="Normal 14 3 2 6" xfId="6096"/>
    <cellStyle name="Normal 14 3 2 7" xfId="10908"/>
    <cellStyle name="Normal 14 3 3" xfId="976"/>
    <cellStyle name="Normal 14 3 3 2" xfId="6097"/>
    <cellStyle name="Normal 14 3 3 2 2" xfId="6098"/>
    <cellStyle name="Normal 14 3 3 2 2 2" xfId="6099"/>
    <cellStyle name="Normal 14 3 3 2 2 3" xfId="10909"/>
    <cellStyle name="Normal 14 3 3 2 3" xfId="6100"/>
    <cellStyle name="Normal 14 3 3 2 3 2" xfId="6101"/>
    <cellStyle name="Normal 14 3 3 2 3 3" xfId="10910"/>
    <cellStyle name="Normal 14 3 3 2 4" xfId="6102"/>
    <cellStyle name="Normal 14 3 3 2 5" xfId="10911"/>
    <cellStyle name="Normal 14 3 3 3" xfId="6103"/>
    <cellStyle name="Normal 14 3 3 3 2" xfId="6104"/>
    <cellStyle name="Normal 14 3 3 3 3" xfId="10912"/>
    <cellStyle name="Normal 14 3 3 4" xfId="6105"/>
    <cellStyle name="Normal 14 3 3 4 2" xfId="6106"/>
    <cellStyle name="Normal 14 3 3 4 3" xfId="10913"/>
    <cellStyle name="Normal 14 3 3 5" xfId="6107"/>
    <cellStyle name="Normal 14 3 3 6" xfId="10914"/>
    <cellStyle name="Normal 14 3 4" xfId="6108"/>
    <cellStyle name="Normal 14 3 4 2" xfId="6109"/>
    <cellStyle name="Normal 14 3 4 2 2" xfId="6110"/>
    <cellStyle name="Normal 14 3 4 2 3" xfId="10915"/>
    <cellStyle name="Normal 14 3 4 3" xfId="6111"/>
    <cellStyle name="Normal 14 3 4 3 2" xfId="6112"/>
    <cellStyle name="Normal 14 3 4 3 3" xfId="10916"/>
    <cellStyle name="Normal 14 3 4 4" xfId="6113"/>
    <cellStyle name="Normal 14 3 4 5" xfId="10917"/>
    <cellStyle name="Normal 14 3 5" xfId="6114"/>
    <cellStyle name="Normal 14 3 5 2" xfId="6115"/>
    <cellStyle name="Normal 14 3 5 3" xfId="10918"/>
    <cellStyle name="Normal 14 3 6" xfId="6116"/>
    <cellStyle name="Normal 14 3 6 2" xfId="6117"/>
    <cellStyle name="Normal 14 3 6 3" xfId="10919"/>
    <cellStyle name="Normal 14 3 7" xfId="6118"/>
    <cellStyle name="Normal 14 3 8" xfId="10920"/>
    <cellStyle name="Normal 14 4" xfId="470"/>
    <cellStyle name="Normal 14 4 2" xfId="1412"/>
    <cellStyle name="Normal 14 4 2 2" xfId="6119"/>
    <cellStyle name="Normal 14 4 2 2 2" xfId="6120"/>
    <cellStyle name="Normal 14 4 2 2 2 2" xfId="6121"/>
    <cellStyle name="Normal 14 4 2 2 2 3" xfId="10921"/>
    <cellStyle name="Normal 14 4 2 2 3" xfId="6122"/>
    <cellStyle name="Normal 14 4 2 2 3 2" xfId="6123"/>
    <cellStyle name="Normal 14 4 2 2 3 3" xfId="10922"/>
    <cellStyle name="Normal 14 4 2 2 4" xfId="6124"/>
    <cellStyle name="Normal 14 4 2 2 5" xfId="10923"/>
    <cellStyle name="Normal 14 4 2 3" xfId="6125"/>
    <cellStyle name="Normal 14 4 2 3 2" xfId="6126"/>
    <cellStyle name="Normal 14 4 2 3 3" xfId="10924"/>
    <cellStyle name="Normal 14 4 2 4" xfId="6127"/>
    <cellStyle name="Normal 14 4 2 4 2" xfId="6128"/>
    <cellStyle name="Normal 14 4 2 4 3" xfId="10925"/>
    <cellStyle name="Normal 14 4 2 5" xfId="6129"/>
    <cellStyle name="Normal 14 4 2 6" xfId="10926"/>
    <cellStyle name="Normal 14 4 2 7" xfId="3310"/>
    <cellStyle name="Normal 14 4 3" xfId="6130"/>
    <cellStyle name="Normal 14 4 3 2" xfId="6131"/>
    <cellStyle name="Normal 14 4 3 2 2" xfId="6132"/>
    <cellStyle name="Normal 14 4 3 2 3" xfId="10927"/>
    <cellStyle name="Normal 14 4 3 3" xfId="6133"/>
    <cellStyle name="Normal 14 4 3 3 2" xfId="6134"/>
    <cellStyle name="Normal 14 4 3 3 3" xfId="10928"/>
    <cellStyle name="Normal 14 4 3 4" xfId="6135"/>
    <cellStyle name="Normal 14 4 3 5" xfId="10929"/>
    <cellStyle name="Normal 14 4 4" xfId="6136"/>
    <cellStyle name="Normal 14 4 4 2" xfId="6137"/>
    <cellStyle name="Normal 14 4 4 3" xfId="10930"/>
    <cellStyle name="Normal 14 4 5" xfId="6138"/>
    <cellStyle name="Normal 14 4 5 2" xfId="6139"/>
    <cellStyle name="Normal 14 4 5 3" xfId="10931"/>
    <cellStyle name="Normal 14 4 6" xfId="6140"/>
    <cellStyle name="Normal 14 4 7" xfId="10932"/>
    <cellStyle name="Normal 14 5" xfId="471"/>
    <cellStyle name="Normal 14 5 2" xfId="2024"/>
    <cellStyle name="Normal 14 5 2 2" xfId="6142"/>
    <cellStyle name="Normal 14 5 2 2 2" xfId="6143"/>
    <cellStyle name="Normal 14 5 2 2 3" xfId="10933"/>
    <cellStyle name="Normal 14 5 2 3" xfId="6144"/>
    <cellStyle name="Normal 14 5 2 3 2" xfId="6145"/>
    <cellStyle name="Normal 14 5 2 3 3" xfId="10934"/>
    <cellStyle name="Normal 14 5 2 4" xfId="6146"/>
    <cellStyle name="Normal 14 5 2 5" xfId="10935"/>
    <cellStyle name="Normal 14 5 2 6" xfId="6141"/>
    <cellStyle name="Normal 14 5 3" xfId="6147"/>
    <cellStyle name="Normal 14 5 3 2" xfId="6148"/>
    <cellStyle name="Normal 14 5 3 3" xfId="10936"/>
    <cellStyle name="Normal 14 5 4" xfId="6149"/>
    <cellStyle name="Normal 14 5 4 2" xfId="6150"/>
    <cellStyle name="Normal 14 5 4 3" xfId="10937"/>
    <cellStyle name="Normal 14 5 5" xfId="6151"/>
    <cellStyle name="Normal 14 5 6" xfId="10938"/>
    <cellStyle name="Normal 14 6" xfId="472"/>
    <cellStyle name="Normal 14 6 2" xfId="6152"/>
    <cellStyle name="Normal 14 6 2 2" xfId="6153"/>
    <cellStyle name="Normal 14 6 2 3" xfId="10939"/>
    <cellStyle name="Normal 14 6 3" xfId="6154"/>
    <cellStyle name="Normal 14 6 3 2" xfId="6155"/>
    <cellStyle name="Normal 14 6 3 3" xfId="10940"/>
    <cellStyle name="Normal 14 6 4" xfId="6156"/>
    <cellStyle name="Normal 14 6 5" xfId="10941"/>
    <cellStyle name="Normal 14 7" xfId="466"/>
    <cellStyle name="Normal 14 7 2" xfId="6158"/>
    <cellStyle name="Normal 14 7 3" xfId="10942"/>
    <cellStyle name="Normal 14 7 4" xfId="6157"/>
    <cellStyle name="Normal 14 8" xfId="6159"/>
    <cellStyle name="Normal 14 8 2" xfId="6160"/>
    <cellStyle name="Normal 14 8 3" xfId="10943"/>
    <cellStyle name="Normal 14 9" xfId="6161"/>
    <cellStyle name="Normal 14_2112 2148 Reg Labor" xfId="473"/>
    <cellStyle name="Normal 140" xfId="13786"/>
    <cellStyle name="Normal 141" xfId="13787"/>
    <cellStyle name="Normal 142" xfId="13788"/>
    <cellStyle name="Normal 143" xfId="21484"/>
    <cellStyle name="Normal 15" xfId="34"/>
    <cellStyle name="Normal 15 2" xfId="475"/>
    <cellStyle name="Normal 15 2 2" xfId="1325"/>
    <cellStyle name="Normal 15 2 2 2" xfId="2026"/>
    <cellStyle name="Normal 15 2 2 3" xfId="2025"/>
    <cellStyle name="Normal 15 2 3" xfId="2027"/>
    <cellStyle name="Normal 15 2 4" xfId="1414"/>
    <cellStyle name="Normal 15 3" xfId="476"/>
    <cellStyle name="Normal 15 3 2" xfId="477"/>
    <cellStyle name="Normal 15 3 2 2" xfId="2028"/>
    <cellStyle name="Normal 15 3 3" xfId="1415"/>
    <cellStyle name="Normal 15 3 3 2" xfId="12775"/>
    <cellStyle name="Normal 15 4" xfId="478"/>
    <cellStyle name="Normal 15 4 2" xfId="479"/>
    <cellStyle name="Normal 15 5" xfId="480"/>
    <cellStyle name="Normal 15 5 2" xfId="2029"/>
    <cellStyle name="Normal 15 6" xfId="481"/>
    <cellStyle name="Normal 15 6 2" xfId="13789"/>
    <cellStyle name="Normal 15 7" xfId="482"/>
    <cellStyle name="Normal 15 8" xfId="474"/>
    <cellStyle name="Normal 15 9" xfId="1413"/>
    <cellStyle name="Normal 15_2112 2148 Reg Labor" xfId="483"/>
    <cellStyle name="Normal 16" xfId="115"/>
    <cellStyle name="Normal 16 10" xfId="10944"/>
    <cellStyle name="Normal 16 2" xfId="485"/>
    <cellStyle name="Normal 16 2 2" xfId="1326"/>
    <cellStyle name="Normal 16 2 2 2" xfId="2031"/>
    <cellStyle name="Normal 16 2 2 3" xfId="2030"/>
    <cellStyle name="Normal 16 2 3" xfId="2032"/>
    <cellStyle name="Normal 16 2 4" xfId="1416"/>
    <cellStyle name="Normal 16 3" xfId="486"/>
    <cellStyle name="Normal 16 3 2" xfId="487"/>
    <cellStyle name="Normal 16 3 2 2" xfId="2034"/>
    <cellStyle name="Normal 16 3 2 2 2" xfId="6162"/>
    <cellStyle name="Normal 16 3 2 2 2 2" xfId="6163"/>
    <cellStyle name="Normal 16 3 2 2 2 2 2" xfId="6164"/>
    <cellStyle name="Normal 16 3 2 2 2 2 3" xfId="10945"/>
    <cellStyle name="Normal 16 3 2 2 2 3" xfId="6165"/>
    <cellStyle name="Normal 16 3 2 2 2 3 2" xfId="6166"/>
    <cellStyle name="Normal 16 3 2 2 2 3 3" xfId="10946"/>
    <cellStyle name="Normal 16 3 2 2 2 4" xfId="6167"/>
    <cellStyle name="Normal 16 3 2 2 2 5" xfId="10947"/>
    <cellStyle name="Normal 16 3 2 2 3" xfId="6168"/>
    <cellStyle name="Normal 16 3 2 2 3 2" xfId="6169"/>
    <cellStyle name="Normal 16 3 2 2 3 3" xfId="10948"/>
    <cellStyle name="Normal 16 3 2 2 4" xfId="6170"/>
    <cellStyle name="Normal 16 3 2 2 4 2" xfId="6171"/>
    <cellStyle name="Normal 16 3 2 2 4 3" xfId="10949"/>
    <cellStyle name="Normal 16 3 2 2 5" xfId="6172"/>
    <cellStyle name="Normal 16 3 2 2 6" xfId="10950"/>
    <cellStyle name="Normal 16 3 2 3" xfId="2033"/>
    <cellStyle name="Normal 16 3 2 3 2" xfId="6173"/>
    <cellStyle name="Normal 16 3 2 3 2 2" xfId="6174"/>
    <cellStyle name="Normal 16 3 2 3 2 3" xfId="10951"/>
    <cellStyle name="Normal 16 3 2 3 3" xfId="6175"/>
    <cellStyle name="Normal 16 3 2 3 3 2" xfId="6176"/>
    <cellStyle name="Normal 16 3 2 3 3 3" xfId="10952"/>
    <cellStyle name="Normal 16 3 2 3 4" xfId="6177"/>
    <cellStyle name="Normal 16 3 2 3 5" xfId="10953"/>
    <cellStyle name="Normal 16 3 2 4" xfId="6178"/>
    <cellStyle name="Normal 16 3 2 4 2" xfId="6179"/>
    <cellStyle name="Normal 16 3 2 4 3" xfId="10954"/>
    <cellStyle name="Normal 16 3 2 5" xfId="6180"/>
    <cellStyle name="Normal 16 3 2 5 2" xfId="6181"/>
    <cellStyle name="Normal 16 3 2 5 3" xfId="10955"/>
    <cellStyle name="Normal 16 3 2 6" xfId="6182"/>
    <cellStyle name="Normal 16 3 2 7" xfId="10956"/>
    <cellStyle name="Normal 16 3 3" xfId="2035"/>
    <cellStyle name="Normal 16 3 3 2" xfId="6183"/>
    <cellStyle name="Normal 16 3 3 2 2" xfId="6184"/>
    <cellStyle name="Normal 16 3 3 2 2 2" xfId="6185"/>
    <cellStyle name="Normal 16 3 3 2 2 3" xfId="10957"/>
    <cellStyle name="Normal 16 3 3 2 3" xfId="6186"/>
    <cellStyle name="Normal 16 3 3 2 3 2" xfId="6187"/>
    <cellStyle name="Normal 16 3 3 2 3 3" xfId="10958"/>
    <cellStyle name="Normal 16 3 3 2 4" xfId="6188"/>
    <cellStyle name="Normal 16 3 3 2 5" xfId="10959"/>
    <cellStyle name="Normal 16 3 3 3" xfId="6189"/>
    <cellStyle name="Normal 16 3 3 3 2" xfId="6190"/>
    <cellStyle name="Normal 16 3 3 3 3" xfId="10960"/>
    <cellStyle name="Normal 16 3 3 4" xfId="6191"/>
    <cellStyle name="Normal 16 3 3 4 2" xfId="6192"/>
    <cellStyle name="Normal 16 3 3 4 3" xfId="10961"/>
    <cellStyle name="Normal 16 3 3 5" xfId="6193"/>
    <cellStyle name="Normal 16 3 3 6" xfId="10962"/>
    <cellStyle name="Normal 16 3 4" xfId="1417"/>
    <cellStyle name="Normal 16 3 4 2" xfId="6195"/>
    <cellStyle name="Normal 16 3 4 2 2" xfId="6196"/>
    <cellStyle name="Normal 16 3 4 2 3" xfId="10963"/>
    <cellStyle name="Normal 16 3 4 3" xfId="6197"/>
    <cellStyle name="Normal 16 3 4 3 2" xfId="6198"/>
    <cellStyle name="Normal 16 3 4 3 3" xfId="10964"/>
    <cellStyle name="Normal 16 3 4 4" xfId="6199"/>
    <cellStyle name="Normal 16 3 4 5" xfId="10965"/>
    <cellStyle name="Normal 16 3 4 6" xfId="6194"/>
    <cellStyle name="Normal 16 3 5" xfId="6200"/>
    <cellStyle name="Normal 16 3 5 2" xfId="6201"/>
    <cellStyle name="Normal 16 3 5 3" xfId="10966"/>
    <cellStyle name="Normal 16 3 6" xfId="6202"/>
    <cellStyle name="Normal 16 3 6 2" xfId="6203"/>
    <cellStyle name="Normal 16 3 6 3" xfId="10967"/>
    <cellStyle name="Normal 16 3 7" xfId="6204"/>
    <cellStyle name="Normal 16 3 8" xfId="10968"/>
    <cellStyle name="Normal 16 4" xfId="488"/>
    <cellStyle name="Normal 16 4 2" xfId="2037"/>
    <cellStyle name="Normal 16 4 2 2" xfId="6205"/>
    <cellStyle name="Normal 16 4 2 2 2" xfId="6206"/>
    <cellStyle name="Normal 16 4 2 2 2 2" xfId="6207"/>
    <cellStyle name="Normal 16 4 2 2 2 3" xfId="10969"/>
    <cellStyle name="Normal 16 4 2 2 3" xfId="6208"/>
    <cellStyle name="Normal 16 4 2 2 3 2" xfId="6209"/>
    <cellStyle name="Normal 16 4 2 2 3 3" xfId="10970"/>
    <cellStyle name="Normal 16 4 2 2 4" xfId="6210"/>
    <cellStyle name="Normal 16 4 2 2 5" xfId="10971"/>
    <cellStyle name="Normal 16 4 2 3" xfId="6211"/>
    <cellStyle name="Normal 16 4 2 3 2" xfId="6212"/>
    <cellStyle name="Normal 16 4 2 3 3" xfId="10972"/>
    <cellStyle name="Normal 16 4 2 4" xfId="6213"/>
    <cellStyle name="Normal 16 4 2 4 2" xfId="6214"/>
    <cellStyle name="Normal 16 4 2 4 3" xfId="10973"/>
    <cellStyle name="Normal 16 4 2 5" xfId="6215"/>
    <cellStyle name="Normal 16 4 2 6" xfId="10974"/>
    <cellStyle name="Normal 16 4 3" xfId="2036"/>
    <cellStyle name="Normal 16 4 3 2" xfId="6217"/>
    <cellStyle name="Normal 16 4 3 2 2" xfId="6218"/>
    <cellStyle name="Normal 16 4 3 2 3" xfId="10975"/>
    <cellStyle name="Normal 16 4 3 3" xfId="6219"/>
    <cellStyle name="Normal 16 4 3 3 2" xfId="6220"/>
    <cellStyle name="Normal 16 4 3 3 3" xfId="10976"/>
    <cellStyle name="Normal 16 4 3 4" xfId="6221"/>
    <cellStyle name="Normal 16 4 3 5" xfId="10977"/>
    <cellStyle name="Normal 16 4 3 6" xfId="6216"/>
    <cellStyle name="Normal 16 4 4" xfId="6222"/>
    <cellStyle name="Normal 16 4 4 2" xfId="6223"/>
    <cellStyle name="Normal 16 4 4 3" xfId="10978"/>
    <cellStyle name="Normal 16 4 5" xfId="6224"/>
    <cellStyle name="Normal 16 4 5 2" xfId="6225"/>
    <cellStyle name="Normal 16 4 5 3" xfId="10979"/>
    <cellStyle name="Normal 16 4 6" xfId="6226"/>
    <cellStyle name="Normal 16 4 7" xfId="10980"/>
    <cellStyle name="Normal 16 4 8" xfId="2915"/>
    <cellStyle name="Normal 16 5" xfId="489"/>
    <cellStyle name="Normal 16 5 2" xfId="2038"/>
    <cellStyle name="Normal 16 5 2 2" xfId="6227"/>
    <cellStyle name="Normal 16 5 2 2 2" xfId="6228"/>
    <cellStyle name="Normal 16 5 2 2 3" xfId="10981"/>
    <cellStyle name="Normal 16 5 2 3" xfId="6229"/>
    <cellStyle name="Normal 16 5 2 3 2" xfId="6230"/>
    <cellStyle name="Normal 16 5 2 3 3" xfId="10982"/>
    <cellStyle name="Normal 16 5 2 4" xfId="6231"/>
    <cellStyle name="Normal 16 5 2 5" xfId="10983"/>
    <cellStyle name="Normal 16 5 3" xfId="6232"/>
    <cellStyle name="Normal 16 5 3 2" xfId="6233"/>
    <cellStyle name="Normal 16 5 3 3" xfId="10984"/>
    <cellStyle name="Normal 16 5 4" xfId="6234"/>
    <cellStyle name="Normal 16 5 4 2" xfId="6235"/>
    <cellStyle name="Normal 16 5 4 3" xfId="10985"/>
    <cellStyle name="Normal 16 5 5" xfId="6236"/>
    <cellStyle name="Normal 16 5 6" xfId="10986"/>
    <cellStyle name="Normal 16 6" xfId="484"/>
    <cellStyle name="Normal 16 6 2" xfId="2039"/>
    <cellStyle name="Normal 16 6 2 2" xfId="6237"/>
    <cellStyle name="Normal 16 6 2 3" xfId="10987"/>
    <cellStyle name="Normal 16 6 3" xfId="6238"/>
    <cellStyle name="Normal 16 6 3 2" xfId="6239"/>
    <cellStyle name="Normal 16 6 3 3" xfId="10988"/>
    <cellStyle name="Normal 16 6 4" xfId="6240"/>
    <cellStyle name="Normal 16 6 5" xfId="10989"/>
    <cellStyle name="Normal 16 7" xfId="6241"/>
    <cellStyle name="Normal 16 7 2" xfId="6242"/>
    <cellStyle name="Normal 16 7 3" xfId="10990"/>
    <cellStyle name="Normal 16 8" xfId="6243"/>
    <cellStyle name="Normal 16 8 2" xfId="6244"/>
    <cellStyle name="Normal 16 8 3" xfId="10991"/>
    <cellStyle name="Normal 16 9" xfId="6245"/>
    <cellStyle name="Normal 16_2112 2148 Reg Labor" xfId="490"/>
    <cellStyle name="Normal 17" xfId="116"/>
    <cellStyle name="Normal 17 2" xfId="492"/>
    <cellStyle name="Normal 17 2 2" xfId="1327"/>
    <cellStyle name="Normal 17 2 2 2" xfId="2041"/>
    <cellStyle name="Normal 17 2 2 3" xfId="2040"/>
    <cellStyle name="Normal 17 2 3" xfId="2042"/>
    <cellStyle name="Normal 17 2 4" xfId="1418"/>
    <cellStyle name="Normal 17 3" xfId="493"/>
    <cellStyle name="Normal 17 3 2" xfId="494"/>
    <cellStyle name="Normal 17 3 2 2" xfId="2043"/>
    <cellStyle name="Normal 17 3 3" xfId="1419"/>
    <cellStyle name="Normal 17 3 3 2" xfId="12776"/>
    <cellStyle name="Normal 17 4" xfId="495"/>
    <cellStyle name="Normal 17 4 2" xfId="2044"/>
    <cellStyle name="Normal 17 5" xfId="496"/>
    <cellStyle name="Normal 17 5 2" xfId="13790"/>
    <cellStyle name="Normal 17 6" xfId="491"/>
    <cellStyle name="Normal 17_2112 2148 Reg Labor" xfId="497"/>
    <cellStyle name="Normal 18" xfId="117"/>
    <cellStyle name="Normal 18 10" xfId="6246"/>
    <cellStyle name="Normal 18 11" xfId="10992"/>
    <cellStyle name="Normal 18 2" xfId="499"/>
    <cellStyle name="Normal 18 2 2" xfId="977"/>
    <cellStyle name="Normal 18 2 2 2" xfId="2045"/>
    <cellStyle name="Normal 18 2 2 2 2" xfId="6247"/>
    <cellStyle name="Normal 18 2 2 2 2 2" xfId="6248"/>
    <cellStyle name="Normal 18 2 2 2 2 2 2" xfId="6249"/>
    <cellStyle name="Normal 18 2 2 2 2 2 3" xfId="10993"/>
    <cellStyle name="Normal 18 2 2 2 2 3" xfId="6250"/>
    <cellStyle name="Normal 18 2 2 2 2 3 2" xfId="6251"/>
    <cellStyle name="Normal 18 2 2 2 2 3 3" xfId="10994"/>
    <cellStyle name="Normal 18 2 2 2 2 4" xfId="6252"/>
    <cellStyle name="Normal 18 2 2 2 2 5" xfId="10995"/>
    <cellStyle name="Normal 18 2 2 2 3" xfId="6253"/>
    <cellStyle name="Normal 18 2 2 2 3 2" xfId="6254"/>
    <cellStyle name="Normal 18 2 2 2 3 3" xfId="10996"/>
    <cellStyle name="Normal 18 2 2 2 4" xfId="6255"/>
    <cellStyle name="Normal 18 2 2 2 4 2" xfId="6256"/>
    <cellStyle name="Normal 18 2 2 2 4 3" xfId="10997"/>
    <cellStyle name="Normal 18 2 2 2 5" xfId="6257"/>
    <cellStyle name="Normal 18 2 2 2 6" xfId="10998"/>
    <cellStyle name="Normal 18 2 2 3" xfId="6258"/>
    <cellStyle name="Normal 18 2 2 3 2" xfId="6259"/>
    <cellStyle name="Normal 18 2 2 3 2 2" xfId="6260"/>
    <cellStyle name="Normal 18 2 2 3 2 3" xfId="10999"/>
    <cellStyle name="Normal 18 2 2 3 3" xfId="6261"/>
    <cellStyle name="Normal 18 2 2 3 3 2" xfId="6262"/>
    <cellStyle name="Normal 18 2 2 3 3 3" xfId="11000"/>
    <cellStyle name="Normal 18 2 2 3 4" xfId="6263"/>
    <cellStyle name="Normal 18 2 2 3 5" xfId="11001"/>
    <cellStyle name="Normal 18 2 2 4" xfId="6264"/>
    <cellStyle name="Normal 18 2 2 4 2" xfId="6265"/>
    <cellStyle name="Normal 18 2 2 4 3" xfId="11002"/>
    <cellStyle name="Normal 18 2 2 5" xfId="6266"/>
    <cellStyle name="Normal 18 2 2 5 2" xfId="6267"/>
    <cellStyle name="Normal 18 2 2 5 3" xfId="11003"/>
    <cellStyle name="Normal 18 2 2 6" xfId="6268"/>
    <cellStyle name="Normal 18 2 2 7" xfId="11004"/>
    <cellStyle name="Normal 18 2 3" xfId="2046"/>
    <cellStyle name="Normal 18 2 3 2" xfId="6269"/>
    <cellStyle name="Normal 18 2 3 2 2" xfId="6270"/>
    <cellStyle name="Normal 18 2 3 2 2 2" xfId="6271"/>
    <cellStyle name="Normal 18 2 3 2 2 3" xfId="11005"/>
    <cellStyle name="Normal 18 2 3 2 3" xfId="6272"/>
    <cellStyle name="Normal 18 2 3 2 3 2" xfId="6273"/>
    <cellStyle name="Normal 18 2 3 2 3 3" xfId="11006"/>
    <cellStyle name="Normal 18 2 3 2 4" xfId="6274"/>
    <cellStyle name="Normal 18 2 3 2 5" xfId="11007"/>
    <cellStyle name="Normal 18 2 3 3" xfId="6275"/>
    <cellStyle name="Normal 18 2 3 3 2" xfId="6276"/>
    <cellStyle name="Normal 18 2 3 3 3" xfId="11008"/>
    <cellStyle name="Normal 18 2 3 4" xfId="6277"/>
    <cellStyle name="Normal 18 2 3 4 2" xfId="6278"/>
    <cellStyle name="Normal 18 2 3 4 3" xfId="11009"/>
    <cellStyle name="Normal 18 2 3 5" xfId="6279"/>
    <cellStyle name="Normal 18 2 3 6" xfId="11010"/>
    <cellStyle name="Normal 18 2 4" xfId="1420"/>
    <cellStyle name="Normal 18 2 4 2" xfId="6281"/>
    <cellStyle name="Normal 18 2 4 2 2" xfId="6282"/>
    <cellStyle name="Normal 18 2 4 2 3" xfId="11011"/>
    <cellStyle name="Normal 18 2 4 3" xfId="6283"/>
    <cellStyle name="Normal 18 2 4 3 2" xfId="6284"/>
    <cellStyle name="Normal 18 2 4 3 3" xfId="11012"/>
    <cellStyle name="Normal 18 2 4 4" xfId="6285"/>
    <cellStyle name="Normal 18 2 4 5" xfId="11013"/>
    <cellStyle name="Normal 18 2 4 6" xfId="6280"/>
    <cellStyle name="Normal 18 2 5" xfId="6286"/>
    <cellStyle name="Normal 18 2 5 2" xfId="6287"/>
    <cellStyle name="Normal 18 2 5 3" xfId="11014"/>
    <cellStyle name="Normal 18 2 6" xfId="6288"/>
    <cellStyle name="Normal 18 2 6 2" xfId="6289"/>
    <cellStyle name="Normal 18 2 6 3" xfId="11015"/>
    <cellStyle name="Normal 18 2 7" xfId="6290"/>
    <cellStyle name="Normal 18 2 8" xfId="11016"/>
    <cellStyle name="Normal 18 3" xfId="500"/>
    <cellStyle name="Normal 18 3 2" xfId="501"/>
    <cellStyle name="Normal 18 3 2 2" xfId="2048"/>
    <cellStyle name="Normal 18 3 2 2 2" xfId="6291"/>
    <cellStyle name="Normal 18 3 2 2 2 2" xfId="6292"/>
    <cellStyle name="Normal 18 3 2 2 2 2 2" xfId="6293"/>
    <cellStyle name="Normal 18 3 2 2 2 2 3" xfId="11017"/>
    <cellStyle name="Normal 18 3 2 2 2 3" xfId="6294"/>
    <cellStyle name="Normal 18 3 2 2 2 3 2" xfId="6295"/>
    <cellStyle name="Normal 18 3 2 2 2 3 3" xfId="11018"/>
    <cellStyle name="Normal 18 3 2 2 2 4" xfId="6296"/>
    <cellStyle name="Normal 18 3 2 2 2 5" xfId="11019"/>
    <cellStyle name="Normal 18 3 2 2 3" xfId="6297"/>
    <cellStyle name="Normal 18 3 2 2 3 2" xfId="6298"/>
    <cellStyle name="Normal 18 3 2 2 3 3" xfId="11020"/>
    <cellStyle name="Normal 18 3 2 2 4" xfId="6299"/>
    <cellStyle name="Normal 18 3 2 2 4 2" xfId="6300"/>
    <cellStyle name="Normal 18 3 2 2 4 3" xfId="11021"/>
    <cellStyle name="Normal 18 3 2 2 5" xfId="6301"/>
    <cellStyle name="Normal 18 3 2 2 6" xfId="11022"/>
    <cellStyle name="Normal 18 3 2 3" xfId="2047"/>
    <cellStyle name="Normal 18 3 2 3 2" xfId="6302"/>
    <cellStyle name="Normal 18 3 2 3 2 2" xfId="6303"/>
    <cellStyle name="Normal 18 3 2 3 2 3" xfId="11023"/>
    <cellStyle name="Normal 18 3 2 3 3" xfId="6304"/>
    <cellStyle name="Normal 18 3 2 3 3 2" xfId="6305"/>
    <cellStyle name="Normal 18 3 2 3 3 3" xfId="11024"/>
    <cellStyle name="Normal 18 3 2 3 4" xfId="6306"/>
    <cellStyle name="Normal 18 3 2 3 5" xfId="11025"/>
    <cellStyle name="Normal 18 3 2 4" xfId="6307"/>
    <cellStyle name="Normal 18 3 2 4 2" xfId="6308"/>
    <cellStyle name="Normal 18 3 2 4 3" xfId="11026"/>
    <cellStyle name="Normal 18 3 2 5" xfId="6309"/>
    <cellStyle name="Normal 18 3 2 5 2" xfId="6310"/>
    <cellStyle name="Normal 18 3 2 5 3" xfId="11027"/>
    <cellStyle name="Normal 18 3 2 6" xfId="6311"/>
    <cellStyle name="Normal 18 3 2 7" xfId="11028"/>
    <cellStyle name="Normal 18 3 3" xfId="2049"/>
    <cellStyle name="Normal 18 3 3 2" xfId="6312"/>
    <cellStyle name="Normal 18 3 3 2 2" xfId="6313"/>
    <cellStyle name="Normal 18 3 3 2 2 2" xfId="6314"/>
    <cellStyle name="Normal 18 3 3 2 2 3" xfId="11029"/>
    <cellStyle name="Normal 18 3 3 2 3" xfId="6315"/>
    <cellStyle name="Normal 18 3 3 2 3 2" xfId="6316"/>
    <cellStyle name="Normal 18 3 3 2 3 3" xfId="11030"/>
    <cellStyle name="Normal 18 3 3 2 4" xfId="6317"/>
    <cellStyle name="Normal 18 3 3 2 5" xfId="11031"/>
    <cellStyle name="Normal 18 3 3 3" xfId="6318"/>
    <cellStyle name="Normal 18 3 3 3 2" xfId="6319"/>
    <cellStyle name="Normal 18 3 3 3 3" xfId="11032"/>
    <cellStyle name="Normal 18 3 3 4" xfId="6320"/>
    <cellStyle name="Normal 18 3 3 4 2" xfId="6321"/>
    <cellStyle name="Normal 18 3 3 4 3" xfId="11033"/>
    <cellStyle name="Normal 18 3 3 5" xfId="6322"/>
    <cellStyle name="Normal 18 3 3 6" xfId="11034"/>
    <cellStyle name="Normal 18 3 4" xfId="1421"/>
    <cellStyle name="Normal 18 3 4 2" xfId="6324"/>
    <cellStyle name="Normal 18 3 4 2 2" xfId="6325"/>
    <cellStyle name="Normal 18 3 4 2 3" xfId="11035"/>
    <cellStyle name="Normal 18 3 4 3" xfId="6326"/>
    <cellStyle name="Normal 18 3 4 3 2" xfId="6327"/>
    <cellStyle name="Normal 18 3 4 3 3" xfId="11036"/>
    <cellStyle name="Normal 18 3 4 4" xfId="6328"/>
    <cellStyle name="Normal 18 3 4 5" xfId="11037"/>
    <cellStyle name="Normal 18 3 4 6" xfId="6323"/>
    <cellStyle name="Normal 18 3 5" xfId="6329"/>
    <cellStyle name="Normal 18 3 5 2" xfId="6330"/>
    <cellStyle name="Normal 18 3 5 3" xfId="11038"/>
    <cellStyle name="Normal 18 3 6" xfId="6331"/>
    <cellStyle name="Normal 18 3 6 2" xfId="6332"/>
    <cellStyle name="Normal 18 3 6 3" xfId="11039"/>
    <cellStyle name="Normal 18 3 7" xfId="6333"/>
    <cellStyle name="Normal 18 3 8" xfId="11040"/>
    <cellStyle name="Normal 18 4" xfId="502"/>
    <cellStyle name="Normal 18 4 2" xfId="2051"/>
    <cellStyle name="Normal 18 4 3" xfId="2050"/>
    <cellStyle name="Normal 18 5" xfId="503"/>
    <cellStyle name="Normal 18 5 2" xfId="2053"/>
    <cellStyle name="Normal 18 5 2 2" xfId="6334"/>
    <cellStyle name="Normal 18 5 2 2 2" xfId="6335"/>
    <cellStyle name="Normal 18 5 2 2 2 2" xfId="6336"/>
    <cellStyle name="Normal 18 5 2 2 2 3" xfId="11041"/>
    <cellStyle name="Normal 18 5 2 2 3" xfId="6337"/>
    <cellStyle name="Normal 18 5 2 2 3 2" xfId="6338"/>
    <cellStyle name="Normal 18 5 2 2 3 3" xfId="11042"/>
    <cellStyle name="Normal 18 5 2 2 4" xfId="6339"/>
    <cellStyle name="Normal 18 5 2 2 5" xfId="11043"/>
    <cellStyle name="Normal 18 5 2 3" xfId="6340"/>
    <cellStyle name="Normal 18 5 2 3 2" xfId="6341"/>
    <cellStyle name="Normal 18 5 2 3 3" xfId="11044"/>
    <cellStyle name="Normal 18 5 2 4" xfId="6342"/>
    <cellStyle name="Normal 18 5 2 4 2" xfId="6343"/>
    <cellStyle name="Normal 18 5 2 4 3" xfId="11045"/>
    <cellStyle name="Normal 18 5 2 5" xfId="6344"/>
    <cellStyle name="Normal 18 5 2 6" xfId="11046"/>
    <cellStyle name="Normal 18 5 3" xfId="2052"/>
    <cellStyle name="Normal 18 5 3 2" xfId="6345"/>
    <cellStyle name="Normal 18 5 3 2 2" xfId="6346"/>
    <cellStyle name="Normal 18 5 3 2 3" xfId="11047"/>
    <cellStyle name="Normal 18 5 3 3" xfId="6347"/>
    <cellStyle name="Normal 18 5 3 3 2" xfId="6348"/>
    <cellStyle name="Normal 18 5 3 3 3" xfId="11048"/>
    <cellStyle name="Normal 18 5 3 4" xfId="6349"/>
    <cellStyle name="Normal 18 5 3 5" xfId="11049"/>
    <cellStyle name="Normal 18 5 4" xfId="6350"/>
    <cellStyle name="Normal 18 5 4 2" xfId="6351"/>
    <cellStyle name="Normal 18 5 4 3" xfId="11050"/>
    <cellStyle name="Normal 18 5 5" xfId="6352"/>
    <cellStyle name="Normal 18 5 5 2" xfId="6353"/>
    <cellStyle name="Normal 18 5 5 3" xfId="11051"/>
    <cellStyle name="Normal 18 5 6" xfId="6354"/>
    <cellStyle name="Normal 18 5 7" xfId="11052"/>
    <cellStyle name="Normal 18 6" xfId="498"/>
    <cellStyle name="Normal 18 6 2" xfId="2054"/>
    <cellStyle name="Normal 18 6 2 2" xfId="6355"/>
    <cellStyle name="Normal 18 6 2 2 2" xfId="6356"/>
    <cellStyle name="Normal 18 6 2 2 3" xfId="11053"/>
    <cellStyle name="Normal 18 6 2 3" xfId="6357"/>
    <cellStyle name="Normal 18 6 2 3 2" xfId="6358"/>
    <cellStyle name="Normal 18 6 2 3 3" xfId="11054"/>
    <cellStyle name="Normal 18 6 2 4" xfId="6359"/>
    <cellStyle name="Normal 18 6 2 5" xfId="11055"/>
    <cellStyle name="Normal 18 6 3" xfId="6360"/>
    <cellStyle name="Normal 18 6 3 2" xfId="6361"/>
    <cellStyle name="Normal 18 6 3 3" xfId="11056"/>
    <cellStyle name="Normal 18 6 4" xfId="6362"/>
    <cellStyle name="Normal 18 6 4 2" xfId="6363"/>
    <cellStyle name="Normal 18 6 4 3" xfId="11057"/>
    <cellStyle name="Normal 18 6 5" xfId="6364"/>
    <cellStyle name="Normal 18 6 6" xfId="11058"/>
    <cellStyle name="Normal 18 7" xfId="2055"/>
    <cellStyle name="Normal 18 7 2" xfId="6365"/>
    <cellStyle name="Normal 18 7 2 2" xfId="6366"/>
    <cellStyle name="Normal 18 7 2 3" xfId="11059"/>
    <cellStyle name="Normal 18 7 3" xfId="6367"/>
    <cellStyle name="Normal 18 7 3 2" xfId="6368"/>
    <cellStyle name="Normal 18 7 3 3" xfId="11060"/>
    <cellStyle name="Normal 18 7 4" xfId="6369"/>
    <cellStyle name="Normal 18 7 5" xfId="11061"/>
    <cellStyle name="Normal 18 8" xfId="6370"/>
    <cellStyle name="Normal 18 8 2" xfId="6371"/>
    <cellStyle name="Normal 18 8 3" xfId="11062"/>
    <cellStyle name="Normal 18 9" xfId="6372"/>
    <cellStyle name="Normal 18 9 2" xfId="6373"/>
    <cellStyle name="Normal 18 9 3" xfId="11063"/>
    <cellStyle name="Normal 18_2112 2148 Reg Labor" xfId="504"/>
    <cellStyle name="Normal 19" xfId="118"/>
    <cellStyle name="Normal 19 2" xfId="506"/>
    <cellStyle name="Normal 19 2 2" xfId="1328"/>
    <cellStyle name="Normal 19 2 3" xfId="2056"/>
    <cellStyle name="Normal 19 2 4" xfId="1422"/>
    <cellStyle name="Normal 19 3" xfId="507"/>
    <cellStyle name="Normal 19 3 2" xfId="508"/>
    <cellStyle name="Normal 19 3 2 2" xfId="2057"/>
    <cellStyle name="Normal 19 3 3" xfId="1423"/>
    <cellStyle name="Normal 19 3 3 2" xfId="12777"/>
    <cellStyle name="Normal 19 4" xfId="509"/>
    <cellStyle name="Normal 19 4 2" xfId="2058"/>
    <cellStyle name="Normal 19 5" xfId="505"/>
    <cellStyle name="Normal 19 5 2" xfId="2059"/>
    <cellStyle name="Normal 19 6" xfId="2060"/>
    <cellStyle name="Normal 19 7" xfId="13791"/>
    <cellStyle name="Normal 19_2112 2148 Reg Labor" xfId="510"/>
    <cellStyle name="Normal 2" xfId="6"/>
    <cellStyle name="Normal 2 10" xfId="511"/>
    <cellStyle name="Normal 2 10 2" xfId="2061"/>
    <cellStyle name="Normal 2 10 2 2" xfId="12778"/>
    <cellStyle name="Normal 2 10 3" xfId="2062"/>
    <cellStyle name="Normal 2 10 4" xfId="2063"/>
    <cellStyle name="Normal 2 10 5" xfId="1424"/>
    <cellStyle name="Normal 2 10 6" xfId="2901"/>
    <cellStyle name="Normal 2 11" xfId="690"/>
    <cellStyle name="Normal 2 11 2" xfId="1477"/>
    <cellStyle name="Normal 2 11 3" xfId="1425"/>
    <cellStyle name="Normal 2 12" xfId="978"/>
    <cellStyle name="Normal 2 12 2" xfId="2064"/>
    <cellStyle name="Normal 2 12 2 2" xfId="3311"/>
    <cellStyle name="Normal 2 13" xfId="2065"/>
    <cellStyle name="Normal 2 14" xfId="2066"/>
    <cellStyle name="Normal 2 15" xfId="2067"/>
    <cellStyle name="Normal 2 16" xfId="2068"/>
    <cellStyle name="Normal 2 17" xfId="2069"/>
    <cellStyle name="Normal 2 18" xfId="13792"/>
    <cellStyle name="Normal 2 2" xfId="35"/>
    <cellStyle name="Normal 2 2 10" xfId="2070"/>
    <cellStyle name="Normal 2 2 11" xfId="2071"/>
    <cellStyle name="Normal 2 2 12" xfId="13793"/>
    <cellStyle name="Normal 2 2 13" xfId="21491"/>
    <cellStyle name="Normal 2 2 2" xfId="36"/>
    <cellStyle name="Normal 2 2 2 10" xfId="13794"/>
    <cellStyle name="Normal 2 2 2 2" xfId="512"/>
    <cellStyle name="Normal 2 2 2 2 2" xfId="2072"/>
    <cellStyle name="Normal 2 2 2 2 2 2" xfId="2073"/>
    <cellStyle name="Normal 2 2 2 2 2 2 2" xfId="2074"/>
    <cellStyle name="Normal 2 2 2 2 2 2 3" xfId="2075"/>
    <cellStyle name="Normal 2 2 2 2 2 3" xfId="2076"/>
    <cellStyle name="Normal 2 2 2 2 2 3 2" xfId="2077"/>
    <cellStyle name="Normal 2 2 2 2 2 3 3" xfId="2078"/>
    <cellStyle name="Normal 2 2 2 2 2 4" xfId="2079"/>
    <cellStyle name="Normal 2 2 2 2 2 5" xfId="2080"/>
    <cellStyle name="Normal 2 2 2 2 2 6" xfId="21494"/>
    <cellStyle name="Normal 2 2 2 2 3" xfId="2081"/>
    <cellStyle name="Normal 2 2 2 2 3 2" xfId="2082"/>
    <cellStyle name="Normal 2 2 2 2 3 3" xfId="2083"/>
    <cellStyle name="Normal 2 2 2 2 3 4" xfId="2084"/>
    <cellStyle name="Normal 2 2 2 2 3 5" xfId="2085"/>
    <cellStyle name="Normal 2 2 2 2 4" xfId="2086"/>
    <cellStyle name="Normal 2 2 2 2 4 2" xfId="2087"/>
    <cellStyle name="Normal 2 2 2 2 4 3" xfId="2088"/>
    <cellStyle name="Normal 2 2 2 2 5" xfId="2089"/>
    <cellStyle name="Normal 2 2 2 2 5 2" xfId="2090"/>
    <cellStyle name="Normal 2 2 2 2 5 3" xfId="2091"/>
    <cellStyle name="Normal 2 2 2 2 6" xfId="2092"/>
    <cellStyle name="Normal 2 2 2 2 7" xfId="2093"/>
    <cellStyle name="Normal 2 2 2 3" xfId="2094"/>
    <cellStyle name="Normal 2 2 2 3 2" xfId="2095"/>
    <cellStyle name="Normal 2 2 2 3 2 2" xfId="2096"/>
    <cellStyle name="Normal 2 2 2 3 2 3" xfId="2097"/>
    <cellStyle name="Normal 2 2 2 3 3" xfId="2098"/>
    <cellStyle name="Normal 2 2 2 3 3 2" xfId="2099"/>
    <cellStyle name="Normal 2 2 2 3 3 3" xfId="2100"/>
    <cellStyle name="Normal 2 2 2 3 4" xfId="2101"/>
    <cellStyle name="Normal 2 2 2 3 5" xfId="2102"/>
    <cellStyle name="Normal 2 2 2 4" xfId="2103"/>
    <cellStyle name="Normal 2 2 2 4 2" xfId="2104"/>
    <cellStyle name="Normal 2 2 2 4 3" xfId="2105"/>
    <cellStyle name="Normal 2 2 2 4 4" xfId="2106"/>
    <cellStyle name="Normal 2 2 2 4 5" xfId="2107"/>
    <cellStyle name="Normal 2 2 2 5" xfId="2108"/>
    <cellStyle name="Normal 2 2 2 5 2" xfId="2109"/>
    <cellStyle name="Normal 2 2 2 5 3" xfId="2110"/>
    <cellStyle name="Normal 2 2 2 6" xfId="2111"/>
    <cellStyle name="Normal 2 2 2 6 2" xfId="2112"/>
    <cellStyle name="Normal 2 2 2 6 3" xfId="2113"/>
    <cellStyle name="Normal 2 2 2 7" xfId="2114"/>
    <cellStyle name="Normal 2 2 2 8" xfId="2115"/>
    <cellStyle name="Normal 2 2 2 9" xfId="2116"/>
    <cellStyle name="Normal 2 2 2_13008" xfId="513"/>
    <cellStyle name="Normal 2 2 3" xfId="119"/>
    <cellStyle name="Normal 2 2 3 2" xfId="514"/>
    <cellStyle name="Normal 2 2 3 2 2" xfId="2118"/>
    <cellStyle name="Normal 2 2 3 2 2 2" xfId="2119"/>
    <cellStyle name="Normal 2 2 3 2 2 3" xfId="2120"/>
    <cellStyle name="Normal 2 2 3 2 3" xfId="2121"/>
    <cellStyle name="Normal 2 2 3 2 3 2" xfId="2122"/>
    <cellStyle name="Normal 2 2 3 2 3 3" xfId="2123"/>
    <cellStyle name="Normal 2 2 3 2 4" xfId="2124"/>
    <cellStyle name="Normal 2 2 3 2 5" xfId="2125"/>
    <cellStyle name="Normal 2 2 3 2 6" xfId="2117"/>
    <cellStyle name="Normal 2 2 3 3" xfId="515"/>
    <cellStyle name="Normal 2 2 3 3 2" xfId="2127"/>
    <cellStyle name="Normal 2 2 3 3 3" xfId="2128"/>
    <cellStyle name="Normal 2 2 3 3 4" xfId="2129"/>
    <cellStyle name="Normal 2 2 3 3 5" xfId="2130"/>
    <cellStyle name="Normal 2 2 3 3 6" xfId="2126"/>
    <cellStyle name="Normal 2 2 3 4" xfId="2131"/>
    <cellStyle name="Normal 2 2 3 4 2" xfId="2132"/>
    <cellStyle name="Normal 2 2 3 4 3" xfId="2133"/>
    <cellStyle name="Normal 2 2 3 5" xfId="2134"/>
    <cellStyle name="Normal 2 2 3 5 2" xfId="2135"/>
    <cellStyle name="Normal 2 2 3 5 3" xfId="2136"/>
    <cellStyle name="Normal 2 2 3 6" xfId="2137"/>
    <cellStyle name="Normal 2 2 3 7" xfId="2138"/>
    <cellStyle name="Normal 2 2 3 8" xfId="13795"/>
    <cellStyle name="Normal 2 2 4" xfId="516"/>
    <cellStyle name="Normal 2 2 4 2" xfId="979"/>
    <cellStyle name="Normal 2 2 4 2 2" xfId="2139"/>
    <cellStyle name="Normal 2 2 4 2 3" xfId="2140"/>
    <cellStyle name="Normal 2 2 4 3" xfId="2141"/>
    <cellStyle name="Normal 2 2 4 3 2" xfId="2142"/>
    <cellStyle name="Normal 2 2 4 3 3" xfId="2143"/>
    <cellStyle name="Normal 2 2 4 4" xfId="2144"/>
    <cellStyle name="Normal 2 2 4 5" xfId="2145"/>
    <cellStyle name="Normal 2 2 5" xfId="517"/>
    <cellStyle name="Normal 2 2 5 2" xfId="2147"/>
    <cellStyle name="Normal 2 2 5 3" xfId="2148"/>
    <cellStyle name="Normal 2 2 5 4" xfId="2149"/>
    <cellStyle name="Normal 2 2 5 5" xfId="2150"/>
    <cellStyle name="Normal 2 2 5 6" xfId="2146"/>
    <cellStyle name="Normal 2 2 6" xfId="2151"/>
    <cellStyle name="Normal 2 2 6 2" xfId="2152"/>
    <cellStyle name="Normal 2 2 6 3" xfId="2153"/>
    <cellStyle name="Normal 2 2 7" xfId="2154"/>
    <cellStyle name="Normal 2 2 7 2" xfId="2155"/>
    <cellStyle name="Normal 2 2 7 3" xfId="2156"/>
    <cellStyle name="Normal 2 2 8" xfId="2157"/>
    <cellStyle name="Normal 2 2 9" xfId="2158"/>
    <cellStyle name="Normal 2 2_10051" xfId="2159"/>
    <cellStyle name="Normal 2 3" xfId="37"/>
    <cellStyle name="Normal 2 3 2" xfId="38"/>
    <cellStyle name="Normal 2 3 2 2" xfId="980"/>
    <cellStyle name="Normal 2 3 2 3" xfId="981"/>
    <cellStyle name="Normal 2 3 2 4" xfId="13796"/>
    <cellStyle name="Normal 2 3 2_Active emp List" xfId="2160"/>
    <cellStyle name="Normal 2 3 3" xfId="120"/>
    <cellStyle name="Normal 2 3 3 2" xfId="982"/>
    <cellStyle name="Normal 2 3 3 2 2" xfId="2161"/>
    <cellStyle name="Normal 2 3 3 3" xfId="983"/>
    <cellStyle name="Normal 2 3 3 4" xfId="13797"/>
    <cellStyle name="Normal 2 3 4" xfId="984"/>
    <cellStyle name="Normal 2 3 4 2" xfId="985"/>
    <cellStyle name="Normal 2 3 4 3" xfId="2848"/>
    <cellStyle name="Normal 2 3 5" xfId="986"/>
    <cellStyle name="Normal 2 3 6" xfId="2162"/>
    <cellStyle name="Normal 2 3 6 2" xfId="13798"/>
    <cellStyle name="Normal 2 3 7" xfId="15956"/>
    <cellStyle name="Normal 2 3_2012 TV Budget" xfId="2163"/>
    <cellStyle name="Normal 2 4" xfId="39"/>
    <cellStyle name="Normal 2 4 2" xfId="518"/>
    <cellStyle name="Normal 2 4 2 2" xfId="693"/>
    <cellStyle name="Normal 2 4 2 2 2" xfId="2164"/>
    <cellStyle name="Normal 2 4 2 2 2 2" xfId="3270"/>
    <cellStyle name="Normal 2 4 2 3" xfId="987"/>
    <cellStyle name="Normal 2 4 2 3 2" xfId="2165"/>
    <cellStyle name="Normal 2 4 2 4" xfId="2166"/>
    <cellStyle name="Normal 2 4 2 5" xfId="2167"/>
    <cellStyle name="Normal 2 4 2 6" xfId="12779"/>
    <cellStyle name="Normal 2 4 3" xfId="988"/>
    <cellStyle name="Normal 2 4 3 2" xfId="2168"/>
    <cellStyle name="Normal 2 4 3 3" xfId="2169"/>
    <cellStyle name="Normal 2 4 4" xfId="2170"/>
    <cellStyle name="Normal 2 4 4 2" xfId="2171"/>
    <cellStyle name="Normal 2 4 4 3" xfId="2172"/>
    <cellStyle name="Normal 2 4 5" xfId="2173"/>
    <cellStyle name="Normal 2 4 6" xfId="2174"/>
    <cellStyle name="Normal 2 4 7" xfId="13799"/>
    <cellStyle name="Normal 2 5" xfId="40"/>
    <cellStyle name="Normal 2 5 2" xfId="989"/>
    <cellStyle name="Normal 2 5 3" xfId="990"/>
    <cellStyle name="Normal 2 5 4" xfId="13800"/>
    <cellStyle name="Normal 2 6" xfId="519"/>
    <cellStyle name="Normal 2 6 2" xfId="991"/>
    <cellStyle name="Normal 2 6 2 2" xfId="992"/>
    <cellStyle name="Normal 2 6 2 3" xfId="2916"/>
    <cellStyle name="Normal 2 6 3" xfId="993"/>
    <cellStyle name="Normal 2 6 4" xfId="2175"/>
    <cellStyle name="Normal 2 6 5" xfId="2953"/>
    <cellStyle name="Normal 2 7" xfId="520"/>
    <cellStyle name="Normal 2 7 2" xfId="994"/>
    <cellStyle name="Normal 2 7 3" xfId="2176"/>
    <cellStyle name="Normal 2 7 4" xfId="2177"/>
    <cellStyle name="Normal 2 7 5" xfId="1426"/>
    <cellStyle name="Normal 2 8" xfId="521"/>
    <cellStyle name="Normal 2 8 2" xfId="2178"/>
    <cellStyle name="Normal 2 8 2 2" xfId="12780"/>
    <cellStyle name="Normal 2 8 3" xfId="2179"/>
    <cellStyle name="Normal 2 8 4" xfId="2180"/>
    <cellStyle name="Normal 2 8 5" xfId="1427"/>
    <cellStyle name="Normal 2 8 6" xfId="2891"/>
    <cellStyle name="Normal 2 9" xfId="522"/>
    <cellStyle name="Normal 2 9 2" xfId="1478"/>
    <cellStyle name="Normal 2 9 3" xfId="2181"/>
    <cellStyle name="Normal 2 9 4" xfId="2182"/>
    <cellStyle name="Normal 2 9 5" xfId="1428"/>
    <cellStyle name="Normal 2_2009 Regulated Price Out" xfId="995"/>
    <cellStyle name="Normal 20" xfId="140"/>
    <cellStyle name="Normal 20 2" xfId="524"/>
    <cellStyle name="Normal 20 2 2" xfId="996"/>
    <cellStyle name="Normal 20 2 3" xfId="2183"/>
    <cellStyle name="Normal 20 2 4" xfId="1430"/>
    <cellStyle name="Normal 20 2 4 2" xfId="12781"/>
    <cellStyle name="Normal 20 3" xfId="525"/>
    <cellStyle name="Normal 20 3 2" xfId="526"/>
    <cellStyle name="Normal 20 3 3" xfId="1431"/>
    <cellStyle name="Normal 20 4" xfId="527"/>
    <cellStyle name="Normal 20 4 2" xfId="997"/>
    <cellStyle name="Normal 20 4 2 2" xfId="2184"/>
    <cellStyle name="Normal 20 5" xfId="523"/>
    <cellStyle name="Normal 20 5 2" xfId="2185"/>
    <cellStyle name="Normal 20 6" xfId="998"/>
    <cellStyle name="Normal 20 7" xfId="1429"/>
    <cellStyle name="Normal 20_2112 2148 Reg Labor" xfId="528"/>
    <cellStyle name="Normal 21" xfId="146"/>
    <cellStyle name="Normal 21 2" xfId="530"/>
    <cellStyle name="Normal 21 2 2" xfId="531"/>
    <cellStyle name="Normal 21 2 2 2" xfId="2186"/>
    <cellStyle name="Normal 21 2 3" xfId="1433"/>
    <cellStyle name="Normal 21 2 3 2" xfId="2973"/>
    <cellStyle name="Normal 21 2 4" xfId="12782"/>
    <cellStyle name="Normal 21 3" xfId="532"/>
    <cellStyle name="Normal 21 3 2" xfId="999"/>
    <cellStyle name="Normal 21 3 2 2" xfId="2187"/>
    <cellStyle name="Normal 21 4" xfId="529"/>
    <cellStyle name="Normal 21 4 2" xfId="2188"/>
    <cellStyle name="Normal 21 5" xfId="2189"/>
    <cellStyle name="Normal 21 6" xfId="1432"/>
    <cellStyle name="Normal 22" xfId="213"/>
    <cellStyle name="Normal 22 2" xfId="534"/>
    <cellStyle name="Normal 22 2 2" xfId="535"/>
    <cellStyle name="Normal 22 2 2 2" xfId="2190"/>
    <cellStyle name="Normal 22 2 3" xfId="1435"/>
    <cellStyle name="Normal 22 2 3 2" xfId="12783"/>
    <cellStyle name="Normal 22 3" xfId="536"/>
    <cellStyle name="Normal 22 3 2" xfId="537"/>
    <cellStyle name="Normal 22 3 2 2" xfId="2191"/>
    <cellStyle name="Normal 22 4" xfId="538"/>
    <cellStyle name="Normal 22 4 2" xfId="2192"/>
    <cellStyle name="Normal 22 5" xfId="533"/>
    <cellStyle name="Normal 22 5 2" xfId="2193"/>
    <cellStyle name="Normal 22 6" xfId="1434"/>
    <cellStyle name="Normal 23" xfId="214"/>
    <cellStyle name="Normal 23 2" xfId="540"/>
    <cellStyle name="Normal 23 2 2" xfId="541"/>
    <cellStyle name="Normal 23 2 2 2" xfId="2194"/>
    <cellStyle name="Normal 23 2 3" xfId="2195"/>
    <cellStyle name="Normal 23 3" xfId="542"/>
    <cellStyle name="Normal 23 3 2" xfId="543"/>
    <cellStyle name="Normal 23 3 2 2" xfId="2196"/>
    <cellStyle name="Normal 23 3 3" xfId="1000"/>
    <cellStyle name="Normal 23 3 3 2" xfId="2197"/>
    <cellStyle name="Normal 23 4" xfId="539"/>
    <cellStyle name="Normal 23 4 2" xfId="2198"/>
    <cellStyle name="Normal 24" xfId="215"/>
    <cellStyle name="Normal 24 2" xfId="545"/>
    <cellStyle name="Normal 24 2 2" xfId="546"/>
    <cellStyle name="Normal 24 2 2 2" xfId="2199"/>
    <cellStyle name="Normal 24 2 3" xfId="2200"/>
    <cellStyle name="Normal 24 2 4" xfId="1436"/>
    <cellStyle name="Normal 24 3" xfId="547"/>
    <cellStyle name="Normal 24 3 2" xfId="1001"/>
    <cellStyle name="Normal 24 3 2 2" xfId="2201"/>
    <cellStyle name="Normal 24 4" xfId="544"/>
    <cellStyle name="Normal 24 4 2" xfId="2202"/>
    <cellStyle name="Normal 24 5" xfId="1002"/>
    <cellStyle name="Normal 25" xfId="216"/>
    <cellStyle name="Normal 25 2" xfId="549"/>
    <cellStyle name="Normal 25 2 2" xfId="550"/>
    <cellStyle name="Normal 25 2 2 2" xfId="2203"/>
    <cellStyle name="Normal 25 2 3" xfId="12784"/>
    <cellStyle name="Normal 25 3" xfId="551"/>
    <cellStyle name="Normal 25 3 2" xfId="1003"/>
    <cellStyle name="Normal 25 4" xfId="548"/>
    <cellStyle name="Normal 25 4 2" xfId="2204"/>
    <cellStyle name="Normal 26" xfId="217"/>
    <cellStyle name="Normal 26 2" xfId="553"/>
    <cellStyle name="Normal 26 2 2" xfId="554"/>
    <cellStyle name="Normal 26 2 3" xfId="1004"/>
    <cellStyle name="Normal 26 3" xfId="555"/>
    <cellStyle name="Normal 26 3 2" xfId="556"/>
    <cellStyle name="Normal 26 4" xfId="552"/>
    <cellStyle name="Normal 27" xfId="41"/>
    <cellStyle name="Normal 27 2" xfId="558"/>
    <cellStyle name="Normal 27 2 2" xfId="559"/>
    <cellStyle name="Normal 27 2 2 2" xfId="1005"/>
    <cellStyle name="Normal 27 2 2 3" xfId="2917"/>
    <cellStyle name="Normal 27 2 3" xfId="1437"/>
    <cellStyle name="Normal 27 3" xfId="560"/>
    <cellStyle name="Normal 27 3 2" xfId="1006"/>
    <cellStyle name="Normal 27 3 3" xfId="1007"/>
    <cellStyle name="Normal 27 4" xfId="557"/>
    <cellStyle name="Normal 27 4 2" xfId="2205"/>
    <cellStyle name="Normal 27 5" xfId="1008"/>
    <cellStyle name="Normal 28" xfId="561"/>
    <cellStyle name="Normal 28 2" xfId="562"/>
    <cellStyle name="Normal 28 2 2" xfId="563"/>
    <cellStyle name="Normal 28 2 2 2" xfId="2206"/>
    <cellStyle name="Normal 28 2 3" xfId="1009"/>
    <cellStyle name="Normal 28 3" xfId="564"/>
    <cellStyle name="Normal 28 4" xfId="1010"/>
    <cellStyle name="Normal 29" xfId="565"/>
    <cellStyle name="Normal 29 2" xfId="566"/>
    <cellStyle name="Normal 29 2 2" xfId="567"/>
    <cellStyle name="Normal 29 2 2 2" xfId="3272"/>
    <cellStyle name="Normal 29 3" xfId="568"/>
    <cellStyle name="Normal 29 4" xfId="1011"/>
    <cellStyle name="Normal 3" xfId="42"/>
    <cellStyle name="Normal 3 2" xfId="43"/>
    <cellStyle name="Normal 3 2 2" xfId="570"/>
    <cellStyle name="Normal 3 2 2 2" xfId="571"/>
    <cellStyle name="Normal 3 2 2 2 2" xfId="2207"/>
    <cellStyle name="Normal 3 2 2 2 2 2" xfId="6374"/>
    <cellStyle name="Normal 3 2 2 2 2 3" xfId="11064"/>
    <cellStyle name="Normal 3 2 2 2 3" xfId="2208"/>
    <cellStyle name="Normal 3 2 2 2 3 2" xfId="6375"/>
    <cellStyle name="Normal 3 2 2 2 3 3" xfId="11065"/>
    <cellStyle name="Normal 3 2 2 2 4" xfId="6376"/>
    <cellStyle name="Normal 3 2 2 2 5" xfId="11066"/>
    <cellStyle name="Normal 3 2 2 3" xfId="1012"/>
    <cellStyle name="Normal 3 2 2 3 2" xfId="2209"/>
    <cellStyle name="Normal 3 2 2 3 3" xfId="2210"/>
    <cellStyle name="Normal 3 2 2 4" xfId="2211"/>
    <cellStyle name="Normal 3 2 2 4 2" xfId="6377"/>
    <cellStyle name="Normal 3 2 2 4 3" xfId="11067"/>
    <cellStyle name="Normal 3 2 2 5" xfId="2212"/>
    <cellStyle name="Normal 3 2 2 6" xfId="2213"/>
    <cellStyle name="Normal 3 2 2 7" xfId="12785"/>
    <cellStyle name="Normal 3 2 3" xfId="572"/>
    <cellStyle name="Normal 3 2 3 2" xfId="2215"/>
    <cellStyle name="Normal 3 2 3 2 2" xfId="6378"/>
    <cellStyle name="Normal 3 2 3 2 3" xfId="11068"/>
    <cellStyle name="Normal 3 2 3 3" xfId="2216"/>
    <cellStyle name="Normal 3 2 3 3 2" xfId="6379"/>
    <cellStyle name="Normal 3 2 3 3 3" xfId="11069"/>
    <cellStyle name="Normal 3 2 3 4" xfId="2217"/>
    <cellStyle name="Normal 3 2 3 5" xfId="2218"/>
    <cellStyle name="Normal 3 2 3 6" xfId="2214"/>
    <cellStyle name="Normal 3 2 4" xfId="569"/>
    <cellStyle name="Normal 3 2 4 2" xfId="2220"/>
    <cellStyle name="Normal 3 2 4 3" xfId="2221"/>
    <cellStyle name="Normal 3 2 4 4" xfId="2219"/>
    <cellStyle name="Normal 3 2 5" xfId="2222"/>
    <cellStyle name="Normal 3 2 5 2" xfId="2223"/>
    <cellStyle name="Normal 3 2 5 3" xfId="2224"/>
    <cellStyle name="Normal 3 2 6" xfId="2225"/>
    <cellStyle name="Normal 3 2 7" xfId="2226"/>
    <cellStyle name="Normal 3 2 8" xfId="2227"/>
    <cellStyle name="Normal 3 2 9" xfId="13801"/>
    <cellStyle name="Normal 3 3" xfId="139"/>
    <cellStyle name="Normal 3 3 2" xfId="573"/>
    <cellStyle name="Normal 3 3 2 2" xfId="2228"/>
    <cellStyle name="Normal 3 3 2 3" xfId="1438"/>
    <cellStyle name="Normal 3 3 3" xfId="1013"/>
    <cellStyle name="Normal 3 3 3 2" xfId="1014"/>
    <cellStyle name="Normal 3 3 4" xfId="1015"/>
    <cellStyle name="Normal 3 3 4 2" xfId="1016"/>
    <cellStyle name="Normal 3 3 5" xfId="3312"/>
    <cellStyle name="Normal 3 4" xfId="145"/>
    <cellStyle name="Normal 3 4 2" xfId="1017"/>
    <cellStyle name="Normal 3 4 2 2" xfId="2229"/>
    <cellStyle name="Normal 3 4 3" xfId="2230"/>
    <cellStyle name="Normal 3 4 4" xfId="1439"/>
    <cellStyle name="Normal 3 5" xfId="1018"/>
    <cellStyle name="Normal 3 5 2" xfId="2231"/>
    <cellStyle name="Normal 3 6" xfId="1019"/>
    <cellStyle name="Normal 3 7" xfId="1020"/>
    <cellStyle name="Normal 3 8" xfId="13802"/>
    <cellStyle name="Normal 3_10051" xfId="2232"/>
    <cellStyle name="Normal 30" xfId="574"/>
    <cellStyle name="Normal 30 2" xfId="575"/>
    <cellStyle name="Normal 30 2 2" xfId="2233"/>
    <cellStyle name="Normal 30 3" xfId="1021"/>
    <cellStyle name="Normal 30 4" xfId="1022"/>
    <cellStyle name="Normal 31" xfId="44"/>
    <cellStyle name="Normal 31 2" xfId="577"/>
    <cellStyle name="Normal 31 2 2" xfId="1023"/>
    <cellStyle name="Normal 31 2 2 2" xfId="1024"/>
    <cellStyle name="Normal 31 2 2 2 2" xfId="6380"/>
    <cellStyle name="Normal 31 2 2 2 2 2" xfId="6381"/>
    <cellStyle name="Normal 31 2 2 2 2 2 2" xfId="6382"/>
    <cellStyle name="Normal 31 2 2 2 2 2 3" xfId="11070"/>
    <cellStyle name="Normal 31 2 2 2 2 3" xfId="6383"/>
    <cellStyle name="Normal 31 2 2 2 2 3 2" xfId="6384"/>
    <cellStyle name="Normal 31 2 2 2 2 3 3" xfId="11071"/>
    <cellStyle name="Normal 31 2 2 2 2 4" xfId="6385"/>
    <cellStyle name="Normal 31 2 2 2 2 5" xfId="11072"/>
    <cellStyle name="Normal 31 2 2 2 3" xfId="6386"/>
    <cellStyle name="Normal 31 2 2 2 3 2" xfId="6387"/>
    <cellStyle name="Normal 31 2 2 2 3 3" xfId="11073"/>
    <cellStyle name="Normal 31 2 2 2 4" xfId="6388"/>
    <cellStyle name="Normal 31 2 2 2 4 2" xfId="6389"/>
    <cellStyle name="Normal 31 2 2 2 4 3" xfId="11074"/>
    <cellStyle name="Normal 31 2 2 2 5" xfId="6390"/>
    <cellStyle name="Normal 31 2 2 2 6" xfId="11075"/>
    <cellStyle name="Normal 31 2 2 3" xfId="6391"/>
    <cellStyle name="Normal 31 2 2 3 2" xfId="6392"/>
    <cellStyle name="Normal 31 2 2 3 2 2" xfId="6393"/>
    <cellStyle name="Normal 31 2 2 3 2 3" xfId="11076"/>
    <cellStyle name="Normal 31 2 2 3 3" xfId="6394"/>
    <cellStyle name="Normal 31 2 2 3 3 2" xfId="6395"/>
    <cellStyle name="Normal 31 2 2 3 3 3" xfId="11077"/>
    <cellStyle name="Normal 31 2 2 3 4" xfId="6396"/>
    <cellStyle name="Normal 31 2 2 3 5" xfId="11078"/>
    <cellStyle name="Normal 31 2 2 4" xfId="6397"/>
    <cellStyle name="Normal 31 2 2 4 2" xfId="6398"/>
    <cellStyle name="Normal 31 2 2 4 3" xfId="11079"/>
    <cellStyle name="Normal 31 2 2 5" xfId="6399"/>
    <cellStyle name="Normal 31 2 2 5 2" xfId="6400"/>
    <cellStyle name="Normal 31 2 2 5 3" xfId="11080"/>
    <cellStyle name="Normal 31 2 2 6" xfId="6401"/>
    <cellStyle name="Normal 31 2 2 7" xfId="11081"/>
    <cellStyle name="Normal 31 2 2 8" xfId="2918"/>
    <cellStyle name="Normal 31 2 3" xfId="2234"/>
    <cellStyle name="Normal 31 2 3 2" xfId="6402"/>
    <cellStyle name="Normal 31 2 3 2 2" xfId="6403"/>
    <cellStyle name="Normal 31 2 3 2 2 2" xfId="6404"/>
    <cellStyle name="Normal 31 2 3 2 2 3" xfId="11082"/>
    <cellStyle name="Normal 31 2 3 2 3" xfId="6405"/>
    <cellStyle name="Normal 31 2 3 2 3 2" xfId="6406"/>
    <cellStyle name="Normal 31 2 3 2 3 3" xfId="11083"/>
    <cellStyle name="Normal 31 2 3 2 4" xfId="6407"/>
    <cellStyle name="Normal 31 2 3 2 5" xfId="11084"/>
    <cellStyle name="Normal 31 2 3 3" xfId="6408"/>
    <cellStyle name="Normal 31 2 3 3 2" xfId="6409"/>
    <cellStyle name="Normal 31 2 3 3 3" xfId="11085"/>
    <cellStyle name="Normal 31 2 3 4" xfId="6410"/>
    <cellStyle name="Normal 31 2 3 4 2" xfId="6411"/>
    <cellStyle name="Normal 31 2 3 4 3" xfId="11086"/>
    <cellStyle name="Normal 31 2 3 5" xfId="6412"/>
    <cellStyle name="Normal 31 2 3 6" xfId="11087"/>
    <cellStyle name="Normal 31 2 4" xfId="6413"/>
    <cellStyle name="Normal 31 2 4 2" xfId="6414"/>
    <cellStyle name="Normal 31 2 4 2 2" xfId="6415"/>
    <cellStyle name="Normal 31 2 4 2 3" xfId="11088"/>
    <cellStyle name="Normal 31 2 4 3" xfId="6416"/>
    <cellStyle name="Normal 31 2 4 3 2" xfId="6417"/>
    <cellStyle name="Normal 31 2 4 3 3" xfId="11089"/>
    <cellStyle name="Normal 31 2 4 4" xfId="6418"/>
    <cellStyle name="Normal 31 2 4 5" xfId="11090"/>
    <cellStyle name="Normal 31 2 5" xfId="6419"/>
    <cellStyle name="Normal 31 2 5 2" xfId="6420"/>
    <cellStyle name="Normal 31 2 5 3" xfId="11091"/>
    <cellStyle name="Normal 31 2 6" xfId="6421"/>
    <cellStyle name="Normal 31 2 6 2" xfId="6422"/>
    <cellStyle name="Normal 31 2 6 3" xfId="11092"/>
    <cellStyle name="Normal 31 2 7" xfId="6423"/>
    <cellStyle name="Normal 31 2 8" xfId="11093"/>
    <cellStyle name="Normal 31 3" xfId="576"/>
    <cellStyle name="Normal 31 3 2" xfId="1025"/>
    <cellStyle name="Normal 31 3 2 2" xfId="6424"/>
    <cellStyle name="Normal 31 3 2 2 2" xfId="6425"/>
    <cellStyle name="Normal 31 3 2 2 2 2" xfId="6426"/>
    <cellStyle name="Normal 31 3 2 2 2 3" xfId="11094"/>
    <cellStyle name="Normal 31 3 2 2 3" xfId="6427"/>
    <cellStyle name="Normal 31 3 2 2 3 2" xfId="6428"/>
    <cellStyle name="Normal 31 3 2 2 3 3" xfId="11095"/>
    <cellStyle name="Normal 31 3 2 2 4" xfId="6429"/>
    <cellStyle name="Normal 31 3 2 2 5" xfId="11096"/>
    <cellStyle name="Normal 31 3 2 3" xfId="6430"/>
    <cellStyle name="Normal 31 3 2 3 2" xfId="6431"/>
    <cellStyle name="Normal 31 3 2 3 3" xfId="11097"/>
    <cellStyle name="Normal 31 3 2 4" xfId="6432"/>
    <cellStyle name="Normal 31 3 2 4 2" xfId="6433"/>
    <cellStyle name="Normal 31 3 2 4 3" xfId="11098"/>
    <cellStyle name="Normal 31 3 2 5" xfId="6434"/>
    <cellStyle name="Normal 31 3 2 6" xfId="11099"/>
    <cellStyle name="Normal 31 3 3" xfId="2235"/>
    <cellStyle name="Normal 31 3 3 2" xfId="6435"/>
    <cellStyle name="Normal 31 3 3 2 2" xfId="6436"/>
    <cellStyle name="Normal 31 3 3 2 3" xfId="11100"/>
    <cellStyle name="Normal 31 3 3 3" xfId="6437"/>
    <cellStyle name="Normal 31 3 3 3 2" xfId="6438"/>
    <cellStyle name="Normal 31 3 3 3 3" xfId="11101"/>
    <cellStyle name="Normal 31 3 3 4" xfId="6439"/>
    <cellStyle name="Normal 31 3 3 5" xfId="11102"/>
    <cellStyle name="Normal 31 3 4" xfId="1440"/>
    <cellStyle name="Normal 31 3 4 2" xfId="6441"/>
    <cellStyle name="Normal 31 3 4 3" xfId="11103"/>
    <cellStyle name="Normal 31 3 4 4" xfId="6440"/>
    <cellStyle name="Normal 31 3 5" xfId="6442"/>
    <cellStyle name="Normal 31 3 5 2" xfId="6443"/>
    <cellStyle name="Normal 31 3 5 3" xfId="11104"/>
    <cellStyle name="Normal 31 3 6" xfId="6444"/>
    <cellStyle name="Normal 31 3 7" xfId="11105"/>
    <cellStyle name="Normal 31 4" xfId="1026"/>
    <cellStyle name="Normal 31 4 2" xfId="2236"/>
    <cellStyle name="Normal 31 4 2 2" xfId="6445"/>
    <cellStyle name="Normal 31 4 2 2 2" xfId="6446"/>
    <cellStyle name="Normal 31 4 2 2 3" xfId="11106"/>
    <cellStyle name="Normal 31 4 2 3" xfId="6447"/>
    <cellStyle name="Normal 31 4 2 3 2" xfId="6448"/>
    <cellStyle name="Normal 31 4 2 3 3" xfId="11107"/>
    <cellStyle name="Normal 31 4 2 4" xfId="6449"/>
    <cellStyle name="Normal 31 4 2 5" xfId="11108"/>
    <cellStyle name="Normal 31 4 3" xfId="6450"/>
    <cellStyle name="Normal 31 4 3 2" xfId="6451"/>
    <cellStyle name="Normal 31 4 3 3" xfId="11109"/>
    <cellStyle name="Normal 31 4 4" xfId="6452"/>
    <cellStyle name="Normal 31 4 4 2" xfId="6453"/>
    <cellStyle name="Normal 31 4 4 3" xfId="11110"/>
    <cellStyle name="Normal 31 4 5" xfId="6454"/>
    <cellStyle name="Normal 31 4 6" xfId="11111"/>
    <cellStyle name="Normal 31 4 7" xfId="2919"/>
    <cellStyle name="Normal 31 5" xfId="6455"/>
    <cellStyle name="Normal 31 5 2" xfId="6456"/>
    <cellStyle name="Normal 31 5 2 2" xfId="6457"/>
    <cellStyle name="Normal 31 5 2 3" xfId="11112"/>
    <cellStyle name="Normal 31 5 3" xfId="6458"/>
    <cellStyle name="Normal 31 5 3 2" xfId="6459"/>
    <cellStyle name="Normal 31 5 3 3" xfId="11113"/>
    <cellStyle name="Normal 31 5 4" xfId="6460"/>
    <cellStyle name="Normal 31 5 5" xfId="11114"/>
    <cellStyle name="Normal 31 6" xfId="6461"/>
    <cellStyle name="Normal 31 6 2" xfId="6462"/>
    <cellStyle name="Normal 31 6 3" xfId="11115"/>
    <cellStyle name="Normal 31 7" xfId="6463"/>
    <cellStyle name="Normal 31 7 2" xfId="6464"/>
    <cellStyle name="Normal 31 7 3" xfId="11116"/>
    <cellStyle name="Normal 31 8" xfId="6465"/>
    <cellStyle name="Normal 31 9" xfId="11117"/>
    <cellStyle name="Normal 32" xfId="578"/>
    <cellStyle name="Normal 32 2" xfId="579"/>
    <cellStyle name="Normal 32 2 2" xfId="1027"/>
    <cellStyle name="Normal 32 2 2 2" xfId="2237"/>
    <cellStyle name="Normal 32 2 2 2 2" xfId="6466"/>
    <cellStyle name="Normal 32 2 2 2 2 2" xfId="6467"/>
    <cellStyle name="Normal 32 2 2 2 2 2 2" xfId="6468"/>
    <cellStyle name="Normal 32 2 2 2 2 2 3" xfId="11118"/>
    <cellStyle name="Normal 32 2 2 2 2 3" xfId="6469"/>
    <cellStyle name="Normal 32 2 2 2 2 3 2" xfId="6470"/>
    <cellStyle name="Normal 32 2 2 2 2 3 3" xfId="11119"/>
    <cellStyle name="Normal 32 2 2 2 2 4" xfId="6471"/>
    <cellStyle name="Normal 32 2 2 2 2 5" xfId="11120"/>
    <cellStyle name="Normal 32 2 2 2 3" xfId="6472"/>
    <cellStyle name="Normal 32 2 2 2 3 2" xfId="6473"/>
    <cellStyle name="Normal 32 2 2 2 3 3" xfId="11121"/>
    <cellStyle name="Normal 32 2 2 2 4" xfId="6474"/>
    <cellStyle name="Normal 32 2 2 2 4 2" xfId="6475"/>
    <cellStyle name="Normal 32 2 2 2 4 3" xfId="11122"/>
    <cellStyle name="Normal 32 2 2 2 5" xfId="6476"/>
    <cellStyle name="Normal 32 2 2 2 6" xfId="11123"/>
    <cellStyle name="Normal 32 2 2 3" xfId="6477"/>
    <cellStyle name="Normal 32 2 2 3 2" xfId="6478"/>
    <cellStyle name="Normal 32 2 2 3 2 2" xfId="6479"/>
    <cellStyle name="Normal 32 2 2 3 2 3" xfId="11124"/>
    <cellStyle name="Normal 32 2 2 3 3" xfId="6480"/>
    <cellStyle name="Normal 32 2 2 3 3 2" xfId="6481"/>
    <cellStyle name="Normal 32 2 2 3 3 3" xfId="11125"/>
    <cellStyle name="Normal 32 2 2 3 4" xfId="6482"/>
    <cellStyle name="Normal 32 2 2 3 5" xfId="11126"/>
    <cellStyle name="Normal 32 2 2 4" xfId="6483"/>
    <cellStyle name="Normal 32 2 2 4 2" xfId="6484"/>
    <cellStyle name="Normal 32 2 2 4 3" xfId="11127"/>
    <cellStyle name="Normal 32 2 2 5" xfId="6485"/>
    <cellStyle name="Normal 32 2 2 5 2" xfId="6486"/>
    <cellStyle name="Normal 32 2 2 5 3" xfId="11128"/>
    <cellStyle name="Normal 32 2 2 6" xfId="6487"/>
    <cellStyle name="Normal 32 2 2 7" xfId="11129"/>
    <cellStyle name="Normal 32 2 3" xfId="1028"/>
    <cellStyle name="Normal 32 2 3 2" xfId="6488"/>
    <cellStyle name="Normal 32 2 3 2 2" xfId="6489"/>
    <cellStyle name="Normal 32 2 3 2 2 2" xfId="6490"/>
    <cellStyle name="Normal 32 2 3 2 2 3" xfId="11130"/>
    <cellStyle name="Normal 32 2 3 2 3" xfId="6491"/>
    <cellStyle name="Normal 32 2 3 2 3 2" xfId="6492"/>
    <cellStyle name="Normal 32 2 3 2 3 3" xfId="11131"/>
    <cellStyle name="Normal 32 2 3 2 4" xfId="6493"/>
    <cellStyle name="Normal 32 2 3 2 5" xfId="11132"/>
    <cellStyle name="Normal 32 2 3 3" xfId="6494"/>
    <cellStyle name="Normal 32 2 3 3 2" xfId="6495"/>
    <cellStyle name="Normal 32 2 3 3 3" xfId="11133"/>
    <cellStyle name="Normal 32 2 3 4" xfId="6496"/>
    <cellStyle name="Normal 32 2 3 4 2" xfId="6497"/>
    <cellStyle name="Normal 32 2 3 4 3" xfId="11134"/>
    <cellStyle name="Normal 32 2 3 5" xfId="6498"/>
    <cellStyle name="Normal 32 2 3 6" xfId="11135"/>
    <cellStyle name="Normal 32 2 4" xfId="6499"/>
    <cellStyle name="Normal 32 2 4 2" xfId="6500"/>
    <cellStyle name="Normal 32 2 4 2 2" xfId="6501"/>
    <cellStyle name="Normal 32 2 4 2 3" xfId="11136"/>
    <cellStyle name="Normal 32 2 4 3" xfId="6502"/>
    <cellStyle name="Normal 32 2 4 3 2" xfId="6503"/>
    <cellStyle name="Normal 32 2 4 3 3" xfId="11137"/>
    <cellStyle name="Normal 32 2 4 4" xfId="6504"/>
    <cellStyle name="Normal 32 2 4 5" xfId="11138"/>
    <cellStyle name="Normal 32 2 5" xfId="6505"/>
    <cellStyle name="Normal 32 2 5 2" xfId="6506"/>
    <cellStyle name="Normal 32 2 5 3" xfId="11139"/>
    <cellStyle name="Normal 32 2 6" xfId="6507"/>
    <cellStyle name="Normal 32 2 6 2" xfId="6508"/>
    <cellStyle name="Normal 32 2 6 3" xfId="11140"/>
    <cellStyle name="Normal 32 2 7" xfId="6509"/>
    <cellStyle name="Normal 32 2 8" xfId="11141"/>
    <cellStyle name="Normal 32 3" xfId="1029"/>
    <cellStyle name="Normal 32 3 2" xfId="2238"/>
    <cellStyle name="Normal 32 3 2 2" xfId="6510"/>
    <cellStyle name="Normal 32 3 2 2 2" xfId="6511"/>
    <cellStyle name="Normal 32 3 2 2 2 2" xfId="6512"/>
    <cellStyle name="Normal 32 3 2 2 2 3" xfId="11142"/>
    <cellStyle name="Normal 32 3 2 2 3" xfId="6513"/>
    <cellStyle name="Normal 32 3 2 2 3 2" xfId="6514"/>
    <cellStyle name="Normal 32 3 2 2 3 3" xfId="11143"/>
    <cellStyle name="Normal 32 3 2 2 4" xfId="6515"/>
    <cellStyle name="Normal 32 3 2 2 5" xfId="11144"/>
    <cellStyle name="Normal 32 3 2 3" xfId="6516"/>
    <cellStyle name="Normal 32 3 2 3 2" xfId="6517"/>
    <cellStyle name="Normal 32 3 2 3 3" xfId="11145"/>
    <cellStyle name="Normal 32 3 2 4" xfId="6518"/>
    <cellStyle name="Normal 32 3 2 4 2" xfId="6519"/>
    <cellStyle name="Normal 32 3 2 4 3" xfId="11146"/>
    <cellStyle name="Normal 32 3 2 5" xfId="6520"/>
    <cellStyle name="Normal 32 3 2 6" xfId="11147"/>
    <cellStyle name="Normal 32 3 3" xfId="6521"/>
    <cellStyle name="Normal 32 3 3 2" xfId="6522"/>
    <cellStyle name="Normal 32 3 3 2 2" xfId="6523"/>
    <cellStyle name="Normal 32 3 3 2 3" xfId="11148"/>
    <cellStyle name="Normal 32 3 3 3" xfId="6524"/>
    <cellStyle name="Normal 32 3 3 3 2" xfId="6525"/>
    <cellStyle name="Normal 32 3 3 3 3" xfId="11149"/>
    <cellStyle name="Normal 32 3 3 4" xfId="6526"/>
    <cellStyle name="Normal 32 3 3 5" xfId="11150"/>
    <cellStyle name="Normal 32 3 4" xfId="6527"/>
    <cellStyle name="Normal 32 3 4 2" xfId="6528"/>
    <cellStyle name="Normal 32 3 4 3" xfId="11151"/>
    <cellStyle name="Normal 32 3 5" xfId="6529"/>
    <cellStyle name="Normal 32 3 5 2" xfId="6530"/>
    <cellStyle name="Normal 32 3 5 3" xfId="11152"/>
    <cellStyle name="Normal 32 3 6" xfId="6531"/>
    <cellStyle name="Normal 32 3 7" xfId="11153"/>
    <cellStyle name="Normal 32 3 8" xfId="2920"/>
    <cellStyle name="Normal 32 4" xfId="1030"/>
    <cellStyle name="Normal 32 4 2" xfId="2239"/>
    <cellStyle name="Normal 32 4 2 2" xfId="6532"/>
    <cellStyle name="Normal 32 4 2 2 2" xfId="6533"/>
    <cellStyle name="Normal 32 4 2 2 3" xfId="11154"/>
    <cellStyle name="Normal 32 4 2 3" xfId="6534"/>
    <cellStyle name="Normal 32 4 2 3 2" xfId="6535"/>
    <cellStyle name="Normal 32 4 2 3 3" xfId="11155"/>
    <cellStyle name="Normal 32 4 2 4" xfId="6536"/>
    <cellStyle name="Normal 32 4 2 5" xfId="11156"/>
    <cellStyle name="Normal 32 4 3" xfId="6537"/>
    <cellStyle name="Normal 32 4 3 2" xfId="6538"/>
    <cellStyle name="Normal 32 4 3 3" xfId="11157"/>
    <cellStyle name="Normal 32 4 4" xfId="6539"/>
    <cellStyle name="Normal 32 4 4 2" xfId="6540"/>
    <cellStyle name="Normal 32 4 4 3" xfId="11158"/>
    <cellStyle name="Normal 32 4 5" xfId="6541"/>
    <cellStyle name="Normal 32 4 6" xfId="11159"/>
    <cellStyle name="Normal 32 4 7" xfId="2921"/>
    <cellStyle name="Normal 32 5" xfId="6542"/>
    <cellStyle name="Normal 32 5 2" xfId="6543"/>
    <cellStyle name="Normal 32 5 2 2" xfId="6544"/>
    <cellStyle name="Normal 32 5 2 3" xfId="11160"/>
    <cellStyle name="Normal 32 5 3" xfId="6545"/>
    <cellStyle name="Normal 32 5 3 2" xfId="6546"/>
    <cellStyle name="Normal 32 5 3 3" xfId="11161"/>
    <cellStyle name="Normal 32 5 4" xfId="6547"/>
    <cellStyle name="Normal 32 5 5" xfId="11162"/>
    <cellStyle name="Normal 32 6" xfId="6548"/>
    <cellStyle name="Normal 32 6 2" xfId="6549"/>
    <cellStyle name="Normal 32 6 3" xfId="11163"/>
    <cellStyle name="Normal 32 7" xfId="6550"/>
    <cellStyle name="Normal 32 7 2" xfId="6551"/>
    <cellStyle name="Normal 32 7 3" xfId="11164"/>
    <cellStyle name="Normal 32 8" xfId="6552"/>
    <cellStyle name="Normal 32 9" xfId="11165"/>
    <cellStyle name="Normal 33" xfId="580"/>
    <cellStyle name="Normal 33 2" xfId="581"/>
    <cellStyle name="Normal 33 2 2" xfId="2240"/>
    <cellStyle name="Normal 33 3" xfId="1031"/>
    <cellStyle name="Normal 33 4" xfId="1441"/>
    <cellStyle name="Normal 34" xfId="582"/>
    <cellStyle name="Normal 34 2" xfId="583"/>
    <cellStyle name="Normal 34 2 2" xfId="2241"/>
    <cellStyle name="Normal 34 3" xfId="1032"/>
    <cellStyle name="Normal 35" xfId="584"/>
    <cellStyle name="Normal 35 2" xfId="585"/>
    <cellStyle name="Normal 35 2 2" xfId="2243"/>
    <cellStyle name="Normal 35 2 2 2" xfId="6553"/>
    <cellStyle name="Normal 35 2 2 2 2" xfId="6554"/>
    <cellStyle name="Normal 35 2 2 2 2 2" xfId="6555"/>
    <cellStyle name="Normal 35 2 2 2 2 3" xfId="11166"/>
    <cellStyle name="Normal 35 2 2 2 3" xfId="6556"/>
    <cellStyle name="Normal 35 2 2 2 3 2" xfId="6557"/>
    <cellStyle name="Normal 35 2 2 2 3 3" xfId="11167"/>
    <cellStyle name="Normal 35 2 2 2 4" xfId="6558"/>
    <cellStyle name="Normal 35 2 2 2 5" xfId="11168"/>
    <cellStyle name="Normal 35 2 2 3" xfId="6559"/>
    <cellStyle name="Normal 35 2 2 3 2" xfId="6560"/>
    <cellStyle name="Normal 35 2 2 3 3" xfId="11169"/>
    <cellStyle name="Normal 35 2 2 4" xfId="6561"/>
    <cellStyle name="Normal 35 2 2 4 2" xfId="6562"/>
    <cellStyle name="Normal 35 2 2 4 3" xfId="11170"/>
    <cellStyle name="Normal 35 2 2 5" xfId="6563"/>
    <cellStyle name="Normal 35 2 2 6" xfId="11171"/>
    <cellStyle name="Normal 35 2 3" xfId="2242"/>
    <cellStyle name="Normal 35 2 3 2" xfId="6565"/>
    <cellStyle name="Normal 35 2 3 2 2" xfId="6566"/>
    <cellStyle name="Normal 35 2 3 2 3" xfId="11172"/>
    <cellStyle name="Normal 35 2 3 3" xfId="6567"/>
    <cellStyle name="Normal 35 2 3 3 2" xfId="6568"/>
    <cellStyle name="Normal 35 2 3 3 3" xfId="11173"/>
    <cellStyle name="Normal 35 2 3 4" xfId="6569"/>
    <cellStyle name="Normal 35 2 3 5" xfId="11174"/>
    <cellStyle name="Normal 35 2 3 6" xfId="6564"/>
    <cellStyle name="Normal 35 2 4" xfId="6570"/>
    <cellStyle name="Normal 35 2 4 2" xfId="6571"/>
    <cellStyle name="Normal 35 2 4 3" xfId="11175"/>
    <cellStyle name="Normal 35 2 5" xfId="6572"/>
    <cellStyle name="Normal 35 2 5 2" xfId="6573"/>
    <cellStyle name="Normal 35 2 5 3" xfId="11176"/>
    <cellStyle name="Normal 35 2 6" xfId="6574"/>
    <cellStyle name="Normal 35 2 7" xfId="11177"/>
    <cellStyle name="Normal 35 2 8" xfId="2922"/>
    <cellStyle name="Normal 35 3" xfId="1033"/>
    <cellStyle name="Normal 35 3 2" xfId="2244"/>
    <cellStyle name="Normal 35 3 2 2" xfId="6575"/>
    <cellStyle name="Normal 35 3 2 2 2" xfId="6576"/>
    <cellStyle name="Normal 35 3 2 2 3" xfId="11178"/>
    <cellStyle name="Normal 35 3 2 3" xfId="6577"/>
    <cellStyle name="Normal 35 3 2 3 2" xfId="6578"/>
    <cellStyle name="Normal 35 3 2 3 3" xfId="11179"/>
    <cellStyle name="Normal 35 3 2 4" xfId="6579"/>
    <cellStyle name="Normal 35 3 2 5" xfId="11180"/>
    <cellStyle name="Normal 35 3 3" xfId="6580"/>
    <cellStyle name="Normal 35 3 3 2" xfId="6581"/>
    <cellStyle name="Normal 35 3 3 3" xfId="11181"/>
    <cellStyle name="Normal 35 3 4" xfId="6582"/>
    <cellStyle name="Normal 35 3 4 2" xfId="6583"/>
    <cellStyle name="Normal 35 3 4 3" xfId="11182"/>
    <cellStyle name="Normal 35 3 5" xfId="6584"/>
    <cellStyle name="Normal 35 3 6" xfId="11183"/>
    <cellStyle name="Normal 35 3 7" xfId="2923"/>
    <cellStyle name="Normal 35 4" xfId="6585"/>
    <cellStyle name="Normal 35 4 2" xfId="6586"/>
    <cellStyle name="Normal 35 4 2 2" xfId="6587"/>
    <cellStyle name="Normal 35 4 2 3" xfId="11184"/>
    <cellStyle name="Normal 35 4 3" xfId="6588"/>
    <cellStyle name="Normal 35 4 3 2" xfId="6589"/>
    <cellStyle name="Normal 35 4 3 3" xfId="11185"/>
    <cellStyle name="Normal 35 4 4" xfId="6590"/>
    <cellStyle name="Normal 35 4 5" xfId="11186"/>
    <cellStyle name="Normal 35 5" xfId="6591"/>
    <cellStyle name="Normal 35 5 2" xfId="6592"/>
    <cellStyle name="Normal 35 5 3" xfId="11187"/>
    <cellStyle name="Normal 35 6" xfId="6593"/>
    <cellStyle name="Normal 35 6 2" xfId="6594"/>
    <cellStyle name="Normal 35 6 3" xfId="11188"/>
    <cellStyle name="Normal 35 7" xfId="6595"/>
    <cellStyle name="Normal 35 8" xfId="11189"/>
    <cellStyle name="Normal 36" xfId="586"/>
    <cellStyle name="Normal 36 2" xfId="587"/>
    <cellStyle name="Normal 36 2 2" xfId="2246"/>
    <cellStyle name="Normal 36 2 2 2" xfId="6596"/>
    <cellStyle name="Normal 36 2 2 2 2" xfId="6597"/>
    <cellStyle name="Normal 36 2 2 2 2 2" xfId="6598"/>
    <cellStyle name="Normal 36 2 2 2 2 3" xfId="11190"/>
    <cellStyle name="Normal 36 2 2 2 3" xfId="6599"/>
    <cellStyle name="Normal 36 2 2 2 3 2" xfId="6600"/>
    <cellStyle name="Normal 36 2 2 2 3 3" xfId="11191"/>
    <cellStyle name="Normal 36 2 2 2 4" xfId="6601"/>
    <cellStyle name="Normal 36 2 2 2 5" xfId="11192"/>
    <cellStyle name="Normal 36 2 2 3" xfId="6602"/>
    <cellStyle name="Normal 36 2 2 3 2" xfId="6603"/>
    <cellStyle name="Normal 36 2 2 3 3" xfId="11193"/>
    <cellStyle name="Normal 36 2 2 4" xfId="6604"/>
    <cellStyle name="Normal 36 2 2 4 2" xfId="6605"/>
    <cellStyle name="Normal 36 2 2 4 3" xfId="11194"/>
    <cellStyle name="Normal 36 2 2 5" xfId="6606"/>
    <cellStyle name="Normal 36 2 2 6" xfId="11195"/>
    <cellStyle name="Normal 36 2 3" xfId="2245"/>
    <cellStyle name="Normal 36 2 3 2" xfId="6608"/>
    <cellStyle name="Normal 36 2 3 2 2" xfId="6609"/>
    <cellStyle name="Normal 36 2 3 2 3" xfId="11196"/>
    <cellStyle name="Normal 36 2 3 3" xfId="6610"/>
    <cellStyle name="Normal 36 2 3 3 2" xfId="6611"/>
    <cellStyle name="Normal 36 2 3 3 3" xfId="11197"/>
    <cellStyle name="Normal 36 2 3 4" xfId="6612"/>
    <cellStyle name="Normal 36 2 3 5" xfId="11198"/>
    <cellStyle name="Normal 36 2 3 6" xfId="6607"/>
    <cellStyle name="Normal 36 2 4" xfId="6613"/>
    <cellStyle name="Normal 36 2 4 2" xfId="6614"/>
    <cellStyle name="Normal 36 2 4 3" xfId="11199"/>
    <cellStyle name="Normal 36 2 5" xfId="6615"/>
    <cellStyle name="Normal 36 2 5 2" xfId="6616"/>
    <cellStyle name="Normal 36 2 5 3" xfId="11200"/>
    <cellStyle name="Normal 36 2 6" xfId="6617"/>
    <cellStyle name="Normal 36 2 7" xfId="11201"/>
    <cellStyle name="Normal 36 2 8" xfId="2924"/>
    <cellStyle name="Normal 36 3" xfId="1034"/>
    <cellStyle name="Normal 36 3 2" xfId="6618"/>
    <cellStyle name="Normal 36 3 2 2" xfId="6619"/>
    <cellStyle name="Normal 36 3 2 2 2" xfId="6620"/>
    <cellStyle name="Normal 36 3 2 2 3" xfId="11202"/>
    <cellStyle name="Normal 36 3 2 3" xfId="6621"/>
    <cellStyle name="Normal 36 3 2 3 2" xfId="6622"/>
    <cellStyle name="Normal 36 3 2 3 3" xfId="11203"/>
    <cellStyle name="Normal 36 3 2 4" xfId="6623"/>
    <cellStyle name="Normal 36 3 2 5" xfId="11204"/>
    <cellStyle name="Normal 36 3 3" xfId="6624"/>
    <cellStyle name="Normal 36 3 3 2" xfId="6625"/>
    <cellStyle name="Normal 36 3 3 3" xfId="11205"/>
    <cellStyle name="Normal 36 3 4" xfId="6626"/>
    <cellStyle name="Normal 36 3 4 2" xfId="6627"/>
    <cellStyle name="Normal 36 3 4 3" xfId="11206"/>
    <cellStyle name="Normal 36 3 5" xfId="6628"/>
    <cellStyle name="Normal 36 3 6" xfId="11207"/>
    <cellStyle name="Normal 36 4" xfId="6629"/>
    <cellStyle name="Normal 36 4 2" xfId="6630"/>
    <cellStyle name="Normal 36 4 2 2" xfId="6631"/>
    <cellStyle name="Normal 36 4 2 3" xfId="11208"/>
    <cellStyle name="Normal 36 4 3" xfId="6632"/>
    <cellStyle name="Normal 36 4 3 2" xfId="6633"/>
    <cellStyle name="Normal 36 4 3 3" xfId="11209"/>
    <cellStyle name="Normal 36 4 4" xfId="6634"/>
    <cellStyle name="Normal 36 4 5" xfId="11210"/>
    <cellStyle name="Normal 36 5" xfId="6635"/>
    <cellStyle name="Normal 36 5 2" xfId="6636"/>
    <cellStyle name="Normal 36 5 3" xfId="11211"/>
    <cellStyle name="Normal 36 6" xfId="6637"/>
    <cellStyle name="Normal 36 6 2" xfId="6638"/>
    <cellStyle name="Normal 36 6 3" xfId="11212"/>
    <cellStyle name="Normal 36 7" xfId="6639"/>
    <cellStyle name="Normal 36 8" xfId="11213"/>
    <cellStyle name="Normal 37" xfId="588"/>
    <cellStyle name="Normal 37 2" xfId="1035"/>
    <cellStyle name="Normal 37 2 2" xfId="2247"/>
    <cellStyle name="Normal 37 2 2 2" xfId="6640"/>
    <cellStyle name="Normal 37 2 2 2 2" xfId="6641"/>
    <cellStyle name="Normal 37 2 2 2 2 2" xfId="6642"/>
    <cellStyle name="Normal 37 2 2 2 2 3" xfId="11214"/>
    <cellStyle name="Normal 37 2 2 2 3" xfId="6643"/>
    <cellStyle name="Normal 37 2 2 2 3 2" xfId="6644"/>
    <cellStyle name="Normal 37 2 2 2 3 3" xfId="11215"/>
    <cellStyle name="Normal 37 2 2 2 4" xfId="6645"/>
    <cellStyle name="Normal 37 2 2 2 5" xfId="11216"/>
    <cellStyle name="Normal 37 2 2 3" xfId="6646"/>
    <cellStyle name="Normal 37 2 2 3 2" xfId="6647"/>
    <cellStyle name="Normal 37 2 2 3 3" xfId="11217"/>
    <cellStyle name="Normal 37 2 2 4" xfId="6648"/>
    <cellStyle name="Normal 37 2 2 4 2" xfId="6649"/>
    <cellStyle name="Normal 37 2 2 4 3" xfId="11218"/>
    <cellStyle name="Normal 37 2 2 5" xfId="6650"/>
    <cellStyle name="Normal 37 2 2 6" xfId="11219"/>
    <cellStyle name="Normal 37 2 3" xfId="6651"/>
    <cellStyle name="Normal 37 2 3 2" xfId="6652"/>
    <cellStyle name="Normal 37 2 3 2 2" xfId="6653"/>
    <cellStyle name="Normal 37 2 3 2 3" xfId="11220"/>
    <cellStyle name="Normal 37 2 3 3" xfId="6654"/>
    <cellStyle name="Normal 37 2 3 3 2" xfId="6655"/>
    <cellStyle name="Normal 37 2 3 3 3" xfId="11221"/>
    <cellStyle name="Normal 37 2 3 4" xfId="6656"/>
    <cellStyle name="Normal 37 2 3 5" xfId="11222"/>
    <cellStyle name="Normal 37 2 4" xfId="6657"/>
    <cellStyle name="Normal 37 2 4 2" xfId="6658"/>
    <cellStyle name="Normal 37 2 4 3" xfId="11223"/>
    <cellStyle name="Normal 37 2 5" xfId="6659"/>
    <cellStyle name="Normal 37 2 5 2" xfId="6660"/>
    <cellStyle name="Normal 37 2 5 3" xfId="11224"/>
    <cellStyle name="Normal 37 2 6" xfId="6661"/>
    <cellStyle name="Normal 37 2 7" xfId="11225"/>
    <cellStyle name="Normal 37 2 8" xfId="2925"/>
    <cellStyle name="Normal 37 3" xfId="1036"/>
    <cellStyle name="Normal 37 3 2" xfId="6662"/>
    <cellStyle name="Normal 37 3 2 2" xfId="6663"/>
    <cellStyle name="Normal 37 3 2 2 2" xfId="6664"/>
    <cellStyle name="Normal 37 3 2 2 3" xfId="11226"/>
    <cellStyle name="Normal 37 3 2 3" xfId="6665"/>
    <cellStyle name="Normal 37 3 2 3 2" xfId="6666"/>
    <cellStyle name="Normal 37 3 2 3 3" xfId="11227"/>
    <cellStyle name="Normal 37 3 2 4" xfId="6667"/>
    <cellStyle name="Normal 37 3 2 5" xfId="11228"/>
    <cellStyle name="Normal 37 3 3" xfId="6668"/>
    <cellStyle name="Normal 37 3 3 2" xfId="6669"/>
    <cellStyle name="Normal 37 3 3 3" xfId="11229"/>
    <cellStyle name="Normal 37 3 4" xfId="6670"/>
    <cellStyle name="Normal 37 3 4 2" xfId="6671"/>
    <cellStyle name="Normal 37 3 4 3" xfId="11230"/>
    <cellStyle name="Normal 37 3 5" xfId="6672"/>
    <cellStyle name="Normal 37 3 6" xfId="11231"/>
    <cellStyle name="Normal 37 4" xfId="6673"/>
    <cellStyle name="Normal 37 4 2" xfId="6674"/>
    <cellStyle name="Normal 37 4 2 2" xfId="6675"/>
    <cellStyle name="Normal 37 4 2 3" xfId="11232"/>
    <cellStyle name="Normal 37 4 3" xfId="6676"/>
    <cellStyle name="Normal 37 4 3 2" xfId="6677"/>
    <cellStyle name="Normal 37 4 3 3" xfId="11233"/>
    <cellStyle name="Normal 37 4 4" xfId="6678"/>
    <cellStyle name="Normal 37 4 5" xfId="11234"/>
    <cellStyle name="Normal 37 5" xfId="6679"/>
    <cellStyle name="Normal 37 5 2" xfId="6680"/>
    <cellStyle name="Normal 37 5 3" xfId="11235"/>
    <cellStyle name="Normal 37 6" xfId="6681"/>
    <cellStyle name="Normal 37 6 2" xfId="6682"/>
    <cellStyle name="Normal 37 6 3" xfId="11236"/>
    <cellStyle name="Normal 37 7" xfId="6683"/>
    <cellStyle name="Normal 37 8" xfId="11237"/>
    <cellStyle name="Normal 38" xfId="589"/>
    <cellStyle name="Normal 38 2" xfId="1037"/>
    <cellStyle name="Normal 38 2 2" xfId="2248"/>
    <cellStyle name="Normal 38 2 2 2" xfId="6684"/>
    <cellStyle name="Normal 38 2 2 2 2" xfId="6685"/>
    <cellStyle name="Normal 38 2 2 2 2 2" xfId="6686"/>
    <cellStyle name="Normal 38 2 2 2 2 3" xfId="11238"/>
    <cellStyle name="Normal 38 2 2 2 3" xfId="6687"/>
    <cellStyle name="Normal 38 2 2 2 3 2" xfId="6688"/>
    <cellStyle name="Normal 38 2 2 2 3 3" xfId="11239"/>
    <cellStyle name="Normal 38 2 2 2 4" xfId="6689"/>
    <cellStyle name="Normal 38 2 2 2 5" xfId="11240"/>
    <cellStyle name="Normal 38 2 2 3" xfId="6690"/>
    <cellStyle name="Normal 38 2 2 3 2" xfId="6691"/>
    <cellStyle name="Normal 38 2 2 3 3" xfId="11241"/>
    <cellStyle name="Normal 38 2 2 4" xfId="6692"/>
    <cellStyle name="Normal 38 2 2 4 2" xfId="6693"/>
    <cellStyle name="Normal 38 2 2 4 3" xfId="11242"/>
    <cellStyle name="Normal 38 2 2 5" xfId="6694"/>
    <cellStyle name="Normal 38 2 2 6" xfId="11243"/>
    <cellStyle name="Normal 38 2 3" xfId="6695"/>
    <cellStyle name="Normal 38 2 3 2" xfId="6696"/>
    <cellStyle name="Normal 38 2 3 2 2" xfId="6697"/>
    <cellStyle name="Normal 38 2 3 2 3" xfId="11244"/>
    <cellStyle name="Normal 38 2 3 3" xfId="6698"/>
    <cellStyle name="Normal 38 2 3 3 2" xfId="6699"/>
    <cellStyle name="Normal 38 2 3 3 3" xfId="11245"/>
    <cellStyle name="Normal 38 2 3 4" xfId="6700"/>
    <cellStyle name="Normal 38 2 3 5" xfId="11246"/>
    <cellStyle name="Normal 38 2 4" xfId="6701"/>
    <cellStyle name="Normal 38 2 4 2" xfId="6702"/>
    <cellStyle name="Normal 38 2 4 3" xfId="11247"/>
    <cellStyle name="Normal 38 2 5" xfId="6703"/>
    <cellStyle name="Normal 38 2 5 2" xfId="6704"/>
    <cellStyle name="Normal 38 2 5 3" xfId="11248"/>
    <cellStyle name="Normal 38 2 6" xfId="6705"/>
    <cellStyle name="Normal 38 2 7" xfId="11249"/>
    <cellStyle name="Normal 38 2 8" xfId="2926"/>
    <cellStyle name="Normal 38 3" xfId="1038"/>
    <cellStyle name="Normal 38 3 2" xfId="6706"/>
    <cellStyle name="Normal 38 3 2 2" xfId="6707"/>
    <cellStyle name="Normal 38 3 2 2 2" xfId="6708"/>
    <cellStyle name="Normal 38 3 2 2 3" xfId="11250"/>
    <cellStyle name="Normal 38 3 2 3" xfId="6709"/>
    <cellStyle name="Normal 38 3 2 3 2" xfId="6710"/>
    <cellStyle name="Normal 38 3 2 3 3" xfId="11251"/>
    <cellStyle name="Normal 38 3 2 4" xfId="6711"/>
    <cellStyle name="Normal 38 3 2 5" xfId="11252"/>
    <cellStyle name="Normal 38 3 3" xfId="6712"/>
    <cellStyle name="Normal 38 3 3 2" xfId="6713"/>
    <cellStyle name="Normal 38 3 3 3" xfId="11253"/>
    <cellStyle name="Normal 38 3 4" xfId="6714"/>
    <cellStyle name="Normal 38 3 4 2" xfId="6715"/>
    <cellStyle name="Normal 38 3 4 3" xfId="11254"/>
    <cellStyle name="Normal 38 3 5" xfId="6716"/>
    <cellStyle name="Normal 38 3 6" xfId="11255"/>
    <cellStyle name="Normal 38 4" xfId="6717"/>
    <cellStyle name="Normal 38 4 2" xfId="6718"/>
    <cellStyle name="Normal 38 4 2 2" xfId="6719"/>
    <cellStyle name="Normal 38 4 2 3" xfId="11256"/>
    <cellStyle name="Normal 38 4 3" xfId="6720"/>
    <cellStyle name="Normal 38 4 3 2" xfId="6721"/>
    <cellStyle name="Normal 38 4 3 3" xfId="11257"/>
    <cellStyle name="Normal 38 4 4" xfId="6722"/>
    <cellStyle name="Normal 38 4 5" xfId="11258"/>
    <cellStyle name="Normal 38 5" xfId="6723"/>
    <cellStyle name="Normal 38 5 2" xfId="6724"/>
    <cellStyle name="Normal 38 5 3" xfId="11259"/>
    <cellStyle name="Normal 38 6" xfId="6725"/>
    <cellStyle name="Normal 38 6 2" xfId="6726"/>
    <cellStyle name="Normal 38 6 3" xfId="11260"/>
    <cellStyle name="Normal 38 7" xfId="6727"/>
    <cellStyle name="Normal 38 8" xfId="11261"/>
    <cellStyle name="Normal 39" xfId="590"/>
    <cellStyle name="Normal 39 2" xfId="1039"/>
    <cellStyle name="Normal 39 2 2" xfId="2249"/>
    <cellStyle name="Normal 39 2 2 2" xfId="6728"/>
    <cellStyle name="Normal 39 2 2 2 2" xfId="6729"/>
    <cellStyle name="Normal 39 2 2 2 2 2" xfId="6730"/>
    <cellStyle name="Normal 39 2 2 2 2 3" xfId="11262"/>
    <cellStyle name="Normal 39 2 2 2 3" xfId="6731"/>
    <cellStyle name="Normal 39 2 2 2 3 2" xfId="6732"/>
    <cellStyle name="Normal 39 2 2 2 3 3" xfId="11263"/>
    <cellStyle name="Normal 39 2 2 2 4" xfId="6733"/>
    <cellStyle name="Normal 39 2 2 2 5" xfId="11264"/>
    <cellStyle name="Normal 39 2 2 3" xfId="6734"/>
    <cellStyle name="Normal 39 2 2 3 2" xfId="6735"/>
    <cellStyle name="Normal 39 2 2 3 3" xfId="11265"/>
    <cellStyle name="Normal 39 2 2 4" xfId="6736"/>
    <cellStyle name="Normal 39 2 2 4 2" xfId="6737"/>
    <cellStyle name="Normal 39 2 2 4 3" xfId="11266"/>
    <cellStyle name="Normal 39 2 2 5" xfId="6738"/>
    <cellStyle name="Normal 39 2 2 6" xfId="11267"/>
    <cellStyle name="Normal 39 2 3" xfId="6739"/>
    <cellStyle name="Normal 39 2 3 2" xfId="6740"/>
    <cellStyle name="Normal 39 2 3 2 2" xfId="6741"/>
    <cellStyle name="Normal 39 2 3 2 3" xfId="11268"/>
    <cellStyle name="Normal 39 2 3 3" xfId="6742"/>
    <cellStyle name="Normal 39 2 3 3 2" xfId="6743"/>
    <cellStyle name="Normal 39 2 3 3 3" xfId="11269"/>
    <cellStyle name="Normal 39 2 3 4" xfId="6744"/>
    <cellStyle name="Normal 39 2 3 5" xfId="11270"/>
    <cellStyle name="Normal 39 2 4" xfId="6745"/>
    <cellStyle name="Normal 39 2 4 2" xfId="6746"/>
    <cellStyle name="Normal 39 2 4 3" xfId="11271"/>
    <cellStyle name="Normal 39 2 5" xfId="6747"/>
    <cellStyle name="Normal 39 2 5 2" xfId="6748"/>
    <cellStyle name="Normal 39 2 5 3" xfId="11272"/>
    <cellStyle name="Normal 39 2 6" xfId="6749"/>
    <cellStyle name="Normal 39 2 7" xfId="11273"/>
    <cellStyle name="Normal 39 2 8" xfId="2927"/>
    <cellStyle name="Normal 39 3" xfId="1040"/>
    <cellStyle name="Normal 39 3 2" xfId="6750"/>
    <cellStyle name="Normal 39 3 2 2" xfId="6751"/>
    <cellStyle name="Normal 39 3 2 2 2" xfId="6752"/>
    <cellStyle name="Normal 39 3 2 2 3" xfId="11274"/>
    <cellStyle name="Normal 39 3 2 3" xfId="6753"/>
    <cellStyle name="Normal 39 3 2 3 2" xfId="6754"/>
    <cellStyle name="Normal 39 3 2 3 3" xfId="11275"/>
    <cellStyle name="Normal 39 3 2 4" xfId="6755"/>
    <cellStyle name="Normal 39 3 2 5" xfId="11276"/>
    <cellStyle name="Normal 39 3 3" xfId="6756"/>
    <cellStyle name="Normal 39 3 3 2" xfId="6757"/>
    <cellStyle name="Normal 39 3 3 3" xfId="11277"/>
    <cellStyle name="Normal 39 3 4" xfId="6758"/>
    <cellStyle name="Normal 39 3 4 2" xfId="6759"/>
    <cellStyle name="Normal 39 3 4 3" xfId="11278"/>
    <cellStyle name="Normal 39 3 5" xfId="6760"/>
    <cellStyle name="Normal 39 3 6" xfId="11279"/>
    <cellStyle name="Normal 39 4" xfId="6761"/>
    <cellStyle name="Normal 39 4 2" xfId="6762"/>
    <cellStyle name="Normal 39 4 2 2" xfId="6763"/>
    <cellStyle name="Normal 39 4 2 3" xfId="11280"/>
    <cellStyle name="Normal 39 4 3" xfId="6764"/>
    <cellStyle name="Normal 39 4 3 2" xfId="6765"/>
    <cellStyle name="Normal 39 4 3 3" xfId="11281"/>
    <cellStyle name="Normal 39 4 4" xfId="6766"/>
    <cellStyle name="Normal 39 4 5" xfId="11282"/>
    <cellStyle name="Normal 39 5" xfId="6767"/>
    <cellStyle name="Normal 39 5 2" xfId="6768"/>
    <cellStyle name="Normal 39 5 3" xfId="11283"/>
    <cellStyle name="Normal 39 6" xfId="6769"/>
    <cellStyle name="Normal 39 6 2" xfId="6770"/>
    <cellStyle name="Normal 39 6 3" xfId="11284"/>
    <cellStyle name="Normal 39 7" xfId="6771"/>
    <cellStyle name="Normal 39 8" xfId="11285"/>
    <cellStyle name="Normal 4" xfId="45"/>
    <cellStyle name="Normal 4 2" xfId="46"/>
    <cellStyle name="Normal 4 2 2" xfId="592"/>
    <cellStyle name="Normal 4 2 2 2" xfId="1041"/>
    <cellStyle name="Normal 4 2 2 2 2" xfId="2250"/>
    <cellStyle name="Normal 4 2 2 2 2 2" xfId="6772"/>
    <cellStyle name="Normal 4 2 2 2 2 3" xfId="11286"/>
    <cellStyle name="Normal 4 2 2 2 3" xfId="6773"/>
    <cellStyle name="Normal 4 2 2 2 3 2" xfId="6774"/>
    <cellStyle name="Normal 4 2 2 2 3 3" xfId="11287"/>
    <cellStyle name="Normal 4 2 2 2 4" xfId="6775"/>
    <cellStyle name="Normal 4 2 2 2 5" xfId="11288"/>
    <cellStyle name="Normal 4 2 2 3" xfId="6776"/>
    <cellStyle name="Normal 4 2 2 3 2" xfId="6777"/>
    <cellStyle name="Normal 4 2 2 3 3" xfId="11289"/>
    <cellStyle name="Normal 4 2 2 4" xfId="6778"/>
    <cellStyle name="Normal 4 2 2 4 2" xfId="6779"/>
    <cellStyle name="Normal 4 2 2 4 3" xfId="11290"/>
    <cellStyle name="Normal 4 2 2 5" xfId="6780"/>
    <cellStyle name="Normal 4 2 2 6" xfId="11291"/>
    <cellStyle name="Normal 4 2 3" xfId="591"/>
    <cellStyle name="Normal 4 2 3 2" xfId="1442"/>
    <cellStyle name="Normal 4 2 3 2 2" xfId="6782"/>
    <cellStyle name="Normal 4 2 3 2 3" xfId="11292"/>
    <cellStyle name="Normal 4 2 3 2 4" xfId="6781"/>
    <cellStyle name="Normal 4 2 3 3" xfId="6783"/>
    <cellStyle name="Normal 4 2 3 3 2" xfId="6784"/>
    <cellStyle name="Normal 4 2 3 3 3" xfId="11293"/>
    <cellStyle name="Normal 4 2 3 4" xfId="6785"/>
    <cellStyle name="Normal 4 2 3 5" xfId="11294"/>
    <cellStyle name="Normal 4 2 4" xfId="1042"/>
    <cellStyle name="Normal 4 2 4 2" xfId="1043"/>
    <cellStyle name="Normal 4 2 4 3" xfId="11295"/>
    <cellStyle name="Normal 4 2 5" xfId="3313"/>
    <cellStyle name="Normal 4 2 5 2" xfId="6786"/>
    <cellStyle name="Normal 4 2 5 3" xfId="11296"/>
    <cellStyle name="Normal 4 2 6" xfId="6787"/>
    <cellStyle name="Normal 4 2 7" xfId="11297"/>
    <cellStyle name="Normal 4 3" xfId="47"/>
    <cellStyle name="Normal 4 3 2" xfId="593"/>
    <cellStyle name="Normal 4 3 2 2" xfId="1044"/>
    <cellStyle name="Normal 4 3 2 2 2" xfId="2251"/>
    <cellStyle name="Normal 4 3 2 3" xfId="1045"/>
    <cellStyle name="Normal 4 3 3" xfId="1046"/>
    <cellStyle name="Normal 4 3 4" xfId="1047"/>
    <cellStyle name="Normal 4 3 5" xfId="12786"/>
    <cellStyle name="Normal 4 4" xfId="594"/>
    <cellStyle name="Normal 4 4 2" xfId="2252"/>
    <cellStyle name="Normal 4 4 3" xfId="1471"/>
    <cellStyle name="Normal 4 5" xfId="1048"/>
    <cellStyle name="Normal 4 6" xfId="13803"/>
    <cellStyle name="Normal 4_2015 PULLS" xfId="2253"/>
    <cellStyle name="Normal 40" xfId="595"/>
    <cellStyle name="Normal 40 2" xfId="1049"/>
    <cellStyle name="Normal 40 2 2" xfId="2254"/>
    <cellStyle name="Normal 40 2 2 2" xfId="6788"/>
    <cellStyle name="Normal 40 2 2 2 2" xfId="6789"/>
    <cellStyle name="Normal 40 2 2 2 2 2" xfId="6790"/>
    <cellStyle name="Normal 40 2 2 2 2 3" xfId="11298"/>
    <cellStyle name="Normal 40 2 2 2 3" xfId="6791"/>
    <cellStyle name="Normal 40 2 2 2 3 2" xfId="6792"/>
    <cellStyle name="Normal 40 2 2 2 3 3" xfId="11299"/>
    <cellStyle name="Normal 40 2 2 2 4" xfId="6793"/>
    <cellStyle name="Normal 40 2 2 2 5" xfId="11300"/>
    <cellStyle name="Normal 40 2 2 3" xfId="6794"/>
    <cellStyle name="Normal 40 2 2 3 2" xfId="6795"/>
    <cellStyle name="Normal 40 2 2 3 3" xfId="11301"/>
    <cellStyle name="Normal 40 2 2 4" xfId="6796"/>
    <cellStyle name="Normal 40 2 2 4 2" xfId="6797"/>
    <cellStyle name="Normal 40 2 2 4 3" xfId="11302"/>
    <cellStyle name="Normal 40 2 2 5" xfId="6798"/>
    <cellStyle name="Normal 40 2 2 6" xfId="11303"/>
    <cellStyle name="Normal 40 2 3" xfId="6799"/>
    <cellStyle name="Normal 40 2 3 2" xfId="6800"/>
    <cellStyle name="Normal 40 2 3 2 2" xfId="6801"/>
    <cellStyle name="Normal 40 2 3 2 3" xfId="11304"/>
    <cellStyle name="Normal 40 2 3 3" xfId="6802"/>
    <cellStyle name="Normal 40 2 3 3 2" xfId="6803"/>
    <cellStyle name="Normal 40 2 3 3 3" xfId="11305"/>
    <cellStyle name="Normal 40 2 3 4" xfId="6804"/>
    <cellStyle name="Normal 40 2 3 5" xfId="11306"/>
    <cellStyle name="Normal 40 2 4" xfId="6805"/>
    <cellStyle name="Normal 40 2 4 2" xfId="6806"/>
    <cellStyle name="Normal 40 2 4 3" xfId="11307"/>
    <cellStyle name="Normal 40 2 5" xfId="6807"/>
    <cellStyle name="Normal 40 2 5 2" xfId="6808"/>
    <cellStyle name="Normal 40 2 5 3" xfId="11308"/>
    <cellStyle name="Normal 40 2 6" xfId="6809"/>
    <cellStyle name="Normal 40 2 7" xfId="11309"/>
    <cellStyle name="Normal 40 2 8" xfId="2928"/>
    <cellStyle name="Normal 40 3" xfId="1050"/>
    <cellStyle name="Normal 40 3 2" xfId="6810"/>
    <cellStyle name="Normal 40 3 2 2" xfId="6811"/>
    <cellStyle name="Normal 40 3 2 2 2" xfId="6812"/>
    <cellStyle name="Normal 40 3 2 2 3" xfId="11310"/>
    <cellStyle name="Normal 40 3 2 3" xfId="6813"/>
    <cellStyle name="Normal 40 3 2 3 2" xfId="6814"/>
    <cellStyle name="Normal 40 3 2 3 3" xfId="11311"/>
    <cellStyle name="Normal 40 3 2 4" xfId="6815"/>
    <cellStyle name="Normal 40 3 2 5" xfId="11312"/>
    <cellStyle name="Normal 40 3 3" xfId="6816"/>
    <cellStyle name="Normal 40 3 3 2" xfId="6817"/>
    <cellStyle name="Normal 40 3 3 3" xfId="11313"/>
    <cellStyle name="Normal 40 3 4" xfId="6818"/>
    <cellStyle name="Normal 40 3 4 2" xfId="6819"/>
    <cellStyle name="Normal 40 3 4 3" xfId="11314"/>
    <cellStyle name="Normal 40 3 5" xfId="6820"/>
    <cellStyle name="Normal 40 3 6" xfId="11315"/>
    <cellStyle name="Normal 40 4" xfId="6821"/>
    <cellStyle name="Normal 40 4 2" xfId="6822"/>
    <cellStyle name="Normal 40 4 2 2" xfId="6823"/>
    <cellStyle name="Normal 40 4 2 3" xfId="11316"/>
    <cellStyle name="Normal 40 4 3" xfId="6824"/>
    <cellStyle name="Normal 40 4 3 2" xfId="6825"/>
    <cellStyle name="Normal 40 4 3 3" xfId="11317"/>
    <cellStyle name="Normal 40 4 4" xfId="6826"/>
    <cellStyle name="Normal 40 4 5" xfId="11318"/>
    <cellStyle name="Normal 40 5" xfId="6827"/>
    <cellStyle name="Normal 40 5 2" xfId="6828"/>
    <cellStyle name="Normal 40 5 3" xfId="11319"/>
    <cellStyle name="Normal 40 6" xfId="6829"/>
    <cellStyle name="Normal 40 6 2" xfId="6830"/>
    <cellStyle name="Normal 40 6 3" xfId="11320"/>
    <cellStyle name="Normal 40 7" xfId="6831"/>
    <cellStyle name="Normal 40 8" xfId="11321"/>
    <cellStyle name="Normal 41" xfId="691"/>
    <cellStyle name="Normal 41 2" xfId="1051"/>
    <cellStyle name="Normal 41 2 2" xfId="2255"/>
    <cellStyle name="Normal 41 2 2 2" xfId="6832"/>
    <cellStyle name="Normal 41 2 2 2 2" xfId="6833"/>
    <cellStyle name="Normal 41 2 2 2 2 2" xfId="6834"/>
    <cellStyle name="Normal 41 2 2 2 2 3" xfId="11322"/>
    <cellStyle name="Normal 41 2 2 2 3" xfId="6835"/>
    <cellStyle name="Normal 41 2 2 2 3 2" xfId="6836"/>
    <cellStyle name="Normal 41 2 2 2 3 3" xfId="11323"/>
    <cellStyle name="Normal 41 2 2 2 4" xfId="6837"/>
    <cellStyle name="Normal 41 2 2 2 5" xfId="11324"/>
    <cellStyle name="Normal 41 2 2 3" xfId="6838"/>
    <cellStyle name="Normal 41 2 2 3 2" xfId="6839"/>
    <cellStyle name="Normal 41 2 2 3 3" xfId="11325"/>
    <cellStyle name="Normal 41 2 2 4" xfId="6840"/>
    <cellStyle name="Normal 41 2 2 4 2" xfId="6841"/>
    <cellStyle name="Normal 41 2 2 4 3" xfId="11326"/>
    <cellStyle name="Normal 41 2 2 5" xfId="6842"/>
    <cellStyle name="Normal 41 2 2 6" xfId="11327"/>
    <cellStyle name="Normal 41 2 3" xfId="6843"/>
    <cellStyle name="Normal 41 2 3 2" xfId="6844"/>
    <cellStyle name="Normal 41 2 3 2 2" xfId="6845"/>
    <cellStyle name="Normal 41 2 3 2 3" xfId="11328"/>
    <cellStyle name="Normal 41 2 3 3" xfId="6846"/>
    <cellStyle name="Normal 41 2 3 3 2" xfId="6847"/>
    <cellStyle name="Normal 41 2 3 3 3" xfId="11329"/>
    <cellStyle name="Normal 41 2 3 4" xfId="6848"/>
    <cellStyle name="Normal 41 2 3 5" xfId="11330"/>
    <cellStyle name="Normal 41 2 4" xfId="6849"/>
    <cellStyle name="Normal 41 2 4 2" xfId="6850"/>
    <cellStyle name="Normal 41 2 4 3" xfId="11331"/>
    <cellStyle name="Normal 41 2 5" xfId="6851"/>
    <cellStyle name="Normal 41 2 5 2" xfId="6852"/>
    <cellStyle name="Normal 41 2 5 3" xfId="11332"/>
    <cellStyle name="Normal 41 2 6" xfId="6853"/>
    <cellStyle name="Normal 41 2 7" xfId="11333"/>
    <cellStyle name="Normal 41 2 8" xfId="2929"/>
    <cellStyle name="Normal 41 3" xfId="1052"/>
    <cellStyle name="Normal 41 3 2" xfId="6854"/>
    <cellStyle name="Normal 41 3 2 2" xfId="6855"/>
    <cellStyle name="Normal 41 3 2 2 2" xfId="6856"/>
    <cellStyle name="Normal 41 3 2 2 3" xfId="11334"/>
    <cellStyle name="Normal 41 3 2 3" xfId="6857"/>
    <cellStyle name="Normal 41 3 2 3 2" xfId="6858"/>
    <cellStyle name="Normal 41 3 2 3 3" xfId="11335"/>
    <cellStyle name="Normal 41 3 2 4" xfId="6859"/>
    <cellStyle name="Normal 41 3 2 5" xfId="11336"/>
    <cellStyle name="Normal 41 3 3" xfId="6860"/>
    <cellStyle name="Normal 41 3 3 2" xfId="6861"/>
    <cellStyle name="Normal 41 3 3 3" xfId="11337"/>
    <cellStyle name="Normal 41 3 4" xfId="6862"/>
    <cellStyle name="Normal 41 3 4 2" xfId="6863"/>
    <cellStyle name="Normal 41 3 4 3" xfId="11338"/>
    <cellStyle name="Normal 41 3 5" xfId="6864"/>
    <cellStyle name="Normal 41 3 6" xfId="11339"/>
    <cellStyle name="Normal 41 4" xfId="6865"/>
    <cellStyle name="Normal 41 4 2" xfId="6866"/>
    <cellStyle name="Normal 41 4 2 2" xfId="6867"/>
    <cellStyle name="Normal 41 4 2 3" xfId="11340"/>
    <cellStyle name="Normal 41 4 3" xfId="6868"/>
    <cellStyle name="Normal 41 4 3 2" xfId="6869"/>
    <cellStyle name="Normal 41 4 3 3" xfId="11341"/>
    <cellStyle name="Normal 41 4 4" xfId="6870"/>
    <cellStyle name="Normal 41 4 5" xfId="11342"/>
    <cellStyle name="Normal 41 5" xfId="6871"/>
    <cellStyle name="Normal 41 5 2" xfId="6872"/>
    <cellStyle name="Normal 41 5 3" xfId="11343"/>
    <cellStyle name="Normal 41 6" xfId="6873"/>
    <cellStyle name="Normal 41 6 2" xfId="6874"/>
    <cellStyle name="Normal 41 6 3" xfId="11344"/>
    <cellStyle name="Normal 41 7" xfId="6875"/>
    <cellStyle name="Normal 41 8" xfId="11345"/>
    <cellStyle name="Normal 42" xfId="1053"/>
    <cellStyle name="Normal 42 2" xfId="1054"/>
    <cellStyle name="Normal 42 3" xfId="1055"/>
    <cellStyle name="Normal 43" xfId="1056"/>
    <cellStyle name="Normal 43 2" xfId="1057"/>
    <cellStyle name="Normal 43 2 2" xfId="3314"/>
    <cellStyle name="Normal 43 2 2 2" xfId="6876"/>
    <cellStyle name="Normal 43 2 2 2 2" xfId="6877"/>
    <cellStyle name="Normal 43 2 2 2 2 2" xfId="6878"/>
    <cellStyle name="Normal 43 2 2 2 2 3" xfId="11346"/>
    <cellStyle name="Normal 43 2 2 2 3" xfId="6879"/>
    <cellStyle name="Normal 43 2 2 2 3 2" xfId="6880"/>
    <cellStyle name="Normal 43 2 2 2 3 3" xfId="11347"/>
    <cellStyle name="Normal 43 2 2 2 4" xfId="6881"/>
    <cellStyle name="Normal 43 2 2 2 5" xfId="11348"/>
    <cellStyle name="Normal 43 2 2 3" xfId="6882"/>
    <cellStyle name="Normal 43 2 2 3 2" xfId="6883"/>
    <cellStyle name="Normal 43 2 2 3 3" xfId="11349"/>
    <cellStyle name="Normal 43 2 2 4" xfId="6884"/>
    <cellStyle name="Normal 43 2 2 4 2" xfId="6885"/>
    <cellStyle name="Normal 43 2 2 4 3" xfId="11350"/>
    <cellStyle name="Normal 43 2 2 5" xfId="6886"/>
    <cellStyle name="Normal 43 2 2 6" xfId="11351"/>
    <cellStyle name="Normal 43 2 3" xfId="6887"/>
    <cellStyle name="Normal 43 2 3 2" xfId="6888"/>
    <cellStyle name="Normal 43 2 3 2 2" xfId="6889"/>
    <cellStyle name="Normal 43 2 3 2 3" xfId="11352"/>
    <cellStyle name="Normal 43 2 3 3" xfId="6890"/>
    <cellStyle name="Normal 43 2 3 3 2" xfId="6891"/>
    <cellStyle name="Normal 43 2 3 3 3" xfId="11353"/>
    <cellStyle name="Normal 43 2 3 4" xfId="6892"/>
    <cellStyle name="Normal 43 2 3 5" xfId="11354"/>
    <cellStyle name="Normal 43 2 4" xfId="6893"/>
    <cellStyle name="Normal 43 2 4 2" xfId="6894"/>
    <cellStyle name="Normal 43 2 4 3" xfId="11355"/>
    <cellStyle name="Normal 43 2 5" xfId="6895"/>
    <cellStyle name="Normal 43 2 5 2" xfId="6896"/>
    <cellStyle name="Normal 43 2 5 3" xfId="11356"/>
    <cellStyle name="Normal 43 2 6" xfId="6897"/>
    <cellStyle name="Normal 43 2 7" xfId="11357"/>
    <cellStyle name="Normal 43 3" xfId="1058"/>
    <cellStyle name="Normal 44" xfId="1059"/>
    <cellStyle name="Normal 44 2" xfId="1060"/>
    <cellStyle name="Normal 44 2 2" xfId="2256"/>
    <cellStyle name="Normal 44 2 2 2" xfId="6898"/>
    <cellStyle name="Normal 44 2 2 2 2" xfId="6899"/>
    <cellStyle name="Normal 44 2 2 2 2 2" xfId="6900"/>
    <cellStyle name="Normal 44 2 2 2 2 3" xfId="11358"/>
    <cellStyle name="Normal 44 2 2 2 3" xfId="6901"/>
    <cellStyle name="Normal 44 2 2 2 3 2" xfId="6902"/>
    <cellStyle name="Normal 44 2 2 2 3 3" xfId="11359"/>
    <cellStyle name="Normal 44 2 2 2 4" xfId="6903"/>
    <cellStyle name="Normal 44 2 2 2 5" xfId="11360"/>
    <cellStyle name="Normal 44 2 2 3" xfId="6904"/>
    <cellStyle name="Normal 44 2 2 3 2" xfId="6905"/>
    <cellStyle name="Normal 44 2 2 3 3" xfId="11361"/>
    <cellStyle name="Normal 44 2 2 4" xfId="6906"/>
    <cellStyle name="Normal 44 2 2 4 2" xfId="6907"/>
    <cellStyle name="Normal 44 2 2 4 3" xfId="11362"/>
    <cellStyle name="Normal 44 2 2 5" xfId="6908"/>
    <cellStyle name="Normal 44 2 2 6" xfId="11363"/>
    <cellStyle name="Normal 44 2 3" xfId="6909"/>
    <cellStyle name="Normal 44 2 3 2" xfId="6910"/>
    <cellStyle name="Normal 44 2 3 2 2" xfId="6911"/>
    <cellStyle name="Normal 44 2 3 2 3" xfId="11364"/>
    <cellStyle name="Normal 44 2 3 3" xfId="6912"/>
    <cellStyle name="Normal 44 2 3 3 2" xfId="6913"/>
    <cellStyle name="Normal 44 2 3 3 3" xfId="11365"/>
    <cellStyle name="Normal 44 2 3 4" xfId="6914"/>
    <cellStyle name="Normal 44 2 3 5" xfId="11366"/>
    <cellStyle name="Normal 44 2 4" xfId="6915"/>
    <cellStyle name="Normal 44 2 4 2" xfId="6916"/>
    <cellStyle name="Normal 44 2 4 3" xfId="11367"/>
    <cellStyle name="Normal 44 2 5" xfId="6917"/>
    <cellStyle name="Normal 44 2 5 2" xfId="6918"/>
    <cellStyle name="Normal 44 2 5 3" xfId="11368"/>
    <cellStyle name="Normal 44 2 6" xfId="6919"/>
    <cellStyle name="Normal 44 2 7" xfId="11369"/>
    <cellStyle name="Normal 44 2 8" xfId="2930"/>
    <cellStyle name="Normal 44 3" xfId="1061"/>
    <cellStyle name="Normal 44 3 2" xfId="6920"/>
    <cellStyle name="Normal 44 3 2 2" xfId="6921"/>
    <cellStyle name="Normal 44 3 2 2 2" xfId="6922"/>
    <cellStyle name="Normal 44 3 2 2 3" xfId="11370"/>
    <cellStyle name="Normal 44 3 2 3" xfId="6923"/>
    <cellStyle name="Normal 44 3 2 3 2" xfId="6924"/>
    <cellStyle name="Normal 44 3 2 3 3" xfId="11371"/>
    <cellStyle name="Normal 44 3 2 4" xfId="6925"/>
    <cellStyle name="Normal 44 3 2 5" xfId="11372"/>
    <cellStyle name="Normal 44 3 3" xfId="6926"/>
    <cellStyle name="Normal 44 3 3 2" xfId="6927"/>
    <cellStyle name="Normal 44 3 3 3" xfId="11373"/>
    <cellStyle name="Normal 44 3 4" xfId="6928"/>
    <cellStyle name="Normal 44 3 4 2" xfId="6929"/>
    <cellStyle name="Normal 44 3 4 3" xfId="11374"/>
    <cellStyle name="Normal 44 3 5" xfId="6930"/>
    <cellStyle name="Normal 44 3 6" xfId="11375"/>
    <cellStyle name="Normal 44 4" xfId="2257"/>
    <cellStyle name="Normal 44 4 2" xfId="6931"/>
    <cellStyle name="Normal 44 4 2 2" xfId="6932"/>
    <cellStyle name="Normal 44 4 2 3" xfId="11376"/>
    <cellStyle name="Normal 44 4 3" xfId="6933"/>
    <cellStyle name="Normal 44 4 3 2" xfId="6934"/>
    <cellStyle name="Normal 44 4 3 3" xfId="11377"/>
    <cellStyle name="Normal 44 4 4" xfId="6935"/>
    <cellStyle name="Normal 44 4 5" xfId="11378"/>
    <cellStyle name="Normal 44 5" xfId="6936"/>
    <cellStyle name="Normal 44 5 2" xfId="6937"/>
    <cellStyle name="Normal 44 5 3" xfId="11379"/>
    <cellStyle name="Normal 44 6" xfId="6938"/>
    <cellStyle name="Normal 44 6 2" xfId="6939"/>
    <cellStyle name="Normal 44 6 3" xfId="11380"/>
    <cellStyle name="Normal 44 7" xfId="6940"/>
    <cellStyle name="Normal 44 8" xfId="11381"/>
    <cellStyle name="Normal 45" xfId="1062"/>
    <cellStyle name="Normal 45 2" xfId="1063"/>
    <cellStyle name="Normal 45 2 2" xfId="3315"/>
    <cellStyle name="Normal 45 2 2 2" xfId="6941"/>
    <cellStyle name="Normal 45 2 2 2 2" xfId="6942"/>
    <cellStyle name="Normal 45 2 2 2 2 2" xfId="6943"/>
    <cellStyle name="Normal 45 2 2 2 2 3" xfId="11382"/>
    <cellStyle name="Normal 45 2 2 2 3" xfId="6944"/>
    <cellStyle name="Normal 45 2 2 2 3 2" xfId="6945"/>
    <cellStyle name="Normal 45 2 2 2 3 3" xfId="11383"/>
    <cellStyle name="Normal 45 2 2 2 4" xfId="6946"/>
    <cellStyle name="Normal 45 2 2 2 5" xfId="11384"/>
    <cellStyle name="Normal 45 2 2 3" xfId="6947"/>
    <cellStyle name="Normal 45 2 2 3 2" xfId="6948"/>
    <cellStyle name="Normal 45 2 2 3 3" xfId="11385"/>
    <cellStyle name="Normal 45 2 2 4" xfId="6949"/>
    <cellStyle name="Normal 45 2 2 4 2" xfId="6950"/>
    <cellStyle name="Normal 45 2 2 4 3" xfId="11386"/>
    <cellStyle name="Normal 45 2 2 5" xfId="6951"/>
    <cellStyle name="Normal 45 2 2 6" xfId="11387"/>
    <cellStyle name="Normal 45 2 3" xfId="6952"/>
    <cellStyle name="Normal 45 2 3 2" xfId="6953"/>
    <cellStyle name="Normal 45 2 3 2 2" xfId="6954"/>
    <cellStyle name="Normal 45 2 3 2 3" xfId="11388"/>
    <cellStyle name="Normal 45 2 3 3" xfId="6955"/>
    <cellStyle name="Normal 45 2 3 3 2" xfId="6956"/>
    <cellStyle name="Normal 45 2 3 3 3" xfId="11389"/>
    <cellStyle name="Normal 45 2 3 4" xfId="6957"/>
    <cellStyle name="Normal 45 2 3 5" xfId="11390"/>
    <cellStyle name="Normal 45 2 4" xfId="6958"/>
    <cellStyle name="Normal 45 2 4 2" xfId="6959"/>
    <cellStyle name="Normal 45 2 4 3" xfId="11391"/>
    <cellStyle name="Normal 45 2 5" xfId="6960"/>
    <cellStyle name="Normal 45 2 5 2" xfId="6961"/>
    <cellStyle name="Normal 45 2 5 3" xfId="11392"/>
    <cellStyle name="Normal 45 2 6" xfId="6962"/>
    <cellStyle name="Normal 45 2 7" xfId="11393"/>
    <cellStyle name="Normal 45 3" xfId="1064"/>
    <cellStyle name="Normal 46" xfId="1065"/>
    <cellStyle name="Normal 46 2" xfId="1066"/>
    <cellStyle name="Normal 46 2 2" xfId="3316"/>
    <cellStyle name="Normal 46 2 2 2" xfId="6963"/>
    <cellStyle name="Normal 46 2 2 2 2" xfId="6964"/>
    <cellStyle name="Normal 46 2 2 2 2 2" xfId="6965"/>
    <cellStyle name="Normal 46 2 2 2 2 3" xfId="11394"/>
    <cellStyle name="Normal 46 2 2 2 3" xfId="6966"/>
    <cellStyle name="Normal 46 2 2 2 3 2" xfId="6967"/>
    <cellStyle name="Normal 46 2 2 2 3 3" xfId="11395"/>
    <cellStyle name="Normal 46 2 2 2 4" xfId="6968"/>
    <cellStyle name="Normal 46 2 2 2 5" xfId="11396"/>
    <cellStyle name="Normal 46 2 2 3" xfId="6969"/>
    <cellStyle name="Normal 46 2 2 3 2" xfId="6970"/>
    <cellStyle name="Normal 46 2 2 3 3" xfId="11397"/>
    <cellStyle name="Normal 46 2 2 4" xfId="6971"/>
    <cellStyle name="Normal 46 2 2 4 2" xfId="6972"/>
    <cellStyle name="Normal 46 2 2 4 3" xfId="11398"/>
    <cellStyle name="Normal 46 2 2 5" xfId="6973"/>
    <cellStyle name="Normal 46 2 2 6" xfId="11399"/>
    <cellStyle name="Normal 46 2 3" xfId="6974"/>
    <cellStyle name="Normal 46 2 3 2" xfId="6975"/>
    <cellStyle name="Normal 46 2 3 2 2" xfId="6976"/>
    <cellStyle name="Normal 46 2 3 2 3" xfId="11400"/>
    <cellStyle name="Normal 46 2 3 3" xfId="6977"/>
    <cellStyle name="Normal 46 2 3 3 2" xfId="6978"/>
    <cellStyle name="Normal 46 2 3 3 3" xfId="11401"/>
    <cellStyle name="Normal 46 2 3 4" xfId="6979"/>
    <cellStyle name="Normal 46 2 3 5" xfId="11402"/>
    <cellStyle name="Normal 46 2 4" xfId="6980"/>
    <cellStyle name="Normal 46 2 4 2" xfId="6981"/>
    <cellStyle name="Normal 46 2 4 3" xfId="11403"/>
    <cellStyle name="Normal 46 2 5" xfId="6982"/>
    <cellStyle name="Normal 46 2 5 2" xfId="6983"/>
    <cellStyle name="Normal 46 2 5 3" xfId="11404"/>
    <cellStyle name="Normal 46 2 6" xfId="6984"/>
    <cellStyle name="Normal 46 2 7" xfId="11405"/>
    <cellStyle name="Normal 46 3" xfId="1067"/>
    <cellStyle name="Normal 47" xfId="1068"/>
    <cellStyle name="Normal 47 2" xfId="1069"/>
    <cellStyle name="Normal 47 2 2" xfId="3317"/>
    <cellStyle name="Normal 47 2 2 2" xfId="6985"/>
    <cellStyle name="Normal 47 2 2 2 2" xfId="6986"/>
    <cellStyle name="Normal 47 2 2 2 2 2" xfId="6987"/>
    <cellStyle name="Normal 47 2 2 2 2 3" xfId="11406"/>
    <cellStyle name="Normal 47 2 2 2 3" xfId="6988"/>
    <cellStyle name="Normal 47 2 2 2 3 2" xfId="6989"/>
    <cellStyle name="Normal 47 2 2 2 3 3" xfId="11407"/>
    <cellStyle name="Normal 47 2 2 2 4" xfId="6990"/>
    <cellStyle name="Normal 47 2 2 2 5" xfId="11408"/>
    <cellStyle name="Normal 47 2 2 3" xfId="6991"/>
    <cellStyle name="Normal 47 2 2 3 2" xfId="6992"/>
    <cellStyle name="Normal 47 2 2 3 3" xfId="11409"/>
    <cellStyle name="Normal 47 2 2 4" xfId="6993"/>
    <cellStyle name="Normal 47 2 2 4 2" xfId="6994"/>
    <cellStyle name="Normal 47 2 2 4 3" xfId="11410"/>
    <cellStyle name="Normal 47 2 2 5" xfId="6995"/>
    <cellStyle name="Normal 47 2 2 6" xfId="11411"/>
    <cellStyle name="Normal 47 2 3" xfId="6996"/>
    <cellStyle name="Normal 47 2 3 2" xfId="6997"/>
    <cellStyle name="Normal 47 2 3 2 2" xfId="6998"/>
    <cellStyle name="Normal 47 2 3 2 3" xfId="11412"/>
    <cellStyle name="Normal 47 2 3 3" xfId="6999"/>
    <cellStyle name="Normal 47 2 3 3 2" xfId="7000"/>
    <cellStyle name="Normal 47 2 3 3 3" xfId="11413"/>
    <cellStyle name="Normal 47 2 3 4" xfId="7001"/>
    <cellStyle name="Normal 47 2 3 5" xfId="11414"/>
    <cellStyle name="Normal 47 2 4" xfId="7002"/>
    <cellStyle name="Normal 47 2 4 2" xfId="7003"/>
    <cellStyle name="Normal 47 2 4 3" xfId="11415"/>
    <cellStyle name="Normal 47 2 5" xfId="7004"/>
    <cellStyle name="Normal 47 2 5 2" xfId="7005"/>
    <cellStyle name="Normal 47 2 5 3" xfId="11416"/>
    <cellStyle name="Normal 47 2 6" xfId="7006"/>
    <cellStyle name="Normal 47 2 7" xfId="11417"/>
    <cellStyle name="Normal 47 3" xfId="1070"/>
    <cellStyle name="Normal 48" xfId="1071"/>
    <cellStyle name="Normal 48 2" xfId="1072"/>
    <cellStyle name="Normal 48 2 2" xfId="3318"/>
    <cellStyle name="Normal 48 2 2 2" xfId="7007"/>
    <cellStyle name="Normal 48 2 2 2 2" xfId="7008"/>
    <cellStyle name="Normal 48 2 2 2 2 2" xfId="7009"/>
    <cellStyle name="Normal 48 2 2 2 2 3" xfId="11418"/>
    <cellStyle name="Normal 48 2 2 2 3" xfId="7010"/>
    <cellStyle name="Normal 48 2 2 2 3 2" xfId="7011"/>
    <cellStyle name="Normal 48 2 2 2 3 3" xfId="11419"/>
    <cellStyle name="Normal 48 2 2 2 4" xfId="7012"/>
    <cellStyle name="Normal 48 2 2 2 5" xfId="11420"/>
    <cellStyle name="Normal 48 2 2 3" xfId="7013"/>
    <cellStyle name="Normal 48 2 2 3 2" xfId="7014"/>
    <cellStyle name="Normal 48 2 2 3 3" xfId="11421"/>
    <cellStyle name="Normal 48 2 2 4" xfId="7015"/>
    <cellStyle name="Normal 48 2 2 4 2" xfId="7016"/>
    <cellStyle name="Normal 48 2 2 4 3" xfId="11422"/>
    <cellStyle name="Normal 48 2 2 5" xfId="7017"/>
    <cellStyle name="Normal 48 2 2 6" xfId="11423"/>
    <cellStyle name="Normal 48 2 3" xfId="7018"/>
    <cellStyle name="Normal 48 2 3 2" xfId="7019"/>
    <cellStyle name="Normal 48 2 3 2 2" xfId="7020"/>
    <cellStyle name="Normal 48 2 3 2 3" xfId="11424"/>
    <cellStyle name="Normal 48 2 3 3" xfId="7021"/>
    <cellStyle name="Normal 48 2 3 3 2" xfId="7022"/>
    <cellStyle name="Normal 48 2 3 3 3" xfId="11425"/>
    <cellStyle name="Normal 48 2 3 4" xfId="7023"/>
    <cellStyle name="Normal 48 2 3 5" xfId="11426"/>
    <cellStyle name="Normal 48 2 4" xfId="7024"/>
    <cellStyle name="Normal 48 2 4 2" xfId="7025"/>
    <cellStyle name="Normal 48 2 4 3" xfId="11427"/>
    <cellStyle name="Normal 48 2 5" xfId="7026"/>
    <cellStyle name="Normal 48 2 5 2" xfId="7027"/>
    <cellStyle name="Normal 48 2 5 3" xfId="11428"/>
    <cellStyle name="Normal 48 2 6" xfId="7028"/>
    <cellStyle name="Normal 48 2 7" xfId="11429"/>
    <cellStyle name="Normal 48 3" xfId="1073"/>
    <cellStyle name="Normal 48 3 2" xfId="7029"/>
    <cellStyle name="Normal 48 3 2 2" xfId="7030"/>
    <cellStyle name="Normal 48 3 2 2 2" xfId="7031"/>
    <cellStyle name="Normal 48 3 2 2 3" xfId="11430"/>
    <cellStyle name="Normal 48 3 2 3" xfId="7032"/>
    <cellStyle name="Normal 48 3 2 3 2" xfId="7033"/>
    <cellStyle name="Normal 48 3 2 3 3" xfId="11431"/>
    <cellStyle name="Normal 48 3 2 4" xfId="7034"/>
    <cellStyle name="Normal 48 3 2 5" xfId="11432"/>
    <cellStyle name="Normal 48 3 3" xfId="7035"/>
    <cellStyle name="Normal 48 3 3 2" xfId="7036"/>
    <cellStyle name="Normal 48 3 3 3" xfId="11433"/>
    <cellStyle name="Normal 48 3 4" xfId="7037"/>
    <cellStyle name="Normal 48 3 4 2" xfId="7038"/>
    <cellStyle name="Normal 48 3 4 3" xfId="11434"/>
    <cellStyle name="Normal 48 3 5" xfId="7039"/>
    <cellStyle name="Normal 48 3 6" xfId="11435"/>
    <cellStyle name="Normal 48 4" xfId="7040"/>
    <cellStyle name="Normal 48 4 2" xfId="7041"/>
    <cellStyle name="Normal 48 4 2 2" xfId="7042"/>
    <cellStyle name="Normal 48 4 2 3" xfId="11436"/>
    <cellStyle name="Normal 48 4 3" xfId="7043"/>
    <cellStyle name="Normal 48 4 3 2" xfId="7044"/>
    <cellStyle name="Normal 48 4 3 3" xfId="11437"/>
    <cellStyle name="Normal 48 4 4" xfId="7045"/>
    <cellStyle name="Normal 48 4 5" xfId="11438"/>
    <cellStyle name="Normal 48 5" xfId="7046"/>
    <cellStyle name="Normal 48 5 2" xfId="7047"/>
    <cellStyle name="Normal 48 5 3" xfId="11439"/>
    <cellStyle name="Normal 48 6" xfId="7048"/>
    <cellStyle name="Normal 48 6 2" xfId="7049"/>
    <cellStyle name="Normal 48 6 3" xfId="11440"/>
    <cellStyle name="Normal 48 7" xfId="7050"/>
    <cellStyle name="Normal 48 8" xfId="11441"/>
    <cellStyle name="Normal 49" xfId="1074"/>
    <cellStyle name="Normal 49 2" xfId="1075"/>
    <cellStyle name="Normal 49 2 2" xfId="3319"/>
    <cellStyle name="Normal 49 2 2 2" xfId="7051"/>
    <cellStyle name="Normal 49 2 2 2 2" xfId="7052"/>
    <cellStyle name="Normal 49 2 2 2 2 2" xfId="7053"/>
    <cellStyle name="Normal 49 2 2 2 2 3" xfId="11442"/>
    <cellStyle name="Normal 49 2 2 2 3" xfId="7054"/>
    <cellStyle name="Normal 49 2 2 2 3 2" xfId="7055"/>
    <cellStyle name="Normal 49 2 2 2 3 3" xfId="11443"/>
    <cellStyle name="Normal 49 2 2 2 4" xfId="7056"/>
    <cellStyle name="Normal 49 2 2 2 5" xfId="11444"/>
    <cellStyle name="Normal 49 2 2 3" xfId="7057"/>
    <cellStyle name="Normal 49 2 2 3 2" xfId="7058"/>
    <cellStyle name="Normal 49 2 2 3 3" xfId="11445"/>
    <cellStyle name="Normal 49 2 2 4" xfId="7059"/>
    <cellStyle name="Normal 49 2 2 4 2" xfId="7060"/>
    <cellStyle name="Normal 49 2 2 4 3" xfId="11446"/>
    <cellStyle name="Normal 49 2 2 5" xfId="7061"/>
    <cellStyle name="Normal 49 2 2 6" xfId="11447"/>
    <cellStyle name="Normal 49 2 3" xfId="7062"/>
    <cellStyle name="Normal 49 2 3 2" xfId="7063"/>
    <cellStyle name="Normal 49 2 3 2 2" xfId="7064"/>
    <cellStyle name="Normal 49 2 3 2 3" xfId="11448"/>
    <cellStyle name="Normal 49 2 3 3" xfId="7065"/>
    <cellStyle name="Normal 49 2 3 3 2" xfId="7066"/>
    <cellStyle name="Normal 49 2 3 3 3" xfId="11449"/>
    <cellStyle name="Normal 49 2 3 4" xfId="7067"/>
    <cellStyle name="Normal 49 2 3 5" xfId="11450"/>
    <cellStyle name="Normal 49 2 4" xfId="7068"/>
    <cellStyle name="Normal 49 2 4 2" xfId="7069"/>
    <cellStyle name="Normal 49 2 4 3" xfId="11451"/>
    <cellStyle name="Normal 49 2 5" xfId="7070"/>
    <cellStyle name="Normal 49 2 5 2" xfId="7071"/>
    <cellStyle name="Normal 49 2 5 3" xfId="11452"/>
    <cellStyle name="Normal 49 2 6" xfId="7072"/>
    <cellStyle name="Normal 49 2 7" xfId="11453"/>
    <cellStyle name="Normal 49 3" xfId="1076"/>
    <cellStyle name="Normal 49 3 2" xfId="7073"/>
    <cellStyle name="Normal 49 3 2 2" xfId="7074"/>
    <cellStyle name="Normal 49 3 2 2 2" xfId="7075"/>
    <cellStyle name="Normal 49 3 2 2 3" xfId="11454"/>
    <cellStyle name="Normal 49 3 2 3" xfId="7076"/>
    <cellStyle name="Normal 49 3 2 3 2" xfId="7077"/>
    <cellStyle name="Normal 49 3 2 3 3" xfId="11455"/>
    <cellStyle name="Normal 49 3 2 4" xfId="7078"/>
    <cellStyle name="Normal 49 3 2 5" xfId="11456"/>
    <cellStyle name="Normal 49 3 3" xfId="7079"/>
    <cellStyle name="Normal 49 3 3 2" xfId="7080"/>
    <cellStyle name="Normal 49 3 3 3" xfId="11457"/>
    <cellStyle name="Normal 49 3 4" xfId="7081"/>
    <cellStyle name="Normal 49 3 4 2" xfId="7082"/>
    <cellStyle name="Normal 49 3 4 3" xfId="11458"/>
    <cellStyle name="Normal 49 3 5" xfId="7083"/>
    <cellStyle name="Normal 49 3 6" xfId="11459"/>
    <cellStyle name="Normal 49 4" xfId="7084"/>
    <cellStyle name="Normal 49 4 2" xfId="7085"/>
    <cellStyle name="Normal 49 4 2 2" xfId="7086"/>
    <cellStyle name="Normal 49 4 2 3" xfId="11460"/>
    <cellStyle name="Normal 49 4 3" xfId="7087"/>
    <cellStyle name="Normal 49 4 3 2" xfId="7088"/>
    <cellStyle name="Normal 49 4 3 3" xfId="11461"/>
    <cellStyle name="Normal 49 4 4" xfId="7089"/>
    <cellStyle name="Normal 49 4 5" xfId="11462"/>
    <cellStyle name="Normal 49 5" xfId="7090"/>
    <cellStyle name="Normal 49 5 2" xfId="7091"/>
    <cellStyle name="Normal 49 5 3" xfId="11463"/>
    <cellStyle name="Normal 49 6" xfId="7092"/>
    <cellStyle name="Normal 49 6 2" xfId="7093"/>
    <cellStyle name="Normal 49 6 3" xfId="11464"/>
    <cellStyle name="Normal 49 7" xfId="7094"/>
    <cellStyle name="Normal 49 8" xfId="11465"/>
    <cellStyle name="Normal 5" xfId="48"/>
    <cellStyle name="Normal 5 10" xfId="2258"/>
    <cellStyle name="Normal 5 11" xfId="11466"/>
    <cellStyle name="Normal 5 2" xfId="49"/>
    <cellStyle name="Normal 5 2 10" xfId="2259"/>
    <cellStyle name="Normal 5 2 11" xfId="2260"/>
    <cellStyle name="Normal 5 2 12" xfId="13804"/>
    <cellStyle name="Normal 5 2 2" xfId="598"/>
    <cellStyle name="Normal 5 2 2 2" xfId="1077"/>
    <cellStyle name="Normal 5 2 2 2 2" xfId="2261"/>
    <cellStyle name="Normal 5 2 2 2 2 2" xfId="7095"/>
    <cellStyle name="Normal 5 2 2 2 2 2 2" xfId="7096"/>
    <cellStyle name="Normal 5 2 2 2 2 2 2 2" xfId="7097"/>
    <cellStyle name="Normal 5 2 2 2 2 2 2 3" xfId="11467"/>
    <cellStyle name="Normal 5 2 2 2 2 2 3" xfId="7098"/>
    <cellStyle name="Normal 5 2 2 2 2 2 3 2" xfId="7099"/>
    <cellStyle name="Normal 5 2 2 2 2 2 3 3" xfId="11468"/>
    <cellStyle name="Normal 5 2 2 2 2 2 4" xfId="7100"/>
    <cellStyle name="Normal 5 2 2 2 2 2 5" xfId="11469"/>
    <cellStyle name="Normal 5 2 2 2 2 3" xfId="7101"/>
    <cellStyle name="Normal 5 2 2 2 2 3 2" xfId="7102"/>
    <cellStyle name="Normal 5 2 2 2 2 3 3" xfId="11470"/>
    <cellStyle name="Normal 5 2 2 2 2 4" xfId="7103"/>
    <cellStyle name="Normal 5 2 2 2 2 4 2" xfId="7104"/>
    <cellStyle name="Normal 5 2 2 2 2 4 3" xfId="11471"/>
    <cellStyle name="Normal 5 2 2 2 2 5" xfId="7105"/>
    <cellStyle name="Normal 5 2 2 2 2 6" xfId="11472"/>
    <cellStyle name="Normal 5 2 2 2 3" xfId="2262"/>
    <cellStyle name="Normal 5 2 2 2 3 2" xfId="7106"/>
    <cellStyle name="Normal 5 2 2 2 3 2 2" xfId="7107"/>
    <cellStyle name="Normal 5 2 2 2 3 2 3" xfId="11473"/>
    <cellStyle name="Normal 5 2 2 2 3 3" xfId="7108"/>
    <cellStyle name="Normal 5 2 2 2 3 3 2" xfId="7109"/>
    <cellStyle name="Normal 5 2 2 2 3 3 3" xfId="11474"/>
    <cellStyle name="Normal 5 2 2 2 3 4" xfId="7110"/>
    <cellStyle name="Normal 5 2 2 2 3 5" xfId="11475"/>
    <cellStyle name="Normal 5 2 2 2 4" xfId="2263"/>
    <cellStyle name="Normal 5 2 2 2 4 2" xfId="7111"/>
    <cellStyle name="Normal 5 2 2 2 4 3" xfId="11476"/>
    <cellStyle name="Normal 5 2 2 2 5" xfId="2264"/>
    <cellStyle name="Normal 5 2 2 2 5 2" xfId="7112"/>
    <cellStyle name="Normal 5 2 2 2 5 3" xfId="11477"/>
    <cellStyle name="Normal 5 2 2 2 6" xfId="7113"/>
    <cellStyle name="Normal 5 2 2 2 7" xfId="11478"/>
    <cellStyle name="Normal 5 2 2 3" xfId="1078"/>
    <cellStyle name="Normal 5 2 2 3 2" xfId="2265"/>
    <cellStyle name="Normal 5 2 2 3 2 2" xfId="7114"/>
    <cellStyle name="Normal 5 2 2 3 2 2 2" xfId="7115"/>
    <cellStyle name="Normal 5 2 2 3 2 2 3" xfId="11479"/>
    <cellStyle name="Normal 5 2 2 3 2 3" xfId="7116"/>
    <cellStyle name="Normal 5 2 2 3 2 3 2" xfId="7117"/>
    <cellStyle name="Normal 5 2 2 3 2 3 3" xfId="11480"/>
    <cellStyle name="Normal 5 2 2 3 2 4" xfId="7118"/>
    <cellStyle name="Normal 5 2 2 3 2 5" xfId="11481"/>
    <cellStyle name="Normal 5 2 2 3 3" xfId="2266"/>
    <cellStyle name="Normal 5 2 2 3 3 2" xfId="7119"/>
    <cellStyle name="Normal 5 2 2 3 3 3" xfId="11482"/>
    <cellStyle name="Normal 5 2 2 3 4" xfId="7120"/>
    <cellStyle name="Normal 5 2 2 3 4 2" xfId="7121"/>
    <cellStyle name="Normal 5 2 2 3 4 3" xfId="11483"/>
    <cellStyle name="Normal 5 2 2 3 5" xfId="7122"/>
    <cellStyle name="Normal 5 2 2 3 6" xfId="11484"/>
    <cellStyle name="Normal 5 2 2 4" xfId="2267"/>
    <cellStyle name="Normal 5 2 2 4 2" xfId="2268"/>
    <cellStyle name="Normal 5 2 2 4 2 2" xfId="7123"/>
    <cellStyle name="Normal 5 2 2 4 2 3" xfId="11485"/>
    <cellStyle name="Normal 5 2 2 4 3" xfId="2269"/>
    <cellStyle name="Normal 5 2 2 4 3 2" xfId="7124"/>
    <cellStyle name="Normal 5 2 2 4 3 3" xfId="11486"/>
    <cellStyle name="Normal 5 2 2 4 4" xfId="7125"/>
    <cellStyle name="Normal 5 2 2 4 5" xfId="11487"/>
    <cellStyle name="Normal 5 2 2 5" xfId="2270"/>
    <cellStyle name="Normal 5 2 2 5 2" xfId="7126"/>
    <cellStyle name="Normal 5 2 2 5 3" xfId="11488"/>
    <cellStyle name="Normal 5 2 2 6" xfId="2271"/>
    <cellStyle name="Normal 5 2 2 6 2" xfId="7127"/>
    <cellStyle name="Normal 5 2 2 6 3" xfId="11489"/>
    <cellStyle name="Normal 5 2 2 7" xfId="7128"/>
    <cellStyle name="Normal 5 2 2 8" xfId="11490"/>
    <cellStyle name="Normal 5 2 3" xfId="599"/>
    <cellStyle name="Normal 5 2 3 2" xfId="2273"/>
    <cellStyle name="Normal 5 2 3 2 2" xfId="2274"/>
    <cellStyle name="Normal 5 2 3 2 2 2" xfId="7129"/>
    <cellStyle name="Normal 5 2 3 2 2 2 2" xfId="7130"/>
    <cellStyle name="Normal 5 2 3 2 2 2 3" xfId="11491"/>
    <cellStyle name="Normal 5 2 3 2 2 3" xfId="7131"/>
    <cellStyle name="Normal 5 2 3 2 2 3 2" xfId="7132"/>
    <cellStyle name="Normal 5 2 3 2 2 3 3" xfId="11492"/>
    <cellStyle name="Normal 5 2 3 2 2 4" xfId="7133"/>
    <cellStyle name="Normal 5 2 3 2 2 5" xfId="11493"/>
    <cellStyle name="Normal 5 2 3 2 3" xfId="2275"/>
    <cellStyle name="Normal 5 2 3 2 3 2" xfId="7134"/>
    <cellStyle name="Normal 5 2 3 2 3 3" xfId="11494"/>
    <cellStyle name="Normal 5 2 3 2 4" xfId="2276"/>
    <cellStyle name="Normal 5 2 3 2 4 2" xfId="7135"/>
    <cellStyle name="Normal 5 2 3 2 4 3" xfId="11495"/>
    <cellStyle name="Normal 5 2 3 2 5" xfId="2277"/>
    <cellStyle name="Normal 5 2 3 2 6" xfId="11496"/>
    <cellStyle name="Normal 5 2 3 3" xfId="2278"/>
    <cellStyle name="Normal 5 2 3 3 2" xfId="2279"/>
    <cellStyle name="Normal 5 2 3 3 2 2" xfId="7136"/>
    <cellStyle name="Normal 5 2 3 3 2 3" xfId="11497"/>
    <cellStyle name="Normal 5 2 3 3 3" xfId="2280"/>
    <cellStyle name="Normal 5 2 3 3 3 2" xfId="7137"/>
    <cellStyle name="Normal 5 2 3 3 3 3" xfId="11498"/>
    <cellStyle name="Normal 5 2 3 3 4" xfId="7138"/>
    <cellStyle name="Normal 5 2 3 3 5" xfId="11499"/>
    <cellStyle name="Normal 5 2 3 4" xfId="2281"/>
    <cellStyle name="Normal 5 2 3 4 2" xfId="2282"/>
    <cellStyle name="Normal 5 2 3 4 3" xfId="2283"/>
    <cellStyle name="Normal 5 2 3 5" xfId="2284"/>
    <cellStyle name="Normal 5 2 3 5 2" xfId="7139"/>
    <cellStyle name="Normal 5 2 3 5 3" xfId="11500"/>
    <cellStyle name="Normal 5 2 3 6" xfId="2285"/>
    <cellStyle name="Normal 5 2 3 7" xfId="2272"/>
    <cellStyle name="Normal 5 2 4" xfId="597"/>
    <cellStyle name="Normal 5 2 4 2" xfId="2286"/>
    <cellStyle name="Normal 5 2 4 2 2" xfId="2287"/>
    <cellStyle name="Normal 5 2 4 2 2 2" xfId="7140"/>
    <cellStyle name="Normal 5 2 4 2 2 3" xfId="11501"/>
    <cellStyle name="Normal 5 2 4 2 3" xfId="2288"/>
    <cellStyle name="Normal 5 2 4 2 3 2" xfId="7141"/>
    <cellStyle name="Normal 5 2 4 2 3 3" xfId="11502"/>
    <cellStyle name="Normal 5 2 4 2 4" xfId="2289"/>
    <cellStyle name="Normal 5 2 4 2 5" xfId="2290"/>
    <cellStyle name="Normal 5 2 4 3" xfId="2291"/>
    <cellStyle name="Normal 5 2 4 3 2" xfId="2292"/>
    <cellStyle name="Normal 5 2 4 3 3" xfId="2293"/>
    <cellStyle name="Normal 5 2 4 4" xfId="2294"/>
    <cellStyle name="Normal 5 2 4 4 2" xfId="2295"/>
    <cellStyle name="Normal 5 2 4 4 3" xfId="2296"/>
    <cellStyle name="Normal 5 2 4 5" xfId="2297"/>
    <cellStyle name="Normal 5 2 4 6" xfId="2298"/>
    <cellStyle name="Normal 5 2 5" xfId="2299"/>
    <cellStyle name="Normal 5 2 5 10" xfId="2300"/>
    <cellStyle name="Normal 5 2 5 10 2" xfId="2301"/>
    <cellStyle name="Normal 5 2 5 10 3" xfId="2302"/>
    <cellStyle name="Normal 5 2 5 11" xfId="2303"/>
    <cellStyle name="Normal 5 2 5 11 2" xfId="2304"/>
    <cellStyle name="Normal 5 2 5 12" xfId="2305"/>
    <cellStyle name="Normal 5 2 5 12 2" xfId="2306"/>
    <cellStyle name="Normal 5 2 5 13" xfId="2307"/>
    <cellStyle name="Normal 5 2 5 14" xfId="2308"/>
    <cellStyle name="Normal 5 2 5 15" xfId="2309"/>
    <cellStyle name="Normal 5 2 5 16" xfId="2310"/>
    <cellStyle name="Normal 5 2 5 17" xfId="2311"/>
    <cellStyle name="Normal 5 2 5 18" xfId="2312"/>
    <cellStyle name="Normal 5 2 5 19" xfId="2313"/>
    <cellStyle name="Normal 5 2 5 19 2" xfId="2314"/>
    <cellStyle name="Normal 5 2 5 19 3" xfId="2315"/>
    <cellStyle name="Normal 5 2 5 19 4" xfId="2316"/>
    <cellStyle name="Normal 5 2 5 19 5" xfId="2317"/>
    <cellStyle name="Normal 5 2 5 19 6" xfId="2318"/>
    <cellStyle name="Normal 5 2 5 19 7" xfId="2319"/>
    <cellStyle name="Normal 5 2 5 2" xfId="2320"/>
    <cellStyle name="Normal 5 2 5 2 2" xfId="2321"/>
    <cellStyle name="Normal 5 2 5 2 2 2" xfId="2322"/>
    <cellStyle name="Normal 5 2 5 2 2 3" xfId="2323"/>
    <cellStyle name="Normal 5 2 5 2 2 4" xfId="2324"/>
    <cellStyle name="Normal 5 2 5 2 2 5" xfId="2325"/>
    <cellStyle name="Normal 5 2 5 2 3" xfId="2326"/>
    <cellStyle name="Normal 5 2 5 2 3 2" xfId="2327"/>
    <cellStyle name="Normal 5 2 5 2 3 3" xfId="2328"/>
    <cellStyle name="Normal 5 2 5 2 4" xfId="2329"/>
    <cellStyle name="Normal 5 2 5 2 4 2" xfId="2330"/>
    <cellStyle name="Normal 5 2 5 2 4 3" xfId="2331"/>
    <cellStyle name="Normal 5 2 5 2 5" xfId="2332"/>
    <cellStyle name="Normal 5 2 5 2 6" xfId="2333"/>
    <cellStyle name="Normal 5 2 5 20" xfId="2334"/>
    <cellStyle name="Normal 5 2 5 21" xfId="2335"/>
    <cellStyle name="Normal 5 2 5 22" xfId="2336"/>
    <cellStyle name="Normal 5 2 5 23" xfId="2337"/>
    <cellStyle name="Normal 5 2 5 24" xfId="2338"/>
    <cellStyle name="Normal 5 2 5 25" xfId="2339"/>
    <cellStyle name="Normal 5 2 5 26" xfId="2340"/>
    <cellStyle name="Normal 5 2 5 27" xfId="2341"/>
    <cellStyle name="Normal 5 2 5 3" xfId="2342"/>
    <cellStyle name="Normal 5 2 5 3 10" xfId="2343"/>
    <cellStyle name="Normal 5 2 5 3 11" xfId="2344"/>
    <cellStyle name="Normal 5 2 5 3 12" xfId="2345"/>
    <cellStyle name="Normal 5 2 5 3 13" xfId="2346"/>
    <cellStyle name="Normal 5 2 5 3 14" xfId="2347"/>
    <cellStyle name="Normal 5 2 5 3 15" xfId="2348"/>
    <cellStyle name="Normal 5 2 5 3 16" xfId="2349"/>
    <cellStyle name="Normal 5 2 5 3 17" xfId="2350"/>
    <cellStyle name="Normal 5 2 5 3 18" xfId="2351"/>
    <cellStyle name="Normal 5 2 5 3 19" xfId="2352"/>
    <cellStyle name="Normal 5 2 5 3 2" xfId="2353"/>
    <cellStyle name="Normal 5 2 5 3 2 2" xfId="2354"/>
    <cellStyle name="Normal 5 2 5 3 2 2 2" xfId="2355"/>
    <cellStyle name="Normal 5 2 5 3 2 2 3" xfId="2356"/>
    <cellStyle name="Normal 5 2 5 3 2 3" xfId="2357"/>
    <cellStyle name="Normal 5 2 5 3 2 3 2" xfId="2358"/>
    <cellStyle name="Normal 5 2 5 3 2 3 3" xfId="2359"/>
    <cellStyle name="Normal 5 2 5 3 2 4" xfId="2360"/>
    <cellStyle name="Normal 5 2 5 3 2 5" xfId="2361"/>
    <cellStyle name="Normal 5 2 5 3 3" xfId="2362"/>
    <cellStyle name="Normal 5 2 5 3 3 2" xfId="2363"/>
    <cellStyle name="Normal 5 2 5 3 3 3" xfId="2364"/>
    <cellStyle name="Normal 5 2 5 3 3 4" xfId="2365"/>
    <cellStyle name="Normal 5 2 5 3 3 5" xfId="2366"/>
    <cellStyle name="Normal 5 2 5 3 4" xfId="2367"/>
    <cellStyle name="Normal 5 2 5 3 4 2" xfId="2368"/>
    <cellStyle name="Normal 5 2 5 3 4 3" xfId="2369"/>
    <cellStyle name="Normal 5 2 5 3 5" xfId="2370"/>
    <cellStyle name="Normal 5 2 5 3 5 2" xfId="2371"/>
    <cellStyle name="Normal 5 2 5 3 5 3" xfId="2372"/>
    <cellStyle name="Normal 5 2 5 3 6" xfId="2373"/>
    <cellStyle name="Normal 5 2 5 3 7" xfId="2374"/>
    <cellStyle name="Normal 5 2 5 3 8" xfId="2375"/>
    <cellStyle name="Normal 5 2 5 3 9" xfId="2376"/>
    <cellStyle name="Normal 5 2 5 4" xfId="2377"/>
    <cellStyle name="Normal 5 2 5 4 2" xfId="2378"/>
    <cellStyle name="Normal 5 2 5 4 2 2" xfId="2379"/>
    <cellStyle name="Normal 5 2 5 4 2 3" xfId="2380"/>
    <cellStyle name="Normal 5 2 5 4 2 4" xfId="2381"/>
    <cellStyle name="Normal 5 2 5 4 2 5" xfId="2382"/>
    <cellStyle name="Normal 5 2 5 4 3" xfId="2383"/>
    <cellStyle name="Normal 5 2 5 4 3 2" xfId="2384"/>
    <cellStyle name="Normal 5 2 5 4 3 3" xfId="2385"/>
    <cellStyle name="Normal 5 2 5 4 4" xfId="2386"/>
    <cellStyle name="Normal 5 2 5 4 4 2" xfId="2387"/>
    <cellStyle name="Normal 5 2 5 4 4 3" xfId="2388"/>
    <cellStyle name="Normal 5 2 5 4 5" xfId="2389"/>
    <cellStyle name="Normal 5 2 5 4 6" xfId="2390"/>
    <cellStyle name="Normal 5 2 5 5" xfId="2391"/>
    <cellStyle name="Normal 5 2 5 5 2" xfId="2392"/>
    <cellStyle name="Normal 5 2 5 5 2 2" xfId="2393"/>
    <cellStyle name="Normal 5 2 5 5 2 3" xfId="2394"/>
    <cellStyle name="Normal 5 2 5 5 2 4" xfId="2395"/>
    <cellStyle name="Normal 5 2 5 5 2 5" xfId="2396"/>
    <cellStyle name="Normal 5 2 5 5 3" xfId="2397"/>
    <cellStyle name="Normal 5 2 5 5 3 2" xfId="2398"/>
    <cellStyle name="Normal 5 2 5 5 3 3" xfId="2399"/>
    <cellStyle name="Normal 5 2 5 5 4" xfId="2400"/>
    <cellStyle name="Normal 5 2 5 5 4 2" xfId="2401"/>
    <cellStyle name="Normal 5 2 5 5 4 3" xfId="2402"/>
    <cellStyle name="Normal 5 2 5 5 5" xfId="2403"/>
    <cellStyle name="Normal 5 2 5 5 6" xfId="2404"/>
    <cellStyle name="Normal 5 2 5 6" xfId="2405"/>
    <cellStyle name="Normal 5 2 5 6 2" xfId="2406"/>
    <cellStyle name="Normal 5 2 5 6 2 2" xfId="2407"/>
    <cellStyle name="Normal 5 2 5 6 2 3" xfId="2408"/>
    <cellStyle name="Normal 5 2 5 6 2 4" xfId="2409"/>
    <cellStyle name="Normal 5 2 5 6 2 5" xfId="2410"/>
    <cellStyle name="Normal 5 2 5 6 3" xfId="2411"/>
    <cellStyle name="Normal 5 2 5 6 3 2" xfId="2412"/>
    <cellStyle name="Normal 5 2 5 6 3 3" xfId="2413"/>
    <cellStyle name="Normal 5 2 5 6 4" xfId="2414"/>
    <cellStyle name="Normal 5 2 5 6 4 2" xfId="2415"/>
    <cellStyle name="Normal 5 2 5 6 4 3" xfId="2416"/>
    <cellStyle name="Normal 5 2 5 6 5" xfId="2417"/>
    <cellStyle name="Normal 5 2 5 6 6" xfId="2418"/>
    <cellStyle name="Normal 5 2 5 7" xfId="2419"/>
    <cellStyle name="Normal 5 2 5 7 2" xfId="2420"/>
    <cellStyle name="Normal 5 2 5 7 2 2" xfId="2421"/>
    <cellStyle name="Normal 5 2 5 7 2 3" xfId="2422"/>
    <cellStyle name="Normal 5 2 5 7 3" xfId="2423"/>
    <cellStyle name="Normal 5 2 5 7 3 2" xfId="2424"/>
    <cellStyle name="Normal 5 2 5 7 3 3" xfId="2425"/>
    <cellStyle name="Normal 5 2 5 7 4" xfId="2426"/>
    <cellStyle name="Normal 5 2 5 7 4 2" xfId="2427"/>
    <cellStyle name="Normal 5 2 5 7 5" xfId="2428"/>
    <cellStyle name="Normal 5 2 5 7 6" xfId="2429"/>
    <cellStyle name="Normal 5 2 5 8" xfId="2430"/>
    <cellStyle name="Normal 5 2 5 8 2" xfId="2431"/>
    <cellStyle name="Normal 5 2 5 8 3" xfId="2432"/>
    <cellStyle name="Normal 5 2 5 8 4" xfId="2433"/>
    <cellStyle name="Normal 5 2 5 8 5" xfId="2434"/>
    <cellStyle name="Normal 5 2 5 9" xfId="2435"/>
    <cellStyle name="Normal 5 2 5 9 2" xfId="2436"/>
    <cellStyle name="Normal 5 2 5 9 3" xfId="2437"/>
    <cellStyle name="Normal 5 2 5_10070" xfId="2438"/>
    <cellStyle name="Normal 5 2 6" xfId="2439"/>
    <cellStyle name="Normal 5 2 6 2" xfId="2440"/>
    <cellStyle name="Normal 5 2 6 2 2" xfId="2441"/>
    <cellStyle name="Normal 5 2 6 2 3" xfId="2442"/>
    <cellStyle name="Normal 5 2 6 3" xfId="2443"/>
    <cellStyle name="Normal 5 2 6 3 2" xfId="2444"/>
    <cellStyle name="Normal 5 2 6 3 3" xfId="2445"/>
    <cellStyle name="Normal 5 2 6 4" xfId="2446"/>
    <cellStyle name="Normal 5 2 6 5" xfId="2447"/>
    <cellStyle name="Normal 5 2 7" xfId="2448"/>
    <cellStyle name="Normal 5 2 7 2" xfId="2449"/>
    <cellStyle name="Normal 5 2 7 3" xfId="2450"/>
    <cellStyle name="Normal 5 2 7 4" xfId="2451"/>
    <cellStyle name="Normal 5 2 7 5" xfId="2452"/>
    <cellStyle name="Normal 5 2 8" xfId="2453"/>
    <cellStyle name="Normal 5 2 9" xfId="2454"/>
    <cellStyle name="Normal 5 2_TV" xfId="600"/>
    <cellStyle name="Normal 5 3" xfId="50"/>
    <cellStyle name="Normal 5 3 2" xfId="602"/>
    <cellStyle name="Normal 5 3 2 2" xfId="1079"/>
    <cellStyle name="Normal 5 3 2 2 2" xfId="7142"/>
    <cellStyle name="Normal 5 3 2 2 2 2" xfId="7143"/>
    <cellStyle name="Normal 5 3 2 2 2 2 2" xfId="7144"/>
    <cellStyle name="Normal 5 3 2 2 2 2 3" xfId="11503"/>
    <cellStyle name="Normal 5 3 2 2 2 3" xfId="7145"/>
    <cellStyle name="Normal 5 3 2 2 2 3 2" xfId="7146"/>
    <cellStyle name="Normal 5 3 2 2 2 3 3" xfId="11504"/>
    <cellStyle name="Normal 5 3 2 2 2 4" xfId="7147"/>
    <cellStyle name="Normal 5 3 2 2 2 5" xfId="11505"/>
    <cellStyle name="Normal 5 3 2 2 3" xfId="7148"/>
    <cellStyle name="Normal 5 3 2 2 3 2" xfId="7149"/>
    <cellStyle name="Normal 5 3 2 2 3 3" xfId="11506"/>
    <cellStyle name="Normal 5 3 2 2 4" xfId="7150"/>
    <cellStyle name="Normal 5 3 2 2 4 2" xfId="7151"/>
    <cellStyle name="Normal 5 3 2 2 4 3" xfId="11507"/>
    <cellStyle name="Normal 5 3 2 2 5" xfId="7152"/>
    <cellStyle name="Normal 5 3 2 2 6" xfId="11508"/>
    <cellStyle name="Normal 5 3 2 3" xfId="2455"/>
    <cellStyle name="Normal 5 3 2 3 2" xfId="7153"/>
    <cellStyle name="Normal 5 3 2 3 2 2" xfId="7154"/>
    <cellStyle name="Normal 5 3 2 3 2 3" xfId="11509"/>
    <cellStyle name="Normal 5 3 2 3 3" xfId="7155"/>
    <cellStyle name="Normal 5 3 2 3 3 2" xfId="7156"/>
    <cellStyle name="Normal 5 3 2 3 3 3" xfId="11510"/>
    <cellStyle name="Normal 5 3 2 3 4" xfId="7157"/>
    <cellStyle name="Normal 5 3 2 3 5" xfId="11511"/>
    <cellStyle name="Normal 5 3 2 4" xfId="7158"/>
    <cellStyle name="Normal 5 3 2 4 2" xfId="7159"/>
    <cellStyle name="Normal 5 3 2 4 3" xfId="11512"/>
    <cellStyle name="Normal 5 3 2 5" xfId="7160"/>
    <cellStyle name="Normal 5 3 2 5 2" xfId="7161"/>
    <cellStyle name="Normal 5 3 2 5 3" xfId="11513"/>
    <cellStyle name="Normal 5 3 2 6" xfId="7162"/>
    <cellStyle name="Normal 5 3 2 7" xfId="11514"/>
    <cellStyle name="Normal 5 3 3" xfId="603"/>
    <cellStyle name="Normal 5 3 3 2" xfId="2457"/>
    <cellStyle name="Normal 5 3 3 2 2" xfId="7163"/>
    <cellStyle name="Normal 5 3 3 2 2 2" xfId="7164"/>
    <cellStyle name="Normal 5 3 3 2 2 3" xfId="11515"/>
    <cellStyle name="Normal 5 3 3 2 3" xfId="7165"/>
    <cellStyle name="Normal 5 3 3 2 3 2" xfId="7166"/>
    <cellStyle name="Normal 5 3 3 2 3 3" xfId="11516"/>
    <cellStyle name="Normal 5 3 3 2 4" xfId="7167"/>
    <cellStyle name="Normal 5 3 3 2 5" xfId="11517"/>
    <cellStyle name="Normal 5 3 3 3" xfId="2458"/>
    <cellStyle name="Normal 5 3 3 3 2" xfId="7168"/>
    <cellStyle name="Normal 5 3 3 3 3" xfId="11518"/>
    <cellStyle name="Normal 5 3 3 4" xfId="2456"/>
    <cellStyle name="Normal 5 3 3 4 2" xfId="7169"/>
    <cellStyle name="Normal 5 3 3 4 3" xfId="11519"/>
    <cellStyle name="Normal 5 3 3 5" xfId="7170"/>
    <cellStyle name="Normal 5 3 3 6" xfId="11520"/>
    <cellStyle name="Normal 5 3 4" xfId="601"/>
    <cellStyle name="Normal 5 3 4 2" xfId="7171"/>
    <cellStyle name="Normal 5 3 4 2 2" xfId="7172"/>
    <cellStyle name="Normal 5 3 4 2 3" xfId="11521"/>
    <cellStyle name="Normal 5 3 4 3" xfId="7173"/>
    <cellStyle name="Normal 5 3 4 3 2" xfId="7174"/>
    <cellStyle name="Normal 5 3 4 3 3" xfId="11522"/>
    <cellStyle name="Normal 5 3 4 4" xfId="7175"/>
    <cellStyle name="Normal 5 3 4 5" xfId="11523"/>
    <cellStyle name="Normal 5 3 5" xfId="2459"/>
    <cellStyle name="Normal 5 3 5 2" xfId="7176"/>
    <cellStyle name="Normal 5 3 5 3" xfId="11524"/>
    <cellStyle name="Normal 5 3 6" xfId="7177"/>
    <cellStyle name="Normal 5 3 6 2" xfId="7178"/>
    <cellStyle name="Normal 5 3 6 3" xfId="11525"/>
    <cellStyle name="Normal 5 3 7" xfId="7179"/>
    <cellStyle name="Normal 5 3 8" xfId="11526"/>
    <cellStyle name="Normal 5 4" xfId="604"/>
    <cellStyle name="Normal 5 4 2" xfId="1080"/>
    <cellStyle name="Normal 5 4 2 2" xfId="3320"/>
    <cellStyle name="Normal 5 4 2 2 2" xfId="7180"/>
    <cellStyle name="Normal 5 4 2 2 2 2" xfId="7181"/>
    <cellStyle name="Normal 5 4 2 2 2 2 2" xfId="7182"/>
    <cellStyle name="Normal 5 4 2 2 2 2 3" xfId="11527"/>
    <cellStyle name="Normal 5 4 2 2 2 3" xfId="7183"/>
    <cellStyle name="Normal 5 4 2 2 2 3 2" xfId="7184"/>
    <cellStyle name="Normal 5 4 2 2 2 3 3" xfId="11528"/>
    <cellStyle name="Normal 5 4 2 2 2 4" xfId="7185"/>
    <cellStyle name="Normal 5 4 2 2 2 5" xfId="11529"/>
    <cellStyle name="Normal 5 4 2 2 3" xfId="7186"/>
    <cellStyle name="Normal 5 4 2 2 3 2" xfId="7187"/>
    <cellStyle name="Normal 5 4 2 2 3 3" xfId="11530"/>
    <cellStyle name="Normal 5 4 2 2 4" xfId="7188"/>
    <cellStyle name="Normal 5 4 2 2 4 2" xfId="7189"/>
    <cellStyle name="Normal 5 4 2 2 4 3" xfId="11531"/>
    <cellStyle name="Normal 5 4 2 2 5" xfId="7190"/>
    <cellStyle name="Normal 5 4 2 2 6" xfId="11532"/>
    <cellStyle name="Normal 5 4 2 3" xfId="7191"/>
    <cellStyle name="Normal 5 4 2 3 2" xfId="7192"/>
    <cellStyle name="Normal 5 4 2 3 2 2" xfId="7193"/>
    <cellStyle name="Normal 5 4 2 3 2 3" xfId="11533"/>
    <cellStyle name="Normal 5 4 2 3 3" xfId="7194"/>
    <cellStyle name="Normal 5 4 2 3 3 2" xfId="7195"/>
    <cellStyle name="Normal 5 4 2 3 3 3" xfId="11534"/>
    <cellStyle name="Normal 5 4 2 3 4" xfId="7196"/>
    <cellStyle name="Normal 5 4 2 3 5" xfId="11535"/>
    <cellStyle name="Normal 5 4 2 4" xfId="7197"/>
    <cellStyle name="Normal 5 4 2 4 2" xfId="7198"/>
    <cellStyle name="Normal 5 4 2 4 3" xfId="11536"/>
    <cellStyle name="Normal 5 4 2 5" xfId="7199"/>
    <cellStyle name="Normal 5 4 2 5 2" xfId="7200"/>
    <cellStyle name="Normal 5 4 2 5 3" xfId="11537"/>
    <cellStyle name="Normal 5 4 2 6" xfId="7201"/>
    <cellStyle name="Normal 5 4 2 7" xfId="11538"/>
    <cellStyle name="Normal 5 4 3" xfId="1081"/>
    <cellStyle name="Normal 5 4 3 2" xfId="7202"/>
    <cellStyle name="Normal 5 4 3 2 2" xfId="7203"/>
    <cellStyle name="Normal 5 4 3 2 2 2" xfId="7204"/>
    <cellStyle name="Normal 5 4 3 2 2 3" xfId="11539"/>
    <cellStyle name="Normal 5 4 3 2 3" xfId="7205"/>
    <cellStyle name="Normal 5 4 3 2 3 2" xfId="7206"/>
    <cellStyle name="Normal 5 4 3 2 3 3" xfId="11540"/>
    <cellStyle name="Normal 5 4 3 2 4" xfId="7207"/>
    <cellStyle name="Normal 5 4 3 2 5" xfId="11541"/>
    <cellStyle name="Normal 5 4 3 3" xfId="7208"/>
    <cellStyle name="Normal 5 4 3 3 2" xfId="7209"/>
    <cellStyle name="Normal 5 4 3 3 3" xfId="11542"/>
    <cellStyle name="Normal 5 4 3 4" xfId="7210"/>
    <cellStyle name="Normal 5 4 3 4 2" xfId="7211"/>
    <cellStyle name="Normal 5 4 3 4 3" xfId="11543"/>
    <cellStyle name="Normal 5 4 3 5" xfId="7212"/>
    <cellStyle name="Normal 5 4 3 6" xfId="11544"/>
    <cellStyle name="Normal 5 4 4" xfId="2460"/>
    <cellStyle name="Normal 5 4 4 2" xfId="7213"/>
    <cellStyle name="Normal 5 4 4 2 2" xfId="7214"/>
    <cellStyle name="Normal 5 4 4 2 3" xfId="11545"/>
    <cellStyle name="Normal 5 4 4 3" xfId="7215"/>
    <cellStyle name="Normal 5 4 4 3 2" xfId="7216"/>
    <cellStyle name="Normal 5 4 4 3 3" xfId="11546"/>
    <cellStyle name="Normal 5 4 4 4" xfId="7217"/>
    <cellStyle name="Normal 5 4 4 5" xfId="11547"/>
    <cellStyle name="Normal 5 4 5" xfId="2461"/>
    <cellStyle name="Normal 5 4 5 2" xfId="7218"/>
    <cellStyle name="Normal 5 4 5 3" xfId="11548"/>
    <cellStyle name="Normal 5 4 6" xfId="2462"/>
    <cellStyle name="Normal 5 4 6 2" xfId="7219"/>
    <cellStyle name="Normal 5 4 6 3" xfId="11549"/>
    <cellStyle name="Normal 5 4 7" xfId="7220"/>
    <cellStyle name="Normal 5 4 8" xfId="11550"/>
    <cellStyle name="Normal 5 5" xfId="605"/>
    <cellStyle name="Normal 5 5 2" xfId="2463"/>
    <cellStyle name="Normal 5 5 2 2" xfId="7221"/>
    <cellStyle name="Normal 5 5 2 2 2" xfId="7222"/>
    <cellStyle name="Normal 5 5 2 2 2 2" xfId="7223"/>
    <cellStyle name="Normal 5 5 2 2 2 3" xfId="11551"/>
    <cellStyle name="Normal 5 5 2 2 3" xfId="7224"/>
    <cellStyle name="Normal 5 5 2 2 3 2" xfId="7225"/>
    <cellStyle name="Normal 5 5 2 2 3 3" xfId="11552"/>
    <cellStyle name="Normal 5 5 2 2 4" xfId="7226"/>
    <cellStyle name="Normal 5 5 2 2 5" xfId="11553"/>
    <cellStyle name="Normal 5 5 2 3" xfId="7227"/>
    <cellStyle name="Normal 5 5 2 3 2" xfId="7228"/>
    <cellStyle name="Normal 5 5 2 3 3" xfId="11554"/>
    <cellStyle name="Normal 5 5 2 4" xfId="7229"/>
    <cellStyle name="Normal 5 5 2 4 2" xfId="7230"/>
    <cellStyle name="Normal 5 5 2 4 3" xfId="11555"/>
    <cellStyle name="Normal 5 5 2 5" xfId="7231"/>
    <cellStyle name="Normal 5 5 2 6" xfId="11556"/>
    <cellStyle name="Normal 5 5 3" xfId="2464"/>
    <cellStyle name="Normal 5 5 3 2" xfId="7232"/>
    <cellStyle name="Normal 5 5 3 2 2" xfId="7233"/>
    <cellStyle name="Normal 5 5 3 2 3" xfId="11557"/>
    <cellStyle name="Normal 5 5 3 3" xfId="7234"/>
    <cellStyle name="Normal 5 5 3 3 2" xfId="7235"/>
    <cellStyle name="Normal 5 5 3 3 3" xfId="11558"/>
    <cellStyle name="Normal 5 5 3 4" xfId="7236"/>
    <cellStyle name="Normal 5 5 3 5" xfId="11559"/>
    <cellStyle name="Normal 5 5 4" xfId="1472"/>
    <cellStyle name="Normal 5 5 4 2" xfId="7238"/>
    <cellStyle name="Normal 5 5 4 3" xfId="11560"/>
    <cellStyle name="Normal 5 5 4 4" xfId="7237"/>
    <cellStyle name="Normal 5 5 5" xfId="7239"/>
    <cellStyle name="Normal 5 5 5 2" xfId="7240"/>
    <cellStyle name="Normal 5 5 5 3" xfId="11561"/>
    <cellStyle name="Normal 5 5 6" xfId="7241"/>
    <cellStyle name="Normal 5 5 7" xfId="11562"/>
    <cellStyle name="Normal 5 6" xfId="606"/>
    <cellStyle name="Normal 5 6 2" xfId="2465"/>
    <cellStyle name="Normal 5 6 2 2" xfId="7242"/>
    <cellStyle name="Normal 5 6 2 2 2" xfId="7243"/>
    <cellStyle name="Normal 5 6 2 2 3" xfId="11563"/>
    <cellStyle name="Normal 5 6 2 3" xfId="7244"/>
    <cellStyle name="Normal 5 6 2 3 2" xfId="7245"/>
    <cellStyle name="Normal 5 6 2 3 3" xfId="11564"/>
    <cellStyle name="Normal 5 6 2 4" xfId="7246"/>
    <cellStyle name="Normal 5 6 2 5" xfId="11565"/>
    <cellStyle name="Normal 5 6 3" xfId="7247"/>
    <cellStyle name="Normal 5 6 3 2" xfId="7248"/>
    <cellStyle name="Normal 5 6 3 3" xfId="11566"/>
    <cellStyle name="Normal 5 6 4" xfId="7249"/>
    <cellStyle name="Normal 5 6 4 2" xfId="7250"/>
    <cellStyle name="Normal 5 6 4 3" xfId="11567"/>
    <cellStyle name="Normal 5 6 5" xfId="7251"/>
    <cellStyle name="Normal 5 6 6" xfId="11568"/>
    <cellStyle name="Normal 5 7" xfId="596"/>
    <cellStyle name="Normal 5 7 2" xfId="7252"/>
    <cellStyle name="Normal 5 7 2 2" xfId="7253"/>
    <cellStyle name="Normal 5 7 2 3" xfId="11569"/>
    <cellStyle name="Normal 5 7 3" xfId="7254"/>
    <cellStyle name="Normal 5 7 3 2" xfId="7255"/>
    <cellStyle name="Normal 5 7 3 3" xfId="11570"/>
    <cellStyle name="Normal 5 7 4" xfId="7256"/>
    <cellStyle name="Normal 5 7 5" xfId="11571"/>
    <cellStyle name="Normal 5 8" xfId="2466"/>
    <cellStyle name="Normal 5 8 2" xfId="7257"/>
    <cellStyle name="Normal 5 8 3" xfId="11572"/>
    <cellStyle name="Normal 5 9" xfId="2467"/>
    <cellStyle name="Normal 5 9 2" xfId="7258"/>
    <cellStyle name="Normal 5 9 3" xfId="11573"/>
    <cellStyle name="Normal 5_10051" xfId="2468"/>
    <cellStyle name="Normal 50" xfId="1082"/>
    <cellStyle name="Normal 50 2" xfId="1083"/>
    <cellStyle name="Normal 50 2 2" xfId="3321"/>
    <cellStyle name="Normal 50 2 2 2" xfId="7259"/>
    <cellStyle name="Normal 50 2 2 2 2" xfId="7260"/>
    <cellStyle name="Normal 50 2 2 2 2 2" xfId="7261"/>
    <cellStyle name="Normal 50 2 2 2 2 3" xfId="11574"/>
    <cellStyle name="Normal 50 2 2 2 3" xfId="7262"/>
    <cellStyle name="Normal 50 2 2 2 3 2" xfId="7263"/>
    <cellStyle name="Normal 50 2 2 2 3 3" xfId="11575"/>
    <cellStyle name="Normal 50 2 2 2 4" xfId="7264"/>
    <cellStyle name="Normal 50 2 2 2 5" xfId="11576"/>
    <cellStyle name="Normal 50 2 2 3" xfId="7265"/>
    <cellStyle name="Normal 50 2 2 3 2" xfId="7266"/>
    <cellStyle name="Normal 50 2 2 3 3" xfId="11577"/>
    <cellStyle name="Normal 50 2 2 4" xfId="7267"/>
    <cellStyle name="Normal 50 2 2 4 2" xfId="7268"/>
    <cellStyle name="Normal 50 2 2 4 3" xfId="11578"/>
    <cellStyle name="Normal 50 2 2 5" xfId="7269"/>
    <cellStyle name="Normal 50 2 2 6" xfId="11579"/>
    <cellStyle name="Normal 50 2 3" xfId="7270"/>
    <cellStyle name="Normal 50 2 3 2" xfId="7271"/>
    <cellStyle name="Normal 50 2 3 2 2" xfId="7272"/>
    <cellStyle name="Normal 50 2 3 2 3" xfId="11580"/>
    <cellStyle name="Normal 50 2 3 3" xfId="7273"/>
    <cellStyle name="Normal 50 2 3 3 2" xfId="7274"/>
    <cellStyle name="Normal 50 2 3 3 3" xfId="11581"/>
    <cellStyle name="Normal 50 2 3 4" xfId="7275"/>
    <cellStyle name="Normal 50 2 3 5" xfId="11582"/>
    <cellStyle name="Normal 50 2 4" xfId="7276"/>
    <cellStyle name="Normal 50 2 4 2" xfId="7277"/>
    <cellStyle name="Normal 50 2 4 3" xfId="11583"/>
    <cellStyle name="Normal 50 2 5" xfId="7278"/>
    <cellStyle name="Normal 50 2 5 2" xfId="7279"/>
    <cellStyle name="Normal 50 2 5 3" xfId="11584"/>
    <cellStyle name="Normal 50 2 6" xfId="7280"/>
    <cellStyle name="Normal 50 2 7" xfId="11585"/>
    <cellStyle name="Normal 50 3" xfId="1084"/>
    <cellStyle name="Normal 50 3 2" xfId="7281"/>
    <cellStyle name="Normal 50 3 2 2" xfId="7282"/>
    <cellStyle name="Normal 50 3 2 2 2" xfId="7283"/>
    <cellStyle name="Normal 50 3 2 2 3" xfId="11586"/>
    <cellStyle name="Normal 50 3 2 3" xfId="7284"/>
    <cellStyle name="Normal 50 3 2 3 2" xfId="7285"/>
    <cellStyle name="Normal 50 3 2 3 3" xfId="11587"/>
    <cellStyle name="Normal 50 3 2 4" xfId="7286"/>
    <cellStyle name="Normal 50 3 2 5" xfId="11588"/>
    <cellStyle name="Normal 50 3 3" xfId="7287"/>
    <cellStyle name="Normal 50 3 3 2" xfId="7288"/>
    <cellStyle name="Normal 50 3 3 3" xfId="11589"/>
    <cellStyle name="Normal 50 3 4" xfId="7289"/>
    <cellStyle name="Normal 50 3 4 2" xfId="7290"/>
    <cellStyle name="Normal 50 3 4 3" xfId="11590"/>
    <cellStyle name="Normal 50 3 5" xfId="7291"/>
    <cellStyle name="Normal 50 3 6" xfId="11591"/>
    <cellStyle name="Normal 50 4" xfId="7292"/>
    <cellStyle name="Normal 50 4 2" xfId="7293"/>
    <cellStyle name="Normal 50 4 2 2" xfId="7294"/>
    <cellStyle name="Normal 50 4 2 3" xfId="11592"/>
    <cellStyle name="Normal 50 4 3" xfId="7295"/>
    <cellStyle name="Normal 50 4 3 2" xfId="7296"/>
    <cellStyle name="Normal 50 4 3 3" xfId="11593"/>
    <cellStyle name="Normal 50 4 4" xfId="7297"/>
    <cellStyle name="Normal 50 4 5" xfId="11594"/>
    <cellStyle name="Normal 50 5" xfId="7298"/>
    <cellStyle name="Normal 50 5 2" xfId="7299"/>
    <cellStyle name="Normal 50 5 3" xfId="11595"/>
    <cellStyle name="Normal 50 6" xfId="7300"/>
    <cellStyle name="Normal 50 6 2" xfId="7301"/>
    <cellStyle name="Normal 50 6 3" xfId="11596"/>
    <cellStyle name="Normal 50 7" xfId="7302"/>
    <cellStyle name="Normal 50 8" xfId="11597"/>
    <cellStyle name="Normal 51" xfId="1085"/>
    <cellStyle name="Normal 51 2" xfId="1086"/>
    <cellStyle name="Normal 51 2 2" xfId="3322"/>
    <cellStyle name="Normal 51 2 2 2" xfId="7303"/>
    <cellStyle name="Normal 51 2 2 2 2" xfId="7304"/>
    <cellStyle name="Normal 51 2 2 2 2 2" xfId="7305"/>
    <cellStyle name="Normal 51 2 2 2 2 3" xfId="11598"/>
    <cellStyle name="Normal 51 2 2 2 3" xfId="7306"/>
    <cellStyle name="Normal 51 2 2 2 3 2" xfId="7307"/>
    <cellStyle name="Normal 51 2 2 2 3 3" xfId="11599"/>
    <cellStyle name="Normal 51 2 2 2 4" xfId="7308"/>
    <cellStyle name="Normal 51 2 2 2 5" xfId="11600"/>
    <cellStyle name="Normal 51 2 2 3" xfId="7309"/>
    <cellStyle name="Normal 51 2 2 3 2" xfId="7310"/>
    <cellStyle name="Normal 51 2 2 3 3" xfId="11601"/>
    <cellStyle name="Normal 51 2 2 4" xfId="7311"/>
    <cellStyle name="Normal 51 2 2 4 2" xfId="7312"/>
    <cellStyle name="Normal 51 2 2 4 3" xfId="11602"/>
    <cellStyle name="Normal 51 2 2 5" xfId="7313"/>
    <cellStyle name="Normal 51 2 2 6" xfId="11603"/>
    <cellStyle name="Normal 51 2 3" xfId="7314"/>
    <cellStyle name="Normal 51 2 3 2" xfId="7315"/>
    <cellStyle name="Normal 51 2 3 2 2" xfId="7316"/>
    <cellStyle name="Normal 51 2 3 2 3" xfId="11604"/>
    <cellStyle name="Normal 51 2 3 3" xfId="7317"/>
    <cellStyle name="Normal 51 2 3 3 2" xfId="7318"/>
    <cellStyle name="Normal 51 2 3 3 3" xfId="11605"/>
    <cellStyle name="Normal 51 2 3 4" xfId="7319"/>
    <cellStyle name="Normal 51 2 3 5" xfId="11606"/>
    <cellStyle name="Normal 51 2 4" xfId="7320"/>
    <cellStyle name="Normal 51 2 4 2" xfId="7321"/>
    <cellStyle name="Normal 51 2 4 3" xfId="11607"/>
    <cellStyle name="Normal 51 2 5" xfId="7322"/>
    <cellStyle name="Normal 51 2 5 2" xfId="7323"/>
    <cellStyle name="Normal 51 2 5 3" xfId="11608"/>
    <cellStyle name="Normal 51 2 6" xfId="7324"/>
    <cellStyle name="Normal 51 2 7" xfId="11609"/>
    <cellStyle name="Normal 51 3" xfId="1087"/>
    <cellStyle name="Normal 51 3 2" xfId="7325"/>
    <cellStyle name="Normal 51 3 2 2" xfId="7326"/>
    <cellStyle name="Normal 51 3 2 2 2" xfId="7327"/>
    <cellStyle name="Normal 51 3 2 2 3" xfId="11610"/>
    <cellStyle name="Normal 51 3 2 3" xfId="7328"/>
    <cellStyle name="Normal 51 3 2 3 2" xfId="7329"/>
    <cellStyle name="Normal 51 3 2 3 3" xfId="11611"/>
    <cellStyle name="Normal 51 3 2 4" xfId="7330"/>
    <cellStyle name="Normal 51 3 2 5" xfId="11612"/>
    <cellStyle name="Normal 51 3 3" xfId="7331"/>
    <cellStyle name="Normal 51 3 3 2" xfId="7332"/>
    <cellStyle name="Normal 51 3 3 3" xfId="11613"/>
    <cellStyle name="Normal 51 3 4" xfId="7333"/>
    <cellStyle name="Normal 51 3 4 2" xfId="7334"/>
    <cellStyle name="Normal 51 3 4 3" xfId="11614"/>
    <cellStyle name="Normal 51 3 5" xfId="7335"/>
    <cellStyle name="Normal 51 3 6" xfId="11615"/>
    <cellStyle name="Normal 51 4" xfId="7336"/>
    <cellStyle name="Normal 51 4 2" xfId="7337"/>
    <cellStyle name="Normal 51 4 2 2" xfId="7338"/>
    <cellStyle name="Normal 51 4 2 3" xfId="11616"/>
    <cellStyle name="Normal 51 4 3" xfId="7339"/>
    <cellStyle name="Normal 51 4 3 2" xfId="7340"/>
    <cellStyle name="Normal 51 4 3 3" xfId="11617"/>
    <cellStyle name="Normal 51 4 4" xfId="7341"/>
    <cellStyle name="Normal 51 4 5" xfId="11618"/>
    <cellStyle name="Normal 51 5" xfId="7342"/>
    <cellStyle name="Normal 51 5 2" xfId="7343"/>
    <cellStyle name="Normal 51 5 3" xfId="11619"/>
    <cellStyle name="Normal 51 6" xfId="7344"/>
    <cellStyle name="Normal 51 6 2" xfId="7345"/>
    <cellStyle name="Normal 51 6 3" xfId="11620"/>
    <cellStyle name="Normal 51 7" xfId="7346"/>
    <cellStyle name="Normal 51 8" xfId="11621"/>
    <cellStyle name="Normal 52" xfId="1088"/>
    <cellStyle name="Normal 52 2" xfId="1089"/>
    <cellStyle name="Normal 52 2 2" xfId="3323"/>
    <cellStyle name="Normal 52 2 2 2" xfId="7347"/>
    <cellStyle name="Normal 52 2 2 2 2" xfId="7348"/>
    <cellStyle name="Normal 52 2 2 2 2 2" xfId="7349"/>
    <cellStyle name="Normal 52 2 2 2 2 3" xfId="11622"/>
    <cellStyle name="Normal 52 2 2 2 3" xfId="7350"/>
    <cellStyle name="Normal 52 2 2 2 3 2" xfId="7351"/>
    <cellStyle name="Normal 52 2 2 2 3 3" xfId="11623"/>
    <cellStyle name="Normal 52 2 2 2 4" xfId="7352"/>
    <cellStyle name="Normal 52 2 2 2 5" xfId="11624"/>
    <cellStyle name="Normal 52 2 2 3" xfId="7353"/>
    <cellStyle name="Normal 52 2 2 3 2" xfId="7354"/>
    <cellStyle name="Normal 52 2 2 3 3" xfId="11625"/>
    <cellStyle name="Normal 52 2 2 4" xfId="7355"/>
    <cellStyle name="Normal 52 2 2 4 2" xfId="7356"/>
    <cellStyle name="Normal 52 2 2 4 3" xfId="11626"/>
    <cellStyle name="Normal 52 2 2 5" xfId="7357"/>
    <cellStyle name="Normal 52 2 2 6" xfId="11627"/>
    <cellStyle name="Normal 52 2 3" xfId="7358"/>
    <cellStyle name="Normal 52 2 3 2" xfId="7359"/>
    <cellStyle name="Normal 52 2 3 2 2" xfId="7360"/>
    <cellStyle name="Normal 52 2 3 2 3" xfId="11628"/>
    <cellStyle name="Normal 52 2 3 3" xfId="7361"/>
    <cellStyle name="Normal 52 2 3 3 2" xfId="7362"/>
    <cellStyle name="Normal 52 2 3 3 3" xfId="11629"/>
    <cellStyle name="Normal 52 2 3 4" xfId="7363"/>
    <cellStyle name="Normal 52 2 3 5" xfId="11630"/>
    <cellStyle name="Normal 52 2 4" xfId="7364"/>
    <cellStyle name="Normal 52 2 4 2" xfId="7365"/>
    <cellStyle name="Normal 52 2 4 3" xfId="11631"/>
    <cellStyle name="Normal 52 2 5" xfId="7366"/>
    <cellStyle name="Normal 52 2 5 2" xfId="7367"/>
    <cellStyle name="Normal 52 2 5 3" xfId="11632"/>
    <cellStyle name="Normal 52 2 6" xfId="7368"/>
    <cellStyle name="Normal 52 2 7" xfId="11633"/>
    <cellStyle name="Normal 52 3" xfId="1090"/>
    <cellStyle name="Normal 52 3 2" xfId="7369"/>
    <cellStyle name="Normal 52 3 2 2" xfId="7370"/>
    <cellStyle name="Normal 52 3 2 2 2" xfId="7371"/>
    <cellStyle name="Normal 52 3 2 2 3" xfId="11634"/>
    <cellStyle name="Normal 52 3 2 3" xfId="7372"/>
    <cellStyle name="Normal 52 3 2 3 2" xfId="7373"/>
    <cellStyle name="Normal 52 3 2 3 3" xfId="11635"/>
    <cellStyle name="Normal 52 3 2 4" xfId="7374"/>
    <cellStyle name="Normal 52 3 2 5" xfId="11636"/>
    <cellStyle name="Normal 52 3 3" xfId="7375"/>
    <cellStyle name="Normal 52 3 3 2" xfId="7376"/>
    <cellStyle name="Normal 52 3 3 3" xfId="11637"/>
    <cellStyle name="Normal 52 3 4" xfId="7377"/>
    <cellStyle name="Normal 52 3 4 2" xfId="7378"/>
    <cellStyle name="Normal 52 3 4 3" xfId="11638"/>
    <cellStyle name="Normal 52 3 5" xfId="7379"/>
    <cellStyle name="Normal 52 3 6" xfId="11639"/>
    <cellStyle name="Normal 52 4" xfId="7380"/>
    <cellStyle name="Normal 52 4 2" xfId="7381"/>
    <cellStyle name="Normal 52 4 2 2" xfId="7382"/>
    <cellStyle name="Normal 52 4 2 3" xfId="11640"/>
    <cellStyle name="Normal 52 4 3" xfId="7383"/>
    <cellStyle name="Normal 52 4 3 2" xfId="7384"/>
    <cellStyle name="Normal 52 4 3 3" xfId="11641"/>
    <cellStyle name="Normal 52 4 4" xfId="7385"/>
    <cellStyle name="Normal 52 4 5" xfId="11642"/>
    <cellStyle name="Normal 52 5" xfId="7386"/>
    <cellStyle name="Normal 52 5 2" xfId="7387"/>
    <cellStyle name="Normal 52 5 3" xfId="11643"/>
    <cellStyle name="Normal 52 6" xfId="7388"/>
    <cellStyle name="Normal 52 6 2" xfId="7389"/>
    <cellStyle name="Normal 52 6 3" xfId="11644"/>
    <cellStyle name="Normal 52 7" xfId="7390"/>
    <cellStyle name="Normal 52 8" xfId="11645"/>
    <cellStyle name="Normal 53" xfId="1091"/>
    <cellStyle name="Normal 53 2" xfId="1092"/>
    <cellStyle name="Normal 53 2 2" xfId="3324"/>
    <cellStyle name="Normal 53 2 2 2" xfId="7391"/>
    <cellStyle name="Normal 53 2 2 2 2" xfId="7392"/>
    <cellStyle name="Normal 53 2 2 2 2 2" xfId="7393"/>
    <cellStyle name="Normal 53 2 2 2 2 3" xfId="11646"/>
    <cellStyle name="Normal 53 2 2 2 3" xfId="7394"/>
    <cellStyle name="Normal 53 2 2 2 3 2" xfId="7395"/>
    <cellStyle name="Normal 53 2 2 2 3 3" xfId="11647"/>
    <cellStyle name="Normal 53 2 2 2 4" xfId="7396"/>
    <cellStyle name="Normal 53 2 2 2 5" xfId="11648"/>
    <cellStyle name="Normal 53 2 2 3" xfId="7397"/>
    <cellStyle name="Normal 53 2 2 3 2" xfId="7398"/>
    <cellStyle name="Normal 53 2 2 3 3" xfId="11649"/>
    <cellStyle name="Normal 53 2 2 4" xfId="7399"/>
    <cellStyle name="Normal 53 2 2 4 2" xfId="7400"/>
    <cellStyle name="Normal 53 2 2 4 3" xfId="11650"/>
    <cellStyle name="Normal 53 2 2 5" xfId="7401"/>
    <cellStyle name="Normal 53 2 2 6" xfId="11651"/>
    <cellStyle name="Normal 53 2 3" xfId="7402"/>
    <cellStyle name="Normal 53 2 3 2" xfId="7403"/>
    <cellStyle name="Normal 53 2 3 2 2" xfId="7404"/>
    <cellStyle name="Normal 53 2 3 2 3" xfId="11652"/>
    <cellStyle name="Normal 53 2 3 3" xfId="7405"/>
    <cellStyle name="Normal 53 2 3 3 2" xfId="7406"/>
    <cellStyle name="Normal 53 2 3 3 3" xfId="11653"/>
    <cellStyle name="Normal 53 2 3 4" xfId="7407"/>
    <cellStyle name="Normal 53 2 3 5" xfId="11654"/>
    <cellStyle name="Normal 53 2 4" xfId="7408"/>
    <cellStyle name="Normal 53 2 4 2" xfId="7409"/>
    <cellStyle name="Normal 53 2 4 3" xfId="11655"/>
    <cellStyle name="Normal 53 2 5" xfId="7410"/>
    <cellStyle name="Normal 53 2 5 2" xfId="7411"/>
    <cellStyle name="Normal 53 2 5 3" xfId="11656"/>
    <cellStyle name="Normal 53 2 6" xfId="7412"/>
    <cellStyle name="Normal 53 2 7" xfId="11657"/>
    <cellStyle name="Normal 53 3" xfId="1093"/>
    <cellStyle name="Normal 53 3 2" xfId="7413"/>
    <cellStyle name="Normal 53 3 2 2" xfId="7414"/>
    <cellStyle name="Normal 53 3 2 2 2" xfId="7415"/>
    <cellStyle name="Normal 53 3 2 2 3" xfId="11658"/>
    <cellStyle name="Normal 53 3 2 3" xfId="7416"/>
    <cellStyle name="Normal 53 3 2 3 2" xfId="7417"/>
    <cellStyle name="Normal 53 3 2 3 3" xfId="11659"/>
    <cellStyle name="Normal 53 3 2 4" xfId="7418"/>
    <cellStyle name="Normal 53 3 2 5" xfId="11660"/>
    <cellStyle name="Normal 53 3 3" xfId="7419"/>
    <cellStyle name="Normal 53 3 3 2" xfId="7420"/>
    <cellStyle name="Normal 53 3 3 3" xfId="11661"/>
    <cellStyle name="Normal 53 3 4" xfId="7421"/>
    <cellStyle name="Normal 53 3 4 2" xfId="7422"/>
    <cellStyle name="Normal 53 3 4 3" xfId="11662"/>
    <cellStyle name="Normal 53 3 5" xfId="7423"/>
    <cellStyle name="Normal 53 3 6" xfId="11663"/>
    <cellStyle name="Normal 53 4" xfId="7424"/>
    <cellStyle name="Normal 53 4 2" xfId="7425"/>
    <cellStyle name="Normal 53 4 2 2" xfId="7426"/>
    <cellStyle name="Normal 53 4 2 3" xfId="11664"/>
    <cellStyle name="Normal 53 4 3" xfId="7427"/>
    <cellStyle name="Normal 53 4 3 2" xfId="7428"/>
    <cellStyle name="Normal 53 4 3 3" xfId="11665"/>
    <cellStyle name="Normal 53 4 4" xfId="7429"/>
    <cellStyle name="Normal 53 4 5" xfId="11666"/>
    <cellStyle name="Normal 53 5" xfId="7430"/>
    <cellStyle name="Normal 53 5 2" xfId="7431"/>
    <cellStyle name="Normal 53 5 3" xfId="11667"/>
    <cellStyle name="Normal 53 6" xfId="7432"/>
    <cellStyle name="Normal 53 6 2" xfId="7433"/>
    <cellStyle name="Normal 53 6 3" xfId="11668"/>
    <cellStyle name="Normal 53 7" xfId="7434"/>
    <cellStyle name="Normal 53 8" xfId="11669"/>
    <cellStyle name="Normal 54" xfId="1094"/>
    <cellStyle name="Normal 54 2" xfId="1095"/>
    <cellStyle name="Normal 54 2 2" xfId="3325"/>
    <cellStyle name="Normal 54 2 2 2" xfId="7435"/>
    <cellStyle name="Normal 54 2 2 2 2" xfId="7436"/>
    <cellStyle name="Normal 54 2 2 2 2 2" xfId="7437"/>
    <cellStyle name="Normal 54 2 2 2 2 3" xfId="11670"/>
    <cellStyle name="Normal 54 2 2 2 3" xfId="7438"/>
    <cellStyle name="Normal 54 2 2 2 3 2" xfId="7439"/>
    <cellStyle name="Normal 54 2 2 2 3 3" xfId="11671"/>
    <cellStyle name="Normal 54 2 2 2 4" xfId="7440"/>
    <cellStyle name="Normal 54 2 2 2 5" xfId="11672"/>
    <cellStyle name="Normal 54 2 2 3" xfId="7441"/>
    <cellStyle name="Normal 54 2 2 3 2" xfId="7442"/>
    <cellStyle name="Normal 54 2 2 3 3" xfId="11673"/>
    <cellStyle name="Normal 54 2 2 4" xfId="7443"/>
    <cellStyle name="Normal 54 2 2 4 2" xfId="7444"/>
    <cellStyle name="Normal 54 2 2 4 3" xfId="11674"/>
    <cellStyle name="Normal 54 2 2 5" xfId="7445"/>
    <cellStyle name="Normal 54 2 2 6" xfId="11675"/>
    <cellStyle name="Normal 54 2 3" xfId="7446"/>
    <cellStyle name="Normal 54 2 3 2" xfId="7447"/>
    <cellStyle name="Normal 54 2 3 2 2" xfId="7448"/>
    <cellStyle name="Normal 54 2 3 2 3" xfId="11676"/>
    <cellStyle name="Normal 54 2 3 3" xfId="7449"/>
    <cellStyle name="Normal 54 2 3 3 2" xfId="7450"/>
    <cellStyle name="Normal 54 2 3 3 3" xfId="11677"/>
    <cellStyle name="Normal 54 2 3 4" xfId="7451"/>
    <cellStyle name="Normal 54 2 3 5" xfId="11678"/>
    <cellStyle name="Normal 54 2 4" xfId="7452"/>
    <cellStyle name="Normal 54 2 4 2" xfId="7453"/>
    <cellStyle name="Normal 54 2 4 3" xfId="11679"/>
    <cellStyle name="Normal 54 2 5" xfId="7454"/>
    <cellStyle name="Normal 54 2 5 2" xfId="7455"/>
    <cellStyle name="Normal 54 2 5 3" xfId="11680"/>
    <cellStyle name="Normal 54 2 6" xfId="7456"/>
    <cellStyle name="Normal 54 2 7" xfId="11681"/>
    <cellStyle name="Normal 54 3" xfId="1096"/>
    <cellStyle name="Normal 54 3 2" xfId="7457"/>
    <cellStyle name="Normal 54 3 2 2" xfId="7458"/>
    <cellStyle name="Normal 54 3 2 2 2" xfId="7459"/>
    <cellStyle name="Normal 54 3 2 2 3" xfId="11682"/>
    <cellStyle name="Normal 54 3 2 3" xfId="7460"/>
    <cellStyle name="Normal 54 3 2 3 2" xfId="7461"/>
    <cellStyle name="Normal 54 3 2 3 3" xfId="11683"/>
    <cellStyle name="Normal 54 3 2 4" xfId="7462"/>
    <cellStyle name="Normal 54 3 2 5" xfId="11684"/>
    <cellStyle name="Normal 54 3 3" xfId="7463"/>
    <cellStyle name="Normal 54 3 3 2" xfId="7464"/>
    <cellStyle name="Normal 54 3 3 3" xfId="11685"/>
    <cellStyle name="Normal 54 3 4" xfId="7465"/>
    <cellStyle name="Normal 54 3 4 2" xfId="7466"/>
    <cellStyle name="Normal 54 3 4 3" xfId="11686"/>
    <cellStyle name="Normal 54 3 5" xfId="7467"/>
    <cellStyle name="Normal 54 3 6" xfId="11687"/>
    <cellStyle name="Normal 54 4" xfId="7468"/>
    <cellStyle name="Normal 54 4 2" xfId="7469"/>
    <cellStyle name="Normal 54 4 2 2" xfId="7470"/>
    <cellStyle name="Normal 54 4 2 3" xfId="11688"/>
    <cellStyle name="Normal 54 4 3" xfId="7471"/>
    <cellStyle name="Normal 54 4 3 2" xfId="7472"/>
    <cellStyle name="Normal 54 4 3 3" xfId="11689"/>
    <cellStyle name="Normal 54 4 4" xfId="7473"/>
    <cellStyle name="Normal 54 4 5" xfId="11690"/>
    <cellStyle name="Normal 54 5" xfId="7474"/>
    <cellStyle name="Normal 54 5 2" xfId="7475"/>
    <cellStyle name="Normal 54 5 3" xfId="11691"/>
    <cellStyle name="Normal 54 6" xfId="7476"/>
    <cellStyle name="Normal 54 6 2" xfId="7477"/>
    <cellStyle name="Normal 54 6 3" xfId="11692"/>
    <cellStyle name="Normal 54 7" xfId="7478"/>
    <cellStyle name="Normal 54 8" xfId="11693"/>
    <cellStyle name="Normal 55" xfId="1097"/>
    <cellStyle name="Normal 55 2" xfId="1098"/>
    <cellStyle name="Normal 55 2 2" xfId="3326"/>
    <cellStyle name="Normal 55 2 2 2" xfId="7479"/>
    <cellStyle name="Normal 55 2 2 2 2" xfId="7480"/>
    <cellStyle name="Normal 55 2 2 2 2 2" xfId="7481"/>
    <cellStyle name="Normal 55 2 2 2 2 3" xfId="11694"/>
    <cellStyle name="Normal 55 2 2 2 3" xfId="7482"/>
    <cellStyle name="Normal 55 2 2 2 3 2" xfId="7483"/>
    <cellStyle name="Normal 55 2 2 2 3 3" xfId="11695"/>
    <cellStyle name="Normal 55 2 2 2 4" xfId="7484"/>
    <cellStyle name="Normal 55 2 2 2 5" xfId="11696"/>
    <cellStyle name="Normal 55 2 2 3" xfId="7485"/>
    <cellStyle name="Normal 55 2 2 3 2" xfId="7486"/>
    <cellStyle name="Normal 55 2 2 3 3" xfId="11697"/>
    <cellStyle name="Normal 55 2 2 4" xfId="7487"/>
    <cellStyle name="Normal 55 2 2 4 2" xfId="7488"/>
    <cellStyle name="Normal 55 2 2 4 3" xfId="11698"/>
    <cellStyle name="Normal 55 2 2 5" xfId="7489"/>
    <cellStyle name="Normal 55 2 2 6" xfId="11699"/>
    <cellStyle name="Normal 55 2 3" xfId="7490"/>
    <cellStyle name="Normal 55 2 3 2" xfId="7491"/>
    <cellStyle name="Normal 55 2 3 2 2" xfId="7492"/>
    <cellStyle name="Normal 55 2 3 2 3" xfId="11700"/>
    <cellStyle name="Normal 55 2 3 3" xfId="7493"/>
    <cellStyle name="Normal 55 2 3 3 2" xfId="7494"/>
    <cellStyle name="Normal 55 2 3 3 3" xfId="11701"/>
    <cellStyle name="Normal 55 2 3 4" xfId="7495"/>
    <cellStyle name="Normal 55 2 3 5" xfId="11702"/>
    <cellStyle name="Normal 55 2 4" xfId="7496"/>
    <cellStyle name="Normal 55 2 4 2" xfId="7497"/>
    <cellStyle name="Normal 55 2 4 3" xfId="11703"/>
    <cellStyle name="Normal 55 2 5" xfId="7498"/>
    <cellStyle name="Normal 55 2 5 2" xfId="7499"/>
    <cellStyle name="Normal 55 2 5 3" xfId="11704"/>
    <cellStyle name="Normal 55 2 6" xfId="7500"/>
    <cellStyle name="Normal 55 2 7" xfId="11705"/>
    <cellStyle name="Normal 55 3" xfId="1099"/>
    <cellStyle name="Normal 55 3 2" xfId="7501"/>
    <cellStyle name="Normal 55 3 2 2" xfId="7502"/>
    <cellStyle name="Normal 55 3 2 2 2" xfId="7503"/>
    <cellStyle name="Normal 55 3 2 2 3" xfId="11706"/>
    <cellStyle name="Normal 55 3 2 3" xfId="7504"/>
    <cellStyle name="Normal 55 3 2 3 2" xfId="7505"/>
    <cellStyle name="Normal 55 3 2 3 3" xfId="11707"/>
    <cellStyle name="Normal 55 3 2 4" xfId="7506"/>
    <cellStyle name="Normal 55 3 2 5" xfId="11708"/>
    <cellStyle name="Normal 55 3 3" xfId="7507"/>
    <cellStyle name="Normal 55 3 3 2" xfId="7508"/>
    <cellStyle name="Normal 55 3 3 3" xfId="11709"/>
    <cellStyle name="Normal 55 3 4" xfId="7509"/>
    <cellStyle name="Normal 55 3 4 2" xfId="7510"/>
    <cellStyle name="Normal 55 3 4 3" xfId="11710"/>
    <cellStyle name="Normal 55 3 5" xfId="7511"/>
    <cellStyle name="Normal 55 3 6" xfId="11711"/>
    <cellStyle name="Normal 55 4" xfId="7512"/>
    <cellStyle name="Normal 55 4 2" xfId="7513"/>
    <cellStyle name="Normal 55 4 2 2" xfId="7514"/>
    <cellStyle name="Normal 55 4 2 3" xfId="11712"/>
    <cellStyle name="Normal 55 4 3" xfId="7515"/>
    <cellStyle name="Normal 55 4 3 2" xfId="7516"/>
    <cellStyle name="Normal 55 4 3 3" xfId="11713"/>
    <cellStyle name="Normal 55 4 4" xfId="7517"/>
    <cellStyle name="Normal 55 4 5" xfId="11714"/>
    <cellStyle name="Normal 55 5" xfId="7518"/>
    <cellStyle name="Normal 55 5 2" xfId="7519"/>
    <cellStyle name="Normal 55 5 3" xfId="11715"/>
    <cellStyle name="Normal 55 6" xfId="7520"/>
    <cellStyle name="Normal 55 6 2" xfId="7521"/>
    <cellStyle name="Normal 55 6 3" xfId="11716"/>
    <cellStyle name="Normal 55 7" xfId="7522"/>
    <cellStyle name="Normal 55 8" xfId="11717"/>
    <cellStyle name="Normal 56" xfId="1100"/>
    <cellStyle name="Normal 56 2" xfId="1101"/>
    <cellStyle name="Normal 56 2 2" xfId="3327"/>
    <cellStyle name="Normal 56 2 2 2" xfId="7523"/>
    <cellStyle name="Normal 56 2 2 2 2" xfId="7524"/>
    <cellStyle name="Normal 56 2 2 2 2 2" xfId="7525"/>
    <cellStyle name="Normal 56 2 2 2 2 3" xfId="11718"/>
    <cellStyle name="Normal 56 2 2 2 3" xfId="7526"/>
    <cellStyle name="Normal 56 2 2 2 3 2" xfId="7527"/>
    <cellStyle name="Normal 56 2 2 2 3 3" xfId="11719"/>
    <cellStyle name="Normal 56 2 2 2 4" xfId="7528"/>
    <cellStyle name="Normal 56 2 2 2 5" xfId="11720"/>
    <cellStyle name="Normal 56 2 2 3" xfId="7529"/>
    <cellStyle name="Normal 56 2 2 3 2" xfId="7530"/>
    <cellStyle name="Normal 56 2 2 3 3" xfId="11721"/>
    <cellStyle name="Normal 56 2 2 4" xfId="7531"/>
    <cellStyle name="Normal 56 2 2 4 2" xfId="7532"/>
    <cellStyle name="Normal 56 2 2 4 3" xfId="11722"/>
    <cellStyle name="Normal 56 2 2 5" xfId="7533"/>
    <cellStyle name="Normal 56 2 2 6" xfId="11723"/>
    <cellStyle name="Normal 56 2 3" xfId="7534"/>
    <cellStyle name="Normal 56 2 3 2" xfId="7535"/>
    <cellStyle name="Normal 56 2 3 2 2" xfId="7536"/>
    <cellStyle name="Normal 56 2 3 2 3" xfId="11724"/>
    <cellStyle name="Normal 56 2 3 3" xfId="7537"/>
    <cellStyle name="Normal 56 2 3 3 2" xfId="7538"/>
    <cellStyle name="Normal 56 2 3 3 3" xfId="11725"/>
    <cellStyle name="Normal 56 2 3 4" xfId="7539"/>
    <cellStyle name="Normal 56 2 3 5" xfId="11726"/>
    <cellStyle name="Normal 56 2 4" xfId="7540"/>
    <cellStyle name="Normal 56 2 4 2" xfId="7541"/>
    <cellStyle name="Normal 56 2 4 3" xfId="11727"/>
    <cellStyle name="Normal 56 2 5" xfId="7542"/>
    <cellStyle name="Normal 56 2 5 2" xfId="7543"/>
    <cellStyle name="Normal 56 2 5 3" xfId="11728"/>
    <cellStyle name="Normal 56 2 6" xfId="7544"/>
    <cellStyle name="Normal 56 2 7" xfId="11729"/>
    <cellStyle name="Normal 56 3" xfId="1102"/>
    <cellStyle name="Normal 56 3 2" xfId="7545"/>
    <cellStyle name="Normal 56 3 2 2" xfId="7546"/>
    <cellStyle name="Normal 56 3 2 2 2" xfId="7547"/>
    <cellStyle name="Normal 56 3 2 2 3" xfId="11730"/>
    <cellStyle name="Normal 56 3 2 3" xfId="7548"/>
    <cellStyle name="Normal 56 3 2 3 2" xfId="7549"/>
    <cellStyle name="Normal 56 3 2 3 3" xfId="11731"/>
    <cellStyle name="Normal 56 3 2 4" xfId="7550"/>
    <cellStyle name="Normal 56 3 2 5" xfId="11732"/>
    <cellStyle name="Normal 56 3 3" xfId="7551"/>
    <cellStyle name="Normal 56 3 3 2" xfId="7552"/>
    <cellStyle name="Normal 56 3 3 3" xfId="11733"/>
    <cellStyle name="Normal 56 3 4" xfId="7553"/>
    <cellStyle name="Normal 56 3 4 2" xfId="7554"/>
    <cellStyle name="Normal 56 3 4 3" xfId="11734"/>
    <cellStyle name="Normal 56 3 5" xfId="7555"/>
    <cellStyle name="Normal 56 3 6" xfId="11735"/>
    <cellStyle name="Normal 56 4" xfId="7556"/>
    <cellStyle name="Normal 56 4 2" xfId="7557"/>
    <cellStyle name="Normal 56 4 2 2" xfId="7558"/>
    <cellStyle name="Normal 56 4 2 3" xfId="11736"/>
    <cellStyle name="Normal 56 4 3" xfId="7559"/>
    <cellStyle name="Normal 56 4 3 2" xfId="7560"/>
    <cellStyle name="Normal 56 4 3 3" xfId="11737"/>
    <cellStyle name="Normal 56 4 4" xfId="7561"/>
    <cellStyle name="Normal 56 4 5" xfId="11738"/>
    <cellStyle name="Normal 56 5" xfId="7562"/>
    <cellStyle name="Normal 56 5 2" xfId="7563"/>
    <cellStyle name="Normal 56 5 3" xfId="11739"/>
    <cellStyle name="Normal 56 6" xfId="7564"/>
    <cellStyle name="Normal 56 6 2" xfId="7565"/>
    <cellStyle name="Normal 56 6 3" xfId="11740"/>
    <cellStyle name="Normal 56 7" xfId="7566"/>
    <cellStyle name="Normal 56 8" xfId="11741"/>
    <cellStyle name="Normal 57" xfId="1103"/>
    <cellStyle name="Normal 57 2" xfId="1104"/>
    <cellStyle name="Normal 57 2 2" xfId="3328"/>
    <cellStyle name="Normal 57 2 2 2" xfId="7567"/>
    <cellStyle name="Normal 57 2 2 2 2" xfId="7568"/>
    <cellStyle name="Normal 57 2 2 2 2 2" xfId="7569"/>
    <cellStyle name="Normal 57 2 2 2 2 3" xfId="11742"/>
    <cellStyle name="Normal 57 2 2 2 3" xfId="7570"/>
    <cellStyle name="Normal 57 2 2 2 3 2" xfId="7571"/>
    <cellStyle name="Normal 57 2 2 2 3 3" xfId="11743"/>
    <cellStyle name="Normal 57 2 2 2 4" xfId="7572"/>
    <cellStyle name="Normal 57 2 2 2 5" xfId="11744"/>
    <cellStyle name="Normal 57 2 2 3" xfId="7573"/>
    <cellStyle name="Normal 57 2 2 3 2" xfId="7574"/>
    <cellStyle name="Normal 57 2 2 3 3" xfId="11745"/>
    <cellStyle name="Normal 57 2 2 4" xfId="7575"/>
    <cellStyle name="Normal 57 2 2 4 2" xfId="7576"/>
    <cellStyle name="Normal 57 2 2 4 3" xfId="11746"/>
    <cellStyle name="Normal 57 2 2 5" xfId="7577"/>
    <cellStyle name="Normal 57 2 2 6" xfId="11747"/>
    <cellStyle name="Normal 57 2 3" xfId="7578"/>
    <cellStyle name="Normal 57 2 3 2" xfId="7579"/>
    <cellStyle name="Normal 57 2 3 2 2" xfId="7580"/>
    <cellStyle name="Normal 57 2 3 2 3" xfId="11748"/>
    <cellStyle name="Normal 57 2 3 3" xfId="7581"/>
    <cellStyle name="Normal 57 2 3 3 2" xfId="7582"/>
    <cellStyle name="Normal 57 2 3 3 3" xfId="11749"/>
    <cellStyle name="Normal 57 2 3 4" xfId="7583"/>
    <cellStyle name="Normal 57 2 3 5" xfId="11750"/>
    <cellStyle name="Normal 57 2 4" xfId="7584"/>
    <cellStyle name="Normal 57 2 4 2" xfId="7585"/>
    <cellStyle name="Normal 57 2 4 3" xfId="11751"/>
    <cellStyle name="Normal 57 2 5" xfId="7586"/>
    <cellStyle name="Normal 57 2 5 2" xfId="7587"/>
    <cellStyle name="Normal 57 2 5 3" xfId="11752"/>
    <cellStyle name="Normal 57 2 6" xfId="7588"/>
    <cellStyle name="Normal 57 2 7" xfId="11753"/>
    <cellStyle name="Normal 57 3" xfId="1105"/>
    <cellStyle name="Normal 57 3 2" xfId="7589"/>
    <cellStyle name="Normal 57 3 2 2" xfId="7590"/>
    <cellStyle name="Normal 57 3 2 2 2" xfId="7591"/>
    <cellStyle name="Normal 57 3 2 2 3" xfId="11754"/>
    <cellStyle name="Normal 57 3 2 3" xfId="7592"/>
    <cellStyle name="Normal 57 3 2 3 2" xfId="7593"/>
    <cellStyle name="Normal 57 3 2 3 3" xfId="11755"/>
    <cellStyle name="Normal 57 3 2 4" xfId="7594"/>
    <cellStyle name="Normal 57 3 2 5" xfId="11756"/>
    <cellStyle name="Normal 57 3 3" xfId="7595"/>
    <cellStyle name="Normal 57 3 3 2" xfId="7596"/>
    <cellStyle name="Normal 57 3 3 3" xfId="11757"/>
    <cellStyle name="Normal 57 3 4" xfId="7597"/>
    <cellStyle name="Normal 57 3 4 2" xfId="7598"/>
    <cellStyle name="Normal 57 3 4 3" xfId="11758"/>
    <cellStyle name="Normal 57 3 5" xfId="7599"/>
    <cellStyle name="Normal 57 3 6" xfId="11759"/>
    <cellStyle name="Normal 57 4" xfId="7600"/>
    <cellStyle name="Normal 57 4 2" xfId="7601"/>
    <cellStyle name="Normal 57 4 2 2" xfId="7602"/>
    <cellStyle name="Normal 57 4 2 3" xfId="11760"/>
    <cellStyle name="Normal 57 4 3" xfId="7603"/>
    <cellStyle name="Normal 57 4 3 2" xfId="7604"/>
    <cellStyle name="Normal 57 4 3 3" xfId="11761"/>
    <cellStyle name="Normal 57 4 4" xfId="7605"/>
    <cellStyle name="Normal 57 4 5" xfId="11762"/>
    <cellStyle name="Normal 57 5" xfId="7606"/>
    <cellStyle name="Normal 57 5 2" xfId="7607"/>
    <cellStyle name="Normal 57 5 3" xfId="11763"/>
    <cellStyle name="Normal 57 6" xfId="7608"/>
    <cellStyle name="Normal 57 6 2" xfId="7609"/>
    <cellStyle name="Normal 57 6 3" xfId="11764"/>
    <cellStyle name="Normal 57 7" xfId="7610"/>
    <cellStyle name="Normal 57 8" xfId="11765"/>
    <cellStyle name="Normal 58" xfId="1106"/>
    <cellStyle name="Normal 58 2" xfId="1107"/>
    <cellStyle name="Normal 58 2 2" xfId="3329"/>
    <cellStyle name="Normal 58 2 2 2" xfId="7611"/>
    <cellStyle name="Normal 58 2 2 2 2" xfId="7612"/>
    <cellStyle name="Normal 58 2 2 2 2 2" xfId="7613"/>
    <cellStyle name="Normal 58 2 2 2 2 3" xfId="11766"/>
    <cellStyle name="Normal 58 2 2 2 3" xfId="7614"/>
    <cellStyle name="Normal 58 2 2 2 3 2" xfId="7615"/>
    <cellStyle name="Normal 58 2 2 2 3 3" xfId="11767"/>
    <cellStyle name="Normal 58 2 2 2 4" xfId="7616"/>
    <cellStyle name="Normal 58 2 2 2 5" xfId="11768"/>
    <cellStyle name="Normal 58 2 2 3" xfId="7617"/>
    <cellStyle name="Normal 58 2 2 3 2" xfId="7618"/>
    <cellStyle name="Normal 58 2 2 3 3" xfId="11769"/>
    <cellStyle name="Normal 58 2 2 4" xfId="7619"/>
    <cellStyle name="Normal 58 2 2 4 2" xfId="7620"/>
    <cellStyle name="Normal 58 2 2 4 3" xfId="11770"/>
    <cellStyle name="Normal 58 2 2 5" xfId="7621"/>
    <cellStyle name="Normal 58 2 2 6" xfId="11771"/>
    <cellStyle name="Normal 58 2 3" xfId="7622"/>
    <cellStyle name="Normal 58 2 3 2" xfId="7623"/>
    <cellStyle name="Normal 58 2 3 2 2" xfId="7624"/>
    <cellStyle name="Normal 58 2 3 2 3" xfId="11772"/>
    <cellStyle name="Normal 58 2 3 3" xfId="7625"/>
    <cellStyle name="Normal 58 2 3 3 2" xfId="7626"/>
    <cellStyle name="Normal 58 2 3 3 3" xfId="11773"/>
    <cellStyle name="Normal 58 2 3 4" xfId="7627"/>
    <cellStyle name="Normal 58 2 3 5" xfId="11774"/>
    <cellStyle name="Normal 58 2 4" xfId="7628"/>
    <cellStyle name="Normal 58 2 4 2" xfId="7629"/>
    <cellStyle name="Normal 58 2 4 3" xfId="11775"/>
    <cellStyle name="Normal 58 2 5" xfId="7630"/>
    <cellStyle name="Normal 58 2 5 2" xfId="7631"/>
    <cellStyle name="Normal 58 2 5 3" xfId="11776"/>
    <cellStyle name="Normal 58 2 6" xfId="7632"/>
    <cellStyle name="Normal 58 2 7" xfId="11777"/>
    <cellStyle name="Normal 58 3" xfId="1108"/>
    <cellStyle name="Normal 58 3 2" xfId="7633"/>
    <cellStyle name="Normal 58 3 2 2" xfId="7634"/>
    <cellStyle name="Normal 58 3 2 2 2" xfId="7635"/>
    <cellStyle name="Normal 58 3 2 2 3" xfId="11778"/>
    <cellStyle name="Normal 58 3 2 3" xfId="7636"/>
    <cellStyle name="Normal 58 3 2 3 2" xfId="7637"/>
    <cellStyle name="Normal 58 3 2 3 3" xfId="11779"/>
    <cellStyle name="Normal 58 3 2 4" xfId="7638"/>
    <cellStyle name="Normal 58 3 2 5" xfId="11780"/>
    <cellStyle name="Normal 58 3 3" xfId="7639"/>
    <cellStyle name="Normal 58 3 3 2" xfId="7640"/>
    <cellStyle name="Normal 58 3 3 3" xfId="11781"/>
    <cellStyle name="Normal 58 3 4" xfId="7641"/>
    <cellStyle name="Normal 58 3 4 2" xfId="7642"/>
    <cellStyle name="Normal 58 3 4 3" xfId="11782"/>
    <cellStyle name="Normal 58 3 5" xfId="7643"/>
    <cellStyle name="Normal 58 3 6" xfId="11783"/>
    <cellStyle name="Normal 58 4" xfId="7644"/>
    <cellStyle name="Normal 58 4 2" xfId="7645"/>
    <cellStyle name="Normal 58 4 2 2" xfId="7646"/>
    <cellStyle name="Normal 58 4 2 3" xfId="11784"/>
    <cellStyle name="Normal 58 4 3" xfId="7647"/>
    <cellStyle name="Normal 58 4 3 2" xfId="7648"/>
    <cellStyle name="Normal 58 4 3 3" xfId="11785"/>
    <cellStyle name="Normal 58 4 4" xfId="7649"/>
    <cellStyle name="Normal 58 4 5" xfId="11786"/>
    <cellStyle name="Normal 58 5" xfId="7650"/>
    <cellStyle name="Normal 58 5 2" xfId="7651"/>
    <cellStyle name="Normal 58 5 3" xfId="11787"/>
    <cellStyle name="Normal 58 6" xfId="7652"/>
    <cellStyle name="Normal 58 6 2" xfId="7653"/>
    <cellStyle name="Normal 58 6 3" xfId="11788"/>
    <cellStyle name="Normal 58 7" xfId="7654"/>
    <cellStyle name="Normal 58 8" xfId="11789"/>
    <cellStyle name="Normal 59" xfId="1109"/>
    <cellStyle name="Normal 59 2" xfId="1110"/>
    <cellStyle name="Normal 59 2 2" xfId="3330"/>
    <cellStyle name="Normal 59 2 2 2" xfId="7655"/>
    <cellStyle name="Normal 59 2 2 2 2" xfId="7656"/>
    <cellStyle name="Normal 59 2 2 2 2 2" xfId="7657"/>
    <cellStyle name="Normal 59 2 2 2 2 3" xfId="11790"/>
    <cellStyle name="Normal 59 2 2 2 3" xfId="7658"/>
    <cellStyle name="Normal 59 2 2 2 3 2" xfId="7659"/>
    <cellStyle name="Normal 59 2 2 2 3 3" xfId="11791"/>
    <cellStyle name="Normal 59 2 2 2 4" xfId="7660"/>
    <cellStyle name="Normal 59 2 2 2 5" xfId="11792"/>
    <cellStyle name="Normal 59 2 2 3" xfId="7661"/>
    <cellStyle name="Normal 59 2 2 3 2" xfId="7662"/>
    <cellStyle name="Normal 59 2 2 3 3" xfId="11793"/>
    <cellStyle name="Normal 59 2 2 4" xfId="7663"/>
    <cellStyle name="Normal 59 2 2 4 2" xfId="7664"/>
    <cellStyle name="Normal 59 2 2 4 3" xfId="11794"/>
    <cellStyle name="Normal 59 2 2 5" xfId="7665"/>
    <cellStyle name="Normal 59 2 2 6" xfId="11795"/>
    <cellStyle name="Normal 59 2 3" xfId="7666"/>
    <cellStyle name="Normal 59 2 3 2" xfId="7667"/>
    <cellStyle name="Normal 59 2 3 2 2" xfId="7668"/>
    <cellStyle name="Normal 59 2 3 2 3" xfId="11796"/>
    <cellStyle name="Normal 59 2 3 3" xfId="7669"/>
    <cellStyle name="Normal 59 2 3 3 2" xfId="7670"/>
    <cellStyle name="Normal 59 2 3 3 3" xfId="11797"/>
    <cellStyle name="Normal 59 2 3 4" xfId="7671"/>
    <cellStyle name="Normal 59 2 3 5" xfId="11798"/>
    <cellStyle name="Normal 59 2 4" xfId="7672"/>
    <cellStyle name="Normal 59 2 4 2" xfId="7673"/>
    <cellStyle name="Normal 59 2 4 3" xfId="11799"/>
    <cellStyle name="Normal 59 2 5" xfId="7674"/>
    <cellStyle name="Normal 59 2 5 2" xfId="7675"/>
    <cellStyle name="Normal 59 2 5 3" xfId="11800"/>
    <cellStyle name="Normal 59 2 6" xfId="7676"/>
    <cellStyle name="Normal 59 2 7" xfId="11801"/>
    <cellStyle name="Normal 59 3" xfId="1111"/>
    <cellStyle name="Normal 59 3 2" xfId="7677"/>
    <cellStyle name="Normal 59 3 2 2" xfId="7678"/>
    <cellStyle name="Normal 59 3 2 2 2" xfId="7679"/>
    <cellStyle name="Normal 59 3 2 2 3" xfId="11802"/>
    <cellStyle name="Normal 59 3 2 3" xfId="7680"/>
    <cellStyle name="Normal 59 3 2 3 2" xfId="7681"/>
    <cellStyle name="Normal 59 3 2 3 3" xfId="11803"/>
    <cellStyle name="Normal 59 3 2 4" xfId="7682"/>
    <cellStyle name="Normal 59 3 2 5" xfId="11804"/>
    <cellStyle name="Normal 59 3 3" xfId="7683"/>
    <cellStyle name="Normal 59 3 3 2" xfId="7684"/>
    <cellStyle name="Normal 59 3 3 3" xfId="11805"/>
    <cellStyle name="Normal 59 3 4" xfId="7685"/>
    <cellStyle name="Normal 59 3 4 2" xfId="7686"/>
    <cellStyle name="Normal 59 3 4 3" xfId="11806"/>
    <cellStyle name="Normal 59 3 5" xfId="7687"/>
    <cellStyle name="Normal 59 3 6" xfId="11807"/>
    <cellStyle name="Normal 59 4" xfId="7688"/>
    <cellStyle name="Normal 59 4 2" xfId="7689"/>
    <cellStyle name="Normal 59 4 2 2" xfId="7690"/>
    <cellStyle name="Normal 59 4 2 3" xfId="11808"/>
    <cellStyle name="Normal 59 4 3" xfId="7691"/>
    <cellStyle name="Normal 59 4 3 2" xfId="7692"/>
    <cellStyle name="Normal 59 4 3 3" xfId="11809"/>
    <cellStyle name="Normal 59 4 4" xfId="7693"/>
    <cellStyle name="Normal 59 4 5" xfId="11810"/>
    <cellStyle name="Normal 59 5" xfId="7694"/>
    <cellStyle name="Normal 59 5 2" xfId="7695"/>
    <cellStyle name="Normal 59 5 3" xfId="11811"/>
    <cellStyle name="Normal 59 6" xfId="7696"/>
    <cellStyle name="Normal 59 6 2" xfId="7697"/>
    <cellStyle name="Normal 59 6 3" xfId="11812"/>
    <cellStyle name="Normal 59 7" xfId="7698"/>
    <cellStyle name="Normal 59 8" xfId="11813"/>
    <cellStyle name="Normal 6" xfId="51"/>
    <cellStyle name="Normal 6 10" xfId="7699"/>
    <cellStyle name="Normal 6 11" xfId="11814"/>
    <cellStyle name="Normal 6 2" xfId="52"/>
    <cellStyle name="Normal 6 2 2" xfId="608"/>
    <cellStyle name="Normal 6 2 2 2" xfId="1112"/>
    <cellStyle name="Normal 6 2 2 2 2" xfId="1113"/>
    <cellStyle name="Normal 6 2 2 2 2 2" xfId="7700"/>
    <cellStyle name="Normal 6 2 2 2 2 2 2" xfId="7701"/>
    <cellStyle name="Normal 6 2 2 2 2 2 2 2" xfId="7702"/>
    <cellStyle name="Normal 6 2 2 2 2 2 2 3" xfId="11815"/>
    <cellStyle name="Normal 6 2 2 2 2 2 3" xfId="7703"/>
    <cellStyle name="Normal 6 2 2 2 2 2 3 2" xfId="7704"/>
    <cellStyle name="Normal 6 2 2 2 2 2 3 3" xfId="11816"/>
    <cellStyle name="Normal 6 2 2 2 2 2 4" xfId="7705"/>
    <cellStyle name="Normal 6 2 2 2 2 2 5" xfId="11817"/>
    <cellStyle name="Normal 6 2 2 2 2 3" xfId="7706"/>
    <cellStyle name="Normal 6 2 2 2 2 3 2" xfId="7707"/>
    <cellStyle name="Normal 6 2 2 2 2 3 3" xfId="11818"/>
    <cellStyle name="Normal 6 2 2 2 2 4" xfId="7708"/>
    <cellStyle name="Normal 6 2 2 2 2 4 2" xfId="7709"/>
    <cellStyle name="Normal 6 2 2 2 2 4 3" xfId="11819"/>
    <cellStyle name="Normal 6 2 2 2 2 5" xfId="7710"/>
    <cellStyle name="Normal 6 2 2 2 2 6" xfId="11820"/>
    <cellStyle name="Normal 6 2 2 2 3" xfId="7711"/>
    <cellStyle name="Normal 6 2 2 2 3 2" xfId="7712"/>
    <cellStyle name="Normal 6 2 2 2 3 2 2" xfId="7713"/>
    <cellStyle name="Normal 6 2 2 2 3 2 3" xfId="11821"/>
    <cellStyle name="Normal 6 2 2 2 3 3" xfId="7714"/>
    <cellStyle name="Normal 6 2 2 2 3 3 2" xfId="7715"/>
    <cellStyle name="Normal 6 2 2 2 3 3 3" xfId="11822"/>
    <cellStyle name="Normal 6 2 2 2 3 4" xfId="7716"/>
    <cellStyle name="Normal 6 2 2 2 3 5" xfId="11823"/>
    <cellStyle name="Normal 6 2 2 2 4" xfId="7717"/>
    <cellStyle name="Normal 6 2 2 2 4 2" xfId="7718"/>
    <cellStyle name="Normal 6 2 2 2 4 3" xfId="11824"/>
    <cellStyle name="Normal 6 2 2 2 5" xfId="7719"/>
    <cellStyle name="Normal 6 2 2 2 5 2" xfId="7720"/>
    <cellStyle name="Normal 6 2 2 2 5 3" xfId="11825"/>
    <cellStyle name="Normal 6 2 2 2 6" xfId="7721"/>
    <cellStyle name="Normal 6 2 2 2 7" xfId="11826"/>
    <cellStyle name="Normal 6 2 2 2 8" xfId="2931"/>
    <cellStyle name="Normal 6 2 2 3" xfId="2469"/>
    <cellStyle name="Normal 6 2 2 3 2" xfId="7722"/>
    <cellStyle name="Normal 6 2 2 3 2 2" xfId="7723"/>
    <cellStyle name="Normal 6 2 2 3 2 2 2" xfId="7724"/>
    <cellStyle name="Normal 6 2 2 3 2 2 3" xfId="11827"/>
    <cellStyle name="Normal 6 2 2 3 2 3" xfId="7725"/>
    <cellStyle name="Normal 6 2 2 3 2 3 2" xfId="7726"/>
    <cellStyle name="Normal 6 2 2 3 2 3 3" xfId="11828"/>
    <cellStyle name="Normal 6 2 2 3 2 4" xfId="7727"/>
    <cellStyle name="Normal 6 2 2 3 2 5" xfId="11829"/>
    <cellStyle name="Normal 6 2 2 3 3" xfId="7728"/>
    <cellStyle name="Normal 6 2 2 3 3 2" xfId="7729"/>
    <cellStyle name="Normal 6 2 2 3 3 3" xfId="11830"/>
    <cellStyle name="Normal 6 2 2 3 4" xfId="7730"/>
    <cellStyle name="Normal 6 2 2 3 4 2" xfId="7731"/>
    <cellStyle name="Normal 6 2 2 3 4 3" xfId="11831"/>
    <cellStyle name="Normal 6 2 2 3 5" xfId="7732"/>
    <cellStyle name="Normal 6 2 2 3 6" xfId="11832"/>
    <cellStyle name="Normal 6 2 2 4" xfId="7733"/>
    <cellStyle name="Normal 6 2 2 4 2" xfId="7734"/>
    <cellStyle name="Normal 6 2 2 4 2 2" xfId="7735"/>
    <cellStyle name="Normal 6 2 2 4 2 3" xfId="11833"/>
    <cellStyle name="Normal 6 2 2 4 3" xfId="7736"/>
    <cellStyle name="Normal 6 2 2 4 3 2" xfId="7737"/>
    <cellStyle name="Normal 6 2 2 4 3 3" xfId="11834"/>
    <cellStyle name="Normal 6 2 2 4 4" xfId="7738"/>
    <cellStyle name="Normal 6 2 2 4 5" xfId="11835"/>
    <cellStyle name="Normal 6 2 2 5" xfId="7739"/>
    <cellStyle name="Normal 6 2 2 5 2" xfId="7740"/>
    <cellStyle name="Normal 6 2 2 5 3" xfId="11836"/>
    <cellStyle name="Normal 6 2 2 6" xfId="7741"/>
    <cellStyle name="Normal 6 2 2 6 2" xfId="7742"/>
    <cellStyle name="Normal 6 2 2 6 3" xfId="11837"/>
    <cellStyle name="Normal 6 2 2 7" xfId="7743"/>
    <cellStyle name="Normal 6 2 2 8" xfId="11838"/>
    <cellStyle name="Normal 6 2 3" xfId="609"/>
    <cellStyle name="Normal 6 2 3 2" xfId="2470"/>
    <cellStyle name="Normal 6 2 3 2 2" xfId="7744"/>
    <cellStyle name="Normal 6 2 3 2 2 2" xfId="7745"/>
    <cellStyle name="Normal 6 2 3 2 2 2 2" xfId="7746"/>
    <cellStyle name="Normal 6 2 3 2 2 2 3" xfId="11839"/>
    <cellStyle name="Normal 6 2 3 2 2 3" xfId="7747"/>
    <cellStyle name="Normal 6 2 3 2 2 3 2" xfId="7748"/>
    <cellStyle name="Normal 6 2 3 2 2 3 3" xfId="11840"/>
    <cellStyle name="Normal 6 2 3 2 2 4" xfId="7749"/>
    <cellStyle name="Normal 6 2 3 2 2 5" xfId="11841"/>
    <cellStyle name="Normal 6 2 3 2 3" xfId="7750"/>
    <cellStyle name="Normal 6 2 3 2 3 2" xfId="7751"/>
    <cellStyle name="Normal 6 2 3 2 3 3" xfId="11842"/>
    <cellStyle name="Normal 6 2 3 2 4" xfId="7752"/>
    <cellStyle name="Normal 6 2 3 2 4 2" xfId="7753"/>
    <cellStyle name="Normal 6 2 3 2 4 3" xfId="11843"/>
    <cellStyle name="Normal 6 2 3 2 5" xfId="7754"/>
    <cellStyle name="Normal 6 2 3 2 6" xfId="11844"/>
    <cellStyle name="Normal 6 2 3 3" xfId="2471"/>
    <cellStyle name="Normal 6 2 3 3 2" xfId="7755"/>
    <cellStyle name="Normal 6 2 3 3 2 2" xfId="7756"/>
    <cellStyle name="Normal 6 2 3 3 2 3" xfId="11845"/>
    <cellStyle name="Normal 6 2 3 3 3" xfId="7757"/>
    <cellStyle name="Normal 6 2 3 3 3 2" xfId="7758"/>
    <cellStyle name="Normal 6 2 3 3 3 3" xfId="11846"/>
    <cellStyle name="Normal 6 2 3 3 4" xfId="7759"/>
    <cellStyle name="Normal 6 2 3 3 5" xfId="11847"/>
    <cellStyle name="Normal 6 2 3 4" xfId="1443"/>
    <cellStyle name="Normal 6 2 3 4 2" xfId="7761"/>
    <cellStyle name="Normal 6 2 3 4 3" xfId="11848"/>
    <cellStyle name="Normal 6 2 3 4 4" xfId="7760"/>
    <cellStyle name="Normal 6 2 3 5" xfId="7762"/>
    <cellStyle name="Normal 6 2 3 5 2" xfId="7763"/>
    <cellStyle name="Normal 6 2 3 5 3" xfId="11849"/>
    <cellStyle name="Normal 6 2 3 6" xfId="7764"/>
    <cellStyle name="Normal 6 2 3 7" xfId="11850"/>
    <cellStyle name="Normal 6 2 4" xfId="607"/>
    <cellStyle name="Normal 6 2 4 2" xfId="7765"/>
    <cellStyle name="Normal 6 2 4 2 2" xfId="7766"/>
    <cellStyle name="Normal 6 2 4 2 2 2" xfId="7767"/>
    <cellStyle name="Normal 6 2 4 2 2 3" xfId="11851"/>
    <cellStyle name="Normal 6 2 4 2 3" xfId="7768"/>
    <cellStyle name="Normal 6 2 4 2 3 2" xfId="7769"/>
    <cellStyle name="Normal 6 2 4 2 3 3" xfId="11852"/>
    <cellStyle name="Normal 6 2 4 2 4" xfId="7770"/>
    <cellStyle name="Normal 6 2 4 2 5" xfId="11853"/>
    <cellStyle name="Normal 6 2 4 3" xfId="7771"/>
    <cellStyle name="Normal 6 2 4 3 2" xfId="7772"/>
    <cellStyle name="Normal 6 2 4 3 3" xfId="11854"/>
    <cellStyle name="Normal 6 2 4 4" xfId="7773"/>
    <cellStyle name="Normal 6 2 4 4 2" xfId="7774"/>
    <cellStyle name="Normal 6 2 4 4 3" xfId="11855"/>
    <cellStyle name="Normal 6 2 4 5" xfId="7775"/>
    <cellStyle name="Normal 6 2 4 6" xfId="11856"/>
    <cellStyle name="Normal 6 2 5" xfId="2472"/>
    <cellStyle name="Normal 6 2 5 2" xfId="7776"/>
    <cellStyle name="Normal 6 2 5 2 2" xfId="7777"/>
    <cellStyle name="Normal 6 2 5 2 3" xfId="11857"/>
    <cellStyle name="Normal 6 2 5 3" xfId="7778"/>
    <cellStyle name="Normal 6 2 5 3 2" xfId="7779"/>
    <cellStyle name="Normal 6 2 5 3 3" xfId="11858"/>
    <cellStyle name="Normal 6 2 5 4" xfId="7780"/>
    <cellStyle name="Normal 6 2 5 5" xfId="11859"/>
    <cellStyle name="Normal 6 2 6" xfId="2473"/>
    <cellStyle name="Normal 6 2 6 2" xfId="7781"/>
    <cellStyle name="Normal 6 2 6 3" xfId="11860"/>
    <cellStyle name="Normal 6 2 7" xfId="7782"/>
    <cellStyle name="Normal 6 2 7 2" xfId="7783"/>
    <cellStyle name="Normal 6 2 7 3" xfId="11861"/>
    <cellStyle name="Normal 6 2 8" xfId="7784"/>
    <cellStyle name="Normal 6 2 9" xfId="11862"/>
    <cellStyle name="Normal 6 3" xfId="218"/>
    <cellStyle name="Normal 6 3 2" xfId="610"/>
    <cellStyle name="Normal 6 3 2 2" xfId="1114"/>
    <cellStyle name="Normal 6 3 2 2 2" xfId="7785"/>
    <cellStyle name="Normal 6 3 2 2 2 2" xfId="7786"/>
    <cellStyle name="Normal 6 3 2 2 2 2 2" xfId="7787"/>
    <cellStyle name="Normal 6 3 2 2 2 2 3" xfId="11863"/>
    <cellStyle name="Normal 6 3 2 2 2 3" xfId="7788"/>
    <cellStyle name="Normal 6 3 2 2 2 3 2" xfId="7789"/>
    <cellStyle name="Normal 6 3 2 2 2 3 3" xfId="11864"/>
    <cellStyle name="Normal 6 3 2 2 2 4" xfId="7790"/>
    <cellStyle name="Normal 6 3 2 2 2 5" xfId="11865"/>
    <cellStyle name="Normal 6 3 2 2 3" xfId="7791"/>
    <cellStyle name="Normal 6 3 2 2 3 2" xfId="7792"/>
    <cellStyle name="Normal 6 3 2 2 3 3" xfId="11866"/>
    <cellStyle name="Normal 6 3 2 2 4" xfId="7793"/>
    <cellStyle name="Normal 6 3 2 2 4 2" xfId="7794"/>
    <cellStyle name="Normal 6 3 2 2 4 3" xfId="11867"/>
    <cellStyle name="Normal 6 3 2 2 5" xfId="7795"/>
    <cellStyle name="Normal 6 3 2 2 6" xfId="11868"/>
    <cellStyle name="Normal 6 3 2 3" xfId="7796"/>
    <cellStyle name="Normal 6 3 2 3 2" xfId="7797"/>
    <cellStyle name="Normal 6 3 2 3 2 2" xfId="7798"/>
    <cellStyle name="Normal 6 3 2 3 2 3" xfId="11869"/>
    <cellStyle name="Normal 6 3 2 3 3" xfId="7799"/>
    <cellStyle name="Normal 6 3 2 3 3 2" xfId="7800"/>
    <cellStyle name="Normal 6 3 2 3 3 3" xfId="11870"/>
    <cellStyle name="Normal 6 3 2 3 4" xfId="7801"/>
    <cellStyle name="Normal 6 3 2 3 5" xfId="11871"/>
    <cellStyle name="Normal 6 3 2 4" xfId="7802"/>
    <cellStyle name="Normal 6 3 2 4 2" xfId="7803"/>
    <cellStyle name="Normal 6 3 2 4 3" xfId="11872"/>
    <cellStyle name="Normal 6 3 2 5" xfId="7804"/>
    <cellStyle name="Normal 6 3 2 5 2" xfId="7805"/>
    <cellStyle name="Normal 6 3 2 5 3" xfId="11873"/>
    <cellStyle name="Normal 6 3 2 6" xfId="7806"/>
    <cellStyle name="Normal 6 3 2 7" xfId="11874"/>
    <cellStyle name="Normal 6 3 3" xfId="1115"/>
    <cellStyle name="Normal 6 3 3 2" xfId="7807"/>
    <cellStyle name="Normal 6 3 3 2 2" xfId="7808"/>
    <cellStyle name="Normal 6 3 3 2 2 2" xfId="7809"/>
    <cellStyle name="Normal 6 3 3 2 2 3" xfId="11875"/>
    <cellStyle name="Normal 6 3 3 2 3" xfId="7810"/>
    <cellStyle name="Normal 6 3 3 2 3 2" xfId="7811"/>
    <cellStyle name="Normal 6 3 3 2 3 3" xfId="11876"/>
    <cellStyle name="Normal 6 3 3 2 4" xfId="7812"/>
    <cellStyle name="Normal 6 3 3 2 5" xfId="11877"/>
    <cellStyle name="Normal 6 3 3 3" xfId="7813"/>
    <cellStyle name="Normal 6 3 3 3 2" xfId="7814"/>
    <cellStyle name="Normal 6 3 3 3 3" xfId="11878"/>
    <cellStyle name="Normal 6 3 3 4" xfId="7815"/>
    <cellStyle name="Normal 6 3 3 4 2" xfId="7816"/>
    <cellStyle name="Normal 6 3 3 4 3" xfId="11879"/>
    <cellStyle name="Normal 6 3 3 5" xfId="7817"/>
    <cellStyle name="Normal 6 3 3 6" xfId="11880"/>
    <cellStyle name="Normal 6 3 4" xfId="2474"/>
    <cellStyle name="Normal 6 3 4 2" xfId="7818"/>
    <cellStyle name="Normal 6 3 4 2 2" xfId="7819"/>
    <cellStyle name="Normal 6 3 4 2 3" xfId="11881"/>
    <cellStyle name="Normal 6 3 4 3" xfId="7820"/>
    <cellStyle name="Normal 6 3 4 3 2" xfId="7821"/>
    <cellStyle name="Normal 6 3 4 3 3" xfId="11882"/>
    <cellStyle name="Normal 6 3 4 4" xfId="7822"/>
    <cellStyle name="Normal 6 3 4 5" xfId="11883"/>
    <cellStyle name="Normal 6 3 5" xfId="2475"/>
    <cellStyle name="Normal 6 3 5 2" xfId="7823"/>
    <cellStyle name="Normal 6 3 5 3" xfId="11884"/>
    <cellStyle name="Normal 6 3 6" xfId="7824"/>
    <cellStyle name="Normal 6 3 6 2" xfId="7825"/>
    <cellStyle name="Normal 6 3 6 3" xfId="11885"/>
    <cellStyle name="Normal 6 3 7" xfId="7826"/>
    <cellStyle name="Normal 6 3 8" xfId="11886"/>
    <cellStyle name="Normal 6 4" xfId="219"/>
    <cellStyle name="Normal 6 4 2" xfId="611"/>
    <cellStyle name="Normal 6 4 2 2" xfId="2476"/>
    <cellStyle name="Normal 6 4 2 2 2" xfId="7827"/>
    <cellStyle name="Normal 6 4 2 2 2 2" xfId="7828"/>
    <cellStyle name="Normal 6 4 2 2 2 2 2" xfId="7829"/>
    <cellStyle name="Normal 6 4 2 2 2 2 3" xfId="11887"/>
    <cellStyle name="Normal 6 4 2 2 2 3" xfId="7830"/>
    <cellStyle name="Normal 6 4 2 2 2 3 2" xfId="7831"/>
    <cellStyle name="Normal 6 4 2 2 2 3 3" xfId="11888"/>
    <cellStyle name="Normal 6 4 2 2 2 4" xfId="7832"/>
    <cellStyle name="Normal 6 4 2 2 2 5" xfId="11889"/>
    <cellStyle name="Normal 6 4 2 2 3" xfId="7833"/>
    <cellStyle name="Normal 6 4 2 2 3 2" xfId="7834"/>
    <cellStyle name="Normal 6 4 2 2 3 3" xfId="11890"/>
    <cellStyle name="Normal 6 4 2 2 4" xfId="7835"/>
    <cellStyle name="Normal 6 4 2 2 4 2" xfId="7836"/>
    <cellStyle name="Normal 6 4 2 2 4 3" xfId="11891"/>
    <cellStyle name="Normal 6 4 2 2 5" xfId="7837"/>
    <cellStyle name="Normal 6 4 2 2 6" xfId="11892"/>
    <cellStyle name="Normal 6 4 2 3" xfId="7838"/>
    <cellStyle name="Normal 6 4 2 3 2" xfId="7839"/>
    <cellStyle name="Normal 6 4 2 3 2 2" xfId="7840"/>
    <cellStyle name="Normal 6 4 2 3 2 3" xfId="11893"/>
    <cellStyle name="Normal 6 4 2 3 3" xfId="7841"/>
    <cellStyle name="Normal 6 4 2 3 3 2" xfId="7842"/>
    <cellStyle name="Normal 6 4 2 3 3 3" xfId="11894"/>
    <cellStyle name="Normal 6 4 2 3 4" xfId="7843"/>
    <cellStyle name="Normal 6 4 2 3 5" xfId="11895"/>
    <cellStyle name="Normal 6 4 2 4" xfId="7844"/>
    <cellStyle name="Normal 6 4 2 4 2" xfId="7845"/>
    <cellStyle name="Normal 6 4 2 4 3" xfId="11896"/>
    <cellStyle name="Normal 6 4 2 5" xfId="7846"/>
    <cellStyle name="Normal 6 4 2 5 2" xfId="7847"/>
    <cellStyle name="Normal 6 4 2 5 3" xfId="11897"/>
    <cellStyle name="Normal 6 4 2 6" xfId="7848"/>
    <cellStyle name="Normal 6 4 2 7" xfId="11898"/>
    <cellStyle name="Normal 6 4 3" xfId="1116"/>
    <cellStyle name="Normal 6 4 3 2" xfId="7849"/>
    <cellStyle name="Normal 6 4 3 2 2" xfId="7850"/>
    <cellStyle name="Normal 6 4 3 2 2 2" xfId="7851"/>
    <cellStyle name="Normal 6 4 3 2 2 3" xfId="11899"/>
    <cellStyle name="Normal 6 4 3 2 3" xfId="7852"/>
    <cellStyle name="Normal 6 4 3 2 3 2" xfId="7853"/>
    <cellStyle name="Normal 6 4 3 2 3 3" xfId="11900"/>
    <cellStyle name="Normal 6 4 3 2 4" xfId="7854"/>
    <cellStyle name="Normal 6 4 3 2 5" xfId="11901"/>
    <cellStyle name="Normal 6 4 3 3" xfId="7855"/>
    <cellStyle name="Normal 6 4 3 3 2" xfId="7856"/>
    <cellStyle name="Normal 6 4 3 3 3" xfId="11902"/>
    <cellStyle name="Normal 6 4 3 4" xfId="7857"/>
    <cellStyle name="Normal 6 4 3 4 2" xfId="7858"/>
    <cellStyle name="Normal 6 4 3 4 3" xfId="11903"/>
    <cellStyle name="Normal 6 4 3 5" xfId="7859"/>
    <cellStyle name="Normal 6 4 3 6" xfId="11904"/>
    <cellStyle name="Normal 6 4 4" xfId="7860"/>
    <cellStyle name="Normal 6 4 4 2" xfId="7861"/>
    <cellStyle name="Normal 6 4 4 2 2" xfId="7862"/>
    <cellStyle name="Normal 6 4 4 2 3" xfId="11905"/>
    <cellStyle name="Normal 6 4 4 3" xfId="7863"/>
    <cellStyle name="Normal 6 4 4 3 2" xfId="7864"/>
    <cellStyle name="Normal 6 4 4 3 3" xfId="11906"/>
    <cellStyle name="Normal 6 4 4 4" xfId="7865"/>
    <cellStyle name="Normal 6 4 4 5" xfId="11907"/>
    <cellStyle name="Normal 6 4 5" xfId="7866"/>
    <cellStyle name="Normal 6 4 5 2" xfId="7867"/>
    <cellStyle name="Normal 6 4 5 3" xfId="11908"/>
    <cellStyle name="Normal 6 4 6" xfId="7868"/>
    <cellStyle name="Normal 6 4 6 2" xfId="7869"/>
    <cellStyle name="Normal 6 4 6 3" xfId="11909"/>
    <cellStyle name="Normal 6 4 7" xfId="7870"/>
    <cellStyle name="Normal 6 4 8" xfId="11910"/>
    <cellStyle name="Normal 6 5" xfId="612"/>
    <cellStyle name="Normal 6 5 2" xfId="613"/>
    <cellStyle name="Normal 6 5 2 2" xfId="2478"/>
    <cellStyle name="Normal 6 5 2 2 2" xfId="7871"/>
    <cellStyle name="Normal 6 5 2 2 2 2" xfId="7872"/>
    <cellStyle name="Normal 6 5 2 2 2 3" xfId="11911"/>
    <cellStyle name="Normal 6 5 2 2 3" xfId="7873"/>
    <cellStyle name="Normal 6 5 2 2 3 2" xfId="7874"/>
    <cellStyle name="Normal 6 5 2 2 3 3" xfId="11912"/>
    <cellStyle name="Normal 6 5 2 2 4" xfId="7875"/>
    <cellStyle name="Normal 6 5 2 2 5" xfId="11913"/>
    <cellStyle name="Normal 6 5 2 3" xfId="7876"/>
    <cellStyle name="Normal 6 5 2 3 2" xfId="7877"/>
    <cellStyle name="Normal 6 5 2 3 3" xfId="11914"/>
    <cellStyle name="Normal 6 5 2 4" xfId="7878"/>
    <cellStyle name="Normal 6 5 2 4 2" xfId="7879"/>
    <cellStyle name="Normal 6 5 2 4 3" xfId="11915"/>
    <cellStyle name="Normal 6 5 2 5" xfId="7880"/>
    <cellStyle name="Normal 6 5 2 6" xfId="11916"/>
    <cellStyle name="Normal 6 5 3" xfId="2479"/>
    <cellStyle name="Normal 6 5 3 2" xfId="7881"/>
    <cellStyle name="Normal 6 5 3 2 2" xfId="7882"/>
    <cellStyle name="Normal 6 5 3 2 3" xfId="11917"/>
    <cellStyle name="Normal 6 5 3 3" xfId="7883"/>
    <cellStyle name="Normal 6 5 3 3 2" xfId="7884"/>
    <cellStyle name="Normal 6 5 3 3 3" xfId="11918"/>
    <cellStyle name="Normal 6 5 3 4" xfId="7885"/>
    <cellStyle name="Normal 6 5 3 5" xfId="11919"/>
    <cellStyle name="Normal 6 5 4" xfId="2477"/>
    <cellStyle name="Normal 6 5 4 2" xfId="7886"/>
    <cellStyle name="Normal 6 5 4 3" xfId="11920"/>
    <cellStyle name="Normal 6 5 5" xfId="7887"/>
    <cellStyle name="Normal 6 5 5 2" xfId="7888"/>
    <cellStyle name="Normal 6 5 5 3" xfId="11921"/>
    <cellStyle name="Normal 6 5 6" xfId="7889"/>
    <cellStyle name="Normal 6 5 7" xfId="11922"/>
    <cellStyle name="Normal 6 6" xfId="614"/>
    <cellStyle name="Normal 6 6 2" xfId="2480"/>
    <cellStyle name="Normal 6 6 2 2" xfId="7890"/>
    <cellStyle name="Normal 6 6 2 2 2" xfId="7891"/>
    <cellStyle name="Normal 6 6 2 2 3" xfId="11923"/>
    <cellStyle name="Normal 6 6 2 3" xfId="7892"/>
    <cellStyle name="Normal 6 6 2 3 2" xfId="7893"/>
    <cellStyle name="Normal 6 6 2 3 3" xfId="11924"/>
    <cellStyle name="Normal 6 6 2 4" xfId="7894"/>
    <cellStyle name="Normal 6 6 2 5" xfId="11925"/>
    <cellStyle name="Normal 6 6 3" xfId="7895"/>
    <cellStyle name="Normal 6 6 3 2" xfId="7896"/>
    <cellStyle name="Normal 6 6 3 3" xfId="11926"/>
    <cellStyle name="Normal 6 6 4" xfId="7897"/>
    <cellStyle name="Normal 6 6 4 2" xfId="7898"/>
    <cellStyle name="Normal 6 6 4 3" xfId="11927"/>
    <cellStyle name="Normal 6 6 5" xfId="7899"/>
    <cellStyle name="Normal 6 6 6" xfId="11928"/>
    <cellStyle name="Normal 6 6 7" xfId="3008"/>
    <cellStyle name="Normal 6 7" xfId="2481"/>
    <cellStyle name="Normal 6 7 2" xfId="7900"/>
    <cellStyle name="Normal 6 7 2 2" xfId="7901"/>
    <cellStyle name="Normal 6 7 2 3" xfId="11929"/>
    <cellStyle name="Normal 6 7 3" xfId="7902"/>
    <cellStyle name="Normal 6 7 3 2" xfId="7903"/>
    <cellStyle name="Normal 6 7 3 3" xfId="11930"/>
    <cellStyle name="Normal 6 7 4" xfId="7904"/>
    <cellStyle name="Normal 6 7 5" xfId="11931"/>
    <cellStyle name="Normal 6 8" xfId="2482"/>
    <cellStyle name="Normal 6 8 2" xfId="7905"/>
    <cellStyle name="Normal 6 8 3" xfId="11932"/>
    <cellStyle name="Normal 6 9" xfId="2483"/>
    <cellStyle name="Normal 6 9 2" xfId="7906"/>
    <cellStyle name="Normal 6 9 3" xfId="11933"/>
    <cellStyle name="Normal 6_2112 Salary" xfId="615"/>
    <cellStyle name="Normal 60" xfId="1117"/>
    <cellStyle name="Normal 60 2" xfId="1118"/>
    <cellStyle name="Normal 60 2 2" xfId="3331"/>
    <cellStyle name="Normal 60 2 2 2" xfId="7907"/>
    <cellStyle name="Normal 60 2 2 2 2" xfId="7908"/>
    <cellStyle name="Normal 60 2 2 2 2 2" xfId="7909"/>
    <cellStyle name="Normal 60 2 2 2 2 3" xfId="11934"/>
    <cellStyle name="Normal 60 2 2 2 3" xfId="7910"/>
    <cellStyle name="Normal 60 2 2 2 3 2" xfId="7911"/>
    <cellStyle name="Normal 60 2 2 2 3 3" xfId="11935"/>
    <cellStyle name="Normal 60 2 2 2 4" xfId="7912"/>
    <cellStyle name="Normal 60 2 2 2 5" xfId="11936"/>
    <cellStyle name="Normal 60 2 2 3" xfId="7913"/>
    <cellStyle name="Normal 60 2 2 3 2" xfId="7914"/>
    <cellStyle name="Normal 60 2 2 3 3" xfId="11937"/>
    <cellStyle name="Normal 60 2 2 4" xfId="7915"/>
    <cellStyle name="Normal 60 2 2 4 2" xfId="7916"/>
    <cellStyle name="Normal 60 2 2 4 3" xfId="11938"/>
    <cellStyle name="Normal 60 2 2 5" xfId="7917"/>
    <cellStyle name="Normal 60 2 2 6" xfId="11939"/>
    <cellStyle name="Normal 60 2 3" xfId="7918"/>
    <cellStyle name="Normal 60 2 3 2" xfId="7919"/>
    <cellStyle name="Normal 60 2 3 2 2" xfId="7920"/>
    <cellStyle name="Normal 60 2 3 2 3" xfId="11940"/>
    <cellStyle name="Normal 60 2 3 3" xfId="7921"/>
    <cellStyle name="Normal 60 2 3 3 2" xfId="7922"/>
    <cellStyle name="Normal 60 2 3 3 3" xfId="11941"/>
    <cellStyle name="Normal 60 2 3 4" xfId="7923"/>
    <cellStyle name="Normal 60 2 3 5" xfId="11942"/>
    <cellStyle name="Normal 60 2 4" xfId="7924"/>
    <cellStyle name="Normal 60 2 4 2" xfId="7925"/>
    <cellStyle name="Normal 60 2 4 3" xfId="11943"/>
    <cellStyle name="Normal 60 2 5" xfId="7926"/>
    <cellStyle name="Normal 60 2 5 2" xfId="7927"/>
    <cellStyle name="Normal 60 2 5 3" xfId="11944"/>
    <cellStyle name="Normal 60 2 6" xfId="7928"/>
    <cellStyle name="Normal 60 2 7" xfId="11945"/>
    <cellStyle name="Normal 60 3" xfId="1119"/>
    <cellStyle name="Normal 60 3 2" xfId="7929"/>
    <cellStyle name="Normal 60 3 2 2" xfId="7930"/>
    <cellStyle name="Normal 60 3 2 2 2" xfId="7931"/>
    <cellStyle name="Normal 60 3 2 2 3" xfId="11946"/>
    <cellStyle name="Normal 60 3 2 3" xfId="7932"/>
    <cellStyle name="Normal 60 3 2 3 2" xfId="7933"/>
    <cellStyle name="Normal 60 3 2 3 3" xfId="11947"/>
    <cellStyle name="Normal 60 3 2 4" xfId="7934"/>
    <cellStyle name="Normal 60 3 2 5" xfId="11948"/>
    <cellStyle name="Normal 60 3 3" xfId="7935"/>
    <cellStyle name="Normal 60 3 3 2" xfId="7936"/>
    <cellStyle name="Normal 60 3 3 3" xfId="11949"/>
    <cellStyle name="Normal 60 3 4" xfId="7937"/>
    <cellStyle name="Normal 60 3 4 2" xfId="7938"/>
    <cellStyle name="Normal 60 3 4 3" xfId="11950"/>
    <cellStyle name="Normal 60 3 5" xfId="7939"/>
    <cellStyle name="Normal 60 3 6" xfId="11951"/>
    <cellStyle name="Normal 60 4" xfId="7940"/>
    <cellStyle name="Normal 60 4 2" xfId="7941"/>
    <cellStyle name="Normal 60 4 2 2" xfId="7942"/>
    <cellStyle name="Normal 60 4 2 3" xfId="11952"/>
    <cellStyle name="Normal 60 4 3" xfId="7943"/>
    <cellStyle name="Normal 60 4 3 2" xfId="7944"/>
    <cellStyle name="Normal 60 4 3 3" xfId="11953"/>
    <cellStyle name="Normal 60 4 4" xfId="7945"/>
    <cellStyle name="Normal 60 4 5" xfId="11954"/>
    <cellStyle name="Normal 60 5" xfId="7946"/>
    <cellStyle name="Normal 60 5 2" xfId="7947"/>
    <cellStyle name="Normal 60 5 3" xfId="11955"/>
    <cellStyle name="Normal 60 6" xfId="7948"/>
    <cellStyle name="Normal 60 6 2" xfId="7949"/>
    <cellStyle name="Normal 60 6 3" xfId="11956"/>
    <cellStyle name="Normal 60 7" xfId="7950"/>
    <cellStyle name="Normal 60 8" xfId="11957"/>
    <cellStyle name="Normal 61" xfId="1120"/>
    <cellStyle name="Normal 61 2" xfId="1121"/>
    <cellStyle name="Normal 61 2 2" xfId="3332"/>
    <cellStyle name="Normal 61 2 2 2" xfId="7951"/>
    <cellStyle name="Normal 61 2 2 2 2" xfId="7952"/>
    <cellStyle name="Normal 61 2 2 2 2 2" xfId="7953"/>
    <cellStyle name="Normal 61 2 2 2 2 3" xfId="11958"/>
    <cellStyle name="Normal 61 2 2 2 3" xfId="7954"/>
    <cellStyle name="Normal 61 2 2 2 3 2" xfId="7955"/>
    <cellStyle name="Normal 61 2 2 2 3 3" xfId="11959"/>
    <cellStyle name="Normal 61 2 2 2 4" xfId="7956"/>
    <cellStyle name="Normal 61 2 2 2 5" xfId="11960"/>
    <cellStyle name="Normal 61 2 2 3" xfId="7957"/>
    <cellStyle name="Normal 61 2 2 3 2" xfId="7958"/>
    <cellStyle name="Normal 61 2 2 3 3" xfId="11961"/>
    <cellStyle name="Normal 61 2 2 4" xfId="7959"/>
    <cellStyle name="Normal 61 2 2 4 2" xfId="7960"/>
    <cellStyle name="Normal 61 2 2 4 3" xfId="11962"/>
    <cellStyle name="Normal 61 2 2 5" xfId="7961"/>
    <cellStyle name="Normal 61 2 2 6" xfId="11963"/>
    <cellStyle name="Normal 61 2 3" xfId="7962"/>
    <cellStyle name="Normal 61 2 3 2" xfId="7963"/>
    <cellStyle name="Normal 61 2 3 2 2" xfId="7964"/>
    <cellStyle name="Normal 61 2 3 2 3" xfId="11964"/>
    <cellStyle name="Normal 61 2 3 3" xfId="7965"/>
    <cellStyle name="Normal 61 2 3 3 2" xfId="7966"/>
    <cellStyle name="Normal 61 2 3 3 3" xfId="11965"/>
    <cellStyle name="Normal 61 2 3 4" xfId="7967"/>
    <cellStyle name="Normal 61 2 3 5" xfId="11966"/>
    <cellStyle name="Normal 61 2 4" xfId="7968"/>
    <cellStyle name="Normal 61 2 4 2" xfId="7969"/>
    <cellStyle name="Normal 61 2 4 3" xfId="11967"/>
    <cellStyle name="Normal 61 2 5" xfId="7970"/>
    <cellStyle name="Normal 61 2 5 2" xfId="7971"/>
    <cellStyle name="Normal 61 2 5 3" xfId="11968"/>
    <cellStyle name="Normal 61 2 6" xfId="7972"/>
    <cellStyle name="Normal 61 2 7" xfId="11969"/>
    <cellStyle name="Normal 61 3" xfId="1122"/>
    <cellStyle name="Normal 61 3 2" xfId="7973"/>
    <cellStyle name="Normal 61 3 2 2" xfId="7974"/>
    <cellStyle name="Normal 61 3 2 2 2" xfId="7975"/>
    <cellStyle name="Normal 61 3 2 2 3" xfId="11970"/>
    <cellStyle name="Normal 61 3 2 3" xfId="7976"/>
    <cellStyle name="Normal 61 3 2 3 2" xfId="7977"/>
    <cellStyle name="Normal 61 3 2 3 3" xfId="11971"/>
    <cellStyle name="Normal 61 3 2 4" xfId="7978"/>
    <cellStyle name="Normal 61 3 2 5" xfId="11972"/>
    <cellStyle name="Normal 61 3 3" xfId="7979"/>
    <cellStyle name="Normal 61 3 3 2" xfId="7980"/>
    <cellStyle name="Normal 61 3 3 3" xfId="11973"/>
    <cellStyle name="Normal 61 3 4" xfId="7981"/>
    <cellStyle name="Normal 61 3 4 2" xfId="7982"/>
    <cellStyle name="Normal 61 3 4 3" xfId="11974"/>
    <cellStyle name="Normal 61 3 5" xfId="7983"/>
    <cellStyle name="Normal 61 3 6" xfId="11975"/>
    <cellStyle name="Normal 61 4" xfId="7984"/>
    <cellStyle name="Normal 61 4 2" xfId="7985"/>
    <cellStyle name="Normal 61 4 2 2" xfId="7986"/>
    <cellStyle name="Normal 61 4 2 3" xfId="11976"/>
    <cellStyle name="Normal 61 4 3" xfId="7987"/>
    <cellStyle name="Normal 61 4 3 2" xfId="7988"/>
    <cellStyle name="Normal 61 4 3 3" xfId="11977"/>
    <cellStyle name="Normal 61 4 4" xfId="7989"/>
    <cellStyle name="Normal 61 4 5" xfId="11978"/>
    <cellStyle name="Normal 61 5" xfId="7990"/>
    <cellStyle name="Normal 61 5 2" xfId="7991"/>
    <cellStyle name="Normal 61 5 3" xfId="11979"/>
    <cellStyle name="Normal 61 6" xfId="7992"/>
    <cellStyle name="Normal 61 6 2" xfId="7993"/>
    <cellStyle name="Normal 61 6 3" xfId="11980"/>
    <cellStyle name="Normal 61 7" xfId="7994"/>
    <cellStyle name="Normal 61 8" xfId="11981"/>
    <cellStyle name="Normal 62" xfId="1123"/>
    <cellStyle name="Normal 62 2" xfId="1124"/>
    <cellStyle name="Normal 62 2 2" xfId="3333"/>
    <cellStyle name="Normal 62 2 2 2" xfId="7995"/>
    <cellStyle name="Normal 62 2 2 2 2" xfId="7996"/>
    <cellStyle name="Normal 62 2 2 2 2 2" xfId="7997"/>
    <cellStyle name="Normal 62 2 2 2 2 3" xfId="11982"/>
    <cellStyle name="Normal 62 2 2 2 3" xfId="7998"/>
    <cellStyle name="Normal 62 2 2 2 3 2" xfId="7999"/>
    <cellStyle name="Normal 62 2 2 2 3 3" xfId="11983"/>
    <cellStyle name="Normal 62 2 2 2 4" xfId="8000"/>
    <cellStyle name="Normal 62 2 2 2 5" xfId="11984"/>
    <cellStyle name="Normal 62 2 2 3" xfId="8001"/>
    <cellStyle name="Normal 62 2 2 3 2" xfId="8002"/>
    <cellStyle name="Normal 62 2 2 3 3" xfId="11985"/>
    <cellStyle name="Normal 62 2 2 4" xfId="8003"/>
    <cellStyle name="Normal 62 2 2 4 2" xfId="8004"/>
    <cellStyle name="Normal 62 2 2 4 3" xfId="11986"/>
    <cellStyle name="Normal 62 2 2 5" xfId="8005"/>
    <cellStyle name="Normal 62 2 2 6" xfId="11987"/>
    <cellStyle name="Normal 62 2 3" xfId="8006"/>
    <cellStyle name="Normal 62 2 3 2" xfId="8007"/>
    <cellStyle name="Normal 62 2 3 2 2" xfId="8008"/>
    <cellStyle name="Normal 62 2 3 2 3" xfId="11988"/>
    <cellStyle name="Normal 62 2 3 3" xfId="8009"/>
    <cellStyle name="Normal 62 2 3 3 2" xfId="8010"/>
    <cellStyle name="Normal 62 2 3 3 3" xfId="11989"/>
    <cellStyle name="Normal 62 2 3 4" xfId="8011"/>
    <cellStyle name="Normal 62 2 3 5" xfId="11990"/>
    <cellStyle name="Normal 62 2 4" xfId="8012"/>
    <cellStyle name="Normal 62 2 4 2" xfId="8013"/>
    <cellStyle name="Normal 62 2 4 3" xfId="11991"/>
    <cellStyle name="Normal 62 2 5" xfId="8014"/>
    <cellStyle name="Normal 62 2 5 2" xfId="8015"/>
    <cellStyle name="Normal 62 2 5 3" xfId="11992"/>
    <cellStyle name="Normal 62 2 6" xfId="8016"/>
    <cellStyle name="Normal 62 2 7" xfId="11993"/>
    <cellStyle name="Normal 62 3" xfId="1125"/>
    <cellStyle name="Normal 62 3 2" xfId="8017"/>
    <cellStyle name="Normal 62 3 2 2" xfId="8018"/>
    <cellStyle name="Normal 62 3 2 2 2" xfId="8019"/>
    <cellStyle name="Normal 62 3 2 2 3" xfId="11994"/>
    <cellStyle name="Normal 62 3 2 3" xfId="8020"/>
    <cellStyle name="Normal 62 3 2 3 2" xfId="8021"/>
    <cellStyle name="Normal 62 3 2 3 3" xfId="11995"/>
    <cellStyle name="Normal 62 3 2 4" xfId="8022"/>
    <cellStyle name="Normal 62 3 2 5" xfId="11996"/>
    <cellStyle name="Normal 62 3 3" xfId="8023"/>
    <cellStyle name="Normal 62 3 3 2" xfId="8024"/>
    <cellStyle name="Normal 62 3 3 3" xfId="11997"/>
    <cellStyle name="Normal 62 3 4" xfId="8025"/>
    <cellStyle name="Normal 62 3 4 2" xfId="8026"/>
    <cellStyle name="Normal 62 3 4 3" xfId="11998"/>
    <cellStyle name="Normal 62 3 5" xfId="8027"/>
    <cellStyle name="Normal 62 3 6" xfId="11999"/>
    <cellStyle name="Normal 62 4" xfId="8028"/>
    <cellStyle name="Normal 62 4 2" xfId="8029"/>
    <cellStyle name="Normal 62 4 2 2" xfId="8030"/>
    <cellStyle name="Normal 62 4 2 3" xfId="12000"/>
    <cellStyle name="Normal 62 4 3" xfId="8031"/>
    <cellStyle name="Normal 62 4 3 2" xfId="8032"/>
    <cellStyle name="Normal 62 4 3 3" xfId="12001"/>
    <cellStyle name="Normal 62 4 4" xfId="8033"/>
    <cellStyle name="Normal 62 4 5" xfId="12002"/>
    <cellStyle name="Normal 62 5" xfId="8034"/>
    <cellStyle name="Normal 62 5 2" xfId="8035"/>
    <cellStyle name="Normal 62 5 3" xfId="12003"/>
    <cellStyle name="Normal 62 6" xfId="8036"/>
    <cellStyle name="Normal 62 6 2" xfId="8037"/>
    <cellStyle name="Normal 62 6 3" xfId="12004"/>
    <cellStyle name="Normal 62 7" xfId="8038"/>
    <cellStyle name="Normal 62 8" xfId="12005"/>
    <cellStyle name="Normal 63" xfId="1126"/>
    <cellStyle name="Normal 63 2" xfId="1127"/>
    <cellStyle name="Normal 63 2 2" xfId="3334"/>
    <cellStyle name="Normal 63 2 2 2" xfId="8039"/>
    <cellStyle name="Normal 63 2 2 2 2" xfId="8040"/>
    <cellStyle name="Normal 63 2 2 2 2 2" xfId="8041"/>
    <cellStyle name="Normal 63 2 2 2 2 3" xfId="12006"/>
    <cellStyle name="Normal 63 2 2 2 3" xfId="8042"/>
    <cellStyle name="Normal 63 2 2 2 3 2" xfId="8043"/>
    <cellStyle name="Normal 63 2 2 2 3 3" xfId="12007"/>
    <cellStyle name="Normal 63 2 2 2 4" xfId="8044"/>
    <cellStyle name="Normal 63 2 2 2 5" xfId="12008"/>
    <cellStyle name="Normal 63 2 2 3" xfId="8045"/>
    <cellStyle name="Normal 63 2 2 3 2" xfId="8046"/>
    <cellStyle name="Normal 63 2 2 3 3" xfId="12009"/>
    <cellStyle name="Normal 63 2 2 4" xfId="8047"/>
    <cellStyle name="Normal 63 2 2 4 2" xfId="8048"/>
    <cellStyle name="Normal 63 2 2 4 3" xfId="12010"/>
    <cellStyle name="Normal 63 2 2 5" xfId="8049"/>
    <cellStyle name="Normal 63 2 2 6" xfId="12011"/>
    <cellStyle name="Normal 63 2 3" xfId="8050"/>
    <cellStyle name="Normal 63 2 3 2" xfId="8051"/>
    <cellStyle name="Normal 63 2 3 2 2" xfId="8052"/>
    <cellStyle name="Normal 63 2 3 2 3" xfId="12012"/>
    <cellStyle name="Normal 63 2 3 3" xfId="8053"/>
    <cellStyle name="Normal 63 2 3 3 2" xfId="8054"/>
    <cellStyle name="Normal 63 2 3 3 3" xfId="12013"/>
    <cellStyle name="Normal 63 2 3 4" xfId="8055"/>
    <cellStyle name="Normal 63 2 3 5" xfId="12014"/>
    <cellStyle name="Normal 63 2 4" xfId="8056"/>
    <cellStyle name="Normal 63 2 4 2" xfId="8057"/>
    <cellStyle name="Normal 63 2 4 3" xfId="12015"/>
    <cellStyle name="Normal 63 2 5" xfId="8058"/>
    <cellStyle name="Normal 63 2 5 2" xfId="8059"/>
    <cellStyle name="Normal 63 2 5 3" xfId="12016"/>
    <cellStyle name="Normal 63 2 6" xfId="8060"/>
    <cellStyle name="Normal 63 2 7" xfId="12017"/>
    <cellStyle name="Normal 63 3" xfId="1128"/>
    <cellStyle name="Normal 63 3 2" xfId="8061"/>
    <cellStyle name="Normal 63 3 2 2" xfId="8062"/>
    <cellStyle name="Normal 63 3 2 2 2" xfId="8063"/>
    <cellStyle name="Normal 63 3 2 2 3" xfId="12018"/>
    <cellStyle name="Normal 63 3 2 3" xfId="8064"/>
    <cellStyle name="Normal 63 3 2 3 2" xfId="8065"/>
    <cellStyle name="Normal 63 3 2 3 3" xfId="12019"/>
    <cellStyle name="Normal 63 3 2 4" xfId="8066"/>
    <cellStyle name="Normal 63 3 2 5" xfId="12020"/>
    <cellStyle name="Normal 63 3 3" xfId="8067"/>
    <cellStyle name="Normal 63 3 3 2" xfId="8068"/>
    <cellStyle name="Normal 63 3 3 3" xfId="12021"/>
    <cellStyle name="Normal 63 3 4" xfId="8069"/>
    <cellStyle name="Normal 63 3 4 2" xfId="8070"/>
    <cellStyle name="Normal 63 3 4 3" xfId="12022"/>
    <cellStyle name="Normal 63 3 5" xfId="8071"/>
    <cellStyle name="Normal 63 3 6" xfId="12023"/>
    <cellStyle name="Normal 63 4" xfId="8072"/>
    <cellStyle name="Normal 63 4 2" xfId="8073"/>
    <cellStyle name="Normal 63 4 2 2" xfId="8074"/>
    <cellStyle name="Normal 63 4 2 3" xfId="12024"/>
    <cellStyle name="Normal 63 4 3" xfId="8075"/>
    <cellStyle name="Normal 63 4 3 2" xfId="8076"/>
    <cellStyle name="Normal 63 4 3 3" xfId="12025"/>
    <cellStyle name="Normal 63 4 4" xfId="8077"/>
    <cellStyle name="Normal 63 4 5" xfId="12026"/>
    <cellStyle name="Normal 63 5" xfId="8078"/>
    <cellStyle name="Normal 63 5 2" xfId="8079"/>
    <cellStyle name="Normal 63 5 3" xfId="12027"/>
    <cellStyle name="Normal 63 6" xfId="8080"/>
    <cellStyle name="Normal 63 6 2" xfId="8081"/>
    <cellStyle name="Normal 63 6 3" xfId="12028"/>
    <cellStyle name="Normal 63 7" xfId="8082"/>
    <cellStyle name="Normal 63 8" xfId="12029"/>
    <cellStyle name="Normal 64" xfId="1129"/>
    <cellStyle name="Normal 64 2" xfId="1130"/>
    <cellStyle name="Normal 64 3" xfId="1131"/>
    <cellStyle name="Normal 65" xfId="1132"/>
    <cellStyle name="Normal 65 2" xfId="1133"/>
    <cellStyle name="Normal 65 2 2" xfId="3335"/>
    <cellStyle name="Normal 65 2 2 2" xfId="8083"/>
    <cellStyle name="Normal 65 2 2 2 2" xfId="8084"/>
    <cellStyle name="Normal 65 2 2 2 2 2" xfId="8085"/>
    <cellStyle name="Normal 65 2 2 2 2 3" xfId="12030"/>
    <cellStyle name="Normal 65 2 2 2 3" xfId="8086"/>
    <cellStyle name="Normal 65 2 2 2 3 2" xfId="8087"/>
    <cellStyle name="Normal 65 2 2 2 3 3" xfId="12031"/>
    <cellStyle name="Normal 65 2 2 2 4" xfId="8088"/>
    <cellStyle name="Normal 65 2 2 2 5" xfId="12032"/>
    <cellStyle name="Normal 65 2 2 3" xfId="8089"/>
    <cellStyle name="Normal 65 2 2 3 2" xfId="8090"/>
    <cellStyle name="Normal 65 2 2 3 3" xfId="12033"/>
    <cellStyle name="Normal 65 2 2 4" xfId="8091"/>
    <cellStyle name="Normal 65 2 2 4 2" xfId="8092"/>
    <cellStyle name="Normal 65 2 2 4 3" xfId="12034"/>
    <cellStyle name="Normal 65 2 2 5" xfId="8093"/>
    <cellStyle name="Normal 65 2 2 6" xfId="12035"/>
    <cellStyle name="Normal 65 2 3" xfId="8094"/>
    <cellStyle name="Normal 65 2 3 2" xfId="8095"/>
    <cellStyle name="Normal 65 2 3 2 2" xfId="8096"/>
    <cellStyle name="Normal 65 2 3 2 3" xfId="12036"/>
    <cellStyle name="Normal 65 2 3 3" xfId="8097"/>
    <cellStyle name="Normal 65 2 3 3 2" xfId="8098"/>
    <cellStyle name="Normal 65 2 3 3 3" xfId="12037"/>
    <cellStyle name="Normal 65 2 3 4" xfId="8099"/>
    <cellStyle name="Normal 65 2 3 5" xfId="12038"/>
    <cellStyle name="Normal 65 2 4" xfId="8100"/>
    <cellStyle name="Normal 65 2 4 2" xfId="8101"/>
    <cellStyle name="Normal 65 2 4 3" xfId="12039"/>
    <cellStyle name="Normal 65 2 5" xfId="8102"/>
    <cellStyle name="Normal 65 2 5 2" xfId="8103"/>
    <cellStyle name="Normal 65 2 5 3" xfId="12040"/>
    <cellStyle name="Normal 65 2 6" xfId="8104"/>
    <cellStyle name="Normal 65 2 7" xfId="12041"/>
    <cellStyle name="Normal 65 3" xfId="1134"/>
    <cellStyle name="Normal 65 3 2" xfId="8105"/>
    <cellStyle name="Normal 65 3 2 2" xfId="8106"/>
    <cellStyle name="Normal 65 3 2 2 2" xfId="8107"/>
    <cellStyle name="Normal 65 3 2 2 3" xfId="12042"/>
    <cellStyle name="Normal 65 3 2 3" xfId="8108"/>
    <cellStyle name="Normal 65 3 2 3 2" xfId="8109"/>
    <cellStyle name="Normal 65 3 2 3 3" xfId="12043"/>
    <cellStyle name="Normal 65 3 2 4" xfId="8110"/>
    <cellStyle name="Normal 65 3 2 5" xfId="12044"/>
    <cellStyle name="Normal 65 3 3" xfId="8111"/>
    <cellStyle name="Normal 65 3 3 2" xfId="8112"/>
    <cellStyle name="Normal 65 3 3 3" xfId="12045"/>
    <cellStyle name="Normal 65 3 4" xfId="8113"/>
    <cellStyle name="Normal 65 3 4 2" xfId="8114"/>
    <cellStyle name="Normal 65 3 4 3" xfId="12046"/>
    <cellStyle name="Normal 65 3 5" xfId="8115"/>
    <cellStyle name="Normal 65 3 6" xfId="12047"/>
    <cellStyle name="Normal 65 4" xfId="8116"/>
    <cellStyle name="Normal 65 4 2" xfId="8117"/>
    <cellStyle name="Normal 65 4 2 2" xfId="8118"/>
    <cellStyle name="Normal 65 4 2 3" xfId="12048"/>
    <cellStyle name="Normal 65 4 3" xfId="8119"/>
    <cellStyle name="Normal 65 4 3 2" xfId="8120"/>
    <cellStyle name="Normal 65 4 3 3" xfId="12049"/>
    <cellStyle name="Normal 65 4 4" xfId="8121"/>
    <cellStyle name="Normal 65 4 5" xfId="12050"/>
    <cellStyle name="Normal 65 5" xfId="8122"/>
    <cellStyle name="Normal 65 5 2" xfId="8123"/>
    <cellStyle name="Normal 65 5 3" xfId="12051"/>
    <cellStyle name="Normal 65 6" xfId="8124"/>
    <cellStyle name="Normal 65 6 2" xfId="8125"/>
    <cellStyle name="Normal 65 6 3" xfId="12052"/>
    <cellStyle name="Normal 65 7" xfId="8126"/>
    <cellStyle name="Normal 65 8" xfId="12053"/>
    <cellStyle name="Normal 66" xfId="1135"/>
    <cellStyle name="Normal 66 2" xfId="1136"/>
    <cellStyle name="Normal 66 3" xfId="1137"/>
    <cellStyle name="Normal 67" xfId="1138"/>
    <cellStyle name="Normal 67 2" xfId="1139"/>
    <cellStyle name="Normal 67 3" xfId="1140"/>
    <cellStyle name="Normal 68" xfId="1141"/>
    <cellStyle name="Normal 68 2" xfId="1142"/>
    <cellStyle name="Normal 68 3" xfId="1143"/>
    <cellStyle name="Normal 69" xfId="1144"/>
    <cellStyle name="Normal 69 2" xfId="1145"/>
    <cellStyle name="Normal 69 3" xfId="1146"/>
    <cellStyle name="Normal 7" xfId="53"/>
    <cellStyle name="Normal 7 10" xfId="8127"/>
    <cellStyle name="Normal 7 10 2" xfId="8128"/>
    <cellStyle name="Normal 7 10 3" xfId="12054"/>
    <cellStyle name="Normal 7 11" xfId="8129"/>
    <cellStyle name="Normal 7 12" xfId="12055"/>
    <cellStyle name="Normal 7 2" xfId="54"/>
    <cellStyle name="Normal 7 2 10" xfId="8130"/>
    <cellStyle name="Normal 7 2 11" xfId="12056"/>
    <cellStyle name="Normal 7 2 2" xfId="617"/>
    <cellStyle name="Normal 7 2 2 2" xfId="1147"/>
    <cellStyle name="Normal 7 2 2 2 2" xfId="1148"/>
    <cellStyle name="Normal 7 2 2 2 2 2" xfId="2484"/>
    <cellStyle name="Normal 7 2 2 2 2 2 2" xfId="8131"/>
    <cellStyle name="Normal 7 2 2 2 2 2 2 2" xfId="8132"/>
    <cellStyle name="Normal 7 2 2 2 2 2 2 2 2" xfId="8133"/>
    <cellStyle name="Normal 7 2 2 2 2 2 2 2 3" xfId="12057"/>
    <cellStyle name="Normal 7 2 2 2 2 2 2 3" xfId="8134"/>
    <cellStyle name="Normal 7 2 2 2 2 2 2 3 2" xfId="8135"/>
    <cellStyle name="Normal 7 2 2 2 2 2 2 3 3" xfId="12058"/>
    <cellStyle name="Normal 7 2 2 2 2 2 2 4" xfId="8136"/>
    <cellStyle name="Normal 7 2 2 2 2 2 2 5" xfId="12059"/>
    <cellStyle name="Normal 7 2 2 2 2 2 3" xfId="8137"/>
    <cellStyle name="Normal 7 2 2 2 2 2 3 2" xfId="8138"/>
    <cellStyle name="Normal 7 2 2 2 2 2 3 3" xfId="12060"/>
    <cellStyle name="Normal 7 2 2 2 2 2 4" xfId="8139"/>
    <cellStyle name="Normal 7 2 2 2 2 2 4 2" xfId="8140"/>
    <cellStyle name="Normal 7 2 2 2 2 2 4 3" xfId="12061"/>
    <cellStyle name="Normal 7 2 2 2 2 2 5" xfId="8141"/>
    <cellStyle name="Normal 7 2 2 2 2 2 6" xfId="12062"/>
    <cellStyle name="Normal 7 2 2 2 2 3" xfId="8142"/>
    <cellStyle name="Normal 7 2 2 2 2 3 2" xfId="8143"/>
    <cellStyle name="Normal 7 2 2 2 2 3 2 2" xfId="8144"/>
    <cellStyle name="Normal 7 2 2 2 2 3 2 3" xfId="12063"/>
    <cellStyle name="Normal 7 2 2 2 2 3 3" xfId="8145"/>
    <cellStyle name="Normal 7 2 2 2 2 3 3 2" xfId="8146"/>
    <cellStyle name="Normal 7 2 2 2 2 3 3 3" xfId="12064"/>
    <cellStyle name="Normal 7 2 2 2 2 3 4" xfId="8147"/>
    <cellStyle name="Normal 7 2 2 2 2 3 5" xfId="12065"/>
    <cellStyle name="Normal 7 2 2 2 2 4" xfId="8148"/>
    <cellStyle name="Normal 7 2 2 2 2 4 2" xfId="8149"/>
    <cellStyle name="Normal 7 2 2 2 2 4 3" xfId="12066"/>
    <cellStyle name="Normal 7 2 2 2 2 5" xfId="8150"/>
    <cellStyle name="Normal 7 2 2 2 2 5 2" xfId="8151"/>
    <cellStyle name="Normal 7 2 2 2 2 5 3" xfId="12067"/>
    <cellStyle name="Normal 7 2 2 2 2 6" xfId="8152"/>
    <cellStyle name="Normal 7 2 2 2 2 7" xfId="12068"/>
    <cellStyle name="Normal 7 2 2 2 3" xfId="1149"/>
    <cellStyle name="Normal 7 2 2 2 3 2" xfId="8153"/>
    <cellStyle name="Normal 7 2 2 2 3 2 2" xfId="8154"/>
    <cellStyle name="Normal 7 2 2 2 3 2 2 2" xfId="8155"/>
    <cellStyle name="Normal 7 2 2 2 3 2 2 3" xfId="12069"/>
    <cellStyle name="Normal 7 2 2 2 3 2 3" xfId="8156"/>
    <cellStyle name="Normal 7 2 2 2 3 2 3 2" xfId="8157"/>
    <cellStyle name="Normal 7 2 2 2 3 2 3 3" xfId="12070"/>
    <cellStyle name="Normal 7 2 2 2 3 2 4" xfId="8158"/>
    <cellStyle name="Normal 7 2 2 2 3 2 5" xfId="12071"/>
    <cellStyle name="Normal 7 2 2 2 3 3" xfId="8159"/>
    <cellStyle name="Normal 7 2 2 2 3 3 2" xfId="8160"/>
    <cellStyle name="Normal 7 2 2 2 3 3 3" xfId="12072"/>
    <cellStyle name="Normal 7 2 2 2 3 4" xfId="8161"/>
    <cellStyle name="Normal 7 2 2 2 3 4 2" xfId="8162"/>
    <cellStyle name="Normal 7 2 2 2 3 4 3" xfId="12073"/>
    <cellStyle name="Normal 7 2 2 2 3 5" xfId="8163"/>
    <cellStyle name="Normal 7 2 2 2 3 6" xfId="12074"/>
    <cellStyle name="Normal 7 2 2 2 4" xfId="8164"/>
    <cellStyle name="Normal 7 2 2 2 4 2" xfId="8165"/>
    <cellStyle name="Normal 7 2 2 2 4 2 2" xfId="8166"/>
    <cellStyle name="Normal 7 2 2 2 4 2 3" xfId="12075"/>
    <cellStyle name="Normal 7 2 2 2 4 3" xfId="8167"/>
    <cellStyle name="Normal 7 2 2 2 4 3 2" xfId="8168"/>
    <cellStyle name="Normal 7 2 2 2 4 3 3" xfId="12076"/>
    <cellStyle name="Normal 7 2 2 2 4 4" xfId="8169"/>
    <cellStyle name="Normal 7 2 2 2 4 5" xfId="12077"/>
    <cellStyle name="Normal 7 2 2 2 5" xfId="8170"/>
    <cellStyle name="Normal 7 2 2 2 5 2" xfId="8171"/>
    <cellStyle name="Normal 7 2 2 2 5 3" xfId="12078"/>
    <cellStyle name="Normal 7 2 2 2 6" xfId="8172"/>
    <cellStyle name="Normal 7 2 2 2 6 2" xfId="8173"/>
    <cellStyle name="Normal 7 2 2 2 6 3" xfId="12079"/>
    <cellStyle name="Normal 7 2 2 2 7" xfId="8174"/>
    <cellStyle name="Normal 7 2 2 2 8" xfId="12080"/>
    <cellStyle name="Normal 7 2 2 3" xfId="1150"/>
    <cellStyle name="Normal 7 2 2 3 2" xfId="2485"/>
    <cellStyle name="Normal 7 2 2 3 2 2" xfId="8175"/>
    <cellStyle name="Normal 7 2 2 3 2 2 2" xfId="8176"/>
    <cellStyle name="Normal 7 2 2 3 2 2 2 2" xfId="8177"/>
    <cellStyle name="Normal 7 2 2 3 2 2 2 3" xfId="12081"/>
    <cellStyle name="Normal 7 2 2 3 2 2 3" xfId="8178"/>
    <cellStyle name="Normal 7 2 2 3 2 2 3 2" xfId="8179"/>
    <cellStyle name="Normal 7 2 2 3 2 2 3 3" xfId="12082"/>
    <cellStyle name="Normal 7 2 2 3 2 2 4" xfId="8180"/>
    <cellStyle name="Normal 7 2 2 3 2 2 5" xfId="12083"/>
    <cellStyle name="Normal 7 2 2 3 2 3" xfId="8181"/>
    <cellStyle name="Normal 7 2 2 3 2 3 2" xfId="8182"/>
    <cellStyle name="Normal 7 2 2 3 2 3 3" xfId="12084"/>
    <cellStyle name="Normal 7 2 2 3 2 4" xfId="8183"/>
    <cellStyle name="Normal 7 2 2 3 2 4 2" xfId="8184"/>
    <cellStyle name="Normal 7 2 2 3 2 4 3" xfId="12085"/>
    <cellStyle name="Normal 7 2 2 3 2 5" xfId="8185"/>
    <cellStyle name="Normal 7 2 2 3 2 6" xfId="12086"/>
    <cellStyle name="Normal 7 2 2 3 3" xfId="8186"/>
    <cellStyle name="Normal 7 2 2 3 3 2" xfId="8187"/>
    <cellStyle name="Normal 7 2 2 3 3 2 2" xfId="8188"/>
    <cellStyle name="Normal 7 2 2 3 3 2 3" xfId="12087"/>
    <cellStyle name="Normal 7 2 2 3 3 3" xfId="8189"/>
    <cellStyle name="Normal 7 2 2 3 3 3 2" xfId="8190"/>
    <cellStyle name="Normal 7 2 2 3 3 3 3" xfId="12088"/>
    <cellStyle name="Normal 7 2 2 3 3 4" xfId="8191"/>
    <cellStyle name="Normal 7 2 2 3 3 5" xfId="12089"/>
    <cellStyle name="Normal 7 2 2 3 4" xfId="8192"/>
    <cellStyle name="Normal 7 2 2 3 4 2" xfId="8193"/>
    <cellStyle name="Normal 7 2 2 3 4 3" xfId="12090"/>
    <cellStyle name="Normal 7 2 2 3 5" xfId="8194"/>
    <cellStyle name="Normal 7 2 2 3 5 2" xfId="8195"/>
    <cellStyle name="Normal 7 2 2 3 5 3" xfId="12091"/>
    <cellStyle name="Normal 7 2 2 3 6" xfId="8196"/>
    <cellStyle name="Normal 7 2 2 3 7" xfId="12092"/>
    <cellStyle name="Normal 7 2 2 3 8" xfId="2932"/>
    <cellStyle name="Normal 7 2 2 4" xfId="2486"/>
    <cellStyle name="Normal 7 2 2 4 2" xfId="8197"/>
    <cellStyle name="Normal 7 2 2 4 2 2" xfId="8198"/>
    <cellStyle name="Normal 7 2 2 4 2 2 2" xfId="8199"/>
    <cellStyle name="Normal 7 2 2 4 2 2 3" xfId="12093"/>
    <cellStyle name="Normal 7 2 2 4 2 3" xfId="8200"/>
    <cellStyle name="Normal 7 2 2 4 2 3 2" xfId="8201"/>
    <cellStyle name="Normal 7 2 2 4 2 3 3" xfId="12094"/>
    <cellStyle name="Normal 7 2 2 4 2 4" xfId="8202"/>
    <cellStyle name="Normal 7 2 2 4 2 5" xfId="12095"/>
    <cellStyle name="Normal 7 2 2 4 3" xfId="8203"/>
    <cellStyle name="Normal 7 2 2 4 3 2" xfId="8204"/>
    <cellStyle name="Normal 7 2 2 4 3 3" xfId="12096"/>
    <cellStyle name="Normal 7 2 2 4 4" xfId="8205"/>
    <cellStyle name="Normal 7 2 2 4 4 2" xfId="8206"/>
    <cellStyle name="Normal 7 2 2 4 4 3" xfId="12097"/>
    <cellStyle name="Normal 7 2 2 4 5" xfId="8207"/>
    <cellStyle name="Normal 7 2 2 4 6" xfId="12098"/>
    <cellStyle name="Normal 7 2 2 5" xfId="8208"/>
    <cellStyle name="Normal 7 2 2 5 2" xfId="8209"/>
    <cellStyle name="Normal 7 2 2 5 2 2" xfId="8210"/>
    <cellStyle name="Normal 7 2 2 5 2 3" xfId="12099"/>
    <cellStyle name="Normal 7 2 2 5 3" xfId="8211"/>
    <cellStyle name="Normal 7 2 2 5 3 2" xfId="8212"/>
    <cellStyle name="Normal 7 2 2 5 3 3" xfId="12100"/>
    <cellStyle name="Normal 7 2 2 5 4" xfId="8213"/>
    <cellStyle name="Normal 7 2 2 5 5" xfId="12101"/>
    <cellStyle name="Normal 7 2 2 6" xfId="8214"/>
    <cellStyle name="Normal 7 2 2 6 2" xfId="8215"/>
    <cellStyle name="Normal 7 2 2 6 3" xfId="12102"/>
    <cellStyle name="Normal 7 2 2 7" xfId="8216"/>
    <cellStyle name="Normal 7 2 2 7 2" xfId="8217"/>
    <cellStyle name="Normal 7 2 2 7 3" xfId="12103"/>
    <cellStyle name="Normal 7 2 2 8" xfId="8218"/>
    <cellStyle name="Normal 7 2 2 9" xfId="12104"/>
    <cellStyle name="Normal 7 2 3" xfId="1151"/>
    <cellStyle name="Normal 7 2 3 2" xfId="1152"/>
    <cellStyle name="Normal 7 2 3 2 2" xfId="2487"/>
    <cellStyle name="Normal 7 2 3 2 2 2" xfId="8219"/>
    <cellStyle name="Normal 7 2 3 2 2 2 2" xfId="8220"/>
    <cellStyle name="Normal 7 2 3 2 2 2 2 2" xfId="8221"/>
    <cellStyle name="Normal 7 2 3 2 2 2 2 3" xfId="12105"/>
    <cellStyle name="Normal 7 2 3 2 2 2 3" xfId="8222"/>
    <cellStyle name="Normal 7 2 3 2 2 2 3 2" xfId="8223"/>
    <cellStyle name="Normal 7 2 3 2 2 2 3 3" xfId="12106"/>
    <cellStyle name="Normal 7 2 3 2 2 2 4" xfId="8224"/>
    <cellStyle name="Normal 7 2 3 2 2 2 5" xfId="12107"/>
    <cellStyle name="Normal 7 2 3 2 2 3" xfId="8225"/>
    <cellStyle name="Normal 7 2 3 2 2 3 2" xfId="8226"/>
    <cellStyle name="Normal 7 2 3 2 2 3 3" xfId="12108"/>
    <cellStyle name="Normal 7 2 3 2 2 4" xfId="8227"/>
    <cellStyle name="Normal 7 2 3 2 2 4 2" xfId="8228"/>
    <cellStyle name="Normal 7 2 3 2 2 4 3" xfId="12109"/>
    <cellStyle name="Normal 7 2 3 2 2 5" xfId="8229"/>
    <cellStyle name="Normal 7 2 3 2 2 6" xfId="12110"/>
    <cellStyle name="Normal 7 2 3 2 3" xfId="8230"/>
    <cellStyle name="Normal 7 2 3 2 3 2" xfId="8231"/>
    <cellStyle name="Normal 7 2 3 2 3 2 2" xfId="8232"/>
    <cellStyle name="Normal 7 2 3 2 3 2 3" xfId="12111"/>
    <cellStyle name="Normal 7 2 3 2 3 3" xfId="8233"/>
    <cellStyle name="Normal 7 2 3 2 3 3 2" xfId="8234"/>
    <cellStyle name="Normal 7 2 3 2 3 3 3" xfId="12112"/>
    <cellStyle name="Normal 7 2 3 2 3 4" xfId="8235"/>
    <cellStyle name="Normal 7 2 3 2 3 5" xfId="12113"/>
    <cellStyle name="Normal 7 2 3 2 4" xfId="8236"/>
    <cellStyle name="Normal 7 2 3 2 4 2" xfId="8237"/>
    <cellStyle name="Normal 7 2 3 2 4 3" xfId="12114"/>
    <cellStyle name="Normal 7 2 3 2 5" xfId="8238"/>
    <cellStyle name="Normal 7 2 3 2 5 2" xfId="8239"/>
    <cellStyle name="Normal 7 2 3 2 5 3" xfId="12115"/>
    <cellStyle name="Normal 7 2 3 2 6" xfId="8240"/>
    <cellStyle name="Normal 7 2 3 2 7" xfId="12116"/>
    <cellStyle name="Normal 7 2 3 3" xfId="1153"/>
    <cellStyle name="Normal 7 2 3 3 2" xfId="2488"/>
    <cellStyle name="Normal 7 2 3 3 2 2" xfId="8241"/>
    <cellStyle name="Normal 7 2 3 3 2 2 2" xfId="8242"/>
    <cellStyle name="Normal 7 2 3 3 2 2 3" xfId="12117"/>
    <cellStyle name="Normal 7 2 3 3 2 3" xfId="8243"/>
    <cellStyle name="Normal 7 2 3 3 2 3 2" xfId="8244"/>
    <cellStyle name="Normal 7 2 3 3 2 3 3" xfId="12118"/>
    <cellStyle name="Normal 7 2 3 3 2 4" xfId="8245"/>
    <cellStyle name="Normal 7 2 3 3 2 5" xfId="12119"/>
    <cellStyle name="Normal 7 2 3 3 3" xfId="8246"/>
    <cellStyle name="Normal 7 2 3 3 3 2" xfId="8247"/>
    <cellStyle name="Normal 7 2 3 3 3 3" xfId="12120"/>
    <cellStyle name="Normal 7 2 3 3 4" xfId="8248"/>
    <cellStyle name="Normal 7 2 3 3 4 2" xfId="8249"/>
    <cellStyle name="Normal 7 2 3 3 4 3" xfId="12121"/>
    <cellStyle name="Normal 7 2 3 3 5" xfId="8250"/>
    <cellStyle name="Normal 7 2 3 3 6" xfId="12122"/>
    <cellStyle name="Normal 7 2 3 4" xfId="8251"/>
    <cellStyle name="Normal 7 2 3 4 2" xfId="8252"/>
    <cellStyle name="Normal 7 2 3 4 2 2" xfId="8253"/>
    <cellStyle name="Normal 7 2 3 4 2 3" xfId="12123"/>
    <cellStyle name="Normal 7 2 3 4 3" xfId="8254"/>
    <cellStyle name="Normal 7 2 3 4 3 2" xfId="8255"/>
    <cellStyle name="Normal 7 2 3 4 3 3" xfId="12124"/>
    <cellStyle name="Normal 7 2 3 4 4" xfId="8256"/>
    <cellStyle name="Normal 7 2 3 4 5" xfId="12125"/>
    <cellStyle name="Normal 7 2 3 5" xfId="8257"/>
    <cellStyle name="Normal 7 2 3 5 2" xfId="8258"/>
    <cellStyle name="Normal 7 2 3 5 3" xfId="12126"/>
    <cellStyle name="Normal 7 2 3 6" xfId="8259"/>
    <cellStyle name="Normal 7 2 3 6 2" xfId="8260"/>
    <cellStyle name="Normal 7 2 3 6 3" xfId="12127"/>
    <cellStyle name="Normal 7 2 3 7" xfId="8261"/>
    <cellStyle name="Normal 7 2 3 8" xfId="12128"/>
    <cellStyle name="Normal 7 2 4" xfId="1154"/>
    <cellStyle name="Normal 7 2 4 2" xfId="1155"/>
    <cellStyle name="Normal 7 2 4 2 2" xfId="3336"/>
    <cellStyle name="Normal 7 2 4 2 2 2" xfId="8262"/>
    <cellStyle name="Normal 7 2 4 2 2 2 2" xfId="8263"/>
    <cellStyle name="Normal 7 2 4 2 2 2 2 2" xfId="8264"/>
    <cellStyle name="Normal 7 2 4 2 2 2 2 3" xfId="12129"/>
    <cellStyle name="Normal 7 2 4 2 2 2 3" xfId="8265"/>
    <cellStyle name="Normal 7 2 4 2 2 2 3 2" xfId="8266"/>
    <cellStyle name="Normal 7 2 4 2 2 2 3 3" xfId="12130"/>
    <cellStyle name="Normal 7 2 4 2 2 2 4" xfId="8267"/>
    <cellStyle name="Normal 7 2 4 2 2 2 5" xfId="12131"/>
    <cellStyle name="Normal 7 2 4 2 2 3" xfId="8268"/>
    <cellStyle name="Normal 7 2 4 2 2 3 2" xfId="8269"/>
    <cellStyle name="Normal 7 2 4 2 2 3 3" xfId="12132"/>
    <cellStyle name="Normal 7 2 4 2 2 4" xfId="8270"/>
    <cellStyle name="Normal 7 2 4 2 2 4 2" xfId="8271"/>
    <cellStyle name="Normal 7 2 4 2 2 4 3" xfId="12133"/>
    <cellStyle name="Normal 7 2 4 2 2 5" xfId="8272"/>
    <cellStyle name="Normal 7 2 4 2 2 6" xfId="12134"/>
    <cellStyle name="Normal 7 2 4 2 3" xfId="8273"/>
    <cellStyle name="Normal 7 2 4 2 3 2" xfId="8274"/>
    <cellStyle name="Normal 7 2 4 2 3 2 2" xfId="8275"/>
    <cellStyle name="Normal 7 2 4 2 3 2 3" xfId="12135"/>
    <cellStyle name="Normal 7 2 4 2 3 3" xfId="8276"/>
    <cellStyle name="Normal 7 2 4 2 3 3 2" xfId="8277"/>
    <cellStyle name="Normal 7 2 4 2 3 3 3" xfId="12136"/>
    <cellStyle name="Normal 7 2 4 2 3 4" xfId="8278"/>
    <cellStyle name="Normal 7 2 4 2 3 5" xfId="12137"/>
    <cellStyle name="Normal 7 2 4 2 4" xfId="8279"/>
    <cellStyle name="Normal 7 2 4 2 4 2" xfId="8280"/>
    <cellStyle name="Normal 7 2 4 2 4 3" xfId="12138"/>
    <cellStyle name="Normal 7 2 4 2 5" xfId="8281"/>
    <cellStyle name="Normal 7 2 4 2 5 2" xfId="8282"/>
    <cellStyle name="Normal 7 2 4 2 5 3" xfId="12139"/>
    <cellStyle name="Normal 7 2 4 2 6" xfId="8283"/>
    <cellStyle name="Normal 7 2 4 2 7" xfId="12140"/>
    <cellStyle name="Normal 7 2 4 3" xfId="3337"/>
    <cellStyle name="Normal 7 2 4 3 2" xfId="8284"/>
    <cellStyle name="Normal 7 2 4 3 2 2" xfId="8285"/>
    <cellStyle name="Normal 7 2 4 3 2 2 2" xfId="8286"/>
    <cellStyle name="Normal 7 2 4 3 2 2 3" xfId="12141"/>
    <cellStyle name="Normal 7 2 4 3 2 3" xfId="8287"/>
    <cellStyle name="Normal 7 2 4 3 2 3 2" xfId="8288"/>
    <cellStyle name="Normal 7 2 4 3 2 3 3" xfId="12142"/>
    <cellStyle name="Normal 7 2 4 3 2 4" xfId="8289"/>
    <cellStyle name="Normal 7 2 4 3 2 5" xfId="12143"/>
    <cellStyle name="Normal 7 2 4 3 3" xfId="8290"/>
    <cellStyle name="Normal 7 2 4 3 3 2" xfId="8291"/>
    <cellStyle name="Normal 7 2 4 3 3 3" xfId="12144"/>
    <cellStyle name="Normal 7 2 4 3 4" xfId="8292"/>
    <cellStyle name="Normal 7 2 4 3 4 2" xfId="8293"/>
    <cellStyle name="Normal 7 2 4 3 4 3" xfId="12145"/>
    <cellStyle name="Normal 7 2 4 3 5" xfId="8294"/>
    <cellStyle name="Normal 7 2 4 3 6" xfId="12146"/>
    <cellStyle name="Normal 7 2 4 4" xfId="8295"/>
    <cellStyle name="Normal 7 2 4 4 2" xfId="8296"/>
    <cellStyle name="Normal 7 2 4 4 2 2" xfId="8297"/>
    <cellStyle name="Normal 7 2 4 4 2 3" xfId="12147"/>
    <cellStyle name="Normal 7 2 4 4 3" xfId="8298"/>
    <cellStyle name="Normal 7 2 4 4 3 2" xfId="8299"/>
    <cellStyle name="Normal 7 2 4 4 3 3" xfId="12148"/>
    <cellStyle name="Normal 7 2 4 4 4" xfId="8300"/>
    <cellStyle name="Normal 7 2 4 4 5" xfId="12149"/>
    <cellStyle name="Normal 7 2 4 5" xfId="8301"/>
    <cellStyle name="Normal 7 2 4 5 2" xfId="8302"/>
    <cellStyle name="Normal 7 2 4 5 3" xfId="12150"/>
    <cellStyle name="Normal 7 2 4 6" xfId="8303"/>
    <cellStyle name="Normal 7 2 4 6 2" xfId="8304"/>
    <cellStyle name="Normal 7 2 4 6 3" xfId="12151"/>
    <cellStyle name="Normal 7 2 4 7" xfId="8305"/>
    <cellStyle name="Normal 7 2 4 8" xfId="12152"/>
    <cellStyle name="Normal 7 2 5" xfId="1156"/>
    <cellStyle name="Normal 7 2 5 2" xfId="3338"/>
    <cellStyle name="Normal 7 2 5 2 2" xfId="8306"/>
    <cellStyle name="Normal 7 2 5 2 2 2" xfId="8307"/>
    <cellStyle name="Normal 7 2 5 2 2 2 2" xfId="8308"/>
    <cellStyle name="Normal 7 2 5 2 2 2 3" xfId="12153"/>
    <cellStyle name="Normal 7 2 5 2 2 3" xfId="8309"/>
    <cellStyle name="Normal 7 2 5 2 2 3 2" xfId="8310"/>
    <cellStyle name="Normal 7 2 5 2 2 3 3" xfId="12154"/>
    <cellStyle name="Normal 7 2 5 2 2 4" xfId="8311"/>
    <cellStyle name="Normal 7 2 5 2 2 5" xfId="12155"/>
    <cellStyle name="Normal 7 2 5 2 3" xfId="8312"/>
    <cellStyle name="Normal 7 2 5 2 3 2" xfId="8313"/>
    <cellStyle name="Normal 7 2 5 2 3 3" xfId="12156"/>
    <cellStyle name="Normal 7 2 5 2 4" xfId="8314"/>
    <cellStyle name="Normal 7 2 5 2 4 2" xfId="8315"/>
    <cellStyle name="Normal 7 2 5 2 4 3" xfId="12157"/>
    <cellStyle name="Normal 7 2 5 2 5" xfId="8316"/>
    <cellStyle name="Normal 7 2 5 2 6" xfId="12158"/>
    <cellStyle name="Normal 7 2 5 3" xfId="8317"/>
    <cellStyle name="Normal 7 2 5 3 2" xfId="8318"/>
    <cellStyle name="Normal 7 2 5 3 2 2" xfId="8319"/>
    <cellStyle name="Normal 7 2 5 3 2 3" xfId="12159"/>
    <cellStyle name="Normal 7 2 5 3 3" xfId="8320"/>
    <cellStyle name="Normal 7 2 5 3 3 2" xfId="8321"/>
    <cellStyle name="Normal 7 2 5 3 3 3" xfId="12160"/>
    <cellStyle name="Normal 7 2 5 3 4" xfId="8322"/>
    <cellStyle name="Normal 7 2 5 3 5" xfId="12161"/>
    <cellStyle name="Normal 7 2 5 4" xfId="8323"/>
    <cellStyle name="Normal 7 2 5 4 2" xfId="8324"/>
    <cellStyle name="Normal 7 2 5 4 3" xfId="12162"/>
    <cellStyle name="Normal 7 2 5 5" xfId="8325"/>
    <cellStyle name="Normal 7 2 5 5 2" xfId="8326"/>
    <cellStyle name="Normal 7 2 5 5 3" xfId="12163"/>
    <cellStyle name="Normal 7 2 5 6" xfId="8327"/>
    <cellStyle name="Normal 7 2 5 7" xfId="12164"/>
    <cellStyle name="Normal 7 2 6" xfId="2489"/>
    <cellStyle name="Normal 7 2 6 2" xfId="8328"/>
    <cellStyle name="Normal 7 2 6 2 2" xfId="8329"/>
    <cellStyle name="Normal 7 2 6 2 2 2" xfId="8330"/>
    <cellStyle name="Normal 7 2 6 2 2 3" xfId="12165"/>
    <cellStyle name="Normal 7 2 6 2 3" xfId="8331"/>
    <cellStyle name="Normal 7 2 6 2 3 2" xfId="8332"/>
    <cellStyle name="Normal 7 2 6 2 3 3" xfId="12166"/>
    <cellStyle name="Normal 7 2 6 2 4" xfId="8333"/>
    <cellStyle name="Normal 7 2 6 2 5" xfId="12167"/>
    <cellStyle name="Normal 7 2 6 3" xfId="8334"/>
    <cellStyle name="Normal 7 2 6 3 2" xfId="8335"/>
    <cellStyle name="Normal 7 2 6 3 3" xfId="12168"/>
    <cellStyle name="Normal 7 2 6 4" xfId="8336"/>
    <cellStyle name="Normal 7 2 6 4 2" xfId="8337"/>
    <cellStyle name="Normal 7 2 6 4 3" xfId="12169"/>
    <cellStyle name="Normal 7 2 6 5" xfId="8338"/>
    <cellStyle name="Normal 7 2 6 6" xfId="12170"/>
    <cellStyle name="Normal 7 2 6 7" xfId="3009"/>
    <cellStyle name="Normal 7 2 7" xfId="3339"/>
    <cellStyle name="Normal 7 2 7 2" xfId="8339"/>
    <cellStyle name="Normal 7 2 7 2 2" xfId="8340"/>
    <cellStyle name="Normal 7 2 7 2 3" xfId="12171"/>
    <cellStyle name="Normal 7 2 7 3" xfId="8341"/>
    <cellStyle name="Normal 7 2 7 3 2" xfId="8342"/>
    <cellStyle name="Normal 7 2 7 3 3" xfId="12172"/>
    <cellStyle name="Normal 7 2 7 4" xfId="8343"/>
    <cellStyle name="Normal 7 2 7 5" xfId="12173"/>
    <cellStyle name="Normal 7 2 8" xfId="8344"/>
    <cellStyle name="Normal 7 2 8 2" xfId="8345"/>
    <cellStyle name="Normal 7 2 8 3" xfId="12174"/>
    <cellStyle name="Normal 7 2 9" xfId="8346"/>
    <cellStyle name="Normal 7 2 9 2" xfId="8347"/>
    <cellStyle name="Normal 7 2 9 3" xfId="12175"/>
    <cellStyle name="Normal 7 3" xfId="220"/>
    <cellStyle name="Normal 7 3 2" xfId="618"/>
    <cellStyle name="Normal 7 3 2 2" xfId="1157"/>
    <cellStyle name="Normal 7 3 2 2 2" xfId="2490"/>
    <cellStyle name="Normal 7 3 2 2 2 2" xfId="8348"/>
    <cellStyle name="Normal 7 3 2 2 2 2 2" xfId="8349"/>
    <cellStyle name="Normal 7 3 2 2 2 2 2 2" xfId="8350"/>
    <cellStyle name="Normal 7 3 2 2 2 2 2 3" xfId="12176"/>
    <cellStyle name="Normal 7 3 2 2 2 2 3" xfId="8351"/>
    <cellStyle name="Normal 7 3 2 2 2 2 3 2" xfId="8352"/>
    <cellStyle name="Normal 7 3 2 2 2 2 3 3" xfId="12177"/>
    <cellStyle name="Normal 7 3 2 2 2 2 4" xfId="8353"/>
    <cellStyle name="Normal 7 3 2 2 2 2 5" xfId="12178"/>
    <cellStyle name="Normal 7 3 2 2 2 3" xfId="8354"/>
    <cellStyle name="Normal 7 3 2 2 2 3 2" xfId="8355"/>
    <cellStyle name="Normal 7 3 2 2 2 3 3" xfId="12179"/>
    <cellStyle name="Normal 7 3 2 2 2 4" xfId="8356"/>
    <cellStyle name="Normal 7 3 2 2 2 4 2" xfId="8357"/>
    <cellStyle name="Normal 7 3 2 2 2 4 3" xfId="12180"/>
    <cellStyle name="Normal 7 3 2 2 2 5" xfId="8358"/>
    <cellStyle name="Normal 7 3 2 2 2 6" xfId="12181"/>
    <cellStyle name="Normal 7 3 2 2 3" xfId="8359"/>
    <cellStyle name="Normal 7 3 2 2 3 2" xfId="8360"/>
    <cellStyle name="Normal 7 3 2 2 3 2 2" xfId="8361"/>
    <cellStyle name="Normal 7 3 2 2 3 2 3" xfId="12182"/>
    <cellStyle name="Normal 7 3 2 2 3 3" xfId="8362"/>
    <cellStyle name="Normal 7 3 2 2 3 3 2" xfId="8363"/>
    <cellStyle name="Normal 7 3 2 2 3 3 3" xfId="12183"/>
    <cellStyle name="Normal 7 3 2 2 3 4" xfId="8364"/>
    <cellStyle name="Normal 7 3 2 2 3 5" xfId="12184"/>
    <cellStyle name="Normal 7 3 2 2 4" xfId="8365"/>
    <cellStyle name="Normal 7 3 2 2 4 2" xfId="8366"/>
    <cellStyle name="Normal 7 3 2 2 4 3" xfId="12185"/>
    <cellStyle name="Normal 7 3 2 2 5" xfId="8367"/>
    <cellStyle name="Normal 7 3 2 2 5 2" xfId="8368"/>
    <cellStyle name="Normal 7 3 2 2 5 3" xfId="12186"/>
    <cellStyle name="Normal 7 3 2 2 6" xfId="8369"/>
    <cellStyle name="Normal 7 3 2 2 7" xfId="12187"/>
    <cellStyle name="Normal 7 3 2 3" xfId="1158"/>
    <cellStyle name="Normal 7 3 2 3 2" xfId="8370"/>
    <cellStyle name="Normal 7 3 2 3 2 2" xfId="8371"/>
    <cellStyle name="Normal 7 3 2 3 2 2 2" xfId="8372"/>
    <cellStyle name="Normal 7 3 2 3 2 2 3" xfId="12188"/>
    <cellStyle name="Normal 7 3 2 3 2 3" xfId="8373"/>
    <cellStyle name="Normal 7 3 2 3 2 3 2" xfId="8374"/>
    <cellStyle name="Normal 7 3 2 3 2 3 3" xfId="12189"/>
    <cellStyle name="Normal 7 3 2 3 2 4" xfId="8375"/>
    <cellStyle name="Normal 7 3 2 3 2 5" xfId="12190"/>
    <cellStyle name="Normal 7 3 2 3 3" xfId="8376"/>
    <cellStyle name="Normal 7 3 2 3 3 2" xfId="8377"/>
    <cellStyle name="Normal 7 3 2 3 3 3" xfId="12191"/>
    <cellStyle name="Normal 7 3 2 3 4" xfId="8378"/>
    <cellStyle name="Normal 7 3 2 3 4 2" xfId="8379"/>
    <cellStyle name="Normal 7 3 2 3 4 3" xfId="12192"/>
    <cellStyle name="Normal 7 3 2 3 5" xfId="8380"/>
    <cellStyle name="Normal 7 3 2 3 6" xfId="12193"/>
    <cellStyle name="Normal 7 3 2 4" xfId="8381"/>
    <cellStyle name="Normal 7 3 2 4 2" xfId="8382"/>
    <cellStyle name="Normal 7 3 2 4 2 2" xfId="8383"/>
    <cellStyle name="Normal 7 3 2 4 2 3" xfId="12194"/>
    <cellStyle name="Normal 7 3 2 4 3" xfId="8384"/>
    <cellStyle name="Normal 7 3 2 4 3 2" xfId="8385"/>
    <cellStyle name="Normal 7 3 2 4 3 3" xfId="12195"/>
    <cellStyle name="Normal 7 3 2 4 4" xfId="8386"/>
    <cellStyle name="Normal 7 3 2 4 5" xfId="12196"/>
    <cellStyle name="Normal 7 3 2 5" xfId="8387"/>
    <cellStyle name="Normal 7 3 2 5 2" xfId="8388"/>
    <cellStyle name="Normal 7 3 2 5 3" xfId="12197"/>
    <cellStyle name="Normal 7 3 2 6" xfId="8389"/>
    <cellStyle name="Normal 7 3 2 6 2" xfId="8390"/>
    <cellStyle name="Normal 7 3 2 6 3" xfId="12198"/>
    <cellStyle name="Normal 7 3 2 7" xfId="8391"/>
    <cellStyle name="Normal 7 3 2 8" xfId="12199"/>
    <cellStyle name="Normal 7 3 3" xfId="1159"/>
    <cellStyle name="Normal 7 3 3 2" xfId="1160"/>
    <cellStyle name="Normal 7 3 3 2 2" xfId="8392"/>
    <cellStyle name="Normal 7 3 3 2 2 2" xfId="8393"/>
    <cellStyle name="Normal 7 3 3 2 2 2 2" xfId="8394"/>
    <cellStyle name="Normal 7 3 3 2 2 2 3" xfId="12200"/>
    <cellStyle name="Normal 7 3 3 2 2 3" xfId="8395"/>
    <cellStyle name="Normal 7 3 3 2 2 3 2" xfId="8396"/>
    <cellStyle name="Normal 7 3 3 2 2 3 3" xfId="12201"/>
    <cellStyle name="Normal 7 3 3 2 2 4" xfId="8397"/>
    <cellStyle name="Normal 7 3 3 2 2 5" xfId="12202"/>
    <cellStyle name="Normal 7 3 3 2 3" xfId="8398"/>
    <cellStyle name="Normal 7 3 3 2 3 2" xfId="8399"/>
    <cellStyle name="Normal 7 3 3 2 3 3" xfId="12203"/>
    <cellStyle name="Normal 7 3 3 2 4" xfId="8400"/>
    <cellStyle name="Normal 7 3 3 2 4 2" xfId="8401"/>
    <cellStyle name="Normal 7 3 3 2 4 3" xfId="12204"/>
    <cellStyle name="Normal 7 3 3 2 5" xfId="8402"/>
    <cellStyle name="Normal 7 3 3 2 6" xfId="12205"/>
    <cellStyle name="Normal 7 3 3 3" xfId="8403"/>
    <cellStyle name="Normal 7 3 3 3 2" xfId="8404"/>
    <cellStyle name="Normal 7 3 3 3 2 2" xfId="8405"/>
    <cellStyle name="Normal 7 3 3 3 2 3" xfId="12206"/>
    <cellStyle name="Normal 7 3 3 3 3" xfId="8406"/>
    <cellStyle name="Normal 7 3 3 3 3 2" xfId="8407"/>
    <cellStyle name="Normal 7 3 3 3 3 3" xfId="12207"/>
    <cellStyle name="Normal 7 3 3 3 4" xfId="8408"/>
    <cellStyle name="Normal 7 3 3 3 5" xfId="12208"/>
    <cellStyle name="Normal 7 3 3 4" xfId="8409"/>
    <cellStyle name="Normal 7 3 3 4 2" xfId="8410"/>
    <cellStyle name="Normal 7 3 3 4 3" xfId="12209"/>
    <cellStyle name="Normal 7 3 3 5" xfId="8411"/>
    <cellStyle name="Normal 7 3 3 5 2" xfId="8412"/>
    <cellStyle name="Normal 7 3 3 5 3" xfId="12210"/>
    <cellStyle name="Normal 7 3 3 6" xfId="8413"/>
    <cellStyle name="Normal 7 3 3 7" xfId="12211"/>
    <cellStyle name="Normal 7 3 4" xfId="1161"/>
    <cellStyle name="Normal 7 3 4 2" xfId="8414"/>
    <cellStyle name="Normal 7 3 4 2 2" xfId="8415"/>
    <cellStyle name="Normal 7 3 4 2 2 2" xfId="8416"/>
    <cellStyle name="Normal 7 3 4 2 2 3" xfId="12212"/>
    <cellStyle name="Normal 7 3 4 2 3" xfId="8417"/>
    <cellStyle name="Normal 7 3 4 2 3 2" xfId="8418"/>
    <cellStyle name="Normal 7 3 4 2 3 3" xfId="12213"/>
    <cellStyle name="Normal 7 3 4 2 4" xfId="8419"/>
    <cellStyle name="Normal 7 3 4 2 5" xfId="12214"/>
    <cellStyle name="Normal 7 3 4 3" xfId="8420"/>
    <cellStyle name="Normal 7 3 4 3 2" xfId="8421"/>
    <cellStyle name="Normal 7 3 4 3 3" xfId="12215"/>
    <cellStyle name="Normal 7 3 4 4" xfId="8422"/>
    <cellStyle name="Normal 7 3 4 4 2" xfId="8423"/>
    <cellStyle name="Normal 7 3 4 4 3" xfId="12216"/>
    <cellStyle name="Normal 7 3 4 5" xfId="8424"/>
    <cellStyle name="Normal 7 3 4 6" xfId="12217"/>
    <cellStyle name="Normal 7 3 5" xfId="2491"/>
    <cellStyle name="Normal 7 3 5 2" xfId="8425"/>
    <cellStyle name="Normal 7 3 5 2 2" xfId="8426"/>
    <cellStyle name="Normal 7 3 5 2 3" xfId="12218"/>
    <cellStyle name="Normal 7 3 5 3" xfId="8427"/>
    <cellStyle name="Normal 7 3 5 3 2" xfId="8428"/>
    <cellStyle name="Normal 7 3 5 3 3" xfId="12219"/>
    <cellStyle name="Normal 7 3 5 4" xfId="8429"/>
    <cellStyle name="Normal 7 3 5 5" xfId="12220"/>
    <cellStyle name="Normal 7 3 6" xfId="8430"/>
    <cellStyle name="Normal 7 3 6 2" xfId="8431"/>
    <cellStyle name="Normal 7 3 6 3" xfId="12221"/>
    <cellStyle name="Normal 7 3 7" xfId="8432"/>
    <cellStyle name="Normal 7 3 7 2" xfId="8433"/>
    <cellStyle name="Normal 7 3 7 3" xfId="12222"/>
    <cellStyle name="Normal 7 3 8" xfId="8434"/>
    <cellStyle name="Normal 7 3 9" xfId="12223"/>
    <cellStyle name="Normal 7 4" xfId="619"/>
    <cellStyle name="Normal 7 4 2" xfId="1162"/>
    <cellStyle name="Normal 7 4 2 2" xfId="2492"/>
    <cellStyle name="Normal 7 4 2 2 2" xfId="8435"/>
    <cellStyle name="Normal 7 4 2 2 2 2" xfId="8436"/>
    <cellStyle name="Normal 7 4 2 2 2 2 2" xfId="8437"/>
    <cellStyle name="Normal 7 4 2 2 2 2 3" xfId="12224"/>
    <cellStyle name="Normal 7 4 2 2 2 3" xfId="8438"/>
    <cellStyle name="Normal 7 4 2 2 2 3 2" xfId="8439"/>
    <cellStyle name="Normal 7 4 2 2 2 3 3" xfId="12225"/>
    <cellStyle name="Normal 7 4 2 2 2 4" xfId="8440"/>
    <cellStyle name="Normal 7 4 2 2 2 5" xfId="12226"/>
    <cellStyle name="Normal 7 4 2 2 3" xfId="8441"/>
    <cellStyle name="Normal 7 4 2 2 3 2" xfId="8442"/>
    <cellStyle name="Normal 7 4 2 2 3 3" xfId="12227"/>
    <cellStyle name="Normal 7 4 2 2 4" xfId="8443"/>
    <cellStyle name="Normal 7 4 2 2 4 2" xfId="8444"/>
    <cellStyle name="Normal 7 4 2 2 4 3" xfId="12228"/>
    <cellStyle name="Normal 7 4 2 2 5" xfId="8445"/>
    <cellStyle name="Normal 7 4 2 2 6" xfId="12229"/>
    <cellStyle name="Normal 7 4 2 3" xfId="8446"/>
    <cellStyle name="Normal 7 4 2 3 2" xfId="8447"/>
    <cellStyle name="Normal 7 4 2 3 2 2" xfId="8448"/>
    <cellStyle name="Normal 7 4 2 3 2 3" xfId="12230"/>
    <cellStyle name="Normal 7 4 2 3 3" xfId="8449"/>
    <cellStyle name="Normal 7 4 2 3 3 2" xfId="8450"/>
    <cellStyle name="Normal 7 4 2 3 3 3" xfId="12231"/>
    <cellStyle name="Normal 7 4 2 3 4" xfId="8451"/>
    <cellStyle name="Normal 7 4 2 3 5" xfId="12232"/>
    <cellStyle name="Normal 7 4 2 4" xfId="8452"/>
    <cellStyle name="Normal 7 4 2 4 2" xfId="8453"/>
    <cellStyle name="Normal 7 4 2 4 3" xfId="12233"/>
    <cellStyle name="Normal 7 4 2 5" xfId="8454"/>
    <cellStyle name="Normal 7 4 2 5 2" xfId="8455"/>
    <cellStyle name="Normal 7 4 2 5 3" xfId="12234"/>
    <cellStyle name="Normal 7 4 2 6" xfId="8456"/>
    <cellStyle name="Normal 7 4 2 7" xfId="12235"/>
    <cellStyle name="Normal 7 4 3" xfId="2493"/>
    <cellStyle name="Normal 7 4 3 2" xfId="8457"/>
    <cellStyle name="Normal 7 4 3 2 2" xfId="8458"/>
    <cellStyle name="Normal 7 4 3 2 2 2" xfId="8459"/>
    <cellStyle name="Normal 7 4 3 2 2 3" xfId="12236"/>
    <cellStyle name="Normal 7 4 3 2 3" xfId="8460"/>
    <cellStyle name="Normal 7 4 3 2 3 2" xfId="8461"/>
    <cellStyle name="Normal 7 4 3 2 3 3" xfId="12237"/>
    <cellStyle name="Normal 7 4 3 2 4" xfId="8462"/>
    <cellStyle name="Normal 7 4 3 2 5" xfId="12238"/>
    <cellStyle name="Normal 7 4 3 3" xfId="8463"/>
    <cellStyle name="Normal 7 4 3 3 2" xfId="8464"/>
    <cellStyle name="Normal 7 4 3 3 3" xfId="12239"/>
    <cellStyle name="Normal 7 4 3 4" xfId="8465"/>
    <cellStyle name="Normal 7 4 3 4 2" xfId="8466"/>
    <cellStyle name="Normal 7 4 3 4 3" xfId="12240"/>
    <cellStyle name="Normal 7 4 3 5" xfId="8467"/>
    <cellStyle name="Normal 7 4 3 6" xfId="12241"/>
    <cellStyle name="Normal 7 4 4" xfId="1473"/>
    <cellStyle name="Normal 7 4 4 2" xfId="8469"/>
    <cellStyle name="Normal 7 4 4 2 2" xfId="8470"/>
    <cellStyle name="Normal 7 4 4 2 3" xfId="12242"/>
    <cellStyle name="Normal 7 4 4 3" xfId="8471"/>
    <cellStyle name="Normal 7 4 4 3 2" xfId="8472"/>
    <cellStyle name="Normal 7 4 4 3 3" xfId="12243"/>
    <cellStyle name="Normal 7 4 4 4" xfId="8473"/>
    <cellStyle name="Normal 7 4 4 5" xfId="12244"/>
    <cellStyle name="Normal 7 4 4 6" xfId="8468"/>
    <cellStyle name="Normal 7 4 5" xfId="8474"/>
    <cellStyle name="Normal 7 4 5 2" xfId="8475"/>
    <cellStyle name="Normal 7 4 5 3" xfId="12245"/>
    <cellStyle name="Normal 7 4 6" xfId="8476"/>
    <cellStyle name="Normal 7 4 6 2" xfId="8477"/>
    <cellStyle name="Normal 7 4 6 3" xfId="12246"/>
    <cellStyle name="Normal 7 4 7" xfId="8478"/>
    <cellStyle name="Normal 7 4 8" xfId="12247"/>
    <cellStyle name="Normal 7 5" xfId="616"/>
    <cellStyle name="Normal 7 5 2" xfId="1163"/>
    <cellStyle name="Normal 7 5 2 2" xfId="3340"/>
    <cellStyle name="Normal 7 5 2 2 2" xfId="8479"/>
    <cellStyle name="Normal 7 5 2 2 2 2" xfId="8480"/>
    <cellStyle name="Normal 7 5 2 2 2 2 2" xfId="8481"/>
    <cellStyle name="Normal 7 5 2 2 2 2 3" xfId="12248"/>
    <cellStyle name="Normal 7 5 2 2 2 3" xfId="8482"/>
    <cellStyle name="Normal 7 5 2 2 2 3 2" xfId="8483"/>
    <cellStyle name="Normal 7 5 2 2 2 3 3" xfId="12249"/>
    <cellStyle name="Normal 7 5 2 2 2 4" xfId="8484"/>
    <cellStyle name="Normal 7 5 2 2 2 5" xfId="12250"/>
    <cellStyle name="Normal 7 5 2 2 3" xfId="8485"/>
    <cellStyle name="Normal 7 5 2 2 3 2" xfId="8486"/>
    <cellStyle name="Normal 7 5 2 2 3 3" xfId="12251"/>
    <cellStyle name="Normal 7 5 2 2 4" xfId="8487"/>
    <cellStyle name="Normal 7 5 2 2 4 2" xfId="8488"/>
    <cellStyle name="Normal 7 5 2 2 4 3" xfId="12252"/>
    <cellStyle name="Normal 7 5 2 2 5" xfId="8489"/>
    <cellStyle name="Normal 7 5 2 2 6" xfId="12253"/>
    <cellStyle name="Normal 7 5 2 3" xfId="8490"/>
    <cellStyle name="Normal 7 5 2 3 2" xfId="8491"/>
    <cellStyle name="Normal 7 5 2 3 2 2" xfId="8492"/>
    <cellStyle name="Normal 7 5 2 3 2 3" xfId="12254"/>
    <cellStyle name="Normal 7 5 2 3 3" xfId="8493"/>
    <cellStyle name="Normal 7 5 2 3 3 2" xfId="8494"/>
    <cellStyle name="Normal 7 5 2 3 3 3" xfId="12255"/>
    <cellStyle name="Normal 7 5 2 3 4" xfId="8495"/>
    <cellStyle name="Normal 7 5 2 3 5" xfId="12256"/>
    <cellStyle name="Normal 7 5 2 4" xfId="8496"/>
    <cellStyle name="Normal 7 5 2 4 2" xfId="8497"/>
    <cellStyle name="Normal 7 5 2 4 3" xfId="12257"/>
    <cellStyle name="Normal 7 5 2 5" xfId="8498"/>
    <cellStyle name="Normal 7 5 2 5 2" xfId="8499"/>
    <cellStyle name="Normal 7 5 2 5 3" xfId="12258"/>
    <cellStyle name="Normal 7 5 2 6" xfId="8500"/>
    <cellStyle name="Normal 7 5 2 7" xfId="12259"/>
    <cellStyle name="Normal 7 5 3" xfId="2494"/>
    <cellStyle name="Normal 7 5 3 2" xfId="8501"/>
    <cellStyle name="Normal 7 5 3 2 2" xfId="8502"/>
    <cellStyle name="Normal 7 5 3 2 2 2" xfId="8503"/>
    <cellStyle name="Normal 7 5 3 2 2 3" xfId="12260"/>
    <cellStyle name="Normal 7 5 3 2 3" xfId="8504"/>
    <cellStyle name="Normal 7 5 3 2 3 2" xfId="8505"/>
    <cellStyle name="Normal 7 5 3 2 3 3" xfId="12261"/>
    <cellStyle name="Normal 7 5 3 2 4" xfId="8506"/>
    <cellStyle name="Normal 7 5 3 2 5" xfId="12262"/>
    <cellStyle name="Normal 7 5 3 3" xfId="8507"/>
    <cellStyle name="Normal 7 5 3 3 2" xfId="8508"/>
    <cellStyle name="Normal 7 5 3 3 3" xfId="12263"/>
    <cellStyle name="Normal 7 5 3 4" xfId="8509"/>
    <cellStyle name="Normal 7 5 3 4 2" xfId="8510"/>
    <cellStyle name="Normal 7 5 3 4 3" xfId="12264"/>
    <cellStyle name="Normal 7 5 3 5" xfId="8511"/>
    <cellStyle name="Normal 7 5 3 6" xfId="12265"/>
    <cellStyle name="Normal 7 5 4" xfId="8512"/>
    <cellStyle name="Normal 7 5 4 2" xfId="8513"/>
    <cellStyle name="Normal 7 5 4 2 2" xfId="8514"/>
    <cellStyle name="Normal 7 5 4 2 3" xfId="12266"/>
    <cellStyle name="Normal 7 5 4 3" xfId="8515"/>
    <cellStyle name="Normal 7 5 4 3 2" xfId="8516"/>
    <cellStyle name="Normal 7 5 4 3 3" xfId="12267"/>
    <cellStyle name="Normal 7 5 4 4" xfId="8517"/>
    <cellStyle name="Normal 7 5 4 5" xfId="12268"/>
    <cellStyle name="Normal 7 5 5" xfId="8518"/>
    <cellStyle name="Normal 7 5 5 2" xfId="8519"/>
    <cellStyle name="Normal 7 5 5 3" xfId="12269"/>
    <cellStyle name="Normal 7 5 6" xfId="8520"/>
    <cellStyle name="Normal 7 5 6 2" xfId="8521"/>
    <cellStyle name="Normal 7 5 6 3" xfId="12270"/>
    <cellStyle name="Normal 7 5 7" xfId="8522"/>
    <cellStyle name="Normal 7 5 8" xfId="12271"/>
    <cellStyle name="Normal 7 6" xfId="1164"/>
    <cellStyle name="Normal 7 6 2" xfId="3341"/>
    <cellStyle name="Normal 7 6 2 2" xfId="8523"/>
    <cellStyle name="Normal 7 6 2 2 2" xfId="8524"/>
    <cellStyle name="Normal 7 6 2 2 2 2" xfId="8525"/>
    <cellStyle name="Normal 7 6 2 2 2 3" xfId="12272"/>
    <cellStyle name="Normal 7 6 2 2 3" xfId="8526"/>
    <cellStyle name="Normal 7 6 2 2 3 2" xfId="8527"/>
    <cellStyle name="Normal 7 6 2 2 3 3" xfId="12273"/>
    <cellStyle name="Normal 7 6 2 2 4" xfId="8528"/>
    <cellStyle name="Normal 7 6 2 2 5" xfId="12274"/>
    <cellStyle name="Normal 7 6 2 3" xfId="8529"/>
    <cellStyle name="Normal 7 6 2 3 2" xfId="8530"/>
    <cellStyle name="Normal 7 6 2 3 3" xfId="12275"/>
    <cellStyle name="Normal 7 6 2 4" xfId="8531"/>
    <cellStyle name="Normal 7 6 2 4 2" xfId="8532"/>
    <cellStyle name="Normal 7 6 2 4 3" xfId="12276"/>
    <cellStyle name="Normal 7 6 2 5" xfId="8533"/>
    <cellStyle name="Normal 7 6 2 6" xfId="12277"/>
    <cellStyle name="Normal 7 6 3" xfId="8534"/>
    <cellStyle name="Normal 7 6 3 2" xfId="8535"/>
    <cellStyle name="Normal 7 6 3 2 2" xfId="8536"/>
    <cellStyle name="Normal 7 6 3 2 3" xfId="12278"/>
    <cellStyle name="Normal 7 6 3 3" xfId="8537"/>
    <cellStyle name="Normal 7 6 3 3 2" xfId="8538"/>
    <cellStyle name="Normal 7 6 3 3 3" xfId="12279"/>
    <cellStyle name="Normal 7 6 3 4" xfId="8539"/>
    <cellStyle name="Normal 7 6 3 5" xfId="12280"/>
    <cellStyle name="Normal 7 6 4" xfId="8540"/>
    <cellStyle name="Normal 7 6 4 2" xfId="8541"/>
    <cellStyle name="Normal 7 6 4 3" xfId="12281"/>
    <cellStyle name="Normal 7 6 5" xfId="8542"/>
    <cellStyle name="Normal 7 6 5 2" xfId="8543"/>
    <cellStyle name="Normal 7 6 5 3" xfId="12282"/>
    <cellStyle name="Normal 7 6 6" xfId="8544"/>
    <cellStyle name="Normal 7 6 7" xfId="12283"/>
    <cellStyle name="Normal 7 7" xfId="2495"/>
    <cellStyle name="Normal 7 7 2" xfId="8545"/>
    <cellStyle name="Normal 7 7 2 2" xfId="8546"/>
    <cellStyle name="Normal 7 7 2 2 2" xfId="8547"/>
    <cellStyle name="Normal 7 7 2 2 3" xfId="12284"/>
    <cellStyle name="Normal 7 7 2 3" xfId="8548"/>
    <cellStyle name="Normal 7 7 2 3 2" xfId="8549"/>
    <cellStyle name="Normal 7 7 2 3 3" xfId="12285"/>
    <cellStyle name="Normal 7 7 2 4" xfId="8550"/>
    <cellStyle name="Normal 7 7 2 5" xfId="12286"/>
    <cellStyle name="Normal 7 7 3" xfId="8551"/>
    <cellStyle name="Normal 7 7 3 2" xfId="8552"/>
    <cellStyle name="Normal 7 7 3 3" xfId="12287"/>
    <cellStyle name="Normal 7 7 4" xfId="8553"/>
    <cellStyle name="Normal 7 7 4 2" xfId="8554"/>
    <cellStyle name="Normal 7 7 4 3" xfId="12288"/>
    <cellStyle name="Normal 7 7 5" xfId="8555"/>
    <cellStyle name="Normal 7 7 6" xfId="12289"/>
    <cellStyle name="Normal 7 8" xfId="2496"/>
    <cellStyle name="Normal 7 8 2" xfId="8556"/>
    <cellStyle name="Normal 7 8 2 2" xfId="8557"/>
    <cellStyle name="Normal 7 8 2 3" xfId="12290"/>
    <cellStyle name="Normal 7 8 3" xfId="8558"/>
    <cellStyle name="Normal 7 8 3 2" xfId="8559"/>
    <cellStyle name="Normal 7 8 3 3" xfId="12291"/>
    <cellStyle name="Normal 7 8 4" xfId="8560"/>
    <cellStyle name="Normal 7 8 5" xfId="12292"/>
    <cellStyle name="Normal 7 9" xfId="2497"/>
    <cellStyle name="Normal 7 9 2" xfId="8561"/>
    <cellStyle name="Normal 7 9 3" xfId="12293"/>
    <cellStyle name="Normal 7_2112 Salary" xfId="620"/>
    <cellStyle name="Normal 70" xfId="1165"/>
    <cellStyle name="Normal 70 2" xfId="1166"/>
    <cellStyle name="Normal 70 3" xfId="1167"/>
    <cellStyle name="Normal 71" xfId="1168"/>
    <cellStyle name="Normal 72" xfId="1169"/>
    <cellStyle name="Normal 72 2" xfId="3342"/>
    <cellStyle name="Normal 72 2 2" xfId="8562"/>
    <cellStyle name="Normal 72 2 2 2" xfId="8563"/>
    <cellStyle name="Normal 72 2 2 2 2" xfId="8564"/>
    <cellStyle name="Normal 72 2 2 2 3" xfId="12294"/>
    <cellStyle name="Normal 72 2 2 3" xfId="8565"/>
    <cellStyle name="Normal 72 2 2 3 2" xfId="8566"/>
    <cellStyle name="Normal 72 2 2 3 3" xfId="12295"/>
    <cellStyle name="Normal 72 2 2 4" xfId="8567"/>
    <cellStyle name="Normal 72 2 2 5" xfId="12296"/>
    <cellStyle name="Normal 72 2 3" xfId="8568"/>
    <cellStyle name="Normal 72 2 3 2" xfId="8569"/>
    <cellStyle name="Normal 72 2 3 3" xfId="12297"/>
    <cellStyle name="Normal 72 2 4" xfId="8570"/>
    <cellStyle name="Normal 72 2 4 2" xfId="8571"/>
    <cellStyle name="Normal 72 2 4 3" xfId="12298"/>
    <cellStyle name="Normal 72 2 5" xfId="8572"/>
    <cellStyle name="Normal 72 2 6" xfId="12299"/>
    <cellStyle name="Normal 72 3" xfId="8573"/>
    <cellStyle name="Normal 72 3 2" xfId="8574"/>
    <cellStyle name="Normal 72 3 2 2" xfId="8575"/>
    <cellStyle name="Normal 72 3 2 3" xfId="12300"/>
    <cellStyle name="Normal 72 3 3" xfId="8576"/>
    <cellStyle name="Normal 72 3 3 2" xfId="8577"/>
    <cellStyle name="Normal 72 3 3 3" xfId="12301"/>
    <cellStyle name="Normal 72 3 4" xfId="8578"/>
    <cellStyle name="Normal 72 3 5" xfId="12302"/>
    <cellStyle name="Normal 72 4" xfId="8579"/>
    <cellStyle name="Normal 72 4 2" xfId="8580"/>
    <cellStyle name="Normal 72 4 3" xfId="12303"/>
    <cellStyle name="Normal 72 5" xfId="8581"/>
    <cellStyle name="Normal 72 5 2" xfId="8582"/>
    <cellStyle name="Normal 72 5 3" xfId="12304"/>
    <cellStyle name="Normal 72 6" xfId="8583"/>
    <cellStyle name="Normal 72 7" xfId="12305"/>
    <cellStyle name="Normal 73" xfId="1170"/>
    <cellStyle name="Normal 73 2" xfId="3343"/>
    <cellStyle name="Normal 74" xfId="1171"/>
    <cellStyle name="Normal 75" xfId="1172"/>
    <cellStyle name="Normal 76" xfId="1173"/>
    <cellStyle name="Normal 77" xfId="1174"/>
    <cellStyle name="Normal 78" xfId="1175"/>
    <cellStyle name="Normal 79" xfId="1176"/>
    <cellStyle name="Normal 8" xfId="55"/>
    <cellStyle name="Normal 8 10" xfId="8584"/>
    <cellStyle name="Normal 8 11" xfId="12306"/>
    <cellStyle name="Normal 8 2" xfId="56"/>
    <cellStyle name="Normal 8 2 2" xfId="622"/>
    <cellStyle name="Normal 8 2 2 2" xfId="1177"/>
    <cellStyle name="Normal 8 2 2 2 2" xfId="1178"/>
    <cellStyle name="Normal 8 2 2 2 2 2" xfId="8585"/>
    <cellStyle name="Normal 8 2 2 2 2 2 2" xfId="8586"/>
    <cellStyle name="Normal 8 2 2 2 2 2 2 2" xfId="8587"/>
    <cellStyle name="Normal 8 2 2 2 2 2 2 3" xfId="12307"/>
    <cellStyle name="Normal 8 2 2 2 2 2 3" xfId="8588"/>
    <cellStyle name="Normal 8 2 2 2 2 2 3 2" xfId="8589"/>
    <cellStyle name="Normal 8 2 2 2 2 2 3 3" xfId="12308"/>
    <cellStyle name="Normal 8 2 2 2 2 2 4" xfId="8590"/>
    <cellStyle name="Normal 8 2 2 2 2 2 5" xfId="12309"/>
    <cellStyle name="Normal 8 2 2 2 2 3" xfId="8591"/>
    <cellStyle name="Normal 8 2 2 2 2 3 2" xfId="8592"/>
    <cellStyle name="Normal 8 2 2 2 2 3 3" xfId="12310"/>
    <cellStyle name="Normal 8 2 2 2 2 4" xfId="8593"/>
    <cellStyle name="Normal 8 2 2 2 2 4 2" xfId="8594"/>
    <cellStyle name="Normal 8 2 2 2 2 4 3" xfId="12311"/>
    <cellStyle name="Normal 8 2 2 2 2 5" xfId="8595"/>
    <cellStyle name="Normal 8 2 2 2 2 6" xfId="12312"/>
    <cellStyle name="Normal 8 2 2 2 3" xfId="8596"/>
    <cellStyle name="Normal 8 2 2 2 3 2" xfId="8597"/>
    <cellStyle name="Normal 8 2 2 2 3 2 2" xfId="8598"/>
    <cellStyle name="Normal 8 2 2 2 3 2 3" xfId="12313"/>
    <cellStyle name="Normal 8 2 2 2 3 3" xfId="8599"/>
    <cellStyle name="Normal 8 2 2 2 3 3 2" xfId="8600"/>
    <cellStyle name="Normal 8 2 2 2 3 3 3" xfId="12314"/>
    <cellStyle name="Normal 8 2 2 2 3 4" xfId="8601"/>
    <cellStyle name="Normal 8 2 2 2 3 5" xfId="12315"/>
    <cellStyle name="Normal 8 2 2 2 4" xfId="8602"/>
    <cellStyle name="Normal 8 2 2 2 4 2" xfId="8603"/>
    <cellStyle name="Normal 8 2 2 2 4 3" xfId="12316"/>
    <cellStyle name="Normal 8 2 2 2 5" xfId="8604"/>
    <cellStyle name="Normal 8 2 2 2 5 2" xfId="8605"/>
    <cellStyle name="Normal 8 2 2 2 5 3" xfId="12317"/>
    <cellStyle name="Normal 8 2 2 2 6" xfId="8606"/>
    <cellStyle name="Normal 8 2 2 2 7" xfId="12318"/>
    <cellStyle name="Normal 8 2 2 2 8" xfId="2933"/>
    <cellStyle name="Normal 8 2 2 3" xfId="2498"/>
    <cellStyle name="Normal 8 2 2 3 2" xfId="8607"/>
    <cellStyle name="Normal 8 2 2 3 2 2" xfId="8608"/>
    <cellStyle name="Normal 8 2 2 3 2 2 2" xfId="8609"/>
    <cellStyle name="Normal 8 2 2 3 2 2 3" xfId="12319"/>
    <cellStyle name="Normal 8 2 2 3 2 3" xfId="8610"/>
    <cellStyle name="Normal 8 2 2 3 2 3 2" xfId="8611"/>
    <cellStyle name="Normal 8 2 2 3 2 3 3" xfId="12320"/>
    <cellStyle name="Normal 8 2 2 3 2 4" xfId="8612"/>
    <cellStyle name="Normal 8 2 2 3 2 5" xfId="12321"/>
    <cellStyle name="Normal 8 2 2 3 3" xfId="8613"/>
    <cellStyle name="Normal 8 2 2 3 3 2" xfId="8614"/>
    <cellStyle name="Normal 8 2 2 3 3 3" xfId="12322"/>
    <cellStyle name="Normal 8 2 2 3 4" xfId="8615"/>
    <cellStyle name="Normal 8 2 2 3 4 2" xfId="8616"/>
    <cellStyle name="Normal 8 2 2 3 4 3" xfId="12323"/>
    <cellStyle name="Normal 8 2 2 3 5" xfId="8617"/>
    <cellStyle name="Normal 8 2 2 3 6" xfId="12324"/>
    <cellStyle name="Normal 8 2 2 4" xfId="8618"/>
    <cellStyle name="Normal 8 2 2 4 2" xfId="8619"/>
    <cellStyle name="Normal 8 2 2 4 2 2" xfId="8620"/>
    <cellStyle name="Normal 8 2 2 4 2 3" xfId="12325"/>
    <cellStyle name="Normal 8 2 2 4 3" xfId="8621"/>
    <cellStyle name="Normal 8 2 2 4 3 2" xfId="8622"/>
    <cellStyle name="Normal 8 2 2 4 3 3" xfId="12326"/>
    <cellStyle name="Normal 8 2 2 4 4" xfId="8623"/>
    <cellStyle name="Normal 8 2 2 4 5" xfId="12327"/>
    <cellStyle name="Normal 8 2 2 5" xfId="8624"/>
    <cellStyle name="Normal 8 2 2 5 2" xfId="8625"/>
    <cellStyle name="Normal 8 2 2 5 3" xfId="12328"/>
    <cellStyle name="Normal 8 2 2 6" xfId="8626"/>
    <cellStyle name="Normal 8 2 2 6 2" xfId="8627"/>
    <cellStyle name="Normal 8 2 2 6 3" xfId="12329"/>
    <cellStyle name="Normal 8 2 2 7" xfId="8628"/>
    <cellStyle name="Normal 8 2 2 8" xfId="12330"/>
    <cellStyle name="Normal 8 2 3" xfId="621"/>
    <cellStyle name="Normal 8 2 3 2" xfId="2499"/>
    <cellStyle name="Normal 8 2 3 2 2" xfId="8629"/>
    <cellStyle name="Normal 8 2 3 2 2 2" xfId="8630"/>
    <cellStyle name="Normal 8 2 3 2 2 2 2" xfId="8631"/>
    <cellStyle name="Normal 8 2 3 2 2 2 3" xfId="12331"/>
    <cellStyle name="Normal 8 2 3 2 2 3" xfId="8632"/>
    <cellStyle name="Normal 8 2 3 2 2 3 2" xfId="8633"/>
    <cellStyle name="Normal 8 2 3 2 2 3 3" xfId="12332"/>
    <cellStyle name="Normal 8 2 3 2 2 4" xfId="8634"/>
    <cellStyle name="Normal 8 2 3 2 2 5" xfId="12333"/>
    <cellStyle name="Normal 8 2 3 2 3" xfId="8635"/>
    <cellStyle name="Normal 8 2 3 2 3 2" xfId="8636"/>
    <cellStyle name="Normal 8 2 3 2 3 3" xfId="12334"/>
    <cellStyle name="Normal 8 2 3 2 4" xfId="8637"/>
    <cellStyle name="Normal 8 2 3 2 4 2" xfId="8638"/>
    <cellStyle name="Normal 8 2 3 2 4 3" xfId="12335"/>
    <cellStyle name="Normal 8 2 3 2 5" xfId="8639"/>
    <cellStyle name="Normal 8 2 3 2 6" xfId="12336"/>
    <cellStyle name="Normal 8 2 3 3" xfId="2500"/>
    <cellStyle name="Normal 8 2 3 3 2" xfId="8640"/>
    <cellStyle name="Normal 8 2 3 3 2 2" xfId="8641"/>
    <cellStyle name="Normal 8 2 3 3 2 3" xfId="12337"/>
    <cellStyle name="Normal 8 2 3 3 3" xfId="8642"/>
    <cellStyle name="Normal 8 2 3 3 3 2" xfId="8643"/>
    <cellStyle name="Normal 8 2 3 3 3 3" xfId="12338"/>
    <cellStyle name="Normal 8 2 3 3 4" xfId="8644"/>
    <cellStyle name="Normal 8 2 3 3 5" xfId="12339"/>
    <cellStyle name="Normal 8 2 3 4" xfId="1444"/>
    <cellStyle name="Normal 8 2 3 4 2" xfId="8646"/>
    <cellStyle name="Normal 8 2 3 4 3" xfId="12340"/>
    <cellStyle name="Normal 8 2 3 4 4" xfId="8645"/>
    <cellStyle name="Normal 8 2 3 5" xfId="8647"/>
    <cellStyle name="Normal 8 2 3 5 2" xfId="8648"/>
    <cellStyle name="Normal 8 2 3 5 3" xfId="12341"/>
    <cellStyle name="Normal 8 2 3 6" xfId="8649"/>
    <cellStyle name="Normal 8 2 3 7" xfId="12342"/>
    <cellStyle name="Normal 8 2 4" xfId="2501"/>
    <cellStyle name="Normal 8 2 4 2" xfId="8650"/>
    <cellStyle name="Normal 8 2 4 2 2" xfId="8651"/>
    <cellStyle name="Normal 8 2 4 2 2 2" xfId="8652"/>
    <cellStyle name="Normal 8 2 4 2 2 3" xfId="12343"/>
    <cellStyle name="Normal 8 2 4 2 3" xfId="8653"/>
    <cellStyle name="Normal 8 2 4 2 3 2" xfId="8654"/>
    <cellStyle name="Normal 8 2 4 2 3 3" xfId="12344"/>
    <cellStyle name="Normal 8 2 4 2 4" xfId="8655"/>
    <cellStyle name="Normal 8 2 4 2 5" xfId="12345"/>
    <cellStyle name="Normal 8 2 4 3" xfId="8656"/>
    <cellStyle name="Normal 8 2 4 3 2" xfId="8657"/>
    <cellStyle name="Normal 8 2 4 3 3" xfId="12346"/>
    <cellStyle name="Normal 8 2 4 4" xfId="8658"/>
    <cellStyle name="Normal 8 2 4 4 2" xfId="8659"/>
    <cellStyle name="Normal 8 2 4 4 3" xfId="12347"/>
    <cellStyle name="Normal 8 2 4 5" xfId="8660"/>
    <cellStyle name="Normal 8 2 4 6" xfId="12348"/>
    <cellStyle name="Normal 8 2 5" xfId="2502"/>
    <cellStyle name="Normal 8 2 5 2" xfId="8661"/>
    <cellStyle name="Normal 8 2 5 2 2" xfId="8662"/>
    <cellStyle name="Normal 8 2 5 2 3" xfId="12349"/>
    <cellStyle name="Normal 8 2 5 3" xfId="8663"/>
    <cellStyle name="Normal 8 2 5 3 2" xfId="8664"/>
    <cellStyle name="Normal 8 2 5 3 3" xfId="12350"/>
    <cellStyle name="Normal 8 2 5 4" xfId="8665"/>
    <cellStyle name="Normal 8 2 5 5" xfId="12351"/>
    <cellStyle name="Normal 8 2 6" xfId="2503"/>
    <cellStyle name="Normal 8 2 6 2" xfId="8666"/>
    <cellStyle name="Normal 8 2 6 3" xfId="12352"/>
    <cellStyle name="Normal 8 2 7" xfId="8667"/>
    <cellStyle name="Normal 8 2 7 2" xfId="8668"/>
    <cellStyle name="Normal 8 2 7 3" xfId="12353"/>
    <cellStyle name="Normal 8 2 8" xfId="8669"/>
    <cellStyle name="Normal 8 2 9" xfId="12354"/>
    <cellStyle name="Normal 8 3" xfId="221"/>
    <cellStyle name="Normal 8 3 2" xfId="623"/>
    <cellStyle name="Normal 8 3 2 2" xfId="2505"/>
    <cellStyle name="Normal 8 3 2 2 2" xfId="8670"/>
    <cellStyle name="Normal 8 3 2 2 2 2" xfId="8671"/>
    <cellStyle name="Normal 8 3 2 2 2 2 2" xfId="8672"/>
    <cellStyle name="Normal 8 3 2 2 2 2 3" xfId="12355"/>
    <cellStyle name="Normal 8 3 2 2 2 3" xfId="8673"/>
    <cellStyle name="Normal 8 3 2 2 2 3 2" xfId="8674"/>
    <cellStyle name="Normal 8 3 2 2 2 3 3" xfId="12356"/>
    <cellStyle name="Normal 8 3 2 2 2 4" xfId="8675"/>
    <cellStyle name="Normal 8 3 2 2 2 5" xfId="12357"/>
    <cellStyle name="Normal 8 3 2 2 3" xfId="8676"/>
    <cellStyle name="Normal 8 3 2 2 3 2" xfId="8677"/>
    <cellStyle name="Normal 8 3 2 2 3 3" xfId="12358"/>
    <cellStyle name="Normal 8 3 2 2 4" xfId="8678"/>
    <cellStyle name="Normal 8 3 2 2 4 2" xfId="8679"/>
    <cellStyle name="Normal 8 3 2 2 4 3" xfId="12359"/>
    <cellStyle name="Normal 8 3 2 2 5" xfId="8680"/>
    <cellStyle name="Normal 8 3 2 2 6" xfId="12360"/>
    <cellStyle name="Normal 8 3 2 3" xfId="2504"/>
    <cellStyle name="Normal 8 3 2 3 2" xfId="8681"/>
    <cellStyle name="Normal 8 3 2 3 2 2" xfId="8682"/>
    <cellStyle name="Normal 8 3 2 3 2 3" xfId="12361"/>
    <cellStyle name="Normal 8 3 2 3 3" xfId="8683"/>
    <cellStyle name="Normal 8 3 2 3 3 2" xfId="8684"/>
    <cellStyle name="Normal 8 3 2 3 3 3" xfId="12362"/>
    <cellStyle name="Normal 8 3 2 3 4" xfId="8685"/>
    <cellStyle name="Normal 8 3 2 3 5" xfId="12363"/>
    <cellStyle name="Normal 8 3 2 4" xfId="8686"/>
    <cellStyle name="Normal 8 3 2 4 2" xfId="8687"/>
    <cellStyle name="Normal 8 3 2 4 3" xfId="12364"/>
    <cellStyle name="Normal 8 3 2 5" xfId="8688"/>
    <cellStyle name="Normal 8 3 2 5 2" xfId="8689"/>
    <cellStyle name="Normal 8 3 2 5 3" xfId="12365"/>
    <cellStyle name="Normal 8 3 2 6" xfId="8690"/>
    <cellStyle name="Normal 8 3 2 7" xfId="12366"/>
    <cellStyle name="Normal 8 3 3" xfId="2506"/>
    <cellStyle name="Normal 8 3 3 2" xfId="8691"/>
    <cellStyle name="Normal 8 3 3 2 2" xfId="8692"/>
    <cellStyle name="Normal 8 3 3 2 2 2" xfId="8693"/>
    <cellStyle name="Normal 8 3 3 2 2 3" xfId="12367"/>
    <cellStyle name="Normal 8 3 3 2 3" xfId="8694"/>
    <cellStyle name="Normal 8 3 3 2 3 2" xfId="8695"/>
    <cellStyle name="Normal 8 3 3 2 3 3" xfId="12368"/>
    <cellStyle name="Normal 8 3 3 2 4" xfId="8696"/>
    <cellStyle name="Normal 8 3 3 2 5" xfId="12369"/>
    <cellStyle name="Normal 8 3 3 3" xfId="8697"/>
    <cellStyle name="Normal 8 3 3 3 2" xfId="8698"/>
    <cellStyle name="Normal 8 3 3 3 3" xfId="12370"/>
    <cellStyle name="Normal 8 3 3 4" xfId="8699"/>
    <cellStyle name="Normal 8 3 3 4 2" xfId="8700"/>
    <cellStyle name="Normal 8 3 3 4 3" xfId="12371"/>
    <cellStyle name="Normal 8 3 3 5" xfId="8701"/>
    <cellStyle name="Normal 8 3 3 6" xfId="12372"/>
    <cellStyle name="Normal 8 3 4" xfId="2507"/>
    <cellStyle name="Normal 8 3 4 2" xfId="8702"/>
    <cellStyle name="Normal 8 3 4 2 2" xfId="8703"/>
    <cellStyle name="Normal 8 3 4 2 3" xfId="12373"/>
    <cellStyle name="Normal 8 3 4 3" xfId="8704"/>
    <cellStyle name="Normal 8 3 4 3 2" xfId="8705"/>
    <cellStyle name="Normal 8 3 4 3 3" xfId="12374"/>
    <cellStyle name="Normal 8 3 4 4" xfId="8706"/>
    <cellStyle name="Normal 8 3 4 5" xfId="12375"/>
    <cellStyle name="Normal 8 3 5" xfId="2508"/>
    <cellStyle name="Normal 8 3 5 2" xfId="8707"/>
    <cellStyle name="Normal 8 3 5 3" xfId="12376"/>
    <cellStyle name="Normal 8 3 6" xfId="8708"/>
    <cellStyle name="Normal 8 3 6 2" xfId="8709"/>
    <cellStyle name="Normal 8 3 6 3" xfId="12377"/>
    <cellStyle name="Normal 8 3 7" xfId="8710"/>
    <cellStyle name="Normal 8 3 8" xfId="12378"/>
    <cellStyle name="Normal 8 4" xfId="624"/>
    <cellStyle name="Normal 8 4 2" xfId="1179"/>
    <cellStyle name="Normal 8 4 2 2" xfId="3344"/>
    <cellStyle name="Normal 8 4 2 2 2" xfId="8711"/>
    <cellStyle name="Normal 8 4 2 2 2 2" xfId="8712"/>
    <cellStyle name="Normal 8 4 2 2 2 2 2" xfId="8713"/>
    <cellStyle name="Normal 8 4 2 2 2 2 3" xfId="12379"/>
    <cellStyle name="Normal 8 4 2 2 2 3" xfId="8714"/>
    <cellStyle name="Normal 8 4 2 2 2 3 2" xfId="8715"/>
    <cellStyle name="Normal 8 4 2 2 2 3 3" xfId="12380"/>
    <cellStyle name="Normal 8 4 2 2 2 4" xfId="8716"/>
    <cellStyle name="Normal 8 4 2 2 2 5" xfId="12381"/>
    <cellStyle name="Normal 8 4 2 2 3" xfId="8717"/>
    <cellStyle name="Normal 8 4 2 2 3 2" xfId="8718"/>
    <cellStyle name="Normal 8 4 2 2 3 3" xfId="12382"/>
    <cellStyle name="Normal 8 4 2 2 4" xfId="8719"/>
    <cellStyle name="Normal 8 4 2 2 4 2" xfId="8720"/>
    <cellStyle name="Normal 8 4 2 2 4 3" xfId="12383"/>
    <cellStyle name="Normal 8 4 2 2 5" xfId="8721"/>
    <cellStyle name="Normal 8 4 2 2 6" xfId="12384"/>
    <cellStyle name="Normal 8 4 2 3" xfId="8722"/>
    <cellStyle name="Normal 8 4 2 3 2" xfId="8723"/>
    <cellStyle name="Normal 8 4 2 3 2 2" xfId="8724"/>
    <cellStyle name="Normal 8 4 2 3 2 3" xfId="12385"/>
    <cellStyle name="Normal 8 4 2 3 3" xfId="8725"/>
    <cellStyle name="Normal 8 4 2 3 3 2" xfId="8726"/>
    <cellStyle name="Normal 8 4 2 3 3 3" xfId="12386"/>
    <cellStyle name="Normal 8 4 2 3 4" xfId="8727"/>
    <cellStyle name="Normal 8 4 2 3 5" xfId="12387"/>
    <cellStyle name="Normal 8 4 2 4" xfId="8728"/>
    <cellStyle name="Normal 8 4 2 4 2" xfId="8729"/>
    <cellStyle name="Normal 8 4 2 4 3" xfId="12388"/>
    <cellStyle name="Normal 8 4 2 5" xfId="8730"/>
    <cellStyle name="Normal 8 4 2 5 2" xfId="8731"/>
    <cellStyle name="Normal 8 4 2 5 3" xfId="12389"/>
    <cellStyle name="Normal 8 4 2 6" xfId="8732"/>
    <cellStyle name="Normal 8 4 2 7" xfId="12390"/>
    <cellStyle name="Normal 8 4 3" xfId="2509"/>
    <cellStyle name="Normal 8 4 3 2" xfId="8733"/>
    <cellStyle name="Normal 8 4 3 2 2" xfId="8734"/>
    <cellStyle name="Normal 8 4 3 2 2 2" xfId="8735"/>
    <cellStyle name="Normal 8 4 3 2 2 3" xfId="12391"/>
    <cellStyle name="Normal 8 4 3 2 3" xfId="8736"/>
    <cellStyle name="Normal 8 4 3 2 3 2" xfId="8737"/>
    <cellStyle name="Normal 8 4 3 2 3 3" xfId="12392"/>
    <cellStyle name="Normal 8 4 3 2 4" xfId="8738"/>
    <cellStyle name="Normal 8 4 3 2 5" xfId="12393"/>
    <cellStyle name="Normal 8 4 3 3" xfId="8739"/>
    <cellStyle name="Normal 8 4 3 3 2" xfId="8740"/>
    <cellStyle name="Normal 8 4 3 3 3" xfId="12394"/>
    <cellStyle name="Normal 8 4 3 4" xfId="8741"/>
    <cellStyle name="Normal 8 4 3 4 2" xfId="8742"/>
    <cellStyle name="Normal 8 4 3 4 3" xfId="12395"/>
    <cellStyle name="Normal 8 4 3 5" xfId="8743"/>
    <cellStyle name="Normal 8 4 3 6" xfId="12396"/>
    <cellStyle name="Normal 8 4 4" xfId="1474"/>
    <cellStyle name="Normal 8 4 4 2" xfId="8745"/>
    <cellStyle name="Normal 8 4 4 2 2" xfId="8746"/>
    <cellStyle name="Normal 8 4 4 2 3" xfId="12397"/>
    <cellStyle name="Normal 8 4 4 3" xfId="8747"/>
    <cellStyle name="Normal 8 4 4 3 2" xfId="8748"/>
    <cellStyle name="Normal 8 4 4 3 3" xfId="12398"/>
    <cellStyle name="Normal 8 4 4 4" xfId="8749"/>
    <cellStyle name="Normal 8 4 4 5" xfId="12399"/>
    <cellStyle name="Normal 8 4 4 6" xfId="8744"/>
    <cellStyle name="Normal 8 4 5" xfId="8750"/>
    <cellStyle name="Normal 8 4 5 2" xfId="8751"/>
    <cellStyle name="Normal 8 4 5 3" xfId="12400"/>
    <cellStyle name="Normal 8 4 6" xfId="8752"/>
    <cellStyle name="Normal 8 4 6 2" xfId="8753"/>
    <cellStyle name="Normal 8 4 6 3" xfId="12401"/>
    <cellStyle name="Normal 8 4 7" xfId="8754"/>
    <cellStyle name="Normal 8 4 8" xfId="12402"/>
    <cellStyle name="Normal 8 5" xfId="625"/>
    <cellStyle name="Normal 8 5 2" xfId="2510"/>
    <cellStyle name="Normal 8 5 2 2" xfId="8755"/>
    <cellStyle name="Normal 8 5 2 2 2" xfId="8756"/>
    <cellStyle name="Normal 8 5 2 2 2 2" xfId="8757"/>
    <cellStyle name="Normal 8 5 2 2 2 3" xfId="12403"/>
    <cellStyle name="Normal 8 5 2 2 3" xfId="8758"/>
    <cellStyle name="Normal 8 5 2 2 3 2" xfId="8759"/>
    <cellStyle name="Normal 8 5 2 2 3 3" xfId="12404"/>
    <cellStyle name="Normal 8 5 2 2 4" xfId="8760"/>
    <cellStyle name="Normal 8 5 2 2 5" xfId="12405"/>
    <cellStyle name="Normal 8 5 2 3" xfId="8761"/>
    <cellStyle name="Normal 8 5 2 3 2" xfId="8762"/>
    <cellStyle name="Normal 8 5 2 3 3" xfId="12406"/>
    <cellStyle name="Normal 8 5 2 4" xfId="8763"/>
    <cellStyle name="Normal 8 5 2 4 2" xfId="8764"/>
    <cellStyle name="Normal 8 5 2 4 3" xfId="12407"/>
    <cellStyle name="Normal 8 5 2 5" xfId="8765"/>
    <cellStyle name="Normal 8 5 2 6" xfId="12408"/>
    <cellStyle name="Normal 8 5 3" xfId="2511"/>
    <cellStyle name="Normal 8 5 3 2" xfId="8766"/>
    <cellStyle name="Normal 8 5 3 2 2" xfId="8767"/>
    <cellStyle name="Normal 8 5 3 2 3" xfId="12409"/>
    <cellStyle name="Normal 8 5 3 3" xfId="8768"/>
    <cellStyle name="Normal 8 5 3 3 2" xfId="8769"/>
    <cellStyle name="Normal 8 5 3 3 3" xfId="12410"/>
    <cellStyle name="Normal 8 5 3 4" xfId="8770"/>
    <cellStyle name="Normal 8 5 3 5" xfId="12411"/>
    <cellStyle name="Normal 8 5 4" xfId="8771"/>
    <cellStyle name="Normal 8 5 4 2" xfId="8772"/>
    <cellStyle name="Normal 8 5 4 3" xfId="12412"/>
    <cellStyle name="Normal 8 5 5" xfId="8773"/>
    <cellStyle name="Normal 8 5 5 2" xfId="8774"/>
    <cellStyle name="Normal 8 5 5 3" xfId="12413"/>
    <cellStyle name="Normal 8 5 6" xfId="8775"/>
    <cellStyle name="Normal 8 5 7" xfId="12414"/>
    <cellStyle name="Normal 8 6" xfId="2512"/>
    <cellStyle name="Normal 8 6 2" xfId="8776"/>
    <cellStyle name="Normal 8 6 2 2" xfId="8777"/>
    <cellStyle name="Normal 8 6 2 2 2" xfId="8778"/>
    <cellStyle name="Normal 8 6 2 2 3" xfId="12415"/>
    <cellStyle name="Normal 8 6 2 3" xfId="8779"/>
    <cellStyle name="Normal 8 6 2 3 2" xfId="8780"/>
    <cellStyle name="Normal 8 6 2 3 3" xfId="12416"/>
    <cellStyle name="Normal 8 6 2 4" xfId="8781"/>
    <cellStyle name="Normal 8 6 2 5" xfId="12417"/>
    <cellStyle name="Normal 8 6 3" xfId="8782"/>
    <cellStyle name="Normal 8 6 3 2" xfId="8783"/>
    <cellStyle name="Normal 8 6 3 3" xfId="12418"/>
    <cellStyle name="Normal 8 6 4" xfId="8784"/>
    <cellStyle name="Normal 8 6 4 2" xfId="8785"/>
    <cellStyle name="Normal 8 6 4 3" xfId="12419"/>
    <cellStyle name="Normal 8 6 5" xfId="8786"/>
    <cellStyle name="Normal 8 6 6" xfId="12420"/>
    <cellStyle name="Normal 8 7" xfId="2513"/>
    <cellStyle name="Normal 8 7 2" xfId="8787"/>
    <cellStyle name="Normal 8 7 2 2" xfId="8788"/>
    <cellStyle name="Normal 8 7 2 3" xfId="12421"/>
    <cellStyle name="Normal 8 7 3" xfId="8789"/>
    <cellStyle name="Normal 8 7 3 2" xfId="8790"/>
    <cellStyle name="Normal 8 7 3 3" xfId="12422"/>
    <cellStyle name="Normal 8 7 4" xfId="8791"/>
    <cellStyle name="Normal 8 7 5" xfId="12423"/>
    <cellStyle name="Normal 8 8" xfId="2514"/>
    <cellStyle name="Normal 8 8 2" xfId="8792"/>
    <cellStyle name="Normal 8 8 3" xfId="12424"/>
    <cellStyle name="Normal 8 9" xfId="2515"/>
    <cellStyle name="Normal 8 9 2" xfId="8793"/>
    <cellStyle name="Normal 8 9 3" xfId="12425"/>
    <cellStyle name="Normal 8_2112 Salary" xfId="626"/>
    <cellStyle name="Normal 80" xfId="1180"/>
    <cellStyle name="Normal 81" xfId="1181"/>
    <cellStyle name="Normal 81 2" xfId="8794"/>
    <cellStyle name="Normal 81 2 2" xfId="8795"/>
    <cellStyle name="Normal 81 2 2 2" xfId="8796"/>
    <cellStyle name="Normal 81 2 2 3" xfId="12426"/>
    <cellStyle name="Normal 81 2 3" xfId="8797"/>
    <cellStyle name="Normal 81 2 3 2" xfId="8798"/>
    <cellStyle name="Normal 81 2 3 3" xfId="12427"/>
    <cellStyle name="Normal 81 2 4" xfId="8799"/>
    <cellStyle name="Normal 81 2 5" xfId="12428"/>
    <cellStyle name="Normal 81 3" xfId="8800"/>
    <cellStyle name="Normal 81 3 2" xfId="8801"/>
    <cellStyle name="Normal 81 3 3" xfId="12429"/>
    <cellStyle name="Normal 81 4" xfId="8802"/>
    <cellStyle name="Normal 81 4 2" xfId="8803"/>
    <cellStyle name="Normal 81 4 3" xfId="12430"/>
    <cellStyle name="Normal 81 5" xfId="8804"/>
    <cellStyle name="Normal 81 6" xfId="12431"/>
    <cellStyle name="Normal 82" xfId="1182"/>
    <cellStyle name="Normal 82 2" xfId="8805"/>
    <cellStyle name="Normal 82 2 2" xfId="8806"/>
    <cellStyle name="Normal 82 2 2 2" xfId="8807"/>
    <cellStyle name="Normal 82 2 2 3" xfId="12432"/>
    <cellStyle name="Normal 82 2 3" xfId="8808"/>
    <cellStyle name="Normal 82 2 3 2" xfId="8809"/>
    <cellStyle name="Normal 82 2 3 3" xfId="12433"/>
    <cellStyle name="Normal 82 2 4" xfId="8810"/>
    <cellStyle name="Normal 82 2 5" xfId="12434"/>
    <cellStyle name="Normal 82 3" xfId="8811"/>
    <cellStyle name="Normal 82 3 2" xfId="8812"/>
    <cellStyle name="Normal 82 3 3" xfId="12435"/>
    <cellStyle name="Normal 82 4" xfId="8813"/>
    <cellStyle name="Normal 82 4 2" xfId="8814"/>
    <cellStyle name="Normal 82 4 3" xfId="12436"/>
    <cellStyle name="Normal 82 5" xfId="8815"/>
    <cellStyle name="Normal 82 6" xfId="12437"/>
    <cellStyle name="Normal 83" xfId="1183"/>
    <cellStyle name="Normal 84" xfId="1184"/>
    <cellStyle name="Normal 84 2" xfId="1185"/>
    <cellStyle name="Normal 84 2 2" xfId="2516"/>
    <cellStyle name="Normal 84 2 2 2" xfId="8816"/>
    <cellStyle name="Normal 84 2 2 3" xfId="12438"/>
    <cellStyle name="Normal 84 2 3" xfId="8817"/>
    <cellStyle name="Normal 84 2 3 2" xfId="8818"/>
    <cellStyle name="Normal 84 2 3 3" xfId="12439"/>
    <cellStyle name="Normal 84 2 4" xfId="8819"/>
    <cellStyle name="Normal 84 2 5" xfId="12440"/>
    <cellStyle name="Normal 84 3" xfId="1186"/>
    <cellStyle name="Normal 84 3 2" xfId="8820"/>
    <cellStyle name="Normal 84 3 3" xfId="12441"/>
    <cellStyle name="Normal 84 4" xfId="2517"/>
    <cellStyle name="Normal 84 4 2" xfId="8821"/>
    <cellStyle name="Normal 84 4 3" xfId="12442"/>
    <cellStyle name="Normal 84 5" xfId="2518"/>
    <cellStyle name="Normal 84 6" xfId="12443"/>
    <cellStyle name="Normal 85" xfId="1187"/>
    <cellStyle name="Normal 85 2" xfId="1188"/>
    <cellStyle name="Normal 85 2 2" xfId="2519"/>
    <cellStyle name="Normal 85 2 3" xfId="12444"/>
    <cellStyle name="Normal 85 3" xfId="1189"/>
    <cellStyle name="Normal 85 3 2" xfId="8822"/>
    <cellStyle name="Normal 85 3 3" xfId="12445"/>
    <cellStyle name="Normal 85 4" xfId="8823"/>
    <cellStyle name="Normal 85 5" xfId="12446"/>
    <cellStyle name="Normal 86" xfId="1190"/>
    <cellStyle name="Normal 86 2" xfId="1191"/>
    <cellStyle name="Normal 86 3" xfId="2520"/>
    <cellStyle name="Normal 87" xfId="1192"/>
    <cellStyle name="Normal 87 2" xfId="2521"/>
    <cellStyle name="Normal 88" xfId="1193"/>
    <cellStyle name="Normal 88 2" xfId="2522"/>
    <cellStyle name="Normal 89" xfId="1194"/>
    <cellStyle name="Normal 9" xfId="57"/>
    <cellStyle name="Normal 9 10" xfId="2523"/>
    <cellStyle name="Normal 9 11" xfId="2524"/>
    <cellStyle name="Normal 9 12" xfId="2525"/>
    <cellStyle name="Normal 9 13" xfId="2526"/>
    <cellStyle name="Normal 9 14" xfId="13805"/>
    <cellStyle name="Normal 9 2" xfId="58"/>
    <cellStyle name="Normal 9 2 10" xfId="2527"/>
    <cellStyle name="Normal 9 2 11" xfId="2528"/>
    <cellStyle name="Normal 9 2 12" xfId="12787"/>
    <cellStyle name="Normal 9 2 2" xfId="628"/>
    <cellStyle name="Normal 9 2 2 2" xfId="1195"/>
    <cellStyle name="Normal 9 2 2 2 2" xfId="1196"/>
    <cellStyle name="Normal 9 2 2 2 2 2" xfId="8824"/>
    <cellStyle name="Normal 9 2 2 2 2 2 2" xfId="8825"/>
    <cellStyle name="Normal 9 2 2 2 2 2 2 2" xfId="8826"/>
    <cellStyle name="Normal 9 2 2 2 2 2 2 3" xfId="12447"/>
    <cellStyle name="Normal 9 2 2 2 2 2 3" xfId="8827"/>
    <cellStyle name="Normal 9 2 2 2 2 2 3 2" xfId="8828"/>
    <cellStyle name="Normal 9 2 2 2 2 2 3 3" xfId="12448"/>
    <cellStyle name="Normal 9 2 2 2 2 2 4" xfId="8829"/>
    <cellStyle name="Normal 9 2 2 2 2 2 5" xfId="12449"/>
    <cellStyle name="Normal 9 2 2 2 2 3" xfId="8830"/>
    <cellStyle name="Normal 9 2 2 2 2 3 2" xfId="8831"/>
    <cellStyle name="Normal 9 2 2 2 2 3 3" xfId="12450"/>
    <cellStyle name="Normal 9 2 2 2 2 4" xfId="8832"/>
    <cellStyle name="Normal 9 2 2 2 2 4 2" xfId="8833"/>
    <cellStyle name="Normal 9 2 2 2 2 4 3" xfId="12451"/>
    <cellStyle name="Normal 9 2 2 2 2 5" xfId="8834"/>
    <cellStyle name="Normal 9 2 2 2 2 6" xfId="12452"/>
    <cellStyle name="Normal 9 2 2 2 3" xfId="2529"/>
    <cellStyle name="Normal 9 2 2 2 3 2" xfId="8835"/>
    <cellStyle name="Normal 9 2 2 2 3 2 2" xfId="8836"/>
    <cellStyle name="Normal 9 2 2 2 3 2 3" xfId="12453"/>
    <cellStyle name="Normal 9 2 2 2 3 3" xfId="8837"/>
    <cellStyle name="Normal 9 2 2 2 3 3 2" xfId="8838"/>
    <cellStyle name="Normal 9 2 2 2 3 3 3" xfId="12454"/>
    <cellStyle name="Normal 9 2 2 2 3 4" xfId="8839"/>
    <cellStyle name="Normal 9 2 2 2 3 5" xfId="12455"/>
    <cellStyle name="Normal 9 2 2 2 4" xfId="2530"/>
    <cellStyle name="Normal 9 2 2 2 4 2" xfId="8840"/>
    <cellStyle name="Normal 9 2 2 2 4 3" xfId="12456"/>
    <cellStyle name="Normal 9 2 2 2 5" xfId="2531"/>
    <cellStyle name="Normal 9 2 2 2 5 2" xfId="8841"/>
    <cellStyle name="Normal 9 2 2 2 5 3" xfId="12457"/>
    <cellStyle name="Normal 9 2 2 2 6" xfId="8842"/>
    <cellStyle name="Normal 9 2 2 2 7" xfId="12458"/>
    <cellStyle name="Normal 9 2 2 2 8" xfId="2934"/>
    <cellStyle name="Normal 9 2 2 3" xfId="2532"/>
    <cellStyle name="Normal 9 2 2 3 2" xfId="2533"/>
    <cellStyle name="Normal 9 2 2 3 2 2" xfId="8843"/>
    <cellStyle name="Normal 9 2 2 3 2 2 2" xfId="8844"/>
    <cellStyle name="Normal 9 2 2 3 2 2 3" xfId="12459"/>
    <cellStyle name="Normal 9 2 2 3 2 3" xfId="8845"/>
    <cellStyle name="Normal 9 2 2 3 2 3 2" xfId="8846"/>
    <cellStyle name="Normal 9 2 2 3 2 3 3" xfId="12460"/>
    <cellStyle name="Normal 9 2 2 3 2 4" xfId="8847"/>
    <cellStyle name="Normal 9 2 2 3 2 5" xfId="12461"/>
    <cellStyle name="Normal 9 2 2 3 3" xfId="2534"/>
    <cellStyle name="Normal 9 2 2 3 3 2" xfId="8848"/>
    <cellStyle name="Normal 9 2 2 3 3 3" xfId="12462"/>
    <cellStyle name="Normal 9 2 2 3 4" xfId="8849"/>
    <cellStyle name="Normal 9 2 2 3 4 2" xfId="8850"/>
    <cellStyle name="Normal 9 2 2 3 4 3" xfId="12463"/>
    <cellStyle name="Normal 9 2 2 3 5" xfId="8851"/>
    <cellStyle name="Normal 9 2 2 3 6" xfId="12464"/>
    <cellStyle name="Normal 9 2 2 4" xfId="2535"/>
    <cellStyle name="Normal 9 2 2 4 2" xfId="2536"/>
    <cellStyle name="Normal 9 2 2 4 2 2" xfId="8852"/>
    <cellStyle name="Normal 9 2 2 4 2 3" xfId="12465"/>
    <cellStyle name="Normal 9 2 2 4 3" xfId="2537"/>
    <cellStyle name="Normal 9 2 2 4 3 2" xfId="8853"/>
    <cellStyle name="Normal 9 2 2 4 3 3" xfId="12466"/>
    <cellStyle name="Normal 9 2 2 4 4" xfId="8854"/>
    <cellStyle name="Normal 9 2 2 4 5" xfId="12467"/>
    <cellStyle name="Normal 9 2 2 5" xfId="2538"/>
    <cellStyle name="Normal 9 2 2 5 2" xfId="8855"/>
    <cellStyle name="Normal 9 2 2 5 3" xfId="12468"/>
    <cellStyle name="Normal 9 2 2 6" xfId="2539"/>
    <cellStyle name="Normal 9 2 2 6 2" xfId="8856"/>
    <cellStyle name="Normal 9 2 2 6 3" xfId="12469"/>
    <cellStyle name="Normal 9 2 2 7" xfId="8857"/>
    <cellStyle name="Normal 9 2 2 8" xfId="12470"/>
    <cellStyle name="Normal 9 2 3" xfId="627"/>
    <cellStyle name="Normal 9 2 3 2" xfId="2540"/>
    <cellStyle name="Normal 9 2 3 2 2" xfId="2541"/>
    <cellStyle name="Normal 9 2 3 2 2 2" xfId="8858"/>
    <cellStyle name="Normal 9 2 3 2 2 2 2" xfId="8859"/>
    <cellStyle name="Normal 9 2 3 2 2 2 3" xfId="12471"/>
    <cellStyle name="Normal 9 2 3 2 2 3" xfId="8860"/>
    <cellStyle name="Normal 9 2 3 2 2 3 2" xfId="8861"/>
    <cellStyle name="Normal 9 2 3 2 2 3 3" xfId="12472"/>
    <cellStyle name="Normal 9 2 3 2 2 4" xfId="8862"/>
    <cellStyle name="Normal 9 2 3 2 2 5" xfId="12473"/>
    <cellStyle name="Normal 9 2 3 2 3" xfId="2542"/>
    <cellStyle name="Normal 9 2 3 2 3 2" xfId="8863"/>
    <cellStyle name="Normal 9 2 3 2 3 3" xfId="12474"/>
    <cellStyle name="Normal 9 2 3 2 4" xfId="2543"/>
    <cellStyle name="Normal 9 2 3 2 4 2" xfId="8864"/>
    <cellStyle name="Normal 9 2 3 2 4 3" xfId="12475"/>
    <cellStyle name="Normal 9 2 3 2 5" xfId="2544"/>
    <cellStyle name="Normal 9 2 3 2 6" xfId="12476"/>
    <cellStyle name="Normal 9 2 3 3" xfId="2545"/>
    <cellStyle name="Normal 9 2 3 3 2" xfId="2546"/>
    <cellStyle name="Normal 9 2 3 3 2 2" xfId="8865"/>
    <cellStyle name="Normal 9 2 3 3 2 3" xfId="12477"/>
    <cellStyle name="Normal 9 2 3 3 3" xfId="2547"/>
    <cellStyle name="Normal 9 2 3 3 3 2" xfId="8866"/>
    <cellStyle name="Normal 9 2 3 3 3 3" xfId="12478"/>
    <cellStyle name="Normal 9 2 3 3 4" xfId="8867"/>
    <cellStyle name="Normal 9 2 3 3 5" xfId="12479"/>
    <cellStyle name="Normal 9 2 3 4" xfId="2548"/>
    <cellStyle name="Normal 9 2 3 4 2" xfId="2549"/>
    <cellStyle name="Normal 9 2 3 4 3" xfId="2550"/>
    <cellStyle name="Normal 9 2 3 5" xfId="2551"/>
    <cellStyle name="Normal 9 2 3 5 2" xfId="8868"/>
    <cellStyle name="Normal 9 2 3 5 3" xfId="12480"/>
    <cellStyle name="Normal 9 2 3 6" xfId="2552"/>
    <cellStyle name="Normal 9 2 3 7" xfId="1445"/>
    <cellStyle name="Normal 9 2 3 7 2" xfId="12481"/>
    <cellStyle name="Normal 9 2 4" xfId="2553"/>
    <cellStyle name="Normal 9 2 4 2" xfId="2554"/>
    <cellStyle name="Normal 9 2 4 2 2" xfId="2555"/>
    <cellStyle name="Normal 9 2 4 2 2 2" xfId="8869"/>
    <cellStyle name="Normal 9 2 4 2 2 3" xfId="12482"/>
    <cellStyle name="Normal 9 2 4 2 3" xfId="2556"/>
    <cellStyle name="Normal 9 2 4 2 3 2" xfId="8870"/>
    <cellStyle name="Normal 9 2 4 2 3 3" xfId="12483"/>
    <cellStyle name="Normal 9 2 4 2 4" xfId="2557"/>
    <cellStyle name="Normal 9 2 4 2 5" xfId="2558"/>
    <cellStyle name="Normal 9 2 4 3" xfId="2559"/>
    <cellStyle name="Normal 9 2 4 3 2" xfId="2560"/>
    <cellStyle name="Normal 9 2 4 3 3" xfId="2561"/>
    <cellStyle name="Normal 9 2 4 4" xfId="2562"/>
    <cellStyle name="Normal 9 2 4 4 2" xfId="2563"/>
    <cellStyle name="Normal 9 2 4 4 3" xfId="2564"/>
    <cellStyle name="Normal 9 2 4 5" xfId="2565"/>
    <cellStyle name="Normal 9 2 4 6" xfId="2566"/>
    <cellStyle name="Normal 9 2 5" xfId="2567"/>
    <cellStyle name="Normal 9 2 5 2" xfId="2568"/>
    <cellStyle name="Normal 9 2 5 2 2" xfId="2569"/>
    <cellStyle name="Normal 9 2 5 2 2 2" xfId="2570"/>
    <cellStyle name="Normal 9 2 5 2 2 3" xfId="2571"/>
    <cellStyle name="Normal 9 2 5 2 2 4" xfId="2572"/>
    <cellStyle name="Normal 9 2 5 2 2 5" xfId="2573"/>
    <cellStyle name="Normal 9 2 5 2 3" xfId="2574"/>
    <cellStyle name="Normal 9 2 5 2 3 2" xfId="2575"/>
    <cellStyle name="Normal 9 2 5 2 3 3" xfId="2576"/>
    <cellStyle name="Normal 9 2 5 2 4" xfId="2577"/>
    <cellStyle name="Normal 9 2 5 2 4 2" xfId="2578"/>
    <cellStyle name="Normal 9 2 5 2 4 3" xfId="2579"/>
    <cellStyle name="Normal 9 2 5 2 5" xfId="2580"/>
    <cellStyle name="Normal 9 2 5 2 6" xfId="2581"/>
    <cellStyle name="Normal 9 2 5 3" xfId="2582"/>
    <cellStyle name="Normal 9 2 5 3 2" xfId="2583"/>
    <cellStyle name="Normal 9 2 5 3 2 2" xfId="2584"/>
    <cellStyle name="Normal 9 2 5 3 2 2 2" xfId="2585"/>
    <cellStyle name="Normal 9 2 5 3 2 2 3" xfId="2586"/>
    <cellStyle name="Normal 9 2 5 3 2 3" xfId="2587"/>
    <cellStyle name="Normal 9 2 5 3 2 3 2" xfId="2588"/>
    <cellStyle name="Normal 9 2 5 3 2 3 3" xfId="2589"/>
    <cellStyle name="Normal 9 2 5 3 2 4" xfId="2590"/>
    <cellStyle name="Normal 9 2 5 3 2 5" xfId="2591"/>
    <cellStyle name="Normal 9 2 5 3 3" xfId="2592"/>
    <cellStyle name="Normal 9 2 5 3 3 2" xfId="2593"/>
    <cellStyle name="Normal 9 2 5 3 3 3" xfId="2594"/>
    <cellStyle name="Normal 9 2 5 3 3 4" xfId="2595"/>
    <cellStyle name="Normal 9 2 5 3 3 5" xfId="2596"/>
    <cellStyle name="Normal 9 2 5 3 4" xfId="2597"/>
    <cellStyle name="Normal 9 2 5 3 4 2" xfId="2598"/>
    <cellStyle name="Normal 9 2 5 3 4 3" xfId="2599"/>
    <cellStyle name="Normal 9 2 5 3 5" xfId="2600"/>
    <cellStyle name="Normal 9 2 5 3 5 2" xfId="2601"/>
    <cellStyle name="Normal 9 2 5 3 5 3" xfId="2602"/>
    <cellStyle name="Normal 9 2 5 3 6" xfId="2603"/>
    <cellStyle name="Normal 9 2 5 3 7" xfId="2604"/>
    <cellStyle name="Normal 9 2 5 4" xfId="2605"/>
    <cellStyle name="Normal 9 2 5 4 2" xfId="2606"/>
    <cellStyle name="Normal 9 2 5 4 2 2" xfId="2607"/>
    <cellStyle name="Normal 9 2 5 4 2 3" xfId="2608"/>
    <cellStyle name="Normal 9 2 5 4 3" xfId="2609"/>
    <cellStyle name="Normal 9 2 5 4 3 2" xfId="2610"/>
    <cellStyle name="Normal 9 2 5 4 3 3" xfId="2611"/>
    <cellStyle name="Normal 9 2 5 4 4" xfId="2612"/>
    <cellStyle name="Normal 9 2 5 4 5" xfId="2613"/>
    <cellStyle name="Normal 9 2 5 5" xfId="2614"/>
    <cellStyle name="Normal 9 2 5 5 2" xfId="2615"/>
    <cellStyle name="Normal 9 2 5 5 3" xfId="2616"/>
    <cellStyle name="Normal 9 2 5 5 4" xfId="2617"/>
    <cellStyle name="Normal 9 2 5 5 5" xfId="2618"/>
    <cellStyle name="Normal 9 2 5 6" xfId="2619"/>
    <cellStyle name="Normal 9 2 5 6 2" xfId="2620"/>
    <cellStyle name="Normal 9 2 5 6 3" xfId="2621"/>
    <cellStyle name="Normal 9 2 5 7" xfId="2622"/>
    <cellStyle name="Normal 9 2 5 7 2" xfId="2623"/>
    <cellStyle name="Normal 9 2 5 7 3" xfId="2624"/>
    <cellStyle name="Normal 9 2 5 8" xfId="2625"/>
    <cellStyle name="Normal 9 2 5 9" xfId="2626"/>
    <cellStyle name="Normal 9 2 5_10070" xfId="2627"/>
    <cellStyle name="Normal 9 2 6" xfId="2628"/>
    <cellStyle name="Normal 9 2 6 2" xfId="2629"/>
    <cellStyle name="Normal 9 2 6 3" xfId="2630"/>
    <cellStyle name="Normal 9 2 6 4" xfId="2631"/>
    <cellStyle name="Normal 9 2 6 5" xfId="2632"/>
    <cellStyle name="Normal 9 2 7" xfId="2633"/>
    <cellStyle name="Normal 9 2 7 2" xfId="2634"/>
    <cellStyle name="Normal 9 2 7 3" xfId="2635"/>
    <cellStyle name="Normal 9 2 8" xfId="2636"/>
    <cellStyle name="Normal 9 2 8 2" xfId="2637"/>
    <cellStyle name="Normal 9 2 8 3" xfId="2638"/>
    <cellStyle name="Normal 9 2 9" xfId="2639"/>
    <cellStyle name="Normal 9 3" xfId="222"/>
    <cellStyle name="Normal 9 3 2" xfId="629"/>
    <cellStyle name="Normal 9 3 2 2" xfId="1197"/>
    <cellStyle name="Normal 9 3 2 2 2" xfId="8871"/>
    <cellStyle name="Normal 9 3 2 2 2 2" xfId="8872"/>
    <cellStyle name="Normal 9 3 2 2 2 2 2" xfId="8873"/>
    <cellStyle name="Normal 9 3 2 2 2 2 3" xfId="12484"/>
    <cellStyle name="Normal 9 3 2 2 2 3" xfId="8874"/>
    <cellStyle name="Normal 9 3 2 2 2 3 2" xfId="8875"/>
    <cellStyle name="Normal 9 3 2 2 2 3 3" xfId="12485"/>
    <cellStyle name="Normal 9 3 2 2 2 4" xfId="8876"/>
    <cellStyle name="Normal 9 3 2 2 2 5" xfId="12486"/>
    <cellStyle name="Normal 9 3 2 2 3" xfId="8877"/>
    <cellStyle name="Normal 9 3 2 2 3 2" xfId="8878"/>
    <cellStyle name="Normal 9 3 2 2 3 3" xfId="12487"/>
    <cellStyle name="Normal 9 3 2 2 4" xfId="8879"/>
    <cellStyle name="Normal 9 3 2 2 4 2" xfId="8880"/>
    <cellStyle name="Normal 9 3 2 2 4 3" xfId="12488"/>
    <cellStyle name="Normal 9 3 2 2 5" xfId="8881"/>
    <cellStyle name="Normal 9 3 2 2 6" xfId="12489"/>
    <cellStyle name="Normal 9 3 2 3" xfId="2640"/>
    <cellStyle name="Normal 9 3 2 3 2" xfId="8882"/>
    <cellStyle name="Normal 9 3 2 3 2 2" xfId="8883"/>
    <cellStyle name="Normal 9 3 2 3 2 3" xfId="12490"/>
    <cellStyle name="Normal 9 3 2 3 3" xfId="8884"/>
    <cellStyle name="Normal 9 3 2 3 3 2" xfId="8885"/>
    <cellStyle name="Normal 9 3 2 3 3 3" xfId="12491"/>
    <cellStyle name="Normal 9 3 2 3 4" xfId="8886"/>
    <cellStyle name="Normal 9 3 2 3 5" xfId="12492"/>
    <cellStyle name="Normal 9 3 2 4" xfId="2641"/>
    <cellStyle name="Normal 9 3 2 4 2" xfId="8887"/>
    <cellStyle name="Normal 9 3 2 4 3" xfId="12493"/>
    <cellStyle name="Normal 9 3 2 5" xfId="2642"/>
    <cellStyle name="Normal 9 3 2 5 2" xfId="8888"/>
    <cellStyle name="Normal 9 3 2 5 3" xfId="12494"/>
    <cellStyle name="Normal 9 3 2 6" xfId="8889"/>
    <cellStyle name="Normal 9 3 2 7" xfId="12495"/>
    <cellStyle name="Normal 9 3 3" xfId="2643"/>
    <cellStyle name="Normal 9 3 3 2" xfId="2644"/>
    <cellStyle name="Normal 9 3 3 2 2" xfId="8890"/>
    <cellStyle name="Normal 9 3 3 2 2 2" xfId="8891"/>
    <cellStyle name="Normal 9 3 3 2 2 3" xfId="12496"/>
    <cellStyle name="Normal 9 3 3 2 3" xfId="8892"/>
    <cellStyle name="Normal 9 3 3 2 3 2" xfId="8893"/>
    <cellStyle name="Normal 9 3 3 2 3 3" xfId="12497"/>
    <cellStyle name="Normal 9 3 3 2 4" xfId="8894"/>
    <cellStyle name="Normal 9 3 3 2 5" xfId="12498"/>
    <cellStyle name="Normal 9 3 3 3" xfId="2645"/>
    <cellStyle name="Normal 9 3 3 3 2" xfId="8895"/>
    <cellStyle name="Normal 9 3 3 3 3" xfId="12499"/>
    <cellStyle name="Normal 9 3 3 4" xfId="8896"/>
    <cellStyle name="Normal 9 3 3 4 2" xfId="8897"/>
    <cellStyle name="Normal 9 3 3 4 3" xfId="12500"/>
    <cellStyle name="Normal 9 3 3 5" xfId="8898"/>
    <cellStyle name="Normal 9 3 3 6" xfId="12501"/>
    <cellStyle name="Normal 9 3 4" xfId="2646"/>
    <cellStyle name="Normal 9 3 4 2" xfId="2647"/>
    <cellStyle name="Normal 9 3 4 2 2" xfId="8899"/>
    <cellStyle name="Normal 9 3 4 2 3" xfId="12502"/>
    <cellStyle name="Normal 9 3 4 3" xfId="2648"/>
    <cellStyle name="Normal 9 3 4 3 2" xfId="8900"/>
    <cellStyle name="Normal 9 3 4 3 3" xfId="12503"/>
    <cellStyle name="Normal 9 3 4 4" xfId="8901"/>
    <cellStyle name="Normal 9 3 4 5" xfId="12504"/>
    <cellStyle name="Normal 9 3 5" xfId="2649"/>
    <cellStyle name="Normal 9 3 5 2" xfId="8902"/>
    <cellStyle name="Normal 9 3 5 3" xfId="12505"/>
    <cellStyle name="Normal 9 3 6" xfId="2650"/>
    <cellStyle name="Normal 9 3 6 2" xfId="8903"/>
    <cellStyle name="Normal 9 3 6 3" xfId="12506"/>
    <cellStyle name="Normal 9 3 7" xfId="1475"/>
    <cellStyle name="Normal 9 3 7 2" xfId="8904"/>
    <cellStyle name="Normal 9 3 8" xfId="12507"/>
    <cellStyle name="Normal 9 4" xfId="630"/>
    <cellStyle name="Normal 9 4 2" xfId="1198"/>
    <cellStyle name="Normal 9 4 2 2" xfId="2651"/>
    <cellStyle name="Normal 9 4 2 2 2" xfId="8905"/>
    <cellStyle name="Normal 9 4 2 2 2 2" xfId="8906"/>
    <cellStyle name="Normal 9 4 2 2 2 2 2" xfId="8907"/>
    <cellStyle name="Normal 9 4 2 2 2 2 3" xfId="12508"/>
    <cellStyle name="Normal 9 4 2 2 2 3" xfId="8908"/>
    <cellStyle name="Normal 9 4 2 2 2 3 2" xfId="8909"/>
    <cellStyle name="Normal 9 4 2 2 2 3 3" xfId="12509"/>
    <cellStyle name="Normal 9 4 2 2 2 4" xfId="8910"/>
    <cellStyle name="Normal 9 4 2 2 2 5" xfId="12510"/>
    <cellStyle name="Normal 9 4 2 2 3" xfId="8911"/>
    <cellStyle name="Normal 9 4 2 2 3 2" xfId="8912"/>
    <cellStyle name="Normal 9 4 2 2 3 3" xfId="12511"/>
    <cellStyle name="Normal 9 4 2 2 4" xfId="8913"/>
    <cellStyle name="Normal 9 4 2 2 4 2" xfId="8914"/>
    <cellStyle name="Normal 9 4 2 2 4 3" xfId="12512"/>
    <cellStyle name="Normal 9 4 2 2 5" xfId="8915"/>
    <cellStyle name="Normal 9 4 2 2 6" xfId="12513"/>
    <cellStyle name="Normal 9 4 2 3" xfId="2652"/>
    <cellStyle name="Normal 9 4 2 3 2" xfId="8916"/>
    <cellStyle name="Normal 9 4 2 3 2 2" xfId="8917"/>
    <cellStyle name="Normal 9 4 2 3 2 3" xfId="12514"/>
    <cellStyle name="Normal 9 4 2 3 3" xfId="8918"/>
    <cellStyle name="Normal 9 4 2 3 3 2" xfId="8919"/>
    <cellStyle name="Normal 9 4 2 3 3 3" xfId="12515"/>
    <cellStyle name="Normal 9 4 2 3 4" xfId="8920"/>
    <cellStyle name="Normal 9 4 2 3 5" xfId="12516"/>
    <cellStyle name="Normal 9 4 2 4" xfId="2653"/>
    <cellStyle name="Normal 9 4 2 4 2" xfId="8921"/>
    <cellStyle name="Normal 9 4 2 4 3" xfId="12517"/>
    <cellStyle name="Normal 9 4 2 5" xfId="2654"/>
    <cellStyle name="Normal 9 4 2 5 2" xfId="8922"/>
    <cellStyle name="Normal 9 4 2 5 3" xfId="12518"/>
    <cellStyle name="Normal 9 4 2 6" xfId="8923"/>
    <cellStyle name="Normal 9 4 2 7" xfId="12519"/>
    <cellStyle name="Normal 9 4 3" xfId="2655"/>
    <cellStyle name="Normal 9 4 3 2" xfId="2656"/>
    <cellStyle name="Normal 9 4 3 2 2" xfId="8924"/>
    <cellStyle name="Normal 9 4 3 2 2 2" xfId="8925"/>
    <cellStyle name="Normal 9 4 3 2 2 3" xfId="12520"/>
    <cellStyle name="Normal 9 4 3 2 3" xfId="8926"/>
    <cellStyle name="Normal 9 4 3 2 3 2" xfId="8927"/>
    <cellStyle name="Normal 9 4 3 2 3 3" xfId="12521"/>
    <cellStyle name="Normal 9 4 3 2 4" xfId="8928"/>
    <cellStyle name="Normal 9 4 3 2 5" xfId="12522"/>
    <cellStyle name="Normal 9 4 3 3" xfId="2657"/>
    <cellStyle name="Normal 9 4 3 3 2" xfId="8929"/>
    <cellStyle name="Normal 9 4 3 3 3" xfId="12523"/>
    <cellStyle name="Normal 9 4 3 4" xfId="8930"/>
    <cellStyle name="Normal 9 4 3 4 2" xfId="8931"/>
    <cellStyle name="Normal 9 4 3 4 3" xfId="12524"/>
    <cellStyle name="Normal 9 4 3 5" xfId="8932"/>
    <cellStyle name="Normal 9 4 3 6" xfId="12525"/>
    <cellStyle name="Normal 9 4 4" xfId="2658"/>
    <cellStyle name="Normal 9 4 4 2" xfId="2659"/>
    <cellStyle name="Normal 9 4 4 2 2" xfId="8933"/>
    <cellStyle name="Normal 9 4 4 2 3" xfId="12526"/>
    <cellStyle name="Normal 9 4 4 3" xfId="2660"/>
    <cellStyle name="Normal 9 4 4 3 2" xfId="8934"/>
    <cellStyle name="Normal 9 4 4 3 3" xfId="12527"/>
    <cellStyle name="Normal 9 4 4 4" xfId="8935"/>
    <cellStyle name="Normal 9 4 4 5" xfId="12528"/>
    <cellStyle name="Normal 9 4 5" xfId="2661"/>
    <cellStyle name="Normal 9 4 5 2" xfId="8936"/>
    <cellStyle name="Normal 9 4 5 3" xfId="12529"/>
    <cellStyle name="Normal 9 4 6" xfId="2662"/>
    <cellStyle name="Normal 9 4 6 2" xfId="8937"/>
    <cellStyle name="Normal 9 4 6 3" xfId="12530"/>
    <cellStyle name="Normal 9 4 7" xfId="8938"/>
    <cellStyle name="Normal 9 4 8" xfId="12531"/>
    <cellStyle name="Normal 9 5" xfId="631"/>
    <cellStyle name="Normal 9 5 2" xfId="2663"/>
    <cellStyle name="Normal 9 5 2 2" xfId="2664"/>
    <cellStyle name="Normal 9 5 2 2 2" xfId="2665"/>
    <cellStyle name="Normal 9 5 2 2 2 2" xfId="8939"/>
    <cellStyle name="Normal 9 5 2 2 2 3" xfId="12532"/>
    <cellStyle name="Normal 9 5 2 2 3" xfId="2666"/>
    <cellStyle name="Normal 9 5 2 2 3 2" xfId="8940"/>
    <cellStyle name="Normal 9 5 2 2 3 3" xfId="12533"/>
    <cellStyle name="Normal 9 5 2 2 4" xfId="2667"/>
    <cellStyle name="Normal 9 5 2 2 5" xfId="2668"/>
    <cellStyle name="Normal 9 5 2 3" xfId="2669"/>
    <cellStyle name="Normal 9 5 2 3 2" xfId="2670"/>
    <cellStyle name="Normal 9 5 2 3 3" xfId="2671"/>
    <cellStyle name="Normal 9 5 2 4" xfId="2672"/>
    <cellStyle name="Normal 9 5 2 4 2" xfId="2673"/>
    <cellStyle name="Normal 9 5 2 4 3" xfId="2674"/>
    <cellStyle name="Normal 9 5 2 5" xfId="2675"/>
    <cellStyle name="Normal 9 5 2 6" xfId="2676"/>
    <cellStyle name="Normal 9 5 3" xfId="2677"/>
    <cellStyle name="Normal 9 5 3 2" xfId="2678"/>
    <cellStyle name="Normal 9 5 3 2 2" xfId="2679"/>
    <cellStyle name="Normal 9 5 3 2 2 2" xfId="2680"/>
    <cellStyle name="Normal 9 5 3 2 2 3" xfId="2681"/>
    <cellStyle name="Normal 9 5 3 2 3" xfId="2682"/>
    <cellStyle name="Normal 9 5 3 2 3 2" xfId="2683"/>
    <cellStyle name="Normal 9 5 3 2 3 3" xfId="2684"/>
    <cellStyle name="Normal 9 5 3 2 4" xfId="2685"/>
    <cellStyle name="Normal 9 5 3 2 5" xfId="2686"/>
    <cellStyle name="Normal 9 5 3 3" xfId="2687"/>
    <cellStyle name="Normal 9 5 3 3 2" xfId="2688"/>
    <cellStyle name="Normal 9 5 3 3 3" xfId="2689"/>
    <cellStyle name="Normal 9 5 3 3 4" xfId="2690"/>
    <cellStyle name="Normal 9 5 3 3 5" xfId="2691"/>
    <cellStyle name="Normal 9 5 3 4" xfId="2692"/>
    <cellStyle name="Normal 9 5 3 4 2" xfId="2693"/>
    <cellStyle name="Normal 9 5 3 4 3" xfId="2694"/>
    <cellStyle name="Normal 9 5 3 5" xfId="2695"/>
    <cellStyle name="Normal 9 5 3 5 2" xfId="2696"/>
    <cellStyle name="Normal 9 5 3 5 3" xfId="2697"/>
    <cellStyle name="Normal 9 5 3 6" xfId="2698"/>
    <cellStyle name="Normal 9 5 3 7" xfId="2699"/>
    <cellStyle name="Normal 9 5 4" xfId="2700"/>
    <cellStyle name="Normal 9 5 4 2" xfId="2701"/>
    <cellStyle name="Normal 9 5 4 2 2" xfId="2702"/>
    <cellStyle name="Normal 9 5 4 2 3" xfId="2703"/>
    <cellStyle name="Normal 9 5 4 3" xfId="2704"/>
    <cellStyle name="Normal 9 5 4 3 2" xfId="2705"/>
    <cellStyle name="Normal 9 5 4 3 3" xfId="2706"/>
    <cellStyle name="Normal 9 5 4 4" xfId="2707"/>
    <cellStyle name="Normal 9 5 4 5" xfId="2708"/>
    <cellStyle name="Normal 9 5 5" xfId="2709"/>
    <cellStyle name="Normal 9 5 5 2" xfId="2710"/>
    <cellStyle name="Normal 9 5 5 3" xfId="2711"/>
    <cellStyle name="Normal 9 5 5 4" xfId="2712"/>
    <cellStyle name="Normal 9 5 5 5" xfId="2713"/>
    <cellStyle name="Normal 9 5 6" xfId="2714"/>
    <cellStyle name="Normal 9 5 6 2" xfId="2715"/>
    <cellStyle name="Normal 9 5 6 3" xfId="2716"/>
    <cellStyle name="Normal 9 5 7" xfId="2717"/>
    <cellStyle name="Normal 9 5 7 2" xfId="2718"/>
    <cellStyle name="Normal 9 5 7 3" xfId="2719"/>
    <cellStyle name="Normal 9 5 8" xfId="2720"/>
    <cellStyle name="Normal 9 5 9" xfId="2721"/>
    <cellStyle name="Normal 9 5_10070" xfId="2722"/>
    <cellStyle name="Normal 9 6" xfId="2723"/>
    <cellStyle name="Normal 9 6 2" xfId="2724"/>
    <cellStyle name="Normal 9 6 2 2" xfId="2725"/>
    <cellStyle name="Normal 9 6 2 2 2" xfId="8941"/>
    <cellStyle name="Normal 9 6 2 2 3" xfId="12534"/>
    <cellStyle name="Normal 9 6 2 3" xfId="2726"/>
    <cellStyle name="Normal 9 6 2 3 2" xfId="8942"/>
    <cellStyle name="Normal 9 6 2 3 3" xfId="12535"/>
    <cellStyle name="Normal 9 6 2 4" xfId="8943"/>
    <cellStyle name="Normal 9 6 2 5" xfId="12536"/>
    <cellStyle name="Normal 9 6 3" xfId="2727"/>
    <cellStyle name="Normal 9 6 3 2" xfId="2728"/>
    <cellStyle name="Normal 9 6 3 3" xfId="2729"/>
    <cellStyle name="Normal 9 6 4" xfId="2730"/>
    <cellStyle name="Normal 9 6 4 2" xfId="8944"/>
    <cellStyle name="Normal 9 6 4 3" xfId="12537"/>
    <cellStyle name="Normal 9 6 5" xfId="2731"/>
    <cellStyle name="Normal 9 6 6" xfId="12538"/>
    <cellStyle name="Normal 9 7" xfId="2732"/>
    <cellStyle name="Normal 9 7 2" xfId="2733"/>
    <cellStyle name="Normal 9 7 2 2" xfId="8945"/>
    <cellStyle name="Normal 9 7 2 3" xfId="12539"/>
    <cellStyle name="Normal 9 7 3" xfId="2734"/>
    <cellStyle name="Normal 9 7 3 2" xfId="8946"/>
    <cellStyle name="Normal 9 7 3 3" xfId="12540"/>
    <cellStyle name="Normal 9 7 4" xfId="2735"/>
    <cellStyle name="Normal 9 7 5" xfId="2736"/>
    <cellStyle name="Normal 9 8" xfId="2737"/>
    <cellStyle name="Normal 9 8 2" xfId="2738"/>
    <cellStyle name="Normal 9 8 3" xfId="2739"/>
    <cellStyle name="Normal 9 9" xfId="2740"/>
    <cellStyle name="Normal 9 9 2" xfId="2741"/>
    <cellStyle name="Normal 9 9 3" xfId="2742"/>
    <cellStyle name="Normal 9_2112 Salary" xfId="632"/>
    <cellStyle name="Normal 90" xfId="1199"/>
    <cellStyle name="Normal 90 2" xfId="2743"/>
    <cellStyle name="Normal 90 2 2" xfId="12761"/>
    <cellStyle name="Normal 91" xfId="1200"/>
    <cellStyle name="Normal 92" xfId="1201"/>
    <cellStyle name="Normal 92 2" xfId="1202"/>
    <cellStyle name="Normal 92 2 2" xfId="3345"/>
    <cellStyle name="Normal 92 2 3" xfId="2895"/>
    <cellStyle name="Normal 93" xfId="1203"/>
    <cellStyle name="Normal 93 2" xfId="1204"/>
    <cellStyle name="Normal 93 2 2" xfId="16343"/>
    <cellStyle name="Normal 93 3" xfId="2954"/>
    <cellStyle name="Normal 93 4" xfId="2893"/>
    <cellStyle name="Normal 94" xfId="1205"/>
    <cellStyle name="Normal 94 2" xfId="1206"/>
    <cellStyle name="Normal 94 2 2" xfId="16342"/>
    <cellStyle name="Normal 94 3" xfId="2955"/>
    <cellStyle name="Normal 94 4" xfId="2896"/>
    <cellStyle name="Normal 95" xfId="1207"/>
    <cellStyle name="Normal 95 2" xfId="1208"/>
    <cellStyle name="Normal 95 3" xfId="2956"/>
    <cellStyle name="Normal 96" xfId="1209"/>
    <cellStyle name="Normal 96 2" xfId="1210"/>
    <cellStyle name="Normal 96 3" xfId="2957"/>
    <cellStyle name="Normal 96 4" xfId="2897"/>
    <cellStyle name="Normal 97" xfId="1211"/>
    <cellStyle name="Normal 97 2" xfId="1212"/>
    <cellStyle name="Normal 97 3" xfId="12788"/>
    <cellStyle name="Normal 98" xfId="1213"/>
    <cellStyle name="Normal 98 2" xfId="1214"/>
    <cellStyle name="Normal 98 2 2" xfId="2744"/>
    <cellStyle name="Normal 98 3" xfId="16340"/>
    <cellStyle name="Normal 99" xfId="1215"/>
    <cellStyle name="Normal 99 2" xfId="1216"/>
    <cellStyle name="Normal 99 3" xfId="2745"/>
    <cellStyle name="Normal 99 4" xfId="2746"/>
    <cellStyle name="Normal_2183 Regulated Price Out Final 6-7-2012" xfId="21486"/>
    <cellStyle name="Normal_Consolidated IS" xfId="136"/>
    <cellStyle name="Normal_Pro Forma Pacific Disposal Roland Heather checked 7-26" xfId="1330"/>
    <cellStyle name="Normal_Proforma" xfId="4"/>
    <cellStyle name="Normal_Proforma Yakima UTC-Nicki 2009" xfId="21487"/>
    <cellStyle name="Normal_Regulated Price Out 9-6-2011 Final HL" xfId="21485"/>
    <cellStyle name="Normal_Regulated-Non-Regulated Revenue" xfId="21488"/>
    <cellStyle name="Normal_Report" xfId="59"/>
    <cellStyle name="Normal_Sheet1 3" xfId="16348"/>
    <cellStyle name="Normal_TheTool_Jeff_v5" xfId="1331"/>
    <cellStyle name="Normal_TheTool_Jeff_v5 2" xfId="5"/>
    <cellStyle name="Note" xfId="2864" builtinId="10" customBuiltin="1"/>
    <cellStyle name="Note 2" xfId="121"/>
    <cellStyle name="Note 2 2" xfId="634"/>
    <cellStyle name="Note 2 2 2" xfId="2747"/>
    <cellStyle name="Note 2 2 2 10" xfId="20592"/>
    <cellStyle name="Note 2 2 2 11" xfId="20593"/>
    <cellStyle name="Note 2 2 2 2" xfId="3073"/>
    <cellStyle name="Note 2 2 2 2 2" xfId="15957"/>
    <cellStyle name="Note 2 2 2 2 3" xfId="15958"/>
    <cellStyle name="Note 2 2 2 2 4" xfId="20594"/>
    <cellStyle name="Note 2 2 2 2 5" xfId="20595"/>
    <cellStyle name="Note 2 2 2 2 6" xfId="20596"/>
    <cellStyle name="Note 2 2 2 2 7" xfId="20597"/>
    <cellStyle name="Note 2 2 2 3" xfId="3239"/>
    <cellStyle name="Note 2 2 2 3 2" xfId="15959"/>
    <cellStyle name="Note 2 2 2 3 3" xfId="15960"/>
    <cellStyle name="Note 2 2 2 3 4" xfId="20598"/>
    <cellStyle name="Note 2 2 2 3 5" xfId="20599"/>
    <cellStyle name="Note 2 2 2 3 6" xfId="20600"/>
    <cellStyle name="Note 2 2 2 3 7" xfId="20601"/>
    <cellStyle name="Note 2 2 2 4" xfId="3095"/>
    <cellStyle name="Note 2 2 2 4 2" xfId="15961"/>
    <cellStyle name="Note 2 2 2 4 3" xfId="15962"/>
    <cellStyle name="Note 2 2 2 4 4" xfId="20602"/>
    <cellStyle name="Note 2 2 2 4 5" xfId="20603"/>
    <cellStyle name="Note 2 2 2 4 6" xfId="20604"/>
    <cellStyle name="Note 2 2 2 4 7" xfId="20605"/>
    <cellStyle name="Note 2 2 2 5" xfId="3256"/>
    <cellStyle name="Note 2 2 2 5 2" xfId="15963"/>
    <cellStyle name="Note 2 2 2 5 3" xfId="15964"/>
    <cellStyle name="Note 2 2 2 5 4" xfId="20606"/>
    <cellStyle name="Note 2 2 2 5 5" xfId="20607"/>
    <cellStyle name="Note 2 2 2 5 6" xfId="20608"/>
    <cellStyle name="Note 2 2 2 5 7" xfId="20609"/>
    <cellStyle name="Note 2 2 2 6" xfId="3010"/>
    <cellStyle name="Note 2 2 2 7" xfId="15965"/>
    <cellStyle name="Note 2 2 2 8" xfId="20610"/>
    <cellStyle name="Note 2 2 2 9" xfId="20611"/>
    <cellStyle name="Note 2 2 3" xfId="2748"/>
    <cellStyle name="Note 2 2 3 10" xfId="20612"/>
    <cellStyle name="Note 2 2 3 11" xfId="20613"/>
    <cellStyle name="Note 2 2 3 2" xfId="3040"/>
    <cellStyle name="Note 2 2 3 2 2" xfId="15966"/>
    <cellStyle name="Note 2 2 3 2 3" xfId="15967"/>
    <cellStyle name="Note 2 2 3 2 4" xfId="20614"/>
    <cellStyle name="Note 2 2 3 2 5" xfId="20615"/>
    <cellStyle name="Note 2 2 3 2 6" xfId="20616"/>
    <cellStyle name="Note 2 2 3 2 7" xfId="20617"/>
    <cellStyle name="Note 2 2 3 3" xfId="3143"/>
    <cellStyle name="Note 2 2 3 3 2" xfId="15968"/>
    <cellStyle name="Note 2 2 3 3 3" xfId="15969"/>
    <cellStyle name="Note 2 2 3 3 4" xfId="20618"/>
    <cellStyle name="Note 2 2 3 3 5" xfId="20619"/>
    <cellStyle name="Note 2 2 3 3 6" xfId="20620"/>
    <cellStyle name="Note 2 2 3 3 7" xfId="20621"/>
    <cellStyle name="Note 2 2 3 4" xfId="3116"/>
    <cellStyle name="Note 2 2 3 4 2" xfId="15970"/>
    <cellStyle name="Note 2 2 3 4 3" xfId="15971"/>
    <cellStyle name="Note 2 2 3 4 4" xfId="20622"/>
    <cellStyle name="Note 2 2 3 4 5" xfId="20623"/>
    <cellStyle name="Note 2 2 3 4 6" xfId="20624"/>
    <cellStyle name="Note 2 2 3 4 7" xfId="20625"/>
    <cellStyle name="Note 2 2 3 5" xfId="3215"/>
    <cellStyle name="Note 2 2 3 5 2" xfId="15972"/>
    <cellStyle name="Note 2 2 3 5 3" xfId="15973"/>
    <cellStyle name="Note 2 2 3 5 4" xfId="20626"/>
    <cellStyle name="Note 2 2 3 5 5" xfId="20627"/>
    <cellStyle name="Note 2 2 3 5 6" xfId="20628"/>
    <cellStyle name="Note 2 2 3 5 7" xfId="20629"/>
    <cellStyle name="Note 2 2 3 6" xfId="2959"/>
    <cellStyle name="Note 2 2 3 7" xfId="15974"/>
    <cellStyle name="Note 2 2 3 8" xfId="20630"/>
    <cellStyle name="Note 2 2 3 9" xfId="20631"/>
    <cellStyle name="Note 2 2 4" xfId="1447"/>
    <cellStyle name="Note 2 2 4 2" xfId="13852"/>
    <cellStyle name="Note 2 2 4 3" xfId="15975"/>
    <cellStyle name="Note 2 2 4 4" xfId="20632"/>
    <cellStyle name="Note 2 2 4 5" xfId="20633"/>
    <cellStyle name="Note 2 2 4 6" xfId="20634"/>
    <cellStyle name="Note 2 2 4 7" xfId="20635"/>
    <cellStyle name="Note 2 2 5" xfId="13851"/>
    <cellStyle name="Note 2 2 5 2" xfId="15976"/>
    <cellStyle name="Note 2 2 5 3" xfId="15977"/>
    <cellStyle name="Note 2 2 5 4" xfId="20636"/>
    <cellStyle name="Note 2 2 5 5" xfId="20637"/>
    <cellStyle name="Note 2 2 5 6" xfId="20638"/>
    <cellStyle name="Note 2 2 5 7" xfId="20639"/>
    <cellStyle name="Note 2 3" xfId="635"/>
    <cellStyle name="Note 2 3 2" xfId="2749"/>
    <cellStyle name="Note 2 3 2 10" xfId="20640"/>
    <cellStyle name="Note 2 3 2 11" xfId="20641"/>
    <cellStyle name="Note 2 3 2 2" xfId="3057"/>
    <cellStyle name="Note 2 3 2 2 2" xfId="15978"/>
    <cellStyle name="Note 2 3 2 2 3" xfId="15979"/>
    <cellStyle name="Note 2 3 2 2 4" xfId="20642"/>
    <cellStyle name="Note 2 3 2 2 5" xfId="20643"/>
    <cellStyle name="Note 2 3 2 2 6" xfId="20644"/>
    <cellStyle name="Note 2 3 2 2 7" xfId="20645"/>
    <cellStyle name="Note 2 3 2 3" xfId="3160"/>
    <cellStyle name="Note 2 3 2 3 2" xfId="15980"/>
    <cellStyle name="Note 2 3 2 3 3" xfId="15981"/>
    <cellStyle name="Note 2 3 2 3 4" xfId="20646"/>
    <cellStyle name="Note 2 3 2 3 5" xfId="20647"/>
    <cellStyle name="Note 2 3 2 3 6" xfId="20648"/>
    <cellStyle name="Note 2 3 2 3 7" xfId="20649"/>
    <cellStyle name="Note 2 3 2 4" xfId="3180"/>
    <cellStyle name="Note 2 3 2 4 2" xfId="15982"/>
    <cellStyle name="Note 2 3 2 4 3" xfId="15983"/>
    <cellStyle name="Note 2 3 2 4 4" xfId="20650"/>
    <cellStyle name="Note 2 3 2 4 5" xfId="20651"/>
    <cellStyle name="Note 2 3 2 4 6" xfId="20652"/>
    <cellStyle name="Note 2 3 2 4 7" xfId="20653"/>
    <cellStyle name="Note 2 3 2 5" xfId="3207"/>
    <cellStyle name="Note 2 3 2 5 2" xfId="15984"/>
    <cellStyle name="Note 2 3 2 5 3" xfId="15985"/>
    <cellStyle name="Note 2 3 2 5 4" xfId="20654"/>
    <cellStyle name="Note 2 3 2 5 5" xfId="20655"/>
    <cellStyle name="Note 2 3 2 5 6" xfId="20656"/>
    <cellStyle name="Note 2 3 2 5 7" xfId="20657"/>
    <cellStyle name="Note 2 3 2 6" xfId="2987"/>
    <cellStyle name="Note 2 3 2 7" xfId="15986"/>
    <cellStyle name="Note 2 3 2 8" xfId="20658"/>
    <cellStyle name="Note 2 3 2 9" xfId="20659"/>
    <cellStyle name="Note 2 3 3" xfId="1448"/>
    <cellStyle name="Note 2 3 3 2" xfId="3346"/>
    <cellStyle name="Note 2 3 3 3" xfId="15987"/>
    <cellStyle name="Note 2 3 3 4" xfId="20660"/>
    <cellStyle name="Note 2 3 3 5" xfId="20661"/>
    <cellStyle name="Note 2 3 3 6" xfId="20662"/>
    <cellStyle name="Note 2 3 3 7" xfId="20663"/>
    <cellStyle name="Note 2 3 4" xfId="15988"/>
    <cellStyle name="Note 2 3 5" xfId="15989"/>
    <cellStyle name="Note 2 3 6" xfId="20664"/>
    <cellStyle name="Note 2 4" xfId="636"/>
    <cellStyle name="Note 2 4 2" xfId="2751"/>
    <cellStyle name="Note 2 4 2 10" xfId="20665"/>
    <cellStyle name="Note 2 4 2 11" xfId="20666"/>
    <cellStyle name="Note 2 4 2 2" xfId="3058"/>
    <cellStyle name="Note 2 4 2 2 2" xfId="15990"/>
    <cellStyle name="Note 2 4 2 2 3" xfId="15991"/>
    <cellStyle name="Note 2 4 2 2 4" xfId="20667"/>
    <cellStyle name="Note 2 4 2 2 5" xfId="20668"/>
    <cellStyle name="Note 2 4 2 2 6" xfId="20669"/>
    <cellStyle name="Note 2 4 2 2 7" xfId="20670"/>
    <cellStyle name="Note 2 4 2 3" xfId="3161"/>
    <cellStyle name="Note 2 4 2 3 2" xfId="15992"/>
    <cellStyle name="Note 2 4 2 3 3" xfId="15993"/>
    <cellStyle name="Note 2 4 2 3 4" xfId="20671"/>
    <cellStyle name="Note 2 4 2 3 5" xfId="20672"/>
    <cellStyle name="Note 2 4 2 3 6" xfId="20673"/>
    <cellStyle name="Note 2 4 2 3 7" xfId="20674"/>
    <cellStyle name="Note 2 4 2 4" xfId="3181"/>
    <cellStyle name="Note 2 4 2 4 2" xfId="15994"/>
    <cellStyle name="Note 2 4 2 4 3" xfId="15995"/>
    <cellStyle name="Note 2 4 2 4 4" xfId="20675"/>
    <cellStyle name="Note 2 4 2 4 5" xfId="20676"/>
    <cellStyle name="Note 2 4 2 4 6" xfId="20677"/>
    <cellStyle name="Note 2 4 2 4 7" xfId="20678"/>
    <cellStyle name="Note 2 4 2 5" xfId="3206"/>
    <cellStyle name="Note 2 4 2 5 2" xfId="15996"/>
    <cellStyle name="Note 2 4 2 5 3" xfId="15997"/>
    <cellStyle name="Note 2 4 2 5 4" xfId="20679"/>
    <cellStyle name="Note 2 4 2 5 5" xfId="20680"/>
    <cellStyle name="Note 2 4 2 5 6" xfId="20681"/>
    <cellStyle name="Note 2 4 2 5 7" xfId="20682"/>
    <cellStyle name="Note 2 4 2 6" xfId="2988"/>
    <cellStyle name="Note 2 4 2 7" xfId="15998"/>
    <cellStyle name="Note 2 4 2 8" xfId="20683"/>
    <cellStyle name="Note 2 4 2 9" xfId="20684"/>
    <cellStyle name="Note 2 4 3" xfId="2750"/>
    <cellStyle name="Note 2 4 3 2" xfId="3347"/>
    <cellStyle name="Note 2 4 3 3" xfId="15999"/>
    <cellStyle name="Note 2 4 3 4" xfId="20685"/>
    <cellStyle name="Note 2 4 3 5" xfId="20686"/>
    <cellStyle name="Note 2 4 3 6" xfId="20687"/>
    <cellStyle name="Note 2 4 3 7" xfId="20688"/>
    <cellStyle name="Note 2 4 4" xfId="16000"/>
    <cellStyle name="Note 2 4 5" xfId="16001"/>
    <cellStyle name="Note 2 4 6" xfId="20689"/>
    <cellStyle name="Note 2 5" xfId="633"/>
    <cellStyle name="Note 2 5 10" xfId="20690"/>
    <cellStyle name="Note 2 5 11" xfId="20691"/>
    <cellStyle name="Note 2 5 2" xfId="2752"/>
    <cellStyle name="Note 2 5 2 2" xfId="3039"/>
    <cellStyle name="Note 2 5 2 3" xfId="16002"/>
    <cellStyle name="Note 2 5 2 4" xfId="20692"/>
    <cellStyle name="Note 2 5 2 5" xfId="20693"/>
    <cellStyle name="Note 2 5 2 6" xfId="20694"/>
    <cellStyle name="Note 2 5 2 7" xfId="20695"/>
    <cellStyle name="Note 2 5 3" xfId="3142"/>
    <cellStyle name="Note 2 5 3 2" xfId="16003"/>
    <cellStyle name="Note 2 5 3 3" xfId="16004"/>
    <cellStyle name="Note 2 5 3 4" xfId="20696"/>
    <cellStyle name="Note 2 5 3 5" xfId="20697"/>
    <cellStyle name="Note 2 5 3 6" xfId="20698"/>
    <cellStyle name="Note 2 5 3 7" xfId="20699"/>
    <cellStyle name="Note 2 5 4" xfId="3115"/>
    <cellStyle name="Note 2 5 4 2" xfId="16005"/>
    <cellStyle name="Note 2 5 4 3" xfId="16006"/>
    <cellStyle name="Note 2 5 4 4" xfId="20700"/>
    <cellStyle name="Note 2 5 4 5" xfId="20701"/>
    <cellStyle name="Note 2 5 4 6" xfId="20702"/>
    <cellStyle name="Note 2 5 4 7" xfId="20703"/>
    <cellStyle name="Note 2 5 5" xfId="3124"/>
    <cellStyle name="Note 2 5 5 2" xfId="16007"/>
    <cellStyle name="Note 2 5 5 3" xfId="16008"/>
    <cellStyle name="Note 2 5 5 4" xfId="20704"/>
    <cellStyle name="Note 2 5 5 5" xfId="20705"/>
    <cellStyle name="Note 2 5 5 6" xfId="20706"/>
    <cellStyle name="Note 2 5 5 7" xfId="20707"/>
    <cellStyle name="Note 2 5 6" xfId="2958"/>
    <cellStyle name="Note 2 5 7" xfId="16009"/>
    <cellStyle name="Note 2 5 8" xfId="20708"/>
    <cellStyle name="Note 2 5 9" xfId="20709"/>
    <cellStyle name="Note 2 6" xfId="1446"/>
    <cellStyle name="Note 2 6 2" xfId="3348"/>
    <cellStyle name="Note 2 6 3" xfId="16010"/>
    <cellStyle name="Note 2 6 4" xfId="20710"/>
    <cellStyle name="Note 2 6 5" xfId="20711"/>
    <cellStyle name="Note 2 6 6" xfId="20712"/>
    <cellStyle name="Note 2 6 7" xfId="20713"/>
    <cellStyle name="Note 2 7" xfId="13806"/>
    <cellStyle name="Note 2 8" xfId="13843"/>
    <cellStyle name="Note 2 8 2" xfId="16011"/>
    <cellStyle name="Note 2 8 3" xfId="16012"/>
    <cellStyle name="Note 2 8 4" xfId="20714"/>
    <cellStyle name="Note 2 8 5" xfId="20715"/>
    <cellStyle name="Note 2 8 6" xfId="20716"/>
    <cellStyle name="Note 2 8 7" xfId="20717"/>
    <cellStyle name="Note 3" xfId="223"/>
    <cellStyle name="Note 3 2" xfId="638"/>
    <cellStyle name="Note 3 2 2" xfId="2753"/>
    <cellStyle name="Note 3 2 2 10" xfId="20718"/>
    <cellStyle name="Note 3 2 2 11" xfId="20719"/>
    <cellStyle name="Note 3 2 2 2" xfId="3074"/>
    <cellStyle name="Note 3 2 2 2 2" xfId="16013"/>
    <cellStyle name="Note 3 2 2 2 3" xfId="16014"/>
    <cellStyle name="Note 3 2 2 2 4" xfId="20720"/>
    <cellStyle name="Note 3 2 2 2 5" xfId="20721"/>
    <cellStyle name="Note 3 2 2 2 6" xfId="20722"/>
    <cellStyle name="Note 3 2 2 2 7" xfId="20723"/>
    <cellStyle name="Note 3 2 2 3" xfId="3240"/>
    <cellStyle name="Note 3 2 2 3 2" xfId="16015"/>
    <cellStyle name="Note 3 2 2 3 3" xfId="16016"/>
    <cellStyle name="Note 3 2 2 3 4" xfId="20724"/>
    <cellStyle name="Note 3 2 2 3 5" xfId="20725"/>
    <cellStyle name="Note 3 2 2 3 6" xfId="20726"/>
    <cellStyle name="Note 3 2 2 3 7" xfId="20727"/>
    <cellStyle name="Note 3 2 2 4" xfId="3123"/>
    <cellStyle name="Note 3 2 2 4 2" xfId="16017"/>
    <cellStyle name="Note 3 2 2 4 3" xfId="16018"/>
    <cellStyle name="Note 3 2 2 4 4" xfId="20728"/>
    <cellStyle name="Note 3 2 2 4 5" xfId="20729"/>
    <cellStyle name="Note 3 2 2 4 6" xfId="20730"/>
    <cellStyle name="Note 3 2 2 4 7" xfId="20731"/>
    <cellStyle name="Note 3 2 2 5" xfId="3257"/>
    <cellStyle name="Note 3 2 2 5 2" xfId="16019"/>
    <cellStyle name="Note 3 2 2 5 3" xfId="16020"/>
    <cellStyle name="Note 3 2 2 5 4" xfId="20732"/>
    <cellStyle name="Note 3 2 2 5 5" xfId="20733"/>
    <cellStyle name="Note 3 2 2 5 6" xfId="20734"/>
    <cellStyle name="Note 3 2 2 5 7" xfId="20735"/>
    <cellStyle name="Note 3 2 2 6" xfId="3011"/>
    <cellStyle name="Note 3 2 2 7" xfId="16021"/>
    <cellStyle name="Note 3 2 2 8" xfId="20736"/>
    <cellStyle name="Note 3 2 2 9" xfId="20737"/>
    <cellStyle name="Note 3 2 3" xfId="2754"/>
    <cellStyle name="Note 3 2 3 10" xfId="20738"/>
    <cellStyle name="Note 3 2 3 11" xfId="20739"/>
    <cellStyle name="Note 3 2 3 2" xfId="3042"/>
    <cellStyle name="Note 3 2 3 2 2" xfId="16022"/>
    <cellStyle name="Note 3 2 3 2 3" xfId="16023"/>
    <cellStyle name="Note 3 2 3 2 4" xfId="20740"/>
    <cellStyle name="Note 3 2 3 2 5" xfId="20741"/>
    <cellStyle name="Note 3 2 3 2 6" xfId="20742"/>
    <cellStyle name="Note 3 2 3 2 7" xfId="20743"/>
    <cellStyle name="Note 3 2 3 3" xfId="3145"/>
    <cellStyle name="Note 3 2 3 3 2" xfId="16024"/>
    <cellStyle name="Note 3 2 3 3 3" xfId="16025"/>
    <cellStyle name="Note 3 2 3 3 4" xfId="20744"/>
    <cellStyle name="Note 3 2 3 3 5" xfId="20745"/>
    <cellStyle name="Note 3 2 3 3 6" xfId="20746"/>
    <cellStyle name="Note 3 2 3 3 7" xfId="20747"/>
    <cellStyle name="Note 3 2 3 4" xfId="3117"/>
    <cellStyle name="Note 3 2 3 4 2" xfId="16026"/>
    <cellStyle name="Note 3 2 3 4 3" xfId="16027"/>
    <cellStyle name="Note 3 2 3 4 4" xfId="20748"/>
    <cellStyle name="Note 3 2 3 4 5" xfId="20749"/>
    <cellStyle name="Note 3 2 3 4 6" xfId="20750"/>
    <cellStyle name="Note 3 2 3 4 7" xfId="20751"/>
    <cellStyle name="Note 3 2 3 5" xfId="3242"/>
    <cellStyle name="Note 3 2 3 5 2" xfId="16028"/>
    <cellStyle name="Note 3 2 3 5 3" xfId="16029"/>
    <cellStyle name="Note 3 2 3 5 4" xfId="20752"/>
    <cellStyle name="Note 3 2 3 5 5" xfId="20753"/>
    <cellStyle name="Note 3 2 3 5 6" xfId="20754"/>
    <cellStyle name="Note 3 2 3 5 7" xfId="20755"/>
    <cellStyle name="Note 3 2 3 6" xfId="2961"/>
    <cellStyle name="Note 3 2 3 7" xfId="16030"/>
    <cellStyle name="Note 3 2 3 8" xfId="20756"/>
    <cellStyle name="Note 3 2 3 9" xfId="20757"/>
    <cellStyle name="Note 3 2 4" xfId="1450"/>
    <cellStyle name="Note 3 2 4 2" xfId="13853"/>
    <cellStyle name="Note 3 2 4 3" xfId="16031"/>
    <cellStyle name="Note 3 2 4 4" xfId="20758"/>
    <cellStyle name="Note 3 2 4 5" xfId="20759"/>
    <cellStyle name="Note 3 2 4 6" xfId="20760"/>
    <cellStyle name="Note 3 2 4 7" xfId="20761"/>
    <cellStyle name="Note 3 2 5" xfId="13837"/>
    <cellStyle name="Note 3 2 5 2" xfId="16032"/>
    <cellStyle name="Note 3 2 5 3" xfId="16033"/>
    <cellStyle name="Note 3 2 5 4" xfId="20762"/>
    <cellStyle name="Note 3 2 5 5" xfId="20763"/>
    <cellStyle name="Note 3 2 5 6" xfId="20764"/>
    <cellStyle name="Note 3 2 5 7" xfId="20765"/>
    <cellStyle name="Note 3 3" xfId="637"/>
    <cellStyle name="Note 3 3 2" xfId="2755"/>
    <cellStyle name="Note 3 3 2 10" xfId="20766"/>
    <cellStyle name="Note 3 3 2 11" xfId="20767"/>
    <cellStyle name="Note 3 3 2 2" xfId="3059"/>
    <cellStyle name="Note 3 3 2 2 2" xfId="16034"/>
    <cellStyle name="Note 3 3 2 2 3" xfId="16035"/>
    <cellStyle name="Note 3 3 2 2 4" xfId="20768"/>
    <cellStyle name="Note 3 3 2 2 5" xfId="20769"/>
    <cellStyle name="Note 3 3 2 2 6" xfId="20770"/>
    <cellStyle name="Note 3 3 2 2 7" xfId="20771"/>
    <cellStyle name="Note 3 3 2 3" xfId="3162"/>
    <cellStyle name="Note 3 3 2 3 2" xfId="16036"/>
    <cellStyle name="Note 3 3 2 3 3" xfId="16037"/>
    <cellStyle name="Note 3 3 2 3 4" xfId="20772"/>
    <cellStyle name="Note 3 3 2 3 5" xfId="20773"/>
    <cellStyle name="Note 3 3 2 3 6" xfId="20774"/>
    <cellStyle name="Note 3 3 2 3 7" xfId="20775"/>
    <cellStyle name="Note 3 3 2 4" xfId="3182"/>
    <cellStyle name="Note 3 3 2 4 2" xfId="16038"/>
    <cellStyle name="Note 3 3 2 4 3" xfId="16039"/>
    <cellStyle name="Note 3 3 2 4 4" xfId="20776"/>
    <cellStyle name="Note 3 3 2 4 5" xfId="20777"/>
    <cellStyle name="Note 3 3 2 4 6" xfId="20778"/>
    <cellStyle name="Note 3 3 2 4 7" xfId="20779"/>
    <cellStyle name="Note 3 3 2 5" xfId="3229"/>
    <cellStyle name="Note 3 3 2 5 2" xfId="16040"/>
    <cellStyle name="Note 3 3 2 5 3" xfId="16041"/>
    <cellStyle name="Note 3 3 2 5 4" xfId="20780"/>
    <cellStyle name="Note 3 3 2 5 5" xfId="20781"/>
    <cellStyle name="Note 3 3 2 5 6" xfId="20782"/>
    <cellStyle name="Note 3 3 2 5 7" xfId="20783"/>
    <cellStyle name="Note 3 3 2 6" xfId="2989"/>
    <cellStyle name="Note 3 3 2 7" xfId="16042"/>
    <cellStyle name="Note 3 3 2 8" xfId="20784"/>
    <cellStyle name="Note 3 3 2 9" xfId="20785"/>
    <cellStyle name="Note 3 3 3" xfId="1451"/>
    <cellStyle name="Note 3 3 3 2" xfId="3349"/>
    <cellStyle name="Note 3 3 3 3" xfId="16043"/>
    <cellStyle name="Note 3 3 3 4" xfId="20786"/>
    <cellStyle name="Note 3 3 3 5" xfId="20787"/>
    <cellStyle name="Note 3 3 3 6" xfId="20788"/>
    <cellStyle name="Note 3 3 3 7" xfId="20789"/>
    <cellStyle name="Note 3 3 4" xfId="16044"/>
    <cellStyle name="Note 3 3 5" xfId="16045"/>
    <cellStyle name="Note 3 3 6" xfId="20790"/>
    <cellStyle name="Note 3 4" xfId="1217"/>
    <cellStyle name="Note 3 4 2" xfId="2757"/>
    <cellStyle name="Note 3 4 2 10" xfId="20791"/>
    <cellStyle name="Note 3 4 2 11" xfId="20792"/>
    <cellStyle name="Note 3 4 2 2" xfId="3060"/>
    <cellStyle name="Note 3 4 2 2 2" xfId="16046"/>
    <cellStyle name="Note 3 4 2 2 3" xfId="16047"/>
    <cellStyle name="Note 3 4 2 2 4" xfId="20793"/>
    <cellStyle name="Note 3 4 2 2 5" xfId="20794"/>
    <cellStyle name="Note 3 4 2 2 6" xfId="20795"/>
    <cellStyle name="Note 3 4 2 2 7" xfId="20796"/>
    <cellStyle name="Note 3 4 2 3" xfId="3163"/>
    <cellStyle name="Note 3 4 2 3 2" xfId="16048"/>
    <cellStyle name="Note 3 4 2 3 3" xfId="16049"/>
    <cellStyle name="Note 3 4 2 3 4" xfId="20797"/>
    <cellStyle name="Note 3 4 2 3 5" xfId="20798"/>
    <cellStyle name="Note 3 4 2 3 6" xfId="20799"/>
    <cellStyle name="Note 3 4 2 3 7" xfId="20800"/>
    <cellStyle name="Note 3 4 2 4" xfId="3183"/>
    <cellStyle name="Note 3 4 2 4 2" xfId="16050"/>
    <cellStyle name="Note 3 4 2 4 3" xfId="16051"/>
    <cellStyle name="Note 3 4 2 4 4" xfId="20801"/>
    <cellStyle name="Note 3 4 2 4 5" xfId="20802"/>
    <cellStyle name="Note 3 4 2 4 6" xfId="20803"/>
    <cellStyle name="Note 3 4 2 4 7" xfId="20804"/>
    <cellStyle name="Note 3 4 2 5" xfId="3127"/>
    <cellStyle name="Note 3 4 2 5 2" xfId="16052"/>
    <cellStyle name="Note 3 4 2 5 3" xfId="16053"/>
    <cellStyle name="Note 3 4 2 5 4" xfId="20805"/>
    <cellStyle name="Note 3 4 2 5 5" xfId="20806"/>
    <cellStyle name="Note 3 4 2 5 6" xfId="20807"/>
    <cellStyle name="Note 3 4 2 5 7" xfId="20808"/>
    <cellStyle name="Note 3 4 2 6" xfId="2990"/>
    <cellStyle name="Note 3 4 2 7" xfId="16054"/>
    <cellStyle name="Note 3 4 2 8" xfId="20809"/>
    <cellStyle name="Note 3 4 2 9" xfId="20810"/>
    <cellStyle name="Note 3 4 3" xfId="2756"/>
    <cellStyle name="Note 3 4 3 2" xfId="3350"/>
    <cellStyle name="Note 3 4 3 3" xfId="16055"/>
    <cellStyle name="Note 3 4 3 4" xfId="20811"/>
    <cellStyle name="Note 3 4 3 5" xfId="20812"/>
    <cellStyle name="Note 3 4 3 6" xfId="20813"/>
    <cellStyle name="Note 3 4 3 7" xfId="20814"/>
    <cellStyle name="Note 3 4 4" xfId="16056"/>
    <cellStyle name="Note 3 4 5" xfId="16057"/>
    <cellStyle name="Note 3 4 6" xfId="20815"/>
    <cellStyle name="Note 3 5" xfId="2758"/>
    <cellStyle name="Note 3 5 10" xfId="20816"/>
    <cellStyle name="Note 3 5 11" xfId="20817"/>
    <cellStyle name="Note 3 5 2" xfId="3041"/>
    <cellStyle name="Note 3 5 2 2" xfId="16058"/>
    <cellStyle name="Note 3 5 2 3" xfId="16059"/>
    <cellStyle name="Note 3 5 2 4" xfId="20818"/>
    <cellStyle name="Note 3 5 2 5" xfId="20819"/>
    <cellStyle name="Note 3 5 2 6" xfId="20820"/>
    <cellStyle name="Note 3 5 2 7" xfId="20821"/>
    <cellStyle name="Note 3 5 3" xfId="3144"/>
    <cellStyle name="Note 3 5 3 2" xfId="16060"/>
    <cellStyle name="Note 3 5 3 3" xfId="16061"/>
    <cellStyle name="Note 3 5 3 4" xfId="20822"/>
    <cellStyle name="Note 3 5 3 5" xfId="20823"/>
    <cellStyle name="Note 3 5 3 6" xfId="20824"/>
    <cellStyle name="Note 3 5 3 7" xfId="20825"/>
    <cellStyle name="Note 3 5 4" xfId="3090"/>
    <cellStyle name="Note 3 5 4 2" xfId="16062"/>
    <cellStyle name="Note 3 5 4 3" xfId="16063"/>
    <cellStyle name="Note 3 5 4 4" xfId="20826"/>
    <cellStyle name="Note 3 5 4 5" xfId="20827"/>
    <cellStyle name="Note 3 5 4 6" xfId="20828"/>
    <cellStyle name="Note 3 5 4 7" xfId="20829"/>
    <cellStyle name="Note 3 5 5" xfId="3238"/>
    <cellStyle name="Note 3 5 5 2" xfId="16064"/>
    <cellStyle name="Note 3 5 5 3" xfId="16065"/>
    <cellStyle name="Note 3 5 5 4" xfId="20830"/>
    <cellStyle name="Note 3 5 5 5" xfId="20831"/>
    <cellStyle name="Note 3 5 5 6" xfId="20832"/>
    <cellStyle name="Note 3 5 5 7" xfId="20833"/>
    <cellStyle name="Note 3 5 6" xfId="2960"/>
    <cellStyle name="Note 3 5 7" xfId="16066"/>
    <cellStyle name="Note 3 5 8" xfId="20834"/>
    <cellStyle name="Note 3 5 9" xfId="20835"/>
    <cellStyle name="Note 3 6" xfId="1449"/>
    <cellStyle name="Note 3 6 2" xfId="3351"/>
    <cellStyle name="Note 3 6 3" xfId="16067"/>
    <cellStyle name="Note 3 6 4" xfId="20836"/>
    <cellStyle name="Note 3 6 5" xfId="20837"/>
    <cellStyle name="Note 3 6 6" xfId="20838"/>
    <cellStyle name="Note 3 6 7" xfId="20839"/>
    <cellStyle name="Note 3 7" xfId="13849"/>
    <cellStyle name="Note 3 7 2" xfId="16068"/>
    <cellStyle name="Note 3 7 3" xfId="16069"/>
    <cellStyle name="Note 3 7 4" xfId="20840"/>
    <cellStyle name="Note 3 7 5" xfId="20841"/>
    <cellStyle name="Note 3 7 6" xfId="20842"/>
    <cellStyle name="Note 3 7 7" xfId="20843"/>
    <cellStyle name="Note 4" xfId="639"/>
    <cellStyle name="Note 4 2" xfId="1218"/>
    <cellStyle name="Note 4 3" xfId="2759"/>
    <cellStyle name="Note 4 3 10" xfId="20844"/>
    <cellStyle name="Note 4 3 11" xfId="20845"/>
    <cellStyle name="Note 4 3 2" xfId="3061"/>
    <cellStyle name="Note 4 3 2 2" xfId="16070"/>
    <cellStyle name="Note 4 3 2 3" xfId="16071"/>
    <cellStyle name="Note 4 3 2 4" xfId="20846"/>
    <cellStyle name="Note 4 3 2 5" xfId="20847"/>
    <cellStyle name="Note 4 3 2 6" xfId="20848"/>
    <cellStyle name="Note 4 3 2 7" xfId="20849"/>
    <cellStyle name="Note 4 3 3" xfId="3164"/>
    <cellStyle name="Note 4 3 3 2" xfId="16072"/>
    <cellStyle name="Note 4 3 3 3" xfId="16073"/>
    <cellStyle name="Note 4 3 3 4" xfId="20850"/>
    <cellStyle name="Note 4 3 3 5" xfId="20851"/>
    <cellStyle name="Note 4 3 3 6" xfId="20852"/>
    <cellStyle name="Note 4 3 3 7" xfId="20853"/>
    <cellStyle name="Note 4 3 4" xfId="3184"/>
    <cellStyle name="Note 4 3 4 2" xfId="16074"/>
    <cellStyle name="Note 4 3 4 3" xfId="16075"/>
    <cellStyle name="Note 4 3 4 4" xfId="20854"/>
    <cellStyle name="Note 4 3 4 5" xfId="20855"/>
    <cellStyle name="Note 4 3 4 6" xfId="20856"/>
    <cellStyle name="Note 4 3 4 7" xfId="20857"/>
    <cellStyle name="Note 4 3 5" xfId="3233"/>
    <cellStyle name="Note 4 3 5 2" xfId="16076"/>
    <cellStyle name="Note 4 3 5 3" xfId="16077"/>
    <cellStyle name="Note 4 3 5 4" xfId="20858"/>
    <cellStyle name="Note 4 3 5 5" xfId="20859"/>
    <cellStyle name="Note 4 3 5 6" xfId="20860"/>
    <cellStyle name="Note 4 3 5 7" xfId="20861"/>
    <cellStyle name="Note 4 3 6" xfId="2991"/>
    <cellStyle name="Note 4 3 7" xfId="16078"/>
    <cellStyle name="Note 4 3 8" xfId="20862"/>
    <cellStyle name="Note 4 3 9" xfId="20863"/>
    <cellStyle name="Note 4 4" xfId="1452"/>
    <cellStyle name="Note 4 4 2" xfId="3352"/>
    <cellStyle name="Note 4 4 3" xfId="16079"/>
    <cellStyle name="Note 4 4 4" xfId="20864"/>
    <cellStyle name="Note 4 4 5" xfId="20865"/>
    <cellStyle name="Note 4 4 6" xfId="20866"/>
    <cellStyle name="Note 4 4 7" xfId="20867"/>
    <cellStyle name="Note 4 5" xfId="12789"/>
    <cellStyle name="Note 4 6" xfId="16080"/>
    <cellStyle name="Note 4 7" xfId="16081"/>
    <cellStyle name="Note 4 8" xfId="20868"/>
    <cellStyle name="Note 5" xfId="1219"/>
    <cellStyle name="Note 5 2" xfId="2760"/>
    <cellStyle name="Note 5 2 10" xfId="20869"/>
    <cellStyle name="Note 5 2 11" xfId="20870"/>
    <cellStyle name="Note 5 2 2" xfId="3075"/>
    <cellStyle name="Note 5 2 2 2" xfId="16082"/>
    <cellStyle name="Note 5 2 2 3" xfId="16083"/>
    <cellStyle name="Note 5 2 2 4" xfId="20871"/>
    <cellStyle name="Note 5 2 2 5" xfId="20872"/>
    <cellStyle name="Note 5 2 2 6" xfId="20873"/>
    <cellStyle name="Note 5 2 2 7" xfId="20874"/>
    <cellStyle name="Note 5 2 3" xfId="3241"/>
    <cellStyle name="Note 5 2 3 2" xfId="16084"/>
    <cellStyle name="Note 5 2 3 3" xfId="16085"/>
    <cellStyle name="Note 5 2 3 4" xfId="20875"/>
    <cellStyle name="Note 5 2 3 5" xfId="20876"/>
    <cellStyle name="Note 5 2 3 6" xfId="20877"/>
    <cellStyle name="Note 5 2 3 7" xfId="20878"/>
    <cellStyle name="Note 5 2 4" xfId="3192"/>
    <cellStyle name="Note 5 2 4 2" xfId="16086"/>
    <cellStyle name="Note 5 2 4 3" xfId="16087"/>
    <cellStyle name="Note 5 2 4 4" xfId="20879"/>
    <cellStyle name="Note 5 2 4 5" xfId="20880"/>
    <cellStyle name="Note 5 2 4 6" xfId="20881"/>
    <cellStyle name="Note 5 2 4 7" xfId="20882"/>
    <cellStyle name="Note 5 2 5" xfId="3258"/>
    <cellStyle name="Note 5 2 5 2" xfId="16088"/>
    <cellStyle name="Note 5 2 5 3" xfId="16089"/>
    <cellStyle name="Note 5 2 5 4" xfId="20883"/>
    <cellStyle name="Note 5 2 5 5" xfId="20884"/>
    <cellStyle name="Note 5 2 5 6" xfId="20885"/>
    <cellStyle name="Note 5 2 5 7" xfId="20886"/>
    <cellStyle name="Note 5 2 6" xfId="3012"/>
    <cellStyle name="Note 5 2 7" xfId="16090"/>
    <cellStyle name="Note 5 2 8" xfId="20887"/>
    <cellStyle name="Note 5 2 9" xfId="20888"/>
    <cellStyle name="Note 6" xfId="12790"/>
    <cellStyle name="Notes" xfId="122"/>
    <cellStyle name="Notes 2" xfId="13807"/>
    <cellStyle name="NotIncluded1" xfId="640"/>
    <cellStyle name="OptionalGood" xfId="641"/>
    <cellStyle name="Output" xfId="2859" builtinId="21" customBuiltin="1"/>
    <cellStyle name="Output 2" xfId="224"/>
    <cellStyle name="Output 2 2" xfId="643"/>
    <cellStyle name="Output 2 2 2" xfId="1220"/>
    <cellStyle name="Output 2 2 2 2" xfId="2762"/>
    <cellStyle name="Output 2 2 2 2 10" xfId="20889"/>
    <cellStyle name="Output 2 2 2 2 11" xfId="20890"/>
    <cellStyle name="Output 2 2 2 2 2" xfId="3063"/>
    <cellStyle name="Output 2 2 2 2 2 2" xfId="16091"/>
    <cellStyle name="Output 2 2 2 2 2 3" xfId="16092"/>
    <cellStyle name="Output 2 2 2 2 2 4" xfId="20891"/>
    <cellStyle name="Output 2 2 2 2 2 5" xfId="20892"/>
    <cellStyle name="Output 2 2 2 2 2 6" xfId="20893"/>
    <cellStyle name="Output 2 2 2 2 2 7" xfId="20894"/>
    <cellStyle name="Output 2 2 2 2 3" xfId="3166"/>
    <cellStyle name="Output 2 2 2 2 3 2" xfId="16093"/>
    <cellStyle name="Output 2 2 2 2 3 3" xfId="16094"/>
    <cellStyle name="Output 2 2 2 2 3 4" xfId="20895"/>
    <cellStyle name="Output 2 2 2 2 3 5" xfId="20896"/>
    <cellStyle name="Output 2 2 2 2 3 6" xfId="20897"/>
    <cellStyle name="Output 2 2 2 2 3 7" xfId="20898"/>
    <cellStyle name="Output 2 2 2 2 4" xfId="3186"/>
    <cellStyle name="Output 2 2 2 2 4 2" xfId="16095"/>
    <cellStyle name="Output 2 2 2 2 4 3" xfId="16096"/>
    <cellStyle name="Output 2 2 2 2 4 4" xfId="20899"/>
    <cellStyle name="Output 2 2 2 2 4 5" xfId="20900"/>
    <cellStyle name="Output 2 2 2 2 4 6" xfId="20901"/>
    <cellStyle name="Output 2 2 2 2 4 7" xfId="20902"/>
    <cellStyle name="Output 2 2 2 2 5" xfId="3205"/>
    <cellStyle name="Output 2 2 2 2 5 2" xfId="16097"/>
    <cellStyle name="Output 2 2 2 2 5 3" xfId="16098"/>
    <cellStyle name="Output 2 2 2 2 5 4" xfId="20903"/>
    <cellStyle name="Output 2 2 2 2 5 5" xfId="20904"/>
    <cellStyle name="Output 2 2 2 2 5 6" xfId="20905"/>
    <cellStyle name="Output 2 2 2 2 5 7" xfId="20906"/>
    <cellStyle name="Output 2 2 2 2 6" xfId="2993"/>
    <cellStyle name="Output 2 2 2 2 7" xfId="16099"/>
    <cellStyle name="Output 2 2 2 2 8" xfId="20907"/>
    <cellStyle name="Output 2 2 2 2 9" xfId="20908"/>
    <cellStyle name="Output 2 2 2 3" xfId="3026"/>
    <cellStyle name="Output 2 2 2 3 2" xfId="16100"/>
    <cellStyle name="Output 2 2 2 3 3" xfId="16101"/>
    <cellStyle name="Output 2 2 2 3 4" xfId="20909"/>
    <cellStyle name="Output 2 2 2 3 5" xfId="20910"/>
    <cellStyle name="Output 2 2 2 3 6" xfId="20911"/>
    <cellStyle name="Output 2 2 2 3 7" xfId="20912"/>
    <cellStyle name="Output 2 2 2 4" xfId="16102"/>
    <cellStyle name="Output 2 2 2 5" xfId="16103"/>
    <cellStyle name="Output 2 2 2 6" xfId="20913"/>
    <cellStyle name="Output 2 2 2 7" xfId="20914"/>
    <cellStyle name="Output 2 2 2 8" xfId="20915"/>
    <cellStyle name="Output 2 2 3" xfId="2763"/>
    <cellStyle name="Output 2 2 3 10" xfId="20916"/>
    <cellStyle name="Output 2 2 3 11" xfId="20917"/>
    <cellStyle name="Output 2 2 3 2" xfId="3062"/>
    <cellStyle name="Output 2 2 3 2 2" xfId="16104"/>
    <cellStyle name="Output 2 2 3 2 3" xfId="16105"/>
    <cellStyle name="Output 2 2 3 2 4" xfId="20918"/>
    <cellStyle name="Output 2 2 3 2 5" xfId="20919"/>
    <cellStyle name="Output 2 2 3 2 6" xfId="20920"/>
    <cellStyle name="Output 2 2 3 2 7" xfId="20921"/>
    <cellStyle name="Output 2 2 3 3" xfId="3165"/>
    <cellStyle name="Output 2 2 3 3 2" xfId="16106"/>
    <cellStyle name="Output 2 2 3 3 3" xfId="16107"/>
    <cellStyle name="Output 2 2 3 3 4" xfId="20922"/>
    <cellStyle name="Output 2 2 3 3 5" xfId="20923"/>
    <cellStyle name="Output 2 2 3 3 6" xfId="20924"/>
    <cellStyle name="Output 2 2 3 3 7" xfId="20925"/>
    <cellStyle name="Output 2 2 3 4" xfId="3185"/>
    <cellStyle name="Output 2 2 3 4 2" xfId="16108"/>
    <cellStyle name="Output 2 2 3 4 3" xfId="16109"/>
    <cellStyle name="Output 2 2 3 4 4" xfId="20926"/>
    <cellStyle name="Output 2 2 3 4 5" xfId="20927"/>
    <cellStyle name="Output 2 2 3 4 6" xfId="20928"/>
    <cellStyle name="Output 2 2 3 4 7" xfId="20929"/>
    <cellStyle name="Output 2 2 3 5" xfId="3190"/>
    <cellStyle name="Output 2 2 3 5 2" xfId="16110"/>
    <cellStyle name="Output 2 2 3 5 3" xfId="16111"/>
    <cellStyle name="Output 2 2 3 5 4" xfId="20930"/>
    <cellStyle name="Output 2 2 3 5 5" xfId="20931"/>
    <cellStyle name="Output 2 2 3 5 6" xfId="20932"/>
    <cellStyle name="Output 2 2 3 5 7" xfId="20933"/>
    <cellStyle name="Output 2 2 3 6" xfId="2992"/>
    <cellStyle name="Output 2 2 3 7" xfId="16112"/>
    <cellStyle name="Output 2 2 3 8" xfId="20934"/>
    <cellStyle name="Output 2 2 3 9" xfId="20935"/>
    <cellStyle name="Output 2 2 4" xfId="2761"/>
    <cellStyle name="Output 2 2 4 2" xfId="3353"/>
    <cellStyle name="Output 2 2 4 3" xfId="16113"/>
    <cellStyle name="Output 2 2 4 4" xfId="20936"/>
    <cellStyle name="Output 2 2 4 5" xfId="20937"/>
    <cellStyle name="Output 2 2 4 6" xfId="20938"/>
    <cellStyle name="Output 2 2 4 7" xfId="20939"/>
    <cellStyle name="Output 2 2 5" xfId="16114"/>
    <cellStyle name="Output 2 2 6" xfId="16115"/>
    <cellStyle name="Output 2 2 7" xfId="20940"/>
    <cellStyle name="Output 2 2 8" xfId="20941"/>
    <cellStyle name="Output 2 3" xfId="644"/>
    <cellStyle name="Output 2 3 2" xfId="1221"/>
    <cellStyle name="Output 2 3 2 10" xfId="20942"/>
    <cellStyle name="Output 2 3 2 11" xfId="20943"/>
    <cellStyle name="Output 2 3 2 2" xfId="2765"/>
    <cellStyle name="Output 2 3 2 2 2" xfId="3064"/>
    <cellStyle name="Output 2 3 2 2 3" xfId="16116"/>
    <cellStyle name="Output 2 3 2 2 4" xfId="20944"/>
    <cellStyle name="Output 2 3 2 2 5" xfId="20945"/>
    <cellStyle name="Output 2 3 2 2 6" xfId="20946"/>
    <cellStyle name="Output 2 3 2 2 7" xfId="20947"/>
    <cellStyle name="Output 2 3 2 3" xfId="3167"/>
    <cellStyle name="Output 2 3 2 3 2" xfId="16117"/>
    <cellStyle name="Output 2 3 2 3 3" xfId="16118"/>
    <cellStyle name="Output 2 3 2 3 4" xfId="20948"/>
    <cellStyle name="Output 2 3 2 3 5" xfId="20949"/>
    <cellStyle name="Output 2 3 2 3 6" xfId="20950"/>
    <cellStyle name="Output 2 3 2 3 7" xfId="20951"/>
    <cellStyle name="Output 2 3 2 4" xfId="3187"/>
    <cellStyle name="Output 2 3 2 4 2" xfId="16119"/>
    <cellStyle name="Output 2 3 2 4 3" xfId="16120"/>
    <cellStyle name="Output 2 3 2 4 4" xfId="20952"/>
    <cellStyle name="Output 2 3 2 4 5" xfId="20953"/>
    <cellStyle name="Output 2 3 2 4 6" xfId="20954"/>
    <cellStyle name="Output 2 3 2 4 7" xfId="20955"/>
    <cellStyle name="Output 2 3 2 5" xfId="3204"/>
    <cellStyle name="Output 2 3 2 5 2" xfId="16121"/>
    <cellStyle name="Output 2 3 2 5 3" xfId="16122"/>
    <cellStyle name="Output 2 3 2 5 4" xfId="20956"/>
    <cellStyle name="Output 2 3 2 5 5" xfId="20957"/>
    <cellStyle name="Output 2 3 2 5 6" xfId="20958"/>
    <cellStyle name="Output 2 3 2 5 7" xfId="20959"/>
    <cellStyle name="Output 2 3 2 6" xfId="2994"/>
    <cellStyle name="Output 2 3 2 7" xfId="16123"/>
    <cellStyle name="Output 2 3 2 8" xfId="20960"/>
    <cellStyle name="Output 2 3 2 9" xfId="20961"/>
    <cellStyle name="Output 2 3 3" xfId="2764"/>
    <cellStyle name="Output 2 3 3 2" xfId="3027"/>
    <cellStyle name="Output 2 3 3 3" xfId="16124"/>
    <cellStyle name="Output 2 3 3 4" xfId="20962"/>
    <cellStyle name="Output 2 3 3 5" xfId="20963"/>
    <cellStyle name="Output 2 3 3 6" xfId="20964"/>
    <cellStyle name="Output 2 3 3 7" xfId="20965"/>
    <cellStyle name="Output 2 3 4" xfId="16125"/>
    <cellStyle name="Output 2 3 5" xfId="16126"/>
    <cellStyle name="Output 2 3 6" xfId="20966"/>
    <cellStyle name="Output 2 3 7" xfId="20967"/>
    <cellStyle name="Output 2 3 8" xfId="20968"/>
    <cellStyle name="Output 2 4" xfId="642"/>
    <cellStyle name="Output 2 4 10" xfId="20969"/>
    <cellStyle name="Output 2 4 11" xfId="20970"/>
    <cellStyle name="Output 2 4 2" xfId="2766"/>
    <cellStyle name="Output 2 4 2 2" xfId="3043"/>
    <cellStyle name="Output 2 4 2 3" xfId="16127"/>
    <cellStyle name="Output 2 4 2 4" xfId="20971"/>
    <cellStyle name="Output 2 4 2 5" xfId="20972"/>
    <cellStyle name="Output 2 4 2 6" xfId="20973"/>
    <cellStyle name="Output 2 4 2 7" xfId="20974"/>
    <cellStyle name="Output 2 4 3" xfId="3146"/>
    <cellStyle name="Output 2 4 3 2" xfId="16128"/>
    <cellStyle name="Output 2 4 3 3" xfId="16129"/>
    <cellStyle name="Output 2 4 3 4" xfId="20975"/>
    <cellStyle name="Output 2 4 3 5" xfId="20976"/>
    <cellStyle name="Output 2 4 3 6" xfId="20977"/>
    <cellStyle name="Output 2 4 3 7" xfId="20978"/>
    <cellStyle name="Output 2 4 4" xfId="3118"/>
    <cellStyle name="Output 2 4 4 2" xfId="16130"/>
    <cellStyle name="Output 2 4 4 3" xfId="16131"/>
    <cellStyle name="Output 2 4 4 4" xfId="20979"/>
    <cellStyle name="Output 2 4 4 5" xfId="20980"/>
    <cellStyle name="Output 2 4 4 6" xfId="20981"/>
    <cellStyle name="Output 2 4 4 7" xfId="20982"/>
    <cellStyle name="Output 2 4 5" xfId="3094"/>
    <cellStyle name="Output 2 4 5 2" xfId="16132"/>
    <cellStyle name="Output 2 4 5 3" xfId="16133"/>
    <cellStyle name="Output 2 4 5 4" xfId="20983"/>
    <cellStyle name="Output 2 4 5 5" xfId="20984"/>
    <cellStyle name="Output 2 4 5 6" xfId="20985"/>
    <cellStyle name="Output 2 4 5 7" xfId="20986"/>
    <cellStyle name="Output 2 4 6" xfId="2962"/>
    <cellStyle name="Output 2 4 7" xfId="16134"/>
    <cellStyle name="Output 2 4 8" xfId="20987"/>
    <cellStyle name="Output 2 4 9" xfId="20988"/>
    <cellStyle name="Output 2 5" xfId="2767"/>
    <cellStyle name="Output 2 5 2" xfId="3354"/>
    <cellStyle name="Output 2 5 3" xfId="16135"/>
    <cellStyle name="Output 2 5 4" xfId="20989"/>
    <cellStyle name="Output 2 5 5" xfId="20990"/>
    <cellStyle name="Output 2 5 6" xfId="20991"/>
    <cellStyle name="Output 2 5 7" xfId="20992"/>
    <cellStyle name="Output 2 6" xfId="1453"/>
    <cellStyle name="Output 2 6 2" xfId="13842"/>
    <cellStyle name="Output 2 6 3" xfId="16136"/>
    <cellStyle name="Output 2 6 4" xfId="20993"/>
    <cellStyle name="Output 2 6 5" xfId="20994"/>
    <cellStyle name="Output 2 6 6" xfId="20995"/>
    <cellStyle name="Output 2 6 7" xfId="20996"/>
    <cellStyle name="Output 3" xfId="225"/>
    <cellStyle name="Output 3 2" xfId="645"/>
    <cellStyle name="Output 3 2 2" xfId="1222"/>
    <cellStyle name="Output 3 2 2 10" xfId="20997"/>
    <cellStyle name="Output 3 2 2 11" xfId="20998"/>
    <cellStyle name="Output 3 2 2 2" xfId="2768"/>
    <cellStyle name="Output 3 2 2 2 2" xfId="3065"/>
    <cellStyle name="Output 3 2 2 2 3" xfId="16137"/>
    <cellStyle name="Output 3 2 2 2 4" xfId="20999"/>
    <cellStyle name="Output 3 2 2 2 5" xfId="21000"/>
    <cellStyle name="Output 3 2 2 2 6" xfId="21001"/>
    <cellStyle name="Output 3 2 2 2 7" xfId="21002"/>
    <cellStyle name="Output 3 2 2 3" xfId="3168"/>
    <cellStyle name="Output 3 2 2 3 2" xfId="16138"/>
    <cellStyle name="Output 3 2 2 3 3" xfId="16139"/>
    <cellStyle name="Output 3 2 2 3 4" xfId="21003"/>
    <cellStyle name="Output 3 2 2 3 5" xfId="21004"/>
    <cellStyle name="Output 3 2 2 3 6" xfId="21005"/>
    <cellStyle name="Output 3 2 2 3 7" xfId="21006"/>
    <cellStyle name="Output 3 2 2 4" xfId="3096"/>
    <cellStyle name="Output 3 2 2 4 2" xfId="16140"/>
    <cellStyle name="Output 3 2 2 4 3" xfId="16141"/>
    <cellStyle name="Output 3 2 2 4 4" xfId="21007"/>
    <cellStyle name="Output 3 2 2 4 5" xfId="21008"/>
    <cellStyle name="Output 3 2 2 4 6" xfId="21009"/>
    <cellStyle name="Output 3 2 2 4 7" xfId="21010"/>
    <cellStyle name="Output 3 2 2 5" xfId="3126"/>
    <cellStyle name="Output 3 2 2 5 2" xfId="16142"/>
    <cellStyle name="Output 3 2 2 5 3" xfId="16143"/>
    <cellStyle name="Output 3 2 2 5 4" xfId="21011"/>
    <cellStyle name="Output 3 2 2 5 5" xfId="21012"/>
    <cellStyle name="Output 3 2 2 5 6" xfId="21013"/>
    <cellStyle name="Output 3 2 2 5 7" xfId="21014"/>
    <cellStyle name="Output 3 2 2 6" xfId="2995"/>
    <cellStyle name="Output 3 2 2 7" xfId="16144"/>
    <cellStyle name="Output 3 2 2 8" xfId="21015"/>
    <cellStyle name="Output 3 2 2 9" xfId="21016"/>
    <cellStyle name="Output 3 2 3" xfId="1455"/>
    <cellStyle name="Output 3 2 3 2" xfId="3028"/>
    <cellStyle name="Output 3 2 3 3" xfId="16145"/>
    <cellStyle name="Output 3 2 3 4" xfId="21017"/>
    <cellStyle name="Output 3 2 3 5" xfId="21018"/>
    <cellStyle name="Output 3 2 3 6" xfId="21019"/>
    <cellStyle name="Output 3 2 3 7" xfId="21020"/>
    <cellStyle name="Output 3 2 4" xfId="16146"/>
    <cellStyle name="Output 3 2 5" xfId="16147"/>
    <cellStyle name="Output 3 2 6" xfId="21021"/>
    <cellStyle name="Output 3 2 7" xfId="21022"/>
    <cellStyle name="Output 3 2 8" xfId="21023"/>
    <cellStyle name="Output 3 3" xfId="1223"/>
    <cellStyle name="Output 3 3 10" xfId="21024"/>
    <cellStyle name="Output 3 3 11" xfId="21025"/>
    <cellStyle name="Output 3 3 2" xfId="2769"/>
    <cellStyle name="Output 3 3 2 2" xfId="3084"/>
    <cellStyle name="Output 3 3 2 3" xfId="16148"/>
    <cellStyle name="Output 3 3 2 4" xfId="21026"/>
    <cellStyle name="Output 3 3 2 5" xfId="21027"/>
    <cellStyle name="Output 3 3 2 6" xfId="21028"/>
    <cellStyle name="Output 3 3 2 7" xfId="21029"/>
    <cellStyle name="Output 3 3 3" xfId="3252"/>
    <cellStyle name="Output 3 3 3 2" xfId="16149"/>
    <cellStyle name="Output 3 3 3 3" xfId="16150"/>
    <cellStyle name="Output 3 3 3 4" xfId="21030"/>
    <cellStyle name="Output 3 3 3 5" xfId="21031"/>
    <cellStyle name="Output 3 3 3 6" xfId="21032"/>
    <cellStyle name="Output 3 3 3 7" xfId="21033"/>
    <cellStyle name="Output 3 3 4" xfId="3236"/>
    <cellStyle name="Output 3 3 4 2" xfId="16151"/>
    <cellStyle name="Output 3 3 4 3" xfId="16152"/>
    <cellStyle name="Output 3 3 4 4" xfId="21034"/>
    <cellStyle name="Output 3 3 4 5" xfId="21035"/>
    <cellStyle name="Output 3 3 4 6" xfId="21036"/>
    <cellStyle name="Output 3 3 4 7" xfId="21037"/>
    <cellStyle name="Output 3 3 5" xfId="3267"/>
    <cellStyle name="Output 3 3 5 2" xfId="16153"/>
    <cellStyle name="Output 3 3 5 3" xfId="16154"/>
    <cellStyle name="Output 3 3 5 4" xfId="21038"/>
    <cellStyle name="Output 3 3 5 5" xfId="21039"/>
    <cellStyle name="Output 3 3 5 6" xfId="21040"/>
    <cellStyle name="Output 3 3 5 7" xfId="21041"/>
    <cellStyle name="Output 3 3 6" xfId="3021"/>
    <cellStyle name="Output 3 3 7" xfId="16155"/>
    <cellStyle name="Output 3 3 8" xfId="21042"/>
    <cellStyle name="Output 3 3 9" xfId="21043"/>
    <cellStyle name="Output 3 4" xfId="2770"/>
    <cellStyle name="Output 3 4 10" xfId="21044"/>
    <cellStyle name="Output 3 4 11" xfId="21045"/>
    <cellStyle name="Output 3 4 2" xfId="3044"/>
    <cellStyle name="Output 3 4 2 2" xfId="16156"/>
    <cellStyle name="Output 3 4 2 3" xfId="16157"/>
    <cellStyle name="Output 3 4 2 4" xfId="21046"/>
    <cellStyle name="Output 3 4 2 5" xfId="21047"/>
    <cellStyle name="Output 3 4 2 6" xfId="21048"/>
    <cellStyle name="Output 3 4 2 7" xfId="21049"/>
    <cellStyle name="Output 3 4 3" xfId="3147"/>
    <cellStyle name="Output 3 4 3 2" xfId="16158"/>
    <cellStyle name="Output 3 4 3 3" xfId="16159"/>
    <cellStyle name="Output 3 4 3 4" xfId="21050"/>
    <cellStyle name="Output 3 4 3 5" xfId="21051"/>
    <cellStyle name="Output 3 4 3 6" xfId="21052"/>
    <cellStyle name="Output 3 4 3 7" xfId="21053"/>
    <cellStyle name="Output 3 4 4" xfId="3091"/>
    <cellStyle name="Output 3 4 4 2" xfId="16160"/>
    <cellStyle name="Output 3 4 4 3" xfId="16161"/>
    <cellStyle name="Output 3 4 4 4" xfId="21054"/>
    <cellStyle name="Output 3 4 4 5" xfId="21055"/>
    <cellStyle name="Output 3 4 4 6" xfId="21056"/>
    <cellStyle name="Output 3 4 4 7" xfId="21057"/>
    <cellStyle name="Output 3 4 5" xfId="3228"/>
    <cellStyle name="Output 3 4 5 2" xfId="16162"/>
    <cellStyle name="Output 3 4 5 3" xfId="16163"/>
    <cellStyle name="Output 3 4 5 4" xfId="21058"/>
    <cellStyle name="Output 3 4 5 5" xfId="21059"/>
    <cellStyle name="Output 3 4 5 6" xfId="21060"/>
    <cellStyle name="Output 3 4 5 7" xfId="21061"/>
    <cellStyle name="Output 3 4 6" xfId="2963"/>
    <cellStyle name="Output 3 4 7" xfId="16164"/>
    <cellStyle name="Output 3 4 8" xfId="21062"/>
    <cellStyle name="Output 3 4 9" xfId="21063"/>
    <cellStyle name="Output 3 5" xfId="2771"/>
    <cellStyle name="Output 3 5 2" xfId="3024"/>
    <cellStyle name="Output 3 5 3" xfId="16165"/>
    <cellStyle name="Output 3 5 4" xfId="21064"/>
    <cellStyle name="Output 3 5 5" xfId="21065"/>
    <cellStyle name="Output 3 5 6" xfId="21066"/>
    <cellStyle name="Output 3 5 7" xfId="21067"/>
    <cellStyle name="Output 3 6" xfId="1454"/>
    <cellStyle name="Output 3 6 2" xfId="13850"/>
    <cellStyle name="Output 3 6 3" xfId="16166"/>
    <cellStyle name="Output 3 6 4" xfId="21068"/>
    <cellStyle name="Output 3 6 5" xfId="21069"/>
    <cellStyle name="Output 3 6 6" xfId="21070"/>
    <cellStyle name="Output 3 6 7" xfId="21071"/>
    <cellStyle name="Output 4" xfId="646"/>
    <cellStyle name="Output 4 2" xfId="2772"/>
    <cellStyle name="Output 5" xfId="13808"/>
    <cellStyle name="Percent" xfId="2" builtinId="5"/>
    <cellStyle name="Percent 10" xfId="647"/>
    <cellStyle name="Percent 10 2" xfId="1224"/>
    <cellStyle name="Percent 10 2 2" xfId="1481"/>
    <cellStyle name="Percent 10 2 2 2" xfId="12760"/>
    <cellStyle name="Percent 10 3" xfId="2773"/>
    <cellStyle name="Percent 10 4" xfId="1456"/>
    <cellStyle name="Percent 10 4 2" xfId="12791"/>
    <cellStyle name="Percent 11" xfId="694"/>
    <cellStyle name="Percent 11 2" xfId="2774"/>
    <cellStyle name="Percent 11 2 2" xfId="8947"/>
    <cellStyle name="Percent 11 2 3" xfId="12541"/>
    <cellStyle name="Percent 11 3" xfId="8948"/>
    <cellStyle name="Percent 11 3 2" xfId="8949"/>
    <cellStyle name="Percent 11 3 3" xfId="12542"/>
    <cellStyle name="Percent 11 4" xfId="8950"/>
    <cellStyle name="Percent 11 5" xfId="12543"/>
    <cellStyle name="Percent 12" xfId="1225"/>
    <cellStyle name="Percent 12 2" xfId="2775"/>
    <cellStyle name="Percent 13" xfId="2776"/>
    <cellStyle name="Percent 14" xfId="2777"/>
    <cellStyle name="Percent 14 2" xfId="2778"/>
    <cellStyle name="Percent 14 2 2" xfId="12792"/>
    <cellStyle name="Percent 15" xfId="13809"/>
    <cellStyle name="Percent 16" xfId="16167"/>
    <cellStyle name="Percent 16 2" xfId="2779"/>
    <cellStyle name="Percent 16 2 2" xfId="12763"/>
    <cellStyle name="Percent 17" xfId="21492"/>
    <cellStyle name="Percent 2" xfId="7"/>
    <cellStyle name="Percent 2 2" xfId="123"/>
    <cellStyle name="Percent 2 2 2" xfId="648"/>
    <cellStyle name="Percent 2 2 3" xfId="649"/>
    <cellStyle name="Percent 2 2 3 2" xfId="1226"/>
    <cellStyle name="Percent 2 2 4" xfId="650"/>
    <cellStyle name="Percent 2 2 4 2" xfId="13810"/>
    <cellStyle name="Percent 2 2 5" xfId="651"/>
    <cellStyle name="Percent 2 2 6" xfId="652"/>
    <cellStyle name="Percent 2 2 7" xfId="653"/>
    <cellStyle name="Percent 2 2 8" xfId="654"/>
    <cellStyle name="Percent 2 3" xfId="655"/>
    <cellStyle name="Percent 2 3 2" xfId="2780"/>
    <cellStyle name="Percent 2 3 3" xfId="2781"/>
    <cellStyle name="Percent 2 3 4" xfId="1457"/>
    <cellStyle name="Percent 2 4" xfId="695"/>
    <cellStyle name="Percent 2 4 2" xfId="1227"/>
    <cellStyle name="Percent 2 4 2 2" xfId="1480"/>
    <cellStyle name="Percent 2 4 3" xfId="2964"/>
    <cellStyle name="Percent 2 5" xfId="1228"/>
    <cellStyle name="Percent 2 5 2" xfId="16345"/>
    <cellStyle name="Percent 2 6" xfId="1229"/>
    <cellStyle name="Percent 2 7" xfId="2782"/>
    <cellStyle name="Percent 2 7 2" xfId="13811"/>
    <cellStyle name="Percent 3" xfId="60"/>
    <cellStyle name="Percent 3 10" xfId="8951"/>
    <cellStyle name="Percent 3 11" xfId="12544"/>
    <cellStyle name="Percent 3 2" xfId="656"/>
    <cellStyle name="Percent 3 2 2" xfId="657"/>
    <cellStyle name="Percent 3 2 2 2" xfId="1230"/>
    <cellStyle name="Percent 3 2 2 2 2" xfId="2783"/>
    <cellStyle name="Percent 3 2 2 2 2 2" xfId="8952"/>
    <cellStyle name="Percent 3 2 2 2 2 2 2" xfId="8953"/>
    <cellStyle name="Percent 3 2 2 2 2 2 2 2" xfId="8954"/>
    <cellStyle name="Percent 3 2 2 2 2 2 2 3" xfId="12545"/>
    <cellStyle name="Percent 3 2 2 2 2 2 3" xfId="8955"/>
    <cellStyle name="Percent 3 2 2 2 2 2 3 2" xfId="8956"/>
    <cellStyle name="Percent 3 2 2 2 2 2 3 3" xfId="12546"/>
    <cellStyle name="Percent 3 2 2 2 2 2 4" xfId="8957"/>
    <cellStyle name="Percent 3 2 2 2 2 2 5" xfId="12547"/>
    <cellStyle name="Percent 3 2 2 2 2 3" xfId="8958"/>
    <cellStyle name="Percent 3 2 2 2 2 3 2" xfId="8959"/>
    <cellStyle name="Percent 3 2 2 2 2 3 3" xfId="12548"/>
    <cellStyle name="Percent 3 2 2 2 2 4" xfId="8960"/>
    <cellStyle name="Percent 3 2 2 2 2 4 2" xfId="8961"/>
    <cellStyle name="Percent 3 2 2 2 2 4 3" xfId="12549"/>
    <cellStyle name="Percent 3 2 2 2 2 5" xfId="8962"/>
    <cellStyle name="Percent 3 2 2 2 2 6" xfId="12550"/>
    <cellStyle name="Percent 3 2 2 2 3" xfId="8963"/>
    <cellStyle name="Percent 3 2 2 2 3 2" xfId="8964"/>
    <cellStyle name="Percent 3 2 2 2 3 2 2" xfId="8965"/>
    <cellStyle name="Percent 3 2 2 2 3 2 3" xfId="12551"/>
    <cellStyle name="Percent 3 2 2 2 3 3" xfId="8966"/>
    <cellStyle name="Percent 3 2 2 2 3 3 2" xfId="8967"/>
    <cellStyle name="Percent 3 2 2 2 3 3 3" xfId="12552"/>
    <cellStyle name="Percent 3 2 2 2 3 4" xfId="8968"/>
    <cellStyle name="Percent 3 2 2 2 3 5" xfId="12553"/>
    <cellStyle name="Percent 3 2 2 2 4" xfId="8969"/>
    <cellStyle name="Percent 3 2 2 2 4 2" xfId="8970"/>
    <cellStyle name="Percent 3 2 2 2 4 3" xfId="12554"/>
    <cellStyle name="Percent 3 2 2 2 5" xfId="8971"/>
    <cellStyle name="Percent 3 2 2 2 5 2" xfId="8972"/>
    <cellStyle name="Percent 3 2 2 2 5 3" xfId="12555"/>
    <cellStyle name="Percent 3 2 2 2 6" xfId="8973"/>
    <cellStyle name="Percent 3 2 2 2 7" xfId="12556"/>
    <cellStyle name="Percent 3 2 2 3" xfId="2784"/>
    <cellStyle name="Percent 3 2 2 3 2" xfId="8974"/>
    <cellStyle name="Percent 3 2 2 3 2 2" xfId="8975"/>
    <cellStyle name="Percent 3 2 2 3 2 2 2" xfId="8976"/>
    <cellStyle name="Percent 3 2 2 3 2 2 3" xfId="12557"/>
    <cellStyle name="Percent 3 2 2 3 2 3" xfId="8977"/>
    <cellStyle name="Percent 3 2 2 3 2 3 2" xfId="8978"/>
    <cellStyle name="Percent 3 2 2 3 2 3 3" xfId="12558"/>
    <cellStyle name="Percent 3 2 2 3 2 4" xfId="8979"/>
    <cellStyle name="Percent 3 2 2 3 2 5" xfId="12559"/>
    <cellStyle name="Percent 3 2 2 3 3" xfId="8980"/>
    <cellStyle name="Percent 3 2 2 3 3 2" xfId="8981"/>
    <cellStyle name="Percent 3 2 2 3 3 3" xfId="12560"/>
    <cellStyle name="Percent 3 2 2 3 4" xfId="8982"/>
    <cellStyle name="Percent 3 2 2 3 4 2" xfId="8983"/>
    <cellStyle name="Percent 3 2 2 3 4 3" xfId="12561"/>
    <cellStyle name="Percent 3 2 2 3 5" xfId="8984"/>
    <cellStyle name="Percent 3 2 2 3 6" xfId="12562"/>
    <cellStyle name="Percent 3 2 2 4" xfId="1458"/>
    <cellStyle name="Percent 3 2 2 4 2" xfId="8986"/>
    <cellStyle name="Percent 3 2 2 4 2 2" xfId="8987"/>
    <cellStyle name="Percent 3 2 2 4 2 3" xfId="12563"/>
    <cellStyle name="Percent 3 2 2 4 3" xfId="8988"/>
    <cellStyle name="Percent 3 2 2 4 3 2" xfId="8989"/>
    <cellStyle name="Percent 3 2 2 4 3 3" xfId="12564"/>
    <cellStyle name="Percent 3 2 2 4 4" xfId="8990"/>
    <cellStyle name="Percent 3 2 2 4 5" xfId="12565"/>
    <cellStyle name="Percent 3 2 2 4 6" xfId="8985"/>
    <cellStyle name="Percent 3 2 2 5" xfId="8991"/>
    <cellStyle name="Percent 3 2 2 5 2" xfId="8992"/>
    <cellStyle name="Percent 3 2 2 5 3" xfId="12566"/>
    <cellStyle name="Percent 3 2 2 6" xfId="8993"/>
    <cellStyle name="Percent 3 2 2 6 2" xfId="8994"/>
    <cellStyle name="Percent 3 2 2 6 3" xfId="12567"/>
    <cellStyle name="Percent 3 2 2 7" xfId="8995"/>
    <cellStyle name="Percent 3 2 2 8" xfId="12568"/>
    <cellStyle name="Percent 3 2 3" xfId="658"/>
    <cellStyle name="Percent 3 2 3 2" xfId="2786"/>
    <cellStyle name="Percent 3 2 3 2 2" xfId="8996"/>
    <cellStyle name="Percent 3 2 3 2 2 2" xfId="8997"/>
    <cellStyle name="Percent 3 2 3 2 2 2 2" xfId="8998"/>
    <cellStyle name="Percent 3 2 3 2 2 2 3" xfId="12569"/>
    <cellStyle name="Percent 3 2 3 2 2 3" xfId="8999"/>
    <cellStyle name="Percent 3 2 3 2 2 3 2" xfId="9000"/>
    <cellStyle name="Percent 3 2 3 2 2 3 3" xfId="12570"/>
    <cellStyle name="Percent 3 2 3 2 2 4" xfId="9001"/>
    <cellStyle name="Percent 3 2 3 2 2 5" xfId="12571"/>
    <cellStyle name="Percent 3 2 3 2 3" xfId="9002"/>
    <cellStyle name="Percent 3 2 3 2 3 2" xfId="9003"/>
    <cellStyle name="Percent 3 2 3 2 3 3" xfId="12572"/>
    <cellStyle name="Percent 3 2 3 2 4" xfId="9004"/>
    <cellStyle name="Percent 3 2 3 2 4 2" xfId="9005"/>
    <cellStyle name="Percent 3 2 3 2 4 3" xfId="12573"/>
    <cellStyle name="Percent 3 2 3 2 5" xfId="9006"/>
    <cellStyle name="Percent 3 2 3 2 6" xfId="12574"/>
    <cellStyle name="Percent 3 2 3 3" xfId="2785"/>
    <cellStyle name="Percent 3 2 3 3 2" xfId="9007"/>
    <cellStyle name="Percent 3 2 3 3 2 2" xfId="9008"/>
    <cellStyle name="Percent 3 2 3 3 2 3" xfId="12575"/>
    <cellStyle name="Percent 3 2 3 3 3" xfId="9009"/>
    <cellStyle name="Percent 3 2 3 3 3 2" xfId="9010"/>
    <cellStyle name="Percent 3 2 3 3 3 3" xfId="12576"/>
    <cellStyle name="Percent 3 2 3 3 4" xfId="9011"/>
    <cellStyle name="Percent 3 2 3 3 5" xfId="12577"/>
    <cellStyle name="Percent 3 2 3 4" xfId="9012"/>
    <cellStyle name="Percent 3 2 3 4 2" xfId="9013"/>
    <cellStyle name="Percent 3 2 3 4 3" xfId="12578"/>
    <cellStyle name="Percent 3 2 3 5" xfId="9014"/>
    <cellStyle name="Percent 3 2 3 5 2" xfId="9015"/>
    <cellStyle name="Percent 3 2 3 5 3" xfId="12579"/>
    <cellStyle name="Percent 3 2 3 6" xfId="9016"/>
    <cellStyle name="Percent 3 2 3 7" xfId="12580"/>
    <cellStyle name="Percent 3 2 4" xfId="2787"/>
    <cellStyle name="Percent 3 2 4 2" xfId="9017"/>
    <cellStyle name="Percent 3 2 4 2 2" xfId="9018"/>
    <cellStyle name="Percent 3 2 4 2 2 2" xfId="9019"/>
    <cellStyle name="Percent 3 2 4 2 2 3" xfId="12581"/>
    <cellStyle name="Percent 3 2 4 2 3" xfId="9020"/>
    <cellStyle name="Percent 3 2 4 2 3 2" xfId="9021"/>
    <cellStyle name="Percent 3 2 4 2 3 3" xfId="12582"/>
    <cellStyle name="Percent 3 2 4 2 4" xfId="9022"/>
    <cellStyle name="Percent 3 2 4 2 5" xfId="12583"/>
    <cellStyle name="Percent 3 2 4 3" xfId="9023"/>
    <cellStyle name="Percent 3 2 4 3 2" xfId="9024"/>
    <cellStyle name="Percent 3 2 4 3 3" xfId="12584"/>
    <cellStyle name="Percent 3 2 4 4" xfId="9025"/>
    <cellStyle name="Percent 3 2 4 4 2" xfId="9026"/>
    <cellStyle name="Percent 3 2 4 4 3" xfId="12585"/>
    <cellStyle name="Percent 3 2 4 5" xfId="9027"/>
    <cellStyle name="Percent 3 2 4 6" xfId="12586"/>
    <cellStyle name="Percent 3 2 5" xfId="2965"/>
    <cellStyle name="Percent 3 2 5 2" xfId="9028"/>
    <cellStyle name="Percent 3 2 5 2 2" xfId="9029"/>
    <cellStyle name="Percent 3 2 5 2 3" xfId="12587"/>
    <cellStyle name="Percent 3 2 5 3" xfId="9030"/>
    <cellStyle name="Percent 3 2 5 3 2" xfId="9031"/>
    <cellStyle name="Percent 3 2 5 3 3" xfId="12588"/>
    <cellStyle name="Percent 3 2 5 4" xfId="9032"/>
    <cellStyle name="Percent 3 2 5 5" xfId="12589"/>
    <cellStyle name="Percent 3 2 6" xfId="9033"/>
    <cellStyle name="Percent 3 2 6 2" xfId="9034"/>
    <cellStyle name="Percent 3 2 6 3" xfId="12590"/>
    <cellStyle name="Percent 3 2 7" xfId="9035"/>
    <cellStyle name="Percent 3 2 7 2" xfId="9036"/>
    <cellStyle name="Percent 3 2 7 3" xfId="12591"/>
    <cellStyle name="Percent 3 2 8" xfId="9037"/>
    <cellStyle name="Percent 3 2 9" xfId="12592"/>
    <cellStyle name="Percent 3 3" xfId="1231"/>
    <cellStyle name="Percent 3 3 2" xfId="1232"/>
    <cellStyle name="Percent 3 3 2 2" xfId="2788"/>
    <cellStyle name="Percent 3 3 2 2 2" xfId="9038"/>
    <cellStyle name="Percent 3 3 2 2 2 2" xfId="9039"/>
    <cellStyle name="Percent 3 3 2 2 2 2 2" xfId="9040"/>
    <cellStyle name="Percent 3 3 2 2 2 2 3" xfId="12593"/>
    <cellStyle name="Percent 3 3 2 2 2 3" xfId="9041"/>
    <cellStyle name="Percent 3 3 2 2 2 3 2" xfId="9042"/>
    <cellStyle name="Percent 3 3 2 2 2 3 3" xfId="12594"/>
    <cellStyle name="Percent 3 3 2 2 2 4" xfId="9043"/>
    <cellStyle name="Percent 3 3 2 2 2 5" xfId="12595"/>
    <cellStyle name="Percent 3 3 2 2 3" xfId="9044"/>
    <cellStyle name="Percent 3 3 2 2 3 2" xfId="9045"/>
    <cellStyle name="Percent 3 3 2 2 3 3" xfId="12596"/>
    <cellStyle name="Percent 3 3 2 2 4" xfId="9046"/>
    <cellStyle name="Percent 3 3 2 2 4 2" xfId="9047"/>
    <cellStyle name="Percent 3 3 2 2 4 3" xfId="12597"/>
    <cellStyle name="Percent 3 3 2 2 5" xfId="9048"/>
    <cellStyle name="Percent 3 3 2 2 6" xfId="12598"/>
    <cellStyle name="Percent 3 3 2 3" xfId="9049"/>
    <cellStyle name="Percent 3 3 2 3 2" xfId="9050"/>
    <cellStyle name="Percent 3 3 2 3 2 2" xfId="9051"/>
    <cellStyle name="Percent 3 3 2 3 2 3" xfId="12599"/>
    <cellStyle name="Percent 3 3 2 3 3" xfId="9052"/>
    <cellStyle name="Percent 3 3 2 3 3 2" xfId="9053"/>
    <cellStyle name="Percent 3 3 2 3 3 3" xfId="12600"/>
    <cellStyle name="Percent 3 3 2 3 4" xfId="9054"/>
    <cellStyle name="Percent 3 3 2 3 5" xfId="12601"/>
    <cellStyle name="Percent 3 3 2 4" xfId="9055"/>
    <cellStyle name="Percent 3 3 2 4 2" xfId="9056"/>
    <cellStyle name="Percent 3 3 2 4 3" xfId="12602"/>
    <cellStyle name="Percent 3 3 2 5" xfId="9057"/>
    <cellStyle name="Percent 3 3 2 5 2" xfId="9058"/>
    <cellStyle name="Percent 3 3 2 5 3" xfId="12603"/>
    <cellStyle name="Percent 3 3 2 6" xfId="9059"/>
    <cellStyle name="Percent 3 3 2 7" xfId="12604"/>
    <cellStyle name="Percent 3 3 3" xfId="1233"/>
    <cellStyle name="Percent 3 3 3 2" xfId="9060"/>
    <cellStyle name="Percent 3 3 3 2 2" xfId="9061"/>
    <cellStyle name="Percent 3 3 3 2 2 2" xfId="9062"/>
    <cellStyle name="Percent 3 3 3 2 2 3" xfId="12605"/>
    <cellStyle name="Percent 3 3 3 2 3" xfId="9063"/>
    <cellStyle name="Percent 3 3 3 2 3 2" xfId="9064"/>
    <cellStyle name="Percent 3 3 3 2 3 3" xfId="12606"/>
    <cellStyle name="Percent 3 3 3 2 4" xfId="9065"/>
    <cellStyle name="Percent 3 3 3 2 5" xfId="12607"/>
    <cellStyle name="Percent 3 3 3 3" xfId="9066"/>
    <cellStyle name="Percent 3 3 3 3 2" xfId="9067"/>
    <cellStyle name="Percent 3 3 3 3 3" xfId="12608"/>
    <cellStyle name="Percent 3 3 3 4" xfId="9068"/>
    <cellStyle name="Percent 3 3 3 4 2" xfId="9069"/>
    <cellStyle name="Percent 3 3 3 4 3" xfId="12609"/>
    <cellStyle name="Percent 3 3 3 5" xfId="9070"/>
    <cellStyle name="Percent 3 3 3 6" xfId="12610"/>
    <cellStyle name="Percent 3 3 4" xfId="9071"/>
    <cellStyle name="Percent 3 3 4 2" xfId="9072"/>
    <cellStyle name="Percent 3 3 4 2 2" xfId="9073"/>
    <cellStyle name="Percent 3 3 4 2 3" xfId="12611"/>
    <cellStyle name="Percent 3 3 4 3" xfId="9074"/>
    <cellStyle name="Percent 3 3 4 3 2" xfId="9075"/>
    <cellStyle name="Percent 3 3 4 3 3" xfId="12612"/>
    <cellStyle name="Percent 3 3 4 4" xfId="9076"/>
    <cellStyle name="Percent 3 3 4 5" xfId="12613"/>
    <cellStyle name="Percent 3 3 5" xfId="9077"/>
    <cellStyle name="Percent 3 3 5 2" xfId="9078"/>
    <cellStyle name="Percent 3 3 5 3" xfId="12614"/>
    <cellStyle name="Percent 3 3 6" xfId="9079"/>
    <cellStyle name="Percent 3 3 6 2" xfId="9080"/>
    <cellStyle name="Percent 3 3 6 3" xfId="12615"/>
    <cellStyle name="Percent 3 3 7" xfId="9081"/>
    <cellStyle name="Percent 3 3 8" xfId="12616"/>
    <cellStyle name="Percent 3 4" xfId="1234"/>
    <cellStyle name="Percent 3 4 2" xfId="1235"/>
    <cellStyle name="Percent 3 4 2 2" xfId="3355"/>
    <cellStyle name="Percent 3 4 2 2 2" xfId="9082"/>
    <cellStyle name="Percent 3 4 2 2 2 2" xfId="9083"/>
    <cellStyle name="Percent 3 4 2 2 2 2 2" xfId="9084"/>
    <cellStyle name="Percent 3 4 2 2 2 2 3" xfId="12617"/>
    <cellStyle name="Percent 3 4 2 2 2 3" xfId="9085"/>
    <cellStyle name="Percent 3 4 2 2 2 3 2" xfId="9086"/>
    <cellStyle name="Percent 3 4 2 2 2 3 3" xfId="12618"/>
    <cellStyle name="Percent 3 4 2 2 2 4" xfId="9087"/>
    <cellStyle name="Percent 3 4 2 2 2 5" xfId="12619"/>
    <cellStyle name="Percent 3 4 2 2 3" xfId="9088"/>
    <cellStyle name="Percent 3 4 2 2 3 2" xfId="9089"/>
    <cellStyle name="Percent 3 4 2 2 3 3" xfId="12620"/>
    <cellStyle name="Percent 3 4 2 2 4" xfId="9090"/>
    <cellStyle name="Percent 3 4 2 2 4 2" xfId="9091"/>
    <cellStyle name="Percent 3 4 2 2 4 3" xfId="12621"/>
    <cellStyle name="Percent 3 4 2 2 5" xfId="9092"/>
    <cellStyle name="Percent 3 4 2 2 6" xfId="12622"/>
    <cellStyle name="Percent 3 4 2 3" xfId="9093"/>
    <cellStyle name="Percent 3 4 2 3 2" xfId="9094"/>
    <cellStyle name="Percent 3 4 2 3 2 2" xfId="9095"/>
    <cellStyle name="Percent 3 4 2 3 2 3" xfId="12623"/>
    <cellStyle name="Percent 3 4 2 3 3" xfId="9096"/>
    <cellStyle name="Percent 3 4 2 3 3 2" xfId="9097"/>
    <cellStyle name="Percent 3 4 2 3 3 3" xfId="12624"/>
    <cellStyle name="Percent 3 4 2 3 4" xfId="9098"/>
    <cellStyle name="Percent 3 4 2 3 5" xfId="12625"/>
    <cellStyle name="Percent 3 4 2 4" xfId="9099"/>
    <cellStyle name="Percent 3 4 2 4 2" xfId="9100"/>
    <cellStyle name="Percent 3 4 2 4 3" xfId="12626"/>
    <cellStyle name="Percent 3 4 2 5" xfId="9101"/>
    <cellStyle name="Percent 3 4 2 5 2" xfId="9102"/>
    <cellStyle name="Percent 3 4 2 5 3" xfId="12627"/>
    <cellStyle name="Percent 3 4 2 6" xfId="9103"/>
    <cellStyle name="Percent 3 4 2 7" xfId="12628"/>
    <cellStyle name="Percent 3 4 3" xfId="3356"/>
    <cellStyle name="Percent 3 4 3 2" xfId="9104"/>
    <cellStyle name="Percent 3 4 3 2 2" xfId="9105"/>
    <cellStyle name="Percent 3 4 3 2 2 2" xfId="9106"/>
    <cellStyle name="Percent 3 4 3 2 2 3" xfId="12629"/>
    <cellStyle name="Percent 3 4 3 2 3" xfId="9107"/>
    <cellStyle name="Percent 3 4 3 2 3 2" xfId="9108"/>
    <cellStyle name="Percent 3 4 3 2 3 3" xfId="12630"/>
    <cellStyle name="Percent 3 4 3 2 4" xfId="9109"/>
    <cellStyle name="Percent 3 4 3 2 5" xfId="12631"/>
    <cellStyle name="Percent 3 4 3 3" xfId="9110"/>
    <cellStyle name="Percent 3 4 3 3 2" xfId="9111"/>
    <cellStyle name="Percent 3 4 3 3 3" xfId="12632"/>
    <cellStyle name="Percent 3 4 3 4" xfId="9112"/>
    <cellStyle name="Percent 3 4 3 4 2" xfId="9113"/>
    <cellStyle name="Percent 3 4 3 4 3" xfId="12633"/>
    <cellStyle name="Percent 3 4 3 5" xfId="9114"/>
    <cellStyle name="Percent 3 4 3 6" xfId="12634"/>
    <cellStyle name="Percent 3 4 4" xfId="9115"/>
    <cellStyle name="Percent 3 4 4 2" xfId="9116"/>
    <cellStyle name="Percent 3 4 4 2 2" xfId="9117"/>
    <cellStyle name="Percent 3 4 4 2 3" xfId="12635"/>
    <cellStyle name="Percent 3 4 4 3" xfId="9118"/>
    <cellStyle name="Percent 3 4 4 3 2" xfId="9119"/>
    <cellStyle name="Percent 3 4 4 3 3" xfId="12636"/>
    <cellStyle name="Percent 3 4 4 4" xfId="9120"/>
    <cellStyle name="Percent 3 4 4 5" xfId="12637"/>
    <cellStyle name="Percent 3 4 5" xfId="9121"/>
    <cellStyle name="Percent 3 4 5 2" xfId="9122"/>
    <cellStyle name="Percent 3 4 5 3" xfId="12638"/>
    <cellStyle name="Percent 3 4 6" xfId="9123"/>
    <cellStyle name="Percent 3 4 6 2" xfId="9124"/>
    <cellStyle name="Percent 3 4 6 3" xfId="12639"/>
    <cellStyle name="Percent 3 4 7" xfId="9125"/>
    <cellStyle name="Percent 3 4 8" xfId="12640"/>
    <cellStyle name="Percent 3 5" xfId="1236"/>
    <cellStyle name="Percent 3 5 2" xfId="2789"/>
    <cellStyle name="Percent 3 5 3" xfId="2935"/>
    <cellStyle name="Percent 3 6" xfId="2790"/>
    <cellStyle name="Percent 3 6 2" xfId="9126"/>
    <cellStyle name="Percent 3 6 2 2" xfId="9127"/>
    <cellStyle name="Percent 3 6 2 2 2" xfId="9128"/>
    <cellStyle name="Percent 3 6 2 2 3" xfId="12641"/>
    <cellStyle name="Percent 3 6 2 3" xfId="9129"/>
    <cellStyle name="Percent 3 6 2 3 2" xfId="9130"/>
    <cellStyle name="Percent 3 6 2 3 3" xfId="12642"/>
    <cellStyle name="Percent 3 6 2 4" xfId="9131"/>
    <cellStyle name="Percent 3 6 2 5" xfId="12643"/>
    <cellStyle name="Percent 3 6 3" xfId="9132"/>
    <cellStyle name="Percent 3 6 3 2" xfId="9133"/>
    <cellStyle name="Percent 3 6 3 3" xfId="12644"/>
    <cellStyle name="Percent 3 6 4" xfId="9134"/>
    <cellStyle name="Percent 3 6 4 2" xfId="9135"/>
    <cellStyle name="Percent 3 6 4 3" xfId="12645"/>
    <cellStyle name="Percent 3 6 5" xfId="9136"/>
    <cellStyle name="Percent 3 6 6" xfId="12646"/>
    <cellStyle name="Percent 3 7" xfId="2791"/>
    <cellStyle name="Percent 3 7 2" xfId="9138"/>
    <cellStyle name="Percent 3 7 2 2" xfId="9139"/>
    <cellStyle name="Percent 3 7 2 3" xfId="12647"/>
    <cellStyle name="Percent 3 7 3" xfId="9140"/>
    <cellStyle name="Percent 3 7 3 2" xfId="9141"/>
    <cellStyle name="Percent 3 7 3 3" xfId="12648"/>
    <cellStyle name="Percent 3 7 4" xfId="9142"/>
    <cellStyle name="Percent 3 7 5" xfId="12649"/>
    <cellStyle name="Percent 3 7 6" xfId="9137"/>
    <cellStyle name="Percent 3 8" xfId="9143"/>
    <cellStyle name="Percent 3 8 2" xfId="9144"/>
    <cellStyle name="Percent 3 8 3" xfId="12650"/>
    <cellStyle name="Percent 3 9" xfId="9145"/>
    <cellStyle name="Percent 3 9 2" xfId="9146"/>
    <cellStyle name="Percent 3 9 3" xfId="12651"/>
    <cellStyle name="Percent 4" xfId="124"/>
    <cellStyle name="Percent 4 2" xfId="137"/>
    <cellStyle name="Percent 4 2 2" xfId="660"/>
    <cellStyle name="Percent 4 2 2 2" xfId="2792"/>
    <cellStyle name="Percent 4 2 3" xfId="13812"/>
    <cellStyle name="Percent 4 3" xfId="133"/>
    <cellStyle name="Percent 4 3 2" xfId="662"/>
    <cellStyle name="Percent 4 3 2 2" xfId="2793"/>
    <cellStyle name="Percent 4 3 3" xfId="661"/>
    <cellStyle name="Percent 4 4" xfId="663"/>
    <cellStyle name="Percent 4 4 2" xfId="1237"/>
    <cellStyle name="Percent 4 4 2 2" xfId="2794"/>
    <cellStyle name="Percent 4 4 2 3" xfId="2936"/>
    <cellStyle name="Percent 4 4 3" xfId="1460"/>
    <cellStyle name="Percent 4 4 3 2" xfId="12793"/>
    <cellStyle name="Percent 4 5" xfId="664"/>
    <cellStyle name="Percent 4 5 2" xfId="3357"/>
    <cellStyle name="Percent 4 6" xfId="659"/>
    <cellStyle name="Percent 4 6 2" xfId="13813"/>
    <cellStyle name="Percent 4 7" xfId="1459"/>
    <cellStyle name="Percent 4_31000" xfId="665"/>
    <cellStyle name="Percent 5" xfId="666"/>
    <cellStyle name="Percent 5 2" xfId="667"/>
    <cellStyle name="Percent 5 2 2" xfId="1238"/>
    <cellStyle name="Percent 5 2 2 2" xfId="1239"/>
    <cellStyle name="Percent 5 2 2 2 2" xfId="9147"/>
    <cellStyle name="Percent 5 2 2 2 2 2" xfId="9148"/>
    <cellStyle name="Percent 5 2 2 2 2 2 2" xfId="9149"/>
    <cellStyle name="Percent 5 2 2 2 2 2 3" xfId="12652"/>
    <cellStyle name="Percent 5 2 2 2 2 3" xfId="9150"/>
    <cellStyle name="Percent 5 2 2 2 2 3 2" xfId="9151"/>
    <cellStyle name="Percent 5 2 2 2 2 3 3" xfId="12653"/>
    <cellStyle name="Percent 5 2 2 2 2 4" xfId="9152"/>
    <cellStyle name="Percent 5 2 2 2 2 5" xfId="12654"/>
    <cellStyle name="Percent 5 2 2 2 3" xfId="9153"/>
    <cellStyle name="Percent 5 2 2 2 3 2" xfId="9154"/>
    <cellStyle name="Percent 5 2 2 2 3 3" xfId="12655"/>
    <cellStyle name="Percent 5 2 2 2 4" xfId="9155"/>
    <cellStyle name="Percent 5 2 2 2 4 2" xfId="9156"/>
    <cellStyle name="Percent 5 2 2 2 4 3" xfId="12656"/>
    <cellStyle name="Percent 5 2 2 2 5" xfId="9157"/>
    <cellStyle name="Percent 5 2 2 2 6" xfId="12657"/>
    <cellStyle name="Percent 5 2 2 3" xfId="9158"/>
    <cellStyle name="Percent 5 2 2 3 2" xfId="9159"/>
    <cellStyle name="Percent 5 2 2 3 2 2" xfId="9160"/>
    <cellStyle name="Percent 5 2 2 3 2 3" xfId="12658"/>
    <cellStyle name="Percent 5 2 2 3 3" xfId="9161"/>
    <cellStyle name="Percent 5 2 2 3 3 2" xfId="9162"/>
    <cellStyle name="Percent 5 2 2 3 3 3" xfId="12659"/>
    <cellStyle name="Percent 5 2 2 3 4" xfId="9163"/>
    <cellStyle name="Percent 5 2 2 3 5" xfId="12660"/>
    <cellStyle name="Percent 5 2 2 4" xfId="9164"/>
    <cellStyle name="Percent 5 2 2 4 2" xfId="9165"/>
    <cellStyle name="Percent 5 2 2 4 3" xfId="12661"/>
    <cellStyle name="Percent 5 2 2 5" xfId="9166"/>
    <cellStyle name="Percent 5 2 2 5 2" xfId="9167"/>
    <cellStyle name="Percent 5 2 2 5 3" xfId="12662"/>
    <cellStyle name="Percent 5 2 2 6" xfId="9168"/>
    <cellStyle name="Percent 5 2 2 7" xfId="12663"/>
    <cellStyle name="Percent 5 2 3" xfId="2795"/>
    <cellStyle name="Percent 5 2 3 2" xfId="9169"/>
    <cellStyle name="Percent 5 2 3 2 2" xfId="9170"/>
    <cellStyle name="Percent 5 2 3 2 2 2" xfId="9171"/>
    <cellStyle name="Percent 5 2 3 2 2 3" xfId="12664"/>
    <cellStyle name="Percent 5 2 3 2 3" xfId="9172"/>
    <cellStyle name="Percent 5 2 3 2 3 2" xfId="9173"/>
    <cellStyle name="Percent 5 2 3 2 3 3" xfId="12665"/>
    <cellStyle name="Percent 5 2 3 2 4" xfId="9174"/>
    <cellStyle name="Percent 5 2 3 2 5" xfId="12666"/>
    <cellStyle name="Percent 5 2 3 3" xfId="9175"/>
    <cellStyle name="Percent 5 2 3 3 2" xfId="9176"/>
    <cellStyle name="Percent 5 2 3 3 3" xfId="12667"/>
    <cellStyle name="Percent 5 2 3 4" xfId="9177"/>
    <cellStyle name="Percent 5 2 3 4 2" xfId="9178"/>
    <cellStyle name="Percent 5 2 3 4 3" xfId="12668"/>
    <cellStyle name="Percent 5 2 3 5" xfId="9179"/>
    <cellStyle name="Percent 5 2 3 6" xfId="12669"/>
    <cellStyle name="Percent 5 2 4" xfId="9180"/>
    <cellStyle name="Percent 5 2 4 2" xfId="9181"/>
    <cellStyle name="Percent 5 2 4 2 2" xfId="9182"/>
    <cellStyle name="Percent 5 2 4 2 3" xfId="12670"/>
    <cellStyle name="Percent 5 2 4 3" xfId="9183"/>
    <cellStyle name="Percent 5 2 4 3 2" xfId="9184"/>
    <cellStyle name="Percent 5 2 4 3 3" xfId="12671"/>
    <cellStyle name="Percent 5 2 4 4" xfId="9185"/>
    <cellStyle name="Percent 5 2 4 5" xfId="12672"/>
    <cellStyle name="Percent 5 2 5" xfId="9186"/>
    <cellStyle name="Percent 5 2 5 2" xfId="9187"/>
    <cellStyle name="Percent 5 2 5 3" xfId="12673"/>
    <cellStyle name="Percent 5 2 6" xfId="9188"/>
    <cellStyle name="Percent 5 2 6 2" xfId="9189"/>
    <cellStyle name="Percent 5 2 6 3" xfId="12674"/>
    <cellStyle name="Percent 5 2 7" xfId="9190"/>
    <cellStyle name="Percent 5 2 8" xfId="12675"/>
    <cellStyle name="Percent 5 3" xfId="668"/>
    <cellStyle name="Percent 5 3 2" xfId="1240"/>
    <cellStyle name="Percent 5 3 2 2" xfId="9191"/>
    <cellStyle name="Percent 5 3 2 2 2" xfId="9192"/>
    <cellStyle name="Percent 5 3 2 2 2 2" xfId="9193"/>
    <cellStyle name="Percent 5 3 2 2 2 3" xfId="12676"/>
    <cellStyle name="Percent 5 3 2 2 3" xfId="9194"/>
    <cellStyle name="Percent 5 3 2 2 3 2" xfId="9195"/>
    <cellStyle name="Percent 5 3 2 2 3 3" xfId="12677"/>
    <cellStyle name="Percent 5 3 2 2 4" xfId="9196"/>
    <cellStyle name="Percent 5 3 2 2 5" xfId="12678"/>
    <cellStyle name="Percent 5 3 2 3" xfId="9197"/>
    <cellStyle name="Percent 5 3 2 3 2" xfId="9198"/>
    <cellStyle name="Percent 5 3 2 3 3" xfId="12679"/>
    <cellStyle name="Percent 5 3 2 4" xfId="9199"/>
    <cellStyle name="Percent 5 3 2 4 2" xfId="9200"/>
    <cellStyle name="Percent 5 3 2 4 3" xfId="12680"/>
    <cellStyle name="Percent 5 3 2 5" xfId="9201"/>
    <cellStyle name="Percent 5 3 2 6" xfId="12681"/>
    <cellStyle name="Percent 5 3 3" xfId="9202"/>
    <cellStyle name="Percent 5 3 3 2" xfId="9203"/>
    <cellStyle name="Percent 5 3 3 2 2" xfId="9204"/>
    <cellStyle name="Percent 5 3 3 2 3" xfId="12682"/>
    <cellStyle name="Percent 5 3 3 3" xfId="9205"/>
    <cellStyle name="Percent 5 3 3 3 2" xfId="9206"/>
    <cellStyle name="Percent 5 3 3 3 3" xfId="12683"/>
    <cellStyle name="Percent 5 3 3 4" xfId="9207"/>
    <cellStyle name="Percent 5 3 3 5" xfId="12684"/>
    <cellStyle name="Percent 5 3 4" xfId="9208"/>
    <cellStyle name="Percent 5 3 4 2" xfId="9209"/>
    <cellStyle name="Percent 5 3 4 3" xfId="12685"/>
    <cellStyle name="Percent 5 3 5" xfId="9210"/>
    <cellStyle name="Percent 5 3 5 2" xfId="9211"/>
    <cellStyle name="Percent 5 3 5 3" xfId="12686"/>
    <cellStyle name="Percent 5 3 6" xfId="9212"/>
    <cellStyle name="Percent 5 3 7" xfId="12687"/>
    <cellStyle name="Percent 5 4" xfId="669"/>
    <cellStyle name="Percent 5 4 2" xfId="2796"/>
    <cellStyle name="Percent 5 4 2 2" xfId="9213"/>
    <cellStyle name="Percent 5 4 2 2 2" xfId="9214"/>
    <cellStyle name="Percent 5 4 2 2 3" xfId="12688"/>
    <cellStyle name="Percent 5 4 2 3" xfId="9215"/>
    <cellStyle name="Percent 5 4 2 3 2" xfId="9216"/>
    <cellStyle name="Percent 5 4 2 3 3" xfId="12689"/>
    <cellStyle name="Percent 5 4 2 4" xfId="9217"/>
    <cellStyle name="Percent 5 4 2 5" xfId="12690"/>
    <cellStyle name="Percent 5 4 3" xfId="1476"/>
    <cellStyle name="Percent 5 4 3 2" xfId="9219"/>
    <cellStyle name="Percent 5 4 3 3" xfId="12691"/>
    <cellStyle name="Percent 5 4 3 4" xfId="9218"/>
    <cellStyle name="Percent 5 4 4" xfId="9220"/>
    <cellStyle name="Percent 5 4 4 2" xfId="9221"/>
    <cellStyle name="Percent 5 4 4 3" xfId="12692"/>
    <cellStyle name="Percent 5 4 5" xfId="9222"/>
    <cellStyle name="Percent 5 4 6" xfId="12693"/>
    <cellStyle name="Percent 5 5" xfId="1241"/>
    <cellStyle name="Percent 5 5 2" xfId="2797"/>
    <cellStyle name="Percent 5 5 2 2" xfId="9224"/>
    <cellStyle name="Percent 5 5 2 3" xfId="12694"/>
    <cellStyle name="Percent 5 5 2 4" xfId="9223"/>
    <cellStyle name="Percent 5 5 3" xfId="9225"/>
    <cellStyle name="Percent 5 5 3 2" xfId="9226"/>
    <cellStyle name="Percent 5 5 3 3" xfId="12695"/>
    <cellStyle name="Percent 5 5 4" xfId="9227"/>
    <cellStyle name="Percent 5 5 5" xfId="12696"/>
    <cellStyle name="Percent 5 6" xfId="9228"/>
    <cellStyle name="Percent 5 6 2" xfId="9229"/>
    <cellStyle name="Percent 5 6 3" xfId="12697"/>
    <cellStyle name="Percent 5 7" xfId="9230"/>
    <cellStyle name="Percent 5 7 2" xfId="9231"/>
    <cellStyle name="Percent 5 7 3" xfId="12698"/>
    <cellStyle name="Percent 5 8" xfId="9232"/>
    <cellStyle name="Percent 5 9" xfId="12699"/>
    <cellStyle name="Percent 6" xfId="670"/>
    <cellStyle name="Percent 6 2" xfId="1242"/>
    <cellStyle name="Percent 6 2 2" xfId="2798"/>
    <cellStyle name="Percent 6 2 2 2" xfId="9233"/>
    <cellStyle name="Percent 6 2 2 2 2" xfId="9234"/>
    <cellStyle name="Percent 6 2 2 2 2 2" xfId="9235"/>
    <cellStyle name="Percent 6 2 2 2 2 3" xfId="12700"/>
    <cellStyle name="Percent 6 2 2 2 3" xfId="9236"/>
    <cellStyle name="Percent 6 2 2 2 3 2" xfId="9237"/>
    <cellStyle name="Percent 6 2 2 2 3 3" xfId="12701"/>
    <cellStyle name="Percent 6 2 2 2 4" xfId="9238"/>
    <cellStyle name="Percent 6 2 2 2 5" xfId="12702"/>
    <cellStyle name="Percent 6 2 2 3" xfId="9239"/>
    <cellStyle name="Percent 6 2 2 3 2" xfId="9240"/>
    <cellStyle name="Percent 6 2 2 3 3" xfId="12703"/>
    <cellStyle name="Percent 6 2 2 4" xfId="9241"/>
    <cellStyle name="Percent 6 2 2 4 2" xfId="9242"/>
    <cellStyle name="Percent 6 2 2 4 3" xfId="12704"/>
    <cellStyle name="Percent 6 2 2 5" xfId="9243"/>
    <cellStyle name="Percent 6 2 2 6" xfId="12705"/>
    <cellStyle name="Percent 6 2 3" xfId="9244"/>
    <cellStyle name="Percent 6 2 3 2" xfId="9245"/>
    <cellStyle name="Percent 6 2 3 2 2" xfId="9246"/>
    <cellStyle name="Percent 6 2 3 2 3" xfId="12706"/>
    <cellStyle name="Percent 6 2 3 3" xfId="9247"/>
    <cellStyle name="Percent 6 2 3 3 2" xfId="9248"/>
    <cellStyle name="Percent 6 2 3 3 3" xfId="12707"/>
    <cellStyle name="Percent 6 2 3 4" xfId="9249"/>
    <cellStyle name="Percent 6 2 3 5" xfId="12708"/>
    <cellStyle name="Percent 6 2 4" xfId="9250"/>
    <cellStyle name="Percent 6 2 4 2" xfId="9251"/>
    <cellStyle name="Percent 6 2 4 3" xfId="12709"/>
    <cellStyle name="Percent 6 2 5" xfId="9252"/>
    <cellStyle name="Percent 6 2 5 2" xfId="9253"/>
    <cellStyle name="Percent 6 2 5 3" xfId="12710"/>
    <cellStyle name="Percent 6 2 6" xfId="9254"/>
    <cellStyle name="Percent 6 2 7" xfId="12711"/>
    <cellStyle name="Percent 6 3" xfId="1243"/>
    <cellStyle name="Percent 6 3 2" xfId="2799"/>
    <cellStyle name="Percent 6 3 2 2" xfId="9255"/>
    <cellStyle name="Percent 6 3 2 2 2" xfId="9256"/>
    <cellStyle name="Percent 6 3 2 2 3" xfId="12712"/>
    <cellStyle name="Percent 6 3 2 3" xfId="9257"/>
    <cellStyle name="Percent 6 3 2 3 2" xfId="9258"/>
    <cellStyle name="Percent 6 3 2 3 3" xfId="12713"/>
    <cellStyle name="Percent 6 3 2 4" xfId="9259"/>
    <cellStyle name="Percent 6 3 2 5" xfId="12714"/>
    <cellStyle name="Percent 6 3 3" xfId="9260"/>
    <cellStyle name="Percent 6 3 3 2" xfId="9261"/>
    <cellStyle name="Percent 6 3 3 3" xfId="12715"/>
    <cellStyle name="Percent 6 3 4" xfId="9262"/>
    <cellStyle name="Percent 6 3 4 2" xfId="9263"/>
    <cellStyle name="Percent 6 3 4 3" xfId="12716"/>
    <cellStyle name="Percent 6 3 5" xfId="9264"/>
    <cellStyle name="Percent 6 3 6" xfId="12717"/>
    <cellStyle name="Percent 6 4" xfId="2800"/>
    <cellStyle name="Percent 6 4 2" xfId="9265"/>
    <cellStyle name="Percent 6 4 2 2" xfId="9266"/>
    <cellStyle name="Percent 6 4 2 3" xfId="12718"/>
    <cellStyle name="Percent 6 4 3" xfId="9267"/>
    <cellStyle name="Percent 6 4 3 2" xfId="9268"/>
    <cellStyle name="Percent 6 4 3 3" xfId="12719"/>
    <cellStyle name="Percent 6 4 4" xfId="9269"/>
    <cellStyle name="Percent 6 4 5" xfId="12720"/>
    <cellStyle name="Percent 6 5" xfId="2801"/>
    <cellStyle name="Percent 6 5 2" xfId="9270"/>
    <cellStyle name="Percent 6 5 3" xfId="12721"/>
    <cellStyle name="Percent 6 6" xfId="2966"/>
    <cellStyle name="Percent 6 6 2" xfId="9271"/>
    <cellStyle name="Percent 6 6 3" xfId="12722"/>
    <cellStyle name="Percent 6 7" xfId="9272"/>
    <cellStyle name="Percent 6 8" xfId="12723"/>
    <cellStyle name="Percent 7" xfId="138"/>
    <cellStyle name="Percent 7 2" xfId="671"/>
    <cellStyle name="Percent 7 2 2" xfId="2802"/>
    <cellStyle name="Percent 7 2 2 2" xfId="9273"/>
    <cellStyle name="Percent 7 2 2 2 2" xfId="9274"/>
    <cellStyle name="Percent 7 2 2 2 2 2" xfId="9275"/>
    <cellStyle name="Percent 7 2 2 2 2 3" xfId="12724"/>
    <cellStyle name="Percent 7 2 2 2 3" xfId="9276"/>
    <cellStyle name="Percent 7 2 2 2 3 2" xfId="9277"/>
    <cellStyle name="Percent 7 2 2 2 3 3" xfId="12725"/>
    <cellStyle name="Percent 7 2 2 2 4" xfId="9278"/>
    <cellStyle name="Percent 7 2 2 2 5" xfId="12726"/>
    <cellStyle name="Percent 7 2 2 3" xfId="9279"/>
    <cellStyle name="Percent 7 2 2 3 2" xfId="9280"/>
    <cellStyle name="Percent 7 2 2 3 3" xfId="12727"/>
    <cellStyle name="Percent 7 2 2 4" xfId="9281"/>
    <cellStyle name="Percent 7 2 2 4 2" xfId="9282"/>
    <cellStyle name="Percent 7 2 2 4 3" xfId="12728"/>
    <cellStyle name="Percent 7 2 2 5" xfId="9283"/>
    <cellStyle name="Percent 7 2 2 6" xfId="12729"/>
    <cellStyle name="Percent 7 2 3" xfId="9284"/>
    <cellStyle name="Percent 7 2 3 2" xfId="9285"/>
    <cellStyle name="Percent 7 2 3 2 2" xfId="9286"/>
    <cellStyle name="Percent 7 2 3 2 3" xfId="12730"/>
    <cellStyle name="Percent 7 2 3 3" xfId="9287"/>
    <cellStyle name="Percent 7 2 3 3 2" xfId="9288"/>
    <cellStyle name="Percent 7 2 3 3 3" xfId="12731"/>
    <cellStyle name="Percent 7 2 3 4" xfId="9289"/>
    <cellStyle name="Percent 7 2 3 5" xfId="12732"/>
    <cellStyle name="Percent 7 2 4" xfId="9290"/>
    <cellStyle name="Percent 7 2 4 2" xfId="9291"/>
    <cellStyle name="Percent 7 2 4 3" xfId="12733"/>
    <cellStyle name="Percent 7 2 5" xfId="9292"/>
    <cellStyle name="Percent 7 2 5 2" xfId="9293"/>
    <cellStyle name="Percent 7 2 5 3" xfId="12734"/>
    <cellStyle name="Percent 7 2 6" xfId="9294"/>
    <cellStyle name="Percent 7 2 7" xfId="12735"/>
    <cellStyle name="Percent 7 3" xfId="1244"/>
    <cellStyle name="Percent 7 3 2" xfId="9295"/>
    <cellStyle name="Percent 7 3 2 2" xfId="9296"/>
    <cellStyle name="Percent 7 3 2 2 2" xfId="9297"/>
    <cellStyle name="Percent 7 3 2 2 3" xfId="12736"/>
    <cellStyle name="Percent 7 3 2 3" xfId="9298"/>
    <cellStyle name="Percent 7 3 2 3 2" xfId="9299"/>
    <cellStyle name="Percent 7 3 2 3 3" xfId="12737"/>
    <cellStyle name="Percent 7 3 2 4" xfId="9300"/>
    <cellStyle name="Percent 7 3 2 5" xfId="12738"/>
    <cellStyle name="Percent 7 3 3" xfId="9301"/>
    <cellStyle name="Percent 7 3 3 2" xfId="9302"/>
    <cellStyle name="Percent 7 3 3 3" xfId="12739"/>
    <cellStyle name="Percent 7 3 4" xfId="9303"/>
    <cellStyle name="Percent 7 3 4 2" xfId="9304"/>
    <cellStyle name="Percent 7 3 4 3" xfId="12740"/>
    <cellStyle name="Percent 7 3 5" xfId="9305"/>
    <cellStyle name="Percent 7 3 6" xfId="12741"/>
    <cellStyle name="Percent 7 4" xfId="2803"/>
    <cellStyle name="Percent 7 4 2" xfId="9306"/>
    <cellStyle name="Percent 7 4 2 2" xfId="9307"/>
    <cellStyle name="Percent 7 4 2 3" xfId="12742"/>
    <cellStyle name="Percent 7 4 3" xfId="9308"/>
    <cellStyle name="Percent 7 4 3 2" xfId="9309"/>
    <cellStyle name="Percent 7 4 3 3" xfId="12743"/>
    <cellStyle name="Percent 7 4 4" xfId="9310"/>
    <cellStyle name="Percent 7 4 5" xfId="12744"/>
    <cellStyle name="Percent 7 5" xfId="9311"/>
    <cellStyle name="Percent 7 5 2" xfId="9312"/>
    <cellStyle name="Percent 7 5 3" xfId="12745"/>
    <cellStyle name="Percent 7 6" xfId="9313"/>
    <cellStyle name="Percent 7 6 2" xfId="9314"/>
    <cellStyle name="Percent 7 6 3" xfId="12746"/>
    <cellStyle name="Percent 7 7" xfId="9315"/>
    <cellStyle name="Percent 7 8" xfId="12747"/>
    <cellStyle name="Percent 8" xfId="672"/>
    <cellStyle name="Percent 8 2" xfId="1245"/>
    <cellStyle name="Percent 8 2 2" xfId="9316"/>
    <cellStyle name="Percent 8 2 2 2" xfId="9317"/>
    <cellStyle name="Percent 8 2 2 2 2" xfId="9318"/>
    <cellStyle name="Percent 8 2 2 2 3" xfId="12748"/>
    <cellStyle name="Percent 8 2 2 3" xfId="9319"/>
    <cellStyle name="Percent 8 2 2 3 2" xfId="9320"/>
    <cellStyle name="Percent 8 2 2 3 3" xfId="12749"/>
    <cellStyle name="Percent 8 2 2 4" xfId="9321"/>
    <cellStyle name="Percent 8 2 2 5" xfId="12750"/>
    <cellStyle name="Percent 8 2 3" xfId="9322"/>
    <cellStyle name="Percent 8 2 3 2" xfId="9323"/>
    <cellStyle name="Percent 8 2 3 3" xfId="12751"/>
    <cellStyle name="Percent 8 2 4" xfId="9324"/>
    <cellStyle name="Percent 8 2 4 2" xfId="9325"/>
    <cellStyle name="Percent 8 2 4 3" xfId="12752"/>
    <cellStyle name="Percent 8 2 5" xfId="9326"/>
    <cellStyle name="Percent 8 2 6" xfId="12753"/>
    <cellStyle name="Percent 8 3" xfId="2804"/>
    <cellStyle name="Percent 8 3 2" xfId="9327"/>
    <cellStyle name="Percent 8 3 2 2" xfId="9328"/>
    <cellStyle name="Percent 8 3 2 3" xfId="12754"/>
    <cellStyle name="Percent 8 3 3" xfId="9329"/>
    <cellStyle name="Percent 8 3 3 2" xfId="9330"/>
    <cellStyle name="Percent 8 3 3 3" xfId="12755"/>
    <cellStyle name="Percent 8 3 4" xfId="9331"/>
    <cellStyle name="Percent 8 3 5" xfId="12756"/>
    <cellStyle name="Percent 8 4" xfId="2805"/>
    <cellStyle name="Percent 8 4 2" xfId="9332"/>
    <cellStyle name="Percent 8 4 3" xfId="12757"/>
    <cellStyle name="Percent 8 5" xfId="9333"/>
    <cellStyle name="Percent 8 5 2" xfId="9334"/>
    <cellStyle name="Percent 8 5 3" xfId="12758"/>
    <cellStyle name="Percent 8 6" xfId="9335"/>
    <cellStyle name="Percent 8 7" xfId="12759"/>
    <cellStyle name="Percent 9" xfId="673"/>
    <cellStyle name="Percent 9 2" xfId="1246"/>
    <cellStyle name="Percent 9 3" xfId="2806"/>
    <cellStyle name="Percent 9 4" xfId="2967"/>
    <cellStyle name="Percent 9 5" xfId="2900"/>
    <cellStyle name="Percent(1)" xfId="125"/>
    <cellStyle name="Percent(1) 2" xfId="13814"/>
    <cellStyle name="Percent(2)" xfId="126"/>
    <cellStyle name="Percent(2) 2" xfId="13815"/>
    <cellStyle name="Posting_Period" xfId="1247"/>
    <cellStyle name="PRM" xfId="127"/>
    <cellStyle name="PRM 2" xfId="674"/>
    <cellStyle name="PRM 3" xfId="675"/>
    <cellStyle name="PRM 4" xfId="13816"/>
    <cellStyle name="PRM_2011-11" xfId="676"/>
    <cellStyle name="PS_Comma" xfId="1248"/>
    <cellStyle name="PSChar" xfId="128"/>
    <cellStyle name="PSChar 2" xfId="13817"/>
    <cellStyle name="PSDate" xfId="1249"/>
    <cellStyle name="PSDec" xfId="1250"/>
    <cellStyle name="PSHeading" xfId="129"/>
    <cellStyle name="PSHeading 2" xfId="2807"/>
    <cellStyle name="PSHeading 2 2" xfId="2849"/>
    <cellStyle name="PSHeading 2 3" xfId="2937"/>
    <cellStyle name="PSHeading 3" xfId="13818"/>
    <cellStyle name="PSInt" xfId="1251"/>
    <cellStyle name="PSSpacer" xfId="1252"/>
    <cellStyle name="Reset  - Style4" xfId="2808"/>
    <cellStyle name="Reset  - Style7" xfId="2809"/>
    <cellStyle name="STYL0 - Style1" xfId="1253"/>
    <cellStyle name="STYL1 - Style2" xfId="1254"/>
    <cellStyle name="STYL2 - Style3" xfId="1255"/>
    <cellStyle name="STYL3 - Style4" xfId="1256"/>
    <cellStyle name="STYL4 - Style5" xfId="1257"/>
    <cellStyle name="STYL5 - Style6" xfId="1258"/>
    <cellStyle name="STYL6 - Style7" xfId="1259"/>
    <cellStyle name="STYL7 - Style8" xfId="1260"/>
    <cellStyle name="Style 1" xfId="130"/>
    <cellStyle name="Style 1 2" xfId="677"/>
    <cellStyle name="Style 1 2 2" xfId="678"/>
    <cellStyle name="Style 1 3" xfId="679"/>
    <cellStyle name="Style 1 3 2" xfId="2810"/>
    <cellStyle name="Style 1 4" xfId="2811"/>
    <cellStyle name="Style 1 5" xfId="13819"/>
    <cellStyle name="Style 1_Recycle Center Commodities MRF" xfId="680"/>
    <cellStyle name="STYLE1" xfId="131"/>
    <cellStyle name="STYLE1 2" xfId="226"/>
    <cellStyle name="STYLE1 3" xfId="681"/>
    <cellStyle name="STYLE1 3 2" xfId="13820"/>
    <cellStyle name="sub heading" xfId="1261"/>
    <cellStyle name="Table  - Style5" xfId="2812"/>
    <cellStyle name="Table  - Style5 10" xfId="21072"/>
    <cellStyle name="Table  - Style5 11" xfId="21073"/>
    <cellStyle name="Table  - Style5 2" xfId="3076"/>
    <cellStyle name="Table  - Style5 2 2" xfId="16168"/>
    <cellStyle name="Table  - Style5 2 3" xfId="16169"/>
    <cellStyle name="Table  - Style5 2 4" xfId="21074"/>
    <cellStyle name="Table  - Style5 2 5" xfId="21075"/>
    <cellStyle name="Table  - Style5 2 6" xfId="21076"/>
    <cellStyle name="Table  - Style5 2 7" xfId="21077"/>
    <cellStyle name="Table  - Style5 3" xfId="3243"/>
    <cellStyle name="Table  - Style5 3 2" xfId="16170"/>
    <cellStyle name="Table  - Style5 3 3" xfId="16171"/>
    <cellStyle name="Table  - Style5 3 4" xfId="21078"/>
    <cellStyle name="Table  - Style5 3 5" xfId="21079"/>
    <cellStyle name="Table  - Style5 3 6" xfId="21080"/>
    <cellStyle name="Table  - Style5 3 7" xfId="21081"/>
    <cellStyle name="Table  - Style5 4" xfId="3223"/>
    <cellStyle name="Table  - Style5 4 2" xfId="16172"/>
    <cellStyle name="Table  - Style5 4 3" xfId="16173"/>
    <cellStyle name="Table  - Style5 4 4" xfId="21082"/>
    <cellStyle name="Table  - Style5 4 5" xfId="21083"/>
    <cellStyle name="Table  - Style5 4 6" xfId="21084"/>
    <cellStyle name="Table  - Style5 4 7" xfId="21085"/>
    <cellStyle name="Table  - Style5 5" xfId="3259"/>
    <cellStyle name="Table  - Style5 5 2" xfId="16174"/>
    <cellStyle name="Table  - Style5 5 3" xfId="16175"/>
    <cellStyle name="Table  - Style5 5 4" xfId="21086"/>
    <cellStyle name="Table  - Style5 5 5" xfId="21087"/>
    <cellStyle name="Table  - Style5 5 6" xfId="21088"/>
    <cellStyle name="Table  - Style5 5 7" xfId="21089"/>
    <cellStyle name="Table  - Style5 6" xfId="3013"/>
    <cellStyle name="Table  - Style5 7" xfId="16176"/>
    <cellStyle name="Table  - Style5 8" xfId="21090"/>
    <cellStyle name="Table  - Style5 9" xfId="21091"/>
    <cellStyle name="Table  - Style6" xfId="2813"/>
    <cellStyle name="Table  - Style6 10" xfId="21092"/>
    <cellStyle name="Table  - Style6 11" xfId="21093"/>
    <cellStyle name="Table  - Style6 2" xfId="3077"/>
    <cellStyle name="Table  - Style6 2 2" xfId="16177"/>
    <cellStyle name="Table  - Style6 2 3" xfId="16178"/>
    <cellStyle name="Table  - Style6 2 4" xfId="21094"/>
    <cellStyle name="Table  - Style6 2 5" xfId="21095"/>
    <cellStyle name="Table  - Style6 2 6" xfId="21096"/>
    <cellStyle name="Table  - Style6 2 7" xfId="21097"/>
    <cellStyle name="Table  - Style6 3" xfId="3244"/>
    <cellStyle name="Table  - Style6 3 2" xfId="16179"/>
    <cellStyle name="Table  - Style6 3 3" xfId="16180"/>
    <cellStyle name="Table  - Style6 3 4" xfId="21098"/>
    <cellStyle name="Table  - Style6 3 5" xfId="21099"/>
    <cellStyle name="Table  - Style6 3 6" xfId="21100"/>
    <cellStyle name="Table  - Style6 3 7" xfId="21101"/>
    <cellStyle name="Table  - Style6 4" xfId="3193"/>
    <cellStyle name="Table  - Style6 4 2" xfId="16181"/>
    <cellStyle name="Table  - Style6 4 3" xfId="16182"/>
    <cellStyle name="Table  - Style6 4 4" xfId="21102"/>
    <cellStyle name="Table  - Style6 4 5" xfId="21103"/>
    <cellStyle name="Table  - Style6 4 6" xfId="21104"/>
    <cellStyle name="Table  - Style6 4 7" xfId="21105"/>
    <cellStyle name="Table  - Style6 5" xfId="3260"/>
    <cellStyle name="Table  - Style6 5 2" xfId="16183"/>
    <cellStyle name="Table  - Style6 5 3" xfId="16184"/>
    <cellStyle name="Table  - Style6 5 4" xfId="21106"/>
    <cellStyle name="Table  - Style6 5 5" xfId="21107"/>
    <cellStyle name="Table  - Style6 5 6" xfId="21108"/>
    <cellStyle name="Table  - Style6 5 7" xfId="21109"/>
    <cellStyle name="Table  - Style6 6" xfId="3014"/>
    <cellStyle name="Table  - Style6 7" xfId="16185"/>
    <cellStyle name="Table  - Style6 8" xfId="21110"/>
    <cellStyle name="Table  - Style6 9" xfId="21111"/>
    <cellStyle name="Tax_Rate" xfId="1262"/>
    <cellStyle name="Title" xfId="2850" builtinId="15" customBuiltin="1"/>
    <cellStyle name="Title  - Style1" xfId="2814"/>
    <cellStyle name="Title  - Style6" xfId="2815"/>
    <cellStyle name="Title 10" xfId="2816"/>
    <cellStyle name="Title 11" xfId="2817"/>
    <cellStyle name="Title 12" xfId="2818"/>
    <cellStyle name="Title 13" xfId="13821"/>
    <cellStyle name="Title 14" xfId="13822"/>
    <cellStyle name="Title 15" xfId="13823"/>
    <cellStyle name="Title 16" xfId="13824"/>
    <cellStyle name="Title 17" xfId="13825"/>
    <cellStyle name="Title 18" xfId="13826"/>
    <cellStyle name="Title 19" xfId="13827"/>
    <cellStyle name="Title 2" xfId="227"/>
    <cellStyle name="Title 2 2" xfId="682"/>
    <cellStyle name="Title 2 2 2" xfId="1263"/>
    <cellStyle name="Title 2 2 2 2" xfId="2819"/>
    <cellStyle name="Title 2 3" xfId="683"/>
    <cellStyle name="Title 2 3 2" xfId="2820"/>
    <cellStyle name="Title 20" xfId="13828"/>
    <cellStyle name="Title 21" xfId="13829"/>
    <cellStyle name="Title 22" xfId="13830"/>
    <cellStyle name="Title 23" xfId="13831"/>
    <cellStyle name="Title 24" xfId="13832"/>
    <cellStyle name="Title 25" xfId="13833"/>
    <cellStyle name="Title 3" xfId="228"/>
    <cellStyle name="Title 3 2" xfId="684"/>
    <cellStyle name="Title 3 2 2" xfId="1461"/>
    <cellStyle name="Title 3 3" xfId="1329"/>
    <cellStyle name="Title 4" xfId="685"/>
    <cellStyle name="Title 4 2" xfId="2821"/>
    <cellStyle name="Title 5" xfId="2822"/>
    <cellStyle name="Title 6" xfId="2823"/>
    <cellStyle name="Title 7" xfId="2824"/>
    <cellStyle name="Title 8" xfId="2825"/>
    <cellStyle name="Title 9" xfId="2826"/>
    <cellStyle name="Total" xfId="2866" builtinId="25" customBuiltin="1"/>
    <cellStyle name="Total 2" xfId="132"/>
    <cellStyle name="Total 2 2" xfId="687"/>
    <cellStyle name="Total 2 2 2" xfId="2827"/>
    <cellStyle name="Total 2 2 2 10" xfId="21112"/>
    <cellStyle name="Total 2 2 2 11" xfId="21113"/>
    <cellStyle name="Total 2 2 2 2" xfId="3078"/>
    <cellStyle name="Total 2 2 2 2 2" xfId="16186"/>
    <cellStyle name="Total 2 2 2 2 3" xfId="16187"/>
    <cellStyle name="Total 2 2 2 2 4" xfId="21114"/>
    <cellStyle name="Total 2 2 2 2 5" xfId="21115"/>
    <cellStyle name="Total 2 2 2 2 6" xfId="21116"/>
    <cellStyle name="Total 2 2 2 2 7" xfId="21117"/>
    <cellStyle name="Total 2 2 2 3" xfId="3245"/>
    <cellStyle name="Total 2 2 2 3 2" xfId="16188"/>
    <cellStyle name="Total 2 2 2 3 3" xfId="16189"/>
    <cellStyle name="Total 2 2 2 3 4" xfId="21118"/>
    <cellStyle name="Total 2 2 2 3 5" xfId="21119"/>
    <cellStyle name="Total 2 2 2 3 6" xfId="21120"/>
    <cellStyle name="Total 2 2 2 3 7" xfId="21121"/>
    <cellStyle name="Total 2 2 2 4" xfId="3224"/>
    <cellStyle name="Total 2 2 2 4 2" xfId="16190"/>
    <cellStyle name="Total 2 2 2 4 3" xfId="16191"/>
    <cellStyle name="Total 2 2 2 4 4" xfId="21122"/>
    <cellStyle name="Total 2 2 2 4 5" xfId="21123"/>
    <cellStyle name="Total 2 2 2 4 6" xfId="21124"/>
    <cellStyle name="Total 2 2 2 4 7" xfId="21125"/>
    <cellStyle name="Total 2 2 2 5" xfId="3261"/>
    <cellStyle name="Total 2 2 2 5 2" xfId="16192"/>
    <cellStyle name="Total 2 2 2 5 3" xfId="16193"/>
    <cellStyle name="Total 2 2 2 5 4" xfId="21126"/>
    <cellStyle name="Total 2 2 2 5 5" xfId="21127"/>
    <cellStyle name="Total 2 2 2 5 6" xfId="21128"/>
    <cellStyle name="Total 2 2 2 5 7" xfId="21129"/>
    <cellStyle name="Total 2 2 2 6" xfId="3015"/>
    <cellStyle name="Total 2 2 2 7" xfId="16194"/>
    <cellStyle name="Total 2 2 2 8" xfId="21130"/>
    <cellStyle name="Total 2 2 2 9" xfId="21131"/>
    <cellStyle name="Total 2 2 3" xfId="2828"/>
    <cellStyle name="Total 2 2 3 10" xfId="21132"/>
    <cellStyle name="Total 2 2 3 11" xfId="21133"/>
    <cellStyle name="Total 2 2 3 2" xfId="3046"/>
    <cellStyle name="Total 2 2 3 2 2" xfId="16195"/>
    <cellStyle name="Total 2 2 3 2 3" xfId="16196"/>
    <cellStyle name="Total 2 2 3 2 4" xfId="21134"/>
    <cellStyle name="Total 2 2 3 2 5" xfId="21135"/>
    <cellStyle name="Total 2 2 3 2 6" xfId="21136"/>
    <cellStyle name="Total 2 2 3 2 7" xfId="21137"/>
    <cellStyle name="Total 2 2 3 3" xfId="3149"/>
    <cellStyle name="Total 2 2 3 3 2" xfId="16197"/>
    <cellStyle name="Total 2 2 3 3 3" xfId="16198"/>
    <cellStyle name="Total 2 2 3 3 4" xfId="21138"/>
    <cellStyle name="Total 2 2 3 3 5" xfId="21139"/>
    <cellStyle name="Total 2 2 3 3 6" xfId="21140"/>
    <cellStyle name="Total 2 2 3 3 7" xfId="21141"/>
    <cellStyle name="Total 2 2 3 4" xfId="3120"/>
    <cellStyle name="Total 2 2 3 4 2" xfId="16199"/>
    <cellStyle name="Total 2 2 3 4 3" xfId="16200"/>
    <cellStyle name="Total 2 2 3 4 4" xfId="21142"/>
    <cellStyle name="Total 2 2 3 4 5" xfId="21143"/>
    <cellStyle name="Total 2 2 3 4 6" xfId="21144"/>
    <cellStyle name="Total 2 2 3 4 7" xfId="21145"/>
    <cellStyle name="Total 2 2 3 5" xfId="3237"/>
    <cellStyle name="Total 2 2 3 5 2" xfId="16201"/>
    <cellStyle name="Total 2 2 3 5 3" xfId="16202"/>
    <cellStyle name="Total 2 2 3 5 4" xfId="21146"/>
    <cellStyle name="Total 2 2 3 5 5" xfId="21147"/>
    <cellStyle name="Total 2 2 3 5 6" xfId="21148"/>
    <cellStyle name="Total 2 2 3 5 7" xfId="21149"/>
    <cellStyle name="Total 2 2 3 6" xfId="2969"/>
    <cellStyle name="Total 2 2 3 7" xfId="16203"/>
    <cellStyle name="Total 2 2 3 8" xfId="21150"/>
    <cellStyle name="Total 2 2 3 9" xfId="21151"/>
    <cellStyle name="Total 2 2 4" xfId="2829"/>
    <cellStyle name="Total 2 2 4 2" xfId="13854"/>
    <cellStyle name="Total 2 2 4 3" xfId="16204"/>
    <cellStyle name="Total 2 2 4 4" xfId="21152"/>
    <cellStyle name="Total 2 2 4 5" xfId="21153"/>
    <cellStyle name="Total 2 2 4 6" xfId="21154"/>
    <cellStyle name="Total 2 2 4 7" xfId="21155"/>
    <cellStyle name="Total 2 2 5" xfId="1463"/>
    <cellStyle name="Total 2 2 5 2" xfId="13856"/>
    <cellStyle name="Total 2 2 5 3" xfId="16205"/>
    <cellStyle name="Total 2 2 5 4" xfId="21156"/>
    <cellStyle name="Total 2 2 5 5" xfId="21157"/>
    <cellStyle name="Total 2 2 5 6" xfId="21158"/>
    <cellStyle name="Total 2 2 5 7" xfId="21159"/>
    <cellStyle name="Total 2 3" xfId="688"/>
    <cellStyle name="Total 2 3 10" xfId="21160"/>
    <cellStyle name="Total 2 3 11" xfId="21161"/>
    <cellStyle name="Total 2 3 12" xfId="21162"/>
    <cellStyle name="Total 2 3 2" xfId="1264"/>
    <cellStyle name="Total 2 3 2 10" xfId="21163"/>
    <cellStyle name="Total 2 3 2 11" xfId="21164"/>
    <cellStyle name="Total 2 3 2 2" xfId="2830"/>
    <cellStyle name="Total 2 3 2 2 2" xfId="3066"/>
    <cellStyle name="Total 2 3 2 2 3" xfId="16206"/>
    <cellStyle name="Total 2 3 2 2 4" xfId="21165"/>
    <cellStyle name="Total 2 3 2 2 5" xfId="21166"/>
    <cellStyle name="Total 2 3 2 2 6" xfId="21167"/>
    <cellStyle name="Total 2 3 2 2 7" xfId="21168"/>
    <cellStyle name="Total 2 3 2 3" xfId="3169"/>
    <cellStyle name="Total 2 3 2 3 2" xfId="16207"/>
    <cellStyle name="Total 2 3 2 3 3" xfId="16208"/>
    <cellStyle name="Total 2 3 2 3 4" xfId="21169"/>
    <cellStyle name="Total 2 3 2 3 5" xfId="21170"/>
    <cellStyle name="Total 2 3 2 3 6" xfId="21171"/>
    <cellStyle name="Total 2 3 2 3 7" xfId="21172"/>
    <cellStyle name="Total 2 3 2 4" xfId="3103"/>
    <cellStyle name="Total 2 3 2 4 2" xfId="16209"/>
    <cellStyle name="Total 2 3 2 4 3" xfId="16210"/>
    <cellStyle name="Total 2 3 2 4 4" xfId="21173"/>
    <cellStyle name="Total 2 3 2 4 5" xfId="21174"/>
    <cellStyle name="Total 2 3 2 4 6" xfId="21175"/>
    <cellStyle name="Total 2 3 2 4 7" xfId="21176"/>
    <cellStyle name="Total 2 3 2 5" xfId="3232"/>
    <cellStyle name="Total 2 3 2 5 2" xfId="16211"/>
    <cellStyle name="Total 2 3 2 5 3" xfId="16212"/>
    <cellStyle name="Total 2 3 2 5 4" xfId="21177"/>
    <cellStyle name="Total 2 3 2 5 5" xfId="21178"/>
    <cellStyle name="Total 2 3 2 5 6" xfId="21179"/>
    <cellStyle name="Total 2 3 2 5 7" xfId="21180"/>
    <cellStyle name="Total 2 3 2 6" xfId="2996"/>
    <cellStyle name="Total 2 3 2 7" xfId="16213"/>
    <cellStyle name="Total 2 3 2 8" xfId="21181"/>
    <cellStyle name="Total 2 3 2 9" xfId="21182"/>
    <cellStyle name="Total 2 3 3" xfId="1464"/>
    <cellStyle name="Total 2 3 3 2" xfId="3029"/>
    <cellStyle name="Total 2 3 3 3" xfId="16214"/>
    <cellStyle name="Total 2 3 3 4" xfId="21183"/>
    <cellStyle name="Total 2 3 3 5" xfId="21184"/>
    <cellStyle name="Total 2 3 3 6" xfId="21185"/>
    <cellStyle name="Total 2 3 3 7" xfId="21186"/>
    <cellStyle name="Total 2 3 4" xfId="3131"/>
    <cellStyle name="Total 2 3 4 2" xfId="16215"/>
    <cellStyle name="Total 2 3 4 3" xfId="16216"/>
    <cellStyle name="Total 2 3 4 4" xfId="21187"/>
    <cellStyle name="Total 2 3 4 5" xfId="21188"/>
    <cellStyle name="Total 2 3 4 6" xfId="21189"/>
    <cellStyle name="Total 2 3 4 7" xfId="21190"/>
    <cellStyle name="Total 2 3 5" xfId="3110"/>
    <cellStyle name="Total 2 3 5 2" xfId="16217"/>
    <cellStyle name="Total 2 3 5 3" xfId="16218"/>
    <cellStyle name="Total 2 3 5 4" xfId="21191"/>
    <cellStyle name="Total 2 3 5 5" xfId="21192"/>
    <cellStyle name="Total 2 3 5 6" xfId="21193"/>
    <cellStyle name="Total 2 3 5 7" xfId="21194"/>
    <cellStyle name="Total 2 3 6" xfId="3130"/>
    <cellStyle name="Total 2 3 6 2" xfId="16219"/>
    <cellStyle name="Total 2 3 6 3" xfId="16220"/>
    <cellStyle name="Total 2 3 6 4" xfId="21195"/>
    <cellStyle name="Total 2 3 6 5" xfId="21196"/>
    <cellStyle name="Total 2 3 6 6" xfId="21197"/>
    <cellStyle name="Total 2 3 6 7" xfId="21198"/>
    <cellStyle name="Total 2 3 7" xfId="2938"/>
    <cellStyle name="Total 2 3 8" xfId="16221"/>
    <cellStyle name="Total 2 3 9" xfId="21199"/>
    <cellStyle name="Total 2 4" xfId="686"/>
    <cellStyle name="Total 2 4 10" xfId="21200"/>
    <cellStyle name="Total 2 4 11" xfId="21201"/>
    <cellStyle name="Total 2 4 12" xfId="21202"/>
    <cellStyle name="Total 2 4 2" xfId="2832"/>
    <cellStyle name="Total 2 4 2 10" xfId="21203"/>
    <cellStyle name="Total 2 4 2 11" xfId="21204"/>
    <cellStyle name="Total 2 4 2 2" xfId="3067"/>
    <cellStyle name="Total 2 4 2 2 2" xfId="16222"/>
    <cellStyle name="Total 2 4 2 2 3" xfId="16223"/>
    <cellStyle name="Total 2 4 2 2 4" xfId="21205"/>
    <cellStyle name="Total 2 4 2 2 5" xfId="21206"/>
    <cellStyle name="Total 2 4 2 2 6" xfId="21207"/>
    <cellStyle name="Total 2 4 2 2 7" xfId="21208"/>
    <cellStyle name="Total 2 4 2 3" xfId="3170"/>
    <cellStyle name="Total 2 4 2 3 2" xfId="16224"/>
    <cellStyle name="Total 2 4 2 3 3" xfId="16225"/>
    <cellStyle name="Total 2 4 2 3 4" xfId="21209"/>
    <cellStyle name="Total 2 4 2 3 5" xfId="21210"/>
    <cellStyle name="Total 2 4 2 3 6" xfId="21211"/>
    <cellStyle name="Total 2 4 2 3 7" xfId="21212"/>
    <cellStyle name="Total 2 4 2 4" xfId="3104"/>
    <cellStyle name="Total 2 4 2 4 2" xfId="16226"/>
    <cellStyle name="Total 2 4 2 4 3" xfId="16227"/>
    <cellStyle name="Total 2 4 2 4 4" xfId="21213"/>
    <cellStyle name="Total 2 4 2 4 5" xfId="21214"/>
    <cellStyle name="Total 2 4 2 4 6" xfId="21215"/>
    <cellStyle name="Total 2 4 2 4 7" xfId="21216"/>
    <cellStyle name="Total 2 4 2 5" xfId="3203"/>
    <cellStyle name="Total 2 4 2 5 2" xfId="16228"/>
    <cellStyle name="Total 2 4 2 5 3" xfId="16229"/>
    <cellStyle name="Total 2 4 2 5 4" xfId="21217"/>
    <cellStyle name="Total 2 4 2 5 5" xfId="21218"/>
    <cellStyle name="Total 2 4 2 5 6" xfId="21219"/>
    <cellStyle name="Total 2 4 2 5 7" xfId="21220"/>
    <cellStyle name="Total 2 4 2 6" xfId="2997"/>
    <cellStyle name="Total 2 4 2 7" xfId="16230"/>
    <cellStyle name="Total 2 4 2 8" xfId="21221"/>
    <cellStyle name="Total 2 4 2 9" xfId="21222"/>
    <cellStyle name="Total 2 4 3" xfId="2831"/>
    <cellStyle name="Total 2 4 3 2" xfId="3030"/>
    <cellStyle name="Total 2 4 3 3" xfId="16231"/>
    <cellStyle name="Total 2 4 3 4" xfId="21223"/>
    <cellStyle name="Total 2 4 3 5" xfId="21224"/>
    <cellStyle name="Total 2 4 3 6" xfId="21225"/>
    <cellStyle name="Total 2 4 3 7" xfId="21226"/>
    <cellStyle name="Total 2 4 4" xfId="3132"/>
    <cellStyle name="Total 2 4 4 2" xfId="16232"/>
    <cellStyle name="Total 2 4 4 3" xfId="16233"/>
    <cellStyle name="Total 2 4 4 4" xfId="21227"/>
    <cellStyle name="Total 2 4 4 5" xfId="21228"/>
    <cellStyle name="Total 2 4 4 6" xfId="21229"/>
    <cellStyle name="Total 2 4 4 7" xfId="21230"/>
    <cellStyle name="Total 2 4 5" xfId="3111"/>
    <cellStyle name="Total 2 4 5 2" xfId="16234"/>
    <cellStyle name="Total 2 4 5 3" xfId="16235"/>
    <cellStyle name="Total 2 4 5 4" xfId="21231"/>
    <cellStyle name="Total 2 4 5 5" xfId="21232"/>
    <cellStyle name="Total 2 4 5 6" xfId="21233"/>
    <cellStyle name="Total 2 4 5 7" xfId="21234"/>
    <cellStyle name="Total 2 4 6" xfId="3196"/>
    <cellStyle name="Total 2 4 6 2" xfId="16236"/>
    <cellStyle name="Total 2 4 6 3" xfId="16237"/>
    <cellStyle name="Total 2 4 6 4" xfId="21235"/>
    <cellStyle name="Total 2 4 6 5" xfId="21236"/>
    <cellStyle name="Total 2 4 6 6" xfId="21237"/>
    <cellStyle name="Total 2 4 6 7" xfId="21238"/>
    <cellStyle name="Total 2 4 7" xfId="2939"/>
    <cellStyle name="Total 2 4 8" xfId="16238"/>
    <cellStyle name="Total 2 4 9" xfId="21239"/>
    <cellStyle name="Total 2 5" xfId="2833"/>
    <cellStyle name="Total 2 5 10" xfId="21240"/>
    <cellStyle name="Total 2 5 11" xfId="21241"/>
    <cellStyle name="Total 2 5 2" xfId="3045"/>
    <cellStyle name="Total 2 5 2 2" xfId="16239"/>
    <cellStyle name="Total 2 5 2 3" xfId="16240"/>
    <cellStyle name="Total 2 5 2 4" xfId="21242"/>
    <cellStyle name="Total 2 5 2 5" xfId="21243"/>
    <cellStyle name="Total 2 5 2 6" xfId="21244"/>
    <cellStyle name="Total 2 5 2 7" xfId="21245"/>
    <cellStyle name="Total 2 5 3" xfId="3148"/>
    <cellStyle name="Total 2 5 3 2" xfId="16241"/>
    <cellStyle name="Total 2 5 3 3" xfId="16242"/>
    <cellStyle name="Total 2 5 3 4" xfId="21246"/>
    <cellStyle name="Total 2 5 3 5" xfId="21247"/>
    <cellStyle name="Total 2 5 3 6" xfId="21248"/>
    <cellStyle name="Total 2 5 3 7" xfId="21249"/>
    <cellStyle name="Total 2 5 4" xfId="3119"/>
    <cellStyle name="Total 2 5 4 2" xfId="16243"/>
    <cellStyle name="Total 2 5 4 3" xfId="16244"/>
    <cellStyle name="Total 2 5 4 4" xfId="21250"/>
    <cellStyle name="Total 2 5 4 5" xfId="21251"/>
    <cellStyle name="Total 2 5 4 6" xfId="21252"/>
    <cellStyle name="Total 2 5 4 7" xfId="21253"/>
    <cellStyle name="Total 2 5 5" xfId="3191"/>
    <cellStyle name="Total 2 5 5 2" xfId="16245"/>
    <cellStyle name="Total 2 5 5 3" xfId="16246"/>
    <cellStyle name="Total 2 5 5 4" xfId="21254"/>
    <cellStyle name="Total 2 5 5 5" xfId="21255"/>
    <cellStyle name="Total 2 5 5 6" xfId="21256"/>
    <cellStyle name="Total 2 5 5 7" xfId="21257"/>
    <cellStyle name="Total 2 5 6" xfId="2968"/>
    <cellStyle name="Total 2 5 7" xfId="16247"/>
    <cellStyle name="Total 2 5 8" xfId="21258"/>
    <cellStyle name="Total 2 5 9" xfId="21259"/>
    <cellStyle name="Total 2 6" xfId="2834"/>
    <cellStyle name="Total 2 6 2" xfId="3358"/>
    <cellStyle name="Total 2 6 3" xfId="16248"/>
    <cellStyle name="Total 2 6 4" xfId="21260"/>
    <cellStyle name="Total 2 6 5" xfId="21261"/>
    <cellStyle name="Total 2 6 6" xfId="21262"/>
    <cellStyle name="Total 2 6 7" xfId="21263"/>
    <cellStyle name="Total 2 7" xfId="1462"/>
    <cellStyle name="Total 2 7 2" xfId="13834"/>
    <cellStyle name="Total 2 8" xfId="13841"/>
    <cellStyle name="Total 2 8 2" xfId="16249"/>
    <cellStyle name="Total 2 8 3" xfId="16250"/>
    <cellStyle name="Total 2 8 4" xfId="21264"/>
    <cellStyle name="Total 2 8 5" xfId="21265"/>
    <cellStyle name="Total 2 8 6" xfId="21266"/>
    <cellStyle name="Total 2 8 7" xfId="21267"/>
    <cellStyle name="Total 3" xfId="229"/>
    <cellStyle name="Total 3 2" xfId="689"/>
    <cellStyle name="Total 3 2 2" xfId="1265"/>
    <cellStyle name="Total 3 2 2 10" xfId="21268"/>
    <cellStyle name="Total 3 2 2 11" xfId="21269"/>
    <cellStyle name="Total 3 2 2 2" xfId="2835"/>
    <cellStyle name="Total 3 2 2 2 2" xfId="3086"/>
    <cellStyle name="Total 3 2 2 2 3" xfId="16251"/>
    <cellStyle name="Total 3 2 2 2 4" xfId="21270"/>
    <cellStyle name="Total 3 2 2 2 5" xfId="21271"/>
    <cellStyle name="Total 3 2 2 2 6" xfId="21272"/>
    <cellStyle name="Total 3 2 2 2 7" xfId="21273"/>
    <cellStyle name="Total 3 2 2 3" xfId="3254"/>
    <cellStyle name="Total 3 2 2 3 2" xfId="16252"/>
    <cellStyle name="Total 3 2 2 3 3" xfId="16253"/>
    <cellStyle name="Total 3 2 2 3 4" xfId="21274"/>
    <cellStyle name="Total 3 2 2 3 5" xfId="21275"/>
    <cellStyle name="Total 3 2 2 3 6" xfId="21276"/>
    <cellStyle name="Total 3 2 2 3 7" xfId="21277"/>
    <cellStyle name="Total 3 2 2 4" xfId="3227"/>
    <cellStyle name="Total 3 2 2 4 2" xfId="16254"/>
    <cellStyle name="Total 3 2 2 4 3" xfId="16255"/>
    <cellStyle name="Total 3 2 2 4 4" xfId="21278"/>
    <cellStyle name="Total 3 2 2 4 5" xfId="21279"/>
    <cellStyle name="Total 3 2 2 4 6" xfId="21280"/>
    <cellStyle name="Total 3 2 2 4 7" xfId="21281"/>
    <cellStyle name="Total 3 2 2 5" xfId="3269"/>
    <cellStyle name="Total 3 2 2 5 2" xfId="16256"/>
    <cellStyle name="Total 3 2 2 5 3" xfId="16257"/>
    <cellStyle name="Total 3 2 2 5 4" xfId="21282"/>
    <cellStyle name="Total 3 2 2 5 5" xfId="21283"/>
    <cellStyle name="Total 3 2 2 5 6" xfId="21284"/>
    <cellStyle name="Total 3 2 2 5 7" xfId="21285"/>
    <cellStyle name="Total 3 2 2 6" xfId="3023"/>
    <cellStyle name="Total 3 2 2 7" xfId="16258"/>
    <cellStyle name="Total 3 2 2 8" xfId="21286"/>
    <cellStyle name="Total 3 2 2 9" xfId="21287"/>
    <cellStyle name="Total 3 2 3" xfId="2836"/>
    <cellStyle name="Total 3 2 3 10" xfId="21288"/>
    <cellStyle name="Total 3 2 3 11" xfId="21289"/>
    <cellStyle name="Total 3 2 3 2" xfId="3048"/>
    <cellStyle name="Total 3 2 3 2 2" xfId="16259"/>
    <cellStyle name="Total 3 2 3 2 3" xfId="16260"/>
    <cellStyle name="Total 3 2 3 2 4" xfId="21290"/>
    <cellStyle name="Total 3 2 3 2 5" xfId="21291"/>
    <cellStyle name="Total 3 2 3 2 6" xfId="21292"/>
    <cellStyle name="Total 3 2 3 2 7" xfId="21293"/>
    <cellStyle name="Total 3 2 3 3" xfId="3151"/>
    <cellStyle name="Total 3 2 3 3 2" xfId="16261"/>
    <cellStyle name="Total 3 2 3 3 3" xfId="16262"/>
    <cellStyle name="Total 3 2 3 3 4" xfId="21294"/>
    <cellStyle name="Total 3 2 3 3 5" xfId="21295"/>
    <cellStyle name="Total 3 2 3 3 6" xfId="21296"/>
    <cellStyle name="Total 3 2 3 3 7" xfId="21297"/>
    <cellStyle name="Total 3 2 3 4" xfId="3198"/>
    <cellStyle name="Total 3 2 3 4 2" xfId="16263"/>
    <cellStyle name="Total 3 2 3 4 3" xfId="16264"/>
    <cellStyle name="Total 3 2 3 4 4" xfId="21298"/>
    <cellStyle name="Total 3 2 3 4 5" xfId="21299"/>
    <cellStyle name="Total 3 2 3 4 6" xfId="21300"/>
    <cellStyle name="Total 3 2 3 4 7" xfId="21301"/>
    <cellStyle name="Total 3 2 3 5" xfId="3213"/>
    <cellStyle name="Total 3 2 3 5 2" xfId="16265"/>
    <cellStyle name="Total 3 2 3 5 3" xfId="16266"/>
    <cellStyle name="Total 3 2 3 5 4" xfId="21302"/>
    <cellStyle name="Total 3 2 3 5 5" xfId="21303"/>
    <cellStyle name="Total 3 2 3 5 6" xfId="21304"/>
    <cellStyle name="Total 3 2 3 5 7" xfId="21305"/>
    <cellStyle name="Total 3 2 3 6" xfId="2971"/>
    <cellStyle name="Total 3 2 3 7" xfId="16267"/>
    <cellStyle name="Total 3 2 3 8" xfId="21306"/>
    <cellStyle name="Total 3 2 3 9" xfId="21307"/>
    <cellStyle name="Total 3 2 4" xfId="2837"/>
    <cellStyle name="Total 3 2 4 2" xfId="13855"/>
    <cellStyle name="Total 3 2 4 3" xfId="16268"/>
    <cellStyle name="Total 3 2 4 4" xfId="21308"/>
    <cellStyle name="Total 3 2 4 5" xfId="21309"/>
    <cellStyle name="Total 3 2 4 6" xfId="21310"/>
    <cellStyle name="Total 3 2 4 7" xfId="21311"/>
    <cellStyle name="Total 3 2 5" xfId="1466"/>
    <cellStyle name="Total 3 2 5 2" xfId="13857"/>
    <cellStyle name="Total 3 2 5 3" xfId="16269"/>
    <cellStyle name="Total 3 2 5 4" xfId="21312"/>
    <cellStyle name="Total 3 2 5 5" xfId="21313"/>
    <cellStyle name="Total 3 2 5 6" xfId="21314"/>
    <cellStyle name="Total 3 2 5 7" xfId="21315"/>
    <cellStyle name="Total 3 3" xfId="1266"/>
    <cellStyle name="Total 3 3 10" xfId="21316"/>
    <cellStyle name="Total 3 3 11" xfId="21317"/>
    <cellStyle name="Total 3 3 12" xfId="21318"/>
    <cellStyle name="Total 3 3 2" xfId="1267"/>
    <cellStyle name="Total 3 3 2 10" xfId="21319"/>
    <cellStyle name="Total 3 3 2 11" xfId="21320"/>
    <cellStyle name="Total 3 3 2 2" xfId="2838"/>
    <cellStyle name="Total 3 3 2 2 2" xfId="3068"/>
    <cellStyle name="Total 3 3 2 2 3" xfId="16270"/>
    <cellStyle name="Total 3 3 2 2 4" xfId="21321"/>
    <cellStyle name="Total 3 3 2 2 5" xfId="21322"/>
    <cellStyle name="Total 3 3 2 2 6" xfId="21323"/>
    <cellStyle name="Total 3 3 2 2 7" xfId="21324"/>
    <cellStyle name="Total 3 3 2 3" xfId="3171"/>
    <cellStyle name="Total 3 3 2 3 2" xfId="16271"/>
    <cellStyle name="Total 3 3 2 3 3" xfId="16272"/>
    <cellStyle name="Total 3 3 2 3 4" xfId="21325"/>
    <cellStyle name="Total 3 3 2 3 5" xfId="21326"/>
    <cellStyle name="Total 3 3 2 3 6" xfId="21327"/>
    <cellStyle name="Total 3 3 2 3 7" xfId="21328"/>
    <cellStyle name="Total 3 3 2 4" xfId="3105"/>
    <cellStyle name="Total 3 3 2 4 2" xfId="16273"/>
    <cellStyle name="Total 3 3 2 4 3" xfId="16274"/>
    <cellStyle name="Total 3 3 2 4 4" xfId="21329"/>
    <cellStyle name="Total 3 3 2 4 5" xfId="21330"/>
    <cellStyle name="Total 3 3 2 4 6" xfId="21331"/>
    <cellStyle name="Total 3 3 2 4 7" xfId="21332"/>
    <cellStyle name="Total 3 3 2 5" xfId="3202"/>
    <cellStyle name="Total 3 3 2 5 2" xfId="16275"/>
    <cellStyle name="Total 3 3 2 5 3" xfId="16276"/>
    <cellStyle name="Total 3 3 2 5 4" xfId="21333"/>
    <cellStyle name="Total 3 3 2 5 5" xfId="21334"/>
    <cellStyle name="Total 3 3 2 5 6" xfId="21335"/>
    <cellStyle name="Total 3 3 2 5 7" xfId="21336"/>
    <cellStyle name="Total 3 3 2 6" xfId="2998"/>
    <cellStyle name="Total 3 3 2 7" xfId="16277"/>
    <cellStyle name="Total 3 3 2 8" xfId="21337"/>
    <cellStyle name="Total 3 3 2 9" xfId="21338"/>
    <cellStyle name="Total 3 3 3" xfId="1467"/>
    <cellStyle name="Total 3 3 3 2" xfId="3031"/>
    <cellStyle name="Total 3 3 3 3" xfId="16278"/>
    <cellStyle name="Total 3 3 3 4" xfId="21339"/>
    <cellStyle name="Total 3 3 3 5" xfId="21340"/>
    <cellStyle name="Total 3 3 3 6" xfId="21341"/>
    <cellStyle name="Total 3 3 3 7" xfId="21342"/>
    <cellStyle name="Total 3 3 4" xfId="3133"/>
    <cellStyle name="Total 3 3 4 2" xfId="16279"/>
    <cellStyle name="Total 3 3 4 3" xfId="16280"/>
    <cellStyle name="Total 3 3 4 4" xfId="21343"/>
    <cellStyle name="Total 3 3 4 5" xfId="21344"/>
    <cellStyle name="Total 3 3 4 6" xfId="21345"/>
    <cellStyle name="Total 3 3 4 7" xfId="21346"/>
    <cellStyle name="Total 3 3 5" xfId="3089"/>
    <cellStyle name="Total 3 3 5 2" xfId="16281"/>
    <cellStyle name="Total 3 3 5 3" xfId="16282"/>
    <cellStyle name="Total 3 3 5 4" xfId="21347"/>
    <cellStyle name="Total 3 3 5 5" xfId="21348"/>
    <cellStyle name="Total 3 3 5 6" xfId="21349"/>
    <cellStyle name="Total 3 3 5 7" xfId="21350"/>
    <cellStyle name="Total 3 3 6" xfId="3109"/>
    <cellStyle name="Total 3 3 6 2" xfId="16283"/>
    <cellStyle name="Total 3 3 6 3" xfId="16284"/>
    <cellStyle name="Total 3 3 6 4" xfId="21351"/>
    <cellStyle name="Total 3 3 6 5" xfId="21352"/>
    <cellStyle name="Total 3 3 6 6" xfId="21353"/>
    <cellStyle name="Total 3 3 6 7" xfId="21354"/>
    <cellStyle name="Total 3 3 7" xfId="2940"/>
    <cellStyle name="Total 3 3 8" xfId="16285"/>
    <cellStyle name="Total 3 3 9" xfId="21355"/>
    <cellStyle name="Total 3 4" xfId="1268"/>
    <cellStyle name="Total 3 4 10" xfId="21356"/>
    <cellStyle name="Total 3 4 11" xfId="21357"/>
    <cellStyle name="Total 3 4 2" xfId="2839"/>
    <cellStyle name="Total 3 4 2 2" xfId="3085"/>
    <cellStyle name="Total 3 4 2 3" xfId="16286"/>
    <cellStyle name="Total 3 4 2 4" xfId="21358"/>
    <cellStyle name="Total 3 4 2 5" xfId="21359"/>
    <cellStyle name="Total 3 4 2 6" xfId="21360"/>
    <cellStyle name="Total 3 4 2 7" xfId="21361"/>
    <cellStyle name="Total 3 4 3" xfId="3253"/>
    <cellStyle name="Total 3 4 3 2" xfId="16287"/>
    <cellStyle name="Total 3 4 3 3" xfId="16288"/>
    <cellStyle name="Total 3 4 3 4" xfId="21362"/>
    <cellStyle name="Total 3 4 3 5" xfId="21363"/>
    <cellStyle name="Total 3 4 3 6" xfId="21364"/>
    <cellStyle name="Total 3 4 3 7" xfId="21365"/>
    <cellStyle name="Total 3 4 4" xfId="3135"/>
    <cellStyle name="Total 3 4 4 2" xfId="16289"/>
    <cellStyle name="Total 3 4 4 3" xfId="16290"/>
    <cellStyle name="Total 3 4 4 4" xfId="21366"/>
    <cellStyle name="Total 3 4 4 5" xfId="21367"/>
    <cellStyle name="Total 3 4 4 6" xfId="21368"/>
    <cellStyle name="Total 3 4 4 7" xfId="21369"/>
    <cellStyle name="Total 3 4 5" xfId="3268"/>
    <cellStyle name="Total 3 4 5 2" xfId="16291"/>
    <cellStyle name="Total 3 4 5 3" xfId="16292"/>
    <cellStyle name="Total 3 4 5 4" xfId="21370"/>
    <cellStyle name="Total 3 4 5 5" xfId="21371"/>
    <cellStyle name="Total 3 4 5 6" xfId="21372"/>
    <cellStyle name="Total 3 4 5 7" xfId="21373"/>
    <cellStyle name="Total 3 4 6" xfId="3022"/>
    <cellStyle name="Total 3 4 7" xfId="16293"/>
    <cellStyle name="Total 3 4 8" xfId="21374"/>
    <cellStyle name="Total 3 4 9" xfId="21375"/>
    <cellStyle name="Total 3 5" xfId="2840"/>
    <cellStyle name="Total 3 5 10" xfId="21376"/>
    <cellStyle name="Total 3 5 11" xfId="21377"/>
    <cellStyle name="Total 3 5 2" xfId="3047"/>
    <cellStyle name="Total 3 5 2 2" xfId="16294"/>
    <cellStyle name="Total 3 5 2 3" xfId="16295"/>
    <cellStyle name="Total 3 5 2 4" xfId="21378"/>
    <cellStyle name="Total 3 5 2 5" xfId="21379"/>
    <cellStyle name="Total 3 5 2 6" xfId="21380"/>
    <cellStyle name="Total 3 5 2 7" xfId="21381"/>
    <cellStyle name="Total 3 5 3" xfId="3150"/>
    <cellStyle name="Total 3 5 3 2" xfId="16296"/>
    <cellStyle name="Total 3 5 3 3" xfId="16297"/>
    <cellStyle name="Total 3 5 3 4" xfId="21382"/>
    <cellStyle name="Total 3 5 3 5" xfId="21383"/>
    <cellStyle name="Total 3 5 3 6" xfId="21384"/>
    <cellStyle name="Total 3 5 3 7" xfId="21385"/>
    <cellStyle name="Total 3 5 4" xfId="3121"/>
    <cellStyle name="Total 3 5 4 2" xfId="16298"/>
    <cellStyle name="Total 3 5 4 3" xfId="16299"/>
    <cellStyle name="Total 3 5 4 4" xfId="21386"/>
    <cellStyle name="Total 3 5 4 5" xfId="21387"/>
    <cellStyle name="Total 3 5 4 6" xfId="21388"/>
    <cellStyle name="Total 3 5 4 7" xfId="21389"/>
    <cellStyle name="Total 3 5 5" xfId="3214"/>
    <cellStyle name="Total 3 5 5 2" xfId="16300"/>
    <cellStyle name="Total 3 5 5 3" xfId="16301"/>
    <cellStyle name="Total 3 5 5 4" xfId="21390"/>
    <cellStyle name="Total 3 5 5 5" xfId="21391"/>
    <cellStyle name="Total 3 5 5 6" xfId="21392"/>
    <cellStyle name="Total 3 5 5 7" xfId="21393"/>
    <cellStyle name="Total 3 5 6" xfId="2970"/>
    <cellStyle name="Total 3 5 7" xfId="16302"/>
    <cellStyle name="Total 3 5 8" xfId="21394"/>
    <cellStyle name="Total 3 5 9" xfId="21395"/>
    <cellStyle name="Total 3 6" xfId="2841"/>
    <cellStyle name="Total 3 6 2" xfId="13847"/>
    <cellStyle name="Total 3 6 3" xfId="16303"/>
    <cellStyle name="Total 3 6 4" xfId="21396"/>
    <cellStyle name="Total 3 6 5" xfId="21397"/>
    <cellStyle name="Total 3 6 6" xfId="21398"/>
    <cellStyle name="Total 3 6 7" xfId="21399"/>
    <cellStyle name="Total 3 7" xfId="1465"/>
    <cellStyle name="Total 3 7 2" xfId="13840"/>
    <cellStyle name="Total 3 7 3" xfId="16304"/>
    <cellStyle name="Total 3 7 4" xfId="21400"/>
    <cellStyle name="Total 3 7 5" xfId="21401"/>
    <cellStyle name="Total 3 7 6" xfId="21402"/>
    <cellStyle name="Total 3 7 7" xfId="21403"/>
    <cellStyle name="Total 4" xfId="1269"/>
    <cellStyle name="Total 4 10" xfId="21404"/>
    <cellStyle name="Total 4 11" xfId="21405"/>
    <cellStyle name="Total 4 12" xfId="21406"/>
    <cellStyle name="Total 4 13" xfId="21407"/>
    <cellStyle name="Total 4 2" xfId="1270"/>
    <cellStyle name="Total 4 3" xfId="1271"/>
    <cellStyle name="Total 4 3 10" xfId="21408"/>
    <cellStyle name="Total 4 3 11" xfId="21409"/>
    <cellStyle name="Total 4 3 2" xfId="2842"/>
    <cellStyle name="Total 4 3 2 2" xfId="3069"/>
    <cellStyle name="Total 4 3 2 3" xfId="16305"/>
    <cellStyle name="Total 4 3 2 4" xfId="21410"/>
    <cellStyle name="Total 4 3 2 5" xfId="21411"/>
    <cellStyle name="Total 4 3 2 6" xfId="21412"/>
    <cellStyle name="Total 4 3 2 7" xfId="21413"/>
    <cellStyle name="Total 4 3 3" xfId="3172"/>
    <cellStyle name="Total 4 3 3 2" xfId="16306"/>
    <cellStyle name="Total 4 3 3 3" xfId="16307"/>
    <cellStyle name="Total 4 3 3 4" xfId="21414"/>
    <cellStyle name="Total 4 3 3 5" xfId="21415"/>
    <cellStyle name="Total 4 3 3 6" xfId="21416"/>
    <cellStyle name="Total 4 3 3 7" xfId="21417"/>
    <cellStyle name="Total 4 3 4" xfId="3106"/>
    <cellStyle name="Total 4 3 4 2" xfId="16308"/>
    <cellStyle name="Total 4 3 4 3" xfId="16309"/>
    <cellStyle name="Total 4 3 4 4" xfId="21418"/>
    <cellStyle name="Total 4 3 4 5" xfId="21419"/>
    <cellStyle name="Total 4 3 4 6" xfId="21420"/>
    <cellStyle name="Total 4 3 4 7" xfId="21421"/>
    <cellStyle name="Total 4 3 5" xfId="3201"/>
    <cellStyle name="Total 4 3 5 2" xfId="16310"/>
    <cellStyle name="Total 4 3 5 3" xfId="16311"/>
    <cellStyle name="Total 4 3 5 4" xfId="21422"/>
    <cellStyle name="Total 4 3 5 5" xfId="21423"/>
    <cellStyle name="Total 4 3 5 6" xfId="21424"/>
    <cellStyle name="Total 4 3 5 7" xfId="21425"/>
    <cellStyle name="Total 4 3 6" xfId="2999"/>
    <cellStyle name="Total 4 3 7" xfId="16312"/>
    <cellStyle name="Total 4 3 8" xfId="21426"/>
    <cellStyle name="Total 4 3 9" xfId="21427"/>
    <cellStyle name="Total 4 4" xfId="1468"/>
    <cellStyle name="Total 4 4 2" xfId="3032"/>
    <cellStyle name="Total 4 4 3" xfId="16313"/>
    <cellStyle name="Total 4 4 4" xfId="21428"/>
    <cellStyle name="Total 4 4 5" xfId="21429"/>
    <cellStyle name="Total 4 4 6" xfId="21430"/>
    <cellStyle name="Total 4 4 7" xfId="21431"/>
    <cellStyle name="Total 4 5" xfId="3134"/>
    <cellStyle name="Total 4 5 2" xfId="16314"/>
    <cellStyle name="Total 4 5 3" xfId="16315"/>
    <cellStyle name="Total 4 5 4" xfId="21432"/>
    <cellStyle name="Total 4 5 5" xfId="21433"/>
    <cellStyle name="Total 4 5 6" xfId="21434"/>
    <cellStyle name="Total 4 5 7" xfId="21435"/>
    <cellStyle name="Total 4 6" xfId="3098"/>
    <cellStyle name="Total 4 6 2" xfId="16316"/>
    <cellStyle name="Total 4 6 3" xfId="16317"/>
    <cellStyle name="Total 4 6 4" xfId="21436"/>
    <cellStyle name="Total 4 6 5" xfId="21437"/>
    <cellStyle name="Total 4 6 6" xfId="21438"/>
    <cellStyle name="Total 4 6 7" xfId="21439"/>
    <cellStyle name="Total 4 7" xfId="3097"/>
    <cellStyle name="Total 4 7 2" xfId="16318"/>
    <cellStyle name="Total 4 7 3" xfId="16319"/>
    <cellStyle name="Total 4 7 4" xfId="21440"/>
    <cellStyle name="Total 4 7 5" xfId="21441"/>
    <cellStyle name="Total 4 7 6" xfId="21442"/>
    <cellStyle name="Total 4 7 7" xfId="21443"/>
    <cellStyle name="Total 4 8" xfId="2941"/>
    <cellStyle name="Total 4 9" xfId="16320"/>
    <cellStyle name="Total 5" xfId="13835"/>
    <cellStyle name="TotCol - Style5" xfId="2843"/>
    <cellStyle name="TotCol - Style7" xfId="2844"/>
    <cellStyle name="TotRow - Style4" xfId="2845"/>
    <cellStyle name="TotRow - Style4 10" xfId="21444"/>
    <cellStyle name="TotRow - Style4 11" xfId="21445"/>
    <cellStyle name="TotRow - Style4 2" xfId="3079"/>
    <cellStyle name="TotRow - Style4 2 2" xfId="16321"/>
    <cellStyle name="TotRow - Style4 2 3" xfId="16322"/>
    <cellStyle name="TotRow - Style4 2 4" xfId="21446"/>
    <cellStyle name="TotRow - Style4 2 5" xfId="21447"/>
    <cellStyle name="TotRow - Style4 2 6" xfId="21448"/>
    <cellStyle name="TotRow - Style4 2 7" xfId="21449"/>
    <cellStyle name="TotRow - Style4 3" xfId="3247"/>
    <cellStyle name="TotRow - Style4 3 2" xfId="16323"/>
    <cellStyle name="TotRow - Style4 3 3" xfId="16324"/>
    <cellStyle name="TotRow - Style4 3 4" xfId="21450"/>
    <cellStyle name="TotRow - Style4 3 5" xfId="21451"/>
    <cellStyle name="TotRow - Style4 3 6" xfId="21452"/>
    <cellStyle name="TotRow - Style4 3 7" xfId="21453"/>
    <cellStyle name="TotRow - Style4 4" xfId="3246"/>
    <cellStyle name="TotRow - Style4 4 2" xfId="16325"/>
    <cellStyle name="TotRow - Style4 4 3" xfId="16326"/>
    <cellStyle name="TotRow - Style4 4 4" xfId="21454"/>
    <cellStyle name="TotRow - Style4 4 5" xfId="21455"/>
    <cellStyle name="TotRow - Style4 4 6" xfId="21456"/>
    <cellStyle name="TotRow - Style4 4 7" xfId="21457"/>
    <cellStyle name="TotRow - Style4 5" xfId="3262"/>
    <cellStyle name="TotRow - Style4 5 2" xfId="16327"/>
    <cellStyle name="TotRow - Style4 5 3" xfId="16328"/>
    <cellStyle name="TotRow - Style4 5 4" xfId="21458"/>
    <cellStyle name="TotRow - Style4 5 5" xfId="21459"/>
    <cellStyle name="TotRow - Style4 5 6" xfId="21460"/>
    <cellStyle name="TotRow - Style4 5 7" xfId="21461"/>
    <cellStyle name="TotRow - Style4 6" xfId="3016"/>
    <cellStyle name="TotRow - Style4 7" xfId="16329"/>
    <cellStyle name="TotRow - Style4 8" xfId="21462"/>
    <cellStyle name="TotRow - Style4 9" xfId="21463"/>
    <cellStyle name="TotRow - Style8" xfId="2846"/>
    <cellStyle name="TotRow - Style8 10" xfId="21464"/>
    <cellStyle name="TotRow - Style8 11" xfId="21465"/>
    <cellStyle name="TotRow - Style8 2" xfId="3080"/>
    <cellStyle name="TotRow - Style8 2 2" xfId="16330"/>
    <cellStyle name="TotRow - Style8 2 3" xfId="16331"/>
    <cellStyle name="TotRow - Style8 2 4" xfId="21466"/>
    <cellStyle name="TotRow - Style8 2 5" xfId="21467"/>
    <cellStyle name="TotRow - Style8 2 6" xfId="21468"/>
    <cellStyle name="TotRow - Style8 2 7" xfId="21469"/>
    <cellStyle name="TotRow - Style8 3" xfId="3248"/>
    <cellStyle name="TotRow - Style8 3 2" xfId="16332"/>
    <cellStyle name="TotRow - Style8 3 3" xfId="16333"/>
    <cellStyle name="TotRow - Style8 3 4" xfId="21470"/>
    <cellStyle name="TotRow - Style8 3 5" xfId="21471"/>
    <cellStyle name="TotRow - Style8 3 6" xfId="21472"/>
    <cellStyle name="TotRow - Style8 3 7" xfId="21473"/>
    <cellStyle name="TotRow - Style8 4" xfId="3194"/>
    <cellStyle name="TotRow - Style8 4 2" xfId="16334"/>
    <cellStyle name="TotRow - Style8 4 3" xfId="16335"/>
    <cellStyle name="TotRow - Style8 4 4" xfId="21474"/>
    <cellStyle name="TotRow - Style8 4 5" xfId="21475"/>
    <cellStyle name="TotRow - Style8 4 6" xfId="21476"/>
    <cellStyle name="TotRow - Style8 4 7" xfId="21477"/>
    <cellStyle name="TotRow - Style8 5" xfId="3263"/>
    <cellStyle name="TotRow - Style8 5 2" xfId="16336"/>
    <cellStyle name="TotRow - Style8 5 3" xfId="16337"/>
    <cellStyle name="TotRow - Style8 5 4" xfId="21478"/>
    <cellStyle name="TotRow - Style8 5 5" xfId="21479"/>
    <cellStyle name="TotRow - Style8 5 6" xfId="21480"/>
    <cellStyle name="TotRow - Style8 5 7" xfId="21481"/>
    <cellStyle name="TotRow - Style8 6" xfId="3017"/>
    <cellStyle name="TotRow - Style8 7" xfId="16338"/>
    <cellStyle name="TotRow - Style8 8" xfId="21482"/>
    <cellStyle name="TotRow - Style8 9" xfId="21483"/>
    <cellStyle name="Transcript_Date" xfId="1272"/>
    <cellStyle name="Warning Text" xfId="2863" builtinId="11" customBuiltin="1"/>
    <cellStyle name="Warning Text 2" xfId="230"/>
    <cellStyle name="Warning Text 3" xfId="231"/>
    <cellStyle name="Warning Text 4" xfId="1273"/>
    <cellStyle name="Warning Text 5" xfId="13836"/>
    <cellStyle name="WM_STANDARD" xfId="1274"/>
  </cellStyles>
  <dxfs count="32">
    <dxf>
      <numFmt numFmtId="34" formatCode="_(&quot;$&quot;* #,##0.00_);_(&quot;$&quot;* \(#,##0.00\);_(&quot;$&quot;* &quot;-&quot;??_);_(@_)"/>
    </dxf>
    <dxf>
      <numFmt numFmtId="35" formatCode="_(* #,##0.00_);_(* \(#,##0.00\);_(* &quot;-&quot;??_);_(@_)"/>
    </dxf>
    <dxf>
      <numFmt numFmtId="34" formatCode="_(&quot;$&quot;* #,##0.00_);_(&quot;$&quot;* \(#,##0.00\);_(&quot;$&quot;*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4" formatCode="_(&quot;$&quot;* #,##0.00_);_(&quot;$&quot;* \(#,##0.00\);_(&quot;$&quot;* &quot;-&quot;??_);_(@_)"/>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34" formatCode="_(&quot;$&quot;* #,##0.00_);_(&quot;$&quot;* \(#,##0.00\);_(&quot;$&quot;* &quot;-&quot;??_);_(@_)"/>
    </dxf>
    <dxf>
      <numFmt numFmtId="35" formatCode="_(* #,##0.00_);_(* \(#,##0.00\);_(* &quot;-&quot;??_);_(@_)"/>
    </dxf>
    <dxf>
      <numFmt numFmtId="35" formatCode="_(* #,##0.00_);_(* \(#,##0.00\);_(* &quot;-&quot;??_);_(@_)"/>
    </dxf>
    <dxf>
      <fill>
        <patternFill patternType="solid">
          <fgColor rgb="FFE4DFEC"/>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3333FF"/>
      <color rgb="FFFF99FF"/>
      <color rgb="FFFFFFCC"/>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pivotCacheDefinition" Target="pivotCache/pivotCacheDefinition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91" Type="http://schemas.openxmlformats.org/officeDocument/2006/relationships/externalLink" Target="externalLinks/externalLink55.xml"/><Relationship Id="rId96"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94" Type="http://schemas.openxmlformats.org/officeDocument/2006/relationships/pivotCacheDefinition" Target="pivotCache/pivotCacheDefinition1.xml"/><Relationship Id="rId99" Type="http://schemas.openxmlformats.org/officeDocument/2006/relationships/pivotCacheDefinition" Target="pivotCache/pivotCacheDefinition6.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pivotCacheDefinition" Target="pivotCache/pivotCacheDefinition4.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pivotCacheDefinition" Target="pivotCache/pivotCacheDefinition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xdr:col>
      <xdr:colOff>485775</xdr:colOff>
      <xdr:row>0</xdr:row>
      <xdr:rowOff>85725</xdr:rowOff>
    </xdr:from>
    <xdr:to>
      <xdr:col>12</xdr:col>
      <xdr:colOff>666750</xdr:colOff>
      <xdr:row>8</xdr:row>
      <xdr:rowOff>57150</xdr:rowOff>
    </xdr:to>
    <xdr:sp macro="" textlink="">
      <xdr:nvSpPr>
        <xdr:cNvPr id="2" name="TextBox 1"/>
        <xdr:cNvSpPr txBox="1"/>
      </xdr:nvSpPr>
      <xdr:spPr>
        <a:xfrm>
          <a:off x="7705725" y="85725"/>
          <a:ext cx="6867525"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Note:  </a:t>
          </a:r>
          <a:r>
            <a:rPr lang="en-US" sz="1100" b="0">
              <a:solidFill>
                <a:schemeClr val="dk1"/>
              </a:solidFill>
              <a:effectLst/>
              <a:latin typeface="+mn-lt"/>
              <a:ea typeface="+mn-ea"/>
              <a:cs typeface="+mn-cs"/>
            </a:rPr>
            <a:t>We adjusted</a:t>
          </a:r>
          <a:r>
            <a:rPr lang="en-US" sz="1100" b="0" baseline="0">
              <a:solidFill>
                <a:schemeClr val="dk1"/>
              </a:solidFill>
              <a:effectLst/>
              <a:latin typeface="+mn-lt"/>
              <a:ea typeface="+mn-ea"/>
              <a:cs typeface="+mn-cs"/>
            </a:rPr>
            <a:t> our payroll schedule approach to align with Staff's approach on previous filings.  We ran the most recent payroll report to obtain employees current wage per hour.  We then obtained a payroll report for the test period and determined the number of regular hours (including vacation, PTO &amp; holiday) and the number of overtime hours.  This information was used to determine the current total pay (test period hours times current hourly rate).  Next we multiplied the pay by the wage increase that the employee will receive in the rate year to determine forward looking wages to be included in rates beginning 8/1/2019.</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446629</xdr:colOff>
      <xdr:row>34</xdr:row>
      <xdr:rowOff>8739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90500"/>
          <a:ext cx="8371429" cy="62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65635</xdr:colOff>
      <xdr:row>44</xdr:row>
      <xdr:rowOff>27524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23810" cy="8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20481" name="DataCompleted"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171009" name="DataCompleted" hidden="1">
              <a:extLst>
                <a:ext uri="{63B3BB69-23CF-44E3-9099-C40C66FF867C}">
                  <a14:compatExt spid="_x0000_s171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169985" name="DataCompleted" hidden="1">
              <a:extLst>
                <a:ext uri="{63B3BB69-23CF-44E3-9099-C40C66FF867C}">
                  <a14:compatExt spid="_x0000_s16998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15</xdr:row>
          <xdr:rowOff>180975</xdr:rowOff>
        </xdr:from>
        <xdr:to>
          <xdr:col>2</xdr:col>
          <xdr:colOff>342900</xdr:colOff>
          <xdr:row>17</xdr:row>
          <xdr:rowOff>9525</xdr:rowOff>
        </xdr:to>
        <xdr:sp macro="" textlink="">
          <xdr:nvSpPr>
            <xdr:cNvPr id="172033" name="DataCompleted" hidden="1">
              <a:extLst>
                <a:ext uri="{63B3BB69-23CF-44E3-9099-C40C66FF867C}">
                  <a14:compatExt spid="_x0000_s17203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WCNX%20Stuff\Excel\Financials\Excel%20Financials\ExcelFinanci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May%2018-Apr%2019-%20Thurston%20County%20Price%20Out%20Templa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Misc%20Analsysis%20Non-Filing\Pro%20froma%208.31.2013%20for%20Budgets\Consolidated%20Pro%20forma%20Year%20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Western%20Region/WUTC/WUTC-Murrey%20%202111/General%20Rate%20Filings/Rate%20Filing%201-1-2019/Fuel%20Stat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estern%20Region\WUTC\WIP%20Files\2010%20Clark%20County-%202009%20Vancouver\12.31.2010%20Test%20Year\Proforma%20Clark%20County%20101231%20Filing-Draft-FINAL%20VERSION.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estern%20Region\WUTC\WIP%20Files\LeMay%20Companies\2014\Annual%20Report\District%20Schedules\North%20LeMay\N%20LeMay%20Annual%20Report%202013%20-%20with%20Heather's%20No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SRC%20Reports\SRC%20Format\Bonus%20Schedule\PNWR%20SRC%20Bonus%20Schedule%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Users\nealjohnson\Downloads\SolidWaste-NonPublic%20LG%202018%20V5.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X:\Users\heatherg\AppData\Local\Microsoft\Windows\Temporary%20Internet%20Files\Content.Outlook\XS11RNOC\SolidWaste-NonPublic%20LG%202018%20V5.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2184%20Expense%20allocations%20-%20MRF%20vs%20Transf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Pacific%20Reduce%20Recycle%20Rates%20Calc%207-1-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Western%20Region/WUTC/WUTC-LeMay/Misc%20Filings/Pacific-Rural%20Reduce%20Recycling%207-1-18/Rural%20Reduce%20Recycle%207-1-18/Rural%20Reduce%20Recycle%20Rate%20Calc%20-%207-1-18%20-%20(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Joe's%20Recycle%20Reduction%20Calc%207-1-18.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Rural%20Reduce%20Recycle%20Rate%20Calc%20-%207-1-18%20-%20(R).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Pacific%20Teamsters%20Sick%20Balances%205.12.19%20Payou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LMS%20Customer%20Coun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Time%20Study/4.2019%20Pacific%20Disposal%20Route%20Study.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2184,%202185%20Route%20Hour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UTC%20Truck%20Cost%20Repor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Payroll/EE%20Job%20Descriptions%20-%20Updated%20by%20distric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2184%20MRF%20Tonnage.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PAC%20Cust%20Count%20by%20Container%202018-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2184%20FAR.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DF%20Allocation%20Calculation%204.30.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Users\lauraka\AppData\Local\Microsoft\Windows\Temporary%20Internet%20Files\Content.Outlook\70D2YF1B\SolidWaste-PublicCompany%20Lurito%20Gallagher%202018%20SREcon%20V5.0z%20WCN%20case%20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JE%20Query%20-%205934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JE%20Query%20-%205934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JE%20Queries%20-%20from%20distric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Users\lindsaywa\AppData\Local\Interject\FileCache\JEQuery_v4.7_Interject_WithStag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Western%20Region/WUTC/WIP%20Files/LeMay%20Companies/2019/General%20Rate%20Filings/Pacific%20Disposal/04.30.2019%20Rate%20Review/Disposal%20Detail%20-%20Y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ustomer Counts"/>
      <sheetName val="Revenue Summary"/>
      <sheetName val="D0025 Data Pivot 4-18"/>
      <sheetName val="D0025 Data Pivot 4-19"/>
      <sheetName val="2018 P&amp;L Close Report"/>
      <sheetName val="04-18 P&amp;L Close Report"/>
      <sheetName val="2019 P&amp;L Close Report"/>
      <sheetName val="JE support"/>
      <sheetName val="RM Pivot"/>
      <sheetName val="RM Pivot (MF Recyc)"/>
      <sheetName val="RM Revenue"/>
      <sheetName val="Pacific Regulated - Price Out"/>
      <sheetName val="Rainier Non-Reg - Price Out "/>
      <sheetName val="Rural Regulated - Price Out "/>
      <sheetName val="Yelm Non-Reg - Price Out "/>
      <sheetName val="Comm Recycling- Reg Areas"/>
      <sheetName val="Add Service Codes"/>
      <sheetName val="CGP Non-Reg Price Out"/>
      <sheetName val="Rates"/>
      <sheetName val="Other Non-Reg - Price out"/>
      <sheetName val="Key"/>
      <sheetName val="Bill Area Lay Out"/>
      <sheetName val="July 2018 Rates"/>
      <sheetName val="DO028 RollOff"/>
      <sheetName val="COM ADJ"/>
      <sheetName val="Resi ADJ"/>
      <sheetName val="SC ADJ"/>
      <sheetName val="RO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D6">
            <v>10000</v>
          </cell>
        </row>
        <row r="8">
          <cell r="H8" t="str">
            <v>2019-05</v>
          </cell>
        </row>
        <row r="12">
          <cell r="G12" t="str">
            <v>2018-05</v>
          </cell>
        </row>
        <row r="13">
          <cell r="G13" t="str">
            <v>2019-04</v>
          </cell>
        </row>
      </sheetData>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 val="Yakima BS "/>
      <sheetName val="Pro-forma Adj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Ranges"/>
      <sheetName val="StatEntry_Trend"/>
      <sheetName val="StatEntry_Detail"/>
      <sheetName val="StatEntry_Reclass_LOB_Sbst"/>
      <sheetName val="ChangeHistory"/>
      <sheetName val="Stat Lookup"/>
    </sheetNames>
    <sheetDataSet>
      <sheetData sheetId="0">
        <row r="5">
          <cell r="B5" t="str">
            <v>Can_Commercial</v>
          </cell>
          <cell r="D5" t="str">
            <v>Act</v>
          </cell>
        </row>
        <row r="6">
          <cell r="B6" t="str">
            <v>Can_Commercial Recycling</v>
          </cell>
          <cell r="D6" t="str">
            <v>Bud</v>
          </cell>
        </row>
        <row r="7">
          <cell r="B7" t="str">
            <v>Can_Landfill</v>
          </cell>
          <cell r="D7" t="str">
            <v>Proj</v>
          </cell>
        </row>
        <row r="8">
          <cell r="B8" t="str">
            <v>Can_Landfill Gas</v>
          </cell>
        </row>
        <row r="9">
          <cell r="B9" t="str">
            <v>Can_MRF</v>
          </cell>
        </row>
        <row r="10">
          <cell r="B10" t="str">
            <v>Can_Other</v>
          </cell>
        </row>
        <row r="11">
          <cell r="B11" t="str">
            <v>Can_Residential</v>
          </cell>
        </row>
        <row r="12">
          <cell r="B12" t="str">
            <v>Can_Residential Recycling</v>
          </cell>
        </row>
        <row r="13">
          <cell r="B13" t="str">
            <v>Can_Roll Off</v>
          </cell>
        </row>
        <row r="14">
          <cell r="B14" t="str">
            <v>Can_Transfer Station</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Nonpublic 2018 V5.0"/>
    </sheetNames>
    <sheetDataSet>
      <sheetData sheetId="0">
        <row r="55">
          <cell r="W55">
            <v>5.7225999999999999</v>
          </cell>
          <cell r="Y55">
            <v>5.6985000000000001</v>
          </cell>
        </row>
        <row r="56">
          <cell r="W56">
            <v>5.7082699999999997</v>
          </cell>
          <cell r="Y56">
            <v>5.6921999999999997</v>
          </cell>
        </row>
        <row r="58">
          <cell r="X58">
            <v>0.68367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135"/>
      <sheetName val="52120"/>
      <sheetName val="57147"/>
      <sheetName val="57150"/>
      <sheetName val="70010"/>
    </sheetNames>
    <sheetDataSet>
      <sheetData sheetId="0">
        <row r="866">
          <cell r="K866">
            <v>0.77534655506642691</v>
          </cell>
          <cell r="L866">
            <v>0.22465344493357312</v>
          </cell>
        </row>
      </sheetData>
      <sheetData sheetId="1"/>
      <sheetData sheetId="2">
        <row r="364">
          <cell r="M364">
            <v>0.36185875729958961</v>
          </cell>
        </row>
        <row r="365">
          <cell r="M365">
            <v>0.63814124270041039</v>
          </cell>
        </row>
      </sheetData>
      <sheetData sheetId="3">
        <row r="136">
          <cell r="D136">
            <v>51013.03</v>
          </cell>
        </row>
      </sheetData>
      <sheetData sheetId="4">
        <row r="220">
          <cell r="E220">
            <v>6350.0400000000027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tating Expl"/>
      <sheetName val="Consolidated IS"/>
      <sheetName val="2183 Pro forma"/>
      <sheetName val="REC, MF Recycl"/>
      <sheetName val="Pacific Regulated - Price Out"/>
    </sheetNames>
    <sheetDataSet>
      <sheetData sheetId="0"/>
      <sheetData sheetId="1"/>
      <sheetData sheetId="2"/>
      <sheetData sheetId="3"/>
      <sheetData sheetId="4"/>
      <sheetData sheetId="5">
        <row r="53">
          <cell r="W53">
            <v>-1.0300000000000002</v>
          </cell>
        </row>
        <row r="218">
          <cell r="W218">
            <v>-0.71092144214024655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hurston Cnty"/>
      <sheetName val="Proforma-Rural,Pacific"/>
      <sheetName val="Restating Expl"/>
      <sheetName val="LG-CS Recycl"/>
      <sheetName val="LG-MF"/>
      <sheetName val="Settlement Rates"/>
      <sheetName val="Rural-Priceout"/>
    </sheetNames>
    <sheetDataSet>
      <sheetData sheetId="0"/>
      <sheetData sheetId="1"/>
      <sheetData sheetId="2"/>
      <sheetData sheetId="3"/>
      <sheetData sheetId="4"/>
      <sheetData sheetId="5"/>
      <sheetData sheetId="6">
        <row r="71">
          <cell r="L71">
            <v>-0.9376875160848569</v>
          </cell>
        </row>
        <row r="74">
          <cell r="L74">
            <v>-0.27338278140857714</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2188 Restating Expl"/>
      <sheetName val="Pro-forma Lewis,Joe's"/>
      <sheetName val="LG-Joe's T Recycl"/>
      <sheetName val="LG-Joe's T MF"/>
      <sheetName val="Joe's Priceout"/>
      <sheetName val="Settlement Rate Sheet"/>
    </sheetNames>
    <sheetDataSet>
      <sheetData sheetId="0"/>
      <sheetData sheetId="1"/>
      <sheetData sheetId="2"/>
      <sheetData sheetId="3"/>
      <sheetData sheetId="4"/>
      <sheetData sheetId="5"/>
      <sheetData sheetId="6">
        <row r="166">
          <cell r="K166">
            <v>-0.79521722381470661</v>
          </cell>
        </row>
        <row r="169">
          <cell r="K169">
            <v>-0.16036557369232921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hurston Cnty"/>
      <sheetName val="Proforma-Rural,Pacific"/>
      <sheetName val="Restating Expl"/>
      <sheetName val="LG-CS Recycl"/>
      <sheetName val="LG-MF"/>
      <sheetName val="Settlement Rates"/>
      <sheetName val="Rural-Priceout"/>
    </sheetNames>
    <sheetDataSet>
      <sheetData sheetId="0"/>
      <sheetData sheetId="1"/>
      <sheetData sheetId="2"/>
      <sheetData sheetId="3"/>
      <sheetData sheetId="4"/>
      <sheetData sheetId="5"/>
      <sheetData sheetId="6">
        <row r="74">
          <cell r="L74">
            <v>-0.27338278140857714</v>
          </cell>
        </row>
      </sheetData>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3 PDS Refuse"/>
      <sheetName val="2183 PDC Recycle"/>
    </sheetNames>
    <sheetDataSet>
      <sheetData sheetId="0">
        <row r="34">
          <cell r="L34">
            <v>101983.74</v>
          </cell>
        </row>
      </sheetData>
      <sheetData sheetId="1">
        <row r="21">
          <cell r="L21">
            <v>8128.32</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
      <sheetName val="1WSC"/>
      <sheetName val="2WSC"/>
      <sheetName val="3WSC"/>
      <sheetName val="LMS"/>
      <sheetName val="LMS OC"/>
      <sheetName val="LMS Purge"/>
    </sheetNames>
    <sheetDataSet>
      <sheetData sheetId="0">
        <row r="8">
          <cell r="E8">
            <v>3767</v>
          </cell>
        </row>
      </sheetData>
      <sheetData sheetId="1"/>
      <sheetData sheetId="2"/>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Route Hrs for Proforma"/>
      <sheetName val="Summary"/>
      <sheetName val="Time Packer Routes A-Week"/>
      <sheetName val="Time Packer Routes B-Week"/>
      <sheetName val="Glass Routes - 2 Weeks"/>
      <sheetName val="Time Roll Off"/>
      <sheetName val="&quot;A-B&quot; Combined"/>
      <sheetName val="Container Delivery"/>
      <sheetName val="Sheet1"/>
      <sheetName val="Sheet3"/>
    </sheetNames>
    <sheetDataSet>
      <sheetData sheetId="0"/>
      <sheetData sheetId="1">
        <row r="12">
          <cell r="C12">
            <v>202.40910550000007</v>
          </cell>
        </row>
      </sheetData>
      <sheetData sheetId="2">
        <row r="5">
          <cell r="J5">
            <v>981.46763624999994</v>
          </cell>
          <cell r="K5">
            <v>107.85423625</v>
          </cell>
          <cell r="L5">
            <v>46.573004999999995</v>
          </cell>
          <cell r="M5">
            <v>10.595095000000001</v>
          </cell>
        </row>
        <row r="7">
          <cell r="J7">
            <v>209.39700000000013</v>
          </cell>
          <cell r="K7">
            <v>5.4729209999999995</v>
          </cell>
          <cell r="L7">
            <v>27.203730499999995</v>
          </cell>
          <cell r="M7">
            <v>4.5172430000000006</v>
          </cell>
        </row>
        <row r="8">
          <cell r="J8">
            <v>447.97316999999998</v>
          </cell>
          <cell r="K8">
            <v>67.195655000000002</v>
          </cell>
          <cell r="L8">
            <v>20.800094999999999</v>
          </cell>
          <cell r="M8">
            <v>6.6287799999999999</v>
          </cell>
        </row>
        <row r="9">
          <cell r="J9">
            <v>145.16023875000002</v>
          </cell>
          <cell r="K9">
            <v>4.8222787500000006</v>
          </cell>
          <cell r="L9">
            <v>9.1537299999999995</v>
          </cell>
          <cell r="M9">
            <v>1.2095800000000003</v>
          </cell>
        </row>
        <row r="10">
          <cell r="C10">
            <v>66.737814613861758</v>
          </cell>
          <cell r="L10">
            <v>0</v>
          </cell>
          <cell r="M10">
            <v>0</v>
          </cell>
        </row>
        <row r="12">
          <cell r="D12">
            <v>309.94718538613824</v>
          </cell>
        </row>
      </sheetData>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84 EE Job Description"/>
      <sheetName val="2185 EE Job Description"/>
      <sheetName val="PR Pivot"/>
      <sheetName val="PR Report"/>
    </sheetNames>
    <sheetDataSet>
      <sheetData sheetId="0"/>
      <sheetData sheetId="1"/>
      <sheetData sheetId="2">
        <row r="8">
          <cell r="J8">
            <v>14166.949980000001</v>
          </cell>
        </row>
        <row r="9">
          <cell r="J9">
            <v>31379.433315999999</v>
          </cell>
        </row>
        <row r="59">
          <cell r="G59">
            <v>584.4749996346153</v>
          </cell>
        </row>
        <row r="60">
          <cell r="G60">
            <v>875.89198646153841</v>
          </cell>
        </row>
      </sheetData>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eport 5-1-2018 to 4-30-19"/>
      <sheetName val="Pivot"/>
      <sheetName val="Mechanic Labor"/>
    </sheetNames>
    <sheetDataSet>
      <sheetData sheetId="0"/>
      <sheetData sheetId="1">
        <row r="10">
          <cell r="E10">
            <v>0.80247954134287225</v>
          </cell>
        </row>
        <row r="11">
          <cell r="E11">
            <v>9.1990560879456937E-2</v>
          </cell>
        </row>
        <row r="12">
          <cell r="E12">
            <v>0.10552989777767077</v>
          </cell>
        </row>
        <row r="14">
          <cell r="C14">
            <v>0.94244647477754351</v>
          </cell>
          <cell r="D14">
            <v>0.83557982793391916</v>
          </cell>
        </row>
        <row r="15">
          <cell r="D15">
            <v>3.8747275120305999E-2</v>
          </cell>
        </row>
        <row r="16">
          <cell r="C16">
            <v>5.7553525222456374E-2</v>
          </cell>
          <cell r="D16">
            <v>0.12567289694577477</v>
          </cell>
        </row>
        <row r="22">
          <cell r="O22">
            <v>0.8303571428571429</v>
          </cell>
        </row>
        <row r="130">
          <cell r="O130">
            <v>0.16964285714285715</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Payroll Summary"/>
      <sheetName val="2018 Pacific Payroll"/>
      <sheetName val="2183 EE Job Description"/>
      <sheetName val="2184 EE Job Description"/>
      <sheetName val="2185 EE Job Description"/>
      <sheetName val="Payroll Report Pivot"/>
      <sheetName val="Sheet13"/>
      <sheetName val="Modified Payroll Report"/>
      <sheetName val="2183 IS 2018"/>
      <sheetName val="Live Pivot"/>
      <sheetName val="Spelker Pivot"/>
      <sheetName val="Spelker Payroll Report"/>
      <sheetName val="Alefteras Pivot"/>
      <sheetName val="Alefteras Payroll"/>
      <sheetName val="Conley Pivot"/>
      <sheetName val="Conley Payroll Report"/>
      <sheetName val="1 WCN Employee Roster - Copy"/>
      <sheetName val="Travis Alley Pivot"/>
      <sheetName val="Travis Alley"/>
      <sheetName val="Sheet6"/>
      <sheetName val="JE Query - Container"/>
      <sheetName val="JE Query - G&amp;A"/>
      <sheetName val="JE Query - Supervisor"/>
      <sheetName val="JE Query - Sales"/>
      <sheetName val="JE Query - Mechanics"/>
      <sheetName val="JE Query - Drivers"/>
      <sheetName val="JE Lookup"/>
      <sheetName val="EE 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Employee ID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K9">
            <v>0.48243785286739022</v>
          </cell>
          <cell r="L9">
            <v>2.4395257556367726E-2</v>
          </cell>
          <cell r="M9">
            <v>5.4548557541930984E-3</v>
          </cell>
          <cell r="N9">
            <v>0.12568439488446814</v>
          </cell>
          <cell r="P9">
            <v>0.22386609961522261</v>
          </cell>
          <cell r="Q9">
            <v>0.13816153932235825</v>
          </cell>
        </row>
        <row r="11">
          <cell r="K11">
            <v>0.7515973805375592</v>
          </cell>
          <cell r="L11">
            <v>3.3268090362446941E-2</v>
          </cell>
          <cell r="M11">
            <v>7.5429010079297084E-3</v>
          </cell>
          <cell r="N11">
            <v>2.2589557567819982E-2</v>
          </cell>
          <cell r="P11">
            <v>7.0480568887075282E-2</v>
          </cell>
          <cell r="Q11">
            <v>0.1145215016371689</v>
          </cell>
        </row>
        <row r="13">
          <cell r="K13">
            <v>0.60905057085404979</v>
          </cell>
          <cell r="L13">
            <v>3.0797636322540813E-2</v>
          </cell>
          <cell r="M13">
            <v>6.8864476352169992E-3</v>
          </cell>
          <cell r="N13">
            <v>0.15866945762415594</v>
          </cell>
          <cell r="P13">
            <v>0.12885309761578995</v>
          </cell>
          <cell r="Q13">
            <v>6.574278994824645E-2</v>
          </cell>
        </row>
        <row r="15">
          <cell r="K15">
            <v>0.75620494289750051</v>
          </cell>
          <cell r="L15">
            <v>3.8238737358060715E-2</v>
          </cell>
          <cell r="M15">
            <v>8.5503010586682714E-3</v>
          </cell>
          <cell r="N15">
            <v>0.19700601868577061</v>
          </cell>
          <cell r="P15">
            <v>0</v>
          </cell>
          <cell r="Q15">
            <v>0</v>
          </cell>
        </row>
        <row r="17">
          <cell r="K17">
            <v>0.7562049428975004</v>
          </cell>
          <cell r="L17">
            <v>3.8238737358060715E-2</v>
          </cell>
          <cell r="M17">
            <v>8.5503010586682714E-3</v>
          </cell>
          <cell r="N17">
            <v>0.19700601868577061</v>
          </cell>
          <cell r="P17">
            <v>0</v>
          </cell>
        </row>
        <row r="19">
          <cell r="K19">
            <v>0</v>
          </cell>
          <cell r="L19">
            <v>0</v>
          </cell>
          <cell r="M19">
            <v>0</v>
          </cell>
          <cell r="N19">
            <v>0</v>
          </cell>
          <cell r="P19">
            <v>0</v>
          </cell>
          <cell r="Q19">
            <v>1</v>
          </cell>
        </row>
        <row r="22">
          <cell r="K22">
            <v>0.55653963243189775</v>
          </cell>
          <cell r="L22">
            <v>2.7298907388644954E-2</v>
          </cell>
          <cell r="M22">
            <v>6.1226449362943025E-3</v>
          </cell>
          <cell r="N22">
            <v>0.11415232501672751</v>
          </cell>
          <cell r="P22">
            <v>0.18798871712631782</v>
          </cell>
          <cell r="Q22">
            <v>0.13921318823862472</v>
          </cell>
        </row>
        <row r="23">
          <cell r="K23">
            <v>0.561483526447351</v>
          </cell>
          <cell r="L23">
            <v>2.7569787491902493E-2</v>
          </cell>
          <cell r="M23">
            <v>6.1827559017243782E-3</v>
          </cell>
          <cell r="N23">
            <v>0.11620385755051309</v>
          </cell>
          <cell r="P23">
            <v>0.18333394614278406</v>
          </cell>
          <cell r="Q23">
            <v>0.13576614354868755</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wis Commodities"/>
      <sheetName val="Pivot"/>
      <sheetName val="WW Site 1 Data"/>
      <sheetName val="Map"/>
    </sheetNames>
    <sheetDataSet>
      <sheetData sheetId="0"/>
      <sheetData sheetId="1">
        <row r="9">
          <cell r="C9">
            <v>39897.630000000005</v>
          </cell>
        </row>
        <row r="14">
          <cell r="C14">
            <v>15005.75</v>
          </cell>
        </row>
      </sheetData>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iner Size Totals"/>
      <sheetName val="Data"/>
      <sheetName val="MF Break Out"/>
    </sheetNames>
    <sheetDataSet>
      <sheetData sheetId="0">
        <row r="41">
          <cell r="Q41">
            <v>2428.8852108852552</v>
          </cell>
          <cell r="R41">
            <v>58499.559329942094</v>
          </cell>
          <cell r="U41">
            <v>2952</v>
          </cell>
        </row>
        <row r="45">
          <cell r="Q45">
            <v>254.36178887213825</v>
          </cell>
          <cell r="U45">
            <v>793.21685691534174</v>
          </cell>
        </row>
        <row r="46">
          <cell r="Q46">
            <v>101.63319901760248</v>
          </cell>
          <cell r="U46">
            <v>432.96773228646333</v>
          </cell>
        </row>
        <row r="47">
          <cell r="Q47">
            <v>2.1369565217391302</v>
          </cell>
        </row>
        <row r="48">
          <cell r="Q48"/>
        </row>
        <row r="49">
          <cell r="Q49">
            <v>82.906086956521747</v>
          </cell>
        </row>
        <row r="50">
          <cell r="Q50">
            <v>1088.2700119800984</v>
          </cell>
          <cell r="U50">
            <v>1690.0734215178481</v>
          </cell>
        </row>
        <row r="51">
          <cell r="Q51">
            <v>17.086788819875778</v>
          </cell>
        </row>
        <row r="52">
          <cell r="U52">
            <v>51.5</v>
          </cell>
        </row>
        <row r="53">
          <cell r="U53">
            <v>272.71086220188425</v>
          </cell>
        </row>
        <row r="54">
          <cell r="Q54">
            <v>30.039702898550726</v>
          </cell>
        </row>
        <row r="56">
          <cell r="U56">
            <v>200.3937273461251</v>
          </cell>
        </row>
        <row r="57">
          <cell r="Q57">
            <v>19.245674603174603</v>
          </cell>
          <cell r="U57">
            <v>103.32900793650794</v>
          </cell>
        </row>
        <row r="58">
          <cell r="Q58">
            <v>561.96716479344741</v>
          </cell>
          <cell r="U58">
            <v>651.9766866489847</v>
          </cell>
        </row>
        <row r="59">
          <cell r="U59">
            <v>332.14621144596396</v>
          </cell>
        </row>
        <row r="60">
          <cell r="R60">
            <v>483.09565527065524</v>
          </cell>
          <cell r="T60">
            <v>177</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Pivot"/>
      <sheetName val="Assets"/>
      <sheetName val="ProjDepr"/>
      <sheetName val="District Summary"/>
      <sheetName val="Invoice"/>
    </sheetNames>
    <sheetDataSet>
      <sheetData sheetId="0"/>
      <sheetData sheetId="1">
        <row r="4">
          <cell r="C4">
            <v>92373.673666666669</v>
          </cell>
        </row>
      </sheetData>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s"/>
      <sheetName val="Pacific Regulated - Price Out"/>
      <sheetName val="Rainier Non-Reg - Price Out "/>
      <sheetName val="Rural Regulated - Price Out "/>
      <sheetName val="Yelm Non-Reg - Price Out "/>
    </sheetNames>
    <sheetDataSet>
      <sheetData sheetId="0">
        <row r="63">
          <cell r="F63">
            <v>109504226.18905443</v>
          </cell>
          <cell r="G63">
            <v>79253815.424281389</v>
          </cell>
        </row>
        <row r="64">
          <cell r="F64">
            <v>64426833.227083445</v>
          </cell>
          <cell r="G64">
            <v>46628998.045562275</v>
          </cell>
        </row>
        <row r="66">
          <cell r="F66">
            <v>11162931.959474204</v>
          </cell>
          <cell r="G66">
            <v>8079185.4332870636</v>
          </cell>
        </row>
        <row r="67">
          <cell r="F67">
            <v>4737935.2157680551</v>
          </cell>
          <cell r="G67">
            <v>3429086.3115584264</v>
          </cell>
        </row>
        <row r="69">
          <cell r="F69">
            <v>1401887.6592188755</v>
          </cell>
          <cell r="G69">
            <v>1014617.8796560112</v>
          </cell>
        </row>
        <row r="70">
          <cell r="F70">
            <v>591083.66653372359</v>
          </cell>
          <cell r="G70">
            <v>427797.5146538564</v>
          </cell>
        </row>
        <row r="72">
          <cell r="F72">
            <v>5925497.3035515565</v>
          </cell>
          <cell r="G72">
            <v>4288585.8010811014</v>
          </cell>
        </row>
        <row r="73">
          <cell r="F73">
            <v>2895783.3725687205</v>
          </cell>
          <cell r="G73">
            <v>2095826.6991635473</v>
          </cell>
        </row>
      </sheetData>
      <sheetData sheetId="1"/>
      <sheetData sheetId="2"/>
      <sheetData sheetId="3"/>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G Public 2018 V5.0z"/>
      <sheetName val="Instructions"/>
    </sheetNames>
    <sheetDataSet>
      <sheetData sheetId="0">
        <row r="5">
          <cell r="C5">
            <v>2894541.9636642067</v>
          </cell>
        </row>
        <row r="11">
          <cell r="C11">
            <v>1.4999999999999999E-2</v>
          </cell>
        </row>
        <row r="12">
          <cell r="C12">
            <v>5.1000000000000004E-3</v>
          </cell>
        </row>
        <row r="13">
          <cell r="C13">
            <v>0</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AU Claims"/>
      <sheetName val="ControlPanel"/>
    </sheetNames>
    <sheetDataSet>
      <sheetData sheetId="0"/>
      <sheetData sheetId="1"/>
      <sheetData sheetId="2">
        <row r="1">
          <cell r="B1" t="str">
            <v>OK!: ReportRange Formula OK [jAction{}]</v>
          </cell>
        </row>
        <row r="7">
          <cell r="N7" t="str">
            <v>wci_corp</v>
          </cell>
        </row>
        <row r="8">
          <cell r="N8"/>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 59342"/>
      <sheetName val="JE Lookup"/>
      <sheetName val="AU Claims"/>
      <sheetName val="ControlPanel"/>
    </sheetNames>
    <sheetDataSet>
      <sheetData sheetId="0"/>
      <sheetData sheetId="1"/>
      <sheetData sheetId="2">
        <row r="1">
          <cell r="B1" t="str">
            <v>OK!: ReportRange Formula OK [jAction{}]</v>
          </cell>
        </row>
        <row r="7">
          <cell r="N7" t="str">
            <v>wci_corp</v>
          </cell>
        </row>
        <row r="8">
          <cell r="N8"/>
        </row>
      </sheetData>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57255"/>
      <sheetName val="JE Query 60225"/>
      <sheetName val="JE Query 70095"/>
      <sheetName val="JE Query 70195"/>
      <sheetName val="JE Query 70255"/>
      <sheetName val="JE Lookup"/>
      <sheetName val="ControlPanel"/>
    </sheetNames>
    <sheetDataSet>
      <sheetData sheetId="0"/>
      <sheetData sheetId="1"/>
      <sheetData sheetId="2"/>
      <sheetData sheetId="3"/>
      <sheetData sheetId="4"/>
      <sheetData sheetId="5"/>
      <sheetData sheetId="6">
        <row r="1">
          <cell r="B1" t="str">
            <v>OK!: ReportRange Formula OK [jAction{}]</v>
          </cell>
        </row>
        <row r="7">
          <cell r="N7" t="str">
            <v>wci_corp</v>
          </cell>
        </row>
        <row r="8">
          <cell r="N8"/>
        </row>
      </sheetData>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 val="Sheet1"/>
    </sheetNames>
    <sheetDataSet>
      <sheetData sheetId="0" refreshError="1"/>
      <sheetData sheetId="1" refreshError="1"/>
      <sheetData sheetId="2">
        <row r="1">
          <cell r="B1" t="str">
            <v>OK!: ReportRange Formula OK [jAction{}]</v>
          </cell>
        </row>
        <row r="7">
          <cell r="N7" t="str">
            <v>wci_corp</v>
          </cell>
        </row>
        <row r="8">
          <cell r="N8">
            <v>0</v>
          </cell>
        </row>
      </sheetData>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9">
          <cell r="L19">
            <v>43083.909999999989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Western%20Region/WUTC/WIP%20Files/LeMay%20Companies/2019/General%20Rate%20Filings/Pacific%20Disposal/04.30.2019%20Rate%20Review/JE%20Queries%20-%20from%20district.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Western%20Region/WUTC/WIP%20Files/LeMay%20Companies/2019/General%20Rate%20Filings/Pacific%20Disposal/04.30.2019%20Rate%20Review/JE%20Queries%20-%20from%20district.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Western%20Region/WUTC/WIP%20Files/LeMay%20Companies/2019/General%20Rate%20Filings/Pacific%20Disposal/04.30.2019%20Rate%20Review/JE%20Queries%20-%20from%20district.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Western%20Region/WUTC/WIP%20Files/LeMay%20Companies/2019/General%20Rate%20Filings/Pacific%20Disposal/04.30.2019%20Rate%20Review/JE%20Queries%20-%20from%20district.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X:\Users\lindsaywa\AppData\Local\Interject\FileCache\JEQuery_v4.7_Interject_WithStaged.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Lindsay Waldram" refreshedDate="43601.693597800928" createdVersion="4" refreshedVersion="4" minRefreshableVersion="3" recordCount="51">
  <cacheSource type="worksheet">
    <worksheetSource ref="B19:AQ70" sheet="JE Query 60225" r:id="rId2"/>
  </cacheSource>
  <cacheFields count="42">
    <cacheField name="Full Account" numFmtId="0">
      <sharedItems/>
    </cacheField>
    <cacheField name="Date" numFmtId="14">
      <sharedItems containsSemiMixedTypes="0" containsNonDate="0" containsDate="1" containsString="0" minDate="2018-05-14T00:00:00" maxDate="2019-05-01T00:00:00"/>
    </cacheField>
    <cacheField name="Amount USD" numFmtId="40">
      <sharedItems containsSemiMixedTypes="0" containsString="0" containsNumber="1" minValue="-3543.5" maxValue="3543.5"/>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ontainsBlank="1"/>
    </cacheField>
    <cacheField name="Psted*" numFmtId="0">
      <sharedItems/>
    </cacheField>
    <cacheField name="Journal Description" numFmtId="0">
      <sharedItems/>
    </cacheField>
    <cacheField name="User" numFmtId="0">
      <sharedItems/>
    </cacheField>
    <cacheField name="R/Type" numFmtId="0">
      <sharedItems containsBlank="1"/>
    </cacheField>
    <cacheField name="Vendor Code" numFmtId="0">
      <sharedItems containsBlank="1"/>
    </cacheField>
    <cacheField name="One Time Vendor" numFmtId="0">
      <sharedItems containsNonDate="0" containsString="0" containsBlank="1"/>
    </cacheField>
    <cacheField name="Further Description" numFmtId="0">
      <sharedItems count="18">
        <s v="RECOLLECT SYSTEMS INC"/>
        <s v="VUS000014261: PO 01848: RECOLLECT SYSTEM"/>
        <s v="PNW PRODUCTIONS~JEFF HARWOOD"/>
        <s v="PCARD: PO 02167: PNW Company: PCard: Mon"/>
        <s v="PCARD: PO 02492: PNW Company: PCard: Mon"/>
        <s v="PNW PRODUCTIONS~ARIN ROBERTSON"/>
        <s v="PCARD: PO 03529: PNW Company: PCard: Mon"/>
        <s v="PCARD: PO 03538: PNW Company: PCard: Mon"/>
        <s v="DUCKS UNLIMITED CYBERCAS~JEFF HARWOOD"/>
        <s v="PCARD: PO 03968: PNW Company: PCard: Mon"/>
        <s v="PO 04387: PNW Company: PCard: Monthly Ma"/>
        <s v="PO 05002: RECOLLECT SYSTEMS INC: CHECK:"/>
        <s v="VUS000014261: PO 05002: RECOLLECT SYSTEM"/>
        <s v="PCARD: PO 00045: PNW Company: PCard: Mon"/>
        <s v="PCARD: PO 00683: PNW Company: PCard: Mon"/>
        <s v="PCARD: PO 01529: PNW Company: PCard: Mon"/>
        <s v="PCARD: PO 02064: PNW Company: PCard: Mon"/>
        <s v="VUS000014261: PO 01700: RECOLLECT SYSTEM"/>
      </sharedItems>
    </cacheField>
    <cacheField name="Date Doc" numFmtId="164">
      <sharedItems containsNonDate="0" containsDate="1" containsString="0" containsBlank="1" minDate="2018-04-30T00:00:00" maxDate="2019-01-02T00:00:00"/>
    </cacheField>
    <cacheField name="Doc Desc" numFmtId="0">
      <sharedItems containsBlank="1"/>
    </cacheField>
    <cacheField name="Doc Ctrl Num" numFmtId="0">
      <sharedItems containsBlank="1" containsMixedTypes="1" containsNumber="1" containsInteger="1" minValue="1835" maxValue="2180"/>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ontainsBlank="1"/>
    </cacheField>
    <cacheField name="Document 1" numFmtId="0">
      <sharedItems containsBlank="1"/>
    </cacheField>
    <cacheField name="Class Code" numFmtId="0">
      <sharedItems containsString="0" containsBlank="1" containsNumber="1" containsInteger="1" minValue="2183" maxValue="2183"/>
    </cacheField>
    <cacheField name="Date Entered" numFmtId="14">
      <sharedItems containsSemiMixedTypes="0" containsNonDate="0" containsDate="1" containsString="0" minDate="2018-05-07T00:00:00" maxDate="2019-05-07T00:00:00"/>
    </cacheField>
    <cacheField name="Date Posted" numFmtId="14">
      <sharedItems containsNonDate="0" containsDate="1" containsString="0" containsBlank="1" minDate="2018-05-07T00:00:00" maxDate="2019-05-08T00:00:00"/>
    </cacheField>
    <cacheField name="Amt Net" numFmtId="0">
      <sharedItems containsString="0" containsBlank="1" containsNumber="1" minValue="2625" maxValue="3543.5"/>
    </cacheField>
    <cacheField name="Date Due" numFmtId="14">
      <sharedItems containsNonDate="0" containsDate="1" containsString="0" containsBlank="1" minDate="2018-05-10T00:00:00" maxDate="2019-01-12T00:00:00"/>
    </cacheField>
    <cacheField name="Database" numFmtId="0">
      <sharedItems containsBlank="1"/>
    </cacheField>
    <cacheField name="Reversing Flag" numFmtId="0">
      <sharedItems containsSemiMixedTypes="0" containsString="0" containsNumber="1" containsInteger="1" minValue="0" maxValue="0"/>
    </cacheField>
    <cacheField name="Hold Flag" numFmtId="0">
      <sharedItems containsString="0" containsBlank="1" containsNumber="1" containsInteger="1" minValue="0" maxValue="0"/>
    </cacheField>
    <cacheField name="Recurring Flag" numFmtId="0">
      <sharedItems containsString="0" containsBlank="1" containsNumber="1" containsInteger="1" minValue="0" maxValue="0"/>
    </cacheField>
    <cacheField name="Repeating Flag" numFmtId="0">
      <sharedItems containsString="0" containsBlank="1" containsNumber="1" containsInteger="1" minValue="0" maxValue="0"/>
    </cacheField>
    <cacheField name="Type Flag" numFmtId="0">
      <sharedItems containsString="0" containsBlank="1" containsNumber="1" containsInteger="1" minValue="0" maxValue="5"/>
    </cacheField>
    <cacheField name="Posted Flag" numFmtId="0">
      <sharedItems containsString="0" containsBlank="1" containsNumber="1" containsInteger="1" minValue="1" maxValue="1"/>
    </cacheField>
    <cacheField name="Seg1" numFmtId="0">
      <sharedItems containsSemiMixedTypes="0" containsString="0" containsNumber="1" containsInteger="1" minValue="60225" maxValue="60225"/>
    </cacheField>
    <cacheField name="Seg2" numFmtId="0">
      <sharedItems containsSemiMixedTypes="0" containsString="0" containsNumber="1" containsInteger="1" minValue="2183" maxValue="2183"/>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Blank="1"/>
    </cacheField>
    <cacheField name="Staged Year Month" numFmtId="0">
      <sharedItems containsString="0" containsBlank="1" containsNumber="1" containsInteger="1" minValue="2018010" maxValue="2018010"/>
    </cacheField>
    <cacheField name="Staged District" numFmtId="0">
      <sharedItems containsString="0" containsBlank="1" containsNumber="1" containsInteger="1" minValue="2000" maxValue="2000"/>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ndsay Waldram" refreshedDate="43601.69465902778" createdVersion="4" refreshedVersion="4" minRefreshableVersion="3" recordCount="414">
  <cacheSource type="worksheet">
    <worksheetSource ref="B19:AQ433" sheet="JE Query 70095" r:id="rId2"/>
  </cacheSource>
  <cacheFields count="42">
    <cacheField name="Full Account" numFmtId="0">
      <sharedItems/>
    </cacheField>
    <cacheField name="Date" numFmtId="14">
      <sharedItems containsSemiMixedTypes="0" containsNonDate="0" containsDate="1" containsString="0" minDate="2018-05-03T00:00:00" maxDate="2019-05-01T00:00:00"/>
    </cacheField>
    <cacheField name="Amount USD" numFmtId="40">
      <sharedItems containsSemiMixedTypes="0" containsString="0" containsNumber="1" minValue="-2818.24" maxValue="24005.73"/>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ontainsBlank="1"/>
    </cacheField>
    <cacheField name="Psted*" numFmtId="0">
      <sharedItems/>
    </cacheField>
    <cacheField name="Journal Description" numFmtId="0">
      <sharedItems/>
    </cacheField>
    <cacheField name="User" numFmtId="0">
      <sharedItems/>
    </cacheField>
    <cacheField name="R/Type" numFmtId="0">
      <sharedItems containsBlank="1"/>
    </cacheField>
    <cacheField name="Vendor Code" numFmtId="0">
      <sharedItems containsBlank="1"/>
    </cacheField>
    <cacheField name="One Time Vendor" numFmtId="0">
      <sharedItems containsBlank="1"/>
    </cacheField>
    <cacheField name="Further Description" numFmtId="0">
      <sharedItems count="141">
        <s v="EMMETT BROWN"/>
        <s v="PETTY CASH DIST 2183"/>
        <s v="EUS000002915: EMMETT BROWN: Gift Cards -"/>
        <s v="EUS000002915: EMMETT BROWN: Gift Certifi"/>
        <s v="EUS000002915: EMMETT BROWN: Give Aways -"/>
        <s v="PCARD: PO 01947: Costco: PCard: Employee"/>
        <s v="ALDERBROOK RESORT~JEFF HARWOOD"/>
        <s v="TLF ARTISTRY IN FLOWERS~JEFF HARWOOD"/>
        <s v="TAQUERIA MI PUEBLO LLC~JEFF HARWOOD"/>
        <s v="CORPORATE INCENTIVES INC"/>
        <s v="COSTCO WHSE #0740~JEFF HARWOOD"/>
        <s v="WM SUPERCENTER #3531~ROB TYNDALL"/>
        <s v="DOLLAR TREE~ROB TYNDALL"/>
        <s v="PAYPAL  GREETINGSIS~JEFF HARWOOD"/>
        <s v="VUS000011131: PO 02075: RAY RICHARDS: Dr"/>
        <s v="PCARD: PO 02438: Artistry In Flowers: PC"/>
        <s v="UBER   EATS YYGP3~JEFF HARWOOD"/>
        <s v="BOYS AND GIRLS CLUBS OF THURSTON COUNTY"/>
        <s v="RAY RICHARDS"/>
        <s v="TLF ARTISTRY IN FLOWERS~ARIN ROBERTSON"/>
        <s v="PANERA BREAD #202253~ARIN ROBERTSON"/>
        <s v="AM CANCER SOC CV~JEFF HARWOOD"/>
        <s v="SAFEWAY #1173~JEFF HARWOOD"/>
        <s v="SQ  CLOVER PARK ROT~JEFF HARWOOD"/>
        <s v="SMART FOODSVC 52105483~ROB TYNDALL"/>
        <s v="WALGREENS #6917~JEFF HARWOOD"/>
        <s v="PURPLETRAIL.COM~JEFF HARWOOD"/>
        <s v="WAL-MART #3531~JEFF HARWOOD"/>
        <s v="MICHAELS.COM~JEFF HARWOOD"/>
        <s v="June WD ExpRpt - Laura Kapuscinski (1511"/>
        <s v="Memorial"/>
        <s v="TAGS AWARDS&amp; SPECIALTIES~JEFF HARWOOD"/>
        <s v="PAPA JOHN'S #2747~JEFF HARWOOD"/>
        <s v="SMART FOODSVC 52105483~ARIN ROBERTSON"/>
        <s v="THE HOME DEPOT #4742~ROB TYNDALL"/>
        <s v="WAL-MART #3531~ROB TYNDALL"/>
        <s v="CIGARS DIRECT.COM~JEFF HARWOOD"/>
        <s v="AVIS RENT-A-CAR 1~ARIN ROBERTSON"/>
        <s v="LUMINOUSBEAM~JEFF HARWOOD"/>
        <s v="CROSS BORDER TRANS FEE~JEFF HARWOOD"/>
        <s v="CONCERN FOR ANIMALS"/>
        <s v="PETTY CASH DISTRICT 2183"/>
        <s v="PANERA BREAD #202253~JEFF HARWOOD"/>
        <s v="HEAVENLY DONUTS~ROB TYNDALL"/>
        <s v="FRED-MEYER #0186~ROB TYNDALL"/>
        <s v="SAFEWAY #0543~ROB TYNDALL"/>
        <s v="FRED-MEYER #0186~JEFF HARWOOD"/>
        <s v="NEW LIFE BAPTIST CHURCH~JEFF HARWOOD"/>
        <s v="WOK  TERIYAKI~JEFF HARWOOD"/>
        <s v="UBER   EATS 26PZI~JEFF HARWOOD"/>
        <s v="Aug WD ExpRpt - Kris Mazurek (303382)"/>
        <s v="WOLF HAVEN INTERNA~JEFF HARWOOD"/>
        <s v="AMANDAS FLOWERS AN~JEFF HARWOOD"/>
        <s v="COSTCO WHSE #0740~ROB TYNDALL"/>
        <s v="SAFEWAY #1589~JEFF HARWOOD"/>
        <s v="CSR Retreat"/>
        <s v="VUS000011131: PO 03541: RAY RICHARDS: Dr"/>
        <s v="CAPITAL ROTARY CLUB"/>
        <s v="THE FIRST TEE OF SOUTH PUGET SOUND"/>
        <s v="FRAUD-CURRENCY CONVERSION~JEFF HARWOOD"/>
        <s v="RED WAGON BURGERS~ARIN ROBERTSON"/>
        <s v="SENIOR SERVICES FOR SS~JEFF HARWOOD"/>
        <s v="HOMELESS BACKPACKS~JEFF HARWOOD"/>
        <s v="LINDQUIST DENTAL CLINIC~JEFF HARWOOD"/>
        <s v="Company Party"/>
        <s v="WA SECRETARY OF STATE~JEFF HARWOOD"/>
        <s v="FAMILY SUPPORT CENTER OF~JEFF HARWOOD"/>
        <s v="UBER   EATS 77SCM~JEFF HARWOOD"/>
        <s v="PIZZA HUT #022733~JEFF HARWOOD"/>
        <s v="RAM RESTAURANT  LACEY~JEFF HARWOOD"/>
        <s v="MICHAELS STORES 8411~JEFF HARWOOD"/>
        <s v="IN  BUDD BAY EMBROIDERY,~JEFF HARWOOD"/>
        <s v="WPY OREGON FOOD BANK~LYNSIE BRESSLER"/>
        <s v="TACOMA RAINIERS BB~JEFF HARWOOD"/>
        <s v="HALLOWEENCOSTUMES.COM~JEFF HARWOOD"/>
        <s v="AMZN MKTP US M07193OC1~LYNSIE BRESSLER"/>
        <s v="WALMART.COM 8009666546~JEFF HARWOOD"/>
        <s v="MCDONALD'S M4722 OF WA~ARIN ROBERTSON"/>
        <s v="PCARD: PO 05225: Baudville: PCard: Emplo"/>
        <s v="PCARD: PO 05322: Pizza Hut: PCard: Emplo"/>
        <s v="BAUDVILLE INC.~JEFF HARWOOD"/>
        <s v="SUBWAY        03361243~JEFF HARWOOD"/>
        <s v="WM SUPERCENTER #3531~JEFF HARWOOD"/>
        <s v="OLIVE GARDEN  00014480~JEFF HARWOOD"/>
        <s v="THE FIRST TEE SPS~JEFF HARWOOD"/>
        <s v="ULTA #1441~JEFF HARWOOD"/>
        <s v="SMART FOODSERVICE 548~ROB TYNDALL"/>
        <s v="CABELA'S RETAIL 026~ARIN ROBERTSON"/>
        <s v="JOANN STORES #2038~ARIN ROBERTSON"/>
        <s v="WAL-MART #3705~ARIN ROBERTSON"/>
        <s v="LACEY GROCERY OUTLE~ARIN ROBERTSON"/>
        <s v="TARGET        00013557~ARIN ROBERTSON"/>
        <s v="FRED-MEYER #0186~ARIN ROBERTSON"/>
        <s v="ROSS STORES #169~ARIN ROBERTSON"/>
        <s v="CIGAR DADDIES~ARIN ROBERTSON"/>
        <s v="THE HOME DEPOT #4742~ARIN ROBERTSON"/>
        <s v="EBI EBAGS.COM~LYNSIE BRESSLER"/>
        <s v="AMZN MKTP US M05Y59GW1~LYNSIE BRESSLER"/>
        <s v="BESTBUYCOM805590007532~LYNSIE BRESSLER"/>
        <s v="BESTBUYCOM805589980697~LYNSIE BRESSLER"/>
        <s v="PIZZA HUT #022733~ARIN ROBERTSON"/>
        <s v="CASA MIA ITALIAN RESTA~JEFF HARWOOD"/>
        <s v="SQ  EZ FOODS OLYMPI~JEFF HARWOOD"/>
        <s v="HUNTER FAMILY FARM~JEFF HARWOOD"/>
        <s v="TOTAL WINE AND MORE 1406~ARIN ROBERTSON"/>
        <s v="UBER   EATS CHDZX~JEFF HARWOOD"/>
        <s v="HAWKS PRAIRIE RESTAURANT~JEFF HARWOOD"/>
        <s v="DOLLAR TREE~JEFF HARWOOD"/>
        <s v="KIWANIS CLUB OF CEN/~TOM RUPERT"/>
        <s v="HANDS ON CHILDRENS MUSEUM"/>
        <s v="CLASSIC INDUSTRIAL SUPPLIES INC"/>
        <s v="WALMART.COM~ROB TYNDALL"/>
        <s v="PAYMENT FOR PO #00526"/>
        <s v="PAYMENT FOR PO #00527"/>
        <s v="SQ  SOUTH SOUND READING F~JEFF HARWOOD"/>
        <s v="HAWKS PRAIRIE RESTAURANT~ARIN ROBERTSON"/>
        <s v="UBER   EATS~JEFF HARWOOD"/>
        <s v="MILLER RANCH &amp; HUNTING~TOM RUPERT"/>
        <s v="Jeffrey Harwood (114389)"/>
        <s v="VUS000011131: PO 00734: RAY RICHARDS: Sh"/>
        <s v="PCARD: PO 00804: Artistry in Flowers: PC"/>
        <s v="YELM DOLLARS FOR SCHOLARS"/>
        <s v="LACEY SPRING FUN FAIR"/>
        <s v="WILLIE S SPORT SHOP~JEFF HARWOOD"/>
        <s v="WAL-MART #3850~ROB TYNDALL"/>
        <s v="POPEYE'S #11363~JEFF HARWOOD"/>
        <s v="SSP RAINIEREDUFOUNDATION~JEFF HARWOOD"/>
        <s v="SMART FOODSERVICE 548~ARIN ROBERTSON"/>
        <s v="COSTCO WHSE #0740~ARIN ROBERTSON"/>
        <s v="SAFEWAY #1173~ARIN ROBERTSON"/>
        <s v="PCARD: PO 01296: PCARD VENDOR CODE FOR 1"/>
        <s v="VUS000015926: PO 01400: BOYS AND GIRLS C"/>
        <s v="PCARD: PO 01407: The MayDay Foundation:"/>
        <s v="PCARD: PO 01496: Miller Ranch: PCard: Ma"/>
        <s v="THE MAYDAY FOUNDATION~JEFF HARWOOD"/>
        <s v="MILLER RANCH &amp; HUNTING~JEFF HARWOOD"/>
        <s v="OLIVE GARDEN 0021448~JEFF HARWOOD"/>
        <s v="ATRIUM HLTH PNVLL GIFT~JEFF HARWOOD"/>
        <s v="PCARD: PO 01465: Family Justice Center F"/>
        <s v="PCARD: PO 02000: Costco: PCard: Cake / O"/>
        <s v="PCARD: PO 02001: Safeway: PCard: Cake /"/>
      </sharedItems>
    </cacheField>
    <cacheField name="Date Doc" numFmtId="164">
      <sharedItems containsNonDate="0" containsDate="1" containsString="0" containsBlank="1" minDate="2018-04-30T00:00:00" maxDate="2019-03-28T00:00:00"/>
    </cacheField>
    <cacheField name="Doc Desc" numFmtId="0">
      <sharedItems containsBlank="1"/>
    </cacheField>
    <cacheField name="Doc Ctrl Num" numFmtId="0">
      <sharedItems containsBlank="1" containsMixedTypes="1" containsNumber="1" containsInteger="1" minValue="851" maxValue="8282018"/>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ontainsBlank="1"/>
    </cacheField>
    <cacheField name="Document 1" numFmtId="0">
      <sharedItems containsBlank="1"/>
    </cacheField>
    <cacheField name="Class Code" numFmtId="0">
      <sharedItems containsBlank="1" containsMixedTypes="1" containsNumber="1" containsInteger="1" minValue="2111" maxValue="2183"/>
    </cacheField>
    <cacheField name="Date Entered" numFmtId="14">
      <sharedItems containsSemiMixedTypes="0" containsNonDate="0" containsDate="1" containsString="0" minDate="2018-05-03T00:00:00" maxDate="2019-05-07T00:00:00"/>
    </cacheField>
    <cacheField name="Date Posted" numFmtId="14">
      <sharedItems containsNonDate="0" containsDate="1" containsString="0" containsBlank="1" minDate="2018-05-03T00:00:00" maxDate="2019-05-08T00:00:00"/>
    </cacheField>
    <cacheField name="Amt Net" numFmtId="0">
      <sharedItems containsString="0" containsBlank="1" containsNumber="1" minValue="25" maxValue="6500"/>
    </cacheField>
    <cacheField name="Date Due" numFmtId="14">
      <sharedItems containsNonDate="0" containsDate="1" containsString="0" containsBlank="1" minDate="2018-05-01T00:00:00" maxDate="2019-04-03T00:00:00"/>
    </cacheField>
    <cacheField name="Database" numFmtId="0">
      <sharedItems containsBlank="1"/>
    </cacheField>
    <cacheField name="Reversing Flag" numFmtId="0">
      <sharedItems containsSemiMixedTypes="0" containsString="0" containsNumber="1" containsInteger="1" minValue="0" maxValue="0"/>
    </cacheField>
    <cacheField name="Hold Flag" numFmtId="0">
      <sharedItems containsString="0" containsBlank="1" containsNumber="1" containsInteger="1" minValue="0" maxValue="0"/>
    </cacheField>
    <cacheField name="Recurring Flag" numFmtId="0">
      <sharedItems containsString="0" containsBlank="1" containsNumber="1" containsInteger="1" minValue="0" maxValue="0"/>
    </cacheField>
    <cacheField name="Repeating Flag" numFmtId="0">
      <sharedItems containsString="0" containsBlank="1" containsNumber="1" containsInteger="1" minValue="0" maxValue="0"/>
    </cacheField>
    <cacheField name="Type Flag" numFmtId="0">
      <sharedItems containsString="0" containsBlank="1" containsNumber="1" containsInteger="1" minValue="0" maxValue="5"/>
    </cacheField>
    <cacheField name="Posted Flag" numFmtId="0">
      <sharedItems containsString="0" containsBlank="1" containsNumber="1" containsInteger="1" minValue="1" maxValue="1"/>
    </cacheField>
    <cacheField name="Seg1" numFmtId="0">
      <sharedItems containsSemiMixedTypes="0" containsString="0" containsNumber="1" containsInteger="1" minValue="70095" maxValue="70095"/>
    </cacheField>
    <cacheField name="Seg2" numFmtId="0">
      <sharedItems containsSemiMixedTypes="0" containsString="0" containsNumber="1" containsInteger="1" minValue="2183" maxValue="2183"/>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Blank="1"/>
    </cacheField>
    <cacheField name="Staged Year Month" numFmtId="0">
      <sharedItems containsString="0" containsBlank="1" containsNumber="1" containsInteger="1" minValue="2018010" maxValue="2018010"/>
    </cacheField>
    <cacheField name="Staged District" numFmtId="0">
      <sharedItems containsString="0" containsBlank="1" containsNumber="1" containsInteger="1" minValue="2000" maxValue="2000"/>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indsay Waldram" refreshedDate="43601.695696064817" createdVersion="4" refreshedVersion="4" minRefreshableVersion="3" recordCount="36">
  <cacheSource type="worksheet">
    <worksheetSource ref="B19:AQ55" sheet="JE Query 70195" r:id="rId2"/>
  </cacheSource>
  <cacheFields count="42">
    <cacheField name="Full Account" numFmtId="0">
      <sharedItems/>
    </cacheField>
    <cacheField name="Date" numFmtId="14">
      <sharedItems containsSemiMixedTypes="0" containsNonDate="0" containsDate="1" containsString="0" minDate="2018-05-03T00:00:00" maxDate="2019-05-01T00:00:00"/>
    </cacheField>
    <cacheField name="Amount USD" numFmtId="40">
      <sharedItems containsSemiMixedTypes="0" containsString="0" containsNumber="1" minValue="-640" maxValue="1025"/>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ontainsBlank="1"/>
    </cacheField>
    <cacheField name="Psted*" numFmtId="0">
      <sharedItems/>
    </cacheField>
    <cacheField name="Journal Description" numFmtId="0">
      <sharedItems/>
    </cacheField>
    <cacheField name="User" numFmtId="0">
      <sharedItems/>
    </cacheField>
    <cacheField name="R/Type" numFmtId="0">
      <sharedItems containsBlank="1"/>
    </cacheField>
    <cacheField name="Vendor Code" numFmtId="0">
      <sharedItems containsBlank="1"/>
    </cacheField>
    <cacheField name="One Time Vendor" numFmtId="0">
      <sharedItems containsNonDate="0" containsString="0" containsBlank="1"/>
    </cacheField>
    <cacheField name="Further Description" numFmtId="0">
      <sharedItems count="16">
        <s v="WASHINGTON REFUSE &amp; RECYCLING ASSOC"/>
        <s v="SEMIAHMOO RESORT HOTEL~JEFF HARWOOD"/>
        <s v="PCARD: PO 02312: WRRA: PCard: Annual Mee"/>
        <s v="IN  WASHINGTON REFUSE &amp; R~ARIN ROBERTSON"/>
        <s v="LACEY SOUTH SOUND CHAMBER~JEFF HARWOOD"/>
        <s v="PCARD: PO 03014: Thurston County Economi"/>
        <s v="VUS000025525: PO 03014: THURSTON COUNTY"/>
        <s v="THURSTON COUNTY ECONOMIC DEVELOPMENT"/>
        <s v="COSTCO BUS CENTER 767~JEFF HARWOOD"/>
        <s v="THURSTON COUNTY CHAMBE~JEFF HARWOOD"/>
        <s v="WASHINGTON STATE RECYCLIN~JEFF HARWOOD"/>
        <s v="THE OLYMPIAN-CIRCULATI~JEFF HARWOOD"/>
        <s v="PO 00858: ASSOCIATION OF WASHINGTON BUSI"/>
        <s v="VUS000008916: PO 00867: CONCERN FOR ANIM"/>
        <s v="ASSOCIATION OF WASHINGTON BUSINESS"/>
        <s v="TRACKBILL, LLC~LYNSIE BRESSLER"/>
      </sharedItems>
    </cacheField>
    <cacheField name="Date Doc" numFmtId="164">
      <sharedItems containsNonDate="0" containsDate="1" containsString="0" containsBlank="1" minDate="2018-05-01T00:00:00" maxDate="2019-04-02T00:00:00"/>
    </cacheField>
    <cacheField name="Doc Desc" numFmtId="0">
      <sharedItems containsBlank="1"/>
    </cacheField>
    <cacheField name="Doc Ctrl Num" numFmtId="0">
      <sharedItems containsBlank="1" containsMixedTypes="1" containsNumber="1" containsInteger="1" minValue="13931" maxValue="192113"/>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ontainsBlank="1"/>
    </cacheField>
    <cacheField name="Document 1" numFmtId="0">
      <sharedItems containsBlank="1"/>
    </cacheField>
    <cacheField name="Class Code" numFmtId="0">
      <sharedItems containsString="0" containsBlank="1" containsNumber="1" containsInteger="1" minValue="2000" maxValue="2183"/>
    </cacheField>
    <cacheField name="Date Entered" numFmtId="14">
      <sharedItems containsSemiMixedTypes="0" containsNonDate="0" containsDate="1" containsString="0" minDate="2018-05-03T00:00:00" maxDate="2019-05-07T00:00:00"/>
    </cacheField>
    <cacheField name="Date Posted" numFmtId="14">
      <sharedItems containsNonDate="0" containsDate="1" containsString="0" containsBlank="1" minDate="2018-05-03T00:00:00" maxDate="2019-05-07T00:00:00"/>
    </cacheField>
    <cacheField name="Amt Net" numFmtId="0">
      <sharedItems containsString="0" containsBlank="1" containsNumber="1" containsInteger="1" minValue="500" maxValue="8400"/>
    </cacheField>
    <cacheField name="Date Due" numFmtId="14">
      <sharedItems containsNonDate="0" containsDate="1" containsString="0" containsBlank="1" minDate="2018-05-31T00:00:00" maxDate="2019-05-07T00:00:00"/>
    </cacheField>
    <cacheField name="Database" numFmtId="0">
      <sharedItems containsBlank="1"/>
    </cacheField>
    <cacheField name="Reversing Flag" numFmtId="0">
      <sharedItems containsSemiMixedTypes="0" containsString="0" containsNumber="1" containsInteger="1" minValue="0" maxValue="0"/>
    </cacheField>
    <cacheField name="Hold Flag" numFmtId="0">
      <sharedItems containsString="0" containsBlank="1" containsNumber="1" containsInteger="1" minValue="0" maxValue="0"/>
    </cacheField>
    <cacheField name="Recurring Flag" numFmtId="0">
      <sharedItems containsString="0" containsBlank="1" containsNumber="1" containsInteger="1" minValue="0" maxValue="0"/>
    </cacheField>
    <cacheField name="Repeating Flag" numFmtId="0">
      <sharedItems containsString="0" containsBlank="1" containsNumber="1" containsInteger="1" minValue="0" maxValue="0"/>
    </cacheField>
    <cacheField name="Type Flag" numFmtId="0">
      <sharedItems containsString="0" containsBlank="1" containsNumber="1" containsInteger="1" minValue="0" maxValue="5"/>
    </cacheField>
    <cacheField name="Posted Flag" numFmtId="0">
      <sharedItems containsString="0" containsBlank="1" containsNumber="1" containsInteger="1" minValue="1" maxValue="1"/>
    </cacheField>
    <cacheField name="Seg1" numFmtId="0">
      <sharedItems containsSemiMixedTypes="0" containsString="0" containsNumber="1" containsInteger="1" minValue="70195" maxValue="70195"/>
    </cacheField>
    <cacheField name="Seg2" numFmtId="0">
      <sharedItems containsSemiMixedTypes="0" containsString="0" containsNumber="1" containsInteger="1" minValue="2183" maxValue="2183"/>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Blank="1"/>
    </cacheField>
    <cacheField name="Staged Year Month" numFmtId="0">
      <sharedItems containsString="0" containsBlank="1" containsNumber="1" containsInteger="1" minValue="2018010" maxValue="2018010"/>
    </cacheField>
    <cacheField name="Staged District" numFmtId="0">
      <sharedItems containsString="0" containsBlank="1" containsNumber="1" containsInteger="1" minValue="2000" maxValue="2000"/>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Lindsay Waldram" refreshedDate="43601.691815046295" createdVersion="4" refreshedVersion="4" minRefreshableVersion="3" recordCount="36">
  <cacheSource type="worksheet">
    <worksheetSource ref="B19:AQ55" sheet="JE Query 70255" r:id="rId2"/>
  </cacheSource>
  <cacheFields count="42">
    <cacheField name="Full Account" numFmtId="0">
      <sharedItems/>
    </cacheField>
    <cacheField name="Date" numFmtId="14">
      <sharedItems containsSemiMixedTypes="0" containsNonDate="0" containsDate="1" containsString="0" minDate="2018-05-31T00:00:00" maxDate="2019-05-01T00:00:00"/>
    </cacheField>
    <cacheField name="Amount USD" numFmtId="40">
      <sharedItems containsSemiMixedTypes="0" containsString="0" containsNumber="1" minValue="-1287.79" maxValue="1287.79"/>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ontainsBlank="1"/>
    </cacheField>
    <cacheField name="Psted*" numFmtId="0">
      <sharedItems/>
    </cacheField>
    <cacheField name="Journal Description" numFmtId="0">
      <sharedItems/>
    </cacheField>
    <cacheField name="User" numFmtId="0">
      <sharedItems/>
    </cacheField>
    <cacheField name="R/Type" numFmtId="0">
      <sharedItems containsBlank="1"/>
    </cacheField>
    <cacheField name="Vendor Code" numFmtId="0">
      <sharedItems containsBlank="1"/>
    </cacheField>
    <cacheField name="One Time Vendor" numFmtId="0">
      <sharedItems containsNonDate="0" containsString="0" containsBlank="1"/>
    </cacheField>
    <cacheField name="Further Description" numFmtId="0">
      <sharedItems count="14">
        <s v="Ruby Canyon, Cameron Cole Accrual  - Apr"/>
        <s v="PCARD: PO 00009: InSite: PCard: Waste Al"/>
        <s v="NEAL JOHNSON"/>
        <s v="IN  INSITE LGA CORP.~JEFF HARWOOD"/>
        <s v="Ruby Canyon, Cameron Cole Accrual  - May"/>
        <s v="SHANE LOCKE"/>
        <s v="IN  INSITE LGA CORP.~ARIN ROBERTSON"/>
        <s v="Ruby Canyon, Cameron Cole Accrual  - Jun"/>
        <s v="Ruby Canyon, Cameron Cole Allocation  -"/>
        <s v="GADGET FIX~NAMEN CHAMBLISS"/>
        <s v="Ruby Canyon, Cameron Cole Accrual  - Jul"/>
        <s v="Ruby Canyon, Cameron Cole Accrual  - Aug"/>
        <s v="Ruby Canyon, Cameron Cole Accrual  - Sep"/>
        <s v="Ruby Canyon, Cameron Cole Allocation  Se"/>
      </sharedItems>
    </cacheField>
    <cacheField name="Date Doc" numFmtId="164">
      <sharedItems containsNonDate="0" containsDate="1" containsString="0" containsBlank="1" minDate="2018-04-22T00:00:00" maxDate="2018-06-09T00:00:00"/>
    </cacheField>
    <cacheField name="Doc Desc" numFmtId="0">
      <sharedItems containsBlank="1"/>
    </cacheField>
    <cacheField name="Doc Ctrl Num" numFmtId="0">
      <sharedItems containsBlank="1" containsMixedTypes="1" containsNumber="1" containsInteger="1" minValue="20180708" maxValue="20180708"/>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ontainsBlank="1"/>
    </cacheField>
    <cacheField name="Document 1" numFmtId="0">
      <sharedItems containsBlank="1"/>
    </cacheField>
    <cacheField name="Class Code" numFmtId="0">
      <sharedItems containsString="0" containsBlank="1" containsNumber="1" containsInteger="1" minValue="2000" maxValue="2111"/>
    </cacheField>
    <cacheField name="Date Entered" numFmtId="14">
      <sharedItems containsSemiMixedTypes="0" containsNonDate="0" containsDate="1" containsString="0" minDate="2018-05-04T00:00:00" maxDate="2019-05-07T00:00:00"/>
    </cacheField>
    <cacheField name="Date Posted" numFmtId="14">
      <sharedItems containsNonDate="0" containsDate="1" containsString="0" containsBlank="1" minDate="2018-05-04T00:00:00" maxDate="2019-05-07T00:00:00"/>
    </cacheField>
    <cacheField name="Amt Net" numFmtId="0">
      <sharedItems containsString="0" containsBlank="1" containsNumber="1" minValue="1162.5" maxValue="1784"/>
    </cacheField>
    <cacheField name="Date Due" numFmtId="14">
      <sharedItems containsNonDate="0" containsDate="1" containsString="0" containsBlank="1" minDate="2018-06-26T00:00:00" maxDate="2018-08-13T00:00:00"/>
    </cacheField>
    <cacheField name="Database" numFmtId="0">
      <sharedItems containsBlank="1"/>
    </cacheField>
    <cacheField name="Reversing Flag" numFmtId="0">
      <sharedItems containsSemiMixedTypes="0" containsString="0" containsNumber="1" containsInteger="1" minValue="0" maxValue="0"/>
    </cacheField>
    <cacheField name="Hold Flag" numFmtId="0">
      <sharedItems containsString="0" containsBlank="1" containsNumber="1" containsInteger="1" minValue="0" maxValue="0"/>
    </cacheField>
    <cacheField name="Recurring Flag" numFmtId="0">
      <sharedItems containsString="0" containsBlank="1" containsNumber="1" containsInteger="1" minValue="0" maxValue="0"/>
    </cacheField>
    <cacheField name="Repeating Flag" numFmtId="0">
      <sharedItems containsString="0" containsBlank="1" containsNumber="1" containsInteger="1" minValue="0" maxValue="0"/>
    </cacheField>
    <cacheField name="Type Flag" numFmtId="0">
      <sharedItems containsString="0" containsBlank="1" containsNumber="1" containsInteger="1" minValue="0" maxValue="5"/>
    </cacheField>
    <cacheField name="Posted Flag" numFmtId="0">
      <sharedItems containsString="0" containsBlank="1" containsNumber="1" containsInteger="1" minValue="1" maxValue="1"/>
    </cacheField>
    <cacheField name="Seg1" numFmtId="0">
      <sharedItems containsSemiMixedTypes="0" containsString="0" containsNumber="1" containsInteger="1" minValue="70255" maxValue="70255"/>
    </cacheField>
    <cacheField name="Seg2" numFmtId="0">
      <sharedItems containsSemiMixedTypes="0" containsString="0" containsNumber="1" containsInteger="1" minValue="2183" maxValue="2183"/>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0" maxValue="0"/>
    </cacheField>
    <cacheField name="Staged_RefCode" numFmtId="0">
      <sharedItems containsNonDate="0" containsString="0" containsBlank="1"/>
    </cacheField>
    <cacheField name="Staged_DocRef" numFmtId="0">
      <sharedItems containsBlank="1"/>
    </cacheField>
    <cacheField name="Staged Year Month" numFmtId="0">
      <sharedItems containsString="0" containsBlank="1" containsNumber="1" containsInteger="1" minValue="2018010" maxValue="2018010"/>
    </cacheField>
    <cacheField name="Staged District" numFmtId="0">
      <sharedItems containsString="0" containsBlank="1" containsNumber="1" containsInteger="1" minValue="2000" maxValue="2000"/>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Heather Garland" refreshedDate="43622.58954375" createdVersion="4" refreshedVersion="4" minRefreshableVersion="3" recordCount="32">
  <cacheSource type="worksheet">
    <worksheetSource ref="B19:S51" sheet="JE Query 59341"/>
  </cacheSource>
  <cacheFields count="18">
    <cacheField name="Full Account" numFmtId="0">
      <sharedItems count="3">
        <s v="59341-2183-000-00"/>
        <s v="59341-2184-000-00"/>
        <s v="59341-2185-000-00"/>
      </sharedItems>
    </cacheField>
    <cacheField name="Date" numFmtId="14">
      <sharedItems containsSemiMixedTypes="0" containsNonDate="0" containsDate="1" containsString="0" minDate="2018-06-30T00:00:00" maxDate="2019-05-01T00:00:00"/>
    </cacheField>
    <cacheField name="Amount USD" numFmtId="40">
      <sharedItems containsSemiMixedTypes="0" containsString="0" containsNumber="1" minValue="-6731" maxValue="1762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NonDate="0" containsString="0" containsBlank="1"/>
    </cacheField>
    <cacheField name="One Time Vendor" numFmtId="0">
      <sharedItems containsNonDate="0" containsString="0" containsBlank="1"/>
    </cacheField>
    <cacheField name="Further Description" numFmtId="0">
      <sharedItems count="17">
        <s v="Auto NI claim 55564956674987"/>
        <s v="Auto NI claim 55564956970491"/>
        <s v="Auto NI claim 5556495716000X"/>
        <s v="Auto NI claim 55564957195683"/>
        <s v="Auto NI claim 55564957595522"/>
        <s v="Auto NI claim 55564957655417"/>
        <s v="Auto NI claim 55564957933805"/>
        <s v="Auto NI claim 55564958143817"/>
        <s v="Auto NI claim 55564958267094"/>
        <s v="Auto NI claim 55564958667263"/>
        <s v="Auto NI claim 55564959008582"/>
        <s v="Auto NI claim 55564959072778"/>
        <s v="Auto NI claim 55564959073086"/>
        <s v="Auto NI claim 55564959243146"/>
        <s v="Auto NI claim 55564959245775"/>
        <s v="Auto NI claim 55564959466666"/>
        <s v="Auto NI claim 5556517466124X"/>
      </sharedItems>
    </cacheField>
    <cacheField name="Claimant" numFmtId="0">
      <sharedItems/>
    </cacheField>
    <cacheField name="Description" numFmtId="0">
      <sharedItems/>
    </cacheField>
    <cacheField name="Date2" numFmtId="189">
      <sharedItems containsSemiMixedTypes="0" containsNonDate="0" containsDate="1" containsString="0" minDate="2018-01-06T00:00:00" maxDate="2019-04-05T00:00:00"/>
    </cacheField>
    <cacheField name="Service Area" numFmtId="0">
      <sharedItems containsBlank="1" count="4">
        <s v="Rural"/>
        <s v="Pacific"/>
        <m/>
        <s v="Pacific "/>
      </sharedItems>
    </cacheField>
    <cacheField name="LOB (regulated vs Comm/RO Recycle)" numFmtId="0">
      <sharedItems containsBlank="1" count="7">
        <s v="regulated"/>
        <s v="non-reg"/>
        <m/>
        <s v="shred "/>
        <s v="Roll-off Reg"/>
        <s v="Regulated "/>
        <s v="Roll-off regulated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Lindsay Waldram" refreshedDate="43628.42312349537" createdVersion="4" refreshedVersion="4" minRefreshableVersion="3" recordCount="48">
  <cacheSource type="worksheet">
    <worksheetSource ref="B19:AQ67" sheet="JE Query - 40101" r:id="rId2"/>
  </cacheSource>
  <cacheFields count="42">
    <cacheField name="Full Account" numFmtId="0">
      <sharedItems count="2">
        <s v="40101-2183-000-01"/>
        <s v="40101-2183-000-02"/>
      </sharedItems>
    </cacheField>
    <cacheField name="Date" numFmtId="14">
      <sharedItems containsSemiMixedTypes="0" containsNonDate="0" containsDate="1" containsString="0" minDate="2018-05-17T00:00:00" maxDate="2019-05-01T00:00:00"/>
    </cacheField>
    <cacheField name="Amount USD" numFmtId="40">
      <sharedItems containsSemiMixedTypes="0" containsString="0" containsNumber="1" containsInteger="1" minValue="-1098626" maxValue="1098626"/>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acheField>
    <cacheField name="Date Doc" numFmtId="164">
      <sharedItems containsNonDate="0" containsDate="1" containsString="0" containsBlank="1" minDate="2018-04-30T00:00:00" maxDate="2019-04-01T00:00:00"/>
    </cacheField>
    <cacheField name="Doc Desc" numFmtId="0">
      <sharedItems containsBlank="1"/>
    </cacheField>
    <cacheField name="Doc Ctrl Num" numFmtId="0">
      <sharedItems containsBlank="1"/>
    </cacheField>
    <cacheField name="Po Ctrl Num" numFmtId="0">
      <sharedItems containsBlank="1"/>
    </cacheField>
    <cacheField name="Vendor Order Num" numFmtId="0">
      <sharedItems containsNonDate="0" containsString="0" containsBlank="1"/>
    </cacheField>
    <cacheField name="Ticket Num" numFmtId="0">
      <sharedItems containsNonDate="0" containsString="0" containsBlank="1"/>
    </cacheField>
    <cacheField name="Document 2" numFmtId="0">
      <sharedItems/>
    </cacheField>
    <cacheField name="Document 1" numFmtId="0">
      <sharedItems/>
    </cacheField>
    <cacheField name="Class Code" numFmtId="0">
      <sharedItems containsString="0" containsBlank="1" containsNumber="1" containsInteger="1" minValue="2183" maxValue="2183"/>
    </cacheField>
    <cacheField name="Date Entered" numFmtId="14">
      <sharedItems containsSemiMixedTypes="0" containsNonDate="0" containsDate="1" containsString="0" minDate="2018-05-07T00:00:00" maxDate="2019-05-07T00:00:00"/>
    </cacheField>
    <cacheField name="Date Posted" numFmtId="14">
      <sharedItems containsSemiMixedTypes="0" containsNonDate="0" containsDate="1" containsString="0" minDate="2018-05-07T00:00:00" maxDate="2019-05-08T00:00:00"/>
    </cacheField>
    <cacheField name="Amt Net" numFmtId="0">
      <sharedItems containsString="0" containsBlank="1" containsNumber="1" containsInteger="1" minValue="864208" maxValue="1194200"/>
    </cacheField>
    <cacheField name="Date Due" numFmtId="14">
      <sharedItems containsNonDate="0" containsDate="1" containsString="0" containsBlank="1" minDate="2018-05-01T00:00:00" maxDate="2019-04-02T00:00:00"/>
    </cacheField>
    <cacheField name="Database" numFmtId="0">
      <sharedItems/>
    </cacheField>
    <cacheField name="Reversing Flag" numFmtId="0">
      <sharedItems containsSemiMixedTypes="0" containsString="0" containsNumber="1" containsInteger="1" minValue="0" maxValue="0"/>
    </cacheField>
    <cacheField name="Hold Flag" numFmtId="0">
      <sharedItems containsSemiMixedTypes="0" containsString="0" containsNumber="1" containsInteger="1" minValue="0" maxValue="0"/>
    </cacheField>
    <cacheField name="Recurring Flag" numFmtId="0">
      <sharedItems containsSemiMixedTypes="0" containsString="0" containsNumber="1" containsInteger="1" minValue="0" maxValue="0"/>
    </cacheField>
    <cacheField name="Repeating Flag" numFmtId="0">
      <sharedItems containsSemiMixedTypes="0" containsString="0" containsNumber="1" containsInteger="1" minValue="0" maxValue="0"/>
    </cacheField>
    <cacheField name="Type Flag" numFmtId="0">
      <sharedItems containsSemiMixedTypes="0" containsString="0" containsNumber="1" containsInteger="1" minValue="0" maxValue="5"/>
    </cacheField>
    <cacheField name="Posted Flag" numFmtId="0">
      <sharedItems containsSemiMixedTypes="0" containsString="0" containsNumber="1" containsInteger="1" minValue="1" maxValue="1"/>
    </cacheField>
    <cacheField name="Seg1" numFmtId="0">
      <sharedItems containsSemiMixedTypes="0" containsString="0" containsNumber="1" containsInteger="1" minValue="40101" maxValue="40101"/>
    </cacheField>
    <cacheField name="Seg2" numFmtId="0">
      <sharedItems containsSemiMixedTypes="0" containsString="0" containsNumber="1" containsInteger="1" minValue="2183" maxValue="2183"/>
    </cacheField>
    <cacheField name="Seg3" numFmtId="0">
      <sharedItems containsSemiMixedTypes="0" containsString="0" containsNumber="1" containsInteger="1" minValue="0" maxValue="0"/>
    </cacheField>
    <cacheField name="Seg4" numFmtId="0">
      <sharedItems containsSemiMixedTypes="0" containsString="0" containsNumber="1" containsInteger="1" minValue="1" maxValue="2"/>
    </cacheField>
    <cacheField name="Staged_RefCode" numFmtId="0">
      <sharedItems containsNonDate="0" containsString="0" containsBlank="1"/>
    </cacheField>
    <cacheField name="Staged_DocRef" numFmtId="0">
      <sharedItems containsNonDate="0" containsString="0" containsBlank="1"/>
    </cacheField>
    <cacheField name="Staged Year Month" numFmtId="0">
      <sharedItems containsNonDate="0" containsString="0" containsBlank="1"/>
    </cacheField>
    <cacheField name="Staged District" numFmtId="0">
      <sharedItems containsNonDate="0" containsString="0" containsBlank="1"/>
    </cacheField>
    <cacheField name="VO 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
  <r>
    <s v="60225-2183-000-00"/>
    <d v="2018-05-14T00:00:00"/>
    <n v="3543.5"/>
    <n v="0"/>
    <s v="USD"/>
    <s v="JRNLWA00373488"/>
    <s v="P"/>
    <s v="From Voucher Posting."/>
    <s v="RosemaryS"/>
    <s v="0/JE IC"/>
    <s v="VUS000014261"/>
    <m/>
    <x v="0"/>
    <d v="2018-04-30T00:00:00"/>
    <s v="Quarterly ReCollect Bill"/>
    <n v="1835"/>
    <s v="PO-2183-18-01848"/>
    <m/>
    <m/>
    <s v="VO04648185"/>
    <s v="JRNL00889120"/>
    <n v="2183"/>
    <d v="2018-05-14T00:00:00"/>
    <d v="2018-05-15T00:00:00"/>
    <n v="3543.5"/>
    <d v="2018-05-10T00:00:00"/>
    <s v="wci_wa"/>
    <n v="0"/>
    <n v="0"/>
    <n v="0"/>
    <n v="0"/>
    <n v="0"/>
    <n v="1"/>
    <n v="60225"/>
    <n v="2183"/>
    <n v="0"/>
    <n v="0"/>
    <m/>
    <m/>
    <m/>
    <m/>
    <s v="VO04648185"/>
  </r>
  <r>
    <s v="60225-2183-000-00"/>
    <d v="2018-05-31T00:00:00"/>
    <n v="-3543.5"/>
    <n v="0"/>
    <s v="USD"/>
    <s v="JRNLWA00373291"/>
    <s v="P"/>
    <s v="Opex 12 - S LeMay PO Log accru"/>
    <s v="AlexandraP"/>
    <s v="0/JE IC"/>
    <m/>
    <m/>
    <x v="1"/>
    <m/>
    <m/>
    <m/>
    <m/>
    <m/>
    <m/>
    <s v="JRNL00888329"/>
    <s v="JRNL00888489"/>
    <m/>
    <d v="2018-05-07T00:00:00"/>
    <d v="2018-05-07T00:00:00"/>
    <m/>
    <m/>
    <s v="wci_wa"/>
    <n v="0"/>
    <n v="0"/>
    <n v="0"/>
    <n v="0"/>
    <n v="5"/>
    <n v="1"/>
    <n v="60225"/>
    <n v="2183"/>
    <n v="0"/>
    <n v="0"/>
    <m/>
    <m/>
    <m/>
    <m/>
    <s v=""/>
  </r>
  <r>
    <s v="60225-2183-000-00"/>
    <d v="2018-05-31T00:00:00"/>
    <n v="-150"/>
    <n v="0"/>
    <s v="USD"/>
    <s v="JRNLWA00373292"/>
    <s v="P"/>
    <s v="OPEX13 - Pcard Accrual"/>
    <s v="AlexandraP"/>
    <s v="0/JE IC"/>
    <m/>
    <m/>
    <x v="2"/>
    <m/>
    <m/>
    <m/>
    <m/>
    <m/>
    <m/>
    <s v="JRNL00888330"/>
    <s v="JRNL00888490"/>
    <m/>
    <d v="2018-05-07T00:00:00"/>
    <d v="2018-05-07T00:00:00"/>
    <m/>
    <m/>
    <s v="wci_wa"/>
    <n v="0"/>
    <n v="0"/>
    <n v="0"/>
    <n v="0"/>
    <n v="5"/>
    <n v="1"/>
    <n v="60225"/>
    <n v="2183"/>
    <n v="0"/>
    <n v="0"/>
    <m/>
    <m/>
    <m/>
    <m/>
    <s v=""/>
  </r>
  <r>
    <s v="60225-2183-000-00"/>
    <d v="2018-05-31T00:00:00"/>
    <n v="150"/>
    <n v="0"/>
    <s v="USD"/>
    <s v="JRNLWA00373884"/>
    <s v="P"/>
    <s v="Western Region PCard Activity"/>
    <s v="HelenaK"/>
    <s v="0/JE IC"/>
    <m/>
    <m/>
    <x v="2"/>
    <m/>
    <m/>
    <m/>
    <m/>
    <m/>
    <m/>
    <s v="JRNL00890577"/>
    <s v="JRNL00890577"/>
    <m/>
    <d v="2018-06-04T00:00:00"/>
    <d v="2018-06-04T00:00:00"/>
    <m/>
    <m/>
    <s v="wci_wa"/>
    <n v="0"/>
    <n v="0"/>
    <n v="0"/>
    <n v="0"/>
    <n v="0"/>
    <n v="1"/>
    <n v="60225"/>
    <n v="2183"/>
    <n v="0"/>
    <n v="0"/>
    <m/>
    <m/>
    <m/>
    <m/>
    <s v=""/>
  </r>
  <r>
    <s v="60225-2183-000-00"/>
    <d v="2018-05-31T00:00:00"/>
    <n v="150"/>
    <n v="0"/>
    <s v="USD"/>
    <s v="JRNLWA00374690"/>
    <s v="P"/>
    <s v="Opex 12 - S LeMay PO Log accru"/>
    <s v="AlexandraP"/>
    <s v="0/JE IC"/>
    <m/>
    <m/>
    <x v="3"/>
    <m/>
    <m/>
    <m/>
    <m/>
    <m/>
    <m/>
    <s v="JRNL00892072"/>
    <s v="JRNL00892072"/>
    <m/>
    <d v="2018-06-06T00:00:00"/>
    <d v="2018-06-07T00:00:00"/>
    <m/>
    <m/>
    <s v="wci_wa"/>
    <n v="0"/>
    <n v="0"/>
    <n v="0"/>
    <n v="0"/>
    <n v="0"/>
    <n v="1"/>
    <n v="60225"/>
    <n v="2183"/>
    <n v="0"/>
    <n v="0"/>
    <m/>
    <m/>
    <m/>
    <m/>
    <s v=""/>
  </r>
  <r>
    <s v="60225-2183-000-00"/>
    <d v="2018-05-31T00:00:00"/>
    <n v="150"/>
    <n v="0"/>
    <s v="USD"/>
    <s v="JRNLWA00374690"/>
    <s v="P"/>
    <s v="Opex 12 - S LeMay PO Log accru"/>
    <s v="AlexandraP"/>
    <s v="0/JE IC"/>
    <m/>
    <m/>
    <x v="4"/>
    <m/>
    <m/>
    <m/>
    <m/>
    <m/>
    <m/>
    <s v="JRNL00892072"/>
    <s v="JRNL00892072"/>
    <m/>
    <d v="2018-06-06T00:00:00"/>
    <d v="2018-06-07T00:00:00"/>
    <m/>
    <m/>
    <s v="wci_wa"/>
    <n v="0"/>
    <n v="0"/>
    <n v="0"/>
    <n v="0"/>
    <n v="0"/>
    <n v="1"/>
    <n v="60225"/>
    <n v="2183"/>
    <n v="0"/>
    <n v="0"/>
    <m/>
    <m/>
    <m/>
    <m/>
    <s v=""/>
  </r>
  <r>
    <s v="60225-2183-000-00"/>
    <d v="2018-06-30T00:00:00"/>
    <n v="-150"/>
    <n v="0"/>
    <s v="USD"/>
    <s v="JRNLWA00374765"/>
    <s v="P"/>
    <s v="Opex 12 - S LeMay PO Log accru"/>
    <s v="AlexandraP"/>
    <s v="0/JE IC"/>
    <m/>
    <m/>
    <x v="3"/>
    <m/>
    <m/>
    <m/>
    <m/>
    <m/>
    <m/>
    <s v="JRNL00892072"/>
    <s v="JRNL00892188"/>
    <m/>
    <d v="2018-06-07T00:00:00"/>
    <d v="2018-06-07T00:00:00"/>
    <m/>
    <m/>
    <s v="wci_wa"/>
    <n v="0"/>
    <n v="0"/>
    <n v="0"/>
    <n v="0"/>
    <n v="5"/>
    <n v="1"/>
    <n v="60225"/>
    <n v="2183"/>
    <n v="0"/>
    <n v="0"/>
    <m/>
    <m/>
    <m/>
    <m/>
    <s v=""/>
  </r>
  <r>
    <s v="60225-2183-000-00"/>
    <d v="2018-06-30T00:00:00"/>
    <n v="-150"/>
    <n v="0"/>
    <s v="USD"/>
    <s v="JRNLWA00374765"/>
    <s v="P"/>
    <s v="Opex 12 - S LeMay PO Log accru"/>
    <s v="AlexandraP"/>
    <s v="0/JE IC"/>
    <m/>
    <m/>
    <x v="4"/>
    <m/>
    <m/>
    <m/>
    <m/>
    <m/>
    <m/>
    <s v="JRNL00892072"/>
    <s v="JRNL00892188"/>
    <m/>
    <d v="2018-06-07T00:00:00"/>
    <d v="2018-06-07T00:00:00"/>
    <m/>
    <m/>
    <s v="wci_wa"/>
    <n v="0"/>
    <n v="0"/>
    <n v="0"/>
    <n v="0"/>
    <n v="5"/>
    <n v="1"/>
    <n v="60225"/>
    <n v="2183"/>
    <n v="0"/>
    <n v="0"/>
    <m/>
    <m/>
    <m/>
    <m/>
    <s v=""/>
  </r>
  <r>
    <s v="60225-2183-000-00"/>
    <d v="2018-06-30T00:00:00"/>
    <n v="150"/>
    <n v="0"/>
    <s v="USD"/>
    <s v="JRNLWA00375434"/>
    <s v="P"/>
    <s v="June PCard Activity - Western"/>
    <s v="HeatherWe"/>
    <s v="0/JE IC"/>
    <m/>
    <m/>
    <x v="5"/>
    <m/>
    <m/>
    <m/>
    <m/>
    <m/>
    <m/>
    <s v="JRNL00894442"/>
    <s v="JRNL00894442"/>
    <m/>
    <d v="2018-07-03T00:00:00"/>
    <d v="2018-07-03T00:00:00"/>
    <m/>
    <m/>
    <s v="wci_wa"/>
    <n v="0"/>
    <n v="0"/>
    <n v="0"/>
    <n v="0"/>
    <n v="0"/>
    <n v="1"/>
    <n v="60225"/>
    <n v="2183"/>
    <n v="0"/>
    <n v="0"/>
    <m/>
    <m/>
    <m/>
    <m/>
    <s v=""/>
  </r>
  <r>
    <s v="60225-2183-000-00"/>
    <d v="2018-06-30T00:00:00"/>
    <n v="150"/>
    <n v="0"/>
    <s v="USD"/>
    <s v="JRNLWA00376180"/>
    <s v="P"/>
    <s v="OPEX13 - Pcard Accrual"/>
    <s v="AlexandraP"/>
    <s v="0/JE IC"/>
    <m/>
    <m/>
    <x v="2"/>
    <m/>
    <m/>
    <m/>
    <m/>
    <m/>
    <m/>
    <s v="JRNL00895972"/>
    <s v="JRNL00895972"/>
    <m/>
    <d v="2018-07-06T00:00:00"/>
    <d v="2018-07-09T00:00:00"/>
    <m/>
    <m/>
    <s v="wci_wa"/>
    <n v="0"/>
    <n v="0"/>
    <n v="0"/>
    <n v="0"/>
    <n v="0"/>
    <n v="1"/>
    <n v="60225"/>
    <n v="2183"/>
    <n v="0"/>
    <n v="0"/>
    <m/>
    <m/>
    <m/>
    <m/>
    <s v=""/>
  </r>
  <r>
    <s v="60225-2183-000-00"/>
    <d v="2018-07-25T00:00:00"/>
    <n v="3543.5"/>
    <n v="0"/>
    <s v="USD"/>
    <s v="JRNLWA00376750"/>
    <s v="P"/>
    <s v="From Voucher Posting."/>
    <s v="MariaJ"/>
    <s v="0/JE IC"/>
    <s v="VUS000014261"/>
    <m/>
    <x v="0"/>
    <d v="2018-07-01T00:00:00"/>
    <s v="Quarterly ReCollect Bill July - Sept 201"/>
    <n v="1836"/>
    <s v="PO-2183-18-02667"/>
    <m/>
    <m/>
    <s v="VO04720829"/>
    <s v="JRNL00897482"/>
    <n v="2183"/>
    <d v="2018-07-25T00:00:00"/>
    <d v="2018-07-27T00:00:00"/>
    <n v="3543.5"/>
    <d v="2018-07-11T00:00:00"/>
    <s v="wci_wa"/>
    <n v="0"/>
    <n v="0"/>
    <n v="0"/>
    <n v="0"/>
    <n v="0"/>
    <n v="1"/>
    <n v="60225"/>
    <n v="2183"/>
    <n v="0"/>
    <n v="0"/>
    <m/>
    <m/>
    <m/>
    <m/>
    <s v="VO04720829"/>
  </r>
  <r>
    <s v="60225-2183-000-00"/>
    <d v="2018-07-31T00:00:00"/>
    <n v="-150"/>
    <n v="0"/>
    <s v="USD"/>
    <s v="JRNLWA00376331"/>
    <s v="P"/>
    <s v="OPEX13 - Pcard Accrual"/>
    <s v="AlexandraP"/>
    <s v="0/JE IC"/>
    <m/>
    <m/>
    <x v="2"/>
    <m/>
    <m/>
    <m/>
    <m/>
    <m/>
    <m/>
    <s v="JRNL00895972"/>
    <s v="JRNL00896109"/>
    <m/>
    <d v="2018-07-09T00:00:00"/>
    <d v="2018-07-09T00:00:00"/>
    <m/>
    <m/>
    <s v="wci_wa"/>
    <n v="0"/>
    <n v="0"/>
    <n v="0"/>
    <n v="0"/>
    <n v="5"/>
    <n v="1"/>
    <n v="60225"/>
    <n v="2183"/>
    <n v="0"/>
    <n v="0"/>
    <m/>
    <m/>
    <m/>
    <m/>
    <s v=""/>
  </r>
  <r>
    <s v="60225-2183-000-00"/>
    <d v="2018-07-31T00:00:00"/>
    <n v="150"/>
    <n v="0"/>
    <s v="USD"/>
    <s v="JRNLWA00376944"/>
    <s v="P"/>
    <s v="July Pcard Activity - Western"/>
    <s v="AlexandraP"/>
    <s v="0/JE IC"/>
    <m/>
    <m/>
    <x v="2"/>
    <m/>
    <m/>
    <m/>
    <m/>
    <m/>
    <m/>
    <s v="JRNL00898234"/>
    <s v="JRNL00898234"/>
    <m/>
    <d v="2018-08-02T00:00:00"/>
    <d v="2018-08-02T00:00:00"/>
    <m/>
    <m/>
    <s v="wci_wa"/>
    <n v="0"/>
    <n v="0"/>
    <n v="0"/>
    <n v="0"/>
    <n v="0"/>
    <n v="1"/>
    <n v="60225"/>
    <n v="2183"/>
    <n v="0"/>
    <n v="0"/>
    <m/>
    <m/>
    <m/>
    <m/>
    <s v=""/>
  </r>
  <r>
    <s v="60225-2183-000-00"/>
    <d v="2018-07-31T00:00:00"/>
    <n v="150"/>
    <n v="0"/>
    <s v="USD"/>
    <s v="JRNLWA00377696"/>
    <s v="P"/>
    <s v="Opex 12 - S LeMay PO Log accru"/>
    <s v="AlexandraP"/>
    <s v="0/JE IC"/>
    <m/>
    <m/>
    <x v="6"/>
    <m/>
    <m/>
    <m/>
    <m/>
    <m/>
    <m/>
    <s v="JRNL00899764"/>
    <s v="JRNL00899764"/>
    <m/>
    <d v="2018-08-06T00:00:00"/>
    <d v="2018-08-07T00:00:00"/>
    <m/>
    <m/>
    <s v="wci_wa"/>
    <n v="0"/>
    <n v="0"/>
    <n v="0"/>
    <n v="0"/>
    <n v="0"/>
    <n v="1"/>
    <n v="60225"/>
    <n v="2183"/>
    <n v="0"/>
    <n v="0"/>
    <m/>
    <m/>
    <m/>
    <m/>
    <s v=""/>
  </r>
  <r>
    <s v="60225-2183-000-00"/>
    <d v="2018-07-31T00:00:00"/>
    <n v="150"/>
    <n v="0"/>
    <s v="USD"/>
    <s v="JRNLWA00377696"/>
    <s v="P"/>
    <s v="Opex 12 - S LeMay PO Log accru"/>
    <s v="AlexandraP"/>
    <s v="0/JE IC"/>
    <m/>
    <m/>
    <x v="7"/>
    <m/>
    <m/>
    <m/>
    <m/>
    <m/>
    <m/>
    <s v="JRNL00899764"/>
    <s v="JRNL00899764"/>
    <m/>
    <d v="2018-08-06T00:00:00"/>
    <d v="2018-08-07T00:00:00"/>
    <m/>
    <m/>
    <s v="wci_wa"/>
    <n v="0"/>
    <n v="0"/>
    <n v="0"/>
    <n v="0"/>
    <n v="0"/>
    <n v="1"/>
    <n v="60225"/>
    <n v="2183"/>
    <n v="0"/>
    <n v="0"/>
    <m/>
    <m/>
    <m/>
    <m/>
    <s v=""/>
  </r>
  <r>
    <s v="60225-2183-000-00"/>
    <d v="2018-08-31T00:00:00"/>
    <n v="-150"/>
    <n v="0"/>
    <s v="USD"/>
    <s v="JRNLWA00377742"/>
    <s v="P"/>
    <s v="Opex 12 - S LeMay PO Log accru"/>
    <s v="HelenaK"/>
    <s v="0/JE IC"/>
    <m/>
    <m/>
    <x v="6"/>
    <m/>
    <m/>
    <m/>
    <m/>
    <m/>
    <m/>
    <s v="JRNL00899764"/>
    <s v="JRNL00899913"/>
    <m/>
    <d v="2018-08-07T00:00:00"/>
    <d v="2018-08-07T00:00:00"/>
    <m/>
    <m/>
    <s v="wci_wa"/>
    <n v="0"/>
    <n v="0"/>
    <n v="0"/>
    <n v="0"/>
    <n v="5"/>
    <n v="1"/>
    <n v="60225"/>
    <n v="2183"/>
    <n v="0"/>
    <n v="0"/>
    <m/>
    <m/>
    <m/>
    <m/>
    <s v=""/>
  </r>
  <r>
    <s v="60225-2183-000-00"/>
    <d v="2018-08-31T00:00:00"/>
    <n v="-150"/>
    <n v="0"/>
    <s v="USD"/>
    <s v="JRNLWA00377742"/>
    <s v="P"/>
    <s v="Opex 12 - S LeMay PO Log accru"/>
    <s v="HelenaK"/>
    <s v="0/JE IC"/>
    <m/>
    <m/>
    <x v="7"/>
    <m/>
    <m/>
    <m/>
    <m/>
    <m/>
    <m/>
    <s v="JRNL00899764"/>
    <s v="JRNL00899913"/>
    <m/>
    <d v="2018-08-07T00:00:00"/>
    <d v="2018-08-07T00:00:00"/>
    <m/>
    <m/>
    <s v="wci_wa"/>
    <n v="0"/>
    <n v="0"/>
    <n v="0"/>
    <n v="0"/>
    <n v="5"/>
    <n v="1"/>
    <n v="60225"/>
    <n v="2183"/>
    <n v="0"/>
    <n v="0"/>
    <m/>
    <m/>
    <m/>
    <m/>
    <s v=""/>
  </r>
  <r>
    <s v="60225-2183-000-00"/>
    <d v="2018-08-31T00:00:00"/>
    <n v="150"/>
    <n v="0"/>
    <s v="USD"/>
    <s v="JRNLWA00378512"/>
    <s v="P"/>
    <s v="Aug Pcard Activity - Western"/>
    <s v="HelenaK"/>
    <s v="0/JE IC"/>
    <m/>
    <m/>
    <x v="2"/>
    <m/>
    <m/>
    <m/>
    <m/>
    <m/>
    <m/>
    <s v="JRNL00902204"/>
    <s v="JRNL00902204"/>
    <m/>
    <d v="2018-09-05T00:00:00"/>
    <d v="2018-09-05T00:00:00"/>
    <m/>
    <m/>
    <s v="wci_wa"/>
    <n v="0"/>
    <n v="0"/>
    <n v="0"/>
    <n v="0"/>
    <n v="0"/>
    <n v="1"/>
    <n v="60225"/>
    <n v="2183"/>
    <n v="0"/>
    <n v="0"/>
    <m/>
    <m/>
    <m/>
    <m/>
    <s v=""/>
  </r>
  <r>
    <s v="60225-2183-000-00"/>
    <d v="2018-08-31T00:00:00"/>
    <n v="150"/>
    <n v="0"/>
    <s v="USD"/>
    <s v="JRNLWA00378512"/>
    <s v="P"/>
    <s v="Aug Pcard Activity - Western"/>
    <s v="HelenaK"/>
    <s v="0/JE IC"/>
    <m/>
    <m/>
    <x v="2"/>
    <m/>
    <m/>
    <m/>
    <m/>
    <m/>
    <m/>
    <s v="JRNL00902204"/>
    <s v="JRNL00902204"/>
    <m/>
    <d v="2018-09-05T00:00:00"/>
    <d v="2018-09-05T00:00:00"/>
    <m/>
    <m/>
    <s v="wci_wa"/>
    <n v="0"/>
    <n v="0"/>
    <n v="0"/>
    <n v="0"/>
    <n v="0"/>
    <n v="1"/>
    <n v="60225"/>
    <n v="2183"/>
    <n v="0"/>
    <n v="0"/>
    <m/>
    <m/>
    <m/>
    <m/>
    <s v=""/>
  </r>
  <r>
    <s v="60225-2183-000-00"/>
    <d v="2018-08-31T00:00:00"/>
    <n v="750"/>
    <n v="0"/>
    <s v="USD"/>
    <s v="JRNLWA00378512"/>
    <s v="P"/>
    <s v="Aug Pcard Activity - Western"/>
    <s v="HelenaK"/>
    <s v="0/JE IC"/>
    <m/>
    <m/>
    <x v="8"/>
    <m/>
    <m/>
    <m/>
    <m/>
    <m/>
    <m/>
    <s v="JRNL00902204"/>
    <s v="JRNL00902204"/>
    <m/>
    <d v="2018-09-05T00:00:00"/>
    <d v="2018-09-05T00:00:00"/>
    <m/>
    <m/>
    <s v="wci_wa"/>
    <n v="0"/>
    <n v="0"/>
    <n v="0"/>
    <n v="0"/>
    <n v="0"/>
    <n v="1"/>
    <n v="60225"/>
    <n v="2183"/>
    <n v="0"/>
    <n v="0"/>
    <m/>
    <m/>
    <m/>
    <m/>
    <s v=""/>
  </r>
  <r>
    <s v="60225-2183-000-00"/>
    <d v="2018-08-31T00:00:00"/>
    <n v="150"/>
    <n v="0"/>
    <s v="USD"/>
    <s v="JRNLWA00379259"/>
    <s v="P"/>
    <s v="Opex 12 - S LeMay PO Log accru"/>
    <s v="AlexandraP"/>
    <s v="0/JE IC"/>
    <m/>
    <m/>
    <x v="9"/>
    <m/>
    <m/>
    <m/>
    <m/>
    <m/>
    <m/>
    <s v="JRNL00903610"/>
    <s v="JRNL00903610"/>
    <m/>
    <d v="2018-09-07T00:00:00"/>
    <d v="2018-09-10T00:00:00"/>
    <m/>
    <m/>
    <s v="wci_wa"/>
    <n v="0"/>
    <n v="0"/>
    <n v="0"/>
    <n v="0"/>
    <n v="0"/>
    <n v="1"/>
    <n v="60225"/>
    <n v="2183"/>
    <n v="0"/>
    <n v="0"/>
    <m/>
    <m/>
    <m/>
    <m/>
    <s v=""/>
  </r>
  <r>
    <s v="60225-2183-000-00"/>
    <d v="2018-09-30T00:00:00"/>
    <n v="-150"/>
    <n v="0"/>
    <s v="USD"/>
    <s v="JRNLWA00379348"/>
    <s v="P"/>
    <s v="Opex 12 - S LeMay PO Log accru"/>
    <s v="AlexandraP"/>
    <s v="0/JE IC"/>
    <m/>
    <m/>
    <x v="9"/>
    <m/>
    <m/>
    <m/>
    <m/>
    <m/>
    <m/>
    <s v="JRNL00903610"/>
    <s v="JRNL00903807"/>
    <m/>
    <d v="2018-09-10T00:00:00"/>
    <d v="2018-09-10T00:00:00"/>
    <m/>
    <m/>
    <s v="wci_wa"/>
    <n v="0"/>
    <n v="0"/>
    <n v="0"/>
    <n v="0"/>
    <n v="5"/>
    <n v="1"/>
    <n v="60225"/>
    <n v="2183"/>
    <n v="0"/>
    <n v="0"/>
    <m/>
    <m/>
    <m/>
    <m/>
    <s v=""/>
  </r>
  <r>
    <s v="60225-2183-000-00"/>
    <d v="2018-09-30T00:00:00"/>
    <n v="150"/>
    <n v="0"/>
    <s v="USD"/>
    <s v="JRNLWA00380086"/>
    <s v="P"/>
    <s v="Western PCard Activity - Septe"/>
    <s v="AlexandraP"/>
    <s v="0/JE IC"/>
    <m/>
    <m/>
    <x v="2"/>
    <m/>
    <m/>
    <m/>
    <m/>
    <m/>
    <m/>
    <s v="JRNL00905848"/>
    <s v="JRNL00905848"/>
    <m/>
    <d v="2018-10-02T00:00:00"/>
    <d v="2018-10-02T00:00:00"/>
    <m/>
    <m/>
    <s v="wci_wa"/>
    <n v="0"/>
    <n v="0"/>
    <n v="0"/>
    <n v="0"/>
    <n v="0"/>
    <n v="1"/>
    <n v="60225"/>
    <n v="2183"/>
    <n v="0"/>
    <n v="0"/>
    <m/>
    <m/>
    <m/>
    <m/>
    <s v=""/>
  </r>
  <r>
    <s v="60225-2183-000-00"/>
    <d v="2018-09-30T00:00:00"/>
    <n v="150"/>
    <n v="0"/>
    <s v="USD"/>
    <s v="JRNLWA00380840"/>
    <s v="P"/>
    <s v="Opex 12 - S LeMay PO Log accru"/>
    <s v="AlexandraP"/>
    <s v="0/JE IC"/>
    <m/>
    <m/>
    <x v="10"/>
    <m/>
    <m/>
    <m/>
    <m/>
    <m/>
    <m/>
    <s v="JRNL00907323"/>
    <s v="JRNL00907323"/>
    <m/>
    <d v="2018-10-04T00:00:00"/>
    <d v="2018-10-05T00:00:00"/>
    <m/>
    <m/>
    <s v="wci_wa"/>
    <n v="0"/>
    <n v="0"/>
    <n v="0"/>
    <n v="0"/>
    <n v="0"/>
    <n v="1"/>
    <n v="60225"/>
    <n v="2183"/>
    <n v="0"/>
    <n v="0"/>
    <m/>
    <m/>
    <m/>
    <m/>
    <s v=""/>
  </r>
  <r>
    <s v="60225-2183-000-00"/>
    <d v="2018-10-31T00:00:00"/>
    <n v="150"/>
    <n v="0"/>
    <s v="USD"/>
    <m/>
    <s v="S"/>
    <s v="Western PCard Activity - October"/>
    <s v="JenniferB"/>
    <m/>
    <m/>
    <m/>
    <x v="2"/>
    <m/>
    <m/>
    <s v="JE22"/>
    <m/>
    <m/>
    <m/>
    <m/>
    <m/>
    <m/>
    <d v="2018-11-02T00:00:00"/>
    <m/>
    <m/>
    <m/>
    <m/>
    <n v="0"/>
    <m/>
    <m/>
    <m/>
    <m/>
    <m/>
    <n v="60225"/>
    <n v="2183"/>
    <n v="0"/>
    <n v="0"/>
    <m/>
    <s v="PO-2183-18-04387"/>
    <n v="2018010"/>
    <n v="2000"/>
    <s v=""/>
  </r>
  <r>
    <s v="60225-2183-000-00"/>
    <d v="2018-10-31T00:00:00"/>
    <n v="-150"/>
    <n v="0"/>
    <s v="USD"/>
    <s v="JRNLWA00380934"/>
    <s v="P"/>
    <s v="Opex 12 - S LeMay PO Log accru"/>
    <s v="HelenaK"/>
    <s v="0/JE IC"/>
    <m/>
    <m/>
    <x v="10"/>
    <m/>
    <m/>
    <m/>
    <m/>
    <m/>
    <m/>
    <s v="JRNL00907323"/>
    <s v="JRNL00907474"/>
    <m/>
    <d v="2018-10-05T00:00:00"/>
    <d v="2018-10-05T00:00:00"/>
    <m/>
    <m/>
    <s v="wci_wa"/>
    <n v="0"/>
    <n v="0"/>
    <n v="0"/>
    <n v="0"/>
    <n v="5"/>
    <n v="1"/>
    <n v="60225"/>
    <n v="2183"/>
    <n v="0"/>
    <n v="0"/>
    <m/>
    <m/>
    <m/>
    <m/>
    <s v=""/>
  </r>
  <r>
    <s v="60225-2183-000-00"/>
    <d v="2018-10-31T00:00:00"/>
    <n v="150"/>
    <n v="0"/>
    <s v="USD"/>
    <s v="JRNLWA00381684"/>
    <s v="P"/>
    <s v="Western PCard Activity - Octob"/>
    <s v="AlexandraP"/>
    <s v="0/JE IC"/>
    <m/>
    <m/>
    <x v="2"/>
    <m/>
    <m/>
    <m/>
    <m/>
    <m/>
    <m/>
    <s v="JRNL00909891"/>
    <s v="JRNL00909891"/>
    <m/>
    <d v="2018-11-02T00:00:00"/>
    <d v="2018-11-02T00:00:00"/>
    <m/>
    <m/>
    <s v="wci_wa"/>
    <n v="0"/>
    <n v="0"/>
    <n v="0"/>
    <n v="0"/>
    <n v="0"/>
    <n v="1"/>
    <n v="60225"/>
    <n v="2183"/>
    <n v="0"/>
    <n v="0"/>
    <m/>
    <m/>
    <m/>
    <m/>
    <s v=""/>
  </r>
  <r>
    <s v="60225-2183-000-00"/>
    <d v="2018-10-31T00:00:00"/>
    <n v="3543.5"/>
    <n v="0"/>
    <s v="USD"/>
    <s v="JRNLWA00382292"/>
    <s v="P"/>
    <s v="PO Log Accrual"/>
    <s v="AlexandraP"/>
    <s v="0/JE IC"/>
    <m/>
    <m/>
    <x v="11"/>
    <m/>
    <m/>
    <m/>
    <m/>
    <m/>
    <m/>
    <s v="JRNL00911442"/>
    <s v="JRNL00911442"/>
    <m/>
    <d v="2018-11-07T00:00:00"/>
    <d v="2018-11-07T00:00:00"/>
    <m/>
    <m/>
    <s v="wci_wa"/>
    <n v="0"/>
    <n v="0"/>
    <n v="0"/>
    <n v="0"/>
    <n v="0"/>
    <n v="1"/>
    <n v="60225"/>
    <n v="2183"/>
    <n v="0"/>
    <n v="0"/>
    <m/>
    <m/>
    <m/>
    <m/>
    <s v=""/>
  </r>
  <r>
    <s v="60225-2183-000-00"/>
    <d v="2018-11-30T00:00:00"/>
    <n v="-3543.5"/>
    <n v="0"/>
    <s v="USD"/>
    <s v="JRNLWA00382302"/>
    <s v="P"/>
    <s v="PO Log Accrual"/>
    <s v="AlexandraP"/>
    <s v="0/JE IC"/>
    <m/>
    <m/>
    <x v="11"/>
    <m/>
    <m/>
    <m/>
    <m/>
    <m/>
    <m/>
    <s v="JRNL00911442"/>
    <s v="JRNL00911498"/>
    <m/>
    <d v="2018-11-07T00:00:00"/>
    <d v="2018-11-07T00:00:00"/>
    <m/>
    <m/>
    <s v="wci_wa"/>
    <n v="0"/>
    <n v="0"/>
    <n v="0"/>
    <n v="0"/>
    <n v="5"/>
    <n v="1"/>
    <n v="60225"/>
    <n v="2183"/>
    <n v="0"/>
    <n v="0"/>
    <m/>
    <m/>
    <m/>
    <m/>
    <s v=""/>
  </r>
  <r>
    <s v="60225-2183-000-00"/>
    <d v="2018-11-30T00:00:00"/>
    <n v="656.25"/>
    <n v="0"/>
    <s v="USD"/>
    <s v="JRNLWA00383878"/>
    <s v="P"/>
    <s v="PO Log Accrual"/>
    <s v="AlexandraP"/>
    <s v="0/JE IC"/>
    <m/>
    <m/>
    <x v="12"/>
    <m/>
    <m/>
    <m/>
    <m/>
    <m/>
    <m/>
    <s v="JRNL00915208"/>
    <s v="JRNL00915208"/>
    <m/>
    <d v="2018-12-06T00:00:00"/>
    <d v="2018-12-07T00:00:00"/>
    <m/>
    <m/>
    <s v="wci_wa"/>
    <n v="0"/>
    <n v="0"/>
    <n v="0"/>
    <n v="0"/>
    <n v="0"/>
    <n v="1"/>
    <n v="60225"/>
    <n v="2183"/>
    <n v="0"/>
    <n v="0"/>
    <m/>
    <m/>
    <m/>
    <m/>
    <s v=""/>
  </r>
  <r>
    <s v="60225-2183-000-00"/>
    <d v="2018-12-13T00:00:00"/>
    <n v="656.25"/>
    <n v="0"/>
    <s v="USD"/>
    <s v="JRNLWA00384218"/>
    <s v="P"/>
    <s v="From Voucher Posting."/>
    <s v="JudyA"/>
    <s v="0/JE IC"/>
    <s v="VUS000014261"/>
    <m/>
    <x v="0"/>
    <d v="2018-12-03T00:00:00"/>
    <s v="Quarterly ReCollect Bill Oct - Dec  2018"/>
    <n v="2137"/>
    <s v="PO-2183-18-05002"/>
    <m/>
    <m/>
    <s v="VO04860493"/>
    <s v="JRNL00916118"/>
    <n v="2183"/>
    <d v="2018-12-13T00:00:00"/>
    <d v="2018-12-20T00:00:00"/>
    <n v="2625"/>
    <d v="2018-12-13T00:00:00"/>
    <s v="wci_wa"/>
    <n v="0"/>
    <n v="0"/>
    <n v="0"/>
    <n v="0"/>
    <n v="0"/>
    <n v="1"/>
    <n v="60225"/>
    <n v="2183"/>
    <n v="0"/>
    <n v="0"/>
    <m/>
    <m/>
    <m/>
    <m/>
    <s v="VO04860493"/>
  </r>
  <r>
    <s v="60225-2183-000-00"/>
    <d v="2018-12-31T00:00:00"/>
    <n v="-656.25"/>
    <n v="0"/>
    <s v="USD"/>
    <s v="JRNLWA00383964"/>
    <s v="P"/>
    <s v="PO Log Accrual"/>
    <s v="AlexandraP"/>
    <s v="0/JE IC"/>
    <m/>
    <m/>
    <x v="12"/>
    <m/>
    <m/>
    <m/>
    <m/>
    <m/>
    <m/>
    <s v="JRNL00915208"/>
    <s v="JRNL00915337"/>
    <m/>
    <d v="2018-12-07T00:00:00"/>
    <d v="2018-12-07T00:00:00"/>
    <m/>
    <m/>
    <s v="wci_wa"/>
    <n v="0"/>
    <n v="0"/>
    <n v="0"/>
    <n v="0"/>
    <n v="5"/>
    <n v="1"/>
    <n v="60225"/>
    <n v="2183"/>
    <n v="0"/>
    <n v="0"/>
    <m/>
    <m/>
    <m/>
    <m/>
    <s v=""/>
  </r>
  <r>
    <s v="60225-2183-000-00"/>
    <d v="2018-12-31T00:00:00"/>
    <n v="150"/>
    <n v="0"/>
    <s v="USD"/>
    <s v="JRNLWA00384600"/>
    <s v="P"/>
    <s v="Western PCard Activity - Dec"/>
    <s v="HelenaK"/>
    <s v="0/JE IC"/>
    <m/>
    <m/>
    <x v="2"/>
    <m/>
    <m/>
    <m/>
    <m/>
    <m/>
    <m/>
    <s v="JRNL00917331"/>
    <s v="JRNL00917331"/>
    <m/>
    <d v="2019-01-03T00:00:00"/>
    <d v="2019-01-03T00:00:00"/>
    <m/>
    <m/>
    <s v="wci_wa"/>
    <n v="0"/>
    <n v="0"/>
    <n v="0"/>
    <n v="0"/>
    <n v="0"/>
    <n v="1"/>
    <n v="60225"/>
    <n v="2183"/>
    <n v="0"/>
    <n v="0"/>
    <m/>
    <m/>
    <m/>
    <m/>
    <s v=""/>
  </r>
  <r>
    <s v="60225-2183-000-00"/>
    <d v="2018-12-31T00:00:00"/>
    <n v="150"/>
    <n v="0"/>
    <s v="USD"/>
    <s v="JRNLWA00384600"/>
    <s v="P"/>
    <s v="Western PCard Activity - Dec"/>
    <s v="HelenaK"/>
    <s v="0/JE IC"/>
    <m/>
    <m/>
    <x v="2"/>
    <m/>
    <m/>
    <m/>
    <m/>
    <m/>
    <m/>
    <s v="JRNL00917331"/>
    <s v="JRNL00917331"/>
    <m/>
    <d v="2019-01-03T00:00:00"/>
    <d v="2019-01-03T00:00:00"/>
    <m/>
    <m/>
    <s v="wci_wa"/>
    <n v="0"/>
    <n v="0"/>
    <n v="0"/>
    <n v="0"/>
    <n v="0"/>
    <n v="1"/>
    <n v="60225"/>
    <n v="2183"/>
    <n v="0"/>
    <n v="0"/>
    <m/>
    <m/>
    <m/>
    <m/>
    <s v=""/>
  </r>
  <r>
    <s v="60225-2183-000-00"/>
    <d v="2018-12-31T00:00:00"/>
    <n v="225"/>
    <n v="0"/>
    <s v="USD"/>
    <s v="JRNLWA00385314"/>
    <s v="P"/>
    <s v="PO Log Accrual"/>
    <s v="AlexandraP"/>
    <s v="0/JE IC"/>
    <m/>
    <m/>
    <x v="13"/>
    <m/>
    <m/>
    <m/>
    <m/>
    <m/>
    <m/>
    <s v="JRNL00918913"/>
    <s v="JRNL00918913"/>
    <m/>
    <d v="2019-01-07T00:00:00"/>
    <d v="2019-01-08T00:00:00"/>
    <m/>
    <m/>
    <s v="wci_wa"/>
    <n v="0"/>
    <n v="0"/>
    <n v="0"/>
    <n v="0"/>
    <n v="0"/>
    <n v="1"/>
    <n v="60225"/>
    <n v="2183"/>
    <n v="0"/>
    <n v="0"/>
    <m/>
    <m/>
    <m/>
    <m/>
    <s v=""/>
  </r>
  <r>
    <s v="60225-2183-000-00"/>
    <d v="2019-01-16T00:00:00"/>
    <n v="656.25"/>
    <n v="0"/>
    <s v="USD"/>
    <s v="JRNLWA00385849"/>
    <s v="P"/>
    <s v="From Voucher Posting."/>
    <s v="JudyA"/>
    <s v="0/JE IC"/>
    <s v="VUS000014261"/>
    <m/>
    <x v="0"/>
    <d v="2019-01-01T00:00:00"/>
    <s v="Quarterly ReCollect Bill Jan - March  20"/>
    <n v="2180"/>
    <s v="PO-2183-19-00226"/>
    <m/>
    <m/>
    <s v="VO04893449"/>
    <s v="JRNL00920109"/>
    <n v="2183"/>
    <d v="2019-01-16T00:00:00"/>
    <d v="2019-01-17T00:00:00"/>
    <n v="2625"/>
    <d v="2019-01-11T00:00:00"/>
    <s v="wci_wa"/>
    <n v="0"/>
    <n v="0"/>
    <n v="0"/>
    <n v="0"/>
    <n v="0"/>
    <n v="1"/>
    <n v="60225"/>
    <n v="2183"/>
    <n v="0"/>
    <n v="0"/>
    <m/>
    <m/>
    <m/>
    <m/>
    <s v="VO04893449"/>
  </r>
  <r>
    <s v="60225-2183-000-00"/>
    <d v="2019-01-31T00:00:00"/>
    <n v="-225"/>
    <n v="0"/>
    <s v="USD"/>
    <s v="JRNLWA00385403"/>
    <s v="P"/>
    <s v="PO Log Accrual"/>
    <s v="AlexandraP"/>
    <s v="0/JE IC"/>
    <m/>
    <m/>
    <x v="13"/>
    <m/>
    <m/>
    <m/>
    <m/>
    <m/>
    <m/>
    <s v="JRNL00918913"/>
    <s v="JRNL00919027"/>
    <m/>
    <d v="2019-01-08T00:00:00"/>
    <d v="2019-01-08T00:00:00"/>
    <m/>
    <m/>
    <s v="wci_wa"/>
    <n v="0"/>
    <n v="0"/>
    <n v="0"/>
    <n v="0"/>
    <n v="5"/>
    <n v="1"/>
    <n v="60225"/>
    <n v="2183"/>
    <n v="0"/>
    <n v="0"/>
    <m/>
    <m/>
    <m/>
    <m/>
    <s v=""/>
  </r>
  <r>
    <s v="60225-2183-000-00"/>
    <d v="2019-01-31T00:00:00"/>
    <n v="225"/>
    <n v="0"/>
    <s v="USD"/>
    <s v="JRNLWA00386265"/>
    <s v="P"/>
    <s v="Western PCard Activity - Jan"/>
    <s v="AlexandraP"/>
    <s v="0/JE IC"/>
    <m/>
    <m/>
    <x v="2"/>
    <m/>
    <m/>
    <m/>
    <m/>
    <m/>
    <m/>
    <s v="JRNL00921575"/>
    <s v="JRNL00921575"/>
    <m/>
    <d v="2019-02-04T00:00:00"/>
    <d v="2019-02-04T00:00:00"/>
    <m/>
    <m/>
    <s v="wci_wa"/>
    <n v="0"/>
    <n v="0"/>
    <n v="0"/>
    <n v="0"/>
    <n v="0"/>
    <n v="1"/>
    <n v="60225"/>
    <n v="2183"/>
    <n v="0"/>
    <n v="0"/>
    <m/>
    <m/>
    <m/>
    <m/>
    <s v=""/>
  </r>
  <r>
    <s v="60225-2183-000-00"/>
    <d v="2019-01-31T00:00:00"/>
    <n v="150"/>
    <n v="0"/>
    <s v="USD"/>
    <s v="JRNLWA00386968"/>
    <s v="P"/>
    <s v="PO Log Accrual"/>
    <s v="AlexandraP"/>
    <s v="0/JE IC"/>
    <m/>
    <m/>
    <x v="14"/>
    <m/>
    <m/>
    <m/>
    <m/>
    <m/>
    <m/>
    <s v="JRNL00923103"/>
    <s v="JRNL00923103"/>
    <m/>
    <d v="2019-02-06T00:00:00"/>
    <d v="2019-02-07T00:00:00"/>
    <m/>
    <m/>
    <s v="wci_wa"/>
    <n v="0"/>
    <n v="0"/>
    <n v="0"/>
    <n v="0"/>
    <n v="0"/>
    <n v="1"/>
    <n v="60225"/>
    <n v="2183"/>
    <n v="0"/>
    <n v="0"/>
    <m/>
    <m/>
    <m/>
    <m/>
    <s v=""/>
  </r>
  <r>
    <s v="60225-2183-000-00"/>
    <d v="2019-02-28T00:00:00"/>
    <n v="-150"/>
    <n v="0"/>
    <s v="USD"/>
    <s v="JRNLWA00387078"/>
    <s v="P"/>
    <s v="PO Log Accrual"/>
    <s v="AlexandraP"/>
    <s v="0/JE IC"/>
    <m/>
    <m/>
    <x v="14"/>
    <m/>
    <m/>
    <m/>
    <m/>
    <m/>
    <m/>
    <s v="JRNL00923103"/>
    <s v="JRNL00923260"/>
    <m/>
    <d v="2019-02-07T00:00:00"/>
    <d v="2019-02-07T00:00:00"/>
    <m/>
    <m/>
    <s v="wci_wa"/>
    <n v="0"/>
    <n v="0"/>
    <n v="0"/>
    <n v="0"/>
    <n v="5"/>
    <n v="1"/>
    <n v="60225"/>
    <n v="2183"/>
    <n v="0"/>
    <n v="0"/>
    <m/>
    <m/>
    <m/>
    <m/>
    <s v=""/>
  </r>
  <r>
    <s v="60225-2183-000-00"/>
    <d v="2019-02-28T00:00:00"/>
    <n v="150"/>
    <n v="0"/>
    <s v="USD"/>
    <s v="JRNLWA00387734"/>
    <s v="P"/>
    <s v="Western PCard Activity - Feb"/>
    <s v="AlexandraP"/>
    <s v="0/JE IC"/>
    <m/>
    <m/>
    <x v="5"/>
    <m/>
    <m/>
    <m/>
    <m/>
    <m/>
    <m/>
    <s v="JRNL00925269"/>
    <s v="JRNL00925269"/>
    <m/>
    <d v="2019-03-04T00:00:00"/>
    <d v="2019-03-04T00:00:00"/>
    <m/>
    <m/>
    <s v="wci_wa"/>
    <n v="0"/>
    <n v="0"/>
    <n v="0"/>
    <n v="0"/>
    <n v="0"/>
    <n v="1"/>
    <n v="60225"/>
    <n v="2183"/>
    <n v="0"/>
    <n v="0"/>
    <m/>
    <m/>
    <m/>
    <m/>
    <s v=""/>
  </r>
  <r>
    <s v="60225-2183-000-00"/>
    <d v="2019-03-31T00:00:00"/>
    <n v="150"/>
    <n v="0"/>
    <s v="USD"/>
    <s v="JRNLWA00389929"/>
    <s v="P"/>
    <s v="PO Log Accrual"/>
    <s v="HelenaK"/>
    <s v="0/JE IC"/>
    <m/>
    <m/>
    <x v="15"/>
    <m/>
    <m/>
    <m/>
    <m/>
    <m/>
    <m/>
    <s v="JRNL00929802"/>
    <s v="JRNL00929802"/>
    <m/>
    <d v="2019-04-04T00:00:00"/>
    <d v="2019-04-05T00:00:00"/>
    <m/>
    <m/>
    <s v="wci_wa"/>
    <n v="0"/>
    <n v="0"/>
    <n v="0"/>
    <n v="0"/>
    <n v="0"/>
    <n v="1"/>
    <n v="60225"/>
    <n v="2183"/>
    <n v="0"/>
    <n v="0"/>
    <m/>
    <m/>
    <m/>
    <m/>
    <s v=""/>
  </r>
  <r>
    <s v="60225-2183-000-00"/>
    <d v="2019-03-31T00:00:00"/>
    <n v="150"/>
    <n v="0"/>
    <s v="USD"/>
    <s v="JRNLWA00389930"/>
    <s v="P"/>
    <s v="OPEX13 - Pcard Accrual"/>
    <s v="HelenaK"/>
    <s v="0/JE IC"/>
    <m/>
    <m/>
    <x v="2"/>
    <m/>
    <m/>
    <m/>
    <m/>
    <m/>
    <m/>
    <s v="JRNL00929803"/>
    <s v="JRNL00929803"/>
    <m/>
    <d v="2019-04-04T00:00:00"/>
    <d v="2019-04-05T00:00:00"/>
    <m/>
    <m/>
    <s v="wci_wa"/>
    <n v="0"/>
    <n v="0"/>
    <n v="0"/>
    <n v="0"/>
    <n v="0"/>
    <n v="1"/>
    <n v="60225"/>
    <n v="2183"/>
    <n v="0"/>
    <n v="0"/>
    <m/>
    <m/>
    <m/>
    <m/>
    <s v=""/>
  </r>
  <r>
    <s v="60225-2183-000-00"/>
    <d v="2019-04-30T00:00:00"/>
    <n v="-150"/>
    <n v="0"/>
    <s v="USD"/>
    <s v="JRNLWA00390016"/>
    <s v="P"/>
    <s v="PO Log Accrual"/>
    <s v="AlexandraP"/>
    <s v="0/JE IC"/>
    <m/>
    <m/>
    <x v="15"/>
    <m/>
    <m/>
    <m/>
    <m/>
    <m/>
    <m/>
    <s v="JRNL00929802"/>
    <s v="JRNL00929929"/>
    <m/>
    <d v="2019-04-05T00:00:00"/>
    <d v="2019-04-05T00:00:00"/>
    <m/>
    <m/>
    <s v="wci_wa"/>
    <n v="0"/>
    <n v="0"/>
    <n v="0"/>
    <n v="0"/>
    <n v="5"/>
    <n v="1"/>
    <n v="60225"/>
    <n v="2183"/>
    <n v="0"/>
    <n v="0"/>
    <m/>
    <m/>
    <m/>
    <m/>
    <s v=""/>
  </r>
  <r>
    <s v="60225-2183-000-00"/>
    <d v="2019-04-30T00:00:00"/>
    <n v="-150"/>
    <n v="0"/>
    <s v="USD"/>
    <s v="JRNLWA00390017"/>
    <s v="P"/>
    <s v="OPEX13 - Pcard Accrual"/>
    <s v="AlexandraP"/>
    <s v="0/JE IC"/>
    <m/>
    <m/>
    <x v="2"/>
    <m/>
    <m/>
    <m/>
    <m/>
    <m/>
    <m/>
    <s v="JRNL00929803"/>
    <s v="JRNL00929930"/>
    <m/>
    <d v="2019-04-05T00:00:00"/>
    <d v="2019-04-05T00:00:00"/>
    <m/>
    <m/>
    <s v="wci_wa"/>
    <n v="0"/>
    <n v="0"/>
    <n v="0"/>
    <n v="0"/>
    <n v="5"/>
    <n v="1"/>
    <n v="60225"/>
    <n v="2183"/>
    <n v="0"/>
    <n v="0"/>
    <m/>
    <m/>
    <m/>
    <m/>
    <s v=""/>
  </r>
  <r>
    <s v="60225-2183-000-00"/>
    <d v="2019-04-30T00:00:00"/>
    <n v="150"/>
    <n v="0"/>
    <s v="USD"/>
    <s v="JRNLWA00390650"/>
    <s v="P"/>
    <s v="Western Pcard Activity - April"/>
    <s v="HelenaK"/>
    <s v="0/JE IC"/>
    <m/>
    <m/>
    <x v="2"/>
    <m/>
    <m/>
    <m/>
    <m/>
    <m/>
    <m/>
    <s v="JRNL00931518"/>
    <s v="JRNL00931518"/>
    <m/>
    <d v="2019-05-01T00:00:00"/>
    <d v="2019-05-02T00:00:00"/>
    <m/>
    <m/>
    <s v="wci_wa"/>
    <n v="0"/>
    <n v="0"/>
    <n v="0"/>
    <n v="0"/>
    <n v="0"/>
    <n v="1"/>
    <n v="60225"/>
    <n v="2183"/>
    <n v="0"/>
    <n v="0"/>
    <m/>
    <m/>
    <m/>
    <m/>
    <s v=""/>
  </r>
  <r>
    <s v="60225-2183-000-00"/>
    <d v="2019-04-30T00:00:00"/>
    <n v="150"/>
    <n v="0"/>
    <s v="USD"/>
    <s v="JRNLWA00390650"/>
    <s v="P"/>
    <s v="Western Pcard Activity - April"/>
    <s v="HelenaK"/>
    <s v="0/JE IC"/>
    <m/>
    <m/>
    <x v="2"/>
    <m/>
    <m/>
    <m/>
    <m/>
    <m/>
    <m/>
    <s v="JRNL00931518"/>
    <s v="JRNL00931518"/>
    <m/>
    <d v="2019-05-01T00:00:00"/>
    <d v="2019-05-02T00:00:00"/>
    <m/>
    <m/>
    <s v="wci_wa"/>
    <n v="0"/>
    <n v="0"/>
    <n v="0"/>
    <n v="0"/>
    <n v="0"/>
    <n v="1"/>
    <n v="60225"/>
    <n v="2183"/>
    <n v="0"/>
    <n v="0"/>
    <m/>
    <m/>
    <m/>
    <m/>
    <s v=""/>
  </r>
  <r>
    <s v="60225-2183-000-00"/>
    <d v="2019-04-30T00:00:00"/>
    <n v="150"/>
    <n v="0"/>
    <s v="USD"/>
    <s v="JRNLWA00391034"/>
    <s v="P"/>
    <s v="PO Log Accrual"/>
    <s v="HelenaK"/>
    <s v="0/JE IC"/>
    <m/>
    <m/>
    <x v="16"/>
    <m/>
    <m/>
    <m/>
    <m/>
    <m/>
    <m/>
    <s v="JRNL00932233"/>
    <s v="JRNL00932233"/>
    <m/>
    <d v="2019-05-03T00:00:00"/>
    <d v="2019-05-03T00:00:00"/>
    <m/>
    <m/>
    <s v="wci_wa"/>
    <n v="0"/>
    <n v="0"/>
    <n v="0"/>
    <n v="0"/>
    <n v="0"/>
    <n v="1"/>
    <n v="60225"/>
    <n v="2183"/>
    <n v="0"/>
    <n v="0"/>
    <m/>
    <m/>
    <m/>
    <m/>
    <s v=""/>
  </r>
  <r>
    <s v="60225-2183-000-00"/>
    <d v="2019-04-30T00:00:00"/>
    <n v="-150"/>
    <n v="0"/>
    <s v="USD"/>
    <s v="JRNLWA00391147"/>
    <s v="P"/>
    <s v="PO Log Accrual"/>
    <s v="AlexandraP"/>
    <s v="0/JE IC"/>
    <m/>
    <m/>
    <x v="16"/>
    <m/>
    <m/>
    <m/>
    <m/>
    <m/>
    <m/>
    <s v="JRNL00932387"/>
    <s v="JRNL00932387"/>
    <m/>
    <d v="2019-05-03T00:00:00"/>
    <d v="2019-05-03T00:00:00"/>
    <m/>
    <m/>
    <s v="wci_wa"/>
    <n v="0"/>
    <n v="0"/>
    <n v="0"/>
    <n v="0"/>
    <n v="0"/>
    <n v="1"/>
    <n v="60225"/>
    <n v="2183"/>
    <n v="0"/>
    <n v="0"/>
    <m/>
    <m/>
    <m/>
    <m/>
    <s v=""/>
  </r>
  <r>
    <s v="60225-2183-000-00"/>
    <d v="2019-04-30T00:00:00"/>
    <n v="656.25"/>
    <n v="0"/>
    <s v="USD"/>
    <s v="JRNLWA00391430"/>
    <s v="P"/>
    <s v="PO Log Accrual"/>
    <s v="HelenaK"/>
    <s v="0/JE IC"/>
    <m/>
    <m/>
    <x v="17"/>
    <m/>
    <m/>
    <m/>
    <m/>
    <m/>
    <m/>
    <s v="JRNL00933056"/>
    <s v="JRNL00933056"/>
    <m/>
    <d v="2019-05-06T00:00:00"/>
    <d v="2019-05-07T00:00:00"/>
    <m/>
    <m/>
    <s v="wci_wa"/>
    <n v="0"/>
    <n v="0"/>
    <n v="0"/>
    <n v="0"/>
    <n v="0"/>
    <n v="1"/>
    <n v="60225"/>
    <n v="2183"/>
    <n v="0"/>
    <n v="0"/>
    <m/>
    <m/>
    <m/>
    <m/>
    <s v=""/>
  </r>
  <r>
    <s v="60225-2183-000-00"/>
    <d v="2019-04-30T00:00:00"/>
    <n v="150"/>
    <n v="0"/>
    <s v="USD"/>
    <s v="JRNLWA00391430"/>
    <s v="P"/>
    <s v="PO Log Accrual"/>
    <s v="HelenaK"/>
    <s v="0/JE IC"/>
    <m/>
    <m/>
    <x v="16"/>
    <m/>
    <m/>
    <m/>
    <m/>
    <m/>
    <m/>
    <s v="JRNL00933056"/>
    <s v="JRNL00933056"/>
    <m/>
    <d v="2019-05-06T00:00:00"/>
    <d v="2019-05-07T00:00:00"/>
    <m/>
    <m/>
    <s v="wci_wa"/>
    <n v="0"/>
    <n v="0"/>
    <n v="0"/>
    <n v="0"/>
    <n v="0"/>
    <n v="1"/>
    <n v="60225"/>
    <n v="2183"/>
    <n v="0"/>
    <n v="0"/>
    <m/>
    <m/>
    <m/>
    <m/>
    <s v=""/>
  </r>
</pivotCacheRecords>
</file>

<file path=xl/pivotCache/pivotCacheRecords2.xml><?xml version="1.0" encoding="utf-8"?>
<pivotCacheRecords xmlns="http://schemas.openxmlformats.org/spreadsheetml/2006/main" xmlns:r="http://schemas.openxmlformats.org/officeDocument/2006/relationships" count="414">
  <r>
    <s v="70095-2183-000-00"/>
    <d v="2018-05-03T00:00:00"/>
    <n v="40"/>
    <n v="0"/>
    <s v="USD"/>
    <s v="JRNLWA00372600"/>
    <s v="P"/>
    <s v="From Voucher Posting."/>
    <s v="RosemaryS"/>
    <s v="0/JE IC"/>
    <s v="EUS000002915"/>
    <m/>
    <x v="0"/>
    <d v="2018-04-30T00:00:00"/>
    <s v="April Mileage and Event Supplies"/>
    <s v="04/01-04/30/18"/>
    <m/>
    <m/>
    <m/>
    <s v="VO04641240"/>
    <s v="JRNL00887347"/>
    <n v="2183"/>
    <d v="2018-05-03T00:00:00"/>
    <d v="2018-05-03T00:00:00"/>
    <n v="250.19"/>
    <d v="2018-05-01T00:00:00"/>
    <s v="wci_wa"/>
    <n v="0"/>
    <n v="0"/>
    <n v="0"/>
    <n v="0"/>
    <n v="0"/>
    <n v="1"/>
    <n v="70095"/>
    <n v="2183"/>
    <n v="0"/>
    <n v="0"/>
    <m/>
    <m/>
    <m/>
    <m/>
    <s v="VO04641240"/>
  </r>
  <r>
    <s v="70095-2183-000-00"/>
    <d v="2018-05-03T00:00:00"/>
    <n v="40"/>
    <n v="0"/>
    <s v="USD"/>
    <s v="JRNLWA00372600"/>
    <s v="P"/>
    <s v="From Voucher Posting."/>
    <s v="RosemaryS"/>
    <s v="0/JE IC"/>
    <s v="EUS000002915"/>
    <m/>
    <x v="0"/>
    <d v="2018-04-30T00:00:00"/>
    <s v="April Mileage and Event Supplies"/>
    <s v="04/01-04/30/18"/>
    <m/>
    <m/>
    <m/>
    <s v="VO04641240"/>
    <s v="JRNL00887347"/>
    <n v="2183"/>
    <d v="2018-05-03T00:00:00"/>
    <d v="2018-05-03T00:00:00"/>
    <n v="250.19"/>
    <d v="2018-05-01T00:00:00"/>
    <s v="wci_wa"/>
    <n v="0"/>
    <n v="0"/>
    <n v="0"/>
    <n v="0"/>
    <n v="0"/>
    <n v="1"/>
    <n v="70095"/>
    <n v="2183"/>
    <n v="0"/>
    <n v="0"/>
    <m/>
    <m/>
    <m/>
    <m/>
    <s v="VO04641240"/>
  </r>
  <r>
    <s v="70095-2183-000-00"/>
    <d v="2018-05-03T00:00:00"/>
    <n v="56.83"/>
    <n v="0"/>
    <s v="USD"/>
    <s v="JRNLWA00372600"/>
    <s v="P"/>
    <s v="From Voucher Posting."/>
    <s v="RosemaryS"/>
    <s v="0/JE IC"/>
    <s v="EUS000002915"/>
    <m/>
    <x v="0"/>
    <d v="2018-04-30T00:00:00"/>
    <s v="April Mileage and Event Supplies"/>
    <s v="04/01-04/30/18"/>
    <m/>
    <m/>
    <m/>
    <s v="VO04641240"/>
    <s v="JRNL00887347"/>
    <n v="2183"/>
    <d v="2018-05-03T00:00:00"/>
    <d v="2018-05-03T00:00:00"/>
    <n v="250.19"/>
    <d v="2018-05-01T00:00:00"/>
    <s v="wci_wa"/>
    <n v="0"/>
    <n v="0"/>
    <n v="0"/>
    <n v="0"/>
    <n v="0"/>
    <n v="1"/>
    <n v="70095"/>
    <n v="2183"/>
    <n v="0"/>
    <n v="0"/>
    <m/>
    <m/>
    <m/>
    <m/>
    <s v="VO04641240"/>
  </r>
  <r>
    <s v="70095-2183-000-00"/>
    <d v="2018-05-25T00:00:00"/>
    <n v="84.78"/>
    <n v="0"/>
    <s v="USD"/>
    <s v="JRNLWA00373657"/>
    <s v="P"/>
    <s v="From Voucher Posting."/>
    <s v="JeffS"/>
    <s v="0/JE IC"/>
    <s v="VUS000020407"/>
    <s v="PETTY CASH DISTRICT 2183"/>
    <x v="1"/>
    <d v="2018-05-23T00:00:00"/>
    <s v="05232018 petty cash"/>
    <n v="5232018"/>
    <s v="PO-2183-18-02325"/>
    <m/>
    <m/>
    <s v="VO04662654"/>
    <s v="JRNL00889786"/>
    <n v="2183"/>
    <d v="2018-05-25T00:00:00"/>
    <d v="2018-05-25T00:00:00"/>
    <n v="985.13"/>
    <d v="2018-05-24T00:00:00"/>
    <s v="wci_wa"/>
    <n v="0"/>
    <n v="0"/>
    <n v="0"/>
    <n v="0"/>
    <n v="0"/>
    <n v="1"/>
    <n v="70095"/>
    <n v="2183"/>
    <n v="0"/>
    <n v="0"/>
    <m/>
    <m/>
    <m/>
    <m/>
    <s v="VO04662654"/>
  </r>
  <r>
    <s v="70095-2183-000-00"/>
    <d v="2018-05-31T00:00:00"/>
    <n v="-40"/>
    <n v="0"/>
    <s v="USD"/>
    <s v="JRNLWA00373291"/>
    <s v="P"/>
    <s v="Opex 12 - S LeMay PO Log accru"/>
    <s v="AlexandraP"/>
    <s v="0/JE IC"/>
    <m/>
    <m/>
    <x v="2"/>
    <m/>
    <m/>
    <m/>
    <m/>
    <m/>
    <m/>
    <s v="JRNL00888329"/>
    <s v="JRNL00888489"/>
    <m/>
    <d v="2018-05-07T00:00:00"/>
    <d v="2018-05-07T00:00:00"/>
    <m/>
    <m/>
    <s v="wci_wa"/>
    <n v="0"/>
    <n v="0"/>
    <n v="0"/>
    <n v="0"/>
    <n v="5"/>
    <n v="1"/>
    <n v="70095"/>
    <n v="2183"/>
    <n v="0"/>
    <n v="0"/>
    <m/>
    <m/>
    <m/>
    <m/>
    <s v=""/>
  </r>
  <r>
    <s v="70095-2183-000-00"/>
    <d v="2018-05-31T00:00:00"/>
    <n v="-40"/>
    <n v="0"/>
    <s v="USD"/>
    <s v="JRNLWA00373291"/>
    <s v="P"/>
    <s v="Opex 12 - S LeMay PO Log accru"/>
    <s v="AlexandraP"/>
    <s v="0/JE IC"/>
    <m/>
    <m/>
    <x v="3"/>
    <m/>
    <m/>
    <m/>
    <m/>
    <m/>
    <m/>
    <s v="JRNL00888329"/>
    <s v="JRNL00888489"/>
    <m/>
    <d v="2018-05-07T00:00:00"/>
    <d v="2018-05-07T00:00:00"/>
    <m/>
    <m/>
    <s v="wci_wa"/>
    <n v="0"/>
    <n v="0"/>
    <n v="0"/>
    <n v="0"/>
    <n v="5"/>
    <n v="1"/>
    <n v="70095"/>
    <n v="2183"/>
    <n v="0"/>
    <n v="0"/>
    <m/>
    <m/>
    <m/>
    <m/>
    <s v=""/>
  </r>
  <r>
    <s v="70095-2183-000-00"/>
    <d v="2018-05-31T00:00:00"/>
    <n v="-56.83"/>
    <n v="0"/>
    <s v="USD"/>
    <s v="JRNLWA00373291"/>
    <s v="P"/>
    <s v="Opex 12 - S LeMay PO Log accru"/>
    <s v="AlexandraP"/>
    <s v="0/JE IC"/>
    <m/>
    <m/>
    <x v="4"/>
    <m/>
    <m/>
    <m/>
    <m/>
    <m/>
    <m/>
    <s v="JRNL00888329"/>
    <s v="JRNL00888489"/>
    <m/>
    <d v="2018-05-07T00:00:00"/>
    <d v="2018-05-07T00:00:00"/>
    <m/>
    <m/>
    <s v="wci_wa"/>
    <n v="0"/>
    <n v="0"/>
    <n v="0"/>
    <n v="0"/>
    <n v="5"/>
    <n v="1"/>
    <n v="70095"/>
    <n v="2183"/>
    <n v="0"/>
    <n v="0"/>
    <m/>
    <m/>
    <m/>
    <m/>
    <s v=""/>
  </r>
  <r>
    <s v="70095-2183-000-00"/>
    <d v="2018-05-31T00:00:00"/>
    <n v="-30.98"/>
    <n v="0"/>
    <s v="USD"/>
    <s v="JRNLWA00373291"/>
    <s v="P"/>
    <s v="Opex 12 - S LeMay PO Log accru"/>
    <s v="AlexandraP"/>
    <s v="0/JE IC"/>
    <m/>
    <m/>
    <x v="5"/>
    <m/>
    <m/>
    <m/>
    <m/>
    <m/>
    <m/>
    <s v="JRNL00888329"/>
    <s v="JRNL00888489"/>
    <m/>
    <d v="2018-05-07T00:00:00"/>
    <d v="2018-05-07T00:00:00"/>
    <m/>
    <m/>
    <s v="wci_wa"/>
    <n v="0"/>
    <n v="0"/>
    <n v="0"/>
    <n v="0"/>
    <n v="5"/>
    <n v="1"/>
    <n v="70095"/>
    <n v="2183"/>
    <n v="0"/>
    <n v="0"/>
    <m/>
    <m/>
    <m/>
    <m/>
    <s v=""/>
  </r>
  <r>
    <s v="70095-2183-000-00"/>
    <d v="2018-05-31T00:00:00"/>
    <n v="-2401.84"/>
    <n v="0"/>
    <s v="USD"/>
    <s v="JRNLWA00373292"/>
    <s v="P"/>
    <s v="OPEX13 - Pcard Accrual"/>
    <s v="AlexandraP"/>
    <s v="0/JE IC"/>
    <m/>
    <m/>
    <x v="6"/>
    <m/>
    <m/>
    <m/>
    <m/>
    <m/>
    <m/>
    <s v="JRNL00888330"/>
    <s v="JRNL00888490"/>
    <m/>
    <d v="2018-05-07T00:00:00"/>
    <d v="2018-05-07T00:00:00"/>
    <m/>
    <m/>
    <s v="wci_wa"/>
    <n v="0"/>
    <n v="0"/>
    <n v="0"/>
    <n v="0"/>
    <n v="5"/>
    <n v="1"/>
    <n v="70095"/>
    <n v="2183"/>
    <n v="0"/>
    <n v="0"/>
    <m/>
    <m/>
    <m/>
    <m/>
    <s v=""/>
  </r>
  <r>
    <s v="70095-2183-000-00"/>
    <d v="2018-05-31T00:00:00"/>
    <n v="-148.65"/>
    <n v="0"/>
    <s v="USD"/>
    <s v="JRNLWA00373292"/>
    <s v="P"/>
    <s v="OPEX13 - Pcard Accrual"/>
    <s v="AlexandraP"/>
    <s v="0/JE IC"/>
    <m/>
    <m/>
    <x v="7"/>
    <m/>
    <m/>
    <m/>
    <m/>
    <m/>
    <m/>
    <s v="JRNL00888330"/>
    <s v="JRNL00888490"/>
    <m/>
    <d v="2018-05-07T00:00:00"/>
    <d v="2018-05-07T00:00:00"/>
    <m/>
    <m/>
    <s v="wci_wa"/>
    <n v="0"/>
    <n v="0"/>
    <n v="0"/>
    <n v="0"/>
    <n v="5"/>
    <n v="1"/>
    <n v="70095"/>
    <n v="2183"/>
    <n v="0"/>
    <n v="0"/>
    <m/>
    <m/>
    <m/>
    <m/>
    <s v=""/>
  </r>
  <r>
    <s v="70095-2183-000-00"/>
    <d v="2018-05-31T00:00:00"/>
    <n v="-146.31"/>
    <n v="0"/>
    <s v="USD"/>
    <s v="JRNLWA00373292"/>
    <s v="P"/>
    <s v="OPEX13 - Pcard Accrual"/>
    <s v="AlexandraP"/>
    <s v="0/JE IC"/>
    <m/>
    <m/>
    <x v="8"/>
    <m/>
    <m/>
    <m/>
    <m/>
    <m/>
    <m/>
    <s v="JRNL00888330"/>
    <s v="JRNL00888490"/>
    <m/>
    <d v="2018-05-07T00:00:00"/>
    <d v="2018-05-07T00:00:00"/>
    <m/>
    <m/>
    <s v="wci_wa"/>
    <n v="0"/>
    <n v="0"/>
    <n v="0"/>
    <n v="0"/>
    <n v="5"/>
    <n v="1"/>
    <n v="70095"/>
    <n v="2183"/>
    <n v="0"/>
    <n v="0"/>
    <m/>
    <m/>
    <m/>
    <m/>
    <s v=""/>
  </r>
  <r>
    <s v="70095-2183-000-00"/>
    <d v="2018-05-31T00:00:00"/>
    <n v="57.61"/>
    <n v="0"/>
    <s v="USD"/>
    <s v="JRNLWA00373875"/>
    <s v="P"/>
    <s v="From Voucher Posting."/>
    <s v="RosemaryS"/>
    <s v="0/JE IC"/>
    <s v="VUS000011424"/>
    <m/>
    <x v="9"/>
    <d v="2018-05-22T00:00:00"/>
    <s v="Controller Shirts"/>
    <n v="74019"/>
    <s v="PO-2183-18-01941"/>
    <m/>
    <m/>
    <s v="VO04669973"/>
    <s v="JRNL00890575"/>
    <n v="2183"/>
    <d v="2018-06-04T00:00:00"/>
    <d v="2018-06-04T00:00:00"/>
    <n v="52.9"/>
    <d v="2018-06-21T00:00:00"/>
    <s v="wci_wa"/>
    <n v="0"/>
    <n v="0"/>
    <n v="0"/>
    <n v="0"/>
    <n v="0"/>
    <n v="1"/>
    <n v="70095"/>
    <n v="2183"/>
    <n v="0"/>
    <n v="0"/>
    <m/>
    <m/>
    <m/>
    <m/>
    <s v="VO04669973"/>
  </r>
  <r>
    <s v="70095-2183-000-00"/>
    <d v="2018-05-31T00:00:00"/>
    <n v="2401.84"/>
    <n v="0"/>
    <s v="USD"/>
    <s v="JRNLWA00373884"/>
    <s v="P"/>
    <s v="Western Region PCard Activity"/>
    <s v="HelenaK"/>
    <s v="0/JE IC"/>
    <m/>
    <m/>
    <x v="6"/>
    <m/>
    <m/>
    <m/>
    <m/>
    <m/>
    <m/>
    <s v="JRNL00890577"/>
    <s v="JRNL00890577"/>
    <m/>
    <d v="2018-06-04T00:00:00"/>
    <d v="2018-06-04T00:00:00"/>
    <m/>
    <m/>
    <s v="wci_wa"/>
    <n v="0"/>
    <n v="0"/>
    <n v="0"/>
    <n v="0"/>
    <n v="0"/>
    <n v="1"/>
    <n v="70095"/>
    <n v="2183"/>
    <n v="0"/>
    <n v="0"/>
    <m/>
    <m/>
    <m/>
    <m/>
    <s v=""/>
  </r>
  <r>
    <s v="70095-2183-000-00"/>
    <d v="2018-05-31T00:00:00"/>
    <n v="148.65"/>
    <n v="0"/>
    <s v="USD"/>
    <s v="JRNLWA00373884"/>
    <s v="P"/>
    <s v="Western Region PCard Activity"/>
    <s v="HelenaK"/>
    <s v="0/JE IC"/>
    <m/>
    <m/>
    <x v="7"/>
    <m/>
    <m/>
    <m/>
    <m/>
    <m/>
    <m/>
    <s v="JRNL00890577"/>
    <s v="JRNL00890577"/>
    <m/>
    <d v="2018-06-04T00:00:00"/>
    <d v="2018-06-04T00:00:00"/>
    <m/>
    <m/>
    <s v="wci_wa"/>
    <n v="0"/>
    <n v="0"/>
    <n v="0"/>
    <n v="0"/>
    <n v="0"/>
    <n v="1"/>
    <n v="70095"/>
    <n v="2183"/>
    <n v="0"/>
    <n v="0"/>
    <m/>
    <m/>
    <m/>
    <m/>
    <s v=""/>
  </r>
  <r>
    <s v="70095-2183-000-00"/>
    <d v="2018-05-31T00:00:00"/>
    <n v="146.31"/>
    <n v="0"/>
    <s v="USD"/>
    <s v="JRNLWA00373884"/>
    <s v="P"/>
    <s v="Western Region PCard Activity"/>
    <s v="HelenaK"/>
    <s v="0/JE IC"/>
    <m/>
    <m/>
    <x v="8"/>
    <m/>
    <m/>
    <m/>
    <m/>
    <m/>
    <m/>
    <s v="JRNL00890577"/>
    <s v="JRNL00890577"/>
    <m/>
    <d v="2018-06-04T00:00:00"/>
    <d v="2018-06-04T00:00:00"/>
    <m/>
    <m/>
    <s v="wci_wa"/>
    <n v="0"/>
    <n v="0"/>
    <n v="0"/>
    <n v="0"/>
    <n v="0"/>
    <n v="1"/>
    <n v="70095"/>
    <n v="2183"/>
    <n v="0"/>
    <n v="0"/>
    <m/>
    <m/>
    <m/>
    <m/>
    <s v=""/>
  </r>
  <r>
    <s v="70095-2183-000-00"/>
    <d v="2018-05-31T00:00:00"/>
    <n v="30.98"/>
    <n v="0"/>
    <s v="USD"/>
    <s v="JRNLWA00373884"/>
    <s v="P"/>
    <s v="Western Region PCard Activity"/>
    <s v="HelenaK"/>
    <s v="0/JE IC"/>
    <m/>
    <m/>
    <x v="10"/>
    <m/>
    <m/>
    <m/>
    <m/>
    <m/>
    <m/>
    <s v="JRNL00890577"/>
    <s v="JRNL00890577"/>
    <m/>
    <d v="2018-06-04T00:00:00"/>
    <d v="2018-06-04T00:00:00"/>
    <m/>
    <m/>
    <s v="wci_wa"/>
    <n v="0"/>
    <n v="0"/>
    <n v="0"/>
    <n v="0"/>
    <n v="0"/>
    <n v="1"/>
    <n v="70095"/>
    <n v="2183"/>
    <n v="0"/>
    <n v="0"/>
    <m/>
    <m/>
    <m/>
    <m/>
    <s v=""/>
  </r>
  <r>
    <s v="70095-2183-000-00"/>
    <d v="2018-05-31T00:00:00"/>
    <n v="32.86"/>
    <n v="0"/>
    <s v="USD"/>
    <s v="JRNLWA00373884"/>
    <s v="P"/>
    <s v="Western Region PCard Activity"/>
    <s v="HelenaK"/>
    <s v="0/JE IC"/>
    <m/>
    <m/>
    <x v="11"/>
    <m/>
    <m/>
    <m/>
    <m/>
    <m/>
    <m/>
    <s v="JRNL00890577"/>
    <s v="JRNL00890577"/>
    <m/>
    <d v="2018-06-04T00:00:00"/>
    <d v="2018-06-04T00:00:00"/>
    <m/>
    <m/>
    <s v="wci_wa"/>
    <n v="0"/>
    <n v="0"/>
    <n v="0"/>
    <n v="0"/>
    <n v="0"/>
    <n v="1"/>
    <n v="70095"/>
    <n v="2183"/>
    <n v="0"/>
    <n v="0"/>
    <m/>
    <m/>
    <m/>
    <m/>
    <s v=""/>
  </r>
  <r>
    <s v="70095-2183-000-00"/>
    <d v="2018-05-31T00:00:00"/>
    <n v="8.76"/>
    <n v="0"/>
    <s v="USD"/>
    <s v="JRNLWA00373884"/>
    <s v="P"/>
    <s v="Western Region PCard Activity"/>
    <s v="HelenaK"/>
    <s v="0/JE IC"/>
    <m/>
    <m/>
    <x v="12"/>
    <m/>
    <m/>
    <m/>
    <m/>
    <m/>
    <m/>
    <s v="JRNL00890577"/>
    <s v="JRNL00890577"/>
    <m/>
    <d v="2018-06-04T00:00:00"/>
    <d v="2018-06-04T00:00:00"/>
    <m/>
    <m/>
    <s v="wci_wa"/>
    <n v="0"/>
    <n v="0"/>
    <n v="0"/>
    <n v="0"/>
    <n v="0"/>
    <n v="1"/>
    <n v="70095"/>
    <n v="2183"/>
    <n v="0"/>
    <n v="0"/>
    <m/>
    <m/>
    <m/>
    <m/>
    <s v=""/>
  </r>
  <r>
    <s v="70095-2183-000-00"/>
    <d v="2018-05-31T00:00:00"/>
    <n v="7.61"/>
    <n v="0"/>
    <s v="USD"/>
    <s v="JRNLWA00373884"/>
    <s v="P"/>
    <s v="Western Region PCard Activity"/>
    <s v="HelenaK"/>
    <s v="0/JE IC"/>
    <m/>
    <m/>
    <x v="13"/>
    <m/>
    <m/>
    <m/>
    <m/>
    <m/>
    <m/>
    <s v="JRNL00890577"/>
    <s v="JRNL00890577"/>
    <m/>
    <d v="2018-06-04T00:00:00"/>
    <d v="2018-06-04T00:00:00"/>
    <m/>
    <m/>
    <s v="wci_wa"/>
    <n v="0"/>
    <n v="0"/>
    <n v="0"/>
    <n v="0"/>
    <n v="0"/>
    <n v="1"/>
    <n v="70095"/>
    <n v="2183"/>
    <n v="0"/>
    <n v="0"/>
    <m/>
    <m/>
    <m/>
    <m/>
    <s v=""/>
  </r>
  <r>
    <s v="70095-2183-000-00"/>
    <d v="2018-05-31T00:00:00"/>
    <n v="2818.24"/>
    <n v="0"/>
    <s v="USD"/>
    <s v="JRNLWA00374690"/>
    <s v="P"/>
    <s v="Opex 12 - S LeMay PO Log accru"/>
    <s v="AlexandraP"/>
    <s v="0/JE IC"/>
    <m/>
    <m/>
    <x v="14"/>
    <m/>
    <m/>
    <m/>
    <m/>
    <m/>
    <m/>
    <s v="JRNL00892072"/>
    <s v="JRNL00892072"/>
    <m/>
    <d v="2018-06-06T00:00:00"/>
    <d v="2018-06-07T00:00:00"/>
    <m/>
    <m/>
    <s v="wci_wa"/>
    <n v="0"/>
    <n v="0"/>
    <n v="0"/>
    <n v="0"/>
    <n v="0"/>
    <n v="1"/>
    <n v="70095"/>
    <n v="2183"/>
    <n v="0"/>
    <n v="0"/>
    <m/>
    <m/>
    <m/>
    <m/>
    <s v=""/>
  </r>
  <r>
    <s v="70095-2183-000-00"/>
    <d v="2018-05-31T00:00:00"/>
    <n v="96.38"/>
    <n v="0"/>
    <s v="USD"/>
    <s v="JRNLWA00374690"/>
    <s v="P"/>
    <s v="Opex 12 - S LeMay PO Log accru"/>
    <s v="AlexandraP"/>
    <s v="0/JE IC"/>
    <m/>
    <m/>
    <x v="15"/>
    <m/>
    <m/>
    <m/>
    <m/>
    <m/>
    <m/>
    <s v="JRNL00892072"/>
    <s v="JRNL00892072"/>
    <m/>
    <d v="2018-06-06T00:00:00"/>
    <d v="2018-06-07T00:00:00"/>
    <m/>
    <m/>
    <s v="wci_wa"/>
    <n v="0"/>
    <n v="0"/>
    <n v="0"/>
    <n v="0"/>
    <n v="0"/>
    <n v="1"/>
    <n v="70095"/>
    <n v="2183"/>
    <n v="0"/>
    <n v="0"/>
    <m/>
    <m/>
    <m/>
    <m/>
    <s v=""/>
  </r>
  <r>
    <s v="70095-2183-000-00"/>
    <d v="2018-05-31T00:00:00"/>
    <n v="91.49"/>
    <n v="0"/>
    <s v="USD"/>
    <s v="JRNLWA00374691"/>
    <s v="P"/>
    <s v="OPEX13 - Pcard Accrual"/>
    <s v="AlexandraP"/>
    <s v="0/JE IC"/>
    <m/>
    <m/>
    <x v="16"/>
    <m/>
    <m/>
    <m/>
    <m/>
    <m/>
    <m/>
    <s v="JRNL00892073"/>
    <s v="JRNL00892073"/>
    <m/>
    <d v="2018-06-06T00:00:00"/>
    <d v="2018-06-07T00:00:00"/>
    <m/>
    <m/>
    <s v="wci_wa"/>
    <n v="0"/>
    <n v="0"/>
    <n v="0"/>
    <n v="0"/>
    <n v="0"/>
    <n v="1"/>
    <n v="70095"/>
    <n v="2183"/>
    <n v="0"/>
    <n v="0"/>
    <m/>
    <m/>
    <m/>
    <m/>
    <s v=""/>
  </r>
  <r>
    <s v="70095-2183-000-00"/>
    <d v="2018-06-14T00:00:00"/>
    <n v="1250"/>
    <n v="0"/>
    <s v="USD"/>
    <s v="JRNLWA00375026"/>
    <s v="P"/>
    <s v="From Voucher Posting."/>
    <s v="RosemaryS"/>
    <s v="0/JE IC"/>
    <s v="VUS000015926"/>
    <m/>
    <x v="17"/>
    <d v="2018-06-05T00:00:00"/>
    <s v="2018  Boys and Girls Club Breakfast Spon"/>
    <s v="2018 Donation"/>
    <s v="PO-2183-18-02504"/>
    <m/>
    <m/>
    <s v="VO04678935"/>
    <s v="JRNL00892868"/>
    <n v="2183"/>
    <d v="2018-06-14T00:00:00"/>
    <d v="2018-06-14T00:00:00"/>
    <n v="1250"/>
    <d v="2018-06-15T00:00:00"/>
    <s v="wci_wa"/>
    <n v="0"/>
    <n v="0"/>
    <n v="0"/>
    <n v="0"/>
    <n v="0"/>
    <n v="1"/>
    <n v="70095"/>
    <n v="2183"/>
    <n v="0"/>
    <n v="0"/>
    <m/>
    <m/>
    <m/>
    <m/>
    <s v="VO04678935"/>
  </r>
  <r>
    <s v="70095-2183-000-00"/>
    <d v="2018-06-19T00:00:00"/>
    <n v="2818.24"/>
    <n v="0"/>
    <s v="USD"/>
    <s v="JRNLWA00375089"/>
    <s v="P"/>
    <s v="From Voucher Posting."/>
    <s v="RosemaryS"/>
    <s v="0/JE IC"/>
    <s v="VUS000011131"/>
    <m/>
    <x v="18"/>
    <d v="2018-05-30T00:00:00"/>
    <s v="Drive Cam Hoodies and Management Hoodies"/>
    <n v="4534"/>
    <s v="PO-2183-18-02075"/>
    <m/>
    <m/>
    <s v="VO04684589"/>
    <s v="JRNL00893137"/>
    <n v="2183"/>
    <d v="2018-06-19T00:00:00"/>
    <d v="2018-06-19T00:00:00"/>
    <n v="2818.24"/>
    <d v="2018-06-29T00:00:00"/>
    <s v="wci_wa"/>
    <n v="0"/>
    <n v="0"/>
    <n v="0"/>
    <n v="0"/>
    <n v="0"/>
    <n v="1"/>
    <n v="70095"/>
    <n v="2183"/>
    <n v="0"/>
    <n v="0"/>
    <m/>
    <m/>
    <m/>
    <m/>
    <s v="VO04684589"/>
  </r>
  <r>
    <s v="70095-2183-000-00"/>
    <d v="2018-06-30T00:00:00"/>
    <n v="-2818.24"/>
    <n v="0"/>
    <s v="USD"/>
    <s v="JRNLWA00374765"/>
    <s v="P"/>
    <s v="Opex 12 - S LeMay PO Log accru"/>
    <s v="AlexandraP"/>
    <s v="0/JE IC"/>
    <m/>
    <m/>
    <x v="14"/>
    <m/>
    <m/>
    <m/>
    <m/>
    <m/>
    <m/>
    <s v="JRNL00892072"/>
    <s v="JRNL00892188"/>
    <m/>
    <d v="2018-06-07T00:00:00"/>
    <d v="2018-06-07T00:00:00"/>
    <m/>
    <m/>
    <s v="wci_wa"/>
    <n v="0"/>
    <n v="0"/>
    <n v="0"/>
    <n v="0"/>
    <n v="5"/>
    <n v="1"/>
    <n v="70095"/>
    <n v="2183"/>
    <n v="0"/>
    <n v="0"/>
    <m/>
    <m/>
    <m/>
    <m/>
    <s v=""/>
  </r>
  <r>
    <s v="70095-2183-000-00"/>
    <d v="2018-06-30T00:00:00"/>
    <n v="-96.38"/>
    <n v="0"/>
    <s v="USD"/>
    <s v="JRNLWA00374765"/>
    <s v="P"/>
    <s v="Opex 12 - S LeMay PO Log accru"/>
    <s v="AlexandraP"/>
    <s v="0/JE IC"/>
    <m/>
    <m/>
    <x v="15"/>
    <m/>
    <m/>
    <m/>
    <m/>
    <m/>
    <m/>
    <s v="JRNL00892072"/>
    <s v="JRNL00892188"/>
    <m/>
    <d v="2018-06-07T00:00:00"/>
    <d v="2018-06-07T00:00:00"/>
    <m/>
    <m/>
    <s v="wci_wa"/>
    <n v="0"/>
    <n v="0"/>
    <n v="0"/>
    <n v="0"/>
    <n v="5"/>
    <n v="1"/>
    <n v="70095"/>
    <n v="2183"/>
    <n v="0"/>
    <n v="0"/>
    <m/>
    <m/>
    <m/>
    <m/>
    <s v=""/>
  </r>
  <r>
    <s v="70095-2183-000-00"/>
    <d v="2018-06-30T00:00:00"/>
    <n v="-91.49"/>
    <n v="0"/>
    <s v="USD"/>
    <s v="JRNLWA00374766"/>
    <s v="P"/>
    <s v="OPEX13 - Pcard Accrual"/>
    <s v="AlexandraP"/>
    <s v="0/JE IC"/>
    <m/>
    <m/>
    <x v="16"/>
    <m/>
    <m/>
    <m/>
    <m/>
    <m/>
    <m/>
    <s v="JRNL00892073"/>
    <s v="JRNL00892189"/>
    <m/>
    <d v="2018-06-07T00:00:00"/>
    <d v="2018-06-07T00:00:00"/>
    <m/>
    <m/>
    <s v="wci_wa"/>
    <n v="0"/>
    <n v="0"/>
    <n v="0"/>
    <n v="0"/>
    <n v="5"/>
    <n v="1"/>
    <n v="70095"/>
    <n v="2183"/>
    <n v="0"/>
    <n v="0"/>
    <m/>
    <m/>
    <m/>
    <m/>
    <s v=""/>
  </r>
  <r>
    <s v="70095-2183-000-00"/>
    <d v="2018-06-30T00:00:00"/>
    <n v="91.49"/>
    <n v="0"/>
    <s v="USD"/>
    <s v="JRNLWA00375434"/>
    <s v="P"/>
    <s v="June PCard Activity - Western"/>
    <s v="HeatherWe"/>
    <s v="0/JE IC"/>
    <m/>
    <m/>
    <x v="16"/>
    <m/>
    <m/>
    <m/>
    <m/>
    <m/>
    <m/>
    <s v="JRNL00894442"/>
    <s v="JRNL00894442"/>
    <m/>
    <d v="2018-07-03T00:00:00"/>
    <d v="2018-07-03T00:00:00"/>
    <m/>
    <m/>
    <s v="wci_wa"/>
    <n v="0"/>
    <n v="0"/>
    <n v="0"/>
    <n v="0"/>
    <n v="0"/>
    <n v="1"/>
    <n v="70095"/>
    <n v="2183"/>
    <n v="0"/>
    <n v="0"/>
    <m/>
    <m/>
    <m/>
    <m/>
    <s v=""/>
  </r>
  <r>
    <s v="70095-2183-000-00"/>
    <d v="2018-06-30T00:00:00"/>
    <n v="96.38"/>
    <n v="0"/>
    <s v="USD"/>
    <s v="JRNLWA00375434"/>
    <s v="P"/>
    <s v="June PCard Activity - Western"/>
    <s v="HeatherWe"/>
    <s v="0/JE IC"/>
    <m/>
    <m/>
    <x v="19"/>
    <m/>
    <m/>
    <m/>
    <m/>
    <m/>
    <m/>
    <s v="JRNL00894442"/>
    <s v="JRNL00894442"/>
    <m/>
    <d v="2018-07-03T00:00:00"/>
    <d v="2018-07-03T00:00:00"/>
    <m/>
    <m/>
    <s v="wci_wa"/>
    <n v="0"/>
    <n v="0"/>
    <n v="0"/>
    <n v="0"/>
    <n v="0"/>
    <n v="1"/>
    <n v="70095"/>
    <n v="2183"/>
    <n v="0"/>
    <n v="0"/>
    <m/>
    <m/>
    <m/>
    <m/>
    <s v=""/>
  </r>
  <r>
    <s v="70095-2183-000-00"/>
    <d v="2018-06-30T00:00:00"/>
    <n v="28.15"/>
    <n v="0"/>
    <s v="USD"/>
    <s v="JRNLWA00375434"/>
    <s v="P"/>
    <s v="June PCard Activity - Western"/>
    <s v="HeatherWe"/>
    <s v="0/JE IC"/>
    <m/>
    <m/>
    <x v="20"/>
    <m/>
    <m/>
    <m/>
    <m/>
    <m/>
    <m/>
    <s v="JRNL00894442"/>
    <s v="JRNL00894442"/>
    <m/>
    <d v="2018-07-03T00:00:00"/>
    <d v="2018-07-03T00:00:00"/>
    <m/>
    <m/>
    <s v="wci_wa"/>
    <n v="0"/>
    <n v="0"/>
    <n v="0"/>
    <n v="0"/>
    <n v="0"/>
    <n v="1"/>
    <n v="70095"/>
    <n v="2183"/>
    <n v="0"/>
    <n v="0"/>
    <m/>
    <m/>
    <m/>
    <m/>
    <s v=""/>
  </r>
  <r>
    <s v="70095-2183-000-00"/>
    <d v="2018-06-30T00:00:00"/>
    <n v="250"/>
    <n v="0"/>
    <s v="USD"/>
    <s v="JRNLWA00375434"/>
    <s v="P"/>
    <s v="June PCard Activity - Western"/>
    <s v="HeatherWe"/>
    <s v="0/JE IC"/>
    <m/>
    <m/>
    <x v="21"/>
    <m/>
    <m/>
    <m/>
    <m/>
    <m/>
    <m/>
    <s v="JRNL00894442"/>
    <s v="JRNL00894442"/>
    <m/>
    <d v="2018-07-03T00:00:00"/>
    <d v="2018-07-03T00:00:00"/>
    <m/>
    <m/>
    <s v="wci_wa"/>
    <n v="0"/>
    <n v="0"/>
    <n v="0"/>
    <n v="0"/>
    <n v="0"/>
    <n v="1"/>
    <n v="70095"/>
    <n v="2183"/>
    <n v="0"/>
    <n v="0"/>
    <m/>
    <m/>
    <m/>
    <m/>
    <s v=""/>
  </r>
  <r>
    <s v="70095-2183-000-00"/>
    <d v="2018-06-30T00:00:00"/>
    <n v="52.97"/>
    <n v="0"/>
    <s v="USD"/>
    <s v="JRNLWA00375434"/>
    <s v="P"/>
    <s v="June PCard Activity - Western"/>
    <s v="HeatherWe"/>
    <s v="0/JE IC"/>
    <m/>
    <m/>
    <x v="22"/>
    <m/>
    <m/>
    <m/>
    <m/>
    <m/>
    <m/>
    <s v="JRNL00894442"/>
    <s v="JRNL00894442"/>
    <m/>
    <d v="2018-07-03T00:00:00"/>
    <d v="2018-07-03T00:00:00"/>
    <m/>
    <m/>
    <s v="wci_wa"/>
    <n v="0"/>
    <n v="0"/>
    <n v="0"/>
    <n v="0"/>
    <n v="0"/>
    <n v="1"/>
    <n v="70095"/>
    <n v="2183"/>
    <n v="0"/>
    <n v="0"/>
    <m/>
    <m/>
    <m/>
    <m/>
    <s v=""/>
  </r>
  <r>
    <s v="70095-2183-000-00"/>
    <d v="2018-06-30T00:00:00"/>
    <n v="700"/>
    <n v="0"/>
    <s v="USD"/>
    <s v="JRNLWA00375434"/>
    <s v="P"/>
    <s v="June PCard Activity - Western"/>
    <s v="HeatherWe"/>
    <s v="0/JE IC"/>
    <m/>
    <m/>
    <x v="23"/>
    <m/>
    <m/>
    <m/>
    <m/>
    <m/>
    <m/>
    <s v="JRNL00894442"/>
    <s v="JRNL00894442"/>
    <m/>
    <d v="2018-07-03T00:00:00"/>
    <d v="2018-07-03T00:00:00"/>
    <m/>
    <m/>
    <s v="wci_wa"/>
    <n v="0"/>
    <n v="0"/>
    <n v="0"/>
    <n v="0"/>
    <n v="0"/>
    <n v="1"/>
    <n v="70095"/>
    <n v="2183"/>
    <n v="0"/>
    <n v="0"/>
    <m/>
    <m/>
    <m/>
    <m/>
    <s v=""/>
  </r>
  <r>
    <s v="70095-2183-000-00"/>
    <d v="2018-06-30T00:00:00"/>
    <n v="28.73"/>
    <n v="0"/>
    <s v="USD"/>
    <s v="JRNLWA00375434"/>
    <s v="P"/>
    <s v="June PCard Activity - Western"/>
    <s v="HeatherWe"/>
    <s v="0/JE IC"/>
    <m/>
    <m/>
    <x v="24"/>
    <m/>
    <m/>
    <m/>
    <m/>
    <m/>
    <m/>
    <s v="JRNL00894442"/>
    <s v="JRNL00894442"/>
    <m/>
    <d v="2018-07-03T00:00:00"/>
    <d v="2018-07-03T00:00:00"/>
    <m/>
    <m/>
    <s v="wci_wa"/>
    <n v="0"/>
    <n v="0"/>
    <n v="0"/>
    <n v="0"/>
    <n v="0"/>
    <n v="1"/>
    <n v="70095"/>
    <n v="2183"/>
    <n v="0"/>
    <n v="0"/>
    <m/>
    <m/>
    <m/>
    <m/>
    <s v=""/>
  </r>
  <r>
    <s v="70095-2183-000-00"/>
    <d v="2018-06-30T00:00:00"/>
    <n v="7.6"/>
    <n v="0"/>
    <s v="USD"/>
    <s v="JRNLWA00375434"/>
    <s v="P"/>
    <s v="June PCard Activity - Western"/>
    <s v="HeatherWe"/>
    <s v="0/JE IC"/>
    <m/>
    <m/>
    <x v="11"/>
    <m/>
    <m/>
    <m/>
    <m/>
    <m/>
    <m/>
    <s v="JRNL00894442"/>
    <s v="JRNL00894442"/>
    <m/>
    <d v="2018-07-03T00:00:00"/>
    <d v="2018-07-03T00:00:00"/>
    <m/>
    <m/>
    <s v="wci_wa"/>
    <n v="0"/>
    <n v="0"/>
    <n v="0"/>
    <n v="0"/>
    <n v="0"/>
    <n v="1"/>
    <n v="70095"/>
    <n v="2183"/>
    <n v="0"/>
    <n v="0"/>
    <m/>
    <m/>
    <m/>
    <m/>
    <s v=""/>
  </r>
  <r>
    <s v="70095-2183-000-00"/>
    <d v="2018-06-30T00:00:00"/>
    <n v="12.98"/>
    <n v="0"/>
    <s v="USD"/>
    <s v="JRNLWA00375434"/>
    <s v="P"/>
    <s v="June PCard Activity - Western"/>
    <s v="HeatherWe"/>
    <s v="0/JE IC"/>
    <m/>
    <m/>
    <x v="25"/>
    <m/>
    <m/>
    <m/>
    <m/>
    <m/>
    <m/>
    <s v="JRNL00894442"/>
    <s v="JRNL00894442"/>
    <m/>
    <d v="2018-07-03T00:00:00"/>
    <d v="2018-07-03T00:00:00"/>
    <m/>
    <m/>
    <s v="wci_wa"/>
    <n v="0"/>
    <n v="0"/>
    <n v="0"/>
    <n v="0"/>
    <n v="0"/>
    <n v="1"/>
    <n v="70095"/>
    <n v="2183"/>
    <n v="0"/>
    <n v="0"/>
    <m/>
    <m/>
    <m/>
    <m/>
    <s v=""/>
  </r>
  <r>
    <s v="70095-2183-000-00"/>
    <d v="2018-06-30T00:00:00"/>
    <n v="82.6"/>
    <n v="0"/>
    <s v="USD"/>
    <s v="JRNLWA00375434"/>
    <s v="P"/>
    <s v="June PCard Activity - Western"/>
    <s v="HeatherWe"/>
    <s v="0/JE IC"/>
    <m/>
    <m/>
    <x v="26"/>
    <m/>
    <m/>
    <m/>
    <m/>
    <m/>
    <m/>
    <s v="JRNL00894442"/>
    <s v="JRNL00894442"/>
    <m/>
    <d v="2018-07-03T00:00:00"/>
    <d v="2018-07-03T00:00:00"/>
    <m/>
    <m/>
    <s v="wci_wa"/>
    <n v="0"/>
    <n v="0"/>
    <n v="0"/>
    <n v="0"/>
    <n v="0"/>
    <n v="1"/>
    <n v="70095"/>
    <n v="2183"/>
    <n v="0"/>
    <n v="0"/>
    <m/>
    <m/>
    <m/>
    <m/>
    <s v=""/>
  </r>
  <r>
    <s v="70095-2183-000-00"/>
    <d v="2018-06-30T00:00:00"/>
    <n v="23.66"/>
    <n v="0"/>
    <s v="USD"/>
    <s v="JRNLWA00375434"/>
    <s v="P"/>
    <s v="June PCard Activity - Western"/>
    <s v="HeatherWe"/>
    <s v="0/JE IC"/>
    <m/>
    <m/>
    <x v="25"/>
    <m/>
    <m/>
    <m/>
    <m/>
    <m/>
    <m/>
    <s v="JRNL00894442"/>
    <s v="JRNL00894442"/>
    <m/>
    <d v="2018-07-03T00:00:00"/>
    <d v="2018-07-03T00:00:00"/>
    <m/>
    <m/>
    <s v="wci_wa"/>
    <n v="0"/>
    <n v="0"/>
    <n v="0"/>
    <n v="0"/>
    <n v="0"/>
    <n v="1"/>
    <n v="70095"/>
    <n v="2183"/>
    <n v="0"/>
    <n v="0"/>
    <m/>
    <m/>
    <m/>
    <m/>
    <s v=""/>
  </r>
  <r>
    <s v="70095-2183-000-00"/>
    <d v="2018-06-30T00:00:00"/>
    <n v="6.47"/>
    <n v="0"/>
    <s v="USD"/>
    <s v="JRNLWA00375434"/>
    <s v="P"/>
    <s v="June PCard Activity - Western"/>
    <s v="HeatherWe"/>
    <s v="0/JE IC"/>
    <m/>
    <m/>
    <x v="27"/>
    <m/>
    <m/>
    <m/>
    <m/>
    <m/>
    <m/>
    <s v="JRNL00894442"/>
    <s v="JRNL00894442"/>
    <m/>
    <d v="2018-07-03T00:00:00"/>
    <d v="2018-07-03T00:00:00"/>
    <m/>
    <m/>
    <s v="wci_wa"/>
    <n v="0"/>
    <n v="0"/>
    <n v="0"/>
    <n v="0"/>
    <n v="0"/>
    <n v="1"/>
    <n v="70095"/>
    <n v="2183"/>
    <n v="0"/>
    <n v="0"/>
    <m/>
    <m/>
    <m/>
    <m/>
    <s v=""/>
  </r>
  <r>
    <s v="70095-2183-000-00"/>
    <d v="2018-06-30T00:00:00"/>
    <n v="12.94"/>
    <n v="0"/>
    <s v="USD"/>
    <s v="JRNLWA00375434"/>
    <s v="P"/>
    <s v="June PCard Activity - Western"/>
    <s v="HeatherWe"/>
    <s v="0/JE IC"/>
    <m/>
    <m/>
    <x v="27"/>
    <m/>
    <m/>
    <m/>
    <m/>
    <m/>
    <m/>
    <s v="JRNL00894442"/>
    <s v="JRNL00894442"/>
    <m/>
    <d v="2018-07-03T00:00:00"/>
    <d v="2018-07-03T00:00:00"/>
    <m/>
    <m/>
    <s v="wci_wa"/>
    <n v="0"/>
    <n v="0"/>
    <n v="0"/>
    <n v="0"/>
    <n v="0"/>
    <n v="1"/>
    <n v="70095"/>
    <n v="2183"/>
    <n v="0"/>
    <n v="0"/>
    <m/>
    <m/>
    <m/>
    <m/>
    <s v=""/>
  </r>
  <r>
    <s v="70095-2183-000-00"/>
    <d v="2018-06-30T00:00:00"/>
    <n v="77.489999999999995"/>
    <n v="0"/>
    <s v="USD"/>
    <s v="JRNLWA00375434"/>
    <s v="P"/>
    <s v="June PCard Activity - Western"/>
    <s v="HeatherWe"/>
    <s v="0/JE IC"/>
    <m/>
    <m/>
    <x v="27"/>
    <m/>
    <m/>
    <m/>
    <m/>
    <m/>
    <m/>
    <s v="JRNL00894442"/>
    <s v="JRNL00894442"/>
    <m/>
    <d v="2018-07-03T00:00:00"/>
    <d v="2018-07-03T00:00:00"/>
    <m/>
    <m/>
    <s v="wci_wa"/>
    <n v="0"/>
    <n v="0"/>
    <n v="0"/>
    <n v="0"/>
    <n v="0"/>
    <n v="1"/>
    <n v="70095"/>
    <n v="2183"/>
    <n v="0"/>
    <n v="0"/>
    <m/>
    <m/>
    <m/>
    <m/>
    <s v=""/>
  </r>
  <r>
    <s v="70095-2183-000-00"/>
    <d v="2018-06-30T00:00:00"/>
    <n v="34.76"/>
    <n v="0"/>
    <s v="USD"/>
    <s v="JRNLWA00375434"/>
    <s v="P"/>
    <s v="June PCard Activity - Western"/>
    <s v="HeatherWe"/>
    <s v="0/JE IC"/>
    <m/>
    <m/>
    <x v="28"/>
    <m/>
    <m/>
    <m/>
    <m/>
    <m/>
    <m/>
    <s v="JRNL00894442"/>
    <s v="JRNL00894442"/>
    <m/>
    <d v="2018-07-03T00:00:00"/>
    <d v="2018-07-03T00:00:00"/>
    <m/>
    <m/>
    <s v="wci_wa"/>
    <n v="0"/>
    <n v="0"/>
    <n v="0"/>
    <n v="0"/>
    <n v="0"/>
    <n v="1"/>
    <n v="70095"/>
    <n v="2183"/>
    <n v="0"/>
    <n v="0"/>
    <m/>
    <m/>
    <m/>
    <m/>
    <s v=""/>
  </r>
  <r>
    <s v="70095-2183-000-00"/>
    <d v="2018-06-30T00:00:00"/>
    <n v="18.7"/>
    <n v="0"/>
    <s v="USD"/>
    <s v="JRNLWA00375434"/>
    <s v="P"/>
    <s v="June PCard Activity - Western"/>
    <s v="HeatherWe"/>
    <s v="0/JE IC"/>
    <m/>
    <m/>
    <x v="25"/>
    <m/>
    <m/>
    <m/>
    <m/>
    <m/>
    <m/>
    <s v="JRNL00894442"/>
    <s v="JRNL00894442"/>
    <m/>
    <d v="2018-07-03T00:00:00"/>
    <d v="2018-07-03T00:00:00"/>
    <m/>
    <m/>
    <s v="wci_wa"/>
    <n v="0"/>
    <n v="0"/>
    <n v="0"/>
    <n v="0"/>
    <n v="0"/>
    <n v="1"/>
    <n v="70095"/>
    <n v="2183"/>
    <n v="0"/>
    <n v="0"/>
    <m/>
    <m/>
    <m/>
    <m/>
    <s v=""/>
  </r>
  <r>
    <s v="70095-2183-000-00"/>
    <d v="2018-06-30T00:00:00"/>
    <n v="9.49"/>
    <n v="0"/>
    <s v="USD"/>
    <s v="JRNLWA00375434"/>
    <s v="P"/>
    <s v="June PCard Activity - Western"/>
    <s v="HeatherWe"/>
    <s v="0/JE IC"/>
    <m/>
    <m/>
    <x v="25"/>
    <m/>
    <m/>
    <m/>
    <m/>
    <m/>
    <m/>
    <s v="JRNL00894442"/>
    <s v="JRNL00894442"/>
    <m/>
    <d v="2018-07-03T00:00:00"/>
    <d v="2018-07-03T00:00:00"/>
    <m/>
    <m/>
    <s v="wci_wa"/>
    <n v="0"/>
    <n v="0"/>
    <n v="0"/>
    <n v="0"/>
    <n v="0"/>
    <n v="1"/>
    <n v="70095"/>
    <n v="2183"/>
    <n v="0"/>
    <n v="0"/>
    <m/>
    <m/>
    <m/>
    <m/>
    <s v=""/>
  </r>
  <r>
    <s v="70095-2183-000-00"/>
    <d v="2018-06-30T00:00:00"/>
    <n v="322.10000000000002"/>
    <n v="0"/>
    <s v="USD"/>
    <s v="JRNLWA00375816"/>
    <s v="P"/>
    <s v="WD Exp Report 6/2018"/>
    <s v="AlexandraP"/>
    <s v="0/JE IC"/>
    <m/>
    <m/>
    <x v="29"/>
    <m/>
    <m/>
    <m/>
    <m/>
    <m/>
    <m/>
    <s v="JRNL00895191"/>
    <s v="JRNL00895191"/>
    <m/>
    <d v="2018-07-05T00:00:00"/>
    <d v="2018-07-05T00:00:00"/>
    <m/>
    <m/>
    <s v="wci_wa"/>
    <n v="0"/>
    <n v="0"/>
    <n v="0"/>
    <n v="0"/>
    <n v="0"/>
    <n v="1"/>
    <n v="70095"/>
    <n v="2183"/>
    <n v="0"/>
    <n v="0"/>
    <m/>
    <m/>
    <m/>
    <m/>
    <s v=""/>
  </r>
  <r>
    <s v="70095-2183-000-00"/>
    <d v="2018-06-30T00:00:00"/>
    <n v="7393.48"/>
    <n v="0"/>
    <s v="USD"/>
    <s v="JRNLWA00376179"/>
    <s v="P"/>
    <s v="PO Log and GL Adjustments"/>
    <s v="AlexandraP"/>
    <s v="0/JE IC"/>
    <m/>
    <m/>
    <x v="30"/>
    <m/>
    <m/>
    <m/>
    <m/>
    <m/>
    <m/>
    <s v="JRNL00895971"/>
    <s v="JRNL00895971"/>
    <m/>
    <d v="2018-07-06T00:00:00"/>
    <d v="2018-07-09T00:00:00"/>
    <m/>
    <m/>
    <s v="wci_wa"/>
    <n v="0"/>
    <n v="0"/>
    <n v="0"/>
    <n v="0"/>
    <n v="0"/>
    <n v="1"/>
    <n v="70095"/>
    <n v="2183"/>
    <n v="0"/>
    <n v="0"/>
    <m/>
    <m/>
    <m/>
    <m/>
    <s v=""/>
  </r>
  <r>
    <s v="70095-2183-000-00"/>
    <d v="2018-06-30T00:00:00"/>
    <n v="41.34"/>
    <n v="0"/>
    <s v="USD"/>
    <s v="JRNLWA00376180"/>
    <s v="P"/>
    <s v="OPEX13 - Pcard Accrual"/>
    <s v="AlexandraP"/>
    <s v="0/JE IC"/>
    <m/>
    <m/>
    <x v="31"/>
    <m/>
    <m/>
    <m/>
    <m/>
    <m/>
    <m/>
    <s v="JRNL00895972"/>
    <s v="JRNL00895972"/>
    <m/>
    <d v="2018-07-06T00:00:00"/>
    <d v="2018-07-09T00:00:00"/>
    <m/>
    <m/>
    <s v="wci_wa"/>
    <n v="0"/>
    <n v="0"/>
    <n v="0"/>
    <n v="0"/>
    <n v="0"/>
    <n v="1"/>
    <n v="70095"/>
    <n v="2183"/>
    <n v="0"/>
    <n v="0"/>
    <m/>
    <m/>
    <m/>
    <m/>
    <s v=""/>
  </r>
  <r>
    <s v="70095-2183-000-00"/>
    <d v="2018-06-30T00:00:00"/>
    <n v="446.49"/>
    <n v="0"/>
    <s v="USD"/>
    <s v="JRNLWA00376180"/>
    <s v="P"/>
    <s v="OPEX13 - Pcard Accrual"/>
    <s v="AlexandraP"/>
    <s v="0/JE IC"/>
    <m/>
    <m/>
    <x v="7"/>
    <m/>
    <m/>
    <m/>
    <m/>
    <m/>
    <m/>
    <s v="JRNL00895972"/>
    <s v="JRNL00895972"/>
    <m/>
    <d v="2018-07-06T00:00:00"/>
    <d v="2018-07-09T00:00:00"/>
    <m/>
    <m/>
    <s v="wci_wa"/>
    <n v="0"/>
    <n v="0"/>
    <n v="0"/>
    <n v="0"/>
    <n v="0"/>
    <n v="1"/>
    <n v="70095"/>
    <n v="2183"/>
    <n v="0"/>
    <n v="0"/>
    <m/>
    <m/>
    <m/>
    <m/>
    <s v=""/>
  </r>
  <r>
    <s v="70095-2183-000-00"/>
    <d v="2018-06-30T00:00:00"/>
    <n v="49.35"/>
    <n v="0"/>
    <s v="USD"/>
    <s v="JRNLWA00376180"/>
    <s v="P"/>
    <s v="OPEX13 - Pcard Accrual"/>
    <s v="AlexandraP"/>
    <s v="0/JE IC"/>
    <m/>
    <m/>
    <x v="10"/>
    <m/>
    <m/>
    <m/>
    <m/>
    <m/>
    <m/>
    <s v="JRNL00895972"/>
    <s v="JRNL00895972"/>
    <m/>
    <d v="2018-07-06T00:00:00"/>
    <d v="2018-07-09T00:00:00"/>
    <m/>
    <m/>
    <s v="wci_wa"/>
    <n v="0"/>
    <n v="0"/>
    <n v="0"/>
    <n v="0"/>
    <n v="0"/>
    <n v="1"/>
    <n v="70095"/>
    <n v="2183"/>
    <n v="0"/>
    <n v="0"/>
    <m/>
    <m/>
    <m/>
    <m/>
    <s v=""/>
  </r>
  <r>
    <s v="70095-2183-000-00"/>
    <d v="2018-06-30T00:00:00"/>
    <n v="579.25"/>
    <n v="0"/>
    <s v="USD"/>
    <s v="JRNLWA00376180"/>
    <s v="P"/>
    <s v="OPEX13 - Pcard Accrual"/>
    <s v="AlexandraP"/>
    <s v="0/JE IC"/>
    <m/>
    <m/>
    <x v="32"/>
    <m/>
    <m/>
    <m/>
    <m/>
    <m/>
    <m/>
    <s v="JRNL00895972"/>
    <s v="JRNL00895972"/>
    <m/>
    <d v="2018-07-06T00:00:00"/>
    <d v="2018-07-09T00:00:00"/>
    <m/>
    <m/>
    <s v="wci_wa"/>
    <n v="0"/>
    <n v="0"/>
    <n v="0"/>
    <n v="0"/>
    <n v="0"/>
    <n v="1"/>
    <n v="70095"/>
    <n v="2183"/>
    <n v="0"/>
    <n v="0"/>
    <m/>
    <m/>
    <m/>
    <m/>
    <s v=""/>
  </r>
  <r>
    <s v="70095-2183-000-00"/>
    <d v="2018-06-30T00:00:00"/>
    <n v="138.41999999999999"/>
    <n v="0"/>
    <s v="USD"/>
    <s v="JRNLWA00376180"/>
    <s v="P"/>
    <s v="OPEX13 - Pcard Accrual"/>
    <s v="AlexandraP"/>
    <s v="0/JE IC"/>
    <m/>
    <m/>
    <x v="33"/>
    <m/>
    <m/>
    <m/>
    <m/>
    <m/>
    <m/>
    <s v="JRNL00895972"/>
    <s v="JRNL00895972"/>
    <m/>
    <d v="2018-07-06T00:00:00"/>
    <d v="2018-07-09T00:00:00"/>
    <m/>
    <m/>
    <s v="wci_wa"/>
    <n v="0"/>
    <n v="0"/>
    <n v="0"/>
    <n v="0"/>
    <n v="0"/>
    <n v="1"/>
    <n v="70095"/>
    <n v="2183"/>
    <n v="0"/>
    <n v="0"/>
    <m/>
    <m/>
    <m/>
    <m/>
    <s v=""/>
  </r>
  <r>
    <s v="70095-2183-000-00"/>
    <d v="2018-07-31T00:00:00"/>
    <n v="-41.34"/>
    <n v="0"/>
    <s v="USD"/>
    <s v="JRNLWA00376331"/>
    <s v="P"/>
    <s v="OPEX13 - Pcard Accrual"/>
    <s v="AlexandraP"/>
    <s v="0/JE IC"/>
    <m/>
    <m/>
    <x v="31"/>
    <m/>
    <m/>
    <m/>
    <m/>
    <m/>
    <m/>
    <s v="JRNL00895972"/>
    <s v="JRNL00896109"/>
    <m/>
    <d v="2018-07-09T00:00:00"/>
    <d v="2018-07-09T00:00:00"/>
    <m/>
    <m/>
    <s v="wci_wa"/>
    <n v="0"/>
    <n v="0"/>
    <n v="0"/>
    <n v="0"/>
    <n v="5"/>
    <n v="1"/>
    <n v="70095"/>
    <n v="2183"/>
    <n v="0"/>
    <n v="0"/>
    <m/>
    <m/>
    <m/>
    <m/>
    <s v=""/>
  </r>
  <r>
    <s v="70095-2183-000-00"/>
    <d v="2018-07-31T00:00:00"/>
    <n v="-446.49"/>
    <n v="0"/>
    <s v="USD"/>
    <s v="JRNLWA00376331"/>
    <s v="P"/>
    <s v="OPEX13 - Pcard Accrual"/>
    <s v="AlexandraP"/>
    <s v="0/JE IC"/>
    <m/>
    <m/>
    <x v="7"/>
    <m/>
    <m/>
    <m/>
    <m/>
    <m/>
    <m/>
    <s v="JRNL00895972"/>
    <s v="JRNL00896109"/>
    <m/>
    <d v="2018-07-09T00:00:00"/>
    <d v="2018-07-09T00:00:00"/>
    <m/>
    <m/>
    <s v="wci_wa"/>
    <n v="0"/>
    <n v="0"/>
    <n v="0"/>
    <n v="0"/>
    <n v="5"/>
    <n v="1"/>
    <n v="70095"/>
    <n v="2183"/>
    <n v="0"/>
    <n v="0"/>
    <m/>
    <m/>
    <m/>
    <m/>
    <s v=""/>
  </r>
  <r>
    <s v="70095-2183-000-00"/>
    <d v="2018-07-31T00:00:00"/>
    <n v="-49.35"/>
    <n v="0"/>
    <s v="USD"/>
    <s v="JRNLWA00376331"/>
    <s v="P"/>
    <s v="OPEX13 - Pcard Accrual"/>
    <s v="AlexandraP"/>
    <s v="0/JE IC"/>
    <m/>
    <m/>
    <x v="10"/>
    <m/>
    <m/>
    <m/>
    <m/>
    <m/>
    <m/>
    <s v="JRNL00895972"/>
    <s v="JRNL00896109"/>
    <m/>
    <d v="2018-07-09T00:00:00"/>
    <d v="2018-07-09T00:00:00"/>
    <m/>
    <m/>
    <s v="wci_wa"/>
    <n v="0"/>
    <n v="0"/>
    <n v="0"/>
    <n v="0"/>
    <n v="5"/>
    <n v="1"/>
    <n v="70095"/>
    <n v="2183"/>
    <n v="0"/>
    <n v="0"/>
    <m/>
    <m/>
    <m/>
    <m/>
    <s v=""/>
  </r>
  <r>
    <s v="70095-2183-000-00"/>
    <d v="2018-07-31T00:00:00"/>
    <n v="-579.25"/>
    <n v="0"/>
    <s v="USD"/>
    <s v="JRNLWA00376331"/>
    <s v="P"/>
    <s v="OPEX13 - Pcard Accrual"/>
    <s v="AlexandraP"/>
    <s v="0/JE IC"/>
    <m/>
    <m/>
    <x v="32"/>
    <m/>
    <m/>
    <m/>
    <m/>
    <m/>
    <m/>
    <s v="JRNL00895972"/>
    <s v="JRNL00896109"/>
    <m/>
    <d v="2018-07-09T00:00:00"/>
    <d v="2018-07-09T00:00:00"/>
    <m/>
    <m/>
    <s v="wci_wa"/>
    <n v="0"/>
    <n v="0"/>
    <n v="0"/>
    <n v="0"/>
    <n v="5"/>
    <n v="1"/>
    <n v="70095"/>
    <n v="2183"/>
    <n v="0"/>
    <n v="0"/>
    <m/>
    <m/>
    <m/>
    <m/>
    <s v=""/>
  </r>
  <r>
    <s v="70095-2183-000-00"/>
    <d v="2018-07-31T00:00:00"/>
    <n v="-138.41999999999999"/>
    <n v="0"/>
    <s v="USD"/>
    <s v="JRNLWA00376331"/>
    <s v="P"/>
    <s v="OPEX13 - Pcard Accrual"/>
    <s v="AlexandraP"/>
    <s v="0/JE IC"/>
    <m/>
    <m/>
    <x v="33"/>
    <m/>
    <m/>
    <m/>
    <m/>
    <m/>
    <m/>
    <s v="JRNL00895972"/>
    <s v="JRNL00896109"/>
    <m/>
    <d v="2018-07-09T00:00:00"/>
    <d v="2018-07-09T00:00:00"/>
    <m/>
    <m/>
    <s v="wci_wa"/>
    <n v="0"/>
    <n v="0"/>
    <n v="0"/>
    <n v="0"/>
    <n v="5"/>
    <n v="1"/>
    <n v="70095"/>
    <n v="2183"/>
    <n v="0"/>
    <n v="0"/>
    <m/>
    <m/>
    <m/>
    <m/>
    <s v=""/>
  </r>
  <r>
    <s v="70095-2183-000-00"/>
    <d v="2018-07-31T00:00:00"/>
    <n v="41.34"/>
    <n v="0"/>
    <s v="USD"/>
    <s v="JRNLWA00376944"/>
    <s v="P"/>
    <s v="July Pcard Activity - Western"/>
    <s v="AlexandraP"/>
    <s v="0/JE IC"/>
    <m/>
    <m/>
    <x v="31"/>
    <m/>
    <m/>
    <m/>
    <m/>
    <m/>
    <m/>
    <s v="JRNL00898234"/>
    <s v="JRNL00898234"/>
    <m/>
    <d v="2018-08-02T00:00:00"/>
    <d v="2018-08-02T00:00:00"/>
    <m/>
    <m/>
    <s v="wci_wa"/>
    <n v="0"/>
    <n v="0"/>
    <n v="0"/>
    <n v="0"/>
    <n v="0"/>
    <n v="1"/>
    <n v="70095"/>
    <n v="2183"/>
    <n v="0"/>
    <n v="0"/>
    <m/>
    <m/>
    <m/>
    <m/>
    <s v=""/>
  </r>
  <r>
    <s v="70095-2183-000-00"/>
    <d v="2018-07-31T00:00:00"/>
    <n v="446.49"/>
    <n v="0"/>
    <s v="USD"/>
    <s v="JRNLWA00376944"/>
    <s v="P"/>
    <s v="July Pcard Activity - Western"/>
    <s v="AlexandraP"/>
    <s v="0/JE IC"/>
    <m/>
    <m/>
    <x v="7"/>
    <m/>
    <m/>
    <m/>
    <m/>
    <m/>
    <m/>
    <s v="JRNL00898234"/>
    <s v="JRNL00898234"/>
    <m/>
    <d v="2018-08-02T00:00:00"/>
    <d v="2018-08-02T00:00:00"/>
    <m/>
    <m/>
    <s v="wci_wa"/>
    <n v="0"/>
    <n v="0"/>
    <n v="0"/>
    <n v="0"/>
    <n v="0"/>
    <n v="1"/>
    <n v="70095"/>
    <n v="2183"/>
    <n v="0"/>
    <n v="0"/>
    <m/>
    <m/>
    <m/>
    <m/>
    <s v=""/>
  </r>
  <r>
    <s v="70095-2183-000-00"/>
    <d v="2018-07-31T00:00:00"/>
    <n v="49.35"/>
    <n v="0"/>
    <s v="USD"/>
    <s v="JRNLWA00376944"/>
    <s v="P"/>
    <s v="July Pcard Activity - Western"/>
    <s v="AlexandraP"/>
    <s v="0/JE IC"/>
    <m/>
    <m/>
    <x v="10"/>
    <m/>
    <m/>
    <m/>
    <m/>
    <m/>
    <m/>
    <s v="JRNL00898234"/>
    <s v="JRNL00898234"/>
    <m/>
    <d v="2018-08-02T00:00:00"/>
    <d v="2018-08-02T00:00:00"/>
    <m/>
    <m/>
    <s v="wci_wa"/>
    <n v="0"/>
    <n v="0"/>
    <n v="0"/>
    <n v="0"/>
    <n v="0"/>
    <n v="1"/>
    <n v="70095"/>
    <n v="2183"/>
    <n v="0"/>
    <n v="0"/>
    <m/>
    <m/>
    <m/>
    <m/>
    <s v=""/>
  </r>
  <r>
    <s v="70095-2183-000-00"/>
    <d v="2018-07-31T00:00:00"/>
    <n v="579.25"/>
    <n v="0"/>
    <s v="USD"/>
    <s v="JRNLWA00376944"/>
    <s v="P"/>
    <s v="July Pcard Activity - Western"/>
    <s v="AlexandraP"/>
    <s v="0/JE IC"/>
    <m/>
    <m/>
    <x v="32"/>
    <m/>
    <m/>
    <m/>
    <m/>
    <m/>
    <m/>
    <s v="JRNL00898234"/>
    <s v="JRNL00898234"/>
    <m/>
    <d v="2018-08-02T00:00:00"/>
    <d v="2018-08-02T00:00:00"/>
    <m/>
    <m/>
    <s v="wci_wa"/>
    <n v="0"/>
    <n v="0"/>
    <n v="0"/>
    <n v="0"/>
    <n v="0"/>
    <n v="1"/>
    <n v="70095"/>
    <n v="2183"/>
    <n v="0"/>
    <n v="0"/>
    <m/>
    <m/>
    <m/>
    <m/>
    <s v=""/>
  </r>
  <r>
    <s v="70095-2183-000-00"/>
    <d v="2018-07-31T00:00:00"/>
    <n v="138.41999999999999"/>
    <n v="0"/>
    <s v="USD"/>
    <s v="JRNLWA00376944"/>
    <s v="P"/>
    <s v="July Pcard Activity - Western"/>
    <s v="AlexandraP"/>
    <s v="0/JE IC"/>
    <m/>
    <m/>
    <x v="33"/>
    <m/>
    <m/>
    <m/>
    <m/>
    <m/>
    <m/>
    <s v="JRNL00898234"/>
    <s v="JRNL00898234"/>
    <m/>
    <d v="2018-08-02T00:00:00"/>
    <d v="2018-08-02T00:00:00"/>
    <m/>
    <m/>
    <s v="wci_wa"/>
    <n v="0"/>
    <n v="0"/>
    <n v="0"/>
    <n v="0"/>
    <n v="0"/>
    <n v="1"/>
    <n v="70095"/>
    <n v="2183"/>
    <n v="0"/>
    <n v="0"/>
    <m/>
    <m/>
    <m/>
    <m/>
    <s v=""/>
  </r>
  <r>
    <s v="70095-2183-000-00"/>
    <d v="2018-07-31T00:00:00"/>
    <n v="41.36"/>
    <n v="0"/>
    <s v="USD"/>
    <s v="JRNLWA00376944"/>
    <s v="P"/>
    <s v="July Pcard Activity - Western"/>
    <s v="AlexandraP"/>
    <s v="0/JE IC"/>
    <m/>
    <m/>
    <x v="34"/>
    <m/>
    <m/>
    <m/>
    <m/>
    <m/>
    <m/>
    <s v="JRNL00898234"/>
    <s v="JRNL00898234"/>
    <m/>
    <d v="2018-08-02T00:00:00"/>
    <d v="2018-08-02T00:00:00"/>
    <m/>
    <m/>
    <s v="wci_wa"/>
    <n v="0"/>
    <n v="0"/>
    <n v="0"/>
    <n v="0"/>
    <n v="0"/>
    <n v="1"/>
    <n v="70095"/>
    <n v="2183"/>
    <n v="0"/>
    <n v="0"/>
    <m/>
    <m/>
    <m/>
    <m/>
    <s v=""/>
  </r>
  <r>
    <s v="70095-2183-000-00"/>
    <d v="2018-07-31T00:00:00"/>
    <n v="205.56"/>
    <n v="0"/>
    <s v="USD"/>
    <s v="JRNLWA00376944"/>
    <s v="P"/>
    <s v="July Pcard Activity - Western"/>
    <s v="AlexandraP"/>
    <s v="0/JE IC"/>
    <m/>
    <m/>
    <x v="24"/>
    <m/>
    <m/>
    <m/>
    <m/>
    <m/>
    <m/>
    <s v="JRNL00898234"/>
    <s v="JRNL00898234"/>
    <m/>
    <d v="2018-08-02T00:00:00"/>
    <d v="2018-08-02T00:00:00"/>
    <m/>
    <m/>
    <s v="wci_wa"/>
    <n v="0"/>
    <n v="0"/>
    <n v="0"/>
    <n v="0"/>
    <n v="0"/>
    <n v="1"/>
    <n v="70095"/>
    <n v="2183"/>
    <n v="0"/>
    <n v="0"/>
    <m/>
    <m/>
    <m/>
    <m/>
    <s v=""/>
  </r>
  <r>
    <s v="70095-2183-000-00"/>
    <d v="2018-07-31T00:00:00"/>
    <n v="88.33"/>
    <n v="0"/>
    <s v="USD"/>
    <s v="JRNLWA00376944"/>
    <s v="P"/>
    <s v="July Pcard Activity - Western"/>
    <s v="AlexandraP"/>
    <s v="0/JE IC"/>
    <m/>
    <m/>
    <x v="35"/>
    <m/>
    <m/>
    <m/>
    <m/>
    <m/>
    <m/>
    <s v="JRNL00898234"/>
    <s v="JRNL00898234"/>
    <m/>
    <d v="2018-08-02T00:00:00"/>
    <d v="2018-08-02T00:00:00"/>
    <m/>
    <m/>
    <s v="wci_wa"/>
    <n v="0"/>
    <n v="0"/>
    <n v="0"/>
    <n v="0"/>
    <n v="0"/>
    <n v="1"/>
    <n v="70095"/>
    <n v="2183"/>
    <n v="0"/>
    <n v="0"/>
    <m/>
    <m/>
    <m/>
    <m/>
    <s v=""/>
  </r>
  <r>
    <s v="70095-2183-000-00"/>
    <d v="2018-07-31T00:00:00"/>
    <n v="12.95"/>
    <n v="0"/>
    <s v="USD"/>
    <s v="JRNLWA00376944"/>
    <s v="P"/>
    <s v="July Pcard Activity - Western"/>
    <s v="AlexandraP"/>
    <s v="0/JE IC"/>
    <m/>
    <m/>
    <x v="35"/>
    <m/>
    <m/>
    <m/>
    <m/>
    <m/>
    <m/>
    <s v="JRNL00898234"/>
    <s v="JRNL00898234"/>
    <m/>
    <d v="2018-08-02T00:00:00"/>
    <d v="2018-08-02T00:00:00"/>
    <m/>
    <m/>
    <s v="wci_wa"/>
    <n v="0"/>
    <n v="0"/>
    <n v="0"/>
    <n v="0"/>
    <n v="0"/>
    <n v="1"/>
    <n v="70095"/>
    <n v="2183"/>
    <n v="0"/>
    <n v="0"/>
    <m/>
    <m/>
    <m/>
    <m/>
    <s v=""/>
  </r>
  <r>
    <s v="70095-2183-000-00"/>
    <d v="2018-07-31T00:00:00"/>
    <n v="33.979999999999997"/>
    <n v="0"/>
    <s v="USD"/>
    <s v="JRNLWA00376944"/>
    <s v="P"/>
    <s v="July Pcard Activity - Western"/>
    <s v="AlexandraP"/>
    <s v="0/JE IC"/>
    <m/>
    <m/>
    <x v="10"/>
    <m/>
    <m/>
    <m/>
    <m/>
    <m/>
    <m/>
    <s v="JRNL00898234"/>
    <s v="JRNL00898234"/>
    <m/>
    <d v="2018-08-02T00:00:00"/>
    <d v="2018-08-02T00:00:00"/>
    <m/>
    <m/>
    <s v="wci_wa"/>
    <n v="0"/>
    <n v="0"/>
    <n v="0"/>
    <n v="0"/>
    <n v="0"/>
    <n v="1"/>
    <n v="70095"/>
    <n v="2183"/>
    <n v="0"/>
    <n v="0"/>
    <m/>
    <m/>
    <m/>
    <m/>
    <s v=""/>
  </r>
  <r>
    <s v="70095-2183-000-00"/>
    <d v="2018-07-31T00:00:00"/>
    <n v="97.47"/>
    <n v="0"/>
    <s v="USD"/>
    <s v="JRNLWA00376944"/>
    <s v="P"/>
    <s v="July Pcard Activity - Western"/>
    <s v="AlexandraP"/>
    <s v="0/JE IC"/>
    <m/>
    <m/>
    <x v="7"/>
    <m/>
    <m/>
    <m/>
    <m/>
    <m/>
    <m/>
    <s v="JRNL00898234"/>
    <s v="JRNL00898234"/>
    <m/>
    <d v="2018-08-02T00:00:00"/>
    <d v="2018-08-02T00:00:00"/>
    <m/>
    <m/>
    <s v="wci_wa"/>
    <n v="0"/>
    <n v="0"/>
    <n v="0"/>
    <n v="0"/>
    <n v="0"/>
    <n v="1"/>
    <n v="70095"/>
    <n v="2183"/>
    <n v="0"/>
    <n v="0"/>
    <m/>
    <m/>
    <m/>
    <m/>
    <s v=""/>
  </r>
  <r>
    <s v="70095-2183-000-00"/>
    <d v="2018-07-31T00:00:00"/>
    <n v="226.45"/>
    <n v="0"/>
    <s v="USD"/>
    <s v="JRNLWA00376944"/>
    <s v="P"/>
    <s v="July Pcard Activity - Western"/>
    <s v="AlexandraP"/>
    <s v="0/JE IC"/>
    <m/>
    <m/>
    <x v="36"/>
    <m/>
    <m/>
    <m/>
    <m/>
    <m/>
    <m/>
    <s v="JRNL00898234"/>
    <s v="JRNL00898234"/>
    <m/>
    <d v="2018-08-02T00:00:00"/>
    <d v="2018-08-02T00:00:00"/>
    <m/>
    <m/>
    <s v="wci_wa"/>
    <n v="0"/>
    <n v="0"/>
    <n v="0"/>
    <n v="0"/>
    <n v="0"/>
    <n v="1"/>
    <n v="70095"/>
    <n v="2183"/>
    <n v="0"/>
    <n v="0"/>
    <m/>
    <m/>
    <m/>
    <m/>
    <s v=""/>
  </r>
  <r>
    <s v="70095-2183-000-00"/>
    <d v="2018-07-31T00:00:00"/>
    <n v="101.83"/>
    <n v="0"/>
    <s v="USD"/>
    <s v="JRNLWA00376944"/>
    <s v="P"/>
    <s v="July Pcard Activity - Western"/>
    <s v="AlexandraP"/>
    <s v="0/JE IC"/>
    <m/>
    <m/>
    <x v="7"/>
    <m/>
    <m/>
    <m/>
    <m/>
    <m/>
    <m/>
    <s v="JRNL00898234"/>
    <s v="JRNL00898234"/>
    <m/>
    <d v="2018-08-02T00:00:00"/>
    <d v="2018-08-02T00:00:00"/>
    <m/>
    <m/>
    <s v="wci_wa"/>
    <n v="0"/>
    <n v="0"/>
    <n v="0"/>
    <n v="0"/>
    <n v="0"/>
    <n v="1"/>
    <n v="70095"/>
    <n v="2183"/>
    <n v="0"/>
    <n v="0"/>
    <m/>
    <m/>
    <m/>
    <m/>
    <s v=""/>
  </r>
  <r>
    <s v="70095-2183-000-00"/>
    <d v="2018-07-31T00:00:00"/>
    <n v="89.98"/>
    <n v="0"/>
    <s v="USD"/>
    <s v="JRNLWA00377697"/>
    <s v="P"/>
    <s v="OPEX13 - Pcard Accrual"/>
    <s v="AlexandraP"/>
    <s v="0/JE IC"/>
    <m/>
    <m/>
    <x v="10"/>
    <m/>
    <m/>
    <m/>
    <m/>
    <m/>
    <m/>
    <s v="JRNL00899765"/>
    <s v="JRNL00899765"/>
    <m/>
    <d v="2018-08-06T00:00:00"/>
    <d v="2018-08-07T00:00:00"/>
    <m/>
    <m/>
    <s v="wci_wa"/>
    <n v="0"/>
    <n v="0"/>
    <n v="0"/>
    <n v="0"/>
    <n v="0"/>
    <n v="1"/>
    <n v="70095"/>
    <n v="2183"/>
    <n v="0"/>
    <n v="0"/>
    <m/>
    <m/>
    <m/>
    <m/>
    <s v=""/>
  </r>
  <r>
    <s v="70095-2183-000-00"/>
    <d v="2018-07-31T00:00:00"/>
    <n v="115.74"/>
    <n v="0"/>
    <s v="USD"/>
    <s v="JRNLWA00377697"/>
    <s v="P"/>
    <s v="OPEX13 - Pcard Accrual"/>
    <s v="AlexandraP"/>
    <s v="0/JE IC"/>
    <m/>
    <m/>
    <x v="22"/>
    <m/>
    <m/>
    <m/>
    <m/>
    <m/>
    <m/>
    <s v="JRNL00899765"/>
    <s v="JRNL00899765"/>
    <m/>
    <d v="2018-08-06T00:00:00"/>
    <d v="2018-08-07T00:00:00"/>
    <m/>
    <m/>
    <s v="wci_wa"/>
    <n v="0"/>
    <n v="0"/>
    <n v="0"/>
    <n v="0"/>
    <n v="0"/>
    <n v="1"/>
    <n v="70095"/>
    <n v="2183"/>
    <n v="0"/>
    <n v="0"/>
    <m/>
    <m/>
    <m/>
    <m/>
    <s v=""/>
  </r>
  <r>
    <s v="70095-2183-000-00"/>
    <d v="2018-07-31T00:00:00"/>
    <n v="238.96"/>
    <n v="0"/>
    <s v="USD"/>
    <s v="JRNLWA00377697"/>
    <s v="P"/>
    <s v="OPEX13 - Pcard Accrual"/>
    <s v="AlexandraP"/>
    <s v="0/JE IC"/>
    <m/>
    <m/>
    <x v="37"/>
    <m/>
    <m/>
    <m/>
    <m/>
    <m/>
    <m/>
    <s v="JRNL00899765"/>
    <s v="JRNL00899765"/>
    <m/>
    <d v="2018-08-06T00:00:00"/>
    <d v="2018-08-07T00:00:00"/>
    <m/>
    <m/>
    <s v="wci_wa"/>
    <n v="0"/>
    <n v="0"/>
    <n v="0"/>
    <n v="0"/>
    <n v="0"/>
    <n v="1"/>
    <n v="70095"/>
    <n v="2183"/>
    <n v="0"/>
    <n v="0"/>
    <m/>
    <m/>
    <m/>
    <m/>
    <s v=""/>
  </r>
  <r>
    <s v="70095-2183-000-00"/>
    <d v="2018-07-31T00:00:00"/>
    <n v="98"/>
    <n v="0"/>
    <s v="USD"/>
    <s v="JRNLWA00377697"/>
    <s v="P"/>
    <s v="OPEX13 - Pcard Accrual"/>
    <s v="AlexandraP"/>
    <s v="0/JE IC"/>
    <m/>
    <m/>
    <x v="38"/>
    <m/>
    <m/>
    <m/>
    <m/>
    <m/>
    <m/>
    <s v="JRNL00899765"/>
    <s v="JRNL00899765"/>
    <m/>
    <d v="2018-08-06T00:00:00"/>
    <d v="2018-08-07T00:00:00"/>
    <m/>
    <m/>
    <s v="wci_wa"/>
    <n v="0"/>
    <n v="0"/>
    <n v="0"/>
    <n v="0"/>
    <n v="0"/>
    <n v="1"/>
    <n v="70095"/>
    <n v="2183"/>
    <n v="0"/>
    <n v="0"/>
    <m/>
    <m/>
    <m/>
    <m/>
    <s v=""/>
  </r>
  <r>
    <s v="70095-2183-000-00"/>
    <d v="2018-07-31T00:00:00"/>
    <n v="0.98"/>
    <n v="0"/>
    <s v="USD"/>
    <s v="JRNLWA00377697"/>
    <s v="P"/>
    <s v="OPEX13 - Pcard Accrual"/>
    <s v="AlexandraP"/>
    <s v="0/JE IC"/>
    <m/>
    <m/>
    <x v="39"/>
    <m/>
    <m/>
    <m/>
    <m/>
    <m/>
    <m/>
    <s v="JRNL00899765"/>
    <s v="JRNL00899765"/>
    <m/>
    <d v="2018-08-06T00:00:00"/>
    <d v="2018-08-07T00:00:00"/>
    <m/>
    <m/>
    <s v="wci_wa"/>
    <n v="0"/>
    <n v="0"/>
    <n v="0"/>
    <n v="0"/>
    <n v="0"/>
    <n v="1"/>
    <n v="70095"/>
    <n v="2183"/>
    <n v="0"/>
    <n v="0"/>
    <m/>
    <m/>
    <m/>
    <m/>
    <s v=""/>
  </r>
  <r>
    <s v="70095-2183-000-00"/>
    <d v="2018-08-13T00:00:00"/>
    <n v="1500"/>
    <n v="0"/>
    <s v="USD"/>
    <s v="JRNLWA00378088"/>
    <s v="P"/>
    <s v="From Voucher Posting."/>
    <s v="JudyA"/>
    <s v="0/JE IC"/>
    <s v="VUS000008916"/>
    <m/>
    <x v="40"/>
    <d v="2018-08-01T00:00:00"/>
    <s v="Donation"/>
    <s v="CFA 2018 Donation"/>
    <s v="PO-2183-18-02168"/>
    <m/>
    <m/>
    <s v="VO04737794"/>
    <s v="JRNL00900623"/>
    <n v="2183"/>
    <d v="2018-08-13T00:00:00"/>
    <d v="2018-08-13T00:00:00"/>
    <n v="1500"/>
    <d v="2018-08-11T00:00:00"/>
    <s v="wci_wa"/>
    <n v="0"/>
    <n v="0"/>
    <n v="0"/>
    <n v="0"/>
    <n v="0"/>
    <n v="1"/>
    <n v="70095"/>
    <n v="2183"/>
    <n v="0"/>
    <n v="0"/>
    <m/>
    <m/>
    <m/>
    <m/>
    <s v="VO04737794"/>
  </r>
  <r>
    <s v="70095-2183-000-00"/>
    <d v="2018-08-29T00:00:00"/>
    <n v="216.03"/>
    <n v="0"/>
    <s v="USD"/>
    <s v="JRNLWA00378282"/>
    <s v="P"/>
    <s v="From Voucher Posting."/>
    <s v="MariaJ"/>
    <s v="0/JE IC"/>
    <s v="VUS000020407"/>
    <s v="PETTY CASH DISTRICT 2183"/>
    <x v="41"/>
    <d v="2018-08-28T00:00:00"/>
    <s v="08.28.2018 Petty cash request"/>
    <n v="8282018"/>
    <s v="PO-2183-18-03881"/>
    <m/>
    <m/>
    <s v="VO04755937"/>
    <s v="JRNL00901572"/>
    <n v="2183"/>
    <d v="2018-08-29T00:00:00"/>
    <d v="2018-08-30T00:00:00"/>
    <n v="906.14"/>
    <d v="2018-08-29T00:00:00"/>
    <s v="wci_wa"/>
    <n v="0"/>
    <n v="0"/>
    <n v="0"/>
    <n v="0"/>
    <n v="0"/>
    <n v="1"/>
    <n v="70095"/>
    <n v="2183"/>
    <n v="0"/>
    <n v="0"/>
    <m/>
    <m/>
    <m/>
    <m/>
    <s v="VO04755937"/>
  </r>
  <r>
    <s v="70095-2183-000-00"/>
    <d v="2018-08-31T00:00:00"/>
    <n v="-89.98"/>
    <n v="0"/>
    <s v="USD"/>
    <s v="JRNLWA00377743"/>
    <s v="P"/>
    <s v="OPEX13 - Pcard Accrual"/>
    <s v="HelenaK"/>
    <s v="0/JE IC"/>
    <m/>
    <m/>
    <x v="10"/>
    <m/>
    <m/>
    <m/>
    <m/>
    <m/>
    <m/>
    <s v="JRNL00899765"/>
    <s v="JRNL00899914"/>
    <m/>
    <d v="2018-08-07T00:00:00"/>
    <d v="2018-08-07T00:00:00"/>
    <m/>
    <m/>
    <s v="wci_wa"/>
    <n v="0"/>
    <n v="0"/>
    <n v="0"/>
    <n v="0"/>
    <n v="5"/>
    <n v="1"/>
    <n v="70095"/>
    <n v="2183"/>
    <n v="0"/>
    <n v="0"/>
    <m/>
    <m/>
    <m/>
    <m/>
    <s v=""/>
  </r>
  <r>
    <s v="70095-2183-000-00"/>
    <d v="2018-08-31T00:00:00"/>
    <n v="-115.74"/>
    <n v="0"/>
    <s v="USD"/>
    <s v="JRNLWA00377743"/>
    <s v="P"/>
    <s v="OPEX13 - Pcard Accrual"/>
    <s v="HelenaK"/>
    <s v="0/JE IC"/>
    <m/>
    <m/>
    <x v="22"/>
    <m/>
    <m/>
    <m/>
    <m/>
    <m/>
    <m/>
    <s v="JRNL00899765"/>
    <s v="JRNL00899914"/>
    <m/>
    <d v="2018-08-07T00:00:00"/>
    <d v="2018-08-07T00:00:00"/>
    <m/>
    <m/>
    <s v="wci_wa"/>
    <n v="0"/>
    <n v="0"/>
    <n v="0"/>
    <n v="0"/>
    <n v="5"/>
    <n v="1"/>
    <n v="70095"/>
    <n v="2183"/>
    <n v="0"/>
    <n v="0"/>
    <m/>
    <m/>
    <m/>
    <m/>
    <s v=""/>
  </r>
  <r>
    <s v="70095-2183-000-00"/>
    <d v="2018-08-31T00:00:00"/>
    <n v="-238.96"/>
    <n v="0"/>
    <s v="USD"/>
    <s v="JRNLWA00377743"/>
    <s v="P"/>
    <s v="OPEX13 - Pcard Accrual"/>
    <s v="HelenaK"/>
    <s v="0/JE IC"/>
    <m/>
    <m/>
    <x v="37"/>
    <m/>
    <m/>
    <m/>
    <m/>
    <m/>
    <m/>
    <s v="JRNL00899765"/>
    <s v="JRNL00899914"/>
    <m/>
    <d v="2018-08-07T00:00:00"/>
    <d v="2018-08-07T00:00:00"/>
    <m/>
    <m/>
    <s v="wci_wa"/>
    <n v="0"/>
    <n v="0"/>
    <n v="0"/>
    <n v="0"/>
    <n v="5"/>
    <n v="1"/>
    <n v="70095"/>
    <n v="2183"/>
    <n v="0"/>
    <n v="0"/>
    <m/>
    <m/>
    <m/>
    <m/>
    <s v=""/>
  </r>
  <r>
    <s v="70095-2183-000-00"/>
    <d v="2018-08-31T00:00:00"/>
    <n v="-98"/>
    <n v="0"/>
    <s v="USD"/>
    <s v="JRNLWA00377743"/>
    <s v="P"/>
    <s v="OPEX13 - Pcard Accrual"/>
    <s v="HelenaK"/>
    <s v="0/JE IC"/>
    <m/>
    <m/>
    <x v="38"/>
    <m/>
    <m/>
    <m/>
    <m/>
    <m/>
    <m/>
    <s v="JRNL00899765"/>
    <s v="JRNL00899914"/>
    <m/>
    <d v="2018-08-07T00:00:00"/>
    <d v="2018-08-07T00:00:00"/>
    <m/>
    <m/>
    <s v="wci_wa"/>
    <n v="0"/>
    <n v="0"/>
    <n v="0"/>
    <n v="0"/>
    <n v="5"/>
    <n v="1"/>
    <n v="70095"/>
    <n v="2183"/>
    <n v="0"/>
    <n v="0"/>
    <m/>
    <m/>
    <m/>
    <m/>
    <s v=""/>
  </r>
  <r>
    <s v="70095-2183-000-00"/>
    <d v="2018-08-31T00:00:00"/>
    <n v="-0.98"/>
    <n v="0"/>
    <s v="USD"/>
    <s v="JRNLWA00377743"/>
    <s v="P"/>
    <s v="OPEX13 - Pcard Accrual"/>
    <s v="HelenaK"/>
    <s v="0/JE IC"/>
    <m/>
    <m/>
    <x v="39"/>
    <m/>
    <m/>
    <m/>
    <m/>
    <m/>
    <m/>
    <s v="JRNL00899765"/>
    <s v="JRNL00899914"/>
    <m/>
    <d v="2018-08-07T00:00:00"/>
    <d v="2018-08-07T00:00:00"/>
    <m/>
    <m/>
    <s v="wci_wa"/>
    <n v="0"/>
    <n v="0"/>
    <n v="0"/>
    <n v="0"/>
    <n v="5"/>
    <n v="1"/>
    <n v="70095"/>
    <n v="2183"/>
    <n v="0"/>
    <n v="0"/>
    <m/>
    <m/>
    <m/>
    <m/>
    <s v=""/>
  </r>
  <r>
    <s v="70095-2183-000-00"/>
    <d v="2018-08-31T00:00:00"/>
    <n v="89.98"/>
    <n v="0"/>
    <s v="USD"/>
    <s v="JRNLWA00378512"/>
    <s v="P"/>
    <s v="Aug Pcard Activity - Western"/>
    <s v="HelenaK"/>
    <s v="0/JE IC"/>
    <m/>
    <m/>
    <x v="10"/>
    <m/>
    <m/>
    <m/>
    <m/>
    <m/>
    <m/>
    <s v="JRNL00902204"/>
    <s v="JRNL00902204"/>
    <m/>
    <d v="2018-09-05T00:00:00"/>
    <d v="2018-09-05T00:00:00"/>
    <m/>
    <m/>
    <s v="wci_wa"/>
    <n v="0"/>
    <n v="0"/>
    <n v="0"/>
    <n v="0"/>
    <n v="0"/>
    <n v="1"/>
    <n v="70095"/>
    <n v="2183"/>
    <n v="0"/>
    <n v="0"/>
    <m/>
    <m/>
    <m/>
    <m/>
    <s v=""/>
  </r>
  <r>
    <s v="70095-2183-000-00"/>
    <d v="2018-08-31T00:00:00"/>
    <n v="115.74"/>
    <n v="0"/>
    <s v="USD"/>
    <s v="JRNLWA00378512"/>
    <s v="P"/>
    <s v="Aug Pcard Activity - Western"/>
    <s v="HelenaK"/>
    <s v="0/JE IC"/>
    <m/>
    <m/>
    <x v="22"/>
    <m/>
    <m/>
    <m/>
    <m/>
    <m/>
    <m/>
    <s v="JRNL00902204"/>
    <s v="JRNL00902204"/>
    <m/>
    <d v="2018-09-05T00:00:00"/>
    <d v="2018-09-05T00:00:00"/>
    <m/>
    <m/>
    <s v="wci_wa"/>
    <n v="0"/>
    <n v="0"/>
    <n v="0"/>
    <n v="0"/>
    <n v="0"/>
    <n v="1"/>
    <n v="70095"/>
    <n v="2183"/>
    <n v="0"/>
    <n v="0"/>
    <m/>
    <m/>
    <m/>
    <m/>
    <s v=""/>
  </r>
  <r>
    <s v="70095-2183-000-00"/>
    <d v="2018-08-31T00:00:00"/>
    <n v="238.96"/>
    <n v="0"/>
    <s v="USD"/>
    <s v="JRNLWA00378512"/>
    <s v="P"/>
    <s v="Aug Pcard Activity - Western"/>
    <s v="HelenaK"/>
    <s v="0/JE IC"/>
    <m/>
    <m/>
    <x v="37"/>
    <m/>
    <m/>
    <m/>
    <m/>
    <m/>
    <m/>
    <s v="JRNL00902204"/>
    <s v="JRNL00902204"/>
    <m/>
    <d v="2018-09-05T00:00:00"/>
    <d v="2018-09-05T00:00:00"/>
    <m/>
    <m/>
    <s v="wci_wa"/>
    <n v="0"/>
    <n v="0"/>
    <n v="0"/>
    <n v="0"/>
    <n v="0"/>
    <n v="1"/>
    <n v="70095"/>
    <n v="2183"/>
    <n v="0"/>
    <n v="0"/>
    <m/>
    <m/>
    <m/>
    <m/>
    <s v=""/>
  </r>
  <r>
    <s v="70095-2183-000-00"/>
    <d v="2018-08-31T00:00:00"/>
    <n v="98"/>
    <n v="0"/>
    <s v="USD"/>
    <s v="JRNLWA00378512"/>
    <s v="P"/>
    <s v="Aug Pcard Activity - Western"/>
    <s v="HelenaK"/>
    <s v="0/JE IC"/>
    <m/>
    <m/>
    <x v="38"/>
    <m/>
    <m/>
    <m/>
    <m/>
    <m/>
    <m/>
    <s v="JRNL00902204"/>
    <s v="JRNL00902204"/>
    <m/>
    <d v="2018-09-05T00:00:00"/>
    <d v="2018-09-05T00:00:00"/>
    <m/>
    <m/>
    <s v="wci_wa"/>
    <n v="0"/>
    <n v="0"/>
    <n v="0"/>
    <n v="0"/>
    <n v="0"/>
    <n v="1"/>
    <n v="70095"/>
    <n v="2183"/>
    <n v="0"/>
    <n v="0"/>
    <m/>
    <m/>
    <m/>
    <m/>
    <s v=""/>
  </r>
  <r>
    <s v="70095-2183-000-00"/>
    <d v="2018-08-31T00:00:00"/>
    <n v="0.98"/>
    <n v="0"/>
    <s v="USD"/>
    <s v="JRNLWA00378512"/>
    <s v="P"/>
    <s v="Aug Pcard Activity - Western"/>
    <s v="HelenaK"/>
    <s v="0/JE IC"/>
    <m/>
    <m/>
    <x v="39"/>
    <m/>
    <m/>
    <m/>
    <m/>
    <m/>
    <m/>
    <s v="JRNL00902204"/>
    <s v="JRNL00902204"/>
    <m/>
    <d v="2018-09-05T00:00:00"/>
    <d v="2018-09-05T00:00:00"/>
    <m/>
    <m/>
    <s v="wci_wa"/>
    <n v="0"/>
    <n v="0"/>
    <n v="0"/>
    <n v="0"/>
    <n v="0"/>
    <n v="1"/>
    <n v="70095"/>
    <n v="2183"/>
    <n v="0"/>
    <n v="0"/>
    <m/>
    <m/>
    <m/>
    <m/>
    <s v=""/>
  </r>
  <r>
    <s v="70095-2183-000-00"/>
    <d v="2018-08-31T00:00:00"/>
    <n v="29.56"/>
    <n v="0"/>
    <s v="USD"/>
    <s v="JRNLWA00378512"/>
    <s v="P"/>
    <s v="Aug Pcard Activity - Western"/>
    <s v="HelenaK"/>
    <s v="0/JE IC"/>
    <m/>
    <m/>
    <x v="42"/>
    <m/>
    <m/>
    <m/>
    <m/>
    <m/>
    <m/>
    <s v="JRNL00902204"/>
    <s v="JRNL00902204"/>
    <m/>
    <d v="2018-09-05T00:00:00"/>
    <d v="2018-09-05T00:00:00"/>
    <m/>
    <m/>
    <s v="wci_wa"/>
    <n v="0"/>
    <n v="0"/>
    <n v="0"/>
    <n v="0"/>
    <n v="0"/>
    <n v="1"/>
    <n v="70095"/>
    <n v="2183"/>
    <n v="0"/>
    <n v="0"/>
    <m/>
    <m/>
    <m/>
    <m/>
    <s v=""/>
  </r>
  <r>
    <s v="70095-2183-000-00"/>
    <d v="2018-08-31T00:00:00"/>
    <n v="8.98"/>
    <n v="0"/>
    <s v="USD"/>
    <s v="JRNLWA00378512"/>
    <s v="P"/>
    <s v="Aug Pcard Activity - Western"/>
    <s v="HelenaK"/>
    <s v="0/JE IC"/>
    <m/>
    <m/>
    <x v="35"/>
    <m/>
    <m/>
    <m/>
    <m/>
    <m/>
    <m/>
    <s v="JRNL00902204"/>
    <s v="JRNL00902204"/>
    <m/>
    <d v="2018-09-05T00:00:00"/>
    <d v="2018-09-05T00:00:00"/>
    <m/>
    <m/>
    <s v="wci_wa"/>
    <n v="0"/>
    <n v="0"/>
    <n v="0"/>
    <n v="0"/>
    <n v="0"/>
    <n v="1"/>
    <n v="70095"/>
    <n v="2183"/>
    <n v="0"/>
    <n v="0"/>
    <m/>
    <m/>
    <m/>
    <m/>
    <s v=""/>
  </r>
  <r>
    <s v="70095-2183-000-00"/>
    <d v="2018-08-31T00:00:00"/>
    <n v="21.98"/>
    <n v="0"/>
    <s v="USD"/>
    <s v="JRNLWA00378512"/>
    <s v="P"/>
    <s v="Aug Pcard Activity - Western"/>
    <s v="HelenaK"/>
    <s v="0/JE IC"/>
    <m/>
    <m/>
    <x v="43"/>
    <m/>
    <m/>
    <m/>
    <m/>
    <m/>
    <m/>
    <s v="JRNL00902204"/>
    <s v="JRNL00902204"/>
    <m/>
    <d v="2018-09-05T00:00:00"/>
    <d v="2018-09-05T00:00:00"/>
    <m/>
    <m/>
    <s v="wci_wa"/>
    <n v="0"/>
    <n v="0"/>
    <n v="0"/>
    <n v="0"/>
    <n v="0"/>
    <n v="1"/>
    <n v="70095"/>
    <n v="2183"/>
    <n v="0"/>
    <n v="0"/>
    <m/>
    <m/>
    <m/>
    <m/>
    <s v=""/>
  </r>
  <r>
    <s v="70095-2183-000-00"/>
    <d v="2018-08-31T00:00:00"/>
    <n v="87.13"/>
    <n v="0"/>
    <s v="USD"/>
    <s v="JRNLWA00378512"/>
    <s v="P"/>
    <s v="Aug Pcard Activity - Western"/>
    <s v="HelenaK"/>
    <s v="0/JE IC"/>
    <m/>
    <m/>
    <x v="44"/>
    <m/>
    <m/>
    <m/>
    <m/>
    <m/>
    <m/>
    <s v="JRNL00902204"/>
    <s v="JRNL00902204"/>
    <m/>
    <d v="2018-09-05T00:00:00"/>
    <d v="2018-09-05T00:00:00"/>
    <m/>
    <m/>
    <s v="wci_wa"/>
    <n v="0"/>
    <n v="0"/>
    <n v="0"/>
    <n v="0"/>
    <n v="0"/>
    <n v="1"/>
    <n v="70095"/>
    <n v="2183"/>
    <n v="0"/>
    <n v="0"/>
    <m/>
    <m/>
    <m/>
    <m/>
    <s v=""/>
  </r>
  <r>
    <s v="70095-2183-000-00"/>
    <d v="2018-08-31T00:00:00"/>
    <n v="33.479999999999997"/>
    <n v="0"/>
    <s v="USD"/>
    <s v="JRNLWA00378512"/>
    <s v="P"/>
    <s v="Aug Pcard Activity - Western"/>
    <s v="HelenaK"/>
    <s v="0/JE IC"/>
    <m/>
    <m/>
    <x v="45"/>
    <m/>
    <m/>
    <m/>
    <m/>
    <m/>
    <m/>
    <s v="JRNL00902204"/>
    <s v="JRNL00902204"/>
    <m/>
    <d v="2018-09-05T00:00:00"/>
    <d v="2018-09-05T00:00:00"/>
    <m/>
    <m/>
    <s v="wci_wa"/>
    <n v="0"/>
    <n v="0"/>
    <n v="0"/>
    <n v="0"/>
    <n v="0"/>
    <n v="1"/>
    <n v="70095"/>
    <n v="2183"/>
    <n v="0"/>
    <n v="0"/>
    <m/>
    <m/>
    <m/>
    <m/>
    <s v=""/>
  </r>
  <r>
    <s v="70095-2183-000-00"/>
    <d v="2018-08-31T00:00:00"/>
    <n v="14.99"/>
    <n v="0"/>
    <s v="USD"/>
    <s v="JRNLWA00378512"/>
    <s v="P"/>
    <s v="Aug Pcard Activity - Western"/>
    <s v="HelenaK"/>
    <s v="0/JE IC"/>
    <m/>
    <m/>
    <x v="46"/>
    <m/>
    <m/>
    <m/>
    <m/>
    <m/>
    <m/>
    <s v="JRNL00902204"/>
    <s v="JRNL00902204"/>
    <m/>
    <d v="2018-09-05T00:00:00"/>
    <d v="2018-09-05T00:00:00"/>
    <m/>
    <m/>
    <s v="wci_wa"/>
    <n v="0"/>
    <n v="0"/>
    <n v="0"/>
    <n v="0"/>
    <n v="0"/>
    <n v="1"/>
    <n v="70095"/>
    <n v="2183"/>
    <n v="0"/>
    <n v="0"/>
    <m/>
    <m/>
    <m/>
    <m/>
    <s v=""/>
  </r>
  <r>
    <s v="70095-2183-000-00"/>
    <d v="2018-08-31T00:00:00"/>
    <n v="18.989999999999998"/>
    <n v="0"/>
    <s v="USD"/>
    <s v="JRNLWA00378512"/>
    <s v="P"/>
    <s v="Aug Pcard Activity - Western"/>
    <s v="HelenaK"/>
    <s v="0/JE IC"/>
    <m/>
    <m/>
    <x v="10"/>
    <m/>
    <m/>
    <m/>
    <m/>
    <m/>
    <m/>
    <s v="JRNL00902204"/>
    <s v="JRNL00902204"/>
    <m/>
    <d v="2018-09-05T00:00:00"/>
    <d v="2018-09-05T00:00:00"/>
    <m/>
    <m/>
    <s v="wci_wa"/>
    <n v="0"/>
    <n v="0"/>
    <n v="0"/>
    <n v="0"/>
    <n v="0"/>
    <n v="1"/>
    <n v="70095"/>
    <n v="2183"/>
    <n v="0"/>
    <n v="0"/>
    <m/>
    <m/>
    <m/>
    <m/>
    <s v=""/>
  </r>
  <r>
    <s v="70095-2183-000-00"/>
    <d v="2018-08-31T00:00:00"/>
    <n v="100"/>
    <n v="0"/>
    <s v="USD"/>
    <s v="JRNLWA00378512"/>
    <s v="P"/>
    <s v="Aug Pcard Activity - Western"/>
    <s v="HelenaK"/>
    <s v="0/JE IC"/>
    <m/>
    <m/>
    <x v="47"/>
    <m/>
    <m/>
    <m/>
    <m/>
    <m/>
    <m/>
    <s v="JRNL00902204"/>
    <s v="JRNL00902204"/>
    <m/>
    <d v="2018-09-05T00:00:00"/>
    <d v="2018-09-05T00:00:00"/>
    <m/>
    <m/>
    <s v="wci_wa"/>
    <n v="0"/>
    <n v="0"/>
    <n v="0"/>
    <n v="0"/>
    <n v="0"/>
    <n v="1"/>
    <n v="70095"/>
    <n v="2183"/>
    <n v="0"/>
    <n v="0"/>
    <m/>
    <m/>
    <m/>
    <m/>
    <s v=""/>
  </r>
  <r>
    <s v="70095-2183-000-00"/>
    <d v="2018-08-31T00:00:00"/>
    <n v="45.15"/>
    <n v="0"/>
    <s v="USD"/>
    <s v="JRNLWA00378512"/>
    <s v="P"/>
    <s v="Aug Pcard Activity - Western"/>
    <s v="HelenaK"/>
    <s v="0/JE IC"/>
    <m/>
    <m/>
    <x v="48"/>
    <m/>
    <m/>
    <m/>
    <m/>
    <m/>
    <m/>
    <s v="JRNL00902204"/>
    <s v="JRNL00902204"/>
    <m/>
    <d v="2018-09-05T00:00:00"/>
    <d v="2018-09-05T00:00:00"/>
    <m/>
    <m/>
    <s v="wci_wa"/>
    <n v="0"/>
    <n v="0"/>
    <n v="0"/>
    <n v="0"/>
    <n v="0"/>
    <n v="1"/>
    <n v="70095"/>
    <n v="2183"/>
    <n v="0"/>
    <n v="0"/>
    <m/>
    <m/>
    <m/>
    <m/>
    <s v=""/>
  </r>
  <r>
    <s v="70095-2183-000-00"/>
    <d v="2018-08-31T00:00:00"/>
    <n v="52.14"/>
    <n v="0"/>
    <s v="USD"/>
    <s v="JRNLWA00378512"/>
    <s v="P"/>
    <s v="Aug Pcard Activity - Western"/>
    <s v="HelenaK"/>
    <s v="0/JE IC"/>
    <m/>
    <m/>
    <x v="49"/>
    <m/>
    <m/>
    <m/>
    <m/>
    <m/>
    <m/>
    <s v="JRNL00902204"/>
    <s v="JRNL00902204"/>
    <m/>
    <d v="2018-09-05T00:00:00"/>
    <d v="2018-09-05T00:00:00"/>
    <m/>
    <m/>
    <s v="wci_wa"/>
    <n v="0"/>
    <n v="0"/>
    <n v="0"/>
    <n v="0"/>
    <n v="0"/>
    <n v="1"/>
    <n v="70095"/>
    <n v="2183"/>
    <n v="0"/>
    <n v="0"/>
    <m/>
    <m/>
    <m/>
    <m/>
    <s v=""/>
  </r>
  <r>
    <s v="70095-2183-000-00"/>
    <d v="2018-08-31T00:00:00"/>
    <n v="-98"/>
    <n v="0"/>
    <s v="USD"/>
    <s v="JRNLWA00378512"/>
    <s v="P"/>
    <s v="Aug Pcard Activity - Western"/>
    <s v="HelenaK"/>
    <s v="0/JE IC"/>
    <m/>
    <m/>
    <x v="38"/>
    <m/>
    <m/>
    <m/>
    <m/>
    <m/>
    <m/>
    <s v="JRNL00902204"/>
    <s v="JRNL00902204"/>
    <m/>
    <d v="2018-09-05T00:00:00"/>
    <d v="2018-09-05T00:00:00"/>
    <m/>
    <m/>
    <s v="wci_wa"/>
    <n v="0"/>
    <n v="0"/>
    <n v="0"/>
    <n v="0"/>
    <n v="0"/>
    <n v="1"/>
    <n v="70095"/>
    <n v="2183"/>
    <n v="0"/>
    <n v="0"/>
    <m/>
    <m/>
    <m/>
    <m/>
    <s v=""/>
  </r>
  <r>
    <s v="70095-2183-000-00"/>
    <d v="2018-08-31T00:00:00"/>
    <n v="38.130000000000003"/>
    <n v="0"/>
    <s v="USD"/>
    <s v="JRNLWA00378911"/>
    <s v="P"/>
    <s v="WD Exp Report 8/2018"/>
    <s v="AlexandraP"/>
    <s v="0/JE IC"/>
    <m/>
    <m/>
    <x v="50"/>
    <m/>
    <m/>
    <m/>
    <m/>
    <m/>
    <m/>
    <s v="JRNL00902953"/>
    <s v="JRNL00902953"/>
    <m/>
    <d v="2018-09-06T00:00:00"/>
    <d v="2018-09-06T00:00:00"/>
    <m/>
    <m/>
    <s v="wci_wa"/>
    <n v="0"/>
    <n v="0"/>
    <n v="0"/>
    <n v="0"/>
    <n v="0"/>
    <n v="1"/>
    <n v="70095"/>
    <n v="2183"/>
    <n v="0"/>
    <n v="0"/>
    <m/>
    <m/>
    <m/>
    <m/>
    <s v=""/>
  </r>
  <r>
    <s v="70095-2183-000-00"/>
    <d v="2018-08-31T00:00:00"/>
    <n v="500"/>
    <n v="0"/>
    <s v="USD"/>
    <s v="JRNLWA00379108"/>
    <s v="P"/>
    <s v="OPEX13 - Pcard Accrual"/>
    <s v="HeatherWe"/>
    <s v="0/JE IC"/>
    <m/>
    <m/>
    <x v="51"/>
    <m/>
    <m/>
    <m/>
    <m/>
    <m/>
    <m/>
    <s v="JRNL00903485"/>
    <s v="JRNL00903485"/>
    <m/>
    <d v="2018-09-07T00:00:00"/>
    <d v="2018-09-07T00:00:00"/>
    <m/>
    <m/>
    <s v="wci_wa"/>
    <n v="0"/>
    <n v="0"/>
    <n v="0"/>
    <n v="0"/>
    <n v="0"/>
    <n v="1"/>
    <n v="70095"/>
    <n v="2183"/>
    <n v="0"/>
    <n v="0"/>
    <m/>
    <m/>
    <m/>
    <m/>
    <s v=""/>
  </r>
  <r>
    <s v="70095-2183-000-00"/>
    <d v="2018-08-31T00:00:00"/>
    <n v="100"/>
    <n v="0"/>
    <s v="USD"/>
    <s v="JRNLWA00379108"/>
    <s v="P"/>
    <s v="OPEX13 - Pcard Accrual"/>
    <s v="HeatherWe"/>
    <s v="0/JE IC"/>
    <m/>
    <m/>
    <x v="52"/>
    <m/>
    <m/>
    <m/>
    <m/>
    <m/>
    <m/>
    <s v="JRNL00903485"/>
    <s v="JRNL00903485"/>
    <m/>
    <d v="2018-09-07T00:00:00"/>
    <d v="2018-09-07T00:00:00"/>
    <m/>
    <m/>
    <s v="wci_wa"/>
    <n v="0"/>
    <n v="0"/>
    <n v="0"/>
    <n v="0"/>
    <n v="0"/>
    <n v="1"/>
    <n v="70095"/>
    <n v="2183"/>
    <n v="0"/>
    <n v="0"/>
    <m/>
    <m/>
    <m/>
    <m/>
    <s v=""/>
  </r>
  <r>
    <s v="70095-2183-000-00"/>
    <d v="2018-08-31T00:00:00"/>
    <n v="33.979999999999997"/>
    <n v="0"/>
    <s v="USD"/>
    <s v="JRNLWA00379108"/>
    <s v="P"/>
    <s v="OPEX13 - Pcard Accrual"/>
    <s v="HeatherWe"/>
    <s v="0/JE IC"/>
    <m/>
    <m/>
    <x v="53"/>
    <m/>
    <m/>
    <m/>
    <m/>
    <m/>
    <m/>
    <s v="JRNL00903485"/>
    <s v="JRNL00903485"/>
    <m/>
    <d v="2018-09-07T00:00:00"/>
    <d v="2018-09-07T00:00:00"/>
    <m/>
    <m/>
    <s v="wci_wa"/>
    <n v="0"/>
    <n v="0"/>
    <n v="0"/>
    <n v="0"/>
    <n v="0"/>
    <n v="1"/>
    <n v="70095"/>
    <n v="2183"/>
    <n v="0"/>
    <n v="0"/>
    <m/>
    <m/>
    <m/>
    <m/>
    <s v=""/>
  </r>
  <r>
    <s v="70095-2183-000-00"/>
    <d v="2018-08-31T00:00:00"/>
    <n v="564.79"/>
    <n v="0"/>
    <s v="USD"/>
    <s v="JRNLWA00379108"/>
    <s v="P"/>
    <s v="OPEX13 - Pcard Accrual"/>
    <s v="HeatherWe"/>
    <s v="0/JE IC"/>
    <m/>
    <m/>
    <x v="54"/>
    <m/>
    <m/>
    <m/>
    <m/>
    <m/>
    <m/>
    <s v="JRNL00903485"/>
    <s v="JRNL00903485"/>
    <m/>
    <d v="2018-09-07T00:00:00"/>
    <d v="2018-09-07T00:00:00"/>
    <m/>
    <m/>
    <s v="wci_wa"/>
    <n v="0"/>
    <n v="0"/>
    <n v="0"/>
    <n v="0"/>
    <n v="0"/>
    <n v="1"/>
    <n v="70095"/>
    <n v="2183"/>
    <n v="0"/>
    <n v="0"/>
    <m/>
    <m/>
    <m/>
    <m/>
    <s v=""/>
  </r>
  <r>
    <s v="70095-2183-000-00"/>
    <d v="2018-08-31T00:00:00"/>
    <n v="18.989999999999998"/>
    <n v="0"/>
    <s v="USD"/>
    <s v="JRNLWA00379108"/>
    <s v="P"/>
    <s v="OPEX13 - Pcard Accrual"/>
    <s v="HeatherWe"/>
    <s v="0/JE IC"/>
    <m/>
    <m/>
    <x v="10"/>
    <m/>
    <m/>
    <m/>
    <m/>
    <m/>
    <m/>
    <s v="JRNL00903485"/>
    <s v="JRNL00903485"/>
    <m/>
    <d v="2018-09-07T00:00:00"/>
    <d v="2018-09-07T00:00:00"/>
    <m/>
    <m/>
    <s v="wci_wa"/>
    <n v="0"/>
    <n v="0"/>
    <n v="0"/>
    <n v="0"/>
    <n v="0"/>
    <n v="1"/>
    <n v="70095"/>
    <n v="2183"/>
    <n v="0"/>
    <n v="0"/>
    <m/>
    <m/>
    <m/>
    <m/>
    <s v=""/>
  </r>
  <r>
    <s v="70095-2183-000-00"/>
    <d v="2018-08-31T00:00:00"/>
    <n v="3025.9"/>
    <n v="0"/>
    <s v="USD"/>
    <s v="JRNLWA00379254"/>
    <s v="P"/>
    <s v="OPEX9-Rcrd PP Amort. 13008"/>
    <s v="AlexandraP"/>
    <s v="0/JE IC"/>
    <m/>
    <m/>
    <x v="55"/>
    <m/>
    <m/>
    <m/>
    <m/>
    <m/>
    <m/>
    <s v="JRNL00903605"/>
    <s v="JRNL00903605"/>
    <m/>
    <d v="2018-09-07T00:00:00"/>
    <d v="2018-09-10T00:00:00"/>
    <m/>
    <m/>
    <s v="wci_wa"/>
    <n v="0"/>
    <n v="0"/>
    <n v="0"/>
    <n v="0"/>
    <n v="0"/>
    <n v="1"/>
    <n v="70095"/>
    <n v="2183"/>
    <n v="0"/>
    <n v="0"/>
    <m/>
    <m/>
    <m/>
    <m/>
    <s v=""/>
  </r>
  <r>
    <s v="70095-2183-000-00"/>
    <d v="2018-08-31T00:00:00"/>
    <n v="785.28"/>
    <n v="0"/>
    <s v="USD"/>
    <s v="JRNLWA00379259"/>
    <s v="P"/>
    <s v="Opex 12 - S LeMay PO Log accru"/>
    <s v="AlexandraP"/>
    <s v="0/JE IC"/>
    <m/>
    <m/>
    <x v="56"/>
    <m/>
    <m/>
    <m/>
    <m/>
    <m/>
    <m/>
    <s v="JRNL00903610"/>
    <s v="JRNL00903610"/>
    <m/>
    <d v="2018-09-07T00:00:00"/>
    <d v="2018-09-10T00:00:00"/>
    <m/>
    <m/>
    <s v="wci_wa"/>
    <n v="0"/>
    <n v="0"/>
    <n v="0"/>
    <n v="0"/>
    <n v="0"/>
    <n v="1"/>
    <n v="70095"/>
    <n v="2183"/>
    <n v="0"/>
    <n v="0"/>
    <m/>
    <m/>
    <m/>
    <m/>
    <s v=""/>
  </r>
  <r>
    <s v="70095-2183-000-00"/>
    <d v="2018-09-12T00:00:00"/>
    <n v="1000"/>
    <n v="0"/>
    <s v="USD"/>
    <s v="JRNLWA00379590"/>
    <s v="P"/>
    <s v="From Voucher Posting."/>
    <s v="JudyA"/>
    <s v="0/JE IC"/>
    <s v="VUS000018690"/>
    <m/>
    <x v="57"/>
    <d v="2018-09-01T00:00:00"/>
    <s v="2018 Annual Donation - Teddy Bear Tea Pa"/>
    <s v="2018 TBTP Donation"/>
    <s v="PO-2183-18-03952"/>
    <m/>
    <m/>
    <s v="VO04769767"/>
    <s v="JRNL00904376"/>
    <n v="2183"/>
    <d v="2018-09-12T00:00:00"/>
    <d v="2018-09-13T00:00:00"/>
    <n v="1000"/>
    <d v="2018-09-11T00:00:00"/>
    <s v="wci_wa"/>
    <n v="0"/>
    <n v="0"/>
    <n v="0"/>
    <n v="0"/>
    <n v="0"/>
    <n v="1"/>
    <n v="70095"/>
    <n v="2183"/>
    <n v="0"/>
    <n v="0"/>
    <m/>
    <m/>
    <m/>
    <m/>
    <s v="VO04769767"/>
  </r>
  <r>
    <s v="70095-2183-000-00"/>
    <d v="2018-09-18T00:00:00"/>
    <n v="785.28"/>
    <n v="0"/>
    <s v="USD"/>
    <s v="JRNLWA00379670"/>
    <s v="P"/>
    <s v="From Voucher Posting."/>
    <s v="JudyA"/>
    <s v="0/JE IC"/>
    <s v="VUS000011131"/>
    <m/>
    <x v="18"/>
    <d v="2018-08-21T00:00:00"/>
    <s v="Drive Cam Hoodies &amp; Hats for Driver's"/>
    <n v="4572"/>
    <s v="PO-2183-18-03541"/>
    <m/>
    <m/>
    <s v="VO04775187"/>
    <s v="JRNL00904637"/>
    <n v="2183"/>
    <d v="2018-09-18T00:00:00"/>
    <d v="2018-09-18T00:00:00"/>
    <n v="785.28"/>
    <d v="2018-09-25T00:00:00"/>
    <s v="wci_wa"/>
    <n v="0"/>
    <n v="0"/>
    <n v="0"/>
    <n v="0"/>
    <n v="0"/>
    <n v="1"/>
    <n v="70095"/>
    <n v="2183"/>
    <n v="0"/>
    <n v="0"/>
    <m/>
    <m/>
    <m/>
    <m/>
    <s v="VO04775187"/>
  </r>
  <r>
    <s v="70095-2183-000-00"/>
    <d v="2018-09-30T00:00:00"/>
    <n v="-500"/>
    <n v="0"/>
    <s v="USD"/>
    <s v="JRNLWA00379329"/>
    <s v="P"/>
    <s v="OPEX13 - Pcard Accrual"/>
    <s v="AlexandraP"/>
    <s v="0/JE IC"/>
    <m/>
    <m/>
    <x v="51"/>
    <m/>
    <m/>
    <m/>
    <m/>
    <m/>
    <m/>
    <s v="JRNL00903485"/>
    <s v="JRNL00903515"/>
    <m/>
    <d v="2018-09-07T00:00:00"/>
    <d v="2018-09-10T00:00:00"/>
    <m/>
    <m/>
    <s v="wci_wa"/>
    <n v="0"/>
    <n v="0"/>
    <n v="0"/>
    <n v="0"/>
    <n v="5"/>
    <n v="1"/>
    <n v="70095"/>
    <n v="2183"/>
    <n v="0"/>
    <n v="0"/>
    <m/>
    <m/>
    <m/>
    <m/>
    <s v=""/>
  </r>
  <r>
    <s v="70095-2183-000-00"/>
    <d v="2018-09-30T00:00:00"/>
    <n v="-100"/>
    <n v="0"/>
    <s v="USD"/>
    <s v="JRNLWA00379329"/>
    <s v="P"/>
    <s v="OPEX13 - Pcard Accrual"/>
    <s v="AlexandraP"/>
    <s v="0/JE IC"/>
    <m/>
    <m/>
    <x v="52"/>
    <m/>
    <m/>
    <m/>
    <m/>
    <m/>
    <m/>
    <s v="JRNL00903485"/>
    <s v="JRNL00903515"/>
    <m/>
    <d v="2018-09-07T00:00:00"/>
    <d v="2018-09-10T00:00:00"/>
    <m/>
    <m/>
    <s v="wci_wa"/>
    <n v="0"/>
    <n v="0"/>
    <n v="0"/>
    <n v="0"/>
    <n v="5"/>
    <n v="1"/>
    <n v="70095"/>
    <n v="2183"/>
    <n v="0"/>
    <n v="0"/>
    <m/>
    <m/>
    <m/>
    <m/>
    <s v=""/>
  </r>
  <r>
    <s v="70095-2183-000-00"/>
    <d v="2018-09-30T00:00:00"/>
    <n v="-33.979999999999997"/>
    <n v="0"/>
    <s v="USD"/>
    <s v="JRNLWA00379329"/>
    <s v="P"/>
    <s v="OPEX13 - Pcard Accrual"/>
    <s v="AlexandraP"/>
    <s v="0/JE IC"/>
    <m/>
    <m/>
    <x v="53"/>
    <m/>
    <m/>
    <m/>
    <m/>
    <m/>
    <m/>
    <s v="JRNL00903485"/>
    <s v="JRNL00903515"/>
    <m/>
    <d v="2018-09-07T00:00:00"/>
    <d v="2018-09-10T00:00:00"/>
    <m/>
    <m/>
    <s v="wci_wa"/>
    <n v="0"/>
    <n v="0"/>
    <n v="0"/>
    <n v="0"/>
    <n v="5"/>
    <n v="1"/>
    <n v="70095"/>
    <n v="2183"/>
    <n v="0"/>
    <n v="0"/>
    <m/>
    <m/>
    <m/>
    <m/>
    <s v=""/>
  </r>
  <r>
    <s v="70095-2183-000-00"/>
    <d v="2018-09-30T00:00:00"/>
    <n v="-564.79"/>
    <n v="0"/>
    <s v="USD"/>
    <s v="JRNLWA00379329"/>
    <s v="P"/>
    <s v="OPEX13 - Pcard Accrual"/>
    <s v="AlexandraP"/>
    <s v="0/JE IC"/>
    <m/>
    <m/>
    <x v="54"/>
    <m/>
    <m/>
    <m/>
    <m/>
    <m/>
    <m/>
    <s v="JRNL00903485"/>
    <s v="JRNL00903515"/>
    <m/>
    <d v="2018-09-07T00:00:00"/>
    <d v="2018-09-10T00:00:00"/>
    <m/>
    <m/>
    <s v="wci_wa"/>
    <n v="0"/>
    <n v="0"/>
    <n v="0"/>
    <n v="0"/>
    <n v="5"/>
    <n v="1"/>
    <n v="70095"/>
    <n v="2183"/>
    <n v="0"/>
    <n v="0"/>
    <m/>
    <m/>
    <m/>
    <m/>
    <s v=""/>
  </r>
  <r>
    <s v="70095-2183-000-00"/>
    <d v="2018-09-30T00:00:00"/>
    <n v="-18.989999999999998"/>
    <n v="0"/>
    <s v="USD"/>
    <s v="JRNLWA00379329"/>
    <s v="P"/>
    <s v="OPEX13 - Pcard Accrual"/>
    <s v="AlexandraP"/>
    <s v="0/JE IC"/>
    <m/>
    <m/>
    <x v="10"/>
    <m/>
    <m/>
    <m/>
    <m/>
    <m/>
    <m/>
    <s v="JRNL00903485"/>
    <s v="JRNL00903515"/>
    <m/>
    <d v="2018-09-07T00:00:00"/>
    <d v="2018-09-10T00:00:00"/>
    <m/>
    <m/>
    <s v="wci_wa"/>
    <n v="0"/>
    <n v="0"/>
    <n v="0"/>
    <n v="0"/>
    <n v="5"/>
    <n v="1"/>
    <n v="70095"/>
    <n v="2183"/>
    <n v="0"/>
    <n v="0"/>
    <m/>
    <m/>
    <m/>
    <m/>
    <s v=""/>
  </r>
  <r>
    <s v="70095-2183-000-00"/>
    <d v="2018-09-30T00:00:00"/>
    <n v="-785.28"/>
    <n v="0"/>
    <s v="USD"/>
    <s v="JRNLWA00379348"/>
    <s v="P"/>
    <s v="Opex 12 - S LeMay PO Log accru"/>
    <s v="AlexandraP"/>
    <s v="0/JE IC"/>
    <m/>
    <m/>
    <x v="56"/>
    <m/>
    <m/>
    <m/>
    <m/>
    <m/>
    <m/>
    <s v="JRNL00903610"/>
    <s v="JRNL00903807"/>
    <m/>
    <d v="2018-09-10T00:00:00"/>
    <d v="2018-09-10T00:00:00"/>
    <m/>
    <m/>
    <s v="wci_wa"/>
    <n v="0"/>
    <n v="0"/>
    <n v="0"/>
    <n v="0"/>
    <n v="5"/>
    <n v="1"/>
    <n v="70095"/>
    <n v="2183"/>
    <n v="0"/>
    <n v="0"/>
    <m/>
    <m/>
    <m/>
    <m/>
    <s v=""/>
  </r>
  <r>
    <s v="70095-2183-000-00"/>
    <d v="2018-09-30T00:00:00"/>
    <n v="750"/>
    <n v="0"/>
    <s v="USD"/>
    <s v="JRNLWA00379950"/>
    <s v="P"/>
    <s v="From Voucher Posting."/>
    <s v="MariaJ"/>
    <s v="0/JE IC"/>
    <s v="VUS000025759"/>
    <m/>
    <x v="58"/>
    <d v="2018-09-13T00:00:00"/>
    <s v="2018HAR16 - HARBOTTLE GOLF CLASSIC - BIR"/>
    <s v="2018HAR16"/>
    <s v="PO-2111-18-04821"/>
    <m/>
    <m/>
    <s v="VO04788723"/>
    <s v="JRNL00905548"/>
    <n v="2111"/>
    <d v="2018-10-01T00:00:00"/>
    <d v="2018-10-02T00:00:00"/>
    <n v="3000"/>
    <d v="2018-09-23T00:00:00"/>
    <s v="wci_wa"/>
    <n v="0"/>
    <n v="0"/>
    <n v="0"/>
    <n v="0"/>
    <n v="0"/>
    <n v="1"/>
    <n v="70095"/>
    <n v="2183"/>
    <n v="0"/>
    <n v="0"/>
    <m/>
    <m/>
    <m/>
    <m/>
    <s v="VO04788723"/>
  </r>
  <r>
    <s v="70095-2183-000-00"/>
    <d v="2018-09-30T00:00:00"/>
    <n v="500"/>
    <n v="0"/>
    <s v="USD"/>
    <s v="JRNLWA00380086"/>
    <s v="P"/>
    <s v="Western PCard Activity - Septe"/>
    <s v="AlexandraP"/>
    <s v="0/JE IC"/>
    <m/>
    <m/>
    <x v="51"/>
    <m/>
    <m/>
    <m/>
    <m/>
    <m/>
    <m/>
    <s v="JRNL00905848"/>
    <s v="JRNL00905848"/>
    <m/>
    <d v="2018-10-02T00:00:00"/>
    <d v="2018-10-02T00:00:00"/>
    <m/>
    <m/>
    <s v="wci_wa"/>
    <n v="0"/>
    <n v="0"/>
    <n v="0"/>
    <n v="0"/>
    <n v="0"/>
    <n v="1"/>
    <n v="70095"/>
    <n v="2183"/>
    <n v="0"/>
    <n v="0"/>
    <m/>
    <m/>
    <m/>
    <m/>
    <s v=""/>
  </r>
  <r>
    <s v="70095-2183-000-00"/>
    <d v="2018-09-30T00:00:00"/>
    <n v="-0.98"/>
    <n v="0"/>
    <s v="USD"/>
    <s v="JRNLWA00380086"/>
    <s v="P"/>
    <s v="Western PCard Activity - Septe"/>
    <s v="AlexandraP"/>
    <s v="0/JE IC"/>
    <m/>
    <m/>
    <x v="59"/>
    <m/>
    <m/>
    <m/>
    <m/>
    <m/>
    <m/>
    <s v="JRNL00905848"/>
    <s v="JRNL00905848"/>
    <m/>
    <d v="2018-10-02T00:00:00"/>
    <d v="2018-10-02T00:00:00"/>
    <m/>
    <m/>
    <s v="wci_wa"/>
    <n v="0"/>
    <n v="0"/>
    <n v="0"/>
    <n v="0"/>
    <n v="0"/>
    <n v="1"/>
    <n v="70095"/>
    <n v="2183"/>
    <n v="0"/>
    <n v="0"/>
    <m/>
    <m/>
    <m/>
    <m/>
    <s v=""/>
  </r>
  <r>
    <s v="70095-2183-000-00"/>
    <d v="2018-09-30T00:00:00"/>
    <n v="100"/>
    <n v="0"/>
    <s v="USD"/>
    <s v="JRNLWA00380086"/>
    <s v="P"/>
    <s v="Western PCard Activity - Septe"/>
    <s v="AlexandraP"/>
    <s v="0/JE IC"/>
    <m/>
    <m/>
    <x v="52"/>
    <m/>
    <m/>
    <m/>
    <m/>
    <m/>
    <m/>
    <s v="JRNL00905848"/>
    <s v="JRNL00905848"/>
    <m/>
    <d v="2018-10-02T00:00:00"/>
    <d v="2018-10-02T00:00:00"/>
    <m/>
    <m/>
    <s v="wci_wa"/>
    <n v="0"/>
    <n v="0"/>
    <n v="0"/>
    <n v="0"/>
    <n v="0"/>
    <n v="1"/>
    <n v="70095"/>
    <n v="2183"/>
    <n v="0"/>
    <n v="0"/>
    <m/>
    <m/>
    <m/>
    <m/>
    <s v=""/>
  </r>
  <r>
    <s v="70095-2183-000-00"/>
    <d v="2018-09-30T00:00:00"/>
    <n v="33.979999999999997"/>
    <n v="0"/>
    <s v="USD"/>
    <s v="JRNLWA00380086"/>
    <s v="P"/>
    <s v="Western PCard Activity - Septe"/>
    <s v="AlexandraP"/>
    <s v="0/JE IC"/>
    <m/>
    <m/>
    <x v="53"/>
    <m/>
    <m/>
    <m/>
    <m/>
    <m/>
    <m/>
    <s v="JRNL00905848"/>
    <s v="JRNL00905848"/>
    <m/>
    <d v="2018-10-02T00:00:00"/>
    <d v="2018-10-02T00:00:00"/>
    <m/>
    <m/>
    <s v="wci_wa"/>
    <n v="0"/>
    <n v="0"/>
    <n v="0"/>
    <n v="0"/>
    <n v="0"/>
    <n v="1"/>
    <n v="70095"/>
    <n v="2183"/>
    <n v="0"/>
    <n v="0"/>
    <m/>
    <m/>
    <m/>
    <m/>
    <s v=""/>
  </r>
  <r>
    <s v="70095-2183-000-00"/>
    <d v="2018-09-30T00:00:00"/>
    <n v="564.79"/>
    <n v="0"/>
    <s v="USD"/>
    <s v="JRNLWA00380086"/>
    <s v="P"/>
    <s v="Western PCard Activity - Septe"/>
    <s v="AlexandraP"/>
    <s v="0/JE IC"/>
    <m/>
    <m/>
    <x v="54"/>
    <m/>
    <m/>
    <m/>
    <m/>
    <m/>
    <m/>
    <s v="JRNL00905848"/>
    <s v="JRNL00905848"/>
    <m/>
    <d v="2018-10-02T00:00:00"/>
    <d v="2018-10-02T00:00:00"/>
    <m/>
    <m/>
    <s v="wci_wa"/>
    <n v="0"/>
    <n v="0"/>
    <n v="0"/>
    <n v="0"/>
    <n v="0"/>
    <n v="1"/>
    <n v="70095"/>
    <n v="2183"/>
    <n v="0"/>
    <n v="0"/>
    <m/>
    <m/>
    <m/>
    <m/>
    <s v=""/>
  </r>
  <r>
    <s v="70095-2183-000-00"/>
    <d v="2018-09-30T00:00:00"/>
    <n v="18.989999999999998"/>
    <n v="0"/>
    <s v="USD"/>
    <s v="JRNLWA00380086"/>
    <s v="P"/>
    <s v="Western PCard Activity - Septe"/>
    <s v="AlexandraP"/>
    <s v="0/JE IC"/>
    <m/>
    <m/>
    <x v="10"/>
    <m/>
    <m/>
    <m/>
    <m/>
    <m/>
    <m/>
    <s v="JRNL00905848"/>
    <s v="JRNL00905848"/>
    <m/>
    <d v="2018-10-02T00:00:00"/>
    <d v="2018-10-02T00:00:00"/>
    <m/>
    <m/>
    <s v="wci_wa"/>
    <n v="0"/>
    <n v="0"/>
    <n v="0"/>
    <n v="0"/>
    <n v="0"/>
    <n v="1"/>
    <n v="70095"/>
    <n v="2183"/>
    <n v="0"/>
    <n v="0"/>
    <m/>
    <m/>
    <m/>
    <m/>
    <s v=""/>
  </r>
  <r>
    <s v="70095-2183-000-00"/>
    <d v="2018-09-30T00:00:00"/>
    <n v="20.36"/>
    <n v="0"/>
    <s v="USD"/>
    <s v="JRNLWA00380086"/>
    <s v="P"/>
    <s v="Western PCard Activity - Septe"/>
    <s v="AlexandraP"/>
    <s v="0/JE IC"/>
    <m/>
    <m/>
    <x v="60"/>
    <m/>
    <m/>
    <m/>
    <m/>
    <m/>
    <m/>
    <s v="JRNL00905848"/>
    <s v="JRNL00905848"/>
    <m/>
    <d v="2018-10-02T00:00:00"/>
    <d v="2018-10-02T00:00:00"/>
    <m/>
    <m/>
    <s v="wci_wa"/>
    <n v="0"/>
    <n v="0"/>
    <n v="0"/>
    <n v="0"/>
    <n v="0"/>
    <n v="1"/>
    <n v="70095"/>
    <n v="2183"/>
    <n v="0"/>
    <n v="0"/>
    <m/>
    <m/>
    <m/>
    <m/>
    <s v=""/>
  </r>
  <r>
    <s v="70095-2183-000-00"/>
    <d v="2018-09-30T00:00:00"/>
    <n v="100"/>
    <n v="0"/>
    <s v="USD"/>
    <s v="JRNLWA00380086"/>
    <s v="P"/>
    <s v="Western PCard Activity - Septe"/>
    <s v="AlexandraP"/>
    <s v="0/JE IC"/>
    <m/>
    <m/>
    <x v="61"/>
    <m/>
    <m/>
    <m/>
    <m/>
    <m/>
    <m/>
    <s v="JRNL00905848"/>
    <s v="JRNL00905848"/>
    <m/>
    <d v="2018-10-02T00:00:00"/>
    <d v="2018-10-02T00:00:00"/>
    <m/>
    <m/>
    <s v="wci_wa"/>
    <n v="0"/>
    <n v="0"/>
    <n v="0"/>
    <n v="0"/>
    <n v="0"/>
    <n v="1"/>
    <n v="70095"/>
    <n v="2183"/>
    <n v="0"/>
    <n v="0"/>
    <m/>
    <m/>
    <m/>
    <m/>
    <s v=""/>
  </r>
  <r>
    <s v="70095-2183-000-00"/>
    <d v="2018-09-30T00:00:00"/>
    <n v="250"/>
    <n v="0"/>
    <s v="USD"/>
    <s v="JRNLWA00380086"/>
    <s v="P"/>
    <s v="Western PCard Activity - Septe"/>
    <s v="AlexandraP"/>
    <s v="0/JE IC"/>
    <m/>
    <m/>
    <x v="62"/>
    <m/>
    <m/>
    <m/>
    <m/>
    <m/>
    <m/>
    <s v="JRNL00905848"/>
    <s v="JRNL00905848"/>
    <m/>
    <d v="2018-10-02T00:00:00"/>
    <d v="2018-10-02T00:00:00"/>
    <m/>
    <m/>
    <s v="wci_wa"/>
    <n v="0"/>
    <n v="0"/>
    <n v="0"/>
    <n v="0"/>
    <n v="0"/>
    <n v="1"/>
    <n v="70095"/>
    <n v="2183"/>
    <n v="0"/>
    <n v="0"/>
    <m/>
    <m/>
    <m/>
    <m/>
    <s v=""/>
  </r>
  <r>
    <s v="70095-2183-000-00"/>
    <d v="2018-09-30T00:00:00"/>
    <n v="100"/>
    <n v="0"/>
    <s v="USD"/>
    <s v="JRNLWA00380086"/>
    <s v="P"/>
    <s v="Western PCard Activity - Septe"/>
    <s v="AlexandraP"/>
    <s v="0/JE IC"/>
    <m/>
    <m/>
    <x v="63"/>
    <m/>
    <m/>
    <m/>
    <m/>
    <m/>
    <m/>
    <s v="JRNL00905848"/>
    <s v="JRNL00905848"/>
    <m/>
    <d v="2018-10-02T00:00:00"/>
    <d v="2018-10-02T00:00:00"/>
    <m/>
    <m/>
    <s v="wci_wa"/>
    <n v="0"/>
    <n v="0"/>
    <n v="0"/>
    <n v="0"/>
    <n v="0"/>
    <n v="1"/>
    <n v="70095"/>
    <n v="2183"/>
    <n v="0"/>
    <n v="0"/>
    <m/>
    <m/>
    <m/>
    <m/>
    <s v=""/>
  </r>
  <r>
    <s v="70095-2183-000-00"/>
    <d v="2018-09-30T00:00:00"/>
    <n v="72.099999999999994"/>
    <n v="0"/>
    <s v="USD"/>
    <s v="JRNLWA00380086"/>
    <s v="P"/>
    <s v="Western PCard Activity - Septe"/>
    <s v="AlexandraP"/>
    <s v="0/JE IC"/>
    <m/>
    <m/>
    <x v="42"/>
    <m/>
    <m/>
    <m/>
    <m/>
    <m/>
    <m/>
    <s v="JRNL00905848"/>
    <s v="JRNL00905848"/>
    <m/>
    <d v="2018-10-02T00:00:00"/>
    <d v="2018-10-02T00:00:00"/>
    <m/>
    <m/>
    <s v="wci_wa"/>
    <n v="0"/>
    <n v="0"/>
    <n v="0"/>
    <n v="0"/>
    <n v="0"/>
    <n v="1"/>
    <n v="70095"/>
    <n v="2183"/>
    <n v="0"/>
    <n v="0"/>
    <m/>
    <m/>
    <m/>
    <m/>
    <s v=""/>
  </r>
  <r>
    <s v="70095-2183-000-00"/>
    <d v="2018-09-30T00:00:00"/>
    <n v="24005.73"/>
    <n v="0"/>
    <s v="USD"/>
    <s v="JRNLWA00380821"/>
    <s v="P"/>
    <s v="PO Log and GL Adjustments"/>
    <s v="AlexandraP"/>
    <s v="0/JE IC"/>
    <m/>
    <m/>
    <x v="64"/>
    <m/>
    <m/>
    <m/>
    <m/>
    <m/>
    <m/>
    <s v="JRNL00907281"/>
    <s v="JRNL00907281"/>
    <m/>
    <d v="2018-10-04T00:00:00"/>
    <d v="2018-10-05T00:00:00"/>
    <m/>
    <m/>
    <s v="wci_wa"/>
    <n v="0"/>
    <n v="0"/>
    <n v="0"/>
    <n v="0"/>
    <n v="0"/>
    <n v="1"/>
    <n v="70095"/>
    <n v="2183"/>
    <n v="0"/>
    <n v="0"/>
    <m/>
    <m/>
    <m/>
    <m/>
    <s v=""/>
  </r>
  <r>
    <s v="70095-2183-000-00"/>
    <d v="2018-10-31T00:00:00"/>
    <n v="250"/>
    <n v="0"/>
    <s v="USD"/>
    <m/>
    <s v="S"/>
    <s v="Western PCard Activity - October"/>
    <s v="JenniferB"/>
    <m/>
    <m/>
    <m/>
    <x v="65"/>
    <m/>
    <m/>
    <s v="JE22"/>
    <m/>
    <m/>
    <m/>
    <m/>
    <m/>
    <m/>
    <d v="2018-11-02T00:00:00"/>
    <m/>
    <m/>
    <m/>
    <m/>
    <n v="0"/>
    <m/>
    <m/>
    <m/>
    <m/>
    <m/>
    <n v="70095"/>
    <n v="2183"/>
    <n v="0"/>
    <n v="0"/>
    <m/>
    <s v="PO-2183-18-04371"/>
    <n v="2018010"/>
    <n v="2000"/>
    <s v=""/>
  </r>
  <r>
    <s v="70095-2183-000-00"/>
    <d v="2018-10-31T00:00:00"/>
    <n v="500"/>
    <n v="0"/>
    <s v="USD"/>
    <m/>
    <s v="S"/>
    <s v="Western PCard Activity - October"/>
    <s v="JenniferB"/>
    <m/>
    <m/>
    <m/>
    <x v="66"/>
    <m/>
    <m/>
    <s v="JE22"/>
    <m/>
    <m/>
    <m/>
    <m/>
    <m/>
    <m/>
    <d v="2018-11-02T00:00:00"/>
    <m/>
    <m/>
    <m/>
    <m/>
    <n v="0"/>
    <m/>
    <m/>
    <m/>
    <m/>
    <m/>
    <n v="70095"/>
    <n v="2183"/>
    <n v="0"/>
    <n v="0"/>
    <m/>
    <s v="PO-2183-18-04421"/>
    <n v="2018010"/>
    <n v="2000"/>
    <s v=""/>
  </r>
  <r>
    <s v="70095-2183-000-00"/>
    <d v="2018-10-31T00:00:00"/>
    <n v="18.989999999999998"/>
    <n v="0"/>
    <s v="USD"/>
    <m/>
    <s v="S"/>
    <s v="Western PCard Activity - October"/>
    <s v="JenniferB"/>
    <m/>
    <m/>
    <m/>
    <x v="10"/>
    <m/>
    <m/>
    <s v="JE22"/>
    <m/>
    <m/>
    <m/>
    <m/>
    <m/>
    <m/>
    <d v="2018-11-02T00:00:00"/>
    <m/>
    <m/>
    <m/>
    <m/>
    <n v="0"/>
    <m/>
    <m/>
    <m/>
    <m/>
    <m/>
    <n v="70095"/>
    <n v="2183"/>
    <n v="0"/>
    <n v="0"/>
    <m/>
    <s v="PO-2183-18-04461"/>
    <n v="2018010"/>
    <n v="2000"/>
    <s v=""/>
  </r>
  <r>
    <s v="70095-2183-000-00"/>
    <d v="2018-10-31T00:00:00"/>
    <n v="75.680000000000007"/>
    <n v="0"/>
    <s v="USD"/>
    <m/>
    <s v="S"/>
    <s v="Western PCard Activity - October"/>
    <s v="JenniferB"/>
    <m/>
    <m/>
    <m/>
    <x v="7"/>
    <m/>
    <m/>
    <s v="JE22"/>
    <m/>
    <m/>
    <m/>
    <m/>
    <m/>
    <m/>
    <d v="2018-11-02T00:00:00"/>
    <m/>
    <m/>
    <m/>
    <m/>
    <n v="0"/>
    <m/>
    <m/>
    <m/>
    <m/>
    <m/>
    <n v="70095"/>
    <n v="2183"/>
    <n v="0"/>
    <n v="0"/>
    <m/>
    <s v="PO-2183-18-04509"/>
    <n v="2018010"/>
    <n v="2000"/>
    <s v=""/>
  </r>
  <r>
    <s v="70095-2183-000-00"/>
    <d v="2018-10-31T00:00:00"/>
    <n v="87.12"/>
    <n v="0"/>
    <s v="USD"/>
    <m/>
    <s v="S"/>
    <s v="Western PCard Activity - October"/>
    <s v="JenniferB"/>
    <m/>
    <m/>
    <m/>
    <x v="7"/>
    <m/>
    <m/>
    <s v="JE22"/>
    <m/>
    <m/>
    <m/>
    <m/>
    <m/>
    <m/>
    <d v="2018-11-02T00:00:00"/>
    <m/>
    <m/>
    <m/>
    <m/>
    <n v="0"/>
    <m/>
    <m/>
    <m/>
    <m/>
    <m/>
    <n v="70095"/>
    <n v="2183"/>
    <n v="0"/>
    <n v="0"/>
    <m/>
    <s v="PO-2183-18-04510"/>
    <n v="2018010"/>
    <n v="2000"/>
    <s v=""/>
  </r>
  <r>
    <s v="70095-2183-000-00"/>
    <d v="2018-10-31T00:00:00"/>
    <n v="85.49"/>
    <n v="0"/>
    <s v="USD"/>
    <m/>
    <s v="S"/>
    <s v="Western PCard Activity - October"/>
    <s v="JenniferB"/>
    <m/>
    <m/>
    <m/>
    <x v="7"/>
    <m/>
    <m/>
    <s v="JE22"/>
    <m/>
    <m/>
    <m/>
    <m/>
    <m/>
    <m/>
    <d v="2018-11-02T00:00:00"/>
    <m/>
    <m/>
    <m/>
    <m/>
    <n v="0"/>
    <m/>
    <m/>
    <m/>
    <m/>
    <m/>
    <n v="70095"/>
    <n v="2183"/>
    <n v="0"/>
    <n v="0"/>
    <m/>
    <s v="PO-2183-18-04511"/>
    <n v="2018010"/>
    <n v="2000"/>
    <s v=""/>
  </r>
  <r>
    <s v="70095-2183-000-00"/>
    <d v="2018-10-31T00:00:00"/>
    <n v="83.38"/>
    <n v="0"/>
    <s v="USD"/>
    <m/>
    <s v="S"/>
    <s v="Western PCard Activity - October"/>
    <s v="JenniferB"/>
    <m/>
    <m/>
    <m/>
    <x v="67"/>
    <m/>
    <m/>
    <s v="JE22"/>
    <m/>
    <m/>
    <m/>
    <m/>
    <m/>
    <m/>
    <d v="2018-11-02T00:00:00"/>
    <m/>
    <m/>
    <m/>
    <m/>
    <n v="0"/>
    <m/>
    <m/>
    <m/>
    <m/>
    <m/>
    <n v="70095"/>
    <n v="2183"/>
    <n v="0"/>
    <n v="0"/>
    <m/>
    <s v="PO-2183-18-04535"/>
    <n v="2018010"/>
    <n v="2000"/>
    <s v=""/>
  </r>
  <r>
    <s v="70095-2183-000-00"/>
    <d v="2018-10-31T00:00:00"/>
    <n v="143.5"/>
    <n v="0"/>
    <s v="USD"/>
    <m/>
    <s v="S"/>
    <s v="Western PCard Activity - October"/>
    <s v="JenniferB"/>
    <m/>
    <m/>
    <m/>
    <x v="68"/>
    <m/>
    <m/>
    <s v="JE22"/>
    <m/>
    <m/>
    <m/>
    <m/>
    <m/>
    <m/>
    <d v="2018-11-02T00:00:00"/>
    <m/>
    <m/>
    <m/>
    <m/>
    <n v="0"/>
    <m/>
    <m/>
    <m/>
    <m/>
    <m/>
    <n v="70095"/>
    <n v="2183"/>
    <n v="0"/>
    <n v="0"/>
    <m/>
    <s v="PO-2183-18-04600"/>
    <n v="2018010"/>
    <n v="2000"/>
    <s v=""/>
  </r>
  <r>
    <s v="70095-2183-000-00"/>
    <d v="2018-10-31T00:00:00"/>
    <n v="156.26"/>
    <n v="0"/>
    <s v="USD"/>
    <m/>
    <s v="S"/>
    <s v="Western PCard Activity - October"/>
    <s v="JenniferB"/>
    <m/>
    <m/>
    <m/>
    <x v="68"/>
    <m/>
    <m/>
    <s v="JE22"/>
    <m/>
    <m/>
    <m/>
    <m/>
    <m/>
    <m/>
    <d v="2018-11-02T00:00:00"/>
    <m/>
    <m/>
    <m/>
    <m/>
    <n v="0"/>
    <m/>
    <m/>
    <m/>
    <m/>
    <m/>
    <n v="70095"/>
    <n v="2183"/>
    <n v="0"/>
    <n v="0"/>
    <m/>
    <s v="PO-2183-18-04601"/>
    <n v="2018010"/>
    <n v="2000"/>
    <s v=""/>
  </r>
  <r>
    <s v="70095-2183-000-00"/>
    <d v="2018-10-31T00:00:00"/>
    <n v="130.46"/>
    <n v="0"/>
    <s v="USD"/>
    <m/>
    <s v="S"/>
    <s v="Western PCard Activity - October"/>
    <s v="JenniferB"/>
    <m/>
    <m/>
    <m/>
    <x v="68"/>
    <m/>
    <m/>
    <s v="JE22"/>
    <m/>
    <m/>
    <m/>
    <m/>
    <m/>
    <m/>
    <d v="2018-11-02T00:00:00"/>
    <m/>
    <m/>
    <m/>
    <m/>
    <n v="0"/>
    <m/>
    <m/>
    <m/>
    <m/>
    <m/>
    <n v="70095"/>
    <n v="2183"/>
    <n v="0"/>
    <n v="0"/>
    <m/>
    <s v="PO-2183-18-04602"/>
    <n v="2018010"/>
    <n v="2000"/>
    <s v=""/>
  </r>
  <r>
    <s v="70095-2183-000-00"/>
    <d v="2018-10-31T00:00:00"/>
    <n v="32.020000000000003"/>
    <n v="0"/>
    <s v="USD"/>
    <m/>
    <s v="S"/>
    <s v="Western PCard Activity - October"/>
    <s v="JenniferB"/>
    <m/>
    <m/>
    <m/>
    <x v="69"/>
    <m/>
    <m/>
    <s v="JE22"/>
    <m/>
    <m/>
    <m/>
    <m/>
    <m/>
    <m/>
    <d v="2018-11-02T00:00:00"/>
    <m/>
    <m/>
    <m/>
    <m/>
    <n v="0"/>
    <m/>
    <m/>
    <m/>
    <m/>
    <m/>
    <n v="70095"/>
    <n v="2183"/>
    <n v="0"/>
    <n v="0"/>
    <m/>
    <s v="PO-2183-18-04632"/>
    <n v="2018010"/>
    <n v="2000"/>
    <s v=""/>
  </r>
  <r>
    <s v="70095-2183-000-00"/>
    <d v="2018-10-31T00:00:00"/>
    <n v="30.98"/>
    <n v="0"/>
    <s v="USD"/>
    <m/>
    <s v="S"/>
    <s v="Western PCard Activity - October"/>
    <s v="JenniferB"/>
    <m/>
    <m/>
    <m/>
    <x v="10"/>
    <m/>
    <m/>
    <s v="JE22"/>
    <m/>
    <m/>
    <m/>
    <m/>
    <m/>
    <m/>
    <d v="2018-11-02T00:00:00"/>
    <m/>
    <m/>
    <m/>
    <m/>
    <n v="0"/>
    <m/>
    <m/>
    <m/>
    <m/>
    <m/>
    <n v="70095"/>
    <n v="2183"/>
    <n v="0"/>
    <n v="0"/>
    <m/>
    <s v="PO-2183-18-04737"/>
    <n v="2018010"/>
    <n v="2000"/>
    <s v=""/>
  </r>
  <r>
    <s v="70095-2183-000-00"/>
    <d v="2018-10-31T00:00:00"/>
    <n v="46.81"/>
    <n v="0"/>
    <s v="USD"/>
    <m/>
    <s v="S"/>
    <s v="Western PCard Activity - October"/>
    <s v="JenniferB"/>
    <m/>
    <m/>
    <m/>
    <x v="70"/>
    <m/>
    <m/>
    <s v="JE22"/>
    <m/>
    <m/>
    <m/>
    <m/>
    <m/>
    <m/>
    <d v="2018-11-02T00:00:00"/>
    <m/>
    <m/>
    <m/>
    <m/>
    <n v="0"/>
    <m/>
    <m/>
    <m/>
    <m/>
    <m/>
    <n v="70095"/>
    <n v="2183"/>
    <n v="0"/>
    <n v="0"/>
    <m/>
    <s v="PO-2183-18-04791"/>
    <n v="2018010"/>
    <n v="2000"/>
    <s v=""/>
  </r>
  <r>
    <s v="70095-2183-000-00"/>
    <d v="2018-10-31T00:00:00"/>
    <n v="250"/>
    <n v="0"/>
    <s v="USD"/>
    <s v="JRNLWA00381684"/>
    <s v="P"/>
    <s v="Western PCard Activity - Octob"/>
    <s v="AlexandraP"/>
    <s v="0/JE IC"/>
    <m/>
    <m/>
    <x v="65"/>
    <m/>
    <m/>
    <m/>
    <m/>
    <m/>
    <m/>
    <s v="JRNL00909891"/>
    <s v="JRNL00909891"/>
    <m/>
    <d v="2018-11-02T00:00:00"/>
    <d v="2018-11-02T00:00:00"/>
    <m/>
    <m/>
    <s v="wci_wa"/>
    <n v="0"/>
    <n v="0"/>
    <n v="0"/>
    <n v="0"/>
    <n v="0"/>
    <n v="1"/>
    <n v="70095"/>
    <n v="2183"/>
    <n v="0"/>
    <n v="0"/>
    <m/>
    <m/>
    <m/>
    <m/>
    <s v=""/>
  </r>
  <r>
    <s v="70095-2183-000-00"/>
    <d v="2018-10-31T00:00:00"/>
    <n v="500"/>
    <n v="0"/>
    <s v="USD"/>
    <s v="JRNLWA00381684"/>
    <s v="P"/>
    <s v="Western PCard Activity - Octob"/>
    <s v="AlexandraP"/>
    <s v="0/JE IC"/>
    <m/>
    <m/>
    <x v="66"/>
    <m/>
    <m/>
    <m/>
    <m/>
    <m/>
    <m/>
    <s v="JRNL00909891"/>
    <s v="JRNL00909891"/>
    <m/>
    <d v="2018-11-02T00:00:00"/>
    <d v="2018-11-02T00:00:00"/>
    <m/>
    <m/>
    <s v="wci_wa"/>
    <n v="0"/>
    <n v="0"/>
    <n v="0"/>
    <n v="0"/>
    <n v="0"/>
    <n v="1"/>
    <n v="70095"/>
    <n v="2183"/>
    <n v="0"/>
    <n v="0"/>
    <m/>
    <m/>
    <m/>
    <m/>
    <s v=""/>
  </r>
  <r>
    <s v="70095-2183-000-00"/>
    <d v="2018-10-31T00:00:00"/>
    <n v="18.989999999999998"/>
    <n v="0"/>
    <s v="USD"/>
    <s v="JRNLWA00381684"/>
    <s v="P"/>
    <s v="Western PCard Activity - Octob"/>
    <s v="AlexandraP"/>
    <s v="0/JE IC"/>
    <m/>
    <m/>
    <x v="10"/>
    <m/>
    <m/>
    <m/>
    <m/>
    <m/>
    <m/>
    <s v="JRNL00909891"/>
    <s v="JRNL00909891"/>
    <m/>
    <d v="2018-11-02T00:00:00"/>
    <d v="2018-11-02T00:00:00"/>
    <m/>
    <m/>
    <s v="wci_wa"/>
    <n v="0"/>
    <n v="0"/>
    <n v="0"/>
    <n v="0"/>
    <n v="0"/>
    <n v="1"/>
    <n v="70095"/>
    <n v="2183"/>
    <n v="0"/>
    <n v="0"/>
    <m/>
    <m/>
    <m/>
    <m/>
    <s v=""/>
  </r>
  <r>
    <s v="70095-2183-000-00"/>
    <d v="2018-10-31T00:00:00"/>
    <n v="75.680000000000007"/>
    <n v="0"/>
    <s v="USD"/>
    <s v="JRNLWA00381684"/>
    <s v="P"/>
    <s v="Western PCard Activity - Octob"/>
    <s v="AlexandraP"/>
    <s v="0/JE IC"/>
    <m/>
    <m/>
    <x v="7"/>
    <m/>
    <m/>
    <m/>
    <m/>
    <m/>
    <m/>
    <s v="JRNL00909891"/>
    <s v="JRNL00909891"/>
    <m/>
    <d v="2018-11-02T00:00:00"/>
    <d v="2018-11-02T00:00:00"/>
    <m/>
    <m/>
    <s v="wci_wa"/>
    <n v="0"/>
    <n v="0"/>
    <n v="0"/>
    <n v="0"/>
    <n v="0"/>
    <n v="1"/>
    <n v="70095"/>
    <n v="2183"/>
    <n v="0"/>
    <n v="0"/>
    <m/>
    <m/>
    <m/>
    <m/>
    <s v=""/>
  </r>
  <r>
    <s v="70095-2183-000-00"/>
    <d v="2018-10-31T00:00:00"/>
    <n v="87.12"/>
    <n v="0"/>
    <s v="USD"/>
    <s v="JRNLWA00381684"/>
    <s v="P"/>
    <s v="Western PCard Activity - Octob"/>
    <s v="AlexandraP"/>
    <s v="0/JE IC"/>
    <m/>
    <m/>
    <x v="7"/>
    <m/>
    <m/>
    <m/>
    <m/>
    <m/>
    <m/>
    <s v="JRNL00909891"/>
    <s v="JRNL00909891"/>
    <m/>
    <d v="2018-11-02T00:00:00"/>
    <d v="2018-11-02T00:00:00"/>
    <m/>
    <m/>
    <s v="wci_wa"/>
    <n v="0"/>
    <n v="0"/>
    <n v="0"/>
    <n v="0"/>
    <n v="0"/>
    <n v="1"/>
    <n v="70095"/>
    <n v="2183"/>
    <n v="0"/>
    <n v="0"/>
    <m/>
    <m/>
    <m/>
    <m/>
    <s v=""/>
  </r>
  <r>
    <s v="70095-2183-000-00"/>
    <d v="2018-10-31T00:00:00"/>
    <n v="85.49"/>
    <n v="0"/>
    <s v="USD"/>
    <s v="JRNLWA00381684"/>
    <s v="P"/>
    <s v="Western PCard Activity - Octob"/>
    <s v="AlexandraP"/>
    <s v="0/JE IC"/>
    <m/>
    <m/>
    <x v="7"/>
    <m/>
    <m/>
    <m/>
    <m/>
    <m/>
    <m/>
    <s v="JRNL00909891"/>
    <s v="JRNL00909891"/>
    <m/>
    <d v="2018-11-02T00:00:00"/>
    <d v="2018-11-02T00:00:00"/>
    <m/>
    <m/>
    <s v="wci_wa"/>
    <n v="0"/>
    <n v="0"/>
    <n v="0"/>
    <n v="0"/>
    <n v="0"/>
    <n v="1"/>
    <n v="70095"/>
    <n v="2183"/>
    <n v="0"/>
    <n v="0"/>
    <m/>
    <m/>
    <m/>
    <m/>
    <s v=""/>
  </r>
  <r>
    <s v="70095-2183-000-00"/>
    <d v="2018-10-31T00:00:00"/>
    <n v="83.38"/>
    <n v="0"/>
    <s v="USD"/>
    <s v="JRNLWA00381684"/>
    <s v="P"/>
    <s v="Western PCard Activity - Octob"/>
    <s v="AlexandraP"/>
    <s v="0/JE IC"/>
    <m/>
    <m/>
    <x v="67"/>
    <m/>
    <m/>
    <m/>
    <m/>
    <m/>
    <m/>
    <s v="JRNL00909891"/>
    <s v="JRNL00909891"/>
    <m/>
    <d v="2018-11-02T00:00:00"/>
    <d v="2018-11-02T00:00:00"/>
    <m/>
    <m/>
    <s v="wci_wa"/>
    <n v="0"/>
    <n v="0"/>
    <n v="0"/>
    <n v="0"/>
    <n v="0"/>
    <n v="1"/>
    <n v="70095"/>
    <n v="2183"/>
    <n v="0"/>
    <n v="0"/>
    <m/>
    <m/>
    <m/>
    <m/>
    <s v=""/>
  </r>
  <r>
    <s v="70095-2183-000-00"/>
    <d v="2018-10-31T00:00:00"/>
    <n v="143.5"/>
    <n v="0"/>
    <s v="USD"/>
    <s v="JRNLWA00381684"/>
    <s v="P"/>
    <s v="Western PCard Activity - Octob"/>
    <s v="AlexandraP"/>
    <s v="0/JE IC"/>
    <m/>
    <m/>
    <x v="68"/>
    <m/>
    <m/>
    <m/>
    <m/>
    <m/>
    <m/>
    <s v="JRNL00909891"/>
    <s v="JRNL00909891"/>
    <m/>
    <d v="2018-11-02T00:00:00"/>
    <d v="2018-11-02T00:00:00"/>
    <m/>
    <m/>
    <s v="wci_wa"/>
    <n v="0"/>
    <n v="0"/>
    <n v="0"/>
    <n v="0"/>
    <n v="0"/>
    <n v="1"/>
    <n v="70095"/>
    <n v="2183"/>
    <n v="0"/>
    <n v="0"/>
    <m/>
    <m/>
    <m/>
    <m/>
    <s v=""/>
  </r>
  <r>
    <s v="70095-2183-000-00"/>
    <d v="2018-10-31T00:00:00"/>
    <n v="156.26"/>
    <n v="0"/>
    <s v="USD"/>
    <s v="JRNLWA00381684"/>
    <s v="P"/>
    <s v="Western PCard Activity - Octob"/>
    <s v="AlexandraP"/>
    <s v="0/JE IC"/>
    <m/>
    <m/>
    <x v="68"/>
    <m/>
    <m/>
    <m/>
    <m/>
    <m/>
    <m/>
    <s v="JRNL00909891"/>
    <s v="JRNL00909891"/>
    <m/>
    <d v="2018-11-02T00:00:00"/>
    <d v="2018-11-02T00:00:00"/>
    <m/>
    <m/>
    <s v="wci_wa"/>
    <n v="0"/>
    <n v="0"/>
    <n v="0"/>
    <n v="0"/>
    <n v="0"/>
    <n v="1"/>
    <n v="70095"/>
    <n v="2183"/>
    <n v="0"/>
    <n v="0"/>
    <m/>
    <m/>
    <m/>
    <m/>
    <s v=""/>
  </r>
  <r>
    <s v="70095-2183-000-00"/>
    <d v="2018-10-31T00:00:00"/>
    <n v="130.46"/>
    <n v="0"/>
    <s v="USD"/>
    <s v="JRNLWA00381684"/>
    <s v="P"/>
    <s v="Western PCard Activity - Octob"/>
    <s v="AlexandraP"/>
    <s v="0/JE IC"/>
    <m/>
    <m/>
    <x v="68"/>
    <m/>
    <m/>
    <m/>
    <m/>
    <m/>
    <m/>
    <s v="JRNL00909891"/>
    <s v="JRNL00909891"/>
    <m/>
    <d v="2018-11-02T00:00:00"/>
    <d v="2018-11-02T00:00:00"/>
    <m/>
    <m/>
    <s v="wci_wa"/>
    <n v="0"/>
    <n v="0"/>
    <n v="0"/>
    <n v="0"/>
    <n v="0"/>
    <n v="1"/>
    <n v="70095"/>
    <n v="2183"/>
    <n v="0"/>
    <n v="0"/>
    <m/>
    <m/>
    <m/>
    <m/>
    <s v=""/>
  </r>
  <r>
    <s v="70095-2183-000-00"/>
    <d v="2018-10-31T00:00:00"/>
    <n v="32.020000000000003"/>
    <n v="0"/>
    <s v="USD"/>
    <s v="JRNLWA00381684"/>
    <s v="P"/>
    <s v="Western PCard Activity - Octob"/>
    <s v="AlexandraP"/>
    <s v="0/JE IC"/>
    <m/>
    <m/>
    <x v="69"/>
    <m/>
    <m/>
    <m/>
    <m/>
    <m/>
    <m/>
    <s v="JRNL00909891"/>
    <s v="JRNL00909891"/>
    <m/>
    <d v="2018-11-02T00:00:00"/>
    <d v="2018-11-02T00:00:00"/>
    <m/>
    <m/>
    <s v="wci_wa"/>
    <n v="0"/>
    <n v="0"/>
    <n v="0"/>
    <n v="0"/>
    <n v="0"/>
    <n v="1"/>
    <n v="70095"/>
    <n v="2183"/>
    <n v="0"/>
    <n v="0"/>
    <m/>
    <m/>
    <m/>
    <m/>
    <s v=""/>
  </r>
  <r>
    <s v="70095-2183-000-00"/>
    <d v="2018-10-31T00:00:00"/>
    <n v="30.98"/>
    <n v="0"/>
    <s v="USD"/>
    <s v="JRNLWA00381684"/>
    <s v="P"/>
    <s v="Western PCard Activity - Octob"/>
    <s v="AlexandraP"/>
    <s v="0/JE IC"/>
    <m/>
    <m/>
    <x v="10"/>
    <m/>
    <m/>
    <m/>
    <m/>
    <m/>
    <m/>
    <s v="JRNL00909891"/>
    <s v="JRNL00909891"/>
    <m/>
    <d v="2018-11-02T00:00:00"/>
    <d v="2018-11-02T00:00:00"/>
    <m/>
    <m/>
    <s v="wci_wa"/>
    <n v="0"/>
    <n v="0"/>
    <n v="0"/>
    <n v="0"/>
    <n v="0"/>
    <n v="1"/>
    <n v="70095"/>
    <n v="2183"/>
    <n v="0"/>
    <n v="0"/>
    <m/>
    <m/>
    <m/>
    <m/>
    <s v=""/>
  </r>
  <r>
    <s v="70095-2183-000-00"/>
    <d v="2018-10-31T00:00:00"/>
    <n v="46.81"/>
    <n v="0"/>
    <s v="USD"/>
    <s v="JRNLWA00381684"/>
    <s v="P"/>
    <s v="Western PCard Activity - Octob"/>
    <s v="AlexandraP"/>
    <s v="0/JE IC"/>
    <m/>
    <m/>
    <x v="70"/>
    <m/>
    <m/>
    <m/>
    <m/>
    <m/>
    <m/>
    <s v="JRNL00909891"/>
    <s v="JRNL00909891"/>
    <m/>
    <d v="2018-11-02T00:00:00"/>
    <d v="2018-11-02T00:00:00"/>
    <m/>
    <m/>
    <s v="wci_wa"/>
    <n v="0"/>
    <n v="0"/>
    <n v="0"/>
    <n v="0"/>
    <n v="0"/>
    <n v="1"/>
    <n v="70095"/>
    <n v="2183"/>
    <n v="0"/>
    <n v="0"/>
    <m/>
    <m/>
    <m/>
    <m/>
    <s v=""/>
  </r>
  <r>
    <s v="70095-2183-000-00"/>
    <d v="2018-10-31T00:00:00"/>
    <n v="6.53"/>
    <n v="0"/>
    <s v="USD"/>
    <s v="JRNLWA00382214"/>
    <s v="P"/>
    <s v="OPEX13 - Pcard Accrual"/>
    <s v="AlexandraP"/>
    <s v="0/JE IC"/>
    <m/>
    <m/>
    <x v="70"/>
    <m/>
    <m/>
    <m/>
    <m/>
    <m/>
    <m/>
    <s v="JRNL00911254"/>
    <s v="JRNL00911254"/>
    <m/>
    <d v="2018-11-07T00:00:00"/>
    <d v="2018-11-07T00:00:00"/>
    <m/>
    <m/>
    <s v="wci_wa"/>
    <n v="0"/>
    <n v="0"/>
    <n v="0"/>
    <n v="0"/>
    <n v="0"/>
    <n v="1"/>
    <n v="70095"/>
    <n v="2183"/>
    <n v="0"/>
    <n v="0"/>
    <m/>
    <m/>
    <m/>
    <m/>
    <s v=""/>
  </r>
  <r>
    <s v="70095-2183-000-00"/>
    <d v="2018-10-31T00:00:00"/>
    <n v="31.98"/>
    <n v="0"/>
    <s v="USD"/>
    <s v="JRNLWA00382214"/>
    <s v="P"/>
    <s v="OPEX13 - Pcard Accrual"/>
    <s v="AlexandraP"/>
    <s v="0/JE IC"/>
    <m/>
    <m/>
    <x v="10"/>
    <m/>
    <m/>
    <m/>
    <m/>
    <m/>
    <m/>
    <s v="JRNL00911254"/>
    <s v="JRNL00911254"/>
    <m/>
    <d v="2018-11-07T00:00:00"/>
    <d v="2018-11-07T00:00:00"/>
    <m/>
    <m/>
    <s v="wci_wa"/>
    <n v="0"/>
    <n v="0"/>
    <n v="0"/>
    <n v="0"/>
    <n v="0"/>
    <n v="1"/>
    <n v="70095"/>
    <n v="2183"/>
    <n v="0"/>
    <n v="0"/>
    <m/>
    <m/>
    <m/>
    <m/>
    <s v=""/>
  </r>
  <r>
    <s v="70095-2183-000-00"/>
    <d v="2018-10-31T00:00:00"/>
    <n v="163.35"/>
    <n v="0"/>
    <s v="USD"/>
    <s v="JRNLWA00382214"/>
    <s v="P"/>
    <s v="OPEX13 - Pcard Accrual"/>
    <s v="AlexandraP"/>
    <s v="0/JE IC"/>
    <m/>
    <m/>
    <x v="71"/>
    <m/>
    <m/>
    <m/>
    <m/>
    <m/>
    <m/>
    <s v="JRNL00911254"/>
    <s v="JRNL00911254"/>
    <m/>
    <d v="2018-11-07T00:00:00"/>
    <d v="2018-11-07T00:00:00"/>
    <m/>
    <m/>
    <s v="wci_wa"/>
    <n v="0"/>
    <n v="0"/>
    <n v="0"/>
    <n v="0"/>
    <n v="0"/>
    <n v="1"/>
    <n v="70095"/>
    <n v="2183"/>
    <n v="0"/>
    <n v="0"/>
    <m/>
    <m/>
    <m/>
    <m/>
    <s v=""/>
  </r>
  <r>
    <s v="70095-2183-000-00"/>
    <d v="2018-10-31T00:00:00"/>
    <n v="31.98"/>
    <n v="0"/>
    <s v="USD"/>
    <s v="JRNLWA00382214"/>
    <s v="P"/>
    <s v="OPEX13 - Pcard Accrual"/>
    <s v="AlexandraP"/>
    <s v="0/JE IC"/>
    <m/>
    <m/>
    <x v="10"/>
    <m/>
    <m/>
    <m/>
    <m/>
    <m/>
    <m/>
    <s v="JRNL00911254"/>
    <s v="JRNL00911254"/>
    <m/>
    <d v="2018-11-07T00:00:00"/>
    <d v="2018-11-07T00:00:00"/>
    <m/>
    <m/>
    <s v="wci_wa"/>
    <n v="0"/>
    <n v="0"/>
    <n v="0"/>
    <n v="0"/>
    <n v="0"/>
    <n v="1"/>
    <n v="70095"/>
    <n v="2183"/>
    <n v="0"/>
    <n v="0"/>
    <m/>
    <m/>
    <m/>
    <m/>
    <s v=""/>
  </r>
  <r>
    <s v="70095-2183-000-00"/>
    <d v="2018-10-31T00:00:00"/>
    <n v="30.66"/>
    <n v="0"/>
    <s v="USD"/>
    <s v="JRNLWA00382214"/>
    <s v="P"/>
    <s v="OPEX13 - Pcard Accrual"/>
    <s v="AlexandraP"/>
    <s v="0/JE IC"/>
    <m/>
    <m/>
    <x v="10"/>
    <m/>
    <m/>
    <m/>
    <m/>
    <m/>
    <m/>
    <s v="JRNL00911254"/>
    <s v="JRNL00911254"/>
    <m/>
    <d v="2018-11-07T00:00:00"/>
    <d v="2018-11-07T00:00:00"/>
    <m/>
    <m/>
    <s v="wci_wa"/>
    <n v="0"/>
    <n v="0"/>
    <n v="0"/>
    <n v="0"/>
    <n v="0"/>
    <n v="1"/>
    <n v="70095"/>
    <n v="2183"/>
    <n v="0"/>
    <n v="0"/>
    <m/>
    <m/>
    <m/>
    <m/>
    <s v=""/>
  </r>
  <r>
    <s v="70095-2183-000-00"/>
    <d v="2018-11-30T00:00:00"/>
    <n v="-6.53"/>
    <n v="0"/>
    <s v="USD"/>
    <s v="JRNLWA00382246"/>
    <s v="P"/>
    <s v="OPEX13 - Pcard Accrual"/>
    <s v="AlexandraP"/>
    <s v="0/JE IC"/>
    <m/>
    <m/>
    <x v="70"/>
    <m/>
    <m/>
    <m/>
    <m/>
    <m/>
    <m/>
    <s v="JRNL00911254"/>
    <s v="JRNL00911334"/>
    <m/>
    <d v="2018-11-07T00:00:00"/>
    <d v="2018-11-07T00:00:00"/>
    <m/>
    <m/>
    <s v="wci_wa"/>
    <n v="0"/>
    <n v="0"/>
    <n v="0"/>
    <n v="0"/>
    <n v="5"/>
    <n v="1"/>
    <n v="70095"/>
    <n v="2183"/>
    <n v="0"/>
    <n v="0"/>
    <m/>
    <m/>
    <m/>
    <m/>
    <s v=""/>
  </r>
  <r>
    <s v="70095-2183-000-00"/>
    <d v="2018-11-30T00:00:00"/>
    <n v="-31.98"/>
    <n v="0"/>
    <s v="USD"/>
    <s v="JRNLWA00382246"/>
    <s v="P"/>
    <s v="OPEX13 - Pcard Accrual"/>
    <s v="AlexandraP"/>
    <s v="0/JE IC"/>
    <m/>
    <m/>
    <x v="10"/>
    <m/>
    <m/>
    <m/>
    <m/>
    <m/>
    <m/>
    <s v="JRNL00911254"/>
    <s v="JRNL00911334"/>
    <m/>
    <d v="2018-11-07T00:00:00"/>
    <d v="2018-11-07T00:00:00"/>
    <m/>
    <m/>
    <s v="wci_wa"/>
    <n v="0"/>
    <n v="0"/>
    <n v="0"/>
    <n v="0"/>
    <n v="5"/>
    <n v="1"/>
    <n v="70095"/>
    <n v="2183"/>
    <n v="0"/>
    <n v="0"/>
    <m/>
    <m/>
    <m/>
    <m/>
    <s v=""/>
  </r>
  <r>
    <s v="70095-2183-000-00"/>
    <d v="2018-11-30T00:00:00"/>
    <n v="-163.35"/>
    <n v="0"/>
    <s v="USD"/>
    <s v="JRNLWA00382246"/>
    <s v="P"/>
    <s v="OPEX13 - Pcard Accrual"/>
    <s v="AlexandraP"/>
    <s v="0/JE IC"/>
    <m/>
    <m/>
    <x v="71"/>
    <m/>
    <m/>
    <m/>
    <m/>
    <m/>
    <m/>
    <s v="JRNL00911254"/>
    <s v="JRNL00911334"/>
    <m/>
    <d v="2018-11-07T00:00:00"/>
    <d v="2018-11-07T00:00:00"/>
    <m/>
    <m/>
    <s v="wci_wa"/>
    <n v="0"/>
    <n v="0"/>
    <n v="0"/>
    <n v="0"/>
    <n v="5"/>
    <n v="1"/>
    <n v="70095"/>
    <n v="2183"/>
    <n v="0"/>
    <n v="0"/>
    <m/>
    <m/>
    <m/>
    <m/>
    <s v=""/>
  </r>
  <r>
    <s v="70095-2183-000-00"/>
    <d v="2018-11-30T00:00:00"/>
    <n v="-31.98"/>
    <n v="0"/>
    <s v="USD"/>
    <s v="JRNLWA00382246"/>
    <s v="P"/>
    <s v="OPEX13 - Pcard Accrual"/>
    <s v="AlexandraP"/>
    <s v="0/JE IC"/>
    <m/>
    <m/>
    <x v="10"/>
    <m/>
    <m/>
    <m/>
    <m/>
    <m/>
    <m/>
    <s v="JRNL00911254"/>
    <s v="JRNL00911334"/>
    <m/>
    <d v="2018-11-07T00:00:00"/>
    <d v="2018-11-07T00:00:00"/>
    <m/>
    <m/>
    <s v="wci_wa"/>
    <n v="0"/>
    <n v="0"/>
    <n v="0"/>
    <n v="0"/>
    <n v="5"/>
    <n v="1"/>
    <n v="70095"/>
    <n v="2183"/>
    <n v="0"/>
    <n v="0"/>
    <m/>
    <m/>
    <m/>
    <m/>
    <s v=""/>
  </r>
  <r>
    <s v="70095-2183-000-00"/>
    <d v="2018-11-30T00:00:00"/>
    <n v="-30.66"/>
    <n v="0"/>
    <s v="USD"/>
    <s v="JRNLWA00382246"/>
    <s v="P"/>
    <s v="OPEX13 - Pcard Accrual"/>
    <s v="AlexandraP"/>
    <s v="0/JE IC"/>
    <m/>
    <m/>
    <x v="10"/>
    <m/>
    <m/>
    <m/>
    <m/>
    <m/>
    <m/>
    <s v="JRNL00911254"/>
    <s v="JRNL00911334"/>
    <m/>
    <d v="2018-11-07T00:00:00"/>
    <d v="2018-11-07T00:00:00"/>
    <m/>
    <m/>
    <s v="wci_wa"/>
    <n v="0"/>
    <n v="0"/>
    <n v="0"/>
    <n v="0"/>
    <n v="5"/>
    <n v="1"/>
    <n v="70095"/>
    <n v="2183"/>
    <n v="0"/>
    <n v="0"/>
    <m/>
    <m/>
    <m/>
    <m/>
    <s v=""/>
  </r>
  <r>
    <s v="70095-2183-000-00"/>
    <d v="2018-11-30T00:00:00"/>
    <n v="60"/>
    <n v="0"/>
    <s v="USD"/>
    <s v="JRNLWA00383135"/>
    <s v="P"/>
    <s v="Nov PCard Activity - Western"/>
    <s v="HelenaK"/>
    <s v="0/JE IC"/>
    <m/>
    <m/>
    <x v="72"/>
    <m/>
    <m/>
    <m/>
    <m/>
    <m/>
    <m/>
    <s v="JRNL00913705"/>
    <s v="JRNL00913705"/>
    <m/>
    <d v="2018-12-04T00:00:00"/>
    <d v="2018-12-04T00:00:00"/>
    <m/>
    <m/>
    <s v="wci_wa"/>
    <n v="0"/>
    <n v="0"/>
    <n v="0"/>
    <n v="0"/>
    <n v="0"/>
    <n v="1"/>
    <n v="70095"/>
    <n v="2183"/>
    <n v="0"/>
    <n v="0"/>
    <m/>
    <m/>
    <m/>
    <m/>
    <s v=""/>
  </r>
  <r>
    <s v="70095-2183-000-00"/>
    <d v="2018-11-30T00:00:00"/>
    <n v="6.53"/>
    <n v="0"/>
    <s v="USD"/>
    <s v="JRNLWA00383135"/>
    <s v="P"/>
    <s v="Nov PCard Activity - Western"/>
    <s v="HelenaK"/>
    <s v="0/JE IC"/>
    <m/>
    <m/>
    <x v="70"/>
    <m/>
    <m/>
    <m/>
    <m/>
    <m/>
    <m/>
    <s v="JRNL00913705"/>
    <s v="JRNL00913705"/>
    <m/>
    <d v="2018-12-04T00:00:00"/>
    <d v="2018-12-04T00:00:00"/>
    <m/>
    <m/>
    <s v="wci_wa"/>
    <n v="0"/>
    <n v="0"/>
    <n v="0"/>
    <n v="0"/>
    <n v="0"/>
    <n v="1"/>
    <n v="70095"/>
    <n v="2183"/>
    <n v="0"/>
    <n v="0"/>
    <m/>
    <m/>
    <m/>
    <m/>
    <s v=""/>
  </r>
  <r>
    <s v="70095-2183-000-00"/>
    <d v="2018-11-30T00:00:00"/>
    <n v="31.98"/>
    <n v="0"/>
    <s v="USD"/>
    <s v="JRNLWA00383135"/>
    <s v="P"/>
    <s v="Nov PCard Activity - Western"/>
    <s v="HelenaK"/>
    <s v="0/JE IC"/>
    <m/>
    <m/>
    <x v="10"/>
    <m/>
    <m/>
    <m/>
    <m/>
    <m/>
    <m/>
    <s v="JRNL00913705"/>
    <s v="JRNL00913705"/>
    <m/>
    <d v="2018-12-04T00:00:00"/>
    <d v="2018-12-04T00:00:00"/>
    <m/>
    <m/>
    <s v="wci_wa"/>
    <n v="0"/>
    <n v="0"/>
    <n v="0"/>
    <n v="0"/>
    <n v="0"/>
    <n v="1"/>
    <n v="70095"/>
    <n v="2183"/>
    <n v="0"/>
    <n v="0"/>
    <m/>
    <m/>
    <m/>
    <m/>
    <s v=""/>
  </r>
  <r>
    <s v="70095-2183-000-00"/>
    <d v="2018-11-30T00:00:00"/>
    <n v="163.35"/>
    <n v="0"/>
    <s v="USD"/>
    <s v="JRNLWA00383135"/>
    <s v="P"/>
    <s v="Nov PCard Activity - Western"/>
    <s v="HelenaK"/>
    <s v="0/JE IC"/>
    <m/>
    <m/>
    <x v="71"/>
    <m/>
    <m/>
    <m/>
    <m/>
    <m/>
    <m/>
    <s v="JRNL00913705"/>
    <s v="JRNL00913705"/>
    <m/>
    <d v="2018-12-04T00:00:00"/>
    <d v="2018-12-04T00:00:00"/>
    <m/>
    <m/>
    <s v="wci_wa"/>
    <n v="0"/>
    <n v="0"/>
    <n v="0"/>
    <n v="0"/>
    <n v="0"/>
    <n v="1"/>
    <n v="70095"/>
    <n v="2183"/>
    <n v="0"/>
    <n v="0"/>
    <m/>
    <m/>
    <m/>
    <m/>
    <s v=""/>
  </r>
  <r>
    <s v="70095-2183-000-00"/>
    <d v="2018-11-30T00:00:00"/>
    <n v="31.98"/>
    <n v="0"/>
    <s v="USD"/>
    <s v="JRNLWA00383135"/>
    <s v="P"/>
    <s v="Nov PCard Activity - Western"/>
    <s v="HelenaK"/>
    <s v="0/JE IC"/>
    <m/>
    <m/>
    <x v="10"/>
    <m/>
    <m/>
    <m/>
    <m/>
    <m/>
    <m/>
    <s v="JRNL00913705"/>
    <s v="JRNL00913705"/>
    <m/>
    <d v="2018-12-04T00:00:00"/>
    <d v="2018-12-04T00:00:00"/>
    <m/>
    <m/>
    <s v="wci_wa"/>
    <n v="0"/>
    <n v="0"/>
    <n v="0"/>
    <n v="0"/>
    <n v="0"/>
    <n v="1"/>
    <n v="70095"/>
    <n v="2183"/>
    <n v="0"/>
    <n v="0"/>
    <m/>
    <m/>
    <m/>
    <m/>
    <s v=""/>
  </r>
  <r>
    <s v="70095-2183-000-00"/>
    <d v="2018-11-30T00:00:00"/>
    <n v="30.66"/>
    <n v="0"/>
    <s v="USD"/>
    <s v="JRNLWA00383135"/>
    <s v="P"/>
    <s v="Nov PCard Activity - Western"/>
    <s v="HelenaK"/>
    <s v="0/JE IC"/>
    <m/>
    <m/>
    <x v="10"/>
    <m/>
    <m/>
    <m/>
    <m/>
    <m/>
    <m/>
    <s v="JRNL00913705"/>
    <s v="JRNL00913705"/>
    <m/>
    <d v="2018-12-04T00:00:00"/>
    <d v="2018-12-04T00:00:00"/>
    <m/>
    <m/>
    <s v="wci_wa"/>
    <n v="0"/>
    <n v="0"/>
    <n v="0"/>
    <n v="0"/>
    <n v="0"/>
    <n v="1"/>
    <n v="70095"/>
    <n v="2183"/>
    <n v="0"/>
    <n v="0"/>
    <m/>
    <m/>
    <m/>
    <m/>
    <s v=""/>
  </r>
  <r>
    <s v="70095-2183-000-00"/>
    <d v="2018-11-30T00:00:00"/>
    <n v="76.23"/>
    <n v="0"/>
    <s v="USD"/>
    <s v="JRNLWA00383135"/>
    <s v="P"/>
    <s v="Nov PCard Activity - Western"/>
    <s v="HelenaK"/>
    <s v="0/JE IC"/>
    <m/>
    <m/>
    <x v="7"/>
    <m/>
    <m/>
    <m/>
    <m/>
    <m/>
    <m/>
    <s v="JRNL00913705"/>
    <s v="JRNL00913705"/>
    <m/>
    <d v="2018-12-04T00:00:00"/>
    <d v="2018-12-04T00:00:00"/>
    <m/>
    <m/>
    <s v="wci_wa"/>
    <n v="0"/>
    <n v="0"/>
    <n v="0"/>
    <n v="0"/>
    <n v="0"/>
    <n v="1"/>
    <n v="70095"/>
    <n v="2183"/>
    <n v="0"/>
    <n v="0"/>
    <m/>
    <m/>
    <m/>
    <m/>
    <s v=""/>
  </r>
  <r>
    <s v="70095-2183-000-00"/>
    <d v="2018-11-30T00:00:00"/>
    <n v="1760"/>
    <n v="0"/>
    <s v="USD"/>
    <s v="JRNLWA00383135"/>
    <s v="P"/>
    <s v="Nov PCard Activity - Western"/>
    <s v="HelenaK"/>
    <s v="0/JE IC"/>
    <m/>
    <m/>
    <x v="73"/>
    <m/>
    <m/>
    <m/>
    <m/>
    <m/>
    <m/>
    <s v="JRNL00913705"/>
    <s v="JRNL00913705"/>
    <m/>
    <d v="2018-12-04T00:00:00"/>
    <d v="2018-12-04T00:00:00"/>
    <m/>
    <m/>
    <s v="wci_wa"/>
    <n v="0"/>
    <n v="0"/>
    <n v="0"/>
    <n v="0"/>
    <n v="0"/>
    <n v="1"/>
    <n v="70095"/>
    <n v="2183"/>
    <n v="0"/>
    <n v="0"/>
    <m/>
    <m/>
    <m/>
    <m/>
    <s v=""/>
  </r>
  <r>
    <s v="70095-2183-000-00"/>
    <d v="2018-11-30T00:00:00"/>
    <n v="85.49"/>
    <n v="0"/>
    <s v="USD"/>
    <s v="JRNLWA00383135"/>
    <s v="P"/>
    <s v="Nov PCard Activity - Western"/>
    <s v="HelenaK"/>
    <s v="0/JE IC"/>
    <m/>
    <m/>
    <x v="7"/>
    <m/>
    <m/>
    <m/>
    <m/>
    <m/>
    <m/>
    <s v="JRNL00913705"/>
    <s v="JRNL00913705"/>
    <m/>
    <d v="2018-12-04T00:00:00"/>
    <d v="2018-12-04T00:00:00"/>
    <m/>
    <m/>
    <s v="wci_wa"/>
    <n v="0"/>
    <n v="0"/>
    <n v="0"/>
    <n v="0"/>
    <n v="0"/>
    <n v="1"/>
    <n v="70095"/>
    <n v="2183"/>
    <n v="0"/>
    <n v="0"/>
    <m/>
    <m/>
    <m/>
    <m/>
    <s v=""/>
  </r>
  <r>
    <s v="70095-2183-000-00"/>
    <d v="2018-11-30T00:00:00"/>
    <n v="168.76"/>
    <n v="0"/>
    <s v="USD"/>
    <s v="JRNLWA00383135"/>
    <s v="P"/>
    <s v="Nov PCard Activity - Western"/>
    <s v="HelenaK"/>
    <s v="0/JE IC"/>
    <m/>
    <m/>
    <x v="74"/>
    <m/>
    <m/>
    <m/>
    <m/>
    <m/>
    <m/>
    <s v="JRNL00913705"/>
    <s v="JRNL00913705"/>
    <m/>
    <d v="2018-12-04T00:00:00"/>
    <d v="2018-12-04T00:00:00"/>
    <m/>
    <m/>
    <s v="wci_wa"/>
    <n v="0"/>
    <n v="0"/>
    <n v="0"/>
    <n v="0"/>
    <n v="0"/>
    <n v="1"/>
    <n v="70095"/>
    <n v="2183"/>
    <n v="0"/>
    <n v="0"/>
    <m/>
    <m/>
    <m/>
    <m/>
    <s v=""/>
  </r>
  <r>
    <s v="70095-2183-000-00"/>
    <d v="2018-11-30T00:00:00"/>
    <n v="20.66"/>
    <n v="0"/>
    <s v="USD"/>
    <s v="JRNLWA00383135"/>
    <s v="P"/>
    <s v="Nov PCard Activity - Western"/>
    <s v="HelenaK"/>
    <s v="0/JE IC"/>
    <m/>
    <m/>
    <x v="75"/>
    <m/>
    <m/>
    <m/>
    <m/>
    <m/>
    <m/>
    <s v="JRNL00913705"/>
    <s v="JRNL00913705"/>
    <m/>
    <d v="2018-12-04T00:00:00"/>
    <d v="2018-12-04T00:00:00"/>
    <m/>
    <m/>
    <s v="wci_wa"/>
    <n v="0"/>
    <n v="0"/>
    <n v="0"/>
    <n v="0"/>
    <n v="0"/>
    <n v="1"/>
    <n v="70095"/>
    <n v="2183"/>
    <n v="0"/>
    <n v="0"/>
    <m/>
    <m/>
    <m/>
    <m/>
    <s v=""/>
  </r>
  <r>
    <s v="70095-2183-000-00"/>
    <d v="2018-11-30T00:00:00"/>
    <n v="357.54"/>
    <n v="0"/>
    <s v="USD"/>
    <s v="JRNLWA00383135"/>
    <s v="P"/>
    <s v="Nov PCard Activity - Western"/>
    <s v="HelenaK"/>
    <s v="0/JE IC"/>
    <m/>
    <m/>
    <x v="76"/>
    <m/>
    <m/>
    <m/>
    <m/>
    <m/>
    <m/>
    <s v="JRNL00913705"/>
    <s v="JRNL00913705"/>
    <m/>
    <d v="2018-12-04T00:00:00"/>
    <d v="2018-12-04T00:00:00"/>
    <m/>
    <m/>
    <s v="wci_wa"/>
    <n v="0"/>
    <n v="0"/>
    <n v="0"/>
    <n v="0"/>
    <n v="0"/>
    <n v="1"/>
    <n v="70095"/>
    <n v="2183"/>
    <n v="0"/>
    <n v="0"/>
    <m/>
    <m/>
    <m/>
    <m/>
    <s v=""/>
  </r>
  <r>
    <s v="70095-2183-000-00"/>
    <d v="2018-11-30T00:00:00"/>
    <n v="28.08"/>
    <n v="0"/>
    <s v="USD"/>
    <s v="JRNLWA00383135"/>
    <s v="P"/>
    <s v="Nov PCard Activity - Western"/>
    <s v="HelenaK"/>
    <s v="0/JE IC"/>
    <m/>
    <m/>
    <x v="76"/>
    <m/>
    <m/>
    <m/>
    <m/>
    <m/>
    <m/>
    <s v="JRNL00913705"/>
    <s v="JRNL00913705"/>
    <m/>
    <d v="2018-12-04T00:00:00"/>
    <d v="2018-12-04T00:00:00"/>
    <m/>
    <m/>
    <s v="wci_wa"/>
    <n v="0"/>
    <n v="0"/>
    <n v="0"/>
    <n v="0"/>
    <n v="0"/>
    <n v="1"/>
    <n v="70095"/>
    <n v="2183"/>
    <n v="0"/>
    <n v="0"/>
    <m/>
    <m/>
    <m/>
    <m/>
    <s v=""/>
  </r>
  <r>
    <s v="70095-2183-000-00"/>
    <d v="2018-11-30T00:00:00"/>
    <n v="42.54"/>
    <n v="0"/>
    <s v="USD"/>
    <s v="JRNLWA00383135"/>
    <s v="P"/>
    <s v="Nov PCard Activity - Western"/>
    <s v="HelenaK"/>
    <s v="0/JE IC"/>
    <m/>
    <m/>
    <x v="77"/>
    <m/>
    <m/>
    <m/>
    <m/>
    <m/>
    <m/>
    <s v="JRNL00913705"/>
    <s v="JRNL00913705"/>
    <m/>
    <d v="2018-12-04T00:00:00"/>
    <d v="2018-12-04T00:00:00"/>
    <m/>
    <m/>
    <s v="wci_wa"/>
    <n v="0"/>
    <n v="0"/>
    <n v="0"/>
    <n v="0"/>
    <n v="0"/>
    <n v="1"/>
    <n v="70095"/>
    <n v="2183"/>
    <n v="0"/>
    <n v="0"/>
    <m/>
    <m/>
    <m/>
    <m/>
    <s v=""/>
  </r>
  <r>
    <s v="70095-2183-000-00"/>
    <d v="2018-11-30T00:00:00"/>
    <n v="30.98"/>
    <n v="0"/>
    <s v="USD"/>
    <s v="JRNLWA00383135"/>
    <s v="P"/>
    <s v="Nov PCard Activity - Western"/>
    <s v="HelenaK"/>
    <s v="0/JE IC"/>
    <m/>
    <m/>
    <x v="10"/>
    <m/>
    <m/>
    <m/>
    <m/>
    <m/>
    <m/>
    <s v="JRNL00913705"/>
    <s v="JRNL00913705"/>
    <m/>
    <d v="2018-12-04T00:00:00"/>
    <d v="2018-12-04T00:00:00"/>
    <m/>
    <m/>
    <s v="wci_wa"/>
    <n v="0"/>
    <n v="0"/>
    <n v="0"/>
    <n v="0"/>
    <n v="0"/>
    <n v="1"/>
    <n v="70095"/>
    <n v="2183"/>
    <n v="0"/>
    <n v="0"/>
    <m/>
    <m/>
    <m/>
    <m/>
    <s v=""/>
  </r>
  <r>
    <s v="70095-2183-000-00"/>
    <d v="2018-11-30T00:00:00"/>
    <n v="49.09"/>
    <n v="0"/>
    <s v="USD"/>
    <s v="JRNLWA00383878"/>
    <s v="P"/>
    <s v="PO Log Accrual"/>
    <s v="AlexandraP"/>
    <s v="0/JE IC"/>
    <m/>
    <m/>
    <x v="78"/>
    <m/>
    <m/>
    <m/>
    <m/>
    <m/>
    <m/>
    <s v="JRNL00915208"/>
    <s v="JRNL00915208"/>
    <m/>
    <d v="2018-12-06T00:00:00"/>
    <d v="2018-12-07T00:00:00"/>
    <m/>
    <m/>
    <s v="wci_wa"/>
    <n v="0"/>
    <n v="0"/>
    <n v="0"/>
    <n v="0"/>
    <n v="0"/>
    <n v="1"/>
    <n v="70095"/>
    <n v="2183"/>
    <n v="0"/>
    <n v="0"/>
    <m/>
    <m/>
    <m/>
    <m/>
    <s v=""/>
  </r>
  <r>
    <s v="70095-2183-000-00"/>
    <d v="2018-11-30T00:00:00"/>
    <n v="190.87"/>
    <n v="0"/>
    <s v="USD"/>
    <s v="JRNLWA00383878"/>
    <s v="P"/>
    <s v="PO Log Accrual"/>
    <s v="AlexandraP"/>
    <s v="0/JE IC"/>
    <m/>
    <m/>
    <x v="79"/>
    <m/>
    <m/>
    <m/>
    <m/>
    <m/>
    <m/>
    <s v="JRNL00915208"/>
    <s v="JRNL00915208"/>
    <m/>
    <d v="2018-12-06T00:00:00"/>
    <d v="2018-12-07T00:00:00"/>
    <m/>
    <m/>
    <s v="wci_wa"/>
    <n v="0"/>
    <n v="0"/>
    <n v="0"/>
    <n v="0"/>
    <n v="0"/>
    <n v="1"/>
    <n v="70095"/>
    <n v="2183"/>
    <n v="0"/>
    <n v="0"/>
    <m/>
    <m/>
    <m/>
    <m/>
    <s v=""/>
  </r>
  <r>
    <s v="70095-2183-000-00"/>
    <d v="2018-11-30T00:00:00"/>
    <n v="221.43"/>
    <n v="0"/>
    <s v="USD"/>
    <s v="JRNLWA00383879"/>
    <s v="P"/>
    <s v="OPEX13 - Pcard Accrual"/>
    <s v="AlexandraP"/>
    <s v="0/JE IC"/>
    <m/>
    <m/>
    <x v="80"/>
    <m/>
    <m/>
    <m/>
    <m/>
    <m/>
    <m/>
    <s v="JRNL00915209"/>
    <s v="JRNL00915209"/>
    <m/>
    <d v="2018-12-06T00:00:00"/>
    <d v="2018-12-07T00:00:00"/>
    <m/>
    <m/>
    <s v="wci_wa"/>
    <n v="0"/>
    <n v="0"/>
    <n v="0"/>
    <n v="0"/>
    <n v="0"/>
    <n v="1"/>
    <n v="70095"/>
    <n v="2183"/>
    <n v="0"/>
    <n v="0"/>
    <m/>
    <m/>
    <m/>
    <m/>
    <s v=""/>
  </r>
  <r>
    <s v="70095-2183-000-00"/>
    <d v="2018-11-30T00:00:00"/>
    <n v="80.31"/>
    <n v="0"/>
    <s v="USD"/>
    <s v="JRNLWA00383879"/>
    <s v="P"/>
    <s v="OPEX13 - Pcard Accrual"/>
    <s v="AlexandraP"/>
    <s v="0/JE IC"/>
    <m/>
    <m/>
    <x v="80"/>
    <m/>
    <m/>
    <m/>
    <m/>
    <m/>
    <m/>
    <s v="JRNL00915209"/>
    <s v="JRNL00915209"/>
    <m/>
    <d v="2018-12-06T00:00:00"/>
    <d v="2018-12-07T00:00:00"/>
    <m/>
    <m/>
    <s v="wci_wa"/>
    <n v="0"/>
    <n v="0"/>
    <n v="0"/>
    <n v="0"/>
    <n v="0"/>
    <n v="1"/>
    <n v="70095"/>
    <n v="2183"/>
    <n v="0"/>
    <n v="0"/>
    <m/>
    <m/>
    <m/>
    <m/>
    <s v=""/>
  </r>
  <r>
    <s v="70095-2183-000-00"/>
    <d v="2018-11-30T00:00:00"/>
    <n v="44.25"/>
    <n v="0"/>
    <s v="USD"/>
    <s v="JRNLWA00383879"/>
    <s v="P"/>
    <s v="OPEX13 - Pcard Accrual"/>
    <s v="AlexandraP"/>
    <s v="0/JE IC"/>
    <m/>
    <m/>
    <x v="80"/>
    <m/>
    <m/>
    <m/>
    <m/>
    <m/>
    <m/>
    <s v="JRNL00915209"/>
    <s v="JRNL00915209"/>
    <m/>
    <d v="2018-12-06T00:00:00"/>
    <d v="2018-12-07T00:00:00"/>
    <m/>
    <m/>
    <s v="wci_wa"/>
    <n v="0"/>
    <n v="0"/>
    <n v="0"/>
    <n v="0"/>
    <n v="0"/>
    <n v="1"/>
    <n v="70095"/>
    <n v="2183"/>
    <n v="0"/>
    <n v="0"/>
    <m/>
    <m/>
    <m/>
    <m/>
    <s v=""/>
  </r>
  <r>
    <s v="70095-2183-000-00"/>
    <d v="2018-11-30T00:00:00"/>
    <n v="29.5"/>
    <n v="0"/>
    <s v="USD"/>
    <s v="JRNLWA00383879"/>
    <s v="P"/>
    <s v="OPEX13 - Pcard Accrual"/>
    <s v="AlexandraP"/>
    <s v="0/JE IC"/>
    <m/>
    <m/>
    <x v="80"/>
    <m/>
    <m/>
    <m/>
    <m/>
    <m/>
    <m/>
    <s v="JRNL00915209"/>
    <s v="JRNL00915209"/>
    <m/>
    <d v="2018-12-06T00:00:00"/>
    <d v="2018-12-07T00:00:00"/>
    <m/>
    <m/>
    <s v="wci_wa"/>
    <n v="0"/>
    <n v="0"/>
    <n v="0"/>
    <n v="0"/>
    <n v="0"/>
    <n v="1"/>
    <n v="70095"/>
    <n v="2183"/>
    <n v="0"/>
    <n v="0"/>
    <m/>
    <m/>
    <m/>
    <m/>
    <s v=""/>
  </r>
  <r>
    <s v="70095-2183-000-00"/>
    <d v="2018-11-30T00:00:00"/>
    <n v="17.39"/>
    <n v="0"/>
    <s v="USD"/>
    <s v="JRNLWA00383879"/>
    <s v="P"/>
    <s v="OPEX13 - Pcard Accrual"/>
    <s v="AlexandraP"/>
    <s v="0/JE IC"/>
    <m/>
    <m/>
    <x v="81"/>
    <m/>
    <m/>
    <m/>
    <m/>
    <m/>
    <m/>
    <s v="JRNL00915209"/>
    <s v="JRNL00915209"/>
    <m/>
    <d v="2018-12-06T00:00:00"/>
    <d v="2018-12-07T00:00:00"/>
    <m/>
    <m/>
    <s v="wci_wa"/>
    <n v="0"/>
    <n v="0"/>
    <n v="0"/>
    <n v="0"/>
    <n v="0"/>
    <n v="1"/>
    <n v="70095"/>
    <n v="2183"/>
    <n v="0"/>
    <n v="0"/>
    <m/>
    <m/>
    <m/>
    <m/>
    <s v=""/>
  </r>
  <r>
    <s v="70095-2183-000-00"/>
    <d v="2018-11-30T00:00:00"/>
    <n v="199.96"/>
    <n v="0"/>
    <s v="USD"/>
    <s v="JRNLWA00383879"/>
    <s v="P"/>
    <s v="OPEX13 - Pcard Accrual"/>
    <s v="AlexandraP"/>
    <s v="0/JE IC"/>
    <m/>
    <m/>
    <x v="82"/>
    <m/>
    <m/>
    <m/>
    <m/>
    <m/>
    <m/>
    <s v="JRNL00915209"/>
    <s v="JRNL00915209"/>
    <m/>
    <d v="2018-12-06T00:00:00"/>
    <d v="2018-12-07T00:00:00"/>
    <m/>
    <m/>
    <s v="wci_wa"/>
    <n v="0"/>
    <n v="0"/>
    <n v="0"/>
    <n v="0"/>
    <n v="0"/>
    <n v="1"/>
    <n v="70095"/>
    <n v="2183"/>
    <n v="0"/>
    <n v="0"/>
    <m/>
    <m/>
    <m/>
    <m/>
    <s v=""/>
  </r>
  <r>
    <s v="70095-2183-000-00"/>
    <d v="2018-11-30T00:00:00"/>
    <n v="892.53"/>
    <n v="0"/>
    <s v="USD"/>
    <s v="JRNLWA00383879"/>
    <s v="P"/>
    <s v="OPEX13 - Pcard Accrual"/>
    <s v="AlexandraP"/>
    <s v="0/JE IC"/>
    <m/>
    <m/>
    <x v="83"/>
    <m/>
    <m/>
    <m/>
    <m/>
    <m/>
    <m/>
    <s v="JRNL00915209"/>
    <s v="JRNL00915209"/>
    <m/>
    <d v="2018-12-06T00:00:00"/>
    <d v="2018-12-07T00:00:00"/>
    <m/>
    <m/>
    <s v="wci_wa"/>
    <n v="0"/>
    <n v="0"/>
    <n v="0"/>
    <n v="0"/>
    <n v="0"/>
    <n v="1"/>
    <n v="70095"/>
    <n v="2183"/>
    <n v="0"/>
    <n v="0"/>
    <m/>
    <m/>
    <m/>
    <m/>
    <s v=""/>
  </r>
  <r>
    <s v="70095-2183-000-00"/>
    <d v="2018-11-30T00:00:00"/>
    <n v="250"/>
    <n v="0"/>
    <s v="USD"/>
    <s v="JRNLWA00383879"/>
    <s v="P"/>
    <s v="OPEX13 - Pcard Accrual"/>
    <s v="AlexandraP"/>
    <s v="0/JE IC"/>
    <m/>
    <m/>
    <x v="84"/>
    <m/>
    <m/>
    <m/>
    <m/>
    <m/>
    <m/>
    <s v="JRNL00915209"/>
    <s v="JRNL00915209"/>
    <m/>
    <d v="2018-12-06T00:00:00"/>
    <d v="2018-12-07T00:00:00"/>
    <m/>
    <m/>
    <s v="wci_wa"/>
    <n v="0"/>
    <n v="0"/>
    <n v="0"/>
    <n v="0"/>
    <n v="0"/>
    <n v="1"/>
    <n v="70095"/>
    <n v="2183"/>
    <n v="0"/>
    <n v="0"/>
    <m/>
    <m/>
    <m/>
    <m/>
    <s v=""/>
  </r>
  <r>
    <s v="70095-2183-000-00"/>
    <d v="2018-11-30T00:00:00"/>
    <n v="229.77"/>
    <n v="0"/>
    <s v="USD"/>
    <s v="JRNLWA00383879"/>
    <s v="P"/>
    <s v="OPEX13 - Pcard Accrual"/>
    <s v="AlexandraP"/>
    <s v="0/JE IC"/>
    <m/>
    <m/>
    <x v="85"/>
    <m/>
    <m/>
    <m/>
    <m/>
    <m/>
    <m/>
    <s v="JRNL00915209"/>
    <s v="JRNL00915209"/>
    <m/>
    <d v="2018-12-06T00:00:00"/>
    <d v="2018-12-07T00:00:00"/>
    <m/>
    <m/>
    <s v="wci_wa"/>
    <n v="0"/>
    <n v="0"/>
    <n v="0"/>
    <n v="0"/>
    <n v="0"/>
    <n v="1"/>
    <n v="70095"/>
    <n v="2183"/>
    <n v="0"/>
    <n v="0"/>
    <m/>
    <m/>
    <m/>
    <m/>
    <s v=""/>
  </r>
  <r>
    <s v="70095-2183-000-00"/>
    <d v="2018-11-30T00:00:00"/>
    <n v="11.32"/>
    <n v="0"/>
    <s v="USD"/>
    <s v="JRNLWA00383879"/>
    <s v="P"/>
    <s v="OPEX13 - Pcard Accrual"/>
    <s v="AlexandraP"/>
    <s v="0/JE IC"/>
    <m/>
    <m/>
    <x v="11"/>
    <m/>
    <m/>
    <m/>
    <m/>
    <m/>
    <m/>
    <s v="JRNL00915209"/>
    <s v="JRNL00915209"/>
    <m/>
    <d v="2018-12-06T00:00:00"/>
    <d v="2018-12-07T00:00:00"/>
    <m/>
    <m/>
    <s v="wci_wa"/>
    <n v="0"/>
    <n v="0"/>
    <n v="0"/>
    <n v="0"/>
    <n v="0"/>
    <n v="1"/>
    <n v="70095"/>
    <n v="2183"/>
    <n v="0"/>
    <n v="0"/>
    <m/>
    <m/>
    <m/>
    <m/>
    <s v=""/>
  </r>
  <r>
    <s v="70095-2183-000-00"/>
    <d v="2018-11-30T00:00:00"/>
    <n v="50.79"/>
    <n v="0"/>
    <s v="USD"/>
    <s v="JRNLWA00383879"/>
    <s v="P"/>
    <s v="OPEX13 - Pcard Accrual"/>
    <s v="AlexandraP"/>
    <s v="0/JE IC"/>
    <m/>
    <m/>
    <x v="86"/>
    <m/>
    <m/>
    <m/>
    <m/>
    <m/>
    <m/>
    <s v="JRNL00915209"/>
    <s v="JRNL00915209"/>
    <m/>
    <d v="2018-12-06T00:00:00"/>
    <d v="2018-12-07T00:00:00"/>
    <m/>
    <m/>
    <s v="wci_wa"/>
    <n v="0"/>
    <n v="0"/>
    <n v="0"/>
    <n v="0"/>
    <n v="0"/>
    <n v="1"/>
    <n v="70095"/>
    <n v="2183"/>
    <n v="0"/>
    <n v="0"/>
    <m/>
    <m/>
    <m/>
    <m/>
    <s v=""/>
  </r>
  <r>
    <s v="70095-2183-000-00"/>
    <d v="2018-11-30T00:00:00"/>
    <n v="272.22000000000003"/>
    <n v="0"/>
    <s v="USD"/>
    <s v="JRNLWA00383879"/>
    <s v="P"/>
    <s v="OPEX13 - Pcard Accrual"/>
    <s v="AlexandraP"/>
    <s v="0/JE IC"/>
    <m/>
    <m/>
    <x v="87"/>
    <m/>
    <m/>
    <m/>
    <m/>
    <m/>
    <m/>
    <s v="JRNL00915209"/>
    <s v="JRNL00915209"/>
    <m/>
    <d v="2018-12-06T00:00:00"/>
    <d v="2018-12-07T00:00:00"/>
    <m/>
    <m/>
    <s v="wci_wa"/>
    <n v="0"/>
    <n v="0"/>
    <n v="0"/>
    <n v="0"/>
    <n v="0"/>
    <n v="1"/>
    <n v="70095"/>
    <n v="2183"/>
    <n v="0"/>
    <n v="0"/>
    <m/>
    <m/>
    <m/>
    <m/>
    <s v=""/>
  </r>
  <r>
    <s v="70095-2183-000-00"/>
    <d v="2018-11-30T00:00:00"/>
    <n v="78.38"/>
    <n v="0"/>
    <s v="USD"/>
    <s v="JRNLWA00383879"/>
    <s v="P"/>
    <s v="OPEX13 - Pcard Accrual"/>
    <s v="AlexandraP"/>
    <s v="0/JE IC"/>
    <m/>
    <m/>
    <x v="88"/>
    <m/>
    <m/>
    <m/>
    <m/>
    <m/>
    <m/>
    <s v="JRNL00915209"/>
    <s v="JRNL00915209"/>
    <m/>
    <d v="2018-12-06T00:00:00"/>
    <d v="2018-12-07T00:00:00"/>
    <m/>
    <m/>
    <s v="wci_wa"/>
    <n v="0"/>
    <n v="0"/>
    <n v="0"/>
    <n v="0"/>
    <n v="0"/>
    <n v="1"/>
    <n v="70095"/>
    <n v="2183"/>
    <n v="0"/>
    <n v="0"/>
    <m/>
    <m/>
    <m/>
    <m/>
    <s v=""/>
  </r>
  <r>
    <s v="70095-2183-000-00"/>
    <d v="2018-11-30T00:00:00"/>
    <n v="320.76"/>
    <n v="0"/>
    <s v="USD"/>
    <s v="JRNLWA00383879"/>
    <s v="P"/>
    <s v="OPEX13 - Pcard Accrual"/>
    <s v="AlexandraP"/>
    <s v="0/JE IC"/>
    <m/>
    <m/>
    <x v="89"/>
    <m/>
    <m/>
    <m/>
    <m/>
    <m/>
    <m/>
    <s v="JRNL00915209"/>
    <s v="JRNL00915209"/>
    <m/>
    <d v="2018-12-06T00:00:00"/>
    <d v="2018-12-07T00:00:00"/>
    <m/>
    <m/>
    <s v="wci_wa"/>
    <n v="0"/>
    <n v="0"/>
    <n v="0"/>
    <n v="0"/>
    <n v="0"/>
    <n v="1"/>
    <n v="70095"/>
    <n v="2183"/>
    <n v="0"/>
    <n v="0"/>
    <m/>
    <m/>
    <m/>
    <m/>
    <s v=""/>
  </r>
  <r>
    <s v="70095-2183-000-00"/>
    <d v="2018-11-30T00:00:00"/>
    <n v="81.75"/>
    <n v="0"/>
    <s v="USD"/>
    <s v="JRNLWA00383879"/>
    <s v="P"/>
    <s v="OPEX13 - Pcard Accrual"/>
    <s v="AlexandraP"/>
    <s v="0/JE IC"/>
    <m/>
    <m/>
    <x v="90"/>
    <m/>
    <m/>
    <m/>
    <m/>
    <m/>
    <m/>
    <s v="JRNL00915209"/>
    <s v="JRNL00915209"/>
    <m/>
    <d v="2018-12-06T00:00:00"/>
    <d v="2018-12-07T00:00:00"/>
    <m/>
    <m/>
    <s v="wci_wa"/>
    <n v="0"/>
    <n v="0"/>
    <n v="0"/>
    <n v="0"/>
    <n v="0"/>
    <n v="1"/>
    <n v="70095"/>
    <n v="2183"/>
    <n v="0"/>
    <n v="0"/>
    <m/>
    <m/>
    <m/>
    <m/>
    <s v=""/>
  </r>
  <r>
    <s v="70095-2183-000-00"/>
    <d v="2018-11-30T00:00:00"/>
    <n v="34.520000000000003"/>
    <n v="0"/>
    <s v="USD"/>
    <s v="JRNLWA00383879"/>
    <s v="P"/>
    <s v="OPEX13 - Pcard Accrual"/>
    <s v="AlexandraP"/>
    <s v="0/JE IC"/>
    <m/>
    <m/>
    <x v="91"/>
    <m/>
    <m/>
    <m/>
    <m/>
    <m/>
    <m/>
    <s v="JRNL00915209"/>
    <s v="JRNL00915209"/>
    <m/>
    <d v="2018-12-06T00:00:00"/>
    <d v="2018-12-07T00:00:00"/>
    <m/>
    <m/>
    <s v="wci_wa"/>
    <n v="0"/>
    <n v="0"/>
    <n v="0"/>
    <n v="0"/>
    <n v="0"/>
    <n v="1"/>
    <n v="70095"/>
    <n v="2183"/>
    <n v="0"/>
    <n v="0"/>
    <m/>
    <m/>
    <m/>
    <m/>
    <s v=""/>
  </r>
  <r>
    <s v="70095-2183-000-00"/>
    <d v="2018-11-30T00:00:00"/>
    <n v="54.87"/>
    <n v="0"/>
    <s v="USD"/>
    <s v="JRNLWA00383879"/>
    <s v="P"/>
    <s v="OPEX13 - Pcard Accrual"/>
    <s v="AlexandraP"/>
    <s v="0/JE IC"/>
    <m/>
    <m/>
    <x v="92"/>
    <m/>
    <m/>
    <m/>
    <m/>
    <m/>
    <m/>
    <s v="JRNL00915209"/>
    <s v="JRNL00915209"/>
    <m/>
    <d v="2018-12-06T00:00:00"/>
    <d v="2018-12-07T00:00:00"/>
    <m/>
    <m/>
    <s v="wci_wa"/>
    <n v="0"/>
    <n v="0"/>
    <n v="0"/>
    <n v="0"/>
    <n v="0"/>
    <n v="1"/>
    <n v="70095"/>
    <n v="2183"/>
    <n v="0"/>
    <n v="0"/>
    <m/>
    <m/>
    <m/>
    <m/>
    <s v=""/>
  </r>
  <r>
    <s v="70095-2183-000-00"/>
    <d v="2018-11-30T00:00:00"/>
    <n v="43.52"/>
    <n v="0"/>
    <s v="USD"/>
    <s v="JRNLWA00383879"/>
    <s v="P"/>
    <s v="OPEX13 - Pcard Accrual"/>
    <s v="AlexandraP"/>
    <s v="0/JE IC"/>
    <m/>
    <m/>
    <x v="93"/>
    <m/>
    <m/>
    <m/>
    <m/>
    <m/>
    <m/>
    <s v="JRNL00915209"/>
    <s v="JRNL00915209"/>
    <m/>
    <d v="2018-12-06T00:00:00"/>
    <d v="2018-12-07T00:00:00"/>
    <m/>
    <m/>
    <s v="wci_wa"/>
    <n v="0"/>
    <n v="0"/>
    <n v="0"/>
    <n v="0"/>
    <n v="0"/>
    <n v="1"/>
    <n v="70095"/>
    <n v="2183"/>
    <n v="0"/>
    <n v="0"/>
    <m/>
    <m/>
    <m/>
    <m/>
    <s v=""/>
  </r>
  <r>
    <s v="70095-2183-000-00"/>
    <d v="2018-11-30T00:00:00"/>
    <n v="73.819999999999993"/>
    <n v="0"/>
    <s v="USD"/>
    <s v="JRNLWA00383879"/>
    <s v="P"/>
    <s v="OPEX13 - Pcard Accrual"/>
    <s v="AlexandraP"/>
    <s v="0/JE IC"/>
    <m/>
    <m/>
    <x v="94"/>
    <m/>
    <m/>
    <m/>
    <m/>
    <m/>
    <m/>
    <s v="JRNL00915209"/>
    <s v="JRNL00915209"/>
    <m/>
    <d v="2018-12-06T00:00:00"/>
    <d v="2018-12-07T00:00:00"/>
    <m/>
    <m/>
    <s v="wci_wa"/>
    <n v="0"/>
    <n v="0"/>
    <n v="0"/>
    <n v="0"/>
    <n v="0"/>
    <n v="1"/>
    <n v="70095"/>
    <n v="2183"/>
    <n v="0"/>
    <n v="0"/>
    <m/>
    <m/>
    <m/>
    <m/>
    <s v=""/>
  </r>
  <r>
    <s v="70095-2183-000-00"/>
    <d v="2018-11-30T00:00:00"/>
    <n v="39.11"/>
    <n v="0"/>
    <s v="USD"/>
    <s v="JRNLWA00383879"/>
    <s v="P"/>
    <s v="OPEX13 - Pcard Accrual"/>
    <s v="AlexandraP"/>
    <s v="0/JE IC"/>
    <m/>
    <m/>
    <x v="95"/>
    <m/>
    <m/>
    <m/>
    <m/>
    <m/>
    <m/>
    <s v="JRNL00915209"/>
    <s v="JRNL00915209"/>
    <m/>
    <d v="2018-12-06T00:00:00"/>
    <d v="2018-12-07T00:00:00"/>
    <m/>
    <m/>
    <s v="wci_wa"/>
    <n v="0"/>
    <n v="0"/>
    <n v="0"/>
    <n v="0"/>
    <n v="0"/>
    <n v="1"/>
    <n v="70095"/>
    <n v="2183"/>
    <n v="0"/>
    <n v="0"/>
    <m/>
    <m/>
    <m/>
    <m/>
    <s v=""/>
  </r>
  <r>
    <s v="70095-2183-000-00"/>
    <d v="2018-11-30T00:00:00"/>
    <n v="244.51"/>
    <n v="0"/>
    <s v="USD"/>
    <s v="JRNLWA00383879"/>
    <s v="P"/>
    <s v="OPEX13 - Pcard Accrual"/>
    <s v="AlexandraP"/>
    <s v="0/JE IC"/>
    <m/>
    <m/>
    <x v="82"/>
    <m/>
    <m/>
    <m/>
    <m/>
    <m/>
    <m/>
    <s v="JRNL00915209"/>
    <s v="JRNL00915209"/>
    <m/>
    <d v="2018-12-06T00:00:00"/>
    <d v="2018-12-07T00:00:00"/>
    <m/>
    <m/>
    <s v="wci_wa"/>
    <n v="0"/>
    <n v="0"/>
    <n v="0"/>
    <n v="0"/>
    <n v="0"/>
    <n v="1"/>
    <n v="70095"/>
    <n v="2183"/>
    <n v="0"/>
    <n v="0"/>
    <m/>
    <m/>
    <m/>
    <m/>
    <s v=""/>
  </r>
  <r>
    <s v="70095-2183-000-00"/>
    <d v="2018-11-30T00:00:00"/>
    <n v="85.2"/>
    <n v="0"/>
    <s v="USD"/>
    <s v="JRNLWA00383879"/>
    <s v="P"/>
    <s v="OPEX13 - Pcard Accrual"/>
    <s v="AlexandraP"/>
    <s v="0/JE IC"/>
    <m/>
    <m/>
    <x v="27"/>
    <m/>
    <m/>
    <m/>
    <m/>
    <m/>
    <m/>
    <s v="JRNL00915209"/>
    <s v="JRNL00915209"/>
    <m/>
    <d v="2018-12-06T00:00:00"/>
    <d v="2018-12-07T00:00:00"/>
    <m/>
    <m/>
    <s v="wci_wa"/>
    <n v="0"/>
    <n v="0"/>
    <n v="0"/>
    <n v="0"/>
    <n v="0"/>
    <n v="1"/>
    <n v="70095"/>
    <n v="2183"/>
    <n v="0"/>
    <n v="0"/>
    <m/>
    <m/>
    <m/>
    <m/>
    <s v=""/>
  </r>
  <r>
    <s v="70095-2183-000-00"/>
    <d v="2018-11-30T00:00:00"/>
    <n v="247.23"/>
    <n v="0"/>
    <s v="USD"/>
    <s v="JRNLWA00383909"/>
    <s v="P"/>
    <s v="2018-11 Pcard Accrual"/>
    <s v="AlexandraP"/>
    <s v="0/JE IC"/>
    <m/>
    <m/>
    <x v="96"/>
    <m/>
    <m/>
    <m/>
    <m/>
    <m/>
    <m/>
    <s v="JRNL00915252"/>
    <s v="JRNL00915252"/>
    <m/>
    <d v="2018-12-06T00:00:00"/>
    <d v="2018-12-07T00:00:00"/>
    <m/>
    <m/>
    <s v="wci_wa"/>
    <n v="0"/>
    <n v="0"/>
    <n v="0"/>
    <n v="0"/>
    <n v="0"/>
    <n v="1"/>
    <n v="70095"/>
    <n v="2183"/>
    <n v="0"/>
    <n v="0"/>
    <m/>
    <m/>
    <m/>
    <m/>
    <s v=""/>
  </r>
  <r>
    <s v="70095-2183-000-00"/>
    <d v="2018-11-30T00:00:00"/>
    <n v="25.04"/>
    <n v="0"/>
    <s v="USD"/>
    <s v="JRNLWA00383909"/>
    <s v="P"/>
    <s v="2018-11 Pcard Accrual"/>
    <s v="AlexandraP"/>
    <s v="0/JE IC"/>
    <m/>
    <m/>
    <x v="97"/>
    <m/>
    <m/>
    <m/>
    <m/>
    <m/>
    <m/>
    <s v="JRNL00915252"/>
    <s v="JRNL00915252"/>
    <m/>
    <d v="2018-12-06T00:00:00"/>
    <d v="2018-12-07T00:00:00"/>
    <m/>
    <m/>
    <s v="wci_wa"/>
    <n v="0"/>
    <n v="0"/>
    <n v="0"/>
    <n v="0"/>
    <n v="0"/>
    <n v="1"/>
    <n v="70095"/>
    <n v="2183"/>
    <n v="0"/>
    <n v="0"/>
    <m/>
    <m/>
    <m/>
    <m/>
    <s v=""/>
  </r>
  <r>
    <s v="70095-2183-000-00"/>
    <d v="2018-11-30T00:00:00"/>
    <n v="219.78"/>
    <n v="0"/>
    <s v="USD"/>
    <s v="JRNLWA00383909"/>
    <s v="P"/>
    <s v="2018-11 Pcard Accrual"/>
    <s v="AlexandraP"/>
    <s v="0/JE IC"/>
    <m/>
    <m/>
    <x v="98"/>
    <m/>
    <m/>
    <m/>
    <m/>
    <m/>
    <m/>
    <s v="JRNL00915252"/>
    <s v="JRNL00915252"/>
    <m/>
    <d v="2018-12-06T00:00:00"/>
    <d v="2018-12-07T00:00:00"/>
    <m/>
    <m/>
    <s v="wci_wa"/>
    <n v="0"/>
    <n v="0"/>
    <n v="0"/>
    <n v="0"/>
    <n v="0"/>
    <n v="1"/>
    <n v="70095"/>
    <n v="2183"/>
    <n v="0"/>
    <n v="0"/>
    <m/>
    <m/>
    <m/>
    <m/>
    <s v=""/>
  </r>
  <r>
    <s v="70095-2183-000-00"/>
    <d v="2018-11-30T00:00:00"/>
    <n v="109.89"/>
    <n v="0"/>
    <s v="USD"/>
    <s v="JRNLWA00383909"/>
    <s v="P"/>
    <s v="2018-11 Pcard Accrual"/>
    <s v="AlexandraP"/>
    <s v="0/JE IC"/>
    <m/>
    <m/>
    <x v="99"/>
    <m/>
    <m/>
    <m/>
    <m/>
    <m/>
    <m/>
    <s v="JRNL00915252"/>
    <s v="JRNL00915252"/>
    <m/>
    <d v="2018-12-06T00:00:00"/>
    <d v="2018-12-07T00:00:00"/>
    <m/>
    <m/>
    <s v="wci_wa"/>
    <n v="0"/>
    <n v="0"/>
    <n v="0"/>
    <n v="0"/>
    <n v="0"/>
    <n v="1"/>
    <n v="70095"/>
    <n v="2183"/>
    <n v="0"/>
    <n v="0"/>
    <m/>
    <m/>
    <m/>
    <m/>
    <s v=""/>
  </r>
  <r>
    <s v="70095-2183-000-00"/>
    <d v="2018-12-31T00:00:00"/>
    <n v="-49.09"/>
    <n v="0"/>
    <s v="USD"/>
    <s v="JRNLWA00383964"/>
    <s v="P"/>
    <s v="PO Log Accrual"/>
    <s v="AlexandraP"/>
    <s v="0/JE IC"/>
    <m/>
    <m/>
    <x v="78"/>
    <m/>
    <m/>
    <m/>
    <m/>
    <m/>
    <m/>
    <s v="JRNL00915208"/>
    <s v="JRNL00915337"/>
    <m/>
    <d v="2018-12-07T00:00:00"/>
    <d v="2018-12-07T00:00:00"/>
    <m/>
    <m/>
    <s v="wci_wa"/>
    <n v="0"/>
    <n v="0"/>
    <n v="0"/>
    <n v="0"/>
    <n v="5"/>
    <n v="1"/>
    <n v="70095"/>
    <n v="2183"/>
    <n v="0"/>
    <n v="0"/>
    <m/>
    <m/>
    <m/>
    <m/>
    <s v=""/>
  </r>
  <r>
    <s v="70095-2183-000-00"/>
    <d v="2018-12-31T00:00:00"/>
    <n v="-190.87"/>
    <n v="0"/>
    <s v="USD"/>
    <s v="JRNLWA00383964"/>
    <s v="P"/>
    <s v="PO Log Accrual"/>
    <s v="AlexandraP"/>
    <s v="0/JE IC"/>
    <m/>
    <m/>
    <x v="79"/>
    <m/>
    <m/>
    <m/>
    <m/>
    <m/>
    <m/>
    <s v="JRNL00915208"/>
    <s v="JRNL00915337"/>
    <m/>
    <d v="2018-12-07T00:00:00"/>
    <d v="2018-12-07T00:00:00"/>
    <m/>
    <m/>
    <s v="wci_wa"/>
    <n v="0"/>
    <n v="0"/>
    <n v="0"/>
    <n v="0"/>
    <n v="5"/>
    <n v="1"/>
    <n v="70095"/>
    <n v="2183"/>
    <n v="0"/>
    <n v="0"/>
    <m/>
    <m/>
    <m/>
    <m/>
    <s v=""/>
  </r>
  <r>
    <s v="70095-2183-000-00"/>
    <d v="2018-12-31T00:00:00"/>
    <n v="-221.43"/>
    <n v="0"/>
    <s v="USD"/>
    <s v="JRNLWA00383965"/>
    <s v="P"/>
    <s v="OPEX13 - Pcard Accrual"/>
    <s v="AlexandraP"/>
    <s v="0/JE IC"/>
    <m/>
    <m/>
    <x v="80"/>
    <m/>
    <m/>
    <m/>
    <m/>
    <m/>
    <m/>
    <s v="JRNL00915209"/>
    <s v="JRNL00915338"/>
    <m/>
    <d v="2018-12-07T00:00:00"/>
    <d v="2018-12-07T00:00:00"/>
    <m/>
    <m/>
    <s v="wci_wa"/>
    <n v="0"/>
    <n v="0"/>
    <n v="0"/>
    <n v="0"/>
    <n v="5"/>
    <n v="1"/>
    <n v="70095"/>
    <n v="2183"/>
    <n v="0"/>
    <n v="0"/>
    <m/>
    <m/>
    <m/>
    <m/>
    <s v=""/>
  </r>
  <r>
    <s v="70095-2183-000-00"/>
    <d v="2018-12-31T00:00:00"/>
    <n v="-80.31"/>
    <n v="0"/>
    <s v="USD"/>
    <s v="JRNLWA00383965"/>
    <s v="P"/>
    <s v="OPEX13 - Pcard Accrual"/>
    <s v="AlexandraP"/>
    <s v="0/JE IC"/>
    <m/>
    <m/>
    <x v="80"/>
    <m/>
    <m/>
    <m/>
    <m/>
    <m/>
    <m/>
    <s v="JRNL00915209"/>
    <s v="JRNL00915338"/>
    <m/>
    <d v="2018-12-07T00:00:00"/>
    <d v="2018-12-07T00:00:00"/>
    <m/>
    <m/>
    <s v="wci_wa"/>
    <n v="0"/>
    <n v="0"/>
    <n v="0"/>
    <n v="0"/>
    <n v="5"/>
    <n v="1"/>
    <n v="70095"/>
    <n v="2183"/>
    <n v="0"/>
    <n v="0"/>
    <m/>
    <m/>
    <m/>
    <m/>
    <s v=""/>
  </r>
  <r>
    <s v="70095-2183-000-00"/>
    <d v="2018-12-31T00:00:00"/>
    <n v="-44.25"/>
    <n v="0"/>
    <s v="USD"/>
    <s v="JRNLWA00383965"/>
    <s v="P"/>
    <s v="OPEX13 - Pcard Accrual"/>
    <s v="AlexandraP"/>
    <s v="0/JE IC"/>
    <m/>
    <m/>
    <x v="80"/>
    <m/>
    <m/>
    <m/>
    <m/>
    <m/>
    <m/>
    <s v="JRNL00915209"/>
    <s v="JRNL00915338"/>
    <m/>
    <d v="2018-12-07T00:00:00"/>
    <d v="2018-12-07T00:00:00"/>
    <m/>
    <m/>
    <s v="wci_wa"/>
    <n v="0"/>
    <n v="0"/>
    <n v="0"/>
    <n v="0"/>
    <n v="5"/>
    <n v="1"/>
    <n v="70095"/>
    <n v="2183"/>
    <n v="0"/>
    <n v="0"/>
    <m/>
    <m/>
    <m/>
    <m/>
    <s v=""/>
  </r>
  <r>
    <s v="70095-2183-000-00"/>
    <d v="2018-12-31T00:00:00"/>
    <n v="-29.5"/>
    <n v="0"/>
    <s v="USD"/>
    <s v="JRNLWA00383965"/>
    <s v="P"/>
    <s v="OPEX13 - Pcard Accrual"/>
    <s v="AlexandraP"/>
    <s v="0/JE IC"/>
    <m/>
    <m/>
    <x v="80"/>
    <m/>
    <m/>
    <m/>
    <m/>
    <m/>
    <m/>
    <s v="JRNL00915209"/>
    <s v="JRNL00915338"/>
    <m/>
    <d v="2018-12-07T00:00:00"/>
    <d v="2018-12-07T00:00:00"/>
    <m/>
    <m/>
    <s v="wci_wa"/>
    <n v="0"/>
    <n v="0"/>
    <n v="0"/>
    <n v="0"/>
    <n v="5"/>
    <n v="1"/>
    <n v="70095"/>
    <n v="2183"/>
    <n v="0"/>
    <n v="0"/>
    <m/>
    <m/>
    <m/>
    <m/>
    <s v=""/>
  </r>
  <r>
    <s v="70095-2183-000-00"/>
    <d v="2018-12-31T00:00:00"/>
    <n v="-17.39"/>
    <n v="0"/>
    <s v="USD"/>
    <s v="JRNLWA00383965"/>
    <s v="P"/>
    <s v="OPEX13 - Pcard Accrual"/>
    <s v="AlexandraP"/>
    <s v="0/JE IC"/>
    <m/>
    <m/>
    <x v="81"/>
    <m/>
    <m/>
    <m/>
    <m/>
    <m/>
    <m/>
    <s v="JRNL00915209"/>
    <s v="JRNL00915338"/>
    <m/>
    <d v="2018-12-07T00:00:00"/>
    <d v="2018-12-07T00:00:00"/>
    <m/>
    <m/>
    <s v="wci_wa"/>
    <n v="0"/>
    <n v="0"/>
    <n v="0"/>
    <n v="0"/>
    <n v="5"/>
    <n v="1"/>
    <n v="70095"/>
    <n v="2183"/>
    <n v="0"/>
    <n v="0"/>
    <m/>
    <m/>
    <m/>
    <m/>
    <s v=""/>
  </r>
  <r>
    <s v="70095-2183-000-00"/>
    <d v="2018-12-31T00:00:00"/>
    <n v="-199.96"/>
    <n v="0"/>
    <s v="USD"/>
    <s v="JRNLWA00383965"/>
    <s v="P"/>
    <s v="OPEX13 - Pcard Accrual"/>
    <s v="AlexandraP"/>
    <s v="0/JE IC"/>
    <m/>
    <m/>
    <x v="82"/>
    <m/>
    <m/>
    <m/>
    <m/>
    <m/>
    <m/>
    <s v="JRNL00915209"/>
    <s v="JRNL00915338"/>
    <m/>
    <d v="2018-12-07T00:00:00"/>
    <d v="2018-12-07T00:00:00"/>
    <m/>
    <m/>
    <s v="wci_wa"/>
    <n v="0"/>
    <n v="0"/>
    <n v="0"/>
    <n v="0"/>
    <n v="5"/>
    <n v="1"/>
    <n v="70095"/>
    <n v="2183"/>
    <n v="0"/>
    <n v="0"/>
    <m/>
    <m/>
    <m/>
    <m/>
    <s v=""/>
  </r>
  <r>
    <s v="70095-2183-000-00"/>
    <d v="2018-12-31T00:00:00"/>
    <n v="-892.53"/>
    <n v="0"/>
    <s v="USD"/>
    <s v="JRNLWA00383965"/>
    <s v="P"/>
    <s v="OPEX13 - Pcard Accrual"/>
    <s v="AlexandraP"/>
    <s v="0/JE IC"/>
    <m/>
    <m/>
    <x v="83"/>
    <m/>
    <m/>
    <m/>
    <m/>
    <m/>
    <m/>
    <s v="JRNL00915209"/>
    <s v="JRNL00915338"/>
    <m/>
    <d v="2018-12-07T00:00:00"/>
    <d v="2018-12-07T00:00:00"/>
    <m/>
    <m/>
    <s v="wci_wa"/>
    <n v="0"/>
    <n v="0"/>
    <n v="0"/>
    <n v="0"/>
    <n v="5"/>
    <n v="1"/>
    <n v="70095"/>
    <n v="2183"/>
    <n v="0"/>
    <n v="0"/>
    <m/>
    <m/>
    <m/>
    <m/>
    <s v=""/>
  </r>
  <r>
    <s v="70095-2183-000-00"/>
    <d v="2018-12-31T00:00:00"/>
    <n v="-250"/>
    <n v="0"/>
    <s v="USD"/>
    <s v="JRNLWA00383965"/>
    <s v="P"/>
    <s v="OPEX13 - Pcard Accrual"/>
    <s v="AlexandraP"/>
    <s v="0/JE IC"/>
    <m/>
    <m/>
    <x v="84"/>
    <m/>
    <m/>
    <m/>
    <m/>
    <m/>
    <m/>
    <s v="JRNL00915209"/>
    <s v="JRNL00915338"/>
    <m/>
    <d v="2018-12-07T00:00:00"/>
    <d v="2018-12-07T00:00:00"/>
    <m/>
    <m/>
    <s v="wci_wa"/>
    <n v="0"/>
    <n v="0"/>
    <n v="0"/>
    <n v="0"/>
    <n v="5"/>
    <n v="1"/>
    <n v="70095"/>
    <n v="2183"/>
    <n v="0"/>
    <n v="0"/>
    <m/>
    <m/>
    <m/>
    <m/>
    <s v=""/>
  </r>
  <r>
    <s v="70095-2183-000-00"/>
    <d v="2018-12-31T00:00:00"/>
    <n v="-229.77"/>
    <n v="0"/>
    <s v="USD"/>
    <s v="JRNLWA00383965"/>
    <s v="P"/>
    <s v="OPEX13 - Pcard Accrual"/>
    <s v="AlexandraP"/>
    <s v="0/JE IC"/>
    <m/>
    <m/>
    <x v="85"/>
    <m/>
    <m/>
    <m/>
    <m/>
    <m/>
    <m/>
    <s v="JRNL00915209"/>
    <s v="JRNL00915338"/>
    <m/>
    <d v="2018-12-07T00:00:00"/>
    <d v="2018-12-07T00:00:00"/>
    <m/>
    <m/>
    <s v="wci_wa"/>
    <n v="0"/>
    <n v="0"/>
    <n v="0"/>
    <n v="0"/>
    <n v="5"/>
    <n v="1"/>
    <n v="70095"/>
    <n v="2183"/>
    <n v="0"/>
    <n v="0"/>
    <m/>
    <m/>
    <m/>
    <m/>
    <s v=""/>
  </r>
  <r>
    <s v="70095-2183-000-00"/>
    <d v="2018-12-31T00:00:00"/>
    <n v="-11.32"/>
    <n v="0"/>
    <s v="USD"/>
    <s v="JRNLWA00383965"/>
    <s v="P"/>
    <s v="OPEX13 - Pcard Accrual"/>
    <s v="AlexandraP"/>
    <s v="0/JE IC"/>
    <m/>
    <m/>
    <x v="11"/>
    <m/>
    <m/>
    <m/>
    <m/>
    <m/>
    <m/>
    <s v="JRNL00915209"/>
    <s v="JRNL00915338"/>
    <m/>
    <d v="2018-12-07T00:00:00"/>
    <d v="2018-12-07T00:00:00"/>
    <m/>
    <m/>
    <s v="wci_wa"/>
    <n v="0"/>
    <n v="0"/>
    <n v="0"/>
    <n v="0"/>
    <n v="5"/>
    <n v="1"/>
    <n v="70095"/>
    <n v="2183"/>
    <n v="0"/>
    <n v="0"/>
    <m/>
    <m/>
    <m/>
    <m/>
    <s v=""/>
  </r>
  <r>
    <s v="70095-2183-000-00"/>
    <d v="2018-12-31T00:00:00"/>
    <n v="-50.79"/>
    <n v="0"/>
    <s v="USD"/>
    <s v="JRNLWA00383965"/>
    <s v="P"/>
    <s v="OPEX13 - Pcard Accrual"/>
    <s v="AlexandraP"/>
    <s v="0/JE IC"/>
    <m/>
    <m/>
    <x v="86"/>
    <m/>
    <m/>
    <m/>
    <m/>
    <m/>
    <m/>
    <s v="JRNL00915209"/>
    <s v="JRNL00915338"/>
    <m/>
    <d v="2018-12-07T00:00:00"/>
    <d v="2018-12-07T00:00:00"/>
    <m/>
    <m/>
    <s v="wci_wa"/>
    <n v="0"/>
    <n v="0"/>
    <n v="0"/>
    <n v="0"/>
    <n v="5"/>
    <n v="1"/>
    <n v="70095"/>
    <n v="2183"/>
    <n v="0"/>
    <n v="0"/>
    <m/>
    <m/>
    <m/>
    <m/>
    <s v=""/>
  </r>
  <r>
    <s v="70095-2183-000-00"/>
    <d v="2018-12-31T00:00:00"/>
    <n v="-272.22000000000003"/>
    <n v="0"/>
    <s v="USD"/>
    <s v="JRNLWA00383965"/>
    <s v="P"/>
    <s v="OPEX13 - Pcard Accrual"/>
    <s v="AlexandraP"/>
    <s v="0/JE IC"/>
    <m/>
    <m/>
    <x v="87"/>
    <m/>
    <m/>
    <m/>
    <m/>
    <m/>
    <m/>
    <s v="JRNL00915209"/>
    <s v="JRNL00915338"/>
    <m/>
    <d v="2018-12-07T00:00:00"/>
    <d v="2018-12-07T00:00:00"/>
    <m/>
    <m/>
    <s v="wci_wa"/>
    <n v="0"/>
    <n v="0"/>
    <n v="0"/>
    <n v="0"/>
    <n v="5"/>
    <n v="1"/>
    <n v="70095"/>
    <n v="2183"/>
    <n v="0"/>
    <n v="0"/>
    <m/>
    <m/>
    <m/>
    <m/>
    <s v=""/>
  </r>
  <r>
    <s v="70095-2183-000-00"/>
    <d v="2018-12-31T00:00:00"/>
    <n v="-78.38"/>
    <n v="0"/>
    <s v="USD"/>
    <s v="JRNLWA00383965"/>
    <s v="P"/>
    <s v="OPEX13 - Pcard Accrual"/>
    <s v="AlexandraP"/>
    <s v="0/JE IC"/>
    <m/>
    <m/>
    <x v="88"/>
    <m/>
    <m/>
    <m/>
    <m/>
    <m/>
    <m/>
    <s v="JRNL00915209"/>
    <s v="JRNL00915338"/>
    <m/>
    <d v="2018-12-07T00:00:00"/>
    <d v="2018-12-07T00:00:00"/>
    <m/>
    <m/>
    <s v="wci_wa"/>
    <n v="0"/>
    <n v="0"/>
    <n v="0"/>
    <n v="0"/>
    <n v="5"/>
    <n v="1"/>
    <n v="70095"/>
    <n v="2183"/>
    <n v="0"/>
    <n v="0"/>
    <m/>
    <m/>
    <m/>
    <m/>
    <s v=""/>
  </r>
  <r>
    <s v="70095-2183-000-00"/>
    <d v="2018-12-31T00:00:00"/>
    <n v="-320.76"/>
    <n v="0"/>
    <s v="USD"/>
    <s v="JRNLWA00383965"/>
    <s v="P"/>
    <s v="OPEX13 - Pcard Accrual"/>
    <s v="AlexandraP"/>
    <s v="0/JE IC"/>
    <m/>
    <m/>
    <x v="89"/>
    <m/>
    <m/>
    <m/>
    <m/>
    <m/>
    <m/>
    <s v="JRNL00915209"/>
    <s v="JRNL00915338"/>
    <m/>
    <d v="2018-12-07T00:00:00"/>
    <d v="2018-12-07T00:00:00"/>
    <m/>
    <m/>
    <s v="wci_wa"/>
    <n v="0"/>
    <n v="0"/>
    <n v="0"/>
    <n v="0"/>
    <n v="5"/>
    <n v="1"/>
    <n v="70095"/>
    <n v="2183"/>
    <n v="0"/>
    <n v="0"/>
    <m/>
    <m/>
    <m/>
    <m/>
    <s v=""/>
  </r>
  <r>
    <s v="70095-2183-000-00"/>
    <d v="2018-12-31T00:00:00"/>
    <n v="-81.75"/>
    <n v="0"/>
    <s v="USD"/>
    <s v="JRNLWA00383965"/>
    <s v="P"/>
    <s v="OPEX13 - Pcard Accrual"/>
    <s v="AlexandraP"/>
    <s v="0/JE IC"/>
    <m/>
    <m/>
    <x v="90"/>
    <m/>
    <m/>
    <m/>
    <m/>
    <m/>
    <m/>
    <s v="JRNL00915209"/>
    <s v="JRNL00915338"/>
    <m/>
    <d v="2018-12-07T00:00:00"/>
    <d v="2018-12-07T00:00:00"/>
    <m/>
    <m/>
    <s v="wci_wa"/>
    <n v="0"/>
    <n v="0"/>
    <n v="0"/>
    <n v="0"/>
    <n v="5"/>
    <n v="1"/>
    <n v="70095"/>
    <n v="2183"/>
    <n v="0"/>
    <n v="0"/>
    <m/>
    <m/>
    <m/>
    <m/>
    <s v=""/>
  </r>
  <r>
    <s v="70095-2183-000-00"/>
    <d v="2018-12-31T00:00:00"/>
    <n v="-34.520000000000003"/>
    <n v="0"/>
    <s v="USD"/>
    <s v="JRNLWA00383965"/>
    <s v="P"/>
    <s v="OPEX13 - Pcard Accrual"/>
    <s v="AlexandraP"/>
    <s v="0/JE IC"/>
    <m/>
    <m/>
    <x v="91"/>
    <m/>
    <m/>
    <m/>
    <m/>
    <m/>
    <m/>
    <s v="JRNL00915209"/>
    <s v="JRNL00915338"/>
    <m/>
    <d v="2018-12-07T00:00:00"/>
    <d v="2018-12-07T00:00:00"/>
    <m/>
    <m/>
    <s v="wci_wa"/>
    <n v="0"/>
    <n v="0"/>
    <n v="0"/>
    <n v="0"/>
    <n v="5"/>
    <n v="1"/>
    <n v="70095"/>
    <n v="2183"/>
    <n v="0"/>
    <n v="0"/>
    <m/>
    <m/>
    <m/>
    <m/>
    <s v=""/>
  </r>
  <r>
    <s v="70095-2183-000-00"/>
    <d v="2018-12-31T00:00:00"/>
    <n v="-54.87"/>
    <n v="0"/>
    <s v="USD"/>
    <s v="JRNLWA00383965"/>
    <s v="P"/>
    <s v="OPEX13 - Pcard Accrual"/>
    <s v="AlexandraP"/>
    <s v="0/JE IC"/>
    <m/>
    <m/>
    <x v="92"/>
    <m/>
    <m/>
    <m/>
    <m/>
    <m/>
    <m/>
    <s v="JRNL00915209"/>
    <s v="JRNL00915338"/>
    <m/>
    <d v="2018-12-07T00:00:00"/>
    <d v="2018-12-07T00:00:00"/>
    <m/>
    <m/>
    <s v="wci_wa"/>
    <n v="0"/>
    <n v="0"/>
    <n v="0"/>
    <n v="0"/>
    <n v="5"/>
    <n v="1"/>
    <n v="70095"/>
    <n v="2183"/>
    <n v="0"/>
    <n v="0"/>
    <m/>
    <m/>
    <m/>
    <m/>
    <s v=""/>
  </r>
  <r>
    <s v="70095-2183-000-00"/>
    <d v="2018-12-31T00:00:00"/>
    <n v="-43.52"/>
    <n v="0"/>
    <s v="USD"/>
    <s v="JRNLWA00383965"/>
    <s v="P"/>
    <s v="OPEX13 - Pcard Accrual"/>
    <s v="AlexandraP"/>
    <s v="0/JE IC"/>
    <m/>
    <m/>
    <x v="93"/>
    <m/>
    <m/>
    <m/>
    <m/>
    <m/>
    <m/>
    <s v="JRNL00915209"/>
    <s v="JRNL00915338"/>
    <m/>
    <d v="2018-12-07T00:00:00"/>
    <d v="2018-12-07T00:00:00"/>
    <m/>
    <m/>
    <s v="wci_wa"/>
    <n v="0"/>
    <n v="0"/>
    <n v="0"/>
    <n v="0"/>
    <n v="5"/>
    <n v="1"/>
    <n v="70095"/>
    <n v="2183"/>
    <n v="0"/>
    <n v="0"/>
    <m/>
    <m/>
    <m/>
    <m/>
    <s v=""/>
  </r>
  <r>
    <s v="70095-2183-000-00"/>
    <d v="2018-12-31T00:00:00"/>
    <n v="-73.819999999999993"/>
    <n v="0"/>
    <s v="USD"/>
    <s v="JRNLWA00383965"/>
    <s v="P"/>
    <s v="OPEX13 - Pcard Accrual"/>
    <s v="AlexandraP"/>
    <s v="0/JE IC"/>
    <m/>
    <m/>
    <x v="94"/>
    <m/>
    <m/>
    <m/>
    <m/>
    <m/>
    <m/>
    <s v="JRNL00915209"/>
    <s v="JRNL00915338"/>
    <m/>
    <d v="2018-12-07T00:00:00"/>
    <d v="2018-12-07T00:00:00"/>
    <m/>
    <m/>
    <s v="wci_wa"/>
    <n v="0"/>
    <n v="0"/>
    <n v="0"/>
    <n v="0"/>
    <n v="5"/>
    <n v="1"/>
    <n v="70095"/>
    <n v="2183"/>
    <n v="0"/>
    <n v="0"/>
    <m/>
    <m/>
    <m/>
    <m/>
    <s v=""/>
  </r>
  <r>
    <s v="70095-2183-000-00"/>
    <d v="2018-12-31T00:00:00"/>
    <n v="-39.11"/>
    <n v="0"/>
    <s v="USD"/>
    <s v="JRNLWA00383965"/>
    <s v="P"/>
    <s v="OPEX13 - Pcard Accrual"/>
    <s v="AlexandraP"/>
    <s v="0/JE IC"/>
    <m/>
    <m/>
    <x v="95"/>
    <m/>
    <m/>
    <m/>
    <m/>
    <m/>
    <m/>
    <s v="JRNL00915209"/>
    <s v="JRNL00915338"/>
    <m/>
    <d v="2018-12-07T00:00:00"/>
    <d v="2018-12-07T00:00:00"/>
    <m/>
    <m/>
    <s v="wci_wa"/>
    <n v="0"/>
    <n v="0"/>
    <n v="0"/>
    <n v="0"/>
    <n v="5"/>
    <n v="1"/>
    <n v="70095"/>
    <n v="2183"/>
    <n v="0"/>
    <n v="0"/>
    <m/>
    <m/>
    <m/>
    <m/>
    <s v=""/>
  </r>
  <r>
    <s v="70095-2183-000-00"/>
    <d v="2018-12-31T00:00:00"/>
    <n v="-244.51"/>
    <n v="0"/>
    <s v="USD"/>
    <s v="JRNLWA00383965"/>
    <s v="P"/>
    <s v="OPEX13 - Pcard Accrual"/>
    <s v="AlexandraP"/>
    <s v="0/JE IC"/>
    <m/>
    <m/>
    <x v="82"/>
    <m/>
    <m/>
    <m/>
    <m/>
    <m/>
    <m/>
    <s v="JRNL00915209"/>
    <s v="JRNL00915338"/>
    <m/>
    <d v="2018-12-07T00:00:00"/>
    <d v="2018-12-07T00:00:00"/>
    <m/>
    <m/>
    <s v="wci_wa"/>
    <n v="0"/>
    <n v="0"/>
    <n v="0"/>
    <n v="0"/>
    <n v="5"/>
    <n v="1"/>
    <n v="70095"/>
    <n v="2183"/>
    <n v="0"/>
    <n v="0"/>
    <m/>
    <m/>
    <m/>
    <m/>
    <s v=""/>
  </r>
  <r>
    <s v="70095-2183-000-00"/>
    <d v="2018-12-31T00:00:00"/>
    <n v="-85.2"/>
    <n v="0"/>
    <s v="USD"/>
    <s v="JRNLWA00383965"/>
    <s v="P"/>
    <s v="OPEX13 - Pcard Accrual"/>
    <s v="AlexandraP"/>
    <s v="0/JE IC"/>
    <m/>
    <m/>
    <x v="27"/>
    <m/>
    <m/>
    <m/>
    <m/>
    <m/>
    <m/>
    <s v="JRNL00915209"/>
    <s v="JRNL00915338"/>
    <m/>
    <d v="2018-12-07T00:00:00"/>
    <d v="2018-12-07T00:00:00"/>
    <m/>
    <m/>
    <s v="wci_wa"/>
    <n v="0"/>
    <n v="0"/>
    <n v="0"/>
    <n v="0"/>
    <n v="5"/>
    <n v="1"/>
    <n v="70095"/>
    <n v="2183"/>
    <n v="0"/>
    <n v="0"/>
    <m/>
    <m/>
    <m/>
    <m/>
    <s v=""/>
  </r>
  <r>
    <s v="70095-2183-000-00"/>
    <d v="2018-12-31T00:00:00"/>
    <n v="-247.23"/>
    <n v="0"/>
    <s v="USD"/>
    <s v="JRNLWA00383973"/>
    <s v="P"/>
    <s v="2018-11 Pcard Accrual"/>
    <s v="AlexandraP"/>
    <s v="0/JE IC"/>
    <m/>
    <m/>
    <x v="96"/>
    <m/>
    <m/>
    <m/>
    <m/>
    <m/>
    <m/>
    <s v="JRNL00915252"/>
    <s v="JRNL00915348"/>
    <m/>
    <d v="2018-12-07T00:00:00"/>
    <d v="2018-12-07T00:00:00"/>
    <m/>
    <m/>
    <s v="wci_wa"/>
    <n v="0"/>
    <n v="0"/>
    <n v="0"/>
    <n v="0"/>
    <n v="5"/>
    <n v="1"/>
    <n v="70095"/>
    <n v="2183"/>
    <n v="0"/>
    <n v="0"/>
    <m/>
    <m/>
    <m/>
    <m/>
    <s v=""/>
  </r>
  <r>
    <s v="70095-2183-000-00"/>
    <d v="2018-12-31T00:00:00"/>
    <n v="-25.04"/>
    <n v="0"/>
    <s v="USD"/>
    <s v="JRNLWA00383973"/>
    <s v="P"/>
    <s v="2018-11 Pcard Accrual"/>
    <s v="AlexandraP"/>
    <s v="0/JE IC"/>
    <m/>
    <m/>
    <x v="97"/>
    <m/>
    <m/>
    <m/>
    <m/>
    <m/>
    <m/>
    <s v="JRNL00915252"/>
    <s v="JRNL00915348"/>
    <m/>
    <d v="2018-12-07T00:00:00"/>
    <d v="2018-12-07T00:00:00"/>
    <m/>
    <m/>
    <s v="wci_wa"/>
    <n v="0"/>
    <n v="0"/>
    <n v="0"/>
    <n v="0"/>
    <n v="5"/>
    <n v="1"/>
    <n v="70095"/>
    <n v="2183"/>
    <n v="0"/>
    <n v="0"/>
    <m/>
    <m/>
    <m/>
    <m/>
    <s v=""/>
  </r>
  <r>
    <s v="70095-2183-000-00"/>
    <d v="2018-12-31T00:00:00"/>
    <n v="-219.78"/>
    <n v="0"/>
    <s v="USD"/>
    <s v="JRNLWA00383973"/>
    <s v="P"/>
    <s v="2018-11 Pcard Accrual"/>
    <s v="AlexandraP"/>
    <s v="0/JE IC"/>
    <m/>
    <m/>
    <x v="98"/>
    <m/>
    <m/>
    <m/>
    <m/>
    <m/>
    <m/>
    <s v="JRNL00915252"/>
    <s v="JRNL00915348"/>
    <m/>
    <d v="2018-12-07T00:00:00"/>
    <d v="2018-12-07T00:00:00"/>
    <m/>
    <m/>
    <s v="wci_wa"/>
    <n v="0"/>
    <n v="0"/>
    <n v="0"/>
    <n v="0"/>
    <n v="5"/>
    <n v="1"/>
    <n v="70095"/>
    <n v="2183"/>
    <n v="0"/>
    <n v="0"/>
    <m/>
    <m/>
    <m/>
    <m/>
    <s v=""/>
  </r>
  <r>
    <s v="70095-2183-000-00"/>
    <d v="2018-12-31T00:00:00"/>
    <n v="-109.89"/>
    <n v="0"/>
    <s v="USD"/>
    <s v="JRNLWA00383973"/>
    <s v="P"/>
    <s v="2018-11 Pcard Accrual"/>
    <s v="AlexandraP"/>
    <s v="0/JE IC"/>
    <m/>
    <m/>
    <x v="99"/>
    <m/>
    <m/>
    <m/>
    <m/>
    <m/>
    <m/>
    <s v="JRNL00915252"/>
    <s v="JRNL00915348"/>
    <m/>
    <d v="2018-12-07T00:00:00"/>
    <d v="2018-12-07T00:00:00"/>
    <m/>
    <m/>
    <s v="wci_wa"/>
    <n v="0"/>
    <n v="0"/>
    <n v="0"/>
    <n v="0"/>
    <n v="5"/>
    <n v="1"/>
    <n v="70095"/>
    <n v="2183"/>
    <n v="0"/>
    <n v="0"/>
    <m/>
    <m/>
    <m/>
    <m/>
    <s v=""/>
  </r>
  <r>
    <s v="70095-2183-000-00"/>
    <d v="2018-12-31T00:00:00"/>
    <n v="247.23"/>
    <n v="0"/>
    <s v="USD"/>
    <s v="JRNLWA00384600"/>
    <s v="P"/>
    <s v="Western PCard Activity - Dec"/>
    <s v="HelenaK"/>
    <s v="0/JE IC"/>
    <m/>
    <m/>
    <x v="96"/>
    <m/>
    <m/>
    <m/>
    <m/>
    <m/>
    <m/>
    <s v="JRNL00917331"/>
    <s v="JRNL00917331"/>
    <m/>
    <d v="2019-01-03T00:00:00"/>
    <d v="2019-01-03T00:00:00"/>
    <m/>
    <m/>
    <s v="wci_wa"/>
    <n v="0"/>
    <n v="0"/>
    <n v="0"/>
    <n v="0"/>
    <n v="0"/>
    <n v="1"/>
    <n v="70095"/>
    <n v="2183"/>
    <n v="0"/>
    <n v="0"/>
    <m/>
    <m/>
    <m/>
    <m/>
    <s v=""/>
  </r>
  <r>
    <s v="70095-2183-000-00"/>
    <d v="2018-12-31T00:00:00"/>
    <n v="48.18"/>
    <n v="0"/>
    <s v="USD"/>
    <s v="JRNLWA00384600"/>
    <s v="P"/>
    <s v="Western PCard Activity - Dec"/>
    <s v="HelenaK"/>
    <s v="0/JE IC"/>
    <m/>
    <m/>
    <x v="80"/>
    <m/>
    <m/>
    <m/>
    <m/>
    <m/>
    <m/>
    <s v="JRNL00917331"/>
    <s v="JRNL00917331"/>
    <m/>
    <d v="2019-01-03T00:00:00"/>
    <d v="2019-01-03T00:00:00"/>
    <m/>
    <m/>
    <s v="wci_wa"/>
    <n v="0"/>
    <n v="0"/>
    <n v="0"/>
    <n v="0"/>
    <n v="0"/>
    <n v="1"/>
    <n v="70095"/>
    <n v="2183"/>
    <n v="0"/>
    <n v="0"/>
    <m/>
    <m/>
    <m/>
    <m/>
    <s v=""/>
  </r>
  <r>
    <s v="70095-2183-000-00"/>
    <d v="2018-12-31T00:00:00"/>
    <n v="32.119999999999997"/>
    <n v="0"/>
    <s v="USD"/>
    <s v="JRNLWA00384600"/>
    <s v="P"/>
    <s v="Western PCard Activity - Dec"/>
    <s v="HelenaK"/>
    <s v="0/JE IC"/>
    <m/>
    <m/>
    <x v="80"/>
    <m/>
    <m/>
    <m/>
    <m/>
    <m/>
    <m/>
    <s v="JRNL00917331"/>
    <s v="JRNL00917331"/>
    <m/>
    <d v="2019-01-03T00:00:00"/>
    <d v="2019-01-03T00:00:00"/>
    <m/>
    <m/>
    <s v="wci_wa"/>
    <n v="0"/>
    <n v="0"/>
    <n v="0"/>
    <n v="0"/>
    <n v="0"/>
    <n v="1"/>
    <n v="70095"/>
    <n v="2183"/>
    <n v="0"/>
    <n v="0"/>
    <m/>
    <m/>
    <m/>
    <m/>
    <s v=""/>
  </r>
  <r>
    <s v="70095-2183-000-00"/>
    <d v="2018-12-31T00:00:00"/>
    <n v="80.31"/>
    <n v="0"/>
    <s v="USD"/>
    <s v="JRNLWA00384600"/>
    <s v="P"/>
    <s v="Western PCard Activity - Dec"/>
    <s v="HelenaK"/>
    <s v="0/JE IC"/>
    <m/>
    <m/>
    <x v="80"/>
    <m/>
    <m/>
    <m/>
    <m/>
    <m/>
    <m/>
    <s v="JRNL00917331"/>
    <s v="JRNL00917331"/>
    <m/>
    <d v="2019-01-03T00:00:00"/>
    <d v="2019-01-03T00:00:00"/>
    <m/>
    <m/>
    <s v="wci_wa"/>
    <n v="0"/>
    <n v="0"/>
    <n v="0"/>
    <n v="0"/>
    <n v="0"/>
    <n v="1"/>
    <n v="70095"/>
    <n v="2183"/>
    <n v="0"/>
    <n v="0"/>
    <m/>
    <m/>
    <m/>
    <m/>
    <s v=""/>
  </r>
  <r>
    <s v="70095-2183-000-00"/>
    <d v="2018-12-31T00:00:00"/>
    <n v="221.43"/>
    <n v="0"/>
    <s v="USD"/>
    <s v="JRNLWA00384600"/>
    <s v="P"/>
    <s v="Western PCard Activity - Dec"/>
    <s v="HelenaK"/>
    <s v="0/JE IC"/>
    <m/>
    <m/>
    <x v="80"/>
    <m/>
    <m/>
    <m/>
    <m/>
    <m/>
    <m/>
    <s v="JRNL00917331"/>
    <s v="JRNL00917331"/>
    <m/>
    <d v="2019-01-03T00:00:00"/>
    <d v="2019-01-03T00:00:00"/>
    <m/>
    <m/>
    <s v="wci_wa"/>
    <n v="0"/>
    <n v="0"/>
    <n v="0"/>
    <n v="0"/>
    <n v="0"/>
    <n v="1"/>
    <n v="70095"/>
    <n v="2183"/>
    <n v="0"/>
    <n v="0"/>
    <m/>
    <m/>
    <m/>
    <m/>
    <s v=""/>
  </r>
  <r>
    <s v="70095-2183-000-00"/>
    <d v="2018-12-31T00:00:00"/>
    <n v="80.31"/>
    <n v="0"/>
    <s v="USD"/>
    <s v="JRNLWA00384600"/>
    <s v="P"/>
    <s v="Western PCard Activity - Dec"/>
    <s v="HelenaK"/>
    <s v="0/JE IC"/>
    <m/>
    <m/>
    <x v="80"/>
    <m/>
    <m/>
    <m/>
    <m/>
    <m/>
    <m/>
    <s v="JRNL00917331"/>
    <s v="JRNL00917331"/>
    <m/>
    <d v="2019-01-03T00:00:00"/>
    <d v="2019-01-03T00:00:00"/>
    <m/>
    <m/>
    <s v="wci_wa"/>
    <n v="0"/>
    <n v="0"/>
    <n v="0"/>
    <n v="0"/>
    <n v="0"/>
    <n v="1"/>
    <n v="70095"/>
    <n v="2183"/>
    <n v="0"/>
    <n v="0"/>
    <m/>
    <m/>
    <m/>
    <m/>
    <s v=""/>
  </r>
  <r>
    <s v="70095-2183-000-00"/>
    <d v="2018-12-31T00:00:00"/>
    <n v="17.39"/>
    <n v="0"/>
    <s v="USD"/>
    <s v="JRNLWA00384600"/>
    <s v="P"/>
    <s v="Western PCard Activity - Dec"/>
    <s v="HelenaK"/>
    <s v="0/JE IC"/>
    <m/>
    <m/>
    <x v="81"/>
    <m/>
    <m/>
    <m/>
    <m/>
    <m/>
    <m/>
    <s v="JRNL00917331"/>
    <s v="JRNL00917331"/>
    <m/>
    <d v="2019-01-03T00:00:00"/>
    <d v="2019-01-03T00:00:00"/>
    <m/>
    <m/>
    <s v="wci_wa"/>
    <n v="0"/>
    <n v="0"/>
    <n v="0"/>
    <n v="0"/>
    <n v="0"/>
    <n v="1"/>
    <n v="70095"/>
    <n v="2183"/>
    <n v="0"/>
    <n v="0"/>
    <m/>
    <m/>
    <m/>
    <m/>
    <s v=""/>
  </r>
  <r>
    <s v="70095-2183-000-00"/>
    <d v="2018-12-31T00:00:00"/>
    <n v="199.96"/>
    <n v="0"/>
    <s v="USD"/>
    <s v="JRNLWA00384600"/>
    <s v="P"/>
    <s v="Western PCard Activity - Dec"/>
    <s v="HelenaK"/>
    <s v="0/JE IC"/>
    <m/>
    <m/>
    <x v="82"/>
    <m/>
    <m/>
    <m/>
    <m/>
    <m/>
    <m/>
    <s v="JRNL00917331"/>
    <s v="JRNL00917331"/>
    <m/>
    <d v="2019-01-03T00:00:00"/>
    <d v="2019-01-03T00:00:00"/>
    <m/>
    <m/>
    <s v="wci_wa"/>
    <n v="0"/>
    <n v="0"/>
    <n v="0"/>
    <n v="0"/>
    <n v="0"/>
    <n v="1"/>
    <n v="70095"/>
    <n v="2183"/>
    <n v="0"/>
    <n v="0"/>
    <m/>
    <m/>
    <m/>
    <m/>
    <s v=""/>
  </r>
  <r>
    <s v="70095-2183-000-00"/>
    <d v="2018-12-31T00:00:00"/>
    <n v="892.53"/>
    <n v="0"/>
    <s v="USD"/>
    <s v="JRNLWA00384600"/>
    <s v="P"/>
    <s v="Western PCard Activity - Dec"/>
    <s v="HelenaK"/>
    <s v="0/JE IC"/>
    <m/>
    <m/>
    <x v="83"/>
    <m/>
    <m/>
    <m/>
    <m/>
    <m/>
    <m/>
    <s v="JRNL00917331"/>
    <s v="JRNL00917331"/>
    <m/>
    <d v="2019-01-03T00:00:00"/>
    <d v="2019-01-03T00:00:00"/>
    <m/>
    <m/>
    <s v="wci_wa"/>
    <n v="0"/>
    <n v="0"/>
    <n v="0"/>
    <n v="0"/>
    <n v="0"/>
    <n v="1"/>
    <n v="70095"/>
    <n v="2183"/>
    <n v="0"/>
    <n v="0"/>
    <m/>
    <m/>
    <m/>
    <m/>
    <s v=""/>
  </r>
  <r>
    <s v="70095-2183-000-00"/>
    <d v="2018-12-31T00:00:00"/>
    <n v="25.04"/>
    <n v="0"/>
    <s v="USD"/>
    <s v="JRNLWA00384600"/>
    <s v="P"/>
    <s v="Western PCard Activity - Dec"/>
    <s v="HelenaK"/>
    <s v="0/JE IC"/>
    <m/>
    <m/>
    <x v="97"/>
    <m/>
    <m/>
    <m/>
    <m/>
    <m/>
    <m/>
    <s v="JRNL00917331"/>
    <s v="JRNL00917331"/>
    <m/>
    <d v="2019-01-03T00:00:00"/>
    <d v="2019-01-03T00:00:00"/>
    <m/>
    <m/>
    <s v="wci_wa"/>
    <n v="0"/>
    <n v="0"/>
    <n v="0"/>
    <n v="0"/>
    <n v="0"/>
    <n v="1"/>
    <n v="70095"/>
    <n v="2183"/>
    <n v="0"/>
    <n v="0"/>
    <m/>
    <m/>
    <m/>
    <m/>
    <s v=""/>
  </r>
  <r>
    <s v="70095-2183-000-00"/>
    <d v="2018-12-31T00:00:00"/>
    <n v="250"/>
    <n v="0"/>
    <s v="USD"/>
    <s v="JRNLWA00384600"/>
    <s v="P"/>
    <s v="Western PCard Activity - Dec"/>
    <s v="HelenaK"/>
    <s v="0/JE IC"/>
    <m/>
    <m/>
    <x v="84"/>
    <m/>
    <m/>
    <m/>
    <m/>
    <m/>
    <m/>
    <s v="JRNL00917331"/>
    <s v="JRNL00917331"/>
    <m/>
    <d v="2019-01-03T00:00:00"/>
    <d v="2019-01-03T00:00:00"/>
    <m/>
    <m/>
    <s v="wci_wa"/>
    <n v="0"/>
    <n v="0"/>
    <n v="0"/>
    <n v="0"/>
    <n v="0"/>
    <n v="1"/>
    <n v="70095"/>
    <n v="2183"/>
    <n v="0"/>
    <n v="0"/>
    <m/>
    <m/>
    <m/>
    <m/>
    <s v=""/>
  </r>
  <r>
    <s v="70095-2183-000-00"/>
    <d v="2018-12-31T00:00:00"/>
    <n v="229.77"/>
    <n v="0"/>
    <s v="USD"/>
    <s v="JRNLWA00384600"/>
    <s v="P"/>
    <s v="Western PCard Activity - Dec"/>
    <s v="HelenaK"/>
    <s v="0/JE IC"/>
    <m/>
    <m/>
    <x v="85"/>
    <m/>
    <m/>
    <m/>
    <m/>
    <m/>
    <m/>
    <s v="JRNL00917331"/>
    <s v="JRNL00917331"/>
    <m/>
    <d v="2019-01-03T00:00:00"/>
    <d v="2019-01-03T00:00:00"/>
    <m/>
    <m/>
    <s v="wci_wa"/>
    <n v="0"/>
    <n v="0"/>
    <n v="0"/>
    <n v="0"/>
    <n v="0"/>
    <n v="1"/>
    <n v="70095"/>
    <n v="2183"/>
    <n v="0"/>
    <n v="0"/>
    <m/>
    <m/>
    <m/>
    <m/>
    <s v=""/>
  </r>
  <r>
    <s v="70095-2183-000-00"/>
    <d v="2018-12-31T00:00:00"/>
    <n v="219.78"/>
    <n v="0"/>
    <s v="USD"/>
    <s v="JRNLWA00384600"/>
    <s v="P"/>
    <s v="Western PCard Activity - Dec"/>
    <s v="HelenaK"/>
    <s v="0/JE IC"/>
    <m/>
    <m/>
    <x v="98"/>
    <m/>
    <m/>
    <m/>
    <m/>
    <m/>
    <m/>
    <s v="JRNL00917331"/>
    <s v="JRNL00917331"/>
    <m/>
    <d v="2019-01-03T00:00:00"/>
    <d v="2019-01-03T00:00:00"/>
    <m/>
    <m/>
    <s v="wci_wa"/>
    <n v="0"/>
    <n v="0"/>
    <n v="0"/>
    <n v="0"/>
    <n v="0"/>
    <n v="1"/>
    <n v="70095"/>
    <n v="2183"/>
    <n v="0"/>
    <n v="0"/>
    <m/>
    <m/>
    <m/>
    <m/>
    <s v=""/>
  </r>
  <r>
    <s v="70095-2183-000-00"/>
    <d v="2018-12-31T00:00:00"/>
    <n v="109.89"/>
    <n v="0"/>
    <s v="USD"/>
    <s v="JRNLWA00384600"/>
    <s v="P"/>
    <s v="Western PCard Activity - Dec"/>
    <s v="HelenaK"/>
    <s v="0/JE IC"/>
    <m/>
    <m/>
    <x v="99"/>
    <m/>
    <m/>
    <m/>
    <m/>
    <m/>
    <m/>
    <s v="JRNL00917331"/>
    <s v="JRNL00917331"/>
    <m/>
    <d v="2019-01-03T00:00:00"/>
    <d v="2019-01-03T00:00:00"/>
    <m/>
    <m/>
    <s v="wci_wa"/>
    <n v="0"/>
    <n v="0"/>
    <n v="0"/>
    <n v="0"/>
    <n v="0"/>
    <n v="1"/>
    <n v="70095"/>
    <n v="2183"/>
    <n v="0"/>
    <n v="0"/>
    <m/>
    <m/>
    <m/>
    <m/>
    <s v=""/>
  </r>
  <r>
    <s v="70095-2183-000-00"/>
    <d v="2018-12-31T00:00:00"/>
    <n v="11.32"/>
    <n v="0"/>
    <s v="USD"/>
    <s v="JRNLWA00384600"/>
    <s v="P"/>
    <s v="Western PCard Activity - Dec"/>
    <s v="HelenaK"/>
    <s v="0/JE IC"/>
    <m/>
    <m/>
    <x v="11"/>
    <m/>
    <m/>
    <m/>
    <m/>
    <m/>
    <m/>
    <s v="JRNL00917331"/>
    <s v="JRNL00917331"/>
    <m/>
    <d v="2019-01-03T00:00:00"/>
    <d v="2019-01-03T00:00:00"/>
    <m/>
    <m/>
    <s v="wci_wa"/>
    <n v="0"/>
    <n v="0"/>
    <n v="0"/>
    <n v="0"/>
    <n v="0"/>
    <n v="1"/>
    <n v="70095"/>
    <n v="2183"/>
    <n v="0"/>
    <n v="0"/>
    <m/>
    <m/>
    <m/>
    <m/>
    <s v=""/>
  </r>
  <r>
    <s v="70095-2183-000-00"/>
    <d v="2018-12-31T00:00:00"/>
    <n v="50.79"/>
    <n v="0"/>
    <s v="USD"/>
    <s v="JRNLWA00384600"/>
    <s v="P"/>
    <s v="Western PCard Activity - Dec"/>
    <s v="HelenaK"/>
    <s v="0/JE IC"/>
    <m/>
    <m/>
    <x v="86"/>
    <m/>
    <m/>
    <m/>
    <m/>
    <m/>
    <m/>
    <s v="JRNL00917331"/>
    <s v="JRNL00917331"/>
    <m/>
    <d v="2019-01-03T00:00:00"/>
    <d v="2019-01-03T00:00:00"/>
    <m/>
    <m/>
    <s v="wci_wa"/>
    <n v="0"/>
    <n v="0"/>
    <n v="0"/>
    <n v="0"/>
    <n v="0"/>
    <n v="1"/>
    <n v="70095"/>
    <n v="2183"/>
    <n v="0"/>
    <n v="0"/>
    <m/>
    <m/>
    <m/>
    <m/>
    <s v=""/>
  </r>
  <r>
    <s v="70095-2183-000-00"/>
    <d v="2018-12-31T00:00:00"/>
    <n v="272.22000000000003"/>
    <n v="0"/>
    <s v="USD"/>
    <s v="JRNLWA00384600"/>
    <s v="P"/>
    <s v="Western PCard Activity - Dec"/>
    <s v="HelenaK"/>
    <s v="0/JE IC"/>
    <m/>
    <m/>
    <x v="87"/>
    <m/>
    <m/>
    <m/>
    <m/>
    <m/>
    <m/>
    <s v="JRNL00917331"/>
    <s v="JRNL00917331"/>
    <m/>
    <d v="2019-01-03T00:00:00"/>
    <d v="2019-01-03T00:00:00"/>
    <m/>
    <m/>
    <s v="wci_wa"/>
    <n v="0"/>
    <n v="0"/>
    <n v="0"/>
    <n v="0"/>
    <n v="0"/>
    <n v="1"/>
    <n v="70095"/>
    <n v="2183"/>
    <n v="0"/>
    <n v="0"/>
    <m/>
    <m/>
    <m/>
    <m/>
    <s v=""/>
  </r>
  <r>
    <s v="70095-2183-000-00"/>
    <d v="2018-12-31T00:00:00"/>
    <n v="78.38"/>
    <n v="0"/>
    <s v="USD"/>
    <s v="JRNLWA00384600"/>
    <s v="P"/>
    <s v="Western PCard Activity - Dec"/>
    <s v="HelenaK"/>
    <s v="0/JE IC"/>
    <m/>
    <m/>
    <x v="88"/>
    <m/>
    <m/>
    <m/>
    <m/>
    <m/>
    <m/>
    <s v="JRNL00917331"/>
    <s v="JRNL00917331"/>
    <m/>
    <d v="2019-01-03T00:00:00"/>
    <d v="2019-01-03T00:00:00"/>
    <m/>
    <m/>
    <s v="wci_wa"/>
    <n v="0"/>
    <n v="0"/>
    <n v="0"/>
    <n v="0"/>
    <n v="0"/>
    <n v="1"/>
    <n v="70095"/>
    <n v="2183"/>
    <n v="0"/>
    <n v="0"/>
    <m/>
    <m/>
    <m/>
    <m/>
    <s v=""/>
  </r>
  <r>
    <s v="70095-2183-000-00"/>
    <d v="2018-12-31T00:00:00"/>
    <n v="320.76"/>
    <n v="0"/>
    <s v="USD"/>
    <s v="JRNLWA00384600"/>
    <s v="P"/>
    <s v="Western PCard Activity - Dec"/>
    <s v="HelenaK"/>
    <s v="0/JE IC"/>
    <m/>
    <m/>
    <x v="89"/>
    <m/>
    <m/>
    <m/>
    <m/>
    <m/>
    <m/>
    <s v="JRNL00917331"/>
    <s v="JRNL00917331"/>
    <m/>
    <d v="2019-01-03T00:00:00"/>
    <d v="2019-01-03T00:00:00"/>
    <m/>
    <m/>
    <s v="wci_wa"/>
    <n v="0"/>
    <n v="0"/>
    <n v="0"/>
    <n v="0"/>
    <n v="0"/>
    <n v="1"/>
    <n v="70095"/>
    <n v="2183"/>
    <n v="0"/>
    <n v="0"/>
    <m/>
    <m/>
    <m/>
    <m/>
    <s v=""/>
  </r>
  <r>
    <s v="70095-2183-000-00"/>
    <d v="2018-12-31T00:00:00"/>
    <n v="81.75"/>
    <n v="0"/>
    <s v="USD"/>
    <s v="JRNLWA00384600"/>
    <s v="P"/>
    <s v="Western PCard Activity - Dec"/>
    <s v="HelenaK"/>
    <s v="0/JE IC"/>
    <m/>
    <m/>
    <x v="90"/>
    <m/>
    <m/>
    <m/>
    <m/>
    <m/>
    <m/>
    <s v="JRNL00917331"/>
    <s v="JRNL00917331"/>
    <m/>
    <d v="2019-01-03T00:00:00"/>
    <d v="2019-01-03T00:00:00"/>
    <m/>
    <m/>
    <s v="wci_wa"/>
    <n v="0"/>
    <n v="0"/>
    <n v="0"/>
    <n v="0"/>
    <n v="0"/>
    <n v="1"/>
    <n v="70095"/>
    <n v="2183"/>
    <n v="0"/>
    <n v="0"/>
    <m/>
    <m/>
    <m/>
    <m/>
    <s v=""/>
  </r>
  <r>
    <s v="70095-2183-000-00"/>
    <d v="2018-12-31T00:00:00"/>
    <n v="34.520000000000003"/>
    <n v="0"/>
    <s v="USD"/>
    <s v="JRNLWA00384600"/>
    <s v="P"/>
    <s v="Western PCard Activity - Dec"/>
    <s v="HelenaK"/>
    <s v="0/JE IC"/>
    <m/>
    <m/>
    <x v="91"/>
    <m/>
    <m/>
    <m/>
    <m/>
    <m/>
    <m/>
    <s v="JRNL00917331"/>
    <s v="JRNL00917331"/>
    <m/>
    <d v="2019-01-03T00:00:00"/>
    <d v="2019-01-03T00:00:00"/>
    <m/>
    <m/>
    <s v="wci_wa"/>
    <n v="0"/>
    <n v="0"/>
    <n v="0"/>
    <n v="0"/>
    <n v="0"/>
    <n v="1"/>
    <n v="70095"/>
    <n v="2183"/>
    <n v="0"/>
    <n v="0"/>
    <m/>
    <m/>
    <m/>
    <m/>
    <s v=""/>
  </r>
  <r>
    <s v="70095-2183-000-00"/>
    <d v="2018-12-31T00:00:00"/>
    <n v="54.87"/>
    <n v="0"/>
    <s v="USD"/>
    <s v="JRNLWA00384600"/>
    <s v="P"/>
    <s v="Western PCard Activity - Dec"/>
    <s v="HelenaK"/>
    <s v="0/JE IC"/>
    <m/>
    <m/>
    <x v="92"/>
    <m/>
    <m/>
    <m/>
    <m/>
    <m/>
    <m/>
    <s v="JRNL00917331"/>
    <s v="JRNL00917331"/>
    <m/>
    <d v="2019-01-03T00:00:00"/>
    <d v="2019-01-03T00:00:00"/>
    <m/>
    <m/>
    <s v="wci_wa"/>
    <n v="0"/>
    <n v="0"/>
    <n v="0"/>
    <n v="0"/>
    <n v="0"/>
    <n v="1"/>
    <n v="70095"/>
    <n v="2183"/>
    <n v="0"/>
    <n v="0"/>
    <m/>
    <m/>
    <m/>
    <m/>
    <s v=""/>
  </r>
  <r>
    <s v="70095-2183-000-00"/>
    <d v="2018-12-31T00:00:00"/>
    <n v="43.52"/>
    <n v="0"/>
    <s v="USD"/>
    <s v="JRNLWA00384600"/>
    <s v="P"/>
    <s v="Western PCard Activity - Dec"/>
    <s v="HelenaK"/>
    <s v="0/JE IC"/>
    <m/>
    <m/>
    <x v="93"/>
    <m/>
    <m/>
    <m/>
    <m/>
    <m/>
    <m/>
    <s v="JRNL00917331"/>
    <s v="JRNL00917331"/>
    <m/>
    <d v="2019-01-03T00:00:00"/>
    <d v="2019-01-03T00:00:00"/>
    <m/>
    <m/>
    <s v="wci_wa"/>
    <n v="0"/>
    <n v="0"/>
    <n v="0"/>
    <n v="0"/>
    <n v="0"/>
    <n v="1"/>
    <n v="70095"/>
    <n v="2183"/>
    <n v="0"/>
    <n v="0"/>
    <m/>
    <m/>
    <m/>
    <m/>
    <s v=""/>
  </r>
  <r>
    <s v="70095-2183-000-00"/>
    <d v="2018-12-31T00:00:00"/>
    <n v="73.819999999999993"/>
    <n v="0"/>
    <s v="USD"/>
    <s v="JRNLWA00384600"/>
    <s v="P"/>
    <s v="Western PCard Activity - Dec"/>
    <s v="HelenaK"/>
    <s v="0/JE IC"/>
    <m/>
    <m/>
    <x v="94"/>
    <m/>
    <m/>
    <m/>
    <m/>
    <m/>
    <m/>
    <s v="JRNL00917331"/>
    <s v="JRNL00917331"/>
    <m/>
    <d v="2019-01-03T00:00:00"/>
    <d v="2019-01-03T00:00:00"/>
    <m/>
    <m/>
    <s v="wci_wa"/>
    <n v="0"/>
    <n v="0"/>
    <n v="0"/>
    <n v="0"/>
    <n v="0"/>
    <n v="1"/>
    <n v="70095"/>
    <n v="2183"/>
    <n v="0"/>
    <n v="0"/>
    <m/>
    <m/>
    <m/>
    <m/>
    <s v=""/>
  </r>
  <r>
    <s v="70095-2183-000-00"/>
    <d v="2018-12-31T00:00:00"/>
    <n v="39.11"/>
    <n v="0"/>
    <s v="USD"/>
    <s v="JRNLWA00384600"/>
    <s v="P"/>
    <s v="Western PCard Activity - Dec"/>
    <s v="HelenaK"/>
    <s v="0/JE IC"/>
    <m/>
    <m/>
    <x v="95"/>
    <m/>
    <m/>
    <m/>
    <m/>
    <m/>
    <m/>
    <s v="JRNL00917331"/>
    <s v="JRNL00917331"/>
    <m/>
    <d v="2019-01-03T00:00:00"/>
    <d v="2019-01-03T00:00:00"/>
    <m/>
    <m/>
    <s v="wci_wa"/>
    <n v="0"/>
    <n v="0"/>
    <n v="0"/>
    <n v="0"/>
    <n v="0"/>
    <n v="1"/>
    <n v="70095"/>
    <n v="2183"/>
    <n v="0"/>
    <n v="0"/>
    <m/>
    <m/>
    <m/>
    <m/>
    <s v=""/>
  </r>
  <r>
    <s v="70095-2183-000-00"/>
    <d v="2018-12-31T00:00:00"/>
    <n v="244.51"/>
    <n v="0"/>
    <s v="USD"/>
    <s v="JRNLWA00384600"/>
    <s v="P"/>
    <s v="Western PCard Activity - Dec"/>
    <s v="HelenaK"/>
    <s v="0/JE IC"/>
    <m/>
    <m/>
    <x v="82"/>
    <m/>
    <m/>
    <m/>
    <m/>
    <m/>
    <m/>
    <s v="JRNL00917331"/>
    <s v="JRNL00917331"/>
    <m/>
    <d v="2019-01-03T00:00:00"/>
    <d v="2019-01-03T00:00:00"/>
    <m/>
    <m/>
    <s v="wci_wa"/>
    <n v="0"/>
    <n v="0"/>
    <n v="0"/>
    <n v="0"/>
    <n v="0"/>
    <n v="1"/>
    <n v="70095"/>
    <n v="2183"/>
    <n v="0"/>
    <n v="0"/>
    <m/>
    <m/>
    <m/>
    <m/>
    <s v=""/>
  </r>
  <r>
    <s v="70095-2183-000-00"/>
    <d v="2018-12-31T00:00:00"/>
    <n v="85.2"/>
    <n v="0"/>
    <s v="USD"/>
    <s v="JRNLWA00384600"/>
    <s v="P"/>
    <s v="Western PCard Activity - Dec"/>
    <s v="HelenaK"/>
    <s v="0/JE IC"/>
    <m/>
    <m/>
    <x v="27"/>
    <m/>
    <m/>
    <m/>
    <m/>
    <m/>
    <m/>
    <s v="JRNL00917331"/>
    <s v="JRNL00917331"/>
    <m/>
    <d v="2019-01-03T00:00:00"/>
    <d v="2019-01-03T00:00:00"/>
    <m/>
    <m/>
    <s v="wci_wa"/>
    <n v="0"/>
    <n v="0"/>
    <n v="0"/>
    <n v="0"/>
    <n v="0"/>
    <n v="1"/>
    <n v="70095"/>
    <n v="2183"/>
    <n v="0"/>
    <n v="0"/>
    <m/>
    <m/>
    <m/>
    <m/>
    <s v=""/>
  </r>
  <r>
    <s v="70095-2183-000-00"/>
    <d v="2018-12-31T00:00:00"/>
    <n v="190.87"/>
    <n v="0"/>
    <s v="USD"/>
    <s v="JRNLWA00384600"/>
    <s v="P"/>
    <s v="Western PCard Activity - Dec"/>
    <s v="HelenaK"/>
    <s v="0/JE IC"/>
    <m/>
    <m/>
    <x v="100"/>
    <m/>
    <m/>
    <m/>
    <m/>
    <m/>
    <m/>
    <s v="JRNL00917331"/>
    <s v="JRNL00917331"/>
    <m/>
    <d v="2019-01-03T00:00:00"/>
    <d v="2019-01-03T00:00:00"/>
    <m/>
    <m/>
    <s v="wci_wa"/>
    <n v="0"/>
    <n v="0"/>
    <n v="0"/>
    <n v="0"/>
    <n v="0"/>
    <n v="1"/>
    <n v="70095"/>
    <n v="2183"/>
    <n v="0"/>
    <n v="0"/>
    <m/>
    <m/>
    <m/>
    <m/>
    <s v=""/>
  </r>
  <r>
    <s v="70095-2183-000-00"/>
    <d v="2018-12-31T00:00:00"/>
    <n v="59.96"/>
    <n v="0"/>
    <s v="USD"/>
    <s v="JRNLWA00384600"/>
    <s v="P"/>
    <s v="Western PCard Activity - Dec"/>
    <s v="HelenaK"/>
    <s v="0/JE IC"/>
    <m/>
    <m/>
    <x v="42"/>
    <m/>
    <m/>
    <m/>
    <m/>
    <m/>
    <m/>
    <s v="JRNL00917331"/>
    <s v="JRNL00917331"/>
    <m/>
    <d v="2019-01-03T00:00:00"/>
    <d v="2019-01-03T00:00:00"/>
    <m/>
    <m/>
    <s v="wci_wa"/>
    <n v="0"/>
    <n v="0"/>
    <n v="0"/>
    <n v="0"/>
    <n v="0"/>
    <n v="1"/>
    <n v="70095"/>
    <n v="2183"/>
    <n v="0"/>
    <n v="0"/>
    <m/>
    <m/>
    <m/>
    <m/>
    <s v=""/>
  </r>
  <r>
    <s v="70095-2183-000-00"/>
    <d v="2018-12-31T00:00:00"/>
    <n v="101"/>
    <n v="0"/>
    <s v="USD"/>
    <s v="JRNLWA00384600"/>
    <s v="P"/>
    <s v="Western PCard Activity - Dec"/>
    <s v="HelenaK"/>
    <s v="0/JE IC"/>
    <m/>
    <m/>
    <x v="101"/>
    <m/>
    <m/>
    <m/>
    <m/>
    <m/>
    <m/>
    <s v="JRNL00917331"/>
    <s v="JRNL00917331"/>
    <m/>
    <d v="2019-01-03T00:00:00"/>
    <d v="2019-01-03T00:00:00"/>
    <m/>
    <m/>
    <s v="wci_wa"/>
    <n v="0"/>
    <n v="0"/>
    <n v="0"/>
    <n v="0"/>
    <n v="0"/>
    <n v="1"/>
    <n v="70095"/>
    <n v="2183"/>
    <n v="0"/>
    <n v="0"/>
    <m/>
    <m/>
    <m/>
    <m/>
    <s v=""/>
  </r>
  <r>
    <s v="70095-2183-000-00"/>
    <d v="2018-12-31T00:00:00"/>
    <n v="4123.91"/>
    <n v="0"/>
    <s v="USD"/>
    <s v="JRNLWA00384600"/>
    <s v="P"/>
    <s v="Western PCard Activity - Dec"/>
    <s v="HelenaK"/>
    <s v="0/JE IC"/>
    <m/>
    <m/>
    <x v="102"/>
    <m/>
    <m/>
    <m/>
    <m/>
    <m/>
    <m/>
    <s v="JRNL00917331"/>
    <s v="JRNL00917331"/>
    <m/>
    <d v="2019-01-03T00:00:00"/>
    <d v="2019-01-03T00:00:00"/>
    <m/>
    <m/>
    <s v="wci_wa"/>
    <n v="0"/>
    <n v="0"/>
    <n v="0"/>
    <n v="0"/>
    <n v="0"/>
    <n v="1"/>
    <n v="70095"/>
    <n v="2183"/>
    <n v="0"/>
    <n v="0"/>
    <m/>
    <m/>
    <m/>
    <m/>
    <s v=""/>
  </r>
  <r>
    <s v="70095-2183-000-00"/>
    <d v="2018-12-31T00:00:00"/>
    <n v="71.25"/>
    <n v="0"/>
    <s v="USD"/>
    <s v="JRNLWA00384600"/>
    <s v="P"/>
    <s v="Western PCard Activity - Dec"/>
    <s v="HelenaK"/>
    <s v="0/JE IC"/>
    <m/>
    <m/>
    <x v="103"/>
    <m/>
    <m/>
    <m/>
    <m/>
    <m/>
    <m/>
    <s v="JRNL00917331"/>
    <s v="JRNL00917331"/>
    <m/>
    <d v="2019-01-03T00:00:00"/>
    <d v="2019-01-03T00:00:00"/>
    <m/>
    <m/>
    <s v="wci_wa"/>
    <n v="0"/>
    <n v="0"/>
    <n v="0"/>
    <n v="0"/>
    <n v="0"/>
    <n v="1"/>
    <n v="70095"/>
    <n v="2183"/>
    <n v="0"/>
    <n v="0"/>
    <m/>
    <m/>
    <m/>
    <m/>
    <s v=""/>
  </r>
  <r>
    <s v="70095-2183-000-00"/>
    <d v="2018-12-31T00:00:00"/>
    <n v="87.83"/>
    <n v="0"/>
    <s v="USD"/>
    <s v="JRNLWA00384600"/>
    <s v="P"/>
    <s v="Western PCard Activity - Dec"/>
    <s v="HelenaK"/>
    <s v="0/JE IC"/>
    <m/>
    <m/>
    <x v="27"/>
    <m/>
    <m/>
    <m/>
    <m/>
    <m/>
    <m/>
    <s v="JRNL00917331"/>
    <s v="JRNL00917331"/>
    <m/>
    <d v="2019-01-03T00:00:00"/>
    <d v="2019-01-03T00:00:00"/>
    <m/>
    <m/>
    <s v="wci_wa"/>
    <n v="0"/>
    <n v="0"/>
    <n v="0"/>
    <n v="0"/>
    <n v="0"/>
    <n v="1"/>
    <n v="70095"/>
    <n v="2183"/>
    <n v="0"/>
    <n v="0"/>
    <m/>
    <m/>
    <m/>
    <m/>
    <s v=""/>
  </r>
  <r>
    <s v="70095-2183-000-00"/>
    <d v="2018-12-31T00:00:00"/>
    <n v="44.63"/>
    <n v="0"/>
    <s v="USD"/>
    <s v="JRNLWA00384600"/>
    <s v="P"/>
    <s v="Western PCard Activity - Dec"/>
    <s v="HelenaK"/>
    <s v="0/JE IC"/>
    <m/>
    <m/>
    <x v="104"/>
    <m/>
    <m/>
    <m/>
    <m/>
    <m/>
    <m/>
    <s v="JRNL00917331"/>
    <s v="JRNL00917331"/>
    <m/>
    <d v="2019-01-03T00:00:00"/>
    <d v="2019-01-03T00:00:00"/>
    <m/>
    <m/>
    <s v="wci_wa"/>
    <n v="0"/>
    <n v="0"/>
    <n v="0"/>
    <n v="0"/>
    <n v="0"/>
    <n v="1"/>
    <n v="70095"/>
    <n v="2183"/>
    <n v="0"/>
    <n v="0"/>
    <m/>
    <m/>
    <m/>
    <m/>
    <s v=""/>
  </r>
  <r>
    <s v="70095-2183-000-00"/>
    <d v="2018-12-31T00:00:00"/>
    <n v="75.319999999999993"/>
    <n v="0"/>
    <s v="USD"/>
    <s v="JRNLWA00384600"/>
    <s v="P"/>
    <s v="Western PCard Activity - Dec"/>
    <s v="HelenaK"/>
    <s v="0/JE IC"/>
    <m/>
    <m/>
    <x v="105"/>
    <m/>
    <m/>
    <m/>
    <m/>
    <m/>
    <m/>
    <s v="JRNL00917331"/>
    <s v="JRNL00917331"/>
    <m/>
    <d v="2019-01-03T00:00:00"/>
    <d v="2019-01-03T00:00:00"/>
    <m/>
    <m/>
    <s v="wci_wa"/>
    <n v="0"/>
    <n v="0"/>
    <n v="0"/>
    <n v="0"/>
    <n v="0"/>
    <n v="1"/>
    <n v="70095"/>
    <n v="2183"/>
    <n v="0"/>
    <n v="0"/>
    <m/>
    <m/>
    <m/>
    <m/>
    <s v=""/>
  </r>
  <r>
    <s v="70095-2183-000-00"/>
    <d v="2018-12-31T00:00:00"/>
    <n v="97.71"/>
    <n v="0"/>
    <s v="USD"/>
    <s v="JRNLWA00384600"/>
    <s v="P"/>
    <s v="Western PCard Activity - Dec"/>
    <s v="HelenaK"/>
    <s v="0/JE IC"/>
    <m/>
    <m/>
    <x v="42"/>
    <m/>
    <m/>
    <m/>
    <m/>
    <m/>
    <m/>
    <s v="JRNL00917331"/>
    <s v="JRNL00917331"/>
    <m/>
    <d v="2019-01-03T00:00:00"/>
    <d v="2019-01-03T00:00:00"/>
    <m/>
    <m/>
    <s v="wci_wa"/>
    <n v="0"/>
    <n v="0"/>
    <n v="0"/>
    <n v="0"/>
    <n v="0"/>
    <n v="1"/>
    <n v="70095"/>
    <n v="2183"/>
    <n v="0"/>
    <n v="0"/>
    <m/>
    <m/>
    <m/>
    <m/>
    <s v=""/>
  </r>
  <r>
    <s v="70095-2183-000-00"/>
    <d v="2018-12-31T00:00:00"/>
    <n v="109.32"/>
    <n v="0"/>
    <s v="USD"/>
    <s v="JRNLWA00384600"/>
    <s v="P"/>
    <s v="Western PCard Activity - Dec"/>
    <s v="HelenaK"/>
    <s v="0/JE IC"/>
    <m/>
    <m/>
    <x v="42"/>
    <m/>
    <m/>
    <m/>
    <m/>
    <m/>
    <m/>
    <s v="JRNL00917331"/>
    <s v="JRNL00917331"/>
    <m/>
    <d v="2019-01-03T00:00:00"/>
    <d v="2019-01-03T00:00:00"/>
    <m/>
    <m/>
    <s v="wci_wa"/>
    <n v="0"/>
    <n v="0"/>
    <n v="0"/>
    <n v="0"/>
    <n v="0"/>
    <n v="1"/>
    <n v="70095"/>
    <n v="2183"/>
    <n v="0"/>
    <n v="0"/>
    <m/>
    <m/>
    <m/>
    <m/>
    <s v=""/>
  </r>
  <r>
    <s v="70095-2183-000-00"/>
    <d v="2018-12-31T00:00:00"/>
    <n v="35.840000000000003"/>
    <n v="0"/>
    <s v="USD"/>
    <s v="JRNLWA00384600"/>
    <s v="P"/>
    <s v="Western PCard Activity - Dec"/>
    <s v="HelenaK"/>
    <s v="0/JE IC"/>
    <m/>
    <m/>
    <x v="10"/>
    <m/>
    <m/>
    <m/>
    <m/>
    <m/>
    <m/>
    <s v="JRNL00917331"/>
    <s v="JRNL00917331"/>
    <m/>
    <d v="2019-01-03T00:00:00"/>
    <d v="2019-01-03T00:00:00"/>
    <m/>
    <m/>
    <s v="wci_wa"/>
    <n v="0"/>
    <n v="0"/>
    <n v="0"/>
    <n v="0"/>
    <n v="0"/>
    <n v="1"/>
    <n v="70095"/>
    <n v="2183"/>
    <n v="0"/>
    <n v="0"/>
    <m/>
    <m/>
    <m/>
    <m/>
    <s v=""/>
  </r>
  <r>
    <s v="70095-2183-000-00"/>
    <d v="2018-12-31T00:00:00"/>
    <n v="111.18"/>
    <n v="0"/>
    <s v="USD"/>
    <s v="JRNLWA00384600"/>
    <s v="P"/>
    <s v="Western PCard Activity - Dec"/>
    <s v="HelenaK"/>
    <s v="0/JE IC"/>
    <m/>
    <m/>
    <x v="106"/>
    <m/>
    <m/>
    <m/>
    <m/>
    <m/>
    <m/>
    <s v="JRNL00917331"/>
    <s v="JRNL00917331"/>
    <m/>
    <d v="2019-01-03T00:00:00"/>
    <d v="2019-01-03T00:00:00"/>
    <m/>
    <m/>
    <s v="wci_wa"/>
    <n v="0"/>
    <n v="0"/>
    <n v="0"/>
    <n v="0"/>
    <n v="0"/>
    <n v="1"/>
    <n v="70095"/>
    <n v="2183"/>
    <n v="0"/>
    <n v="0"/>
    <m/>
    <m/>
    <m/>
    <m/>
    <s v=""/>
  </r>
  <r>
    <s v="70095-2183-000-00"/>
    <d v="2018-12-31T00:00:00"/>
    <n v="133.16"/>
    <n v="0"/>
    <s v="USD"/>
    <s v="JRNLWA00384600"/>
    <s v="P"/>
    <s v="Western PCard Activity - Dec"/>
    <s v="HelenaK"/>
    <s v="0/JE IC"/>
    <m/>
    <m/>
    <x v="68"/>
    <m/>
    <m/>
    <m/>
    <m/>
    <m/>
    <m/>
    <s v="JRNL00917331"/>
    <s v="JRNL00917331"/>
    <m/>
    <d v="2019-01-03T00:00:00"/>
    <d v="2019-01-03T00:00:00"/>
    <m/>
    <m/>
    <s v="wci_wa"/>
    <n v="0"/>
    <n v="0"/>
    <n v="0"/>
    <n v="0"/>
    <n v="0"/>
    <n v="1"/>
    <n v="70095"/>
    <n v="2183"/>
    <n v="0"/>
    <n v="0"/>
    <m/>
    <m/>
    <m/>
    <m/>
    <s v=""/>
  </r>
  <r>
    <s v="70095-2183-000-00"/>
    <d v="2018-12-31T00:00:00"/>
    <n v="137.26"/>
    <n v="0"/>
    <s v="USD"/>
    <s v="JRNLWA00384600"/>
    <s v="P"/>
    <s v="Western PCard Activity - Dec"/>
    <s v="HelenaK"/>
    <s v="0/JE IC"/>
    <m/>
    <m/>
    <x v="10"/>
    <m/>
    <m/>
    <m/>
    <m/>
    <m/>
    <m/>
    <s v="JRNL00917331"/>
    <s v="JRNL00917331"/>
    <m/>
    <d v="2019-01-03T00:00:00"/>
    <d v="2019-01-03T00:00:00"/>
    <m/>
    <m/>
    <s v="wci_wa"/>
    <n v="0"/>
    <n v="0"/>
    <n v="0"/>
    <n v="0"/>
    <n v="0"/>
    <n v="1"/>
    <n v="70095"/>
    <n v="2183"/>
    <n v="0"/>
    <n v="0"/>
    <m/>
    <m/>
    <m/>
    <m/>
    <s v=""/>
  </r>
  <r>
    <s v="70095-2183-000-00"/>
    <d v="2018-12-31T00:00:00"/>
    <n v="51.82"/>
    <n v="0"/>
    <s v="USD"/>
    <s v="JRNLWA00384600"/>
    <s v="P"/>
    <s v="Western PCard Activity - Dec"/>
    <s v="HelenaK"/>
    <s v="0/JE IC"/>
    <m/>
    <m/>
    <x v="27"/>
    <m/>
    <m/>
    <m/>
    <m/>
    <m/>
    <m/>
    <s v="JRNL00917331"/>
    <s v="JRNL00917331"/>
    <m/>
    <d v="2019-01-03T00:00:00"/>
    <d v="2019-01-03T00:00:00"/>
    <m/>
    <m/>
    <s v="wci_wa"/>
    <n v="0"/>
    <n v="0"/>
    <n v="0"/>
    <n v="0"/>
    <n v="0"/>
    <n v="1"/>
    <n v="70095"/>
    <n v="2183"/>
    <n v="0"/>
    <n v="0"/>
    <m/>
    <m/>
    <m/>
    <m/>
    <s v=""/>
  </r>
  <r>
    <s v="70095-2183-000-00"/>
    <d v="2018-12-31T00:00:00"/>
    <n v="10.89"/>
    <n v="0"/>
    <s v="USD"/>
    <s v="JRNLWA00384600"/>
    <s v="P"/>
    <s v="Western PCard Activity - Dec"/>
    <s v="HelenaK"/>
    <s v="0/JE IC"/>
    <m/>
    <m/>
    <x v="107"/>
    <m/>
    <m/>
    <m/>
    <m/>
    <m/>
    <m/>
    <s v="JRNL00917331"/>
    <s v="JRNL00917331"/>
    <m/>
    <d v="2019-01-03T00:00:00"/>
    <d v="2019-01-03T00:00:00"/>
    <m/>
    <m/>
    <s v="wci_wa"/>
    <n v="0"/>
    <n v="0"/>
    <n v="0"/>
    <n v="0"/>
    <n v="0"/>
    <n v="1"/>
    <n v="70095"/>
    <n v="2183"/>
    <n v="0"/>
    <n v="0"/>
    <m/>
    <m/>
    <m/>
    <m/>
    <s v=""/>
  </r>
  <r>
    <s v="70095-2183-000-00"/>
    <d v="2018-12-31T00:00:00"/>
    <n v="10.89"/>
    <n v="0"/>
    <s v="USD"/>
    <s v="JRNLWA00384600"/>
    <s v="P"/>
    <s v="Western PCard Activity - Dec"/>
    <s v="HelenaK"/>
    <s v="0/JE IC"/>
    <m/>
    <m/>
    <x v="107"/>
    <m/>
    <m/>
    <m/>
    <m/>
    <m/>
    <m/>
    <s v="JRNL00917331"/>
    <s v="JRNL00917331"/>
    <m/>
    <d v="2019-01-03T00:00:00"/>
    <d v="2019-01-03T00:00:00"/>
    <m/>
    <m/>
    <s v="wci_wa"/>
    <n v="0"/>
    <n v="0"/>
    <n v="0"/>
    <n v="0"/>
    <n v="0"/>
    <n v="1"/>
    <n v="70095"/>
    <n v="2183"/>
    <n v="0"/>
    <n v="0"/>
    <m/>
    <m/>
    <m/>
    <m/>
    <s v=""/>
  </r>
  <r>
    <s v="70095-2183-000-00"/>
    <d v="2018-12-31T00:00:00"/>
    <n v="2603.5"/>
    <n v="0"/>
    <s v="USD"/>
    <s v="JRNLWA00384600"/>
    <s v="P"/>
    <s v="Western PCard Activity - Dec"/>
    <s v="HelenaK"/>
    <s v="0/JE IC"/>
    <m/>
    <m/>
    <x v="108"/>
    <m/>
    <m/>
    <m/>
    <m/>
    <m/>
    <m/>
    <s v="JRNL00917331"/>
    <s v="JRNL00917331"/>
    <m/>
    <d v="2019-01-03T00:00:00"/>
    <d v="2019-01-03T00:00:00"/>
    <m/>
    <m/>
    <s v="wci_wa"/>
    <n v="0"/>
    <n v="0"/>
    <n v="0"/>
    <n v="0"/>
    <n v="0"/>
    <n v="1"/>
    <n v="70095"/>
    <n v="2183"/>
    <n v="0"/>
    <n v="0"/>
    <m/>
    <m/>
    <m/>
    <m/>
    <s v=""/>
  </r>
  <r>
    <s v="70095-2183-000-00"/>
    <d v="2018-12-31T00:00:00"/>
    <n v="-10.89"/>
    <n v="0"/>
    <s v="USD"/>
    <s v="JRNLWA00385306"/>
    <s v="P"/>
    <s v="OPEX13 - Pcard Accrual"/>
    <s v="AlexandraP"/>
    <s v="0/JE IC"/>
    <m/>
    <m/>
    <x v="107"/>
    <m/>
    <m/>
    <m/>
    <m/>
    <m/>
    <m/>
    <s v="JRNL00918905"/>
    <s v="JRNL00918905"/>
    <m/>
    <d v="2019-01-07T00:00:00"/>
    <d v="2019-01-08T00:00:00"/>
    <m/>
    <m/>
    <s v="wci_wa"/>
    <n v="0"/>
    <n v="0"/>
    <n v="0"/>
    <n v="0"/>
    <n v="0"/>
    <n v="1"/>
    <n v="70095"/>
    <n v="2183"/>
    <n v="0"/>
    <n v="0"/>
    <m/>
    <m/>
    <m/>
    <m/>
    <s v=""/>
  </r>
  <r>
    <s v="70095-2183-000-00"/>
    <d v="2018-12-31T00:00:00"/>
    <n v="46.09"/>
    <n v="0"/>
    <s v="USD"/>
    <s v="JRNLWA00385306"/>
    <s v="P"/>
    <s v="OPEX13 - Pcard Accrual"/>
    <s v="AlexandraP"/>
    <s v="0/JE IC"/>
    <m/>
    <m/>
    <x v="22"/>
    <m/>
    <m/>
    <m/>
    <m/>
    <m/>
    <m/>
    <s v="JRNL00918905"/>
    <s v="JRNL00918905"/>
    <m/>
    <d v="2019-01-07T00:00:00"/>
    <d v="2019-01-08T00:00:00"/>
    <m/>
    <m/>
    <s v="wci_wa"/>
    <n v="0"/>
    <n v="0"/>
    <n v="0"/>
    <n v="0"/>
    <n v="0"/>
    <n v="1"/>
    <n v="70095"/>
    <n v="2183"/>
    <n v="0"/>
    <n v="0"/>
    <m/>
    <m/>
    <m/>
    <m/>
    <s v=""/>
  </r>
  <r>
    <s v="70095-2183-000-00"/>
    <d v="2018-12-31T00:00:00"/>
    <n v="7.48"/>
    <n v="0"/>
    <s v="USD"/>
    <s v="JRNLWA00385306"/>
    <s v="P"/>
    <s v="OPEX13 - Pcard Accrual"/>
    <s v="AlexandraP"/>
    <s v="0/JE IC"/>
    <m/>
    <m/>
    <x v="80"/>
    <m/>
    <m/>
    <m/>
    <m/>
    <m/>
    <m/>
    <s v="JRNL00918905"/>
    <s v="JRNL00918905"/>
    <m/>
    <d v="2019-01-07T00:00:00"/>
    <d v="2019-01-08T00:00:00"/>
    <m/>
    <m/>
    <s v="wci_wa"/>
    <n v="0"/>
    <n v="0"/>
    <n v="0"/>
    <n v="0"/>
    <n v="0"/>
    <n v="1"/>
    <n v="70095"/>
    <n v="2183"/>
    <n v="0"/>
    <n v="0"/>
    <m/>
    <m/>
    <m/>
    <m/>
    <s v=""/>
  </r>
  <r>
    <s v="70095-2183-000-00"/>
    <d v="2019-01-17T00:00:00"/>
    <n v="6500"/>
    <n v="0"/>
    <s v="USD"/>
    <s v="JRNLWA00385854"/>
    <s v="P"/>
    <s v="From Voucher Posting."/>
    <s v="JudyA"/>
    <s v="0/JE IC"/>
    <s v="VUS000026187"/>
    <m/>
    <x v="109"/>
    <d v="2018-10-24T00:00:00"/>
    <s v="1st of 3 year sponsorship"/>
    <n v="2508"/>
    <s v="PO-2183-19-00053"/>
    <m/>
    <m/>
    <s v="VO04893744"/>
    <s v="JRNL00920123"/>
    <n v="2183"/>
    <d v="2019-01-17T00:00:00"/>
    <d v="2019-01-17T00:00:00"/>
    <n v="6500"/>
    <d v="2018-11-03T00:00:00"/>
    <s v="wci_wa"/>
    <n v="0"/>
    <n v="0"/>
    <n v="0"/>
    <n v="0"/>
    <n v="0"/>
    <n v="1"/>
    <n v="70095"/>
    <n v="2183"/>
    <n v="0"/>
    <n v="0"/>
    <m/>
    <m/>
    <m/>
    <m/>
    <s v="VO04893744"/>
  </r>
  <r>
    <s v="70095-2183-000-00"/>
    <d v="2019-01-18T00:00:00"/>
    <n v="53.98"/>
    <n v="0"/>
    <s v="USD"/>
    <s v="JRNLWA00385882"/>
    <s v="P"/>
    <s v="From Voucher Posting."/>
    <s v="JudyA"/>
    <s v="0/JE IC"/>
    <s v="VUS000020407"/>
    <s v="PETTY CASH DISTRICT 2183"/>
    <x v="41"/>
    <d v="2019-01-16T00:00:00"/>
    <s v="Petty Cash 01-16-19"/>
    <n v="11619"/>
    <s v="PO-2183-19-00314"/>
    <m/>
    <m/>
    <s v="VO04896058"/>
    <s v="JRNL00920169"/>
    <n v="2183"/>
    <d v="2019-01-18T00:00:00"/>
    <d v="2019-01-18T00:00:00"/>
    <n v="452.13"/>
    <d v="2019-01-17T00:00:00"/>
    <s v="wci_wa"/>
    <n v="0"/>
    <n v="0"/>
    <n v="0"/>
    <n v="0"/>
    <n v="0"/>
    <n v="1"/>
    <n v="70095"/>
    <n v="2183"/>
    <n v="0"/>
    <n v="0"/>
    <m/>
    <m/>
    <m/>
    <m/>
    <s v="VO04896058"/>
  </r>
  <r>
    <s v="70095-2183-000-00"/>
    <d v="2019-01-31T00:00:00"/>
    <n v="10.89"/>
    <n v="0"/>
    <s v="USD"/>
    <s v="JRNLWA00385402"/>
    <s v="P"/>
    <s v="OPEX13 - Pcard Accrual"/>
    <s v="AlexandraP"/>
    <s v="0/JE IC"/>
    <m/>
    <m/>
    <x v="107"/>
    <m/>
    <m/>
    <m/>
    <m/>
    <m/>
    <m/>
    <s v="JRNL00918905"/>
    <s v="JRNL00919026"/>
    <m/>
    <d v="2019-01-08T00:00:00"/>
    <d v="2019-01-08T00:00:00"/>
    <m/>
    <m/>
    <s v="wci_wa"/>
    <n v="0"/>
    <n v="0"/>
    <n v="0"/>
    <n v="0"/>
    <n v="5"/>
    <n v="1"/>
    <n v="70095"/>
    <n v="2183"/>
    <n v="0"/>
    <n v="0"/>
    <m/>
    <m/>
    <m/>
    <m/>
    <s v=""/>
  </r>
  <r>
    <s v="70095-2183-000-00"/>
    <d v="2019-01-31T00:00:00"/>
    <n v="-46.09"/>
    <n v="0"/>
    <s v="USD"/>
    <s v="JRNLWA00385402"/>
    <s v="P"/>
    <s v="OPEX13 - Pcard Accrual"/>
    <s v="AlexandraP"/>
    <s v="0/JE IC"/>
    <m/>
    <m/>
    <x v="22"/>
    <m/>
    <m/>
    <m/>
    <m/>
    <m/>
    <m/>
    <s v="JRNL00918905"/>
    <s v="JRNL00919026"/>
    <m/>
    <d v="2019-01-08T00:00:00"/>
    <d v="2019-01-08T00:00:00"/>
    <m/>
    <m/>
    <s v="wci_wa"/>
    <n v="0"/>
    <n v="0"/>
    <n v="0"/>
    <n v="0"/>
    <n v="5"/>
    <n v="1"/>
    <n v="70095"/>
    <n v="2183"/>
    <n v="0"/>
    <n v="0"/>
    <m/>
    <m/>
    <m/>
    <m/>
    <s v=""/>
  </r>
  <r>
    <s v="70095-2183-000-00"/>
    <d v="2019-01-31T00:00:00"/>
    <n v="-7.48"/>
    <n v="0"/>
    <s v="USD"/>
    <s v="JRNLWA00385402"/>
    <s v="P"/>
    <s v="OPEX13 - Pcard Accrual"/>
    <s v="AlexandraP"/>
    <s v="0/JE IC"/>
    <m/>
    <m/>
    <x v="80"/>
    <m/>
    <m/>
    <m/>
    <m/>
    <m/>
    <m/>
    <s v="JRNL00918905"/>
    <s v="JRNL00919026"/>
    <m/>
    <d v="2019-01-08T00:00:00"/>
    <d v="2019-01-08T00:00:00"/>
    <m/>
    <m/>
    <s v="wci_wa"/>
    <n v="0"/>
    <n v="0"/>
    <n v="0"/>
    <n v="0"/>
    <n v="5"/>
    <n v="1"/>
    <n v="70095"/>
    <n v="2183"/>
    <n v="0"/>
    <n v="0"/>
    <m/>
    <m/>
    <m/>
    <m/>
    <s v=""/>
  </r>
  <r>
    <s v="70095-2183-000-00"/>
    <d v="2019-01-31T00:00:00"/>
    <n v="144.83000000000001"/>
    <n v="0"/>
    <s v="USD"/>
    <s v="JRNLWA00386064"/>
    <s v="P"/>
    <s v="From Voucher Posting."/>
    <s v="JudyA"/>
    <s v="0/JE IC"/>
    <s v="VUS000011113"/>
    <m/>
    <x v="110"/>
    <d v="2018-11-16T00:00:00"/>
    <s v="Driver Hoodies / Jackets"/>
    <n v="60413"/>
    <s v="PO-2183-19-00526"/>
    <m/>
    <m/>
    <s v="VO04908366"/>
    <s v="JRNL00921039"/>
    <n v="2183"/>
    <d v="2019-01-31T00:00:00"/>
    <d v="2019-01-31T00:00:00"/>
    <n v="133"/>
    <d v="2018-12-31T00:00:00"/>
    <s v="wci_wa"/>
    <n v="0"/>
    <n v="0"/>
    <n v="0"/>
    <n v="0"/>
    <n v="0"/>
    <n v="1"/>
    <n v="70095"/>
    <n v="2183"/>
    <n v="0"/>
    <n v="0"/>
    <m/>
    <m/>
    <m/>
    <m/>
    <s v="VO04908366"/>
  </r>
  <r>
    <s v="70095-2183-000-00"/>
    <d v="2019-01-31T00:00:00"/>
    <n v="47.91"/>
    <n v="0"/>
    <s v="USD"/>
    <s v="JRNLWA00386064"/>
    <s v="P"/>
    <s v="From Voucher Posting."/>
    <s v="JudyA"/>
    <s v="0/JE IC"/>
    <s v="VUS000011113"/>
    <m/>
    <x v="110"/>
    <d v="2018-12-10T00:00:00"/>
    <s v="Driver Hoodies"/>
    <n v="60740"/>
    <s v="PO-2183-19-00527"/>
    <m/>
    <m/>
    <s v="VO04908367"/>
    <s v="JRNL00921039"/>
    <n v="2183"/>
    <d v="2019-01-31T00:00:00"/>
    <d v="2019-01-31T00:00:00"/>
    <n v="44"/>
    <d v="2019-01-24T00:00:00"/>
    <s v="wci_wa"/>
    <n v="0"/>
    <n v="0"/>
    <n v="0"/>
    <n v="0"/>
    <n v="0"/>
    <n v="1"/>
    <n v="70095"/>
    <n v="2183"/>
    <n v="0"/>
    <n v="0"/>
    <m/>
    <m/>
    <m/>
    <m/>
    <s v="VO04908367"/>
  </r>
  <r>
    <s v="70095-2183-000-00"/>
    <d v="2019-01-31T00:00:00"/>
    <n v="-10.89"/>
    <n v="0"/>
    <s v="USD"/>
    <s v="JRNLWA00386265"/>
    <s v="P"/>
    <s v="Western PCard Activity - Jan"/>
    <s v="AlexandraP"/>
    <s v="0/JE IC"/>
    <m/>
    <m/>
    <x v="107"/>
    <m/>
    <m/>
    <m/>
    <m/>
    <m/>
    <m/>
    <s v="JRNL00921575"/>
    <s v="JRNL00921575"/>
    <m/>
    <d v="2019-02-04T00:00:00"/>
    <d v="2019-02-04T00:00:00"/>
    <m/>
    <m/>
    <s v="wci_wa"/>
    <n v="0"/>
    <n v="0"/>
    <n v="0"/>
    <n v="0"/>
    <n v="0"/>
    <n v="1"/>
    <n v="70095"/>
    <n v="2183"/>
    <n v="0"/>
    <n v="0"/>
    <m/>
    <m/>
    <m/>
    <m/>
    <s v=""/>
  </r>
  <r>
    <s v="70095-2183-000-00"/>
    <d v="2019-01-31T00:00:00"/>
    <n v="46.09"/>
    <n v="0"/>
    <s v="USD"/>
    <s v="JRNLWA00386265"/>
    <s v="P"/>
    <s v="Western PCard Activity - Jan"/>
    <s v="AlexandraP"/>
    <s v="0/JE IC"/>
    <m/>
    <m/>
    <x v="22"/>
    <m/>
    <m/>
    <m/>
    <m/>
    <m/>
    <m/>
    <s v="JRNL00921575"/>
    <s v="JRNL00921575"/>
    <m/>
    <d v="2019-02-04T00:00:00"/>
    <d v="2019-02-04T00:00:00"/>
    <m/>
    <m/>
    <s v="wci_wa"/>
    <n v="0"/>
    <n v="0"/>
    <n v="0"/>
    <n v="0"/>
    <n v="0"/>
    <n v="1"/>
    <n v="70095"/>
    <n v="2183"/>
    <n v="0"/>
    <n v="0"/>
    <m/>
    <m/>
    <m/>
    <m/>
    <s v=""/>
  </r>
  <r>
    <s v="70095-2183-000-00"/>
    <d v="2019-01-31T00:00:00"/>
    <n v="8.14"/>
    <n v="0"/>
    <s v="USD"/>
    <s v="JRNLWA00386265"/>
    <s v="P"/>
    <s v="Western PCard Activity - Jan"/>
    <s v="AlexandraP"/>
    <s v="0/JE IC"/>
    <m/>
    <m/>
    <x v="80"/>
    <m/>
    <m/>
    <m/>
    <m/>
    <m/>
    <m/>
    <s v="JRNL00921575"/>
    <s v="JRNL00921575"/>
    <m/>
    <d v="2019-02-04T00:00:00"/>
    <d v="2019-02-04T00:00:00"/>
    <m/>
    <m/>
    <s v="wci_wa"/>
    <n v="0"/>
    <n v="0"/>
    <n v="0"/>
    <n v="0"/>
    <n v="0"/>
    <n v="1"/>
    <n v="70095"/>
    <n v="2183"/>
    <n v="0"/>
    <n v="0"/>
    <m/>
    <m/>
    <m/>
    <m/>
    <s v=""/>
  </r>
  <r>
    <s v="70095-2183-000-00"/>
    <d v="2019-01-31T00:00:00"/>
    <n v="90.94"/>
    <n v="0"/>
    <s v="USD"/>
    <s v="JRNLWA00386265"/>
    <s v="P"/>
    <s v="Western PCard Activity - Jan"/>
    <s v="AlexandraP"/>
    <s v="0/JE IC"/>
    <m/>
    <m/>
    <x v="7"/>
    <m/>
    <m/>
    <m/>
    <m/>
    <m/>
    <m/>
    <s v="JRNL00921575"/>
    <s v="JRNL00921575"/>
    <m/>
    <d v="2019-02-04T00:00:00"/>
    <d v="2019-02-04T00:00:00"/>
    <m/>
    <m/>
    <s v="wci_wa"/>
    <n v="0"/>
    <n v="0"/>
    <n v="0"/>
    <n v="0"/>
    <n v="0"/>
    <n v="1"/>
    <n v="70095"/>
    <n v="2183"/>
    <n v="0"/>
    <n v="0"/>
    <m/>
    <m/>
    <m/>
    <m/>
    <s v=""/>
  </r>
  <r>
    <s v="70095-2183-000-00"/>
    <d v="2019-01-31T00:00:00"/>
    <n v="95.29"/>
    <n v="0"/>
    <s v="USD"/>
    <s v="JRNLWA00386265"/>
    <s v="P"/>
    <s v="Western PCard Activity - Jan"/>
    <s v="AlexandraP"/>
    <s v="0/JE IC"/>
    <m/>
    <m/>
    <x v="7"/>
    <m/>
    <m/>
    <m/>
    <m/>
    <m/>
    <m/>
    <s v="JRNL00921575"/>
    <s v="JRNL00921575"/>
    <m/>
    <d v="2019-02-04T00:00:00"/>
    <d v="2019-02-04T00:00:00"/>
    <m/>
    <m/>
    <s v="wci_wa"/>
    <n v="0"/>
    <n v="0"/>
    <n v="0"/>
    <n v="0"/>
    <n v="0"/>
    <n v="1"/>
    <n v="70095"/>
    <n v="2183"/>
    <n v="0"/>
    <n v="0"/>
    <m/>
    <m/>
    <m/>
    <m/>
    <s v=""/>
  </r>
  <r>
    <s v="70095-2183-000-00"/>
    <d v="2019-01-31T00:00:00"/>
    <n v="59.53"/>
    <n v="0"/>
    <s v="USD"/>
    <s v="JRNLWA00386265"/>
    <s v="P"/>
    <s v="Western PCard Activity - Jan"/>
    <s v="AlexandraP"/>
    <s v="0/JE IC"/>
    <m/>
    <m/>
    <x v="35"/>
    <m/>
    <m/>
    <m/>
    <m/>
    <m/>
    <m/>
    <s v="JRNL00921575"/>
    <s v="JRNL00921575"/>
    <m/>
    <d v="2019-02-04T00:00:00"/>
    <d v="2019-02-04T00:00:00"/>
    <m/>
    <m/>
    <s v="wci_wa"/>
    <n v="0"/>
    <n v="0"/>
    <n v="0"/>
    <n v="0"/>
    <n v="0"/>
    <n v="1"/>
    <n v="70095"/>
    <n v="2183"/>
    <n v="0"/>
    <n v="0"/>
    <m/>
    <m/>
    <m/>
    <m/>
    <s v=""/>
  </r>
  <r>
    <s v="70095-2183-000-00"/>
    <d v="2019-01-31T00:00:00"/>
    <n v="55.04"/>
    <n v="0"/>
    <s v="USD"/>
    <s v="JRNLWA00386265"/>
    <s v="P"/>
    <s v="Western PCard Activity - Jan"/>
    <s v="AlexandraP"/>
    <s v="0/JE IC"/>
    <m/>
    <m/>
    <x v="111"/>
    <m/>
    <m/>
    <m/>
    <m/>
    <m/>
    <m/>
    <s v="JRNL00921575"/>
    <s v="JRNL00921575"/>
    <m/>
    <d v="2019-02-04T00:00:00"/>
    <d v="2019-02-04T00:00:00"/>
    <m/>
    <m/>
    <s v="wci_wa"/>
    <n v="0"/>
    <n v="0"/>
    <n v="0"/>
    <n v="0"/>
    <n v="0"/>
    <n v="1"/>
    <n v="70095"/>
    <n v="2183"/>
    <n v="0"/>
    <n v="0"/>
    <m/>
    <m/>
    <m/>
    <m/>
    <s v=""/>
  </r>
  <r>
    <s v="70095-2183-000-00"/>
    <d v="2019-01-31T00:00:00"/>
    <n v="-1.25"/>
    <n v="0"/>
    <s v="USD"/>
    <s v="JRNLWA00386265"/>
    <s v="P"/>
    <s v="Western PCard Activity - Jan"/>
    <s v="AlexandraP"/>
    <s v="0/JE IC"/>
    <m/>
    <m/>
    <x v="111"/>
    <m/>
    <m/>
    <m/>
    <m/>
    <m/>
    <m/>
    <s v="JRNL00921575"/>
    <s v="JRNL00921575"/>
    <m/>
    <d v="2019-02-04T00:00:00"/>
    <d v="2019-02-04T00:00:00"/>
    <m/>
    <m/>
    <s v="wci_wa"/>
    <n v="0"/>
    <n v="0"/>
    <n v="0"/>
    <n v="0"/>
    <n v="0"/>
    <n v="1"/>
    <n v="70095"/>
    <n v="2183"/>
    <n v="0"/>
    <n v="0"/>
    <m/>
    <m/>
    <m/>
    <m/>
    <s v=""/>
  </r>
  <r>
    <s v="70095-2183-000-00"/>
    <d v="2019-01-31T00:00:00"/>
    <n v="45.97"/>
    <n v="0"/>
    <s v="USD"/>
    <s v="JRNLWA00386265"/>
    <s v="P"/>
    <s v="Western PCard Activity - Jan"/>
    <s v="AlexandraP"/>
    <s v="0/JE IC"/>
    <m/>
    <m/>
    <x v="10"/>
    <m/>
    <m/>
    <m/>
    <m/>
    <m/>
    <m/>
    <s v="JRNL00921575"/>
    <s v="JRNL00921575"/>
    <m/>
    <d v="2019-02-04T00:00:00"/>
    <d v="2019-02-04T00:00:00"/>
    <m/>
    <m/>
    <s v="wci_wa"/>
    <n v="0"/>
    <n v="0"/>
    <n v="0"/>
    <n v="0"/>
    <n v="0"/>
    <n v="1"/>
    <n v="70095"/>
    <n v="2183"/>
    <n v="0"/>
    <n v="0"/>
    <m/>
    <m/>
    <m/>
    <m/>
    <s v=""/>
  </r>
  <r>
    <s v="70095-2183-000-00"/>
    <d v="2019-01-31T00:00:00"/>
    <n v="21.48"/>
    <n v="0"/>
    <s v="USD"/>
    <s v="JRNLWA00386265"/>
    <s v="P"/>
    <s v="Western PCard Activity - Jan"/>
    <s v="AlexandraP"/>
    <s v="0/JE IC"/>
    <m/>
    <m/>
    <x v="35"/>
    <m/>
    <m/>
    <m/>
    <m/>
    <m/>
    <m/>
    <s v="JRNL00921575"/>
    <s v="JRNL00921575"/>
    <m/>
    <d v="2019-02-04T00:00:00"/>
    <d v="2019-02-04T00:00:00"/>
    <m/>
    <m/>
    <s v="wci_wa"/>
    <n v="0"/>
    <n v="0"/>
    <n v="0"/>
    <n v="0"/>
    <n v="0"/>
    <n v="1"/>
    <n v="70095"/>
    <n v="2183"/>
    <n v="0"/>
    <n v="0"/>
    <m/>
    <m/>
    <m/>
    <m/>
    <s v=""/>
  </r>
  <r>
    <s v="70095-2183-000-00"/>
    <d v="2019-01-31T00:00:00"/>
    <n v="-133"/>
    <n v="0"/>
    <s v="USD"/>
    <s v="JRNLWA00386331"/>
    <s v="P"/>
    <s v="Rev7-Manual Payments"/>
    <s v="AlexandraP"/>
    <s v="0/JE IC"/>
    <m/>
    <m/>
    <x v="112"/>
    <m/>
    <m/>
    <m/>
    <m/>
    <m/>
    <m/>
    <s v="JRNL00921698"/>
    <s v="JRNL00921698"/>
    <m/>
    <d v="2019-02-04T00:00:00"/>
    <d v="2019-02-05T00:00:00"/>
    <m/>
    <m/>
    <s v="wci_wa"/>
    <n v="0"/>
    <n v="0"/>
    <n v="0"/>
    <n v="0"/>
    <n v="0"/>
    <n v="1"/>
    <n v="70095"/>
    <n v="2183"/>
    <n v="0"/>
    <n v="0"/>
    <m/>
    <m/>
    <m/>
    <m/>
    <s v=""/>
  </r>
  <r>
    <s v="70095-2183-000-00"/>
    <d v="2019-01-31T00:00:00"/>
    <n v="-44"/>
    <n v="0"/>
    <s v="USD"/>
    <s v="JRNLWA00386331"/>
    <s v="P"/>
    <s v="Rev7-Manual Payments"/>
    <s v="AlexandraP"/>
    <s v="0/JE IC"/>
    <m/>
    <m/>
    <x v="113"/>
    <m/>
    <m/>
    <m/>
    <m/>
    <m/>
    <m/>
    <s v="JRNL00921698"/>
    <s v="JRNL00921698"/>
    <m/>
    <d v="2019-02-04T00:00:00"/>
    <d v="2019-02-05T00:00:00"/>
    <m/>
    <m/>
    <s v="wci_wa"/>
    <n v="0"/>
    <n v="0"/>
    <n v="0"/>
    <n v="0"/>
    <n v="0"/>
    <n v="1"/>
    <n v="70095"/>
    <n v="2183"/>
    <n v="0"/>
    <n v="0"/>
    <m/>
    <m/>
    <m/>
    <m/>
    <s v=""/>
  </r>
  <r>
    <s v="70095-2183-000-00"/>
    <d v="2019-01-31T00:00:00"/>
    <n v="250"/>
    <n v="0"/>
    <s v="USD"/>
    <s v="JRNLWA00386969"/>
    <s v="P"/>
    <s v="OPEX13 - Pcard Accrual"/>
    <s v="AlexandraP"/>
    <s v="0/JE IC"/>
    <m/>
    <m/>
    <x v="114"/>
    <m/>
    <m/>
    <m/>
    <m/>
    <m/>
    <m/>
    <s v="JRNL00923104"/>
    <s v="JRNL00923104"/>
    <m/>
    <d v="2019-02-06T00:00:00"/>
    <d v="2019-02-07T00:00:00"/>
    <m/>
    <m/>
    <s v="wci_wa"/>
    <n v="0"/>
    <n v="0"/>
    <n v="0"/>
    <n v="0"/>
    <n v="0"/>
    <n v="1"/>
    <n v="70095"/>
    <n v="2183"/>
    <n v="0"/>
    <n v="0"/>
    <m/>
    <m/>
    <m/>
    <m/>
    <s v=""/>
  </r>
  <r>
    <s v="70095-2183-000-00"/>
    <d v="2019-01-31T00:00:00"/>
    <n v="24.21"/>
    <n v="0"/>
    <s v="USD"/>
    <s v="JRNLWA00386969"/>
    <s v="P"/>
    <s v="OPEX13 - Pcard Accrual"/>
    <s v="AlexandraP"/>
    <s v="0/JE IC"/>
    <m/>
    <m/>
    <x v="107"/>
    <m/>
    <m/>
    <m/>
    <m/>
    <m/>
    <m/>
    <s v="JRNL00923104"/>
    <s v="JRNL00923104"/>
    <m/>
    <d v="2019-02-06T00:00:00"/>
    <d v="2019-02-07T00:00:00"/>
    <m/>
    <m/>
    <s v="wci_wa"/>
    <n v="0"/>
    <n v="0"/>
    <n v="0"/>
    <n v="0"/>
    <n v="0"/>
    <n v="1"/>
    <n v="70095"/>
    <n v="2183"/>
    <n v="0"/>
    <n v="0"/>
    <m/>
    <m/>
    <m/>
    <m/>
    <s v=""/>
  </r>
  <r>
    <s v="70095-2183-000-00"/>
    <d v="2019-01-31T00:00:00"/>
    <n v="45.97"/>
    <n v="0"/>
    <s v="USD"/>
    <s v="JRNLWA00386969"/>
    <s v="P"/>
    <s v="OPEX13 - Pcard Accrual"/>
    <s v="AlexandraP"/>
    <s v="0/JE IC"/>
    <m/>
    <m/>
    <x v="10"/>
    <m/>
    <m/>
    <m/>
    <m/>
    <m/>
    <m/>
    <s v="JRNL00923104"/>
    <s v="JRNL00923104"/>
    <m/>
    <d v="2019-02-06T00:00:00"/>
    <d v="2019-02-07T00:00:00"/>
    <m/>
    <m/>
    <s v="wci_wa"/>
    <n v="0"/>
    <n v="0"/>
    <n v="0"/>
    <n v="0"/>
    <n v="0"/>
    <n v="1"/>
    <n v="70095"/>
    <n v="2183"/>
    <n v="0"/>
    <n v="0"/>
    <m/>
    <m/>
    <m/>
    <m/>
    <s v=""/>
  </r>
  <r>
    <s v="70095-2183-000-00"/>
    <d v="2019-01-31T00:00:00"/>
    <n v="62.44"/>
    <n v="0"/>
    <s v="USD"/>
    <s v="JRNLWA00386969"/>
    <s v="P"/>
    <s v="OPEX13 - Pcard Accrual"/>
    <s v="AlexandraP"/>
    <s v="0/JE IC"/>
    <m/>
    <m/>
    <x v="80"/>
    <m/>
    <m/>
    <m/>
    <m/>
    <m/>
    <m/>
    <s v="JRNL00923104"/>
    <s v="JRNL00923104"/>
    <m/>
    <d v="2019-02-06T00:00:00"/>
    <d v="2019-02-07T00:00:00"/>
    <m/>
    <m/>
    <s v="wci_wa"/>
    <n v="0"/>
    <n v="0"/>
    <n v="0"/>
    <n v="0"/>
    <n v="0"/>
    <n v="1"/>
    <n v="70095"/>
    <n v="2183"/>
    <n v="0"/>
    <n v="0"/>
    <m/>
    <m/>
    <m/>
    <m/>
    <s v=""/>
  </r>
  <r>
    <s v="70095-2183-000-00"/>
    <d v="2019-01-31T00:00:00"/>
    <n v="78.349999999999994"/>
    <n v="0"/>
    <s v="USD"/>
    <s v="JRNLWA00386969"/>
    <s v="P"/>
    <s v="OPEX13 - Pcard Accrual"/>
    <s v="AlexandraP"/>
    <s v="0/JE IC"/>
    <m/>
    <m/>
    <x v="115"/>
    <m/>
    <m/>
    <m/>
    <m/>
    <m/>
    <m/>
    <s v="JRNL00923104"/>
    <s v="JRNL00923104"/>
    <m/>
    <d v="2019-02-06T00:00:00"/>
    <d v="2019-02-07T00:00:00"/>
    <m/>
    <m/>
    <s v="wci_wa"/>
    <n v="0"/>
    <n v="0"/>
    <n v="0"/>
    <n v="0"/>
    <n v="0"/>
    <n v="1"/>
    <n v="70095"/>
    <n v="2183"/>
    <n v="0"/>
    <n v="0"/>
    <m/>
    <m/>
    <m/>
    <m/>
    <s v=""/>
  </r>
  <r>
    <s v="70095-2183-000-00"/>
    <d v="2019-01-31T00:00:00"/>
    <n v="98.02"/>
    <n v="0"/>
    <s v="USD"/>
    <s v="JRNLWA00386969"/>
    <s v="P"/>
    <s v="OPEX13 - Pcard Accrual"/>
    <s v="AlexandraP"/>
    <s v="0/JE IC"/>
    <m/>
    <m/>
    <x v="7"/>
    <m/>
    <m/>
    <m/>
    <m/>
    <m/>
    <m/>
    <s v="JRNL00923104"/>
    <s v="JRNL00923104"/>
    <m/>
    <d v="2019-02-06T00:00:00"/>
    <d v="2019-02-07T00:00:00"/>
    <m/>
    <m/>
    <s v="wci_wa"/>
    <n v="0"/>
    <n v="0"/>
    <n v="0"/>
    <n v="0"/>
    <n v="0"/>
    <n v="1"/>
    <n v="70095"/>
    <n v="2183"/>
    <n v="0"/>
    <n v="0"/>
    <m/>
    <m/>
    <m/>
    <m/>
    <s v=""/>
  </r>
  <r>
    <s v="70095-2183-000-00"/>
    <d v="2019-01-31T00:00:00"/>
    <n v="18.989999999999998"/>
    <n v="0"/>
    <s v="USD"/>
    <s v="JRNLWA00386969"/>
    <s v="P"/>
    <s v="OPEX13 - Pcard Accrual"/>
    <s v="AlexandraP"/>
    <s v="0/JE IC"/>
    <m/>
    <m/>
    <x v="10"/>
    <m/>
    <m/>
    <m/>
    <m/>
    <m/>
    <m/>
    <s v="JRNL00923104"/>
    <s v="JRNL00923104"/>
    <m/>
    <d v="2019-02-06T00:00:00"/>
    <d v="2019-02-07T00:00:00"/>
    <m/>
    <m/>
    <s v="wci_wa"/>
    <n v="0"/>
    <n v="0"/>
    <n v="0"/>
    <n v="0"/>
    <n v="0"/>
    <n v="1"/>
    <n v="70095"/>
    <n v="2183"/>
    <n v="0"/>
    <n v="0"/>
    <m/>
    <m/>
    <m/>
    <m/>
    <s v=""/>
  </r>
  <r>
    <s v="70095-2183-000-00"/>
    <d v="2019-02-28T00:00:00"/>
    <n v="-250"/>
    <n v="0"/>
    <s v="USD"/>
    <s v="JRNLWA00387079"/>
    <s v="P"/>
    <s v="OPEX13 - Pcard Accrual"/>
    <s v="AlexandraP"/>
    <s v="0/JE IC"/>
    <m/>
    <m/>
    <x v="114"/>
    <m/>
    <m/>
    <m/>
    <m/>
    <m/>
    <m/>
    <s v="JRNL00923104"/>
    <s v="JRNL00923261"/>
    <m/>
    <d v="2019-02-07T00:00:00"/>
    <d v="2019-02-07T00:00:00"/>
    <m/>
    <m/>
    <s v="wci_wa"/>
    <n v="0"/>
    <n v="0"/>
    <n v="0"/>
    <n v="0"/>
    <n v="5"/>
    <n v="1"/>
    <n v="70095"/>
    <n v="2183"/>
    <n v="0"/>
    <n v="0"/>
    <m/>
    <m/>
    <m/>
    <m/>
    <s v=""/>
  </r>
  <r>
    <s v="70095-2183-000-00"/>
    <d v="2019-02-28T00:00:00"/>
    <n v="-24.21"/>
    <n v="0"/>
    <s v="USD"/>
    <s v="JRNLWA00387079"/>
    <s v="P"/>
    <s v="OPEX13 - Pcard Accrual"/>
    <s v="AlexandraP"/>
    <s v="0/JE IC"/>
    <m/>
    <m/>
    <x v="107"/>
    <m/>
    <m/>
    <m/>
    <m/>
    <m/>
    <m/>
    <s v="JRNL00923104"/>
    <s v="JRNL00923261"/>
    <m/>
    <d v="2019-02-07T00:00:00"/>
    <d v="2019-02-07T00:00:00"/>
    <m/>
    <m/>
    <s v="wci_wa"/>
    <n v="0"/>
    <n v="0"/>
    <n v="0"/>
    <n v="0"/>
    <n v="5"/>
    <n v="1"/>
    <n v="70095"/>
    <n v="2183"/>
    <n v="0"/>
    <n v="0"/>
    <m/>
    <m/>
    <m/>
    <m/>
    <s v=""/>
  </r>
  <r>
    <s v="70095-2183-000-00"/>
    <d v="2019-02-28T00:00:00"/>
    <n v="-45.97"/>
    <n v="0"/>
    <s v="USD"/>
    <s v="JRNLWA00387079"/>
    <s v="P"/>
    <s v="OPEX13 - Pcard Accrual"/>
    <s v="AlexandraP"/>
    <s v="0/JE IC"/>
    <m/>
    <m/>
    <x v="10"/>
    <m/>
    <m/>
    <m/>
    <m/>
    <m/>
    <m/>
    <s v="JRNL00923104"/>
    <s v="JRNL00923261"/>
    <m/>
    <d v="2019-02-07T00:00:00"/>
    <d v="2019-02-07T00:00:00"/>
    <m/>
    <m/>
    <s v="wci_wa"/>
    <n v="0"/>
    <n v="0"/>
    <n v="0"/>
    <n v="0"/>
    <n v="5"/>
    <n v="1"/>
    <n v="70095"/>
    <n v="2183"/>
    <n v="0"/>
    <n v="0"/>
    <m/>
    <m/>
    <m/>
    <m/>
    <s v=""/>
  </r>
  <r>
    <s v="70095-2183-000-00"/>
    <d v="2019-02-28T00:00:00"/>
    <n v="-62.44"/>
    <n v="0"/>
    <s v="USD"/>
    <s v="JRNLWA00387079"/>
    <s v="P"/>
    <s v="OPEX13 - Pcard Accrual"/>
    <s v="AlexandraP"/>
    <s v="0/JE IC"/>
    <m/>
    <m/>
    <x v="80"/>
    <m/>
    <m/>
    <m/>
    <m/>
    <m/>
    <m/>
    <s v="JRNL00923104"/>
    <s v="JRNL00923261"/>
    <m/>
    <d v="2019-02-07T00:00:00"/>
    <d v="2019-02-07T00:00:00"/>
    <m/>
    <m/>
    <s v="wci_wa"/>
    <n v="0"/>
    <n v="0"/>
    <n v="0"/>
    <n v="0"/>
    <n v="5"/>
    <n v="1"/>
    <n v="70095"/>
    <n v="2183"/>
    <n v="0"/>
    <n v="0"/>
    <m/>
    <m/>
    <m/>
    <m/>
    <s v=""/>
  </r>
  <r>
    <s v="70095-2183-000-00"/>
    <d v="2019-02-28T00:00:00"/>
    <n v="-78.349999999999994"/>
    <n v="0"/>
    <s v="USD"/>
    <s v="JRNLWA00387079"/>
    <s v="P"/>
    <s v="OPEX13 - Pcard Accrual"/>
    <s v="AlexandraP"/>
    <s v="0/JE IC"/>
    <m/>
    <m/>
    <x v="115"/>
    <m/>
    <m/>
    <m/>
    <m/>
    <m/>
    <m/>
    <s v="JRNL00923104"/>
    <s v="JRNL00923261"/>
    <m/>
    <d v="2019-02-07T00:00:00"/>
    <d v="2019-02-07T00:00:00"/>
    <m/>
    <m/>
    <s v="wci_wa"/>
    <n v="0"/>
    <n v="0"/>
    <n v="0"/>
    <n v="0"/>
    <n v="5"/>
    <n v="1"/>
    <n v="70095"/>
    <n v="2183"/>
    <n v="0"/>
    <n v="0"/>
    <m/>
    <m/>
    <m/>
    <m/>
    <s v=""/>
  </r>
  <r>
    <s v="70095-2183-000-00"/>
    <d v="2019-02-28T00:00:00"/>
    <n v="-98.02"/>
    <n v="0"/>
    <s v="USD"/>
    <s v="JRNLWA00387079"/>
    <s v="P"/>
    <s v="OPEX13 - Pcard Accrual"/>
    <s v="AlexandraP"/>
    <s v="0/JE IC"/>
    <m/>
    <m/>
    <x v="7"/>
    <m/>
    <m/>
    <m/>
    <m/>
    <m/>
    <m/>
    <s v="JRNL00923104"/>
    <s v="JRNL00923261"/>
    <m/>
    <d v="2019-02-07T00:00:00"/>
    <d v="2019-02-07T00:00:00"/>
    <m/>
    <m/>
    <s v="wci_wa"/>
    <n v="0"/>
    <n v="0"/>
    <n v="0"/>
    <n v="0"/>
    <n v="5"/>
    <n v="1"/>
    <n v="70095"/>
    <n v="2183"/>
    <n v="0"/>
    <n v="0"/>
    <m/>
    <m/>
    <m/>
    <m/>
    <s v=""/>
  </r>
  <r>
    <s v="70095-2183-000-00"/>
    <d v="2019-02-28T00:00:00"/>
    <n v="-18.989999999999998"/>
    <n v="0"/>
    <s v="USD"/>
    <s v="JRNLWA00387079"/>
    <s v="P"/>
    <s v="OPEX13 - Pcard Accrual"/>
    <s v="AlexandraP"/>
    <s v="0/JE IC"/>
    <m/>
    <m/>
    <x v="10"/>
    <m/>
    <m/>
    <m/>
    <m/>
    <m/>
    <m/>
    <s v="JRNL00923104"/>
    <s v="JRNL00923261"/>
    <m/>
    <d v="2019-02-07T00:00:00"/>
    <d v="2019-02-07T00:00:00"/>
    <m/>
    <m/>
    <s v="wci_wa"/>
    <n v="0"/>
    <n v="0"/>
    <n v="0"/>
    <n v="0"/>
    <n v="5"/>
    <n v="1"/>
    <n v="70095"/>
    <n v="2183"/>
    <n v="0"/>
    <n v="0"/>
    <m/>
    <m/>
    <m/>
    <m/>
    <s v=""/>
  </r>
  <r>
    <s v="70095-2183-000-00"/>
    <d v="2019-02-28T00:00:00"/>
    <n v="2538.85"/>
    <n v="0"/>
    <s v="USD"/>
    <s v="JRNLWA00387536"/>
    <s v="P"/>
    <s v="From Voucher Posting."/>
    <s v="JudyA"/>
    <s v="0/JE IC"/>
    <s v="VUS000011131"/>
    <m/>
    <x v="18"/>
    <d v="2019-02-13T00:00:00"/>
    <s v="Drive Cam Hoodies"/>
    <n v="4635"/>
    <s v="PO-2183-19-00506"/>
    <m/>
    <m/>
    <s v="VO04936126"/>
    <s v="JRNL00924836"/>
    <n v="2183"/>
    <d v="2019-02-28T00:00:00"/>
    <d v="2019-02-28T00:00:00"/>
    <n v="2538.85"/>
    <d v="2019-03-20T00:00:00"/>
    <s v="wci_wa"/>
    <n v="0"/>
    <n v="0"/>
    <n v="0"/>
    <n v="0"/>
    <n v="0"/>
    <n v="1"/>
    <n v="70095"/>
    <n v="2183"/>
    <n v="0"/>
    <n v="0"/>
    <m/>
    <m/>
    <m/>
    <m/>
    <s v="VO04936126"/>
  </r>
  <r>
    <s v="70095-2183-000-00"/>
    <d v="2019-02-28T00:00:00"/>
    <n v="250"/>
    <n v="0"/>
    <s v="USD"/>
    <s v="JRNLWA00387734"/>
    <s v="P"/>
    <s v="Western PCard Activity - Feb"/>
    <s v="AlexandraP"/>
    <s v="0/JE IC"/>
    <m/>
    <m/>
    <x v="114"/>
    <m/>
    <m/>
    <m/>
    <m/>
    <m/>
    <m/>
    <s v="JRNL00925269"/>
    <s v="JRNL00925269"/>
    <m/>
    <d v="2019-03-04T00:00:00"/>
    <d v="2019-03-04T00:00:00"/>
    <m/>
    <m/>
    <s v="wci_wa"/>
    <n v="0"/>
    <n v="0"/>
    <n v="0"/>
    <n v="0"/>
    <n v="0"/>
    <n v="1"/>
    <n v="70095"/>
    <n v="2183"/>
    <n v="0"/>
    <n v="0"/>
    <m/>
    <m/>
    <m/>
    <m/>
    <s v=""/>
  </r>
  <r>
    <s v="70095-2183-000-00"/>
    <d v="2019-02-28T00:00:00"/>
    <n v="24.21"/>
    <n v="0"/>
    <s v="USD"/>
    <s v="JRNLWA00387734"/>
    <s v="P"/>
    <s v="Western PCard Activity - Feb"/>
    <s v="AlexandraP"/>
    <s v="0/JE IC"/>
    <m/>
    <m/>
    <x v="107"/>
    <m/>
    <m/>
    <m/>
    <m/>
    <m/>
    <m/>
    <s v="JRNL00925269"/>
    <s v="JRNL00925269"/>
    <m/>
    <d v="2019-03-04T00:00:00"/>
    <d v="2019-03-04T00:00:00"/>
    <m/>
    <m/>
    <s v="wci_wa"/>
    <n v="0"/>
    <n v="0"/>
    <n v="0"/>
    <n v="0"/>
    <n v="0"/>
    <n v="1"/>
    <n v="70095"/>
    <n v="2183"/>
    <n v="0"/>
    <n v="0"/>
    <m/>
    <m/>
    <m/>
    <m/>
    <s v=""/>
  </r>
  <r>
    <s v="70095-2183-000-00"/>
    <d v="2019-02-28T00:00:00"/>
    <n v="45.97"/>
    <n v="0"/>
    <s v="USD"/>
    <s v="JRNLWA00387734"/>
    <s v="P"/>
    <s v="Western PCard Activity - Feb"/>
    <s v="AlexandraP"/>
    <s v="0/JE IC"/>
    <m/>
    <m/>
    <x v="10"/>
    <m/>
    <m/>
    <m/>
    <m/>
    <m/>
    <m/>
    <s v="JRNL00925269"/>
    <s v="JRNL00925269"/>
    <m/>
    <d v="2019-03-04T00:00:00"/>
    <d v="2019-03-04T00:00:00"/>
    <m/>
    <m/>
    <s v="wci_wa"/>
    <n v="0"/>
    <n v="0"/>
    <n v="0"/>
    <n v="0"/>
    <n v="0"/>
    <n v="1"/>
    <n v="70095"/>
    <n v="2183"/>
    <n v="0"/>
    <n v="0"/>
    <m/>
    <m/>
    <m/>
    <m/>
    <s v=""/>
  </r>
  <r>
    <s v="70095-2183-000-00"/>
    <d v="2019-02-28T00:00:00"/>
    <n v="62.44"/>
    <n v="0"/>
    <s v="USD"/>
    <s v="JRNLWA00387734"/>
    <s v="P"/>
    <s v="Western PCard Activity - Feb"/>
    <s v="AlexandraP"/>
    <s v="0/JE IC"/>
    <m/>
    <m/>
    <x v="80"/>
    <m/>
    <m/>
    <m/>
    <m/>
    <m/>
    <m/>
    <s v="JRNL00925269"/>
    <s v="JRNL00925269"/>
    <m/>
    <d v="2019-03-04T00:00:00"/>
    <d v="2019-03-04T00:00:00"/>
    <m/>
    <m/>
    <s v="wci_wa"/>
    <n v="0"/>
    <n v="0"/>
    <n v="0"/>
    <n v="0"/>
    <n v="0"/>
    <n v="1"/>
    <n v="70095"/>
    <n v="2183"/>
    <n v="0"/>
    <n v="0"/>
    <m/>
    <m/>
    <m/>
    <m/>
    <s v=""/>
  </r>
  <r>
    <s v="70095-2183-000-00"/>
    <d v="2019-02-28T00:00:00"/>
    <n v="78.349999999999994"/>
    <n v="0"/>
    <s v="USD"/>
    <s v="JRNLWA00387734"/>
    <s v="P"/>
    <s v="Western PCard Activity - Feb"/>
    <s v="AlexandraP"/>
    <s v="0/JE IC"/>
    <m/>
    <m/>
    <x v="115"/>
    <m/>
    <m/>
    <m/>
    <m/>
    <m/>
    <m/>
    <s v="JRNL00925269"/>
    <s v="JRNL00925269"/>
    <m/>
    <d v="2019-03-04T00:00:00"/>
    <d v="2019-03-04T00:00:00"/>
    <m/>
    <m/>
    <s v="wci_wa"/>
    <n v="0"/>
    <n v="0"/>
    <n v="0"/>
    <n v="0"/>
    <n v="0"/>
    <n v="1"/>
    <n v="70095"/>
    <n v="2183"/>
    <n v="0"/>
    <n v="0"/>
    <m/>
    <m/>
    <m/>
    <m/>
    <s v=""/>
  </r>
  <r>
    <s v="70095-2183-000-00"/>
    <d v="2019-02-28T00:00:00"/>
    <n v="98.02"/>
    <n v="0"/>
    <s v="USD"/>
    <s v="JRNLWA00387734"/>
    <s v="P"/>
    <s v="Western PCard Activity - Feb"/>
    <s v="AlexandraP"/>
    <s v="0/JE IC"/>
    <m/>
    <m/>
    <x v="7"/>
    <m/>
    <m/>
    <m/>
    <m/>
    <m/>
    <m/>
    <s v="JRNL00925269"/>
    <s v="JRNL00925269"/>
    <m/>
    <d v="2019-03-04T00:00:00"/>
    <d v="2019-03-04T00:00:00"/>
    <m/>
    <m/>
    <s v="wci_wa"/>
    <n v="0"/>
    <n v="0"/>
    <n v="0"/>
    <n v="0"/>
    <n v="0"/>
    <n v="1"/>
    <n v="70095"/>
    <n v="2183"/>
    <n v="0"/>
    <n v="0"/>
    <m/>
    <m/>
    <m/>
    <m/>
    <s v=""/>
  </r>
  <r>
    <s v="70095-2183-000-00"/>
    <d v="2019-02-28T00:00:00"/>
    <n v="18.989999999999998"/>
    <n v="0"/>
    <s v="USD"/>
    <s v="JRNLWA00387734"/>
    <s v="P"/>
    <s v="Western PCard Activity - Feb"/>
    <s v="AlexandraP"/>
    <s v="0/JE IC"/>
    <m/>
    <m/>
    <x v="10"/>
    <m/>
    <m/>
    <m/>
    <m/>
    <m/>
    <m/>
    <s v="JRNL00925269"/>
    <s v="JRNL00925269"/>
    <m/>
    <d v="2019-03-04T00:00:00"/>
    <d v="2019-03-04T00:00:00"/>
    <m/>
    <m/>
    <s v="wci_wa"/>
    <n v="0"/>
    <n v="0"/>
    <n v="0"/>
    <n v="0"/>
    <n v="0"/>
    <n v="1"/>
    <n v="70095"/>
    <n v="2183"/>
    <n v="0"/>
    <n v="0"/>
    <m/>
    <m/>
    <m/>
    <m/>
    <s v=""/>
  </r>
  <r>
    <s v="70095-2183-000-00"/>
    <d v="2019-02-28T00:00:00"/>
    <n v="191.98"/>
    <n v="0"/>
    <s v="USD"/>
    <s v="JRNLWA00387734"/>
    <s v="P"/>
    <s v="Western PCard Activity - Feb"/>
    <s v="AlexandraP"/>
    <s v="0/JE IC"/>
    <m/>
    <m/>
    <x v="68"/>
    <m/>
    <m/>
    <m/>
    <m/>
    <m/>
    <m/>
    <s v="JRNL00925269"/>
    <s v="JRNL00925269"/>
    <m/>
    <d v="2019-03-04T00:00:00"/>
    <d v="2019-03-04T00:00:00"/>
    <m/>
    <m/>
    <s v="wci_wa"/>
    <n v="0"/>
    <n v="0"/>
    <n v="0"/>
    <n v="0"/>
    <n v="0"/>
    <n v="1"/>
    <n v="70095"/>
    <n v="2183"/>
    <n v="0"/>
    <n v="0"/>
    <m/>
    <m/>
    <m/>
    <m/>
    <s v=""/>
  </r>
  <r>
    <s v="70095-2183-000-00"/>
    <d v="2019-02-28T00:00:00"/>
    <n v="207.73"/>
    <n v="0"/>
    <s v="USD"/>
    <s v="JRNLWA00387734"/>
    <s v="P"/>
    <s v="Western PCard Activity - Feb"/>
    <s v="AlexandraP"/>
    <s v="0/JE IC"/>
    <m/>
    <m/>
    <x v="68"/>
    <m/>
    <m/>
    <m/>
    <m/>
    <m/>
    <m/>
    <s v="JRNL00925269"/>
    <s v="JRNL00925269"/>
    <m/>
    <d v="2019-03-04T00:00:00"/>
    <d v="2019-03-04T00:00:00"/>
    <m/>
    <m/>
    <s v="wci_wa"/>
    <n v="0"/>
    <n v="0"/>
    <n v="0"/>
    <n v="0"/>
    <n v="0"/>
    <n v="1"/>
    <n v="70095"/>
    <n v="2183"/>
    <n v="0"/>
    <n v="0"/>
    <m/>
    <m/>
    <m/>
    <m/>
    <s v=""/>
  </r>
  <r>
    <s v="70095-2183-000-00"/>
    <d v="2019-02-28T00:00:00"/>
    <n v="57.44"/>
    <n v="0"/>
    <s v="USD"/>
    <s v="JRNLWA00387734"/>
    <s v="P"/>
    <s v="Western PCard Activity - Feb"/>
    <s v="AlexandraP"/>
    <s v="0/JE IC"/>
    <m/>
    <m/>
    <x v="116"/>
    <m/>
    <m/>
    <m/>
    <m/>
    <m/>
    <m/>
    <s v="JRNL00925269"/>
    <s v="JRNL00925269"/>
    <m/>
    <d v="2019-03-04T00:00:00"/>
    <d v="2019-03-04T00:00:00"/>
    <m/>
    <m/>
    <s v="wci_wa"/>
    <n v="0"/>
    <n v="0"/>
    <n v="0"/>
    <n v="0"/>
    <n v="0"/>
    <n v="1"/>
    <n v="70095"/>
    <n v="2183"/>
    <n v="0"/>
    <n v="0"/>
    <m/>
    <m/>
    <m/>
    <m/>
    <s v=""/>
  </r>
  <r>
    <s v="70095-2183-000-00"/>
    <d v="2019-02-28T00:00:00"/>
    <n v="42.78"/>
    <n v="0"/>
    <s v="USD"/>
    <s v="JRNLWA00387734"/>
    <s v="P"/>
    <s v="Western PCard Activity - Feb"/>
    <s v="AlexandraP"/>
    <s v="0/JE IC"/>
    <m/>
    <m/>
    <x v="86"/>
    <m/>
    <m/>
    <m/>
    <m/>
    <m/>
    <m/>
    <s v="JRNL00925269"/>
    <s v="JRNL00925269"/>
    <m/>
    <d v="2019-03-04T00:00:00"/>
    <d v="2019-03-04T00:00:00"/>
    <m/>
    <m/>
    <s v="wci_wa"/>
    <n v="0"/>
    <n v="0"/>
    <n v="0"/>
    <n v="0"/>
    <n v="0"/>
    <n v="1"/>
    <n v="70095"/>
    <n v="2183"/>
    <n v="0"/>
    <n v="0"/>
    <m/>
    <m/>
    <m/>
    <m/>
    <s v=""/>
  </r>
  <r>
    <s v="70095-2183-000-00"/>
    <d v="2019-02-28T00:00:00"/>
    <n v="18.989999999999998"/>
    <n v="0"/>
    <s v="USD"/>
    <s v="JRNLWA00387734"/>
    <s v="P"/>
    <s v="Western PCard Activity - Feb"/>
    <s v="AlexandraP"/>
    <s v="0/JE IC"/>
    <m/>
    <m/>
    <x v="10"/>
    <m/>
    <m/>
    <m/>
    <m/>
    <m/>
    <m/>
    <s v="JRNL00925269"/>
    <s v="JRNL00925269"/>
    <m/>
    <d v="2019-03-04T00:00:00"/>
    <d v="2019-03-04T00:00:00"/>
    <m/>
    <m/>
    <s v="wci_wa"/>
    <n v="0"/>
    <n v="0"/>
    <n v="0"/>
    <n v="0"/>
    <n v="0"/>
    <n v="1"/>
    <n v="70095"/>
    <n v="2183"/>
    <n v="0"/>
    <n v="0"/>
    <m/>
    <m/>
    <m/>
    <m/>
    <s v=""/>
  </r>
  <r>
    <s v="70095-2183-000-00"/>
    <d v="2019-02-28T00:00:00"/>
    <n v="1811.21"/>
    <n v="0"/>
    <s v="USD"/>
    <s v="JRNLWA00387734"/>
    <s v="P"/>
    <s v="Western PCard Activity - Feb"/>
    <s v="AlexandraP"/>
    <s v="0/JE IC"/>
    <m/>
    <m/>
    <x v="6"/>
    <m/>
    <m/>
    <m/>
    <m/>
    <m/>
    <m/>
    <s v="JRNL00925269"/>
    <s v="JRNL00925269"/>
    <m/>
    <d v="2019-03-04T00:00:00"/>
    <d v="2019-03-04T00:00:00"/>
    <m/>
    <m/>
    <s v="wci_wa"/>
    <n v="0"/>
    <n v="0"/>
    <n v="0"/>
    <n v="0"/>
    <n v="0"/>
    <n v="1"/>
    <n v="70095"/>
    <n v="2183"/>
    <n v="0"/>
    <n v="0"/>
    <m/>
    <m/>
    <m/>
    <m/>
    <s v=""/>
  </r>
  <r>
    <s v="70095-2183-000-00"/>
    <d v="2019-02-28T00:00:00"/>
    <n v="2.17"/>
    <n v="0"/>
    <s v="USD"/>
    <s v="JRNLWA00387734"/>
    <s v="P"/>
    <s v="Western PCard Activity - Feb"/>
    <s v="AlexandraP"/>
    <s v="0/JE IC"/>
    <m/>
    <m/>
    <x v="6"/>
    <m/>
    <m/>
    <m/>
    <m/>
    <m/>
    <m/>
    <s v="JRNL00925269"/>
    <s v="JRNL00925269"/>
    <m/>
    <d v="2019-03-04T00:00:00"/>
    <d v="2019-03-04T00:00:00"/>
    <m/>
    <m/>
    <s v="wci_wa"/>
    <n v="0"/>
    <n v="0"/>
    <n v="0"/>
    <n v="0"/>
    <n v="0"/>
    <n v="1"/>
    <n v="70095"/>
    <n v="2183"/>
    <n v="0"/>
    <n v="0"/>
    <m/>
    <m/>
    <m/>
    <m/>
    <s v=""/>
  </r>
  <r>
    <s v="70095-2183-000-00"/>
    <d v="2019-02-28T00:00:00"/>
    <n v="341.05"/>
    <n v="0"/>
    <s v="USD"/>
    <s v="JRNLWA00387734"/>
    <s v="P"/>
    <s v="Western PCard Activity - Feb"/>
    <s v="AlexandraP"/>
    <s v="0/JE IC"/>
    <m/>
    <m/>
    <x v="10"/>
    <m/>
    <m/>
    <m/>
    <m/>
    <m/>
    <m/>
    <s v="JRNL00925269"/>
    <s v="JRNL00925269"/>
    <m/>
    <d v="2019-03-04T00:00:00"/>
    <d v="2019-03-04T00:00:00"/>
    <m/>
    <m/>
    <s v="wci_wa"/>
    <n v="0"/>
    <n v="0"/>
    <n v="0"/>
    <n v="0"/>
    <n v="0"/>
    <n v="1"/>
    <n v="70095"/>
    <n v="2183"/>
    <n v="0"/>
    <n v="0"/>
    <m/>
    <m/>
    <m/>
    <m/>
    <s v=""/>
  </r>
  <r>
    <s v="70095-2183-000-00"/>
    <d v="2019-02-28T00:00:00"/>
    <n v="32.57"/>
    <n v="0"/>
    <s v="USD"/>
    <s v="JRNLWA00387734"/>
    <s v="P"/>
    <s v="Western PCard Activity - Feb"/>
    <s v="AlexandraP"/>
    <s v="0/JE IC"/>
    <m/>
    <m/>
    <x v="111"/>
    <m/>
    <m/>
    <m/>
    <m/>
    <m/>
    <m/>
    <s v="JRNL00925269"/>
    <s v="JRNL00925269"/>
    <m/>
    <d v="2019-03-04T00:00:00"/>
    <d v="2019-03-04T00:00:00"/>
    <m/>
    <m/>
    <s v="wci_wa"/>
    <n v="0"/>
    <n v="0"/>
    <n v="0"/>
    <n v="0"/>
    <n v="0"/>
    <n v="1"/>
    <n v="70095"/>
    <n v="2183"/>
    <n v="0"/>
    <n v="0"/>
    <m/>
    <m/>
    <m/>
    <m/>
    <s v=""/>
  </r>
  <r>
    <s v="70095-2183-000-00"/>
    <d v="2019-02-28T00:00:00"/>
    <n v="849.58"/>
    <n v="0"/>
    <s v="USD"/>
    <s v="JRNLWA00387734"/>
    <s v="P"/>
    <s v="Western PCard Activity - Feb"/>
    <s v="AlexandraP"/>
    <s v="0/JE IC"/>
    <m/>
    <m/>
    <x v="6"/>
    <m/>
    <m/>
    <m/>
    <m/>
    <m/>
    <m/>
    <s v="JRNL00925269"/>
    <s v="JRNL00925269"/>
    <m/>
    <d v="2019-03-04T00:00:00"/>
    <d v="2019-03-04T00:00:00"/>
    <m/>
    <m/>
    <s v="wci_wa"/>
    <n v="0"/>
    <n v="0"/>
    <n v="0"/>
    <n v="0"/>
    <n v="0"/>
    <n v="1"/>
    <n v="70095"/>
    <n v="2183"/>
    <n v="0"/>
    <n v="0"/>
    <m/>
    <m/>
    <m/>
    <m/>
    <s v=""/>
  </r>
  <r>
    <s v="70095-2183-000-00"/>
    <d v="2019-02-28T00:00:00"/>
    <n v="1657.99"/>
    <n v="0"/>
    <s v="USD"/>
    <s v="JRNLWA00388266"/>
    <s v="P"/>
    <s v="OPEX13 - Pcard Accrual"/>
    <s v="AlexandraP"/>
    <s v="0/JE IC"/>
    <m/>
    <m/>
    <x v="117"/>
    <m/>
    <m/>
    <m/>
    <m/>
    <m/>
    <m/>
    <s v="JRNL00926514"/>
    <s v="JRNL00926514"/>
    <m/>
    <d v="2019-03-06T00:00:00"/>
    <d v="2019-03-06T00:00:00"/>
    <m/>
    <m/>
    <s v="wci_wa"/>
    <n v="0"/>
    <n v="0"/>
    <n v="0"/>
    <n v="0"/>
    <n v="0"/>
    <n v="1"/>
    <n v="70095"/>
    <n v="2183"/>
    <n v="0"/>
    <n v="0"/>
    <m/>
    <m/>
    <m/>
    <m/>
    <s v=""/>
  </r>
  <r>
    <s v="70095-2183-000-00"/>
    <d v="2019-02-28T00:00:00"/>
    <n v="18.989999999999998"/>
    <n v="0"/>
    <s v="USD"/>
    <s v="JRNLWA00388266"/>
    <s v="P"/>
    <s v="OPEX13 - Pcard Accrual"/>
    <s v="AlexandraP"/>
    <s v="0/JE IC"/>
    <m/>
    <m/>
    <x v="10"/>
    <m/>
    <m/>
    <m/>
    <m/>
    <m/>
    <m/>
    <s v="JRNL00926514"/>
    <s v="JRNL00926514"/>
    <m/>
    <d v="2019-03-06T00:00:00"/>
    <d v="2019-03-06T00:00:00"/>
    <m/>
    <m/>
    <s v="wci_wa"/>
    <n v="0"/>
    <n v="0"/>
    <n v="0"/>
    <n v="0"/>
    <n v="0"/>
    <n v="1"/>
    <n v="70095"/>
    <n v="2183"/>
    <n v="0"/>
    <n v="0"/>
    <m/>
    <m/>
    <m/>
    <m/>
    <s v=""/>
  </r>
  <r>
    <s v="70095-2183-000-00"/>
    <d v="2019-02-28T00:00:00"/>
    <n v="72.89"/>
    <n v="0"/>
    <s v="USD"/>
    <s v="JRNLWA00388461"/>
    <s v="P"/>
    <s v="2019-02 Exp Report Accrual"/>
    <s v="AlexandraP"/>
    <s v="0/JE IC"/>
    <m/>
    <m/>
    <x v="118"/>
    <m/>
    <m/>
    <m/>
    <m/>
    <m/>
    <m/>
    <s v="JRNL00926717"/>
    <s v="JRNL00926717"/>
    <m/>
    <d v="2019-03-06T00:00:00"/>
    <d v="2019-03-07T00:00:00"/>
    <m/>
    <m/>
    <s v="wci_wa"/>
    <n v="0"/>
    <n v="0"/>
    <n v="0"/>
    <n v="0"/>
    <n v="0"/>
    <n v="1"/>
    <n v="70095"/>
    <n v="2183"/>
    <n v="0"/>
    <n v="0"/>
    <m/>
    <m/>
    <m/>
    <m/>
    <s v=""/>
  </r>
  <r>
    <s v="70095-2183-000-00"/>
    <d v="2019-02-28T00:00:00"/>
    <n v="287.95"/>
    <n v="0"/>
    <s v="USD"/>
    <s v="JRNLWA00388494"/>
    <s v="P"/>
    <s v="PO Log Accrual"/>
    <s v="AlexandraP"/>
    <s v="0/JE IC"/>
    <m/>
    <m/>
    <x v="119"/>
    <m/>
    <m/>
    <m/>
    <m/>
    <m/>
    <m/>
    <s v="JRNL00926750"/>
    <s v="JRNL00926750"/>
    <m/>
    <d v="2019-03-06T00:00:00"/>
    <d v="2019-03-07T00:00:00"/>
    <m/>
    <m/>
    <s v="wci_wa"/>
    <n v="0"/>
    <n v="0"/>
    <n v="0"/>
    <n v="0"/>
    <n v="0"/>
    <n v="1"/>
    <n v="70095"/>
    <n v="2183"/>
    <n v="0"/>
    <n v="0"/>
    <m/>
    <m/>
    <m/>
    <m/>
    <s v=""/>
  </r>
  <r>
    <s v="70095-2183-000-00"/>
    <d v="2019-02-28T00:00:00"/>
    <n v="92.57"/>
    <n v="0"/>
    <s v="USD"/>
    <s v="JRNLWA00388494"/>
    <s v="P"/>
    <s v="PO Log Accrual"/>
    <s v="AlexandraP"/>
    <s v="0/JE IC"/>
    <m/>
    <m/>
    <x v="120"/>
    <m/>
    <m/>
    <m/>
    <m/>
    <m/>
    <m/>
    <s v="JRNL00926750"/>
    <s v="JRNL00926750"/>
    <m/>
    <d v="2019-03-06T00:00:00"/>
    <d v="2019-03-07T00:00:00"/>
    <m/>
    <m/>
    <s v="wci_wa"/>
    <n v="0"/>
    <n v="0"/>
    <n v="0"/>
    <n v="0"/>
    <n v="0"/>
    <n v="1"/>
    <n v="70095"/>
    <n v="2183"/>
    <n v="0"/>
    <n v="0"/>
    <m/>
    <m/>
    <m/>
    <m/>
    <s v=""/>
  </r>
  <r>
    <s v="70095-2183-000-00"/>
    <d v="2019-03-11T00:00:00"/>
    <n v="25"/>
    <n v="0"/>
    <s v="USD"/>
    <s v="JRNLWA00388777"/>
    <s v="P"/>
    <s v="From Voucher Posting."/>
    <s v="JudyA"/>
    <s v="0/JE IC"/>
    <s v="VUS000008916"/>
    <m/>
    <x v="40"/>
    <d v="2019-02-15T00:00:00"/>
    <s v="Concern For Animals Membership ( Family)"/>
    <s v="2019 Membership"/>
    <s v="PO-2183-19-00867"/>
    <m/>
    <m/>
    <s v="VO04947113"/>
    <s v="JRNL00927268"/>
    <n v="2183"/>
    <d v="2019-03-11T00:00:00"/>
    <d v="2019-03-19T00:00:00"/>
    <n v="25"/>
    <d v="2019-02-25T00:00:00"/>
    <s v="wci_wa"/>
    <n v="0"/>
    <n v="0"/>
    <n v="0"/>
    <n v="0"/>
    <n v="0"/>
    <n v="1"/>
    <n v="70095"/>
    <n v="2183"/>
    <n v="0"/>
    <n v="0"/>
    <m/>
    <m/>
    <m/>
    <m/>
    <s v="VO04947113"/>
  </r>
  <r>
    <s v="70095-2183-000-00"/>
    <d v="2019-03-13T00:00:00"/>
    <n v="287.95"/>
    <n v="0"/>
    <s v="USD"/>
    <s v="JRNLWA00388812"/>
    <s v="P"/>
    <s v="From Voucher Posting."/>
    <s v="MariaJ"/>
    <s v="0/JE IC"/>
    <s v="VUS000011131"/>
    <m/>
    <x v="18"/>
    <d v="2019-02-26T00:00:00"/>
    <s v="Shirts - Kris M"/>
    <n v="4638"/>
    <s v="PO-2183-19-00734"/>
    <m/>
    <m/>
    <s v="VO04951055"/>
    <s v="JRNL00927389"/>
    <n v="2183"/>
    <d v="2019-03-13T00:00:00"/>
    <d v="2019-03-19T00:00:00"/>
    <n v="287.95"/>
    <d v="2019-04-02T00:00:00"/>
    <s v="wci_wa"/>
    <n v="0"/>
    <n v="0"/>
    <n v="0"/>
    <n v="0"/>
    <n v="0"/>
    <n v="1"/>
    <n v="70095"/>
    <n v="2183"/>
    <n v="0"/>
    <n v="0"/>
    <m/>
    <m/>
    <m/>
    <m/>
    <s v="VO04951055"/>
  </r>
  <r>
    <s v="70095-2183-000-00"/>
    <d v="2019-03-14T00:00:00"/>
    <n v="300"/>
    <n v="0"/>
    <s v="USD"/>
    <s v="JRNLWA00388820"/>
    <s v="P"/>
    <s v="From Voucher Posting."/>
    <s v="MariaJ"/>
    <s v="0/JE IC"/>
    <s v="VUS000028748"/>
    <m/>
    <x v="121"/>
    <d v="2019-01-01T00:00:00"/>
    <s v="Donation"/>
    <s v="Donation 2019"/>
    <s v="PO-2183-19-01247"/>
    <m/>
    <m/>
    <s v="VO04952516"/>
    <s v="JRNL00927413"/>
    <s v="FX2183"/>
    <d v="2019-03-14T00:00:00"/>
    <d v="2019-03-19T00:00:00"/>
    <n v="300"/>
    <d v="2019-01-11T00:00:00"/>
    <s v="wci_wa"/>
    <n v="0"/>
    <n v="0"/>
    <n v="0"/>
    <n v="0"/>
    <n v="0"/>
    <n v="1"/>
    <n v="70095"/>
    <n v="2183"/>
    <n v="0"/>
    <n v="0"/>
    <m/>
    <m/>
    <m/>
    <m/>
    <s v="VO04952516"/>
  </r>
  <r>
    <s v="70095-2183-000-00"/>
    <d v="2019-03-18T00:00:00"/>
    <n v="2500"/>
    <n v="0"/>
    <s v="USD"/>
    <s v="JRNLWA00388851"/>
    <s v="P"/>
    <s v="From Voucher Posting."/>
    <s v="JudyA"/>
    <s v="0/JE IC"/>
    <s v="VUS000015161"/>
    <m/>
    <x v="122"/>
    <d v="2019-03-07T00:00:00"/>
    <s v="Pavillion Stage Sponsor"/>
    <n v="1910"/>
    <s v="PO-2183-19-01232"/>
    <m/>
    <m/>
    <s v="VO04955678"/>
    <s v="JRNL00927532"/>
    <n v="2183"/>
    <d v="2019-03-18T00:00:00"/>
    <d v="2019-03-19T00:00:00"/>
    <n v="2500"/>
    <d v="2019-03-17T00:00:00"/>
    <s v="wci_wa"/>
    <n v="0"/>
    <n v="0"/>
    <n v="0"/>
    <n v="0"/>
    <n v="0"/>
    <n v="1"/>
    <n v="70095"/>
    <n v="2183"/>
    <n v="0"/>
    <n v="0"/>
    <m/>
    <m/>
    <m/>
    <m/>
    <s v="VO04955678"/>
  </r>
  <r>
    <s v="70095-2183-000-00"/>
    <d v="2019-03-31T00:00:00"/>
    <n v="-1657.99"/>
    <n v="0"/>
    <s v="USD"/>
    <s v="JRNLWA00388505"/>
    <s v="P"/>
    <s v="OPEX13 - Pcard Accrual"/>
    <s v="AlexandraP"/>
    <s v="0/JE IC"/>
    <m/>
    <m/>
    <x v="117"/>
    <m/>
    <m/>
    <m/>
    <m/>
    <m/>
    <m/>
    <s v="JRNL00926514"/>
    <s v="JRNL00926578"/>
    <m/>
    <d v="2019-03-06T00:00:00"/>
    <d v="2019-03-07T00:00:00"/>
    <m/>
    <m/>
    <s v="wci_wa"/>
    <n v="0"/>
    <n v="0"/>
    <n v="0"/>
    <n v="0"/>
    <n v="5"/>
    <n v="1"/>
    <n v="70095"/>
    <n v="2183"/>
    <n v="0"/>
    <n v="0"/>
    <m/>
    <m/>
    <m/>
    <m/>
    <s v=""/>
  </r>
  <r>
    <s v="70095-2183-000-00"/>
    <d v="2019-03-31T00:00:00"/>
    <n v="-18.989999999999998"/>
    <n v="0"/>
    <s v="USD"/>
    <s v="JRNLWA00388505"/>
    <s v="P"/>
    <s v="OPEX13 - Pcard Accrual"/>
    <s v="AlexandraP"/>
    <s v="0/JE IC"/>
    <m/>
    <m/>
    <x v="10"/>
    <m/>
    <m/>
    <m/>
    <m/>
    <m/>
    <m/>
    <s v="JRNL00926514"/>
    <s v="JRNL00926578"/>
    <m/>
    <d v="2019-03-06T00:00:00"/>
    <d v="2019-03-07T00:00:00"/>
    <m/>
    <m/>
    <s v="wci_wa"/>
    <n v="0"/>
    <n v="0"/>
    <n v="0"/>
    <n v="0"/>
    <n v="5"/>
    <n v="1"/>
    <n v="70095"/>
    <n v="2183"/>
    <n v="0"/>
    <n v="0"/>
    <m/>
    <m/>
    <m/>
    <m/>
    <s v=""/>
  </r>
  <r>
    <s v="70095-2183-000-00"/>
    <d v="2019-03-31T00:00:00"/>
    <n v="-72.89"/>
    <n v="0"/>
    <s v="USD"/>
    <s v="JRNLWA00388569"/>
    <s v="P"/>
    <s v="2019-02 Exp Report Accrual"/>
    <s v="AlexandraP"/>
    <s v="0/JE IC"/>
    <m/>
    <m/>
    <x v="118"/>
    <m/>
    <m/>
    <m/>
    <m/>
    <m/>
    <m/>
    <s v="JRNL00926717"/>
    <s v="JRNL00926892"/>
    <m/>
    <d v="2019-03-07T00:00:00"/>
    <d v="2019-03-07T00:00:00"/>
    <m/>
    <m/>
    <s v="wci_wa"/>
    <n v="0"/>
    <n v="0"/>
    <n v="0"/>
    <n v="0"/>
    <n v="5"/>
    <n v="1"/>
    <n v="70095"/>
    <n v="2183"/>
    <n v="0"/>
    <n v="0"/>
    <m/>
    <m/>
    <m/>
    <m/>
    <s v=""/>
  </r>
  <r>
    <s v="70095-2183-000-00"/>
    <d v="2019-03-31T00:00:00"/>
    <n v="-287.95"/>
    <n v="0"/>
    <s v="USD"/>
    <s v="JRNLWA00388585"/>
    <s v="P"/>
    <s v="PO Log Accrual"/>
    <s v="AlexandraP"/>
    <s v="0/JE IC"/>
    <m/>
    <m/>
    <x v="119"/>
    <m/>
    <m/>
    <m/>
    <m/>
    <m/>
    <m/>
    <s v="JRNL00926750"/>
    <s v="JRNL00926908"/>
    <m/>
    <d v="2019-03-07T00:00:00"/>
    <d v="2019-03-07T00:00:00"/>
    <m/>
    <m/>
    <s v="wci_wa"/>
    <n v="0"/>
    <n v="0"/>
    <n v="0"/>
    <n v="0"/>
    <n v="5"/>
    <n v="1"/>
    <n v="70095"/>
    <n v="2183"/>
    <n v="0"/>
    <n v="0"/>
    <m/>
    <m/>
    <m/>
    <m/>
    <s v=""/>
  </r>
  <r>
    <s v="70095-2183-000-00"/>
    <d v="2019-03-31T00:00:00"/>
    <n v="-92.57"/>
    <n v="0"/>
    <s v="USD"/>
    <s v="JRNLWA00388585"/>
    <s v="P"/>
    <s v="PO Log Accrual"/>
    <s v="AlexandraP"/>
    <s v="0/JE IC"/>
    <m/>
    <m/>
    <x v="120"/>
    <m/>
    <m/>
    <m/>
    <m/>
    <m/>
    <m/>
    <s v="JRNL00926750"/>
    <s v="JRNL00926908"/>
    <m/>
    <d v="2019-03-07T00:00:00"/>
    <d v="2019-03-07T00:00:00"/>
    <m/>
    <m/>
    <s v="wci_wa"/>
    <n v="0"/>
    <n v="0"/>
    <n v="0"/>
    <n v="0"/>
    <n v="5"/>
    <n v="1"/>
    <n v="70095"/>
    <n v="2183"/>
    <n v="0"/>
    <n v="0"/>
    <m/>
    <m/>
    <m/>
    <m/>
    <s v=""/>
  </r>
  <r>
    <s v="70095-2183-000-00"/>
    <d v="2019-03-31T00:00:00"/>
    <n v="142.78"/>
    <n v="0"/>
    <s v="USD"/>
    <s v="JRNLWA00389093"/>
    <s v="P"/>
    <s v="From Voucher Posting."/>
    <s v="JudyA"/>
    <s v="0/JE IC"/>
    <s v="VUS000020407"/>
    <s v="PETTY CASH DISTRICT 2183"/>
    <x v="41"/>
    <d v="2019-03-27T00:00:00"/>
    <s v="Petty Cash March 27 201"/>
    <s v="Petty Cash 032719"/>
    <s v="PO-2183-19-01439"/>
    <m/>
    <m/>
    <s v="VO04970295"/>
    <s v="JRNL00928140"/>
    <n v="2183"/>
    <d v="2019-04-01T00:00:00"/>
    <d v="2019-04-01T00:00:00"/>
    <n v="280.77999999999997"/>
    <d v="2019-03-28T00:00:00"/>
    <s v="wci_wa"/>
    <n v="0"/>
    <n v="0"/>
    <n v="0"/>
    <n v="0"/>
    <n v="0"/>
    <n v="1"/>
    <n v="70095"/>
    <n v="2183"/>
    <n v="0"/>
    <n v="0"/>
    <m/>
    <m/>
    <m/>
    <m/>
    <s v="VO04970295"/>
  </r>
  <r>
    <s v="70095-2183-000-00"/>
    <d v="2019-03-31T00:00:00"/>
    <n v="92.57"/>
    <n v="0"/>
    <s v="USD"/>
    <s v="JRNLWA00389218"/>
    <s v="P"/>
    <s v="Western Pcard Activity - March"/>
    <s v="HelenaK"/>
    <s v="0/JE IC"/>
    <m/>
    <m/>
    <x v="7"/>
    <m/>
    <m/>
    <m/>
    <m/>
    <m/>
    <m/>
    <s v="JRNL00928385"/>
    <s v="JRNL00928385"/>
    <m/>
    <d v="2019-04-02T00:00:00"/>
    <d v="2019-04-02T00:00:00"/>
    <m/>
    <m/>
    <s v="wci_wa"/>
    <n v="0"/>
    <n v="0"/>
    <n v="0"/>
    <n v="0"/>
    <n v="0"/>
    <n v="1"/>
    <n v="70095"/>
    <n v="2183"/>
    <n v="0"/>
    <n v="0"/>
    <m/>
    <m/>
    <m/>
    <m/>
    <s v=""/>
  </r>
  <r>
    <s v="70095-2183-000-00"/>
    <d v="2019-03-31T00:00:00"/>
    <n v="450"/>
    <n v="0"/>
    <s v="USD"/>
    <s v="JRNLWA00389218"/>
    <s v="P"/>
    <s v="Western Pcard Activity - March"/>
    <s v="HelenaK"/>
    <s v="0/JE IC"/>
    <m/>
    <m/>
    <x v="84"/>
    <m/>
    <m/>
    <m/>
    <m/>
    <m/>
    <m/>
    <s v="JRNL00928385"/>
    <s v="JRNL00928385"/>
    <m/>
    <d v="2019-04-02T00:00:00"/>
    <d v="2019-04-02T00:00:00"/>
    <m/>
    <m/>
    <s v="wci_wa"/>
    <n v="0"/>
    <n v="0"/>
    <n v="0"/>
    <n v="0"/>
    <n v="0"/>
    <n v="1"/>
    <n v="70095"/>
    <n v="2183"/>
    <n v="0"/>
    <n v="0"/>
    <m/>
    <m/>
    <m/>
    <m/>
    <s v=""/>
  </r>
  <r>
    <s v="70095-2183-000-00"/>
    <d v="2019-03-31T00:00:00"/>
    <n v="1657.99"/>
    <n v="0"/>
    <s v="USD"/>
    <s v="JRNLWA00389218"/>
    <s v="P"/>
    <s v="Western Pcard Activity - March"/>
    <s v="HelenaK"/>
    <s v="0/JE IC"/>
    <m/>
    <m/>
    <x v="117"/>
    <m/>
    <m/>
    <m/>
    <m/>
    <m/>
    <m/>
    <s v="JRNL00928385"/>
    <s v="JRNL00928385"/>
    <m/>
    <d v="2019-04-02T00:00:00"/>
    <d v="2019-04-02T00:00:00"/>
    <m/>
    <m/>
    <s v="wci_wa"/>
    <n v="0"/>
    <n v="0"/>
    <n v="0"/>
    <n v="0"/>
    <n v="0"/>
    <n v="1"/>
    <n v="70095"/>
    <n v="2183"/>
    <n v="0"/>
    <n v="0"/>
    <m/>
    <m/>
    <m/>
    <m/>
    <s v=""/>
  </r>
  <r>
    <s v="70095-2183-000-00"/>
    <d v="2019-03-31T00:00:00"/>
    <n v="18.989999999999998"/>
    <n v="0"/>
    <s v="USD"/>
    <s v="JRNLWA00389218"/>
    <s v="P"/>
    <s v="Western Pcard Activity - March"/>
    <s v="HelenaK"/>
    <s v="0/JE IC"/>
    <m/>
    <m/>
    <x v="10"/>
    <m/>
    <m/>
    <m/>
    <m/>
    <m/>
    <m/>
    <s v="JRNL00928385"/>
    <s v="JRNL00928385"/>
    <m/>
    <d v="2019-04-02T00:00:00"/>
    <d v="2019-04-02T00:00:00"/>
    <m/>
    <m/>
    <s v="wci_wa"/>
    <n v="0"/>
    <n v="0"/>
    <n v="0"/>
    <n v="0"/>
    <n v="0"/>
    <n v="1"/>
    <n v="70095"/>
    <n v="2183"/>
    <n v="0"/>
    <n v="0"/>
    <m/>
    <m/>
    <m/>
    <m/>
    <s v=""/>
  </r>
  <r>
    <s v="70095-2183-000-00"/>
    <d v="2019-03-31T00:00:00"/>
    <n v="1226.99"/>
    <n v="0"/>
    <s v="USD"/>
    <s v="JRNLWA00389218"/>
    <s v="P"/>
    <s v="Western Pcard Activity - March"/>
    <s v="HelenaK"/>
    <s v="0/JE IC"/>
    <m/>
    <m/>
    <x v="123"/>
    <m/>
    <m/>
    <m/>
    <m/>
    <m/>
    <m/>
    <s v="JRNL00928385"/>
    <s v="JRNL00928385"/>
    <m/>
    <d v="2019-04-02T00:00:00"/>
    <d v="2019-04-02T00:00:00"/>
    <m/>
    <m/>
    <s v="wci_wa"/>
    <n v="0"/>
    <n v="0"/>
    <n v="0"/>
    <n v="0"/>
    <n v="0"/>
    <n v="1"/>
    <n v="70095"/>
    <n v="2183"/>
    <n v="0"/>
    <n v="0"/>
    <m/>
    <m/>
    <m/>
    <m/>
    <s v=""/>
  </r>
  <r>
    <s v="70095-2183-000-00"/>
    <d v="2019-03-31T00:00:00"/>
    <n v="35.79"/>
    <n v="0"/>
    <s v="USD"/>
    <s v="JRNLWA00389218"/>
    <s v="P"/>
    <s v="Western Pcard Activity - March"/>
    <s v="HelenaK"/>
    <s v="0/JE IC"/>
    <m/>
    <m/>
    <x v="124"/>
    <m/>
    <m/>
    <m/>
    <m/>
    <m/>
    <m/>
    <s v="JRNL00928385"/>
    <s v="JRNL00928385"/>
    <m/>
    <d v="2019-04-02T00:00:00"/>
    <d v="2019-04-02T00:00:00"/>
    <m/>
    <m/>
    <s v="wci_wa"/>
    <n v="0"/>
    <n v="0"/>
    <n v="0"/>
    <n v="0"/>
    <n v="0"/>
    <n v="1"/>
    <n v="70095"/>
    <n v="2183"/>
    <n v="0"/>
    <n v="0"/>
    <m/>
    <m/>
    <m/>
    <m/>
    <s v=""/>
  </r>
  <r>
    <s v="70095-2183-000-00"/>
    <d v="2019-03-31T00:00:00"/>
    <n v="19.55"/>
    <n v="0"/>
    <s v="USD"/>
    <s v="JRNLWA00389218"/>
    <s v="P"/>
    <s v="Western Pcard Activity - March"/>
    <s v="HelenaK"/>
    <s v="0/JE IC"/>
    <m/>
    <m/>
    <x v="35"/>
    <m/>
    <m/>
    <m/>
    <m/>
    <m/>
    <m/>
    <s v="JRNL00928385"/>
    <s v="JRNL00928385"/>
    <m/>
    <d v="2019-04-02T00:00:00"/>
    <d v="2019-04-02T00:00:00"/>
    <m/>
    <m/>
    <s v="wci_wa"/>
    <n v="0"/>
    <n v="0"/>
    <n v="0"/>
    <n v="0"/>
    <n v="0"/>
    <n v="1"/>
    <n v="70095"/>
    <n v="2183"/>
    <n v="0"/>
    <n v="0"/>
    <m/>
    <m/>
    <m/>
    <m/>
    <s v=""/>
  </r>
  <r>
    <s v="70095-2183-000-00"/>
    <d v="2019-03-31T00:00:00"/>
    <n v="2.15"/>
    <n v="0"/>
    <s v="USD"/>
    <s v="JRNLWA00389218"/>
    <s v="P"/>
    <s v="Western Pcard Activity - March"/>
    <s v="HelenaK"/>
    <s v="0/JE IC"/>
    <m/>
    <m/>
    <x v="82"/>
    <m/>
    <m/>
    <m/>
    <m/>
    <m/>
    <m/>
    <s v="JRNL00928385"/>
    <s v="JRNL00928385"/>
    <m/>
    <d v="2019-04-02T00:00:00"/>
    <d v="2019-04-02T00:00:00"/>
    <m/>
    <m/>
    <s v="wci_wa"/>
    <n v="0"/>
    <n v="0"/>
    <n v="0"/>
    <n v="0"/>
    <n v="0"/>
    <n v="1"/>
    <n v="70095"/>
    <n v="2183"/>
    <n v="0"/>
    <n v="0"/>
    <m/>
    <m/>
    <m/>
    <m/>
    <s v=""/>
  </r>
  <r>
    <s v="70095-2183-000-00"/>
    <d v="2019-03-31T00:00:00"/>
    <n v="9.99"/>
    <n v="0"/>
    <s v="USD"/>
    <s v="JRNLWA00389218"/>
    <s v="P"/>
    <s v="Western Pcard Activity - March"/>
    <s v="HelenaK"/>
    <s v="0/JE IC"/>
    <m/>
    <m/>
    <x v="22"/>
    <m/>
    <m/>
    <m/>
    <m/>
    <m/>
    <m/>
    <s v="JRNL00928385"/>
    <s v="JRNL00928385"/>
    <m/>
    <d v="2019-04-02T00:00:00"/>
    <d v="2019-04-02T00:00:00"/>
    <m/>
    <m/>
    <s v="wci_wa"/>
    <n v="0"/>
    <n v="0"/>
    <n v="0"/>
    <n v="0"/>
    <n v="0"/>
    <n v="1"/>
    <n v="70095"/>
    <n v="2183"/>
    <n v="0"/>
    <n v="0"/>
    <m/>
    <m/>
    <m/>
    <m/>
    <s v=""/>
  </r>
  <r>
    <s v="70095-2183-000-00"/>
    <d v="2019-03-31T00:00:00"/>
    <n v="69.650000000000006"/>
    <n v="0"/>
    <s v="USD"/>
    <s v="JRNLWA00389218"/>
    <s v="P"/>
    <s v="Western Pcard Activity - March"/>
    <s v="HelenaK"/>
    <s v="0/JE IC"/>
    <m/>
    <m/>
    <x v="125"/>
    <m/>
    <m/>
    <m/>
    <m/>
    <m/>
    <m/>
    <s v="JRNL00928385"/>
    <s v="JRNL00928385"/>
    <m/>
    <d v="2019-04-02T00:00:00"/>
    <d v="2019-04-02T00:00:00"/>
    <m/>
    <m/>
    <s v="wci_wa"/>
    <n v="0"/>
    <n v="0"/>
    <n v="0"/>
    <n v="0"/>
    <n v="0"/>
    <n v="1"/>
    <n v="70095"/>
    <n v="2183"/>
    <n v="0"/>
    <n v="0"/>
    <m/>
    <m/>
    <m/>
    <m/>
    <s v=""/>
  </r>
  <r>
    <s v="70095-2183-000-00"/>
    <d v="2019-03-31T00:00:00"/>
    <n v="300"/>
    <n v="0"/>
    <s v="USD"/>
    <s v="JRNLWA00389218"/>
    <s v="P"/>
    <s v="Western Pcard Activity - March"/>
    <s v="HelenaK"/>
    <s v="0/JE IC"/>
    <m/>
    <m/>
    <x v="126"/>
    <m/>
    <m/>
    <m/>
    <m/>
    <m/>
    <m/>
    <s v="JRNL00928385"/>
    <s v="JRNL00928385"/>
    <m/>
    <d v="2019-04-02T00:00:00"/>
    <d v="2019-04-02T00:00:00"/>
    <m/>
    <m/>
    <s v="wci_wa"/>
    <n v="0"/>
    <n v="0"/>
    <n v="0"/>
    <n v="0"/>
    <n v="0"/>
    <n v="1"/>
    <n v="70095"/>
    <n v="2183"/>
    <n v="0"/>
    <n v="0"/>
    <m/>
    <m/>
    <m/>
    <m/>
    <s v=""/>
  </r>
  <r>
    <s v="70095-2183-000-00"/>
    <d v="2019-03-31T00:00:00"/>
    <n v="101.68"/>
    <n v="0"/>
    <s v="USD"/>
    <s v="JRNLWA00389218"/>
    <s v="P"/>
    <s v="Western Pcard Activity - March"/>
    <s v="HelenaK"/>
    <s v="0/JE IC"/>
    <m/>
    <m/>
    <x v="116"/>
    <m/>
    <m/>
    <m/>
    <m/>
    <m/>
    <m/>
    <s v="JRNL00928385"/>
    <s v="JRNL00928385"/>
    <m/>
    <d v="2019-04-02T00:00:00"/>
    <d v="2019-04-02T00:00:00"/>
    <m/>
    <m/>
    <s v="wci_wa"/>
    <n v="0"/>
    <n v="0"/>
    <n v="0"/>
    <n v="0"/>
    <n v="0"/>
    <n v="1"/>
    <n v="70095"/>
    <n v="2183"/>
    <n v="0"/>
    <n v="0"/>
    <m/>
    <m/>
    <m/>
    <m/>
    <s v=""/>
  </r>
  <r>
    <s v="70095-2183-000-00"/>
    <d v="2019-03-31T00:00:00"/>
    <n v="47.54"/>
    <n v="0"/>
    <s v="USD"/>
    <s v="JRNLWA00389218"/>
    <s v="P"/>
    <s v="Western Pcard Activity - March"/>
    <s v="HelenaK"/>
    <s v="0/JE IC"/>
    <m/>
    <m/>
    <x v="127"/>
    <m/>
    <m/>
    <m/>
    <m/>
    <m/>
    <m/>
    <s v="JRNL00928385"/>
    <s v="JRNL00928385"/>
    <m/>
    <d v="2019-04-02T00:00:00"/>
    <d v="2019-04-02T00:00:00"/>
    <m/>
    <m/>
    <s v="wci_wa"/>
    <n v="0"/>
    <n v="0"/>
    <n v="0"/>
    <n v="0"/>
    <n v="0"/>
    <n v="1"/>
    <n v="70095"/>
    <n v="2183"/>
    <n v="0"/>
    <n v="0"/>
    <m/>
    <m/>
    <m/>
    <m/>
    <s v=""/>
  </r>
  <r>
    <s v="70095-2183-000-00"/>
    <d v="2019-03-31T00:00:00"/>
    <n v="250.98"/>
    <n v="0"/>
    <s v="USD"/>
    <s v="JRNLWA00389218"/>
    <s v="P"/>
    <s v="Western Pcard Activity - March"/>
    <s v="HelenaK"/>
    <s v="0/JE IC"/>
    <m/>
    <m/>
    <x v="128"/>
    <m/>
    <m/>
    <m/>
    <m/>
    <m/>
    <m/>
    <s v="JRNL00928385"/>
    <s v="JRNL00928385"/>
    <m/>
    <d v="2019-04-02T00:00:00"/>
    <d v="2019-04-02T00:00:00"/>
    <m/>
    <m/>
    <s v="wci_wa"/>
    <n v="0"/>
    <n v="0"/>
    <n v="0"/>
    <n v="0"/>
    <n v="0"/>
    <n v="1"/>
    <n v="70095"/>
    <n v="2183"/>
    <n v="0"/>
    <n v="0"/>
    <m/>
    <m/>
    <m/>
    <m/>
    <s v=""/>
  </r>
  <r>
    <s v="70095-2183-000-00"/>
    <d v="2019-03-31T00:00:00"/>
    <n v="37.92"/>
    <n v="0"/>
    <s v="USD"/>
    <s v="JRNLWA00389218"/>
    <s v="P"/>
    <s v="Western Pcard Activity - March"/>
    <s v="HelenaK"/>
    <s v="0/JE IC"/>
    <m/>
    <m/>
    <x v="129"/>
    <m/>
    <m/>
    <m/>
    <m/>
    <m/>
    <m/>
    <s v="JRNL00928385"/>
    <s v="JRNL00928385"/>
    <m/>
    <d v="2019-04-02T00:00:00"/>
    <d v="2019-04-02T00:00:00"/>
    <m/>
    <m/>
    <s v="wci_wa"/>
    <n v="0"/>
    <n v="0"/>
    <n v="0"/>
    <n v="0"/>
    <n v="0"/>
    <n v="1"/>
    <n v="70095"/>
    <n v="2183"/>
    <n v="0"/>
    <n v="0"/>
    <m/>
    <m/>
    <m/>
    <m/>
    <s v=""/>
  </r>
  <r>
    <s v="70095-2183-000-00"/>
    <d v="2019-03-31T00:00:00"/>
    <n v="153.04"/>
    <n v="0"/>
    <s v="USD"/>
    <s v="JRNLWA00389218"/>
    <s v="P"/>
    <s v="Western Pcard Activity - March"/>
    <s v="HelenaK"/>
    <s v="0/JE IC"/>
    <m/>
    <m/>
    <x v="129"/>
    <m/>
    <m/>
    <m/>
    <m/>
    <m/>
    <m/>
    <s v="JRNL00928385"/>
    <s v="JRNL00928385"/>
    <m/>
    <d v="2019-04-02T00:00:00"/>
    <d v="2019-04-02T00:00:00"/>
    <m/>
    <m/>
    <s v="wci_wa"/>
    <n v="0"/>
    <n v="0"/>
    <n v="0"/>
    <n v="0"/>
    <n v="0"/>
    <n v="1"/>
    <n v="70095"/>
    <n v="2183"/>
    <n v="0"/>
    <n v="0"/>
    <m/>
    <m/>
    <m/>
    <m/>
    <s v=""/>
  </r>
  <r>
    <s v="70095-2183-000-00"/>
    <d v="2019-03-31T00:00:00"/>
    <n v="23.95"/>
    <n v="0"/>
    <s v="USD"/>
    <s v="JRNLWA00389218"/>
    <s v="P"/>
    <s v="Western Pcard Activity - March"/>
    <s v="HelenaK"/>
    <s v="0/JE IC"/>
    <m/>
    <m/>
    <x v="129"/>
    <m/>
    <m/>
    <m/>
    <m/>
    <m/>
    <m/>
    <s v="JRNL00928385"/>
    <s v="JRNL00928385"/>
    <m/>
    <d v="2019-04-02T00:00:00"/>
    <d v="2019-04-02T00:00:00"/>
    <m/>
    <m/>
    <s v="wci_wa"/>
    <n v="0"/>
    <n v="0"/>
    <n v="0"/>
    <n v="0"/>
    <n v="0"/>
    <n v="1"/>
    <n v="70095"/>
    <n v="2183"/>
    <n v="0"/>
    <n v="0"/>
    <m/>
    <m/>
    <m/>
    <m/>
    <s v=""/>
  </r>
  <r>
    <s v="70095-2183-000-00"/>
    <d v="2019-03-31T00:00:00"/>
    <n v="291.88"/>
    <n v="0"/>
    <s v="USD"/>
    <s v="JRNLWA00389218"/>
    <s v="P"/>
    <s v="Western Pcard Activity - March"/>
    <s v="HelenaK"/>
    <s v="0/JE IC"/>
    <m/>
    <m/>
    <x v="10"/>
    <m/>
    <m/>
    <m/>
    <m/>
    <m/>
    <m/>
    <s v="JRNL00928385"/>
    <s v="JRNL00928385"/>
    <m/>
    <d v="2019-04-02T00:00:00"/>
    <d v="2019-04-02T00:00:00"/>
    <m/>
    <m/>
    <s v="wci_wa"/>
    <n v="0"/>
    <n v="0"/>
    <n v="0"/>
    <n v="0"/>
    <n v="0"/>
    <n v="1"/>
    <n v="70095"/>
    <n v="2183"/>
    <n v="0"/>
    <n v="0"/>
    <m/>
    <m/>
    <m/>
    <m/>
    <s v=""/>
  </r>
  <r>
    <s v="70095-2183-000-00"/>
    <d v="2019-03-31T00:00:00"/>
    <n v="126.72"/>
    <n v="0"/>
    <s v="USD"/>
    <s v="JRNLWA00389218"/>
    <s v="P"/>
    <s v="Western Pcard Activity - March"/>
    <s v="HelenaK"/>
    <s v="0/JE IC"/>
    <m/>
    <m/>
    <x v="22"/>
    <m/>
    <m/>
    <m/>
    <m/>
    <m/>
    <m/>
    <s v="JRNL00928385"/>
    <s v="JRNL00928385"/>
    <m/>
    <d v="2019-04-02T00:00:00"/>
    <d v="2019-04-02T00:00:00"/>
    <m/>
    <m/>
    <s v="wci_wa"/>
    <n v="0"/>
    <n v="0"/>
    <n v="0"/>
    <n v="0"/>
    <n v="0"/>
    <n v="1"/>
    <n v="70095"/>
    <n v="2183"/>
    <n v="0"/>
    <n v="0"/>
    <m/>
    <m/>
    <m/>
    <m/>
    <s v=""/>
  </r>
  <r>
    <s v="70095-2183-000-00"/>
    <d v="2019-03-31T00:00:00"/>
    <n v="90.36"/>
    <n v="0"/>
    <s v="USD"/>
    <s v="JRNLWA00389218"/>
    <s v="P"/>
    <s v="Western Pcard Activity - March"/>
    <s v="HelenaK"/>
    <s v="0/JE IC"/>
    <m/>
    <m/>
    <x v="87"/>
    <m/>
    <m/>
    <m/>
    <m/>
    <m/>
    <m/>
    <s v="JRNL00928385"/>
    <s v="JRNL00928385"/>
    <m/>
    <d v="2019-04-02T00:00:00"/>
    <d v="2019-04-02T00:00:00"/>
    <m/>
    <m/>
    <s v="wci_wa"/>
    <n v="0"/>
    <n v="0"/>
    <n v="0"/>
    <n v="0"/>
    <n v="0"/>
    <n v="1"/>
    <n v="70095"/>
    <n v="2183"/>
    <n v="0"/>
    <n v="0"/>
    <m/>
    <m/>
    <m/>
    <m/>
    <s v=""/>
  </r>
  <r>
    <s v="70095-2183-000-00"/>
    <d v="2019-03-31T00:00:00"/>
    <n v="300"/>
    <n v="0"/>
    <s v="USD"/>
    <s v="JRNLWA00389929"/>
    <s v="P"/>
    <s v="PO Log Accrual"/>
    <s v="HelenaK"/>
    <s v="0/JE IC"/>
    <m/>
    <m/>
    <x v="130"/>
    <m/>
    <m/>
    <m/>
    <m/>
    <m/>
    <m/>
    <s v="JRNL00929802"/>
    <s v="JRNL00929802"/>
    <m/>
    <d v="2019-04-04T00:00:00"/>
    <d v="2019-04-05T00:00:00"/>
    <m/>
    <m/>
    <s v="wci_wa"/>
    <n v="0"/>
    <n v="0"/>
    <n v="0"/>
    <n v="0"/>
    <n v="0"/>
    <n v="1"/>
    <n v="70095"/>
    <n v="2183"/>
    <n v="0"/>
    <n v="0"/>
    <m/>
    <m/>
    <m/>
    <m/>
    <s v=""/>
  </r>
  <r>
    <s v="70095-2183-000-00"/>
    <d v="2019-03-31T00:00:00"/>
    <n v="-1250"/>
    <n v="0"/>
    <s v="USD"/>
    <s v="JRNLWA00389929"/>
    <s v="P"/>
    <s v="PO Log Accrual"/>
    <s v="HelenaK"/>
    <s v="0/JE IC"/>
    <m/>
    <m/>
    <x v="131"/>
    <m/>
    <m/>
    <m/>
    <m/>
    <m/>
    <m/>
    <s v="JRNL00929802"/>
    <s v="JRNL00929802"/>
    <m/>
    <d v="2019-04-04T00:00:00"/>
    <d v="2019-04-05T00:00:00"/>
    <m/>
    <m/>
    <s v="wci_wa"/>
    <n v="0"/>
    <n v="0"/>
    <n v="0"/>
    <n v="0"/>
    <n v="0"/>
    <n v="1"/>
    <n v="70095"/>
    <n v="2183"/>
    <n v="0"/>
    <n v="0"/>
    <m/>
    <m/>
    <m/>
    <m/>
    <s v=""/>
  </r>
  <r>
    <s v="70095-2183-000-00"/>
    <d v="2019-03-31T00:00:00"/>
    <n v="1250"/>
    <n v="0"/>
    <s v="USD"/>
    <s v="JRNLWA00389929"/>
    <s v="P"/>
    <s v="PO Log Accrual"/>
    <s v="HelenaK"/>
    <s v="0/JE IC"/>
    <m/>
    <m/>
    <x v="131"/>
    <m/>
    <m/>
    <m/>
    <m/>
    <m/>
    <m/>
    <s v="JRNL00929802"/>
    <s v="JRNL00929802"/>
    <m/>
    <d v="2019-04-04T00:00:00"/>
    <d v="2019-04-05T00:00:00"/>
    <m/>
    <m/>
    <s v="wci_wa"/>
    <n v="0"/>
    <n v="0"/>
    <n v="0"/>
    <n v="0"/>
    <n v="0"/>
    <n v="1"/>
    <n v="70095"/>
    <n v="2183"/>
    <n v="0"/>
    <n v="0"/>
    <m/>
    <m/>
    <m/>
    <m/>
    <s v=""/>
  </r>
  <r>
    <s v="70095-2183-000-00"/>
    <d v="2019-03-31T00:00:00"/>
    <n v="250"/>
    <n v="0"/>
    <s v="USD"/>
    <s v="JRNLWA00389929"/>
    <s v="P"/>
    <s v="PO Log Accrual"/>
    <s v="HelenaK"/>
    <s v="0/JE IC"/>
    <m/>
    <m/>
    <x v="132"/>
    <m/>
    <m/>
    <m/>
    <m/>
    <m/>
    <m/>
    <s v="JRNL00929802"/>
    <s v="JRNL00929802"/>
    <m/>
    <d v="2019-04-04T00:00:00"/>
    <d v="2019-04-05T00:00:00"/>
    <m/>
    <m/>
    <s v="wci_wa"/>
    <n v="0"/>
    <n v="0"/>
    <n v="0"/>
    <n v="0"/>
    <n v="0"/>
    <n v="1"/>
    <n v="70095"/>
    <n v="2183"/>
    <n v="0"/>
    <n v="0"/>
    <m/>
    <m/>
    <m/>
    <m/>
    <s v=""/>
  </r>
  <r>
    <s v="70095-2183-000-00"/>
    <d v="2019-03-31T00:00:00"/>
    <n v="1608.86"/>
    <n v="0"/>
    <s v="USD"/>
    <s v="JRNLWA00389929"/>
    <s v="P"/>
    <s v="PO Log Accrual"/>
    <s v="HelenaK"/>
    <s v="0/JE IC"/>
    <m/>
    <m/>
    <x v="133"/>
    <m/>
    <m/>
    <m/>
    <m/>
    <m/>
    <m/>
    <s v="JRNL00929802"/>
    <s v="JRNL00929802"/>
    <m/>
    <d v="2019-04-04T00:00:00"/>
    <d v="2019-04-05T00:00:00"/>
    <m/>
    <m/>
    <s v="wci_wa"/>
    <n v="0"/>
    <n v="0"/>
    <n v="0"/>
    <n v="0"/>
    <n v="0"/>
    <n v="1"/>
    <n v="70095"/>
    <n v="2183"/>
    <n v="0"/>
    <n v="0"/>
    <m/>
    <m/>
    <m/>
    <m/>
    <s v=""/>
  </r>
  <r>
    <s v="70095-2183-000-00"/>
    <d v="2019-03-31T00:00:00"/>
    <n v="26.98"/>
    <n v="0"/>
    <s v="USD"/>
    <s v="JRNLWA00389930"/>
    <s v="P"/>
    <s v="OPEX13 - Pcard Accrual"/>
    <s v="HelenaK"/>
    <s v="0/JE IC"/>
    <m/>
    <m/>
    <x v="10"/>
    <m/>
    <m/>
    <m/>
    <m/>
    <m/>
    <m/>
    <s v="JRNL00929803"/>
    <s v="JRNL00929803"/>
    <m/>
    <d v="2019-04-04T00:00:00"/>
    <d v="2019-04-05T00:00:00"/>
    <m/>
    <m/>
    <s v="wci_wa"/>
    <n v="0"/>
    <n v="0"/>
    <n v="0"/>
    <n v="0"/>
    <n v="0"/>
    <n v="1"/>
    <n v="70095"/>
    <n v="2183"/>
    <n v="0"/>
    <n v="0"/>
    <m/>
    <m/>
    <m/>
    <m/>
    <s v=""/>
  </r>
  <r>
    <s v="70095-2183-000-00"/>
    <d v="2019-03-31T00:00:00"/>
    <n v="12.66"/>
    <n v="0"/>
    <s v="USD"/>
    <s v="JRNLWA00389930"/>
    <s v="P"/>
    <s v="OPEX13 - Pcard Accrual"/>
    <s v="HelenaK"/>
    <s v="0/JE IC"/>
    <m/>
    <m/>
    <x v="22"/>
    <m/>
    <m/>
    <m/>
    <m/>
    <m/>
    <m/>
    <s v="JRNL00929803"/>
    <s v="JRNL00929803"/>
    <m/>
    <d v="2019-04-04T00:00:00"/>
    <d v="2019-04-05T00:00:00"/>
    <m/>
    <m/>
    <s v="wci_wa"/>
    <n v="0"/>
    <n v="0"/>
    <n v="0"/>
    <n v="0"/>
    <n v="0"/>
    <n v="1"/>
    <n v="70095"/>
    <n v="2183"/>
    <n v="0"/>
    <n v="0"/>
    <m/>
    <m/>
    <m/>
    <m/>
    <s v=""/>
  </r>
  <r>
    <s v="70095-2183-000-00"/>
    <d v="2019-03-31T00:00:00"/>
    <n v="87.68"/>
    <n v="0"/>
    <s v="USD"/>
    <s v="JRNLWA00389930"/>
    <s v="P"/>
    <s v="OPEX13 - Pcard Accrual"/>
    <s v="HelenaK"/>
    <s v="0/JE IC"/>
    <m/>
    <m/>
    <x v="68"/>
    <m/>
    <m/>
    <m/>
    <m/>
    <m/>
    <m/>
    <s v="JRNL00929803"/>
    <s v="JRNL00929803"/>
    <m/>
    <d v="2019-04-04T00:00:00"/>
    <d v="2019-04-05T00:00:00"/>
    <m/>
    <m/>
    <s v="wci_wa"/>
    <n v="0"/>
    <n v="0"/>
    <n v="0"/>
    <n v="0"/>
    <n v="0"/>
    <n v="1"/>
    <n v="70095"/>
    <n v="2183"/>
    <n v="0"/>
    <n v="0"/>
    <m/>
    <m/>
    <m/>
    <m/>
    <s v=""/>
  </r>
  <r>
    <s v="70095-2183-000-00"/>
    <d v="2019-04-04T00:00:00"/>
    <n v="1250"/>
    <n v="0"/>
    <s v="USD"/>
    <s v="JRNLWA00389688"/>
    <s v="P"/>
    <s v="From Voucher Posting."/>
    <s v="JudyA"/>
    <s v="0/JE IC"/>
    <s v="VUS000015926"/>
    <m/>
    <x v="17"/>
    <d v="2019-03-22T00:00:00"/>
    <s v="2019  Boys and Girls Club Breakfast Spon"/>
    <n v="851"/>
    <s v="PO-2183-19-01400"/>
    <m/>
    <m/>
    <s v="VO04973493"/>
    <s v="JRNL00929315"/>
    <s v="FX2183"/>
    <d v="2019-04-04T00:00:00"/>
    <d v="2019-04-04T00:00:00"/>
    <n v="1250"/>
    <d v="2019-04-01T00:00:00"/>
    <s v="wci_wa"/>
    <n v="0"/>
    <n v="0"/>
    <n v="0"/>
    <n v="0"/>
    <n v="0"/>
    <n v="1"/>
    <n v="70095"/>
    <n v="2183"/>
    <n v="0"/>
    <n v="0"/>
    <m/>
    <m/>
    <m/>
    <m/>
    <s v="VO04973493"/>
  </r>
  <r>
    <s v="70095-2183-000-00"/>
    <d v="2019-04-30T00:00:00"/>
    <n v="-300"/>
    <n v="0"/>
    <s v="USD"/>
    <s v="JRNLWA00390016"/>
    <s v="P"/>
    <s v="PO Log Accrual"/>
    <s v="AlexandraP"/>
    <s v="0/JE IC"/>
    <m/>
    <m/>
    <x v="130"/>
    <m/>
    <m/>
    <m/>
    <m/>
    <m/>
    <m/>
    <s v="JRNL00929802"/>
    <s v="JRNL00929929"/>
    <m/>
    <d v="2019-04-05T00:00:00"/>
    <d v="2019-04-05T00:00:00"/>
    <m/>
    <m/>
    <s v="wci_wa"/>
    <n v="0"/>
    <n v="0"/>
    <n v="0"/>
    <n v="0"/>
    <n v="5"/>
    <n v="1"/>
    <n v="70095"/>
    <n v="2183"/>
    <n v="0"/>
    <n v="0"/>
    <m/>
    <m/>
    <m/>
    <m/>
    <s v=""/>
  </r>
  <r>
    <s v="70095-2183-000-00"/>
    <d v="2019-04-30T00:00:00"/>
    <n v="1250"/>
    <n v="0"/>
    <s v="USD"/>
    <s v="JRNLWA00390016"/>
    <s v="P"/>
    <s v="PO Log Accrual"/>
    <s v="AlexandraP"/>
    <s v="0/JE IC"/>
    <m/>
    <m/>
    <x v="131"/>
    <m/>
    <m/>
    <m/>
    <m/>
    <m/>
    <m/>
    <s v="JRNL00929802"/>
    <s v="JRNL00929929"/>
    <m/>
    <d v="2019-04-05T00:00:00"/>
    <d v="2019-04-05T00:00:00"/>
    <m/>
    <m/>
    <s v="wci_wa"/>
    <n v="0"/>
    <n v="0"/>
    <n v="0"/>
    <n v="0"/>
    <n v="5"/>
    <n v="1"/>
    <n v="70095"/>
    <n v="2183"/>
    <n v="0"/>
    <n v="0"/>
    <m/>
    <m/>
    <m/>
    <m/>
    <s v=""/>
  </r>
  <r>
    <s v="70095-2183-000-00"/>
    <d v="2019-04-30T00:00:00"/>
    <n v="-1250"/>
    <n v="0"/>
    <s v="USD"/>
    <s v="JRNLWA00390016"/>
    <s v="P"/>
    <s v="PO Log Accrual"/>
    <s v="AlexandraP"/>
    <s v="0/JE IC"/>
    <m/>
    <m/>
    <x v="131"/>
    <m/>
    <m/>
    <m/>
    <m/>
    <m/>
    <m/>
    <s v="JRNL00929802"/>
    <s v="JRNL00929929"/>
    <m/>
    <d v="2019-04-05T00:00:00"/>
    <d v="2019-04-05T00:00:00"/>
    <m/>
    <m/>
    <s v="wci_wa"/>
    <n v="0"/>
    <n v="0"/>
    <n v="0"/>
    <n v="0"/>
    <n v="5"/>
    <n v="1"/>
    <n v="70095"/>
    <n v="2183"/>
    <n v="0"/>
    <n v="0"/>
    <m/>
    <m/>
    <m/>
    <m/>
    <s v=""/>
  </r>
  <r>
    <s v="70095-2183-000-00"/>
    <d v="2019-04-30T00:00:00"/>
    <n v="-250"/>
    <n v="0"/>
    <s v="USD"/>
    <s v="JRNLWA00390016"/>
    <s v="P"/>
    <s v="PO Log Accrual"/>
    <s v="AlexandraP"/>
    <s v="0/JE IC"/>
    <m/>
    <m/>
    <x v="132"/>
    <m/>
    <m/>
    <m/>
    <m/>
    <m/>
    <m/>
    <s v="JRNL00929802"/>
    <s v="JRNL00929929"/>
    <m/>
    <d v="2019-04-05T00:00:00"/>
    <d v="2019-04-05T00:00:00"/>
    <m/>
    <m/>
    <s v="wci_wa"/>
    <n v="0"/>
    <n v="0"/>
    <n v="0"/>
    <n v="0"/>
    <n v="5"/>
    <n v="1"/>
    <n v="70095"/>
    <n v="2183"/>
    <n v="0"/>
    <n v="0"/>
    <m/>
    <m/>
    <m/>
    <m/>
    <s v=""/>
  </r>
  <r>
    <s v="70095-2183-000-00"/>
    <d v="2019-04-30T00:00:00"/>
    <n v="-1608.86"/>
    <n v="0"/>
    <s v="USD"/>
    <s v="JRNLWA00390016"/>
    <s v="P"/>
    <s v="PO Log Accrual"/>
    <s v="AlexandraP"/>
    <s v="0/JE IC"/>
    <m/>
    <m/>
    <x v="133"/>
    <m/>
    <m/>
    <m/>
    <m/>
    <m/>
    <m/>
    <s v="JRNL00929802"/>
    <s v="JRNL00929929"/>
    <m/>
    <d v="2019-04-05T00:00:00"/>
    <d v="2019-04-05T00:00:00"/>
    <m/>
    <m/>
    <s v="wci_wa"/>
    <n v="0"/>
    <n v="0"/>
    <n v="0"/>
    <n v="0"/>
    <n v="5"/>
    <n v="1"/>
    <n v="70095"/>
    <n v="2183"/>
    <n v="0"/>
    <n v="0"/>
    <m/>
    <m/>
    <m/>
    <m/>
    <s v=""/>
  </r>
  <r>
    <s v="70095-2183-000-00"/>
    <d v="2019-04-30T00:00:00"/>
    <n v="-26.98"/>
    <n v="0"/>
    <s v="USD"/>
    <s v="JRNLWA00390017"/>
    <s v="P"/>
    <s v="OPEX13 - Pcard Accrual"/>
    <s v="AlexandraP"/>
    <s v="0/JE IC"/>
    <m/>
    <m/>
    <x v="10"/>
    <m/>
    <m/>
    <m/>
    <m/>
    <m/>
    <m/>
    <s v="JRNL00929803"/>
    <s v="JRNL00929930"/>
    <m/>
    <d v="2019-04-05T00:00:00"/>
    <d v="2019-04-05T00:00:00"/>
    <m/>
    <m/>
    <s v="wci_wa"/>
    <n v="0"/>
    <n v="0"/>
    <n v="0"/>
    <n v="0"/>
    <n v="5"/>
    <n v="1"/>
    <n v="70095"/>
    <n v="2183"/>
    <n v="0"/>
    <n v="0"/>
    <m/>
    <m/>
    <m/>
    <m/>
    <s v=""/>
  </r>
  <r>
    <s v="70095-2183-000-00"/>
    <d v="2019-04-30T00:00:00"/>
    <n v="-12.66"/>
    <n v="0"/>
    <s v="USD"/>
    <s v="JRNLWA00390017"/>
    <s v="P"/>
    <s v="OPEX13 - Pcard Accrual"/>
    <s v="AlexandraP"/>
    <s v="0/JE IC"/>
    <m/>
    <m/>
    <x v="22"/>
    <m/>
    <m/>
    <m/>
    <m/>
    <m/>
    <m/>
    <s v="JRNL00929803"/>
    <s v="JRNL00929930"/>
    <m/>
    <d v="2019-04-05T00:00:00"/>
    <d v="2019-04-05T00:00:00"/>
    <m/>
    <m/>
    <s v="wci_wa"/>
    <n v="0"/>
    <n v="0"/>
    <n v="0"/>
    <n v="0"/>
    <n v="5"/>
    <n v="1"/>
    <n v="70095"/>
    <n v="2183"/>
    <n v="0"/>
    <n v="0"/>
    <m/>
    <m/>
    <m/>
    <m/>
    <s v=""/>
  </r>
  <r>
    <s v="70095-2183-000-00"/>
    <d v="2019-04-30T00:00:00"/>
    <n v="-87.68"/>
    <n v="0"/>
    <s v="USD"/>
    <s v="JRNLWA00390017"/>
    <s v="P"/>
    <s v="OPEX13 - Pcard Accrual"/>
    <s v="AlexandraP"/>
    <s v="0/JE IC"/>
    <m/>
    <m/>
    <x v="68"/>
    <m/>
    <m/>
    <m/>
    <m/>
    <m/>
    <m/>
    <s v="JRNL00929803"/>
    <s v="JRNL00929930"/>
    <m/>
    <d v="2019-04-05T00:00:00"/>
    <d v="2019-04-05T00:00:00"/>
    <m/>
    <m/>
    <s v="wci_wa"/>
    <n v="0"/>
    <n v="0"/>
    <n v="0"/>
    <n v="0"/>
    <n v="5"/>
    <n v="1"/>
    <n v="70095"/>
    <n v="2183"/>
    <n v="0"/>
    <n v="0"/>
    <m/>
    <m/>
    <m/>
    <m/>
    <s v=""/>
  </r>
  <r>
    <s v="70095-2183-000-00"/>
    <d v="2019-04-30T00:00:00"/>
    <n v="250"/>
    <n v="0"/>
    <s v="USD"/>
    <s v="JRNLWA00390650"/>
    <s v="P"/>
    <s v="Western Pcard Activity - April"/>
    <s v="HelenaK"/>
    <s v="0/JE IC"/>
    <m/>
    <m/>
    <x v="134"/>
    <m/>
    <m/>
    <m/>
    <m/>
    <m/>
    <m/>
    <s v="JRNL00931518"/>
    <s v="JRNL00931518"/>
    <m/>
    <d v="2019-05-01T00:00:00"/>
    <d v="2019-05-02T00:00:00"/>
    <m/>
    <m/>
    <s v="wci_wa"/>
    <n v="0"/>
    <n v="0"/>
    <n v="0"/>
    <n v="0"/>
    <n v="0"/>
    <n v="1"/>
    <n v="70095"/>
    <n v="2183"/>
    <n v="0"/>
    <n v="0"/>
    <m/>
    <m/>
    <m/>
    <m/>
    <s v=""/>
  </r>
  <r>
    <s v="70095-2183-000-00"/>
    <d v="2019-04-30T00:00:00"/>
    <n v="26.98"/>
    <n v="0"/>
    <s v="USD"/>
    <s v="JRNLWA00390650"/>
    <s v="P"/>
    <s v="Western Pcard Activity - April"/>
    <s v="HelenaK"/>
    <s v="0/JE IC"/>
    <m/>
    <m/>
    <x v="10"/>
    <m/>
    <m/>
    <m/>
    <m/>
    <m/>
    <m/>
    <s v="JRNL00931518"/>
    <s v="JRNL00931518"/>
    <m/>
    <d v="2019-05-01T00:00:00"/>
    <d v="2019-05-02T00:00:00"/>
    <m/>
    <m/>
    <s v="wci_wa"/>
    <n v="0"/>
    <n v="0"/>
    <n v="0"/>
    <n v="0"/>
    <n v="0"/>
    <n v="1"/>
    <n v="70095"/>
    <n v="2183"/>
    <n v="0"/>
    <n v="0"/>
    <m/>
    <m/>
    <m/>
    <m/>
    <s v=""/>
  </r>
  <r>
    <s v="70095-2183-000-00"/>
    <d v="2019-04-30T00:00:00"/>
    <n v="12.66"/>
    <n v="0"/>
    <s v="USD"/>
    <s v="JRNLWA00390650"/>
    <s v="P"/>
    <s v="Western Pcard Activity - April"/>
    <s v="HelenaK"/>
    <s v="0/JE IC"/>
    <m/>
    <m/>
    <x v="22"/>
    <m/>
    <m/>
    <m/>
    <m/>
    <m/>
    <m/>
    <s v="JRNL00931518"/>
    <s v="JRNL00931518"/>
    <m/>
    <d v="2019-05-01T00:00:00"/>
    <d v="2019-05-02T00:00:00"/>
    <m/>
    <m/>
    <s v="wci_wa"/>
    <n v="0"/>
    <n v="0"/>
    <n v="0"/>
    <n v="0"/>
    <n v="0"/>
    <n v="1"/>
    <n v="70095"/>
    <n v="2183"/>
    <n v="0"/>
    <n v="0"/>
    <m/>
    <m/>
    <m/>
    <m/>
    <s v=""/>
  </r>
  <r>
    <s v="70095-2183-000-00"/>
    <d v="2019-04-30T00:00:00"/>
    <n v="1608.86"/>
    <n v="0"/>
    <s v="USD"/>
    <s v="JRNLWA00390650"/>
    <s v="P"/>
    <s v="Western Pcard Activity - April"/>
    <s v="HelenaK"/>
    <s v="0/JE IC"/>
    <m/>
    <m/>
    <x v="135"/>
    <m/>
    <m/>
    <m/>
    <m/>
    <m/>
    <m/>
    <s v="JRNL00931518"/>
    <s v="JRNL00931518"/>
    <m/>
    <d v="2019-05-01T00:00:00"/>
    <d v="2019-05-02T00:00:00"/>
    <m/>
    <m/>
    <s v="wci_wa"/>
    <n v="0"/>
    <n v="0"/>
    <n v="0"/>
    <n v="0"/>
    <n v="0"/>
    <n v="1"/>
    <n v="70095"/>
    <n v="2183"/>
    <n v="0"/>
    <n v="0"/>
    <m/>
    <m/>
    <m/>
    <m/>
    <s v=""/>
  </r>
  <r>
    <s v="70095-2183-000-00"/>
    <d v="2019-04-30T00:00:00"/>
    <n v="87.68"/>
    <n v="0"/>
    <s v="USD"/>
    <s v="JRNLWA00390650"/>
    <s v="P"/>
    <s v="Western Pcard Activity - April"/>
    <s v="HelenaK"/>
    <s v="0/JE IC"/>
    <m/>
    <m/>
    <x v="68"/>
    <m/>
    <m/>
    <m/>
    <m/>
    <m/>
    <m/>
    <s v="JRNL00931518"/>
    <s v="JRNL00931518"/>
    <m/>
    <d v="2019-05-01T00:00:00"/>
    <d v="2019-05-02T00:00:00"/>
    <m/>
    <m/>
    <s v="wci_wa"/>
    <n v="0"/>
    <n v="0"/>
    <n v="0"/>
    <n v="0"/>
    <n v="0"/>
    <n v="1"/>
    <n v="70095"/>
    <n v="2183"/>
    <n v="0"/>
    <n v="0"/>
    <m/>
    <m/>
    <m/>
    <m/>
    <s v=""/>
  </r>
  <r>
    <s v="70095-2183-000-00"/>
    <d v="2019-04-30T00:00:00"/>
    <n v="23.44"/>
    <n v="0"/>
    <s v="USD"/>
    <s v="JRNLWA00390650"/>
    <s v="P"/>
    <s v="Western Pcard Activity - April"/>
    <s v="HelenaK"/>
    <s v="0/JE IC"/>
    <m/>
    <m/>
    <x v="80"/>
    <m/>
    <m/>
    <m/>
    <m/>
    <m/>
    <m/>
    <s v="JRNL00931518"/>
    <s v="JRNL00931518"/>
    <m/>
    <d v="2019-05-01T00:00:00"/>
    <d v="2019-05-02T00:00:00"/>
    <m/>
    <m/>
    <s v="wci_wa"/>
    <n v="0"/>
    <n v="0"/>
    <n v="0"/>
    <n v="0"/>
    <n v="0"/>
    <n v="1"/>
    <n v="70095"/>
    <n v="2183"/>
    <n v="0"/>
    <n v="0"/>
    <m/>
    <m/>
    <m/>
    <m/>
    <s v=""/>
  </r>
  <r>
    <s v="70095-2183-000-00"/>
    <d v="2019-04-30T00:00:00"/>
    <n v="32.340000000000003"/>
    <n v="0"/>
    <s v="USD"/>
    <s v="JRNLWA00390650"/>
    <s v="P"/>
    <s v="Western Pcard Activity - April"/>
    <s v="HelenaK"/>
    <s v="0/JE IC"/>
    <m/>
    <m/>
    <x v="11"/>
    <m/>
    <m/>
    <m/>
    <m/>
    <m/>
    <m/>
    <s v="JRNL00931518"/>
    <s v="JRNL00931518"/>
    <m/>
    <d v="2019-05-01T00:00:00"/>
    <d v="2019-05-02T00:00:00"/>
    <m/>
    <m/>
    <s v="wci_wa"/>
    <n v="0"/>
    <n v="0"/>
    <n v="0"/>
    <n v="0"/>
    <n v="0"/>
    <n v="1"/>
    <n v="70095"/>
    <n v="2183"/>
    <n v="0"/>
    <n v="0"/>
    <m/>
    <m/>
    <m/>
    <m/>
    <s v=""/>
  </r>
  <r>
    <s v="70095-2183-000-00"/>
    <d v="2019-04-30T00:00:00"/>
    <n v="46.97"/>
    <n v="0"/>
    <s v="USD"/>
    <s v="JRNLWA00390650"/>
    <s v="P"/>
    <s v="Western Pcard Activity - April"/>
    <s v="HelenaK"/>
    <s v="0/JE IC"/>
    <m/>
    <m/>
    <x v="10"/>
    <m/>
    <m/>
    <m/>
    <m/>
    <m/>
    <m/>
    <s v="JRNL00931518"/>
    <s v="JRNL00931518"/>
    <m/>
    <d v="2019-05-01T00:00:00"/>
    <d v="2019-05-02T00:00:00"/>
    <m/>
    <m/>
    <s v="wci_wa"/>
    <n v="0"/>
    <n v="0"/>
    <n v="0"/>
    <n v="0"/>
    <n v="0"/>
    <n v="1"/>
    <n v="70095"/>
    <n v="2183"/>
    <n v="0"/>
    <n v="0"/>
    <m/>
    <m/>
    <m/>
    <m/>
    <s v=""/>
  </r>
  <r>
    <s v="70095-2183-000-00"/>
    <d v="2019-04-30T00:00:00"/>
    <n v="49.15"/>
    <n v="0"/>
    <s v="USD"/>
    <s v="JRNLWA00390650"/>
    <s v="P"/>
    <s v="Western Pcard Activity - April"/>
    <s v="HelenaK"/>
    <s v="0/JE IC"/>
    <m/>
    <m/>
    <x v="53"/>
    <m/>
    <m/>
    <m/>
    <m/>
    <m/>
    <m/>
    <s v="JRNL00931518"/>
    <s v="JRNL00931518"/>
    <m/>
    <d v="2019-05-01T00:00:00"/>
    <d v="2019-05-02T00:00:00"/>
    <m/>
    <m/>
    <s v="wci_wa"/>
    <n v="0"/>
    <n v="0"/>
    <n v="0"/>
    <n v="0"/>
    <n v="0"/>
    <n v="1"/>
    <n v="70095"/>
    <n v="2183"/>
    <n v="0"/>
    <n v="0"/>
    <m/>
    <m/>
    <m/>
    <m/>
    <s v=""/>
  </r>
  <r>
    <s v="70095-2183-000-00"/>
    <d v="2019-04-30T00:00:00"/>
    <n v="18.989999999999998"/>
    <n v="0"/>
    <s v="USD"/>
    <s v="JRNLWA00390650"/>
    <s v="P"/>
    <s v="Western Pcard Activity - April"/>
    <s v="HelenaK"/>
    <s v="0/JE IC"/>
    <m/>
    <m/>
    <x v="10"/>
    <m/>
    <m/>
    <m/>
    <m/>
    <m/>
    <m/>
    <s v="JRNL00931518"/>
    <s v="JRNL00931518"/>
    <m/>
    <d v="2019-05-01T00:00:00"/>
    <d v="2019-05-02T00:00:00"/>
    <m/>
    <m/>
    <s v="wci_wa"/>
    <n v="0"/>
    <n v="0"/>
    <n v="0"/>
    <n v="0"/>
    <n v="0"/>
    <n v="1"/>
    <n v="70095"/>
    <n v="2183"/>
    <n v="0"/>
    <n v="0"/>
    <m/>
    <m/>
    <m/>
    <m/>
    <s v=""/>
  </r>
  <r>
    <s v="70095-2183-000-00"/>
    <d v="2019-04-30T00:00:00"/>
    <n v="8.99"/>
    <n v="0"/>
    <s v="USD"/>
    <s v="JRNLWA00390650"/>
    <s v="P"/>
    <s v="Western Pcard Activity - April"/>
    <s v="HelenaK"/>
    <s v="0/JE IC"/>
    <m/>
    <m/>
    <x v="22"/>
    <m/>
    <m/>
    <m/>
    <m/>
    <m/>
    <m/>
    <s v="JRNL00931518"/>
    <s v="JRNL00931518"/>
    <m/>
    <d v="2019-05-01T00:00:00"/>
    <d v="2019-05-02T00:00:00"/>
    <m/>
    <m/>
    <s v="wci_wa"/>
    <n v="0"/>
    <n v="0"/>
    <n v="0"/>
    <n v="0"/>
    <n v="0"/>
    <n v="1"/>
    <n v="70095"/>
    <n v="2183"/>
    <n v="0"/>
    <n v="0"/>
    <m/>
    <m/>
    <m/>
    <m/>
    <s v=""/>
  </r>
  <r>
    <s v="70095-2183-000-00"/>
    <d v="2019-04-30T00:00:00"/>
    <n v="658.89"/>
    <n v="0"/>
    <s v="USD"/>
    <s v="JRNLWA00390650"/>
    <s v="P"/>
    <s v="Western Pcard Activity - April"/>
    <s v="HelenaK"/>
    <s v="0/JE IC"/>
    <m/>
    <m/>
    <x v="136"/>
    <m/>
    <m/>
    <m/>
    <m/>
    <m/>
    <m/>
    <s v="JRNL00931518"/>
    <s v="JRNL00931518"/>
    <m/>
    <d v="2019-05-01T00:00:00"/>
    <d v="2019-05-02T00:00:00"/>
    <m/>
    <m/>
    <s v="wci_wa"/>
    <n v="0"/>
    <n v="0"/>
    <n v="0"/>
    <n v="0"/>
    <n v="0"/>
    <n v="1"/>
    <n v="70095"/>
    <n v="2183"/>
    <n v="0"/>
    <n v="0"/>
    <m/>
    <m/>
    <m/>
    <m/>
    <s v=""/>
  </r>
  <r>
    <s v="70095-2183-000-00"/>
    <d v="2019-04-30T00:00:00"/>
    <n v="63.35"/>
    <n v="0"/>
    <s v="USD"/>
    <s v="JRNLWA00390650"/>
    <s v="P"/>
    <s v="Western Pcard Activity - April"/>
    <s v="HelenaK"/>
    <s v="0/JE IC"/>
    <m/>
    <m/>
    <x v="129"/>
    <m/>
    <m/>
    <m/>
    <m/>
    <m/>
    <m/>
    <s v="JRNL00931518"/>
    <s v="JRNL00931518"/>
    <m/>
    <d v="2019-05-01T00:00:00"/>
    <d v="2019-05-02T00:00:00"/>
    <m/>
    <m/>
    <s v="wci_wa"/>
    <n v="0"/>
    <n v="0"/>
    <n v="0"/>
    <n v="0"/>
    <n v="0"/>
    <n v="1"/>
    <n v="70095"/>
    <n v="2183"/>
    <n v="0"/>
    <n v="0"/>
    <m/>
    <m/>
    <m/>
    <m/>
    <s v=""/>
  </r>
  <r>
    <s v="70095-2183-000-00"/>
    <d v="2019-04-30T00:00:00"/>
    <n v="45.03"/>
    <n v="0"/>
    <s v="USD"/>
    <s v="JRNLWA00390650"/>
    <s v="P"/>
    <s v="Western Pcard Activity - April"/>
    <s v="HelenaK"/>
    <s v="0/JE IC"/>
    <m/>
    <m/>
    <x v="137"/>
    <m/>
    <m/>
    <m/>
    <m/>
    <m/>
    <m/>
    <s v="JRNL00931518"/>
    <s v="JRNL00931518"/>
    <m/>
    <d v="2019-05-01T00:00:00"/>
    <d v="2019-05-02T00:00:00"/>
    <m/>
    <m/>
    <s v="wci_wa"/>
    <n v="0"/>
    <n v="0"/>
    <n v="0"/>
    <n v="0"/>
    <n v="0"/>
    <n v="1"/>
    <n v="70095"/>
    <n v="2183"/>
    <n v="0"/>
    <n v="0"/>
    <m/>
    <m/>
    <m/>
    <m/>
    <s v=""/>
  </r>
  <r>
    <s v="70095-2183-000-00"/>
    <d v="2019-04-30T00:00:00"/>
    <n v="300"/>
    <n v="0"/>
    <s v="USD"/>
    <s v="JRNLWA00391034"/>
    <s v="P"/>
    <s v="PO Log Accrual"/>
    <s v="HelenaK"/>
    <s v="0/JE IC"/>
    <m/>
    <m/>
    <x v="130"/>
    <m/>
    <m/>
    <m/>
    <m/>
    <m/>
    <m/>
    <s v="JRNL00932233"/>
    <s v="JRNL00932233"/>
    <m/>
    <d v="2019-05-03T00:00:00"/>
    <d v="2019-05-03T00:00:00"/>
    <m/>
    <m/>
    <s v="wci_wa"/>
    <n v="0"/>
    <n v="0"/>
    <n v="0"/>
    <n v="0"/>
    <n v="0"/>
    <n v="1"/>
    <n v="70095"/>
    <n v="2183"/>
    <n v="0"/>
    <n v="0"/>
    <m/>
    <m/>
    <m/>
    <m/>
    <s v=""/>
  </r>
  <r>
    <s v="70095-2183-000-00"/>
    <d v="2019-04-30T00:00:00"/>
    <n v="500"/>
    <n v="0"/>
    <s v="USD"/>
    <s v="JRNLWA00391034"/>
    <s v="P"/>
    <s v="PO Log Accrual"/>
    <s v="HelenaK"/>
    <s v="0/JE IC"/>
    <m/>
    <m/>
    <x v="138"/>
    <m/>
    <m/>
    <m/>
    <m/>
    <m/>
    <m/>
    <s v="JRNL00932233"/>
    <s v="JRNL00932233"/>
    <m/>
    <d v="2019-05-03T00:00:00"/>
    <d v="2019-05-03T00:00:00"/>
    <m/>
    <m/>
    <s v="wci_wa"/>
    <n v="0"/>
    <n v="0"/>
    <n v="0"/>
    <n v="0"/>
    <n v="0"/>
    <n v="1"/>
    <n v="70095"/>
    <n v="2183"/>
    <n v="0"/>
    <n v="0"/>
    <m/>
    <m/>
    <m/>
    <m/>
    <s v=""/>
  </r>
  <r>
    <s v="70095-2183-000-00"/>
    <d v="2019-04-30T00:00:00"/>
    <n v="18.989999999999998"/>
    <n v="0"/>
    <s v="USD"/>
    <s v="JRNLWA00391034"/>
    <s v="P"/>
    <s v="PO Log Accrual"/>
    <s v="HelenaK"/>
    <s v="0/JE IC"/>
    <m/>
    <m/>
    <x v="139"/>
    <m/>
    <m/>
    <m/>
    <m/>
    <m/>
    <m/>
    <s v="JRNL00932233"/>
    <s v="JRNL00932233"/>
    <m/>
    <d v="2019-05-03T00:00:00"/>
    <d v="2019-05-03T00:00:00"/>
    <m/>
    <m/>
    <s v="wci_wa"/>
    <n v="0"/>
    <n v="0"/>
    <n v="0"/>
    <n v="0"/>
    <n v="0"/>
    <n v="1"/>
    <n v="70095"/>
    <n v="2183"/>
    <n v="0"/>
    <n v="0"/>
    <m/>
    <m/>
    <m/>
    <m/>
    <s v=""/>
  </r>
  <r>
    <s v="70095-2183-000-00"/>
    <d v="2019-04-30T00:00:00"/>
    <n v="21.99"/>
    <n v="0"/>
    <s v="USD"/>
    <s v="JRNLWA00391034"/>
    <s v="P"/>
    <s v="PO Log Accrual"/>
    <s v="HelenaK"/>
    <s v="0/JE IC"/>
    <m/>
    <m/>
    <x v="140"/>
    <m/>
    <m/>
    <m/>
    <m/>
    <m/>
    <m/>
    <s v="JRNL00932233"/>
    <s v="JRNL00932233"/>
    <m/>
    <d v="2019-05-03T00:00:00"/>
    <d v="2019-05-03T00:00:00"/>
    <m/>
    <m/>
    <s v="wci_wa"/>
    <n v="0"/>
    <n v="0"/>
    <n v="0"/>
    <n v="0"/>
    <n v="0"/>
    <n v="1"/>
    <n v="70095"/>
    <n v="2183"/>
    <n v="0"/>
    <n v="0"/>
    <m/>
    <m/>
    <m/>
    <m/>
    <s v=""/>
  </r>
  <r>
    <s v="70095-2183-000-00"/>
    <d v="2019-04-30T00:00:00"/>
    <n v="-300"/>
    <n v="0"/>
    <s v="USD"/>
    <s v="JRNLWA00391147"/>
    <s v="P"/>
    <s v="PO Log Accrual"/>
    <s v="AlexandraP"/>
    <s v="0/JE IC"/>
    <m/>
    <m/>
    <x v="130"/>
    <m/>
    <m/>
    <m/>
    <m/>
    <m/>
    <m/>
    <s v="JRNL00932387"/>
    <s v="JRNL00932387"/>
    <m/>
    <d v="2019-05-03T00:00:00"/>
    <d v="2019-05-03T00:00:00"/>
    <m/>
    <m/>
    <s v="wci_wa"/>
    <n v="0"/>
    <n v="0"/>
    <n v="0"/>
    <n v="0"/>
    <n v="0"/>
    <n v="1"/>
    <n v="70095"/>
    <n v="2183"/>
    <n v="0"/>
    <n v="0"/>
    <m/>
    <m/>
    <m/>
    <m/>
    <s v=""/>
  </r>
  <r>
    <s v="70095-2183-000-00"/>
    <d v="2019-04-30T00:00:00"/>
    <n v="-500"/>
    <n v="0"/>
    <s v="USD"/>
    <s v="JRNLWA00391147"/>
    <s v="P"/>
    <s v="PO Log Accrual"/>
    <s v="AlexandraP"/>
    <s v="0/JE IC"/>
    <m/>
    <m/>
    <x v="138"/>
    <m/>
    <m/>
    <m/>
    <m/>
    <m/>
    <m/>
    <s v="JRNL00932387"/>
    <s v="JRNL00932387"/>
    <m/>
    <d v="2019-05-03T00:00:00"/>
    <d v="2019-05-03T00:00:00"/>
    <m/>
    <m/>
    <s v="wci_wa"/>
    <n v="0"/>
    <n v="0"/>
    <n v="0"/>
    <n v="0"/>
    <n v="0"/>
    <n v="1"/>
    <n v="70095"/>
    <n v="2183"/>
    <n v="0"/>
    <n v="0"/>
    <m/>
    <m/>
    <m/>
    <m/>
    <s v=""/>
  </r>
  <r>
    <s v="70095-2183-000-00"/>
    <d v="2019-04-30T00:00:00"/>
    <n v="-18.989999999999998"/>
    <n v="0"/>
    <s v="USD"/>
    <s v="JRNLWA00391147"/>
    <s v="P"/>
    <s v="PO Log Accrual"/>
    <s v="AlexandraP"/>
    <s v="0/JE IC"/>
    <m/>
    <m/>
    <x v="139"/>
    <m/>
    <m/>
    <m/>
    <m/>
    <m/>
    <m/>
    <s v="JRNL00932387"/>
    <s v="JRNL00932387"/>
    <m/>
    <d v="2019-05-03T00:00:00"/>
    <d v="2019-05-03T00:00:00"/>
    <m/>
    <m/>
    <s v="wci_wa"/>
    <n v="0"/>
    <n v="0"/>
    <n v="0"/>
    <n v="0"/>
    <n v="0"/>
    <n v="1"/>
    <n v="70095"/>
    <n v="2183"/>
    <n v="0"/>
    <n v="0"/>
    <m/>
    <m/>
    <m/>
    <m/>
    <s v=""/>
  </r>
  <r>
    <s v="70095-2183-000-00"/>
    <d v="2019-04-30T00:00:00"/>
    <n v="-21.99"/>
    <n v="0"/>
    <s v="USD"/>
    <s v="JRNLWA00391147"/>
    <s v="P"/>
    <s v="PO Log Accrual"/>
    <s v="AlexandraP"/>
    <s v="0/JE IC"/>
    <m/>
    <m/>
    <x v="140"/>
    <m/>
    <m/>
    <m/>
    <m/>
    <m/>
    <m/>
    <s v="JRNL00932387"/>
    <s v="JRNL00932387"/>
    <m/>
    <d v="2019-05-03T00:00:00"/>
    <d v="2019-05-03T00:00:00"/>
    <m/>
    <m/>
    <s v="wci_wa"/>
    <n v="0"/>
    <n v="0"/>
    <n v="0"/>
    <n v="0"/>
    <n v="0"/>
    <n v="1"/>
    <n v="70095"/>
    <n v="2183"/>
    <n v="0"/>
    <n v="0"/>
    <m/>
    <m/>
    <m/>
    <m/>
    <s v=""/>
  </r>
  <r>
    <s v="70095-2183-000-00"/>
    <d v="2019-04-30T00:00:00"/>
    <n v="90.72"/>
    <n v="0"/>
    <s v="USD"/>
    <s v="JRNLWA00391257"/>
    <s v="P"/>
    <s v="OPEX13 - Pcard Accrual"/>
    <s v="AlexandraP"/>
    <s v="0/JE IC"/>
    <m/>
    <m/>
    <x v="7"/>
    <m/>
    <m/>
    <m/>
    <m/>
    <m/>
    <m/>
    <s v="JRNL00932811"/>
    <s v="JRNL00932811"/>
    <m/>
    <d v="2019-05-06T00:00:00"/>
    <d v="2019-05-06T00:00:00"/>
    <m/>
    <m/>
    <s v="wci_wa"/>
    <n v="0"/>
    <n v="0"/>
    <n v="0"/>
    <n v="0"/>
    <n v="0"/>
    <n v="1"/>
    <n v="70095"/>
    <n v="2183"/>
    <n v="0"/>
    <n v="0"/>
    <m/>
    <m/>
    <m/>
    <m/>
    <s v=""/>
  </r>
  <r>
    <s v="70095-2183-000-00"/>
    <d v="2019-04-30T00:00:00"/>
    <n v="150.29"/>
    <n v="0"/>
    <s v="USD"/>
    <s v="JRNLWA00391257"/>
    <s v="P"/>
    <s v="OPEX13 - Pcard Accrual"/>
    <s v="AlexandraP"/>
    <s v="0/JE IC"/>
    <m/>
    <m/>
    <x v="7"/>
    <m/>
    <m/>
    <m/>
    <m/>
    <m/>
    <m/>
    <s v="JRNL00932811"/>
    <s v="JRNL00932811"/>
    <m/>
    <d v="2019-05-06T00:00:00"/>
    <d v="2019-05-06T00:00:00"/>
    <m/>
    <m/>
    <s v="wci_wa"/>
    <n v="0"/>
    <n v="0"/>
    <n v="0"/>
    <n v="0"/>
    <n v="0"/>
    <n v="1"/>
    <n v="70095"/>
    <n v="2183"/>
    <n v="0"/>
    <n v="0"/>
    <m/>
    <m/>
    <m/>
    <m/>
    <s v=""/>
  </r>
  <r>
    <s v="70095-2183-000-00"/>
    <d v="2019-04-30T00:00:00"/>
    <n v="18.989999999999998"/>
    <n v="0"/>
    <s v="USD"/>
    <s v="JRNLWA00391257"/>
    <s v="P"/>
    <s v="OPEX13 - Pcard Accrual"/>
    <s v="AlexandraP"/>
    <s v="0/JE IC"/>
    <m/>
    <m/>
    <x v="10"/>
    <m/>
    <m/>
    <m/>
    <m/>
    <m/>
    <m/>
    <s v="JRNL00932811"/>
    <s v="JRNL00932811"/>
    <m/>
    <d v="2019-05-06T00:00:00"/>
    <d v="2019-05-06T00:00:00"/>
    <m/>
    <m/>
    <s v="wci_wa"/>
    <n v="0"/>
    <n v="0"/>
    <n v="0"/>
    <n v="0"/>
    <n v="0"/>
    <n v="1"/>
    <n v="70095"/>
    <n v="2183"/>
    <n v="0"/>
    <n v="0"/>
    <m/>
    <m/>
    <m/>
    <m/>
    <s v=""/>
  </r>
  <r>
    <s v="70095-2183-000-00"/>
    <d v="2019-04-30T00:00:00"/>
    <n v="18.989999999999998"/>
    <n v="0"/>
    <s v="USD"/>
    <s v="JRNLWA00391257"/>
    <s v="P"/>
    <s v="OPEX13 - Pcard Accrual"/>
    <s v="AlexandraP"/>
    <s v="0/JE IC"/>
    <m/>
    <m/>
    <x v="10"/>
    <m/>
    <m/>
    <m/>
    <m/>
    <m/>
    <m/>
    <s v="JRNL00932811"/>
    <s v="JRNL00932811"/>
    <m/>
    <d v="2019-05-06T00:00:00"/>
    <d v="2019-05-06T00:00:00"/>
    <m/>
    <m/>
    <s v="wci_wa"/>
    <n v="0"/>
    <n v="0"/>
    <n v="0"/>
    <n v="0"/>
    <n v="0"/>
    <n v="1"/>
    <n v="70095"/>
    <n v="2183"/>
    <n v="0"/>
    <n v="0"/>
    <m/>
    <m/>
    <m/>
    <m/>
    <s v=""/>
  </r>
  <r>
    <s v="70095-2183-000-00"/>
    <d v="2019-04-30T00:00:00"/>
    <n v="21.99"/>
    <n v="0"/>
    <s v="USD"/>
    <s v="JRNLWA00391257"/>
    <s v="P"/>
    <s v="OPEX13 - Pcard Accrual"/>
    <s v="AlexandraP"/>
    <s v="0/JE IC"/>
    <m/>
    <m/>
    <x v="22"/>
    <m/>
    <m/>
    <m/>
    <m/>
    <m/>
    <m/>
    <s v="JRNL00932811"/>
    <s v="JRNL00932811"/>
    <m/>
    <d v="2019-05-06T00:00:00"/>
    <d v="2019-05-06T00:00:00"/>
    <m/>
    <m/>
    <s v="wci_wa"/>
    <n v="0"/>
    <n v="0"/>
    <n v="0"/>
    <n v="0"/>
    <n v="0"/>
    <n v="1"/>
    <n v="70095"/>
    <n v="2183"/>
    <n v="0"/>
    <n v="0"/>
    <m/>
    <m/>
    <m/>
    <m/>
    <s v=""/>
  </r>
  <r>
    <s v="70095-2183-000-00"/>
    <d v="2019-04-30T00:00:00"/>
    <n v="33.35"/>
    <n v="0"/>
    <s v="USD"/>
    <s v="JRNLWA00391257"/>
    <s v="P"/>
    <s v="OPEX13 - Pcard Accrual"/>
    <s v="AlexandraP"/>
    <s v="0/JE IC"/>
    <m/>
    <m/>
    <x v="22"/>
    <m/>
    <m/>
    <m/>
    <m/>
    <m/>
    <m/>
    <s v="JRNL00932811"/>
    <s v="JRNL00932811"/>
    <m/>
    <d v="2019-05-06T00:00:00"/>
    <d v="2019-05-06T00:00:00"/>
    <m/>
    <m/>
    <s v="wci_wa"/>
    <n v="0"/>
    <n v="0"/>
    <n v="0"/>
    <n v="0"/>
    <n v="0"/>
    <n v="1"/>
    <n v="70095"/>
    <n v="2183"/>
    <n v="0"/>
    <n v="0"/>
    <m/>
    <m/>
    <m/>
    <m/>
    <s v=""/>
  </r>
  <r>
    <s v="70095-2183-000-00"/>
    <d v="2019-04-30T00:00:00"/>
    <n v="300"/>
    <n v="0"/>
    <s v="USD"/>
    <s v="JRNLWA00391430"/>
    <s v="P"/>
    <s v="PO Log Accrual"/>
    <s v="HelenaK"/>
    <s v="0/JE IC"/>
    <m/>
    <m/>
    <x v="130"/>
    <m/>
    <m/>
    <m/>
    <m/>
    <m/>
    <m/>
    <s v="JRNL00933056"/>
    <s v="JRNL00933056"/>
    <m/>
    <d v="2019-05-06T00:00:00"/>
    <d v="2019-05-07T00:00:00"/>
    <m/>
    <m/>
    <s v="wci_wa"/>
    <n v="0"/>
    <n v="0"/>
    <n v="0"/>
    <n v="0"/>
    <n v="0"/>
    <n v="1"/>
    <n v="70095"/>
    <n v="2183"/>
    <n v="0"/>
    <n v="0"/>
    <m/>
    <m/>
    <m/>
    <m/>
    <s v=""/>
  </r>
  <r>
    <s v="70095-2183-000-00"/>
    <d v="2019-04-30T00:00:00"/>
    <n v="500"/>
    <n v="0"/>
    <s v="USD"/>
    <s v="JRNLWA00391430"/>
    <s v="P"/>
    <s v="PO Log Accrual"/>
    <s v="HelenaK"/>
    <s v="0/JE IC"/>
    <m/>
    <m/>
    <x v="138"/>
    <m/>
    <m/>
    <m/>
    <m/>
    <m/>
    <m/>
    <s v="JRNL00933056"/>
    <s v="JRNL00933056"/>
    <m/>
    <d v="2019-05-06T00:00:00"/>
    <d v="2019-05-07T00:00:00"/>
    <m/>
    <m/>
    <s v="wci_wa"/>
    <n v="0"/>
    <n v="0"/>
    <n v="0"/>
    <n v="0"/>
    <n v="0"/>
    <n v="1"/>
    <n v="70095"/>
    <n v="2183"/>
    <n v="0"/>
    <n v="0"/>
    <m/>
    <m/>
    <m/>
    <m/>
    <s v=""/>
  </r>
</pivotCacheRecords>
</file>

<file path=xl/pivotCache/pivotCacheRecords3.xml><?xml version="1.0" encoding="utf-8"?>
<pivotCacheRecords xmlns="http://schemas.openxmlformats.org/spreadsheetml/2006/main" xmlns:r="http://schemas.openxmlformats.org/officeDocument/2006/relationships" count="36">
  <r>
    <s v="70195-2183-000-00"/>
    <d v="2018-05-03T00:00:00"/>
    <n v="909.93"/>
    <n v="0"/>
    <s v="USD"/>
    <s v="JRNLWA00372598"/>
    <s v="P"/>
    <s v="From Voucher Posting."/>
    <s v="RosemaryS"/>
    <s v="0/JE IC"/>
    <s v="VUS000014985"/>
    <m/>
    <x v="0"/>
    <d v="2018-05-01T00:00:00"/>
    <s v="WRRA Regular Dues"/>
    <n v="14134"/>
    <s v="PO-2000-18-01949"/>
    <m/>
    <m/>
    <s v="VO04641071"/>
    <s v="JRNL00887345"/>
    <n v="2000"/>
    <d v="2018-05-03T00:00:00"/>
    <d v="2018-05-03T00:00:00"/>
    <n v="8400"/>
    <d v="2018-05-31T00:00:00"/>
    <s v="wci_wa"/>
    <n v="0"/>
    <n v="0"/>
    <n v="0"/>
    <n v="0"/>
    <n v="0"/>
    <n v="1"/>
    <n v="70195"/>
    <n v="2183"/>
    <n v="0"/>
    <n v="0"/>
    <m/>
    <m/>
    <m/>
    <m/>
    <s v="VO04641071"/>
  </r>
  <r>
    <s v="70195-2183-000-00"/>
    <d v="2018-05-31T00:00:00"/>
    <n v="494.82"/>
    <n v="0"/>
    <s v="USD"/>
    <s v="JRNLWA00373884"/>
    <s v="P"/>
    <s v="Western Region PCard Activity"/>
    <s v="HelenaK"/>
    <s v="0/JE IC"/>
    <m/>
    <m/>
    <x v="1"/>
    <m/>
    <m/>
    <m/>
    <m/>
    <m/>
    <m/>
    <s v="JRNL00890577"/>
    <s v="JRNL00890577"/>
    <m/>
    <d v="2018-06-04T00:00:00"/>
    <d v="2018-06-04T00:00:00"/>
    <m/>
    <m/>
    <s v="wci_wa"/>
    <n v="0"/>
    <n v="0"/>
    <n v="0"/>
    <n v="0"/>
    <n v="0"/>
    <n v="1"/>
    <n v="70195"/>
    <n v="2183"/>
    <n v="0"/>
    <n v="0"/>
    <m/>
    <m/>
    <m/>
    <m/>
    <s v=""/>
  </r>
  <r>
    <s v="70195-2183-000-00"/>
    <d v="2018-05-31T00:00:00"/>
    <n v="640"/>
    <n v="0"/>
    <s v="USD"/>
    <s v="JRNLWA00374690"/>
    <s v="P"/>
    <s v="Opex 12 - S LeMay PO Log accru"/>
    <s v="AlexandraP"/>
    <s v="0/JE IC"/>
    <m/>
    <m/>
    <x v="2"/>
    <m/>
    <m/>
    <m/>
    <m/>
    <m/>
    <m/>
    <s v="JRNL00892072"/>
    <s v="JRNL00892072"/>
    <m/>
    <d v="2018-06-06T00:00:00"/>
    <d v="2018-06-07T00:00:00"/>
    <m/>
    <m/>
    <s v="wci_wa"/>
    <n v="0"/>
    <n v="0"/>
    <n v="0"/>
    <n v="0"/>
    <n v="0"/>
    <n v="1"/>
    <n v="70195"/>
    <n v="2183"/>
    <n v="0"/>
    <n v="0"/>
    <m/>
    <m/>
    <m/>
    <m/>
    <s v=""/>
  </r>
  <r>
    <s v="70195-2183-000-00"/>
    <d v="2018-06-13T00:00:00"/>
    <n v="909.93"/>
    <n v="0"/>
    <s v="USD"/>
    <s v="JRNLWA00375021"/>
    <s v="P"/>
    <s v="From Voucher Posting."/>
    <s v="RosemaryS"/>
    <s v="0/JE IC"/>
    <s v="VUS000014985"/>
    <m/>
    <x v="0"/>
    <d v="2018-06-01T00:00:00"/>
    <s v="WRRA Regular Dues"/>
    <n v="14217"/>
    <s v="PO-2000-18-02414"/>
    <m/>
    <m/>
    <s v="VO04677949"/>
    <s v="JRNL00892858"/>
    <n v="2000"/>
    <d v="2018-06-13T00:00:00"/>
    <d v="2018-06-14T00:00:00"/>
    <n v="8400"/>
    <d v="2018-07-01T00:00:00"/>
    <s v="wci_wa"/>
    <n v="0"/>
    <n v="0"/>
    <n v="0"/>
    <n v="0"/>
    <n v="0"/>
    <n v="1"/>
    <n v="70195"/>
    <n v="2183"/>
    <n v="0"/>
    <n v="0"/>
    <m/>
    <m/>
    <m/>
    <m/>
    <s v="VO04677949"/>
  </r>
  <r>
    <s v="70195-2183-000-00"/>
    <d v="2018-06-30T00:00:00"/>
    <n v="-640"/>
    <n v="0"/>
    <s v="USD"/>
    <s v="JRNLWA00374765"/>
    <s v="P"/>
    <s v="Opex 12 - S LeMay PO Log accru"/>
    <s v="AlexandraP"/>
    <s v="0/JE IC"/>
    <m/>
    <m/>
    <x v="2"/>
    <m/>
    <m/>
    <m/>
    <m/>
    <m/>
    <m/>
    <s v="JRNL00892072"/>
    <s v="JRNL00892188"/>
    <m/>
    <d v="2018-06-07T00:00:00"/>
    <d v="2018-06-07T00:00:00"/>
    <m/>
    <m/>
    <s v="wci_wa"/>
    <n v="0"/>
    <n v="0"/>
    <n v="0"/>
    <n v="0"/>
    <n v="5"/>
    <n v="1"/>
    <n v="70195"/>
    <n v="2183"/>
    <n v="0"/>
    <n v="0"/>
    <m/>
    <m/>
    <m/>
    <m/>
    <s v=""/>
  </r>
  <r>
    <s v="70195-2183-000-00"/>
    <d v="2018-06-30T00:00:00"/>
    <n v="640"/>
    <n v="0"/>
    <s v="USD"/>
    <s v="JRNLWA00375434"/>
    <s v="P"/>
    <s v="June PCard Activity - Western"/>
    <s v="HeatherWe"/>
    <s v="0/JE IC"/>
    <m/>
    <m/>
    <x v="3"/>
    <m/>
    <m/>
    <m/>
    <m/>
    <m/>
    <m/>
    <s v="JRNL00894442"/>
    <s v="JRNL00894442"/>
    <m/>
    <d v="2018-07-03T00:00:00"/>
    <d v="2018-07-03T00:00:00"/>
    <m/>
    <m/>
    <s v="wci_wa"/>
    <n v="0"/>
    <n v="0"/>
    <n v="0"/>
    <n v="0"/>
    <n v="0"/>
    <n v="1"/>
    <n v="70195"/>
    <n v="2183"/>
    <n v="0"/>
    <n v="0"/>
    <m/>
    <m/>
    <m/>
    <m/>
    <s v=""/>
  </r>
  <r>
    <s v="70195-2183-000-00"/>
    <d v="2018-06-30T00:00:00"/>
    <n v="675"/>
    <n v="0"/>
    <s v="USD"/>
    <s v="JRNLWA00375434"/>
    <s v="P"/>
    <s v="June PCard Activity - Western"/>
    <s v="HeatherWe"/>
    <s v="0/JE IC"/>
    <m/>
    <m/>
    <x v="4"/>
    <m/>
    <m/>
    <m/>
    <m/>
    <m/>
    <m/>
    <s v="JRNL00894442"/>
    <s v="JRNL00894442"/>
    <m/>
    <d v="2018-07-03T00:00:00"/>
    <d v="2018-07-03T00:00:00"/>
    <m/>
    <m/>
    <s v="wci_wa"/>
    <n v="0"/>
    <n v="0"/>
    <n v="0"/>
    <n v="0"/>
    <n v="0"/>
    <n v="1"/>
    <n v="70195"/>
    <n v="2183"/>
    <n v="0"/>
    <n v="0"/>
    <m/>
    <m/>
    <m/>
    <m/>
    <s v=""/>
  </r>
  <r>
    <s v="70195-2183-000-00"/>
    <d v="2018-07-19T00:00:00"/>
    <n v="909.93"/>
    <n v="0"/>
    <s v="USD"/>
    <s v="JRNLWA00376671"/>
    <s v="P"/>
    <s v="From Voucher Posting."/>
    <s v="RosemaryS"/>
    <s v="0/JE IC"/>
    <s v="VUS000014985"/>
    <m/>
    <x v="0"/>
    <d v="2018-07-01T00:00:00"/>
    <s v="WRRA Regular Dues"/>
    <n v="14290"/>
    <s v="PO-2000-18-02948"/>
    <m/>
    <m/>
    <s v="VO04715045"/>
    <s v="JRNL00897143"/>
    <n v="2000"/>
    <d v="2018-07-19T00:00:00"/>
    <d v="2018-07-19T00:00:00"/>
    <n v="8400"/>
    <d v="2018-08-05T00:00:00"/>
    <s v="wci_wa"/>
    <n v="0"/>
    <n v="0"/>
    <n v="0"/>
    <n v="0"/>
    <n v="0"/>
    <n v="1"/>
    <n v="70195"/>
    <n v="2183"/>
    <n v="0"/>
    <n v="0"/>
    <m/>
    <m/>
    <m/>
    <m/>
    <s v="VO04715045"/>
  </r>
  <r>
    <s v="70195-2183-000-00"/>
    <d v="2018-07-31T00:00:00"/>
    <n v="500"/>
    <n v="0"/>
    <s v="USD"/>
    <s v="JRNLWA00377696"/>
    <s v="P"/>
    <s v="Opex 12 - S LeMay PO Log accru"/>
    <s v="AlexandraP"/>
    <s v="0/JE IC"/>
    <m/>
    <m/>
    <x v="5"/>
    <m/>
    <m/>
    <m/>
    <m/>
    <m/>
    <m/>
    <s v="JRNL00899764"/>
    <s v="JRNL00899764"/>
    <m/>
    <d v="2018-08-06T00:00:00"/>
    <d v="2018-08-07T00:00:00"/>
    <m/>
    <m/>
    <s v="wci_wa"/>
    <n v="0"/>
    <n v="0"/>
    <n v="0"/>
    <n v="0"/>
    <n v="0"/>
    <n v="1"/>
    <n v="70195"/>
    <n v="2183"/>
    <n v="0"/>
    <n v="0"/>
    <m/>
    <m/>
    <m/>
    <m/>
    <s v=""/>
  </r>
  <r>
    <s v="70195-2183-000-00"/>
    <d v="2018-08-09T00:00:00"/>
    <n v="909.93"/>
    <n v="0"/>
    <s v="USD"/>
    <s v="JRNLWA00378064"/>
    <s v="P"/>
    <s v="From Voucher Posting."/>
    <s v="MariaJ"/>
    <s v="0/JE IC"/>
    <s v="VUS000014985"/>
    <m/>
    <x v="0"/>
    <d v="2018-08-01T00:00:00"/>
    <s v="WRRA Regular Dues"/>
    <n v="14340"/>
    <s v="PO-2000-18-03260"/>
    <m/>
    <m/>
    <s v="VO04736220"/>
    <s v="JRNL00900476"/>
    <n v="2000"/>
    <d v="2018-08-09T00:00:00"/>
    <d v="2018-08-10T00:00:00"/>
    <n v="8400"/>
    <d v="2018-09-05T00:00:00"/>
    <s v="wci_wa"/>
    <n v="0"/>
    <n v="0"/>
    <n v="0"/>
    <n v="0"/>
    <n v="0"/>
    <n v="1"/>
    <n v="70195"/>
    <n v="2183"/>
    <n v="0"/>
    <n v="0"/>
    <m/>
    <m/>
    <m/>
    <m/>
    <s v="VO04736220"/>
  </r>
  <r>
    <s v="70195-2183-000-00"/>
    <d v="2018-08-31T00:00:00"/>
    <n v="-500"/>
    <n v="0"/>
    <s v="USD"/>
    <s v="JRNLWA00377742"/>
    <s v="P"/>
    <s v="Opex 12 - S LeMay PO Log accru"/>
    <s v="HelenaK"/>
    <s v="0/JE IC"/>
    <m/>
    <m/>
    <x v="5"/>
    <m/>
    <m/>
    <m/>
    <m/>
    <m/>
    <m/>
    <s v="JRNL00899764"/>
    <s v="JRNL00899913"/>
    <m/>
    <d v="2018-08-07T00:00:00"/>
    <d v="2018-08-07T00:00:00"/>
    <m/>
    <m/>
    <s v="wci_wa"/>
    <n v="0"/>
    <n v="0"/>
    <n v="0"/>
    <n v="0"/>
    <n v="5"/>
    <n v="1"/>
    <n v="70195"/>
    <n v="2183"/>
    <n v="0"/>
    <n v="0"/>
    <m/>
    <m/>
    <m/>
    <m/>
    <s v=""/>
  </r>
  <r>
    <s v="70195-2183-000-00"/>
    <d v="2018-08-31T00:00:00"/>
    <n v="500"/>
    <n v="0"/>
    <s v="USD"/>
    <s v="JRNLWA00379259"/>
    <s v="P"/>
    <s v="Opex 12 - S LeMay PO Log accru"/>
    <s v="AlexandraP"/>
    <s v="0/JE IC"/>
    <m/>
    <m/>
    <x v="6"/>
    <m/>
    <m/>
    <m/>
    <m/>
    <m/>
    <m/>
    <s v="JRNL00903610"/>
    <s v="JRNL00903610"/>
    <m/>
    <d v="2018-09-07T00:00:00"/>
    <d v="2018-09-10T00:00:00"/>
    <m/>
    <m/>
    <s v="wci_wa"/>
    <n v="0"/>
    <n v="0"/>
    <n v="0"/>
    <n v="0"/>
    <n v="0"/>
    <n v="1"/>
    <n v="70195"/>
    <n v="2183"/>
    <n v="0"/>
    <n v="0"/>
    <m/>
    <m/>
    <m/>
    <m/>
    <s v=""/>
  </r>
  <r>
    <s v="70195-2183-000-00"/>
    <d v="2018-09-06T00:00:00"/>
    <n v="500"/>
    <n v="0"/>
    <s v="USD"/>
    <s v="JRNLWA00378832"/>
    <s v="P"/>
    <s v="From Voucher Posting."/>
    <s v="JudyA"/>
    <s v="0/JE IC"/>
    <s v="VUS000025525"/>
    <m/>
    <x v="7"/>
    <d v="2018-07-01T00:00:00"/>
    <s v="Annual Membership 7-1-2018 - 6-30-19"/>
    <n v="13931"/>
    <s v="PO-2183-18-03014"/>
    <m/>
    <m/>
    <s v="VO04762782"/>
    <s v="JRNL00902795"/>
    <n v="2183"/>
    <d v="2018-09-06T00:00:00"/>
    <d v="2018-09-06T00:00:00"/>
    <n v="500"/>
    <d v="2018-09-04T00:00:00"/>
    <s v="wci_wa"/>
    <n v="0"/>
    <n v="0"/>
    <n v="0"/>
    <n v="0"/>
    <n v="0"/>
    <n v="1"/>
    <n v="70195"/>
    <n v="2183"/>
    <n v="0"/>
    <n v="0"/>
    <m/>
    <m/>
    <m/>
    <m/>
    <s v="VO04762782"/>
  </r>
  <r>
    <s v="70195-2183-000-00"/>
    <d v="2018-09-20T00:00:00"/>
    <n v="909.93"/>
    <n v="0"/>
    <s v="USD"/>
    <s v="JRNLWA00379698"/>
    <s v="P"/>
    <s v="From Voucher Posting."/>
    <s v="JudyA"/>
    <s v="0/JE IC"/>
    <s v="VUS000014985"/>
    <m/>
    <x v="0"/>
    <d v="2018-09-01T00:00:00"/>
    <s v="WRRA Regular Dues"/>
    <n v="14367"/>
    <s v="PO-2000-18-03652"/>
    <m/>
    <m/>
    <s v="VO04778008"/>
    <s v="JRNL00904771"/>
    <n v="2000"/>
    <d v="2018-09-20T00:00:00"/>
    <d v="2018-09-20T00:00:00"/>
    <n v="8400"/>
    <d v="2018-10-06T00:00:00"/>
    <s v="wci_wa"/>
    <n v="0"/>
    <n v="0"/>
    <n v="0"/>
    <n v="0"/>
    <n v="0"/>
    <n v="1"/>
    <n v="70195"/>
    <n v="2183"/>
    <n v="0"/>
    <n v="0"/>
    <m/>
    <m/>
    <m/>
    <m/>
    <s v="VO04778008"/>
  </r>
  <r>
    <s v="70195-2183-000-00"/>
    <d v="2018-09-30T00:00:00"/>
    <n v="-500"/>
    <n v="0"/>
    <s v="USD"/>
    <s v="JRNLWA00379348"/>
    <s v="P"/>
    <s v="Opex 12 - S LeMay PO Log accru"/>
    <s v="AlexandraP"/>
    <s v="0/JE IC"/>
    <m/>
    <m/>
    <x v="6"/>
    <m/>
    <m/>
    <m/>
    <m/>
    <m/>
    <m/>
    <s v="JRNL00903610"/>
    <s v="JRNL00903807"/>
    <m/>
    <d v="2018-09-10T00:00:00"/>
    <d v="2018-09-10T00:00:00"/>
    <m/>
    <m/>
    <s v="wci_wa"/>
    <n v="0"/>
    <n v="0"/>
    <n v="0"/>
    <n v="0"/>
    <n v="5"/>
    <n v="1"/>
    <n v="70195"/>
    <n v="2183"/>
    <n v="0"/>
    <n v="0"/>
    <m/>
    <m/>
    <m/>
    <m/>
    <s v=""/>
  </r>
  <r>
    <s v="70195-2183-000-00"/>
    <d v="2018-10-18T00:00:00"/>
    <n v="909.93"/>
    <n v="0"/>
    <s v="USD"/>
    <s v="JRNLWA00381303"/>
    <s v="P"/>
    <s v="From Voucher Posting."/>
    <s v="MariaJ"/>
    <s v="0/JE IC"/>
    <s v="VUS000014985"/>
    <m/>
    <x v="0"/>
    <d v="2018-10-01T00:00:00"/>
    <s v="WRRA Regular Dues"/>
    <n v="14394"/>
    <s v="PO-2000-18-03997"/>
    <m/>
    <m/>
    <s v="VO04806236"/>
    <s v="JRNL00908687"/>
    <n v="2000"/>
    <d v="2018-10-18T00:00:00"/>
    <d v="2018-10-19T00:00:00"/>
    <n v="8400"/>
    <d v="2018-11-05T00:00:00"/>
    <s v="wci_wa"/>
    <n v="0"/>
    <n v="0"/>
    <n v="0"/>
    <n v="0"/>
    <n v="0"/>
    <n v="1"/>
    <n v="70195"/>
    <n v="2183"/>
    <n v="0"/>
    <n v="0"/>
    <m/>
    <m/>
    <m/>
    <m/>
    <s v="VO04806236"/>
  </r>
  <r>
    <s v="70195-2183-000-00"/>
    <d v="2018-10-31T00:00:00"/>
    <n v="180"/>
    <n v="0"/>
    <s v="USD"/>
    <m/>
    <s v="S"/>
    <s v="Western PCard Activity - October"/>
    <s v="JenniferB"/>
    <m/>
    <m/>
    <m/>
    <x v="8"/>
    <m/>
    <m/>
    <s v="JE22"/>
    <m/>
    <m/>
    <m/>
    <m/>
    <m/>
    <m/>
    <d v="2018-11-02T00:00:00"/>
    <m/>
    <m/>
    <m/>
    <m/>
    <n v="0"/>
    <m/>
    <m/>
    <m/>
    <m/>
    <m/>
    <n v="70195"/>
    <n v="2183"/>
    <n v="0"/>
    <n v="0"/>
    <m/>
    <s v="PO-2183-18-04569"/>
    <n v="2018010"/>
    <n v="2000"/>
    <s v=""/>
  </r>
  <r>
    <s v="70195-2183-000-00"/>
    <d v="2018-10-31T00:00:00"/>
    <n v="180"/>
    <n v="0"/>
    <s v="USD"/>
    <s v="JRNLWA00381684"/>
    <s v="P"/>
    <s v="Western PCard Activity - Octob"/>
    <s v="AlexandraP"/>
    <s v="0/JE IC"/>
    <m/>
    <m/>
    <x v="8"/>
    <m/>
    <m/>
    <m/>
    <m/>
    <m/>
    <m/>
    <s v="JRNL00909891"/>
    <s v="JRNL00909891"/>
    <m/>
    <d v="2018-11-02T00:00:00"/>
    <d v="2018-11-02T00:00:00"/>
    <m/>
    <m/>
    <s v="wci_wa"/>
    <n v="0"/>
    <n v="0"/>
    <n v="0"/>
    <n v="0"/>
    <n v="0"/>
    <n v="1"/>
    <n v="70195"/>
    <n v="2183"/>
    <n v="0"/>
    <n v="0"/>
    <m/>
    <m/>
    <m/>
    <m/>
    <s v=""/>
  </r>
  <r>
    <s v="70195-2183-000-00"/>
    <d v="2018-11-19T00:00:00"/>
    <n v="909.93"/>
    <n v="0"/>
    <s v="USD"/>
    <s v="JRNLWA00382796"/>
    <s v="P"/>
    <s v="From Voucher Posting."/>
    <s v="JudyA"/>
    <s v="0/JE IC"/>
    <s v="VUS000014985"/>
    <m/>
    <x v="0"/>
    <d v="2018-11-01T00:00:00"/>
    <s v="WRRA Regular Dues Nov."/>
    <n v="14437"/>
    <s v="PO-2000-18-04347"/>
    <m/>
    <m/>
    <s v="VO04836697"/>
    <s v="JRNL00912588"/>
    <n v="2000"/>
    <d v="2018-11-19T00:00:00"/>
    <d v="2018-11-19T00:00:00"/>
    <n v="8400"/>
    <d v="2018-12-06T00:00:00"/>
    <s v="wci_wa"/>
    <n v="0"/>
    <n v="0"/>
    <n v="0"/>
    <n v="0"/>
    <n v="0"/>
    <n v="1"/>
    <n v="70195"/>
    <n v="2183"/>
    <n v="0"/>
    <n v="0"/>
    <m/>
    <m/>
    <m/>
    <m/>
    <s v="VO04836697"/>
  </r>
  <r>
    <s v="70195-2183-000-00"/>
    <d v="2018-12-12T00:00:00"/>
    <n v="909.93"/>
    <n v="0"/>
    <s v="USD"/>
    <s v="JRNLWA00384203"/>
    <s v="P"/>
    <s v="From Voucher Posting."/>
    <s v="MariaJ"/>
    <s v="0/JE IC"/>
    <s v="VUS000014985"/>
    <m/>
    <x v="0"/>
    <d v="2018-12-01T00:00:00"/>
    <s v="WRRA Regular Dues"/>
    <n v="14461"/>
    <s v="PO-2000-18-04681"/>
    <m/>
    <m/>
    <s v="VO04859541"/>
    <s v="JRNL00916091"/>
    <n v="2000"/>
    <d v="2018-12-12T00:00:00"/>
    <d v="2018-12-20T00:00:00"/>
    <n v="8400"/>
    <d v="2019-01-05T00:00:00"/>
    <s v="wci_wa"/>
    <n v="0"/>
    <n v="0"/>
    <n v="0"/>
    <n v="0"/>
    <n v="0"/>
    <n v="1"/>
    <n v="70195"/>
    <n v="2183"/>
    <n v="0"/>
    <n v="0"/>
    <m/>
    <m/>
    <m/>
    <m/>
    <s v="VO04859541"/>
  </r>
  <r>
    <s v="70195-2183-000-00"/>
    <d v="2018-12-31T00:00:00"/>
    <n v="1025"/>
    <n v="0"/>
    <s v="USD"/>
    <s v="JRNLWA00384600"/>
    <s v="P"/>
    <s v="Western PCard Activity - Dec"/>
    <s v="HelenaK"/>
    <s v="0/JE IC"/>
    <m/>
    <m/>
    <x v="9"/>
    <m/>
    <m/>
    <m/>
    <m/>
    <m/>
    <m/>
    <s v="JRNL00917331"/>
    <s v="JRNL00917331"/>
    <m/>
    <d v="2019-01-03T00:00:00"/>
    <d v="2019-01-03T00:00:00"/>
    <m/>
    <m/>
    <s v="wci_wa"/>
    <n v="0"/>
    <n v="0"/>
    <n v="0"/>
    <n v="0"/>
    <n v="0"/>
    <n v="1"/>
    <n v="70195"/>
    <n v="2183"/>
    <n v="0"/>
    <n v="0"/>
    <m/>
    <m/>
    <m/>
    <m/>
    <s v=""/>
  </r>
  <r>
    <s v="70195-2183-000-00"/>
    <d v="2018-12-31T00:00:00"/>
    <n v="275"/>
    <n v="0"/>
    <s v="USD"/>
    <s v="JRNLWA00385306"/>
    <s v="P"/>
    <s v="OPEX13 - Pcard Accrual"/>
    <s v="AlexandraP"/>
    <s v="0/JE IC"/>
    <m/>
    <m/>
    <x v="10"/>
    <m/>
    <m/>
    <m/>
    <m/>
    <m/>
    <m/>
    <s v="JRNL00918905"/>
    <s v="JRNL00918905"/>
    <m/>
    <d v="2019-01-07T00:00:00"/>
    <d v="2019-01-08T00:00:00"/>
    <m/>
    <m/>
    <s v="wci_wa"/>
    <n v="0"/>
    <n v="0"/>
    <n v="0"/>
    <n v="0"/>
    <n v="0"/>
    <n v="1"/>
    <n v="70195"/>
    <n v="2183"/>
    <n v="0"/>
    <n v="0"/>
    <m/>
    <m/>
    <m/>
    <m/>
    <s v=""/>
  </r>
  <r>
    <s v="70195-2183-000-00"/>
    <d v="2019-01-17T00:00:00"/>
    <n v="876.65"/>
    <n v="0"/>
    <s v="USD"/>
    <s v="JRNLWA00385855"/>
    <s v="P"/>
    <s v="From Voucher Posting."/>
    <s v="JudyA"/>
    <s v="0/JE IC"/>
    <s v="VUS000014985"/>
    <m/>
    <x v="0"/>
    <d v="2019-01-01T00:00:00"/>
    <s v="WRRA Regular Dues"/>
    <n v="14621"/>
    <s v="PO-2000-19-00087"/>
    <m/>
    <m/>
    <s v="VO04894005"/>
    <s v="JRNL00920124"/>
    <n v="2000"/>
    <d v="2019-01-17T00:00:00"/>
    <d v="2019-01-17T00:00:00"/>
    <n v="8400"/>
    <d v="2019-02-05T00:00:00"/>
    <s v="wci_wa"/>
    <n v="0"/>
    <n v="0"/>
    <n v="0"/>
    <n v="0"/>
    <n v="0"/>
    <n v="1"/>
    <n v="70195"/>
    <n v="2183"/>
    <n v="0"/>
    <n v="0"/>
    <m/>
    <m/>
    <m/>
    <m/>
    <s v="VO04894005"/>
  </r>
  <r>
    <s v="70195-2183-000-00"/>
    <d v="2019-01-31T00:00:00"/>
    <n v="-275"/>
    <n v="0"/>
    <s v="USD"/>
    <s v="JRNLWA00385402"/>
    <s v="P"/>
    <s v="OPEX13 - Pcard Accrual"/>
    <s v="AlexandraP"/>
    <s v="0/JE IC"/>
    <m/>
    <m/>
    <x v="10"/>
    <m/>
    <m/>
    <m/>
    <m/>
    <m/>
    <m/>
    <s v="JRNL00918905"/>
    <s v="JRNL00919026"/>
    <m/>
    <d v="2019-01-08T00:00:00"/>
    <d v="2019-01-08T00:00:00"/>
    <m/>
    <m/>
    <s v="wci_wa"/>
    <n v="0"/>
    <n v="0"/>
    <n v="0"/>
    <n v="0"/>
    <n v="5"/>
    <n v="1"/>
    <n v="70195"/>
    <n v="2183"/>
    <n v="0"/>
    <n v="0"/>
    <m/>
    <m/>
    <m/>
    <m/>
    <s v=""/>
  </r>
  <r>
    <s v="70195-2183-000-00"/>
    <d v="2019-01-31T00:00:00"/>
    <n v="275"/>
    <n v="0"/>
    <s v="USD"/>
    <s v="JRNLWA00386265"/>
    <s v="P"/>
    <s v="Western PCard Activity - Jan"/>
    <s v="AlexandraP"/>
    <s v="0/JE IC"/>
    <m/>
    <m/>
    <x v="10"/>
    <m/>
    <m/>
    <m/>
    <m/>
    <m/>
    <m/>
    <s v="JRNL00921575"/>
    <s v="JRNL00921575"/>
    <m/>
    <d v="2019-02-04T00:00:00"/>
    <d v="2019-02-04T00:00:00"/>
    <m/>
    <m/>
    <s v="wci_wa"/>
    <n v="0"/>
    <n v="0"/>
    <n v="0"/>
    <n v="0"/>
    <n v="0"/>
    <n v="1"/>
    <n v="70195"/>
    <n v="2183"/>
    <n v="0"/>
    <n v="0"/>
    <m/>
    <m/>
    <m/>
    <m/>
    <s v=""/>
  </r>
  <r>
    <s v="70195-2183-000-00"/>
    <d v="2019-01-31T00:00:00"/>
    <n v="431.6"/>
    <n v="0"/>
    <s v="USD"/>
    <s v="JRNLWA00386265"/>
    <s v="P"/>
    <s v="Western PCard Activity - Jan"/>
    <s v="AlexandraP"/>
    <s v="0/JE IC"/>
    <m/>
    <m/>
    <x v="11"/>
    <m/>
    <m/>
    <m/>
    <m/>
    <m/>
    <m/>
    <s v="JRNL00921575"/>
    <s v="JRNL00921575"/>
    <m/>
    <d v="2019-02-04T00:00:00"/>
    <d v="2019-02-04T00:00:00"/>
    <m/>
    <m/>
    <s v="wci_wa"/>
    <n v="0"/>
    <n v="0"/>
    <n v="0"/>
    <n v="0"/>
    <n v="0"/>
    <n v="1"/>
    <n v="70195"/>
    <n v="2183"/>
    <n v="0"/>
    <n v="0"/>
    <m/>
    <m/>
    <m/>
    <m/>
    <s v=""/>
  </r>
  <r>
    <s v="70195-2183-000-00"/>
    <d v="2019-02-18T00:00:00"/>
    <n v="876.65"/>
    <n v="0"/>
    <s v="USD"/>
    <s v="JRNLWA00387401"/>
    <s v="P"/>
    <s v="From Voucher Posting."/>
    <s v="JudyA"/>
    <s v="0/JE IC"/>
    <s v="VUS000014985"/>
    <m/>
    <x v="0"/>
    <d v="2019-02-01T00:00:00"/>
    <s v="WRRA Regular Dues"/>
    <n v="14650"/>
    <s v="PO-2000-19-00532"/>
    <m/>
    <m/>
    <s v="VO04925537"/>
    <s v="JRNL00924314"/>
    <n v="2000"/>
    <d v="2019-02-18T00:00:00"/>
    <d v="2019-02-20T00:00:00"/>
    <n v="8400"/>
    <d v="2019-03-08T00:00:00"/>
    <s v="wci_wa"/>
    <n v="0"/>
    <n v="0"/>
    <n v="0"/>
    <n v="0"/>
    <n v="0"/>
    <n v="1"/>
    <n v="70195"/>
    <n v="2183"/>
    <n v="0"/>
    <n v="0"/>
    <m/>
    <m/>
    <m/>
    <m/>
    <s v="VO04925537"/>
  </r>
  <r>
    <s v="70195-2183-000-00"/>
    <d v="2019-02-28T00:00:00"/>
    <n v="208"/>
    <n v="0"/>
    <s v="USD"/>
    <s v="JRNLWA00388437"/>
    <s v="P"/>
    <s v="2019-02 TacH PO Log Accr"/>
    <s v="AlexandraP"/>
    <s v="0/JE IC"/>
    <m/>
    <m/>
    <x v="12"/>
    <m/>
    <m/>
    <m/>
    <m/>
    <m/>
    <m/>
    <s v="JRNL00926693"/>
    <s v="JRNL00926693"/>
    <m/>
    <d v="2019-03-06T00:00:00"/>
    <d v="2019-03-07T00:00:00"/>
    <m/>
    <m/>
    <s v="wci_wa"/>
    <n v="0"/>
    <n v="0"/>
    <n v="0"/>
    <n v="0"/>
    <n v="0"/>
    <n v="1"/>
    <n v="70195"/>
    <n v="2183"/>
    <n v="0"/>
    <n v="0"/>
    <m/>
    <m/>
    <m/>
    <m/>
    <s v=""/>
  </r>
  <r>
    <s v="70195-2183-000-00"/>
    <d v="2019-02-28T00:00:00"/>
    <n v="25"/>
    <n v="0"/>
    <s v="USD"/>
    <s v="JRNLWA00388494"/>
    <s v="P"/>
    <s v="PO Log Accrual"/>
    <s v="AlexandraP"/>
    <s v="0/JE IC"/>
    <m/>
    <m/>
    <x v="13"/>
    <m/>
    <m/>
    <m/>
    <m/>
    <m/>
    <m/>
    <s v="JRNL00926750"/>
    <s v="JRNL00926750"/>
    <m/>
    <d v="2019-03-06T00:00:00"/>
    <d v="2019-03-07T00:00:00"/>
    <m/>
    <m/>
    <s v="wci_wa"/>
    <n v="0"/>
    <n v="0"/>
    <n v="0"/>
    <n v="0"/>
    <n v="0"/>
    <n v="1"/>
    <n v="70195"/>
    <n v="2183"/>
    <n v="0"/>
    <n v="0"/>
    <m/>
    <m/>
    <m/>
    <m/>
    <s v=""/>
  </r>
  <r>
    <s v="70195-2183-000-00"/>
    <d v="2019-03-05T00:00:00"/>
    <n v="208"/>
    <n v="0"/>
    <s v="USD"/>
    <s v="JRNLWA00387839"/>
    <s v="P"/>
    <s v="From Voucher Posting."/>
    <s v="JudyA"/>
    <s v="0/JE IC"/>
    <s v="VUS000014809"/>
    <m/>
    <x v="14"/>
    <d v="2019-03-01T00:00:00"/>
    <s v="192113 - AWB Association of WA Business"/>
    <n v="192113"/>
    <s v="PO-2111-19-00858"/>
    <m/>
    <m/>
    <s v="VO04941245"/>
    <s v="JRNL00925493"/>
    <n v="2111"/>
    <d v="2019-03-05T00:00:00"/>
    <d v="2019-03-05T00:00:00"/>
    <n v="2600"/>
    <d v="2019-03-11T00:00:00"/>
    <s v="wci_wa"/>
    <n v="0"/>
    <n v="0"/>
    <n v="0"/>
    <n v="0"/>
    <n v="0"/>
    <n v="1"/>
    <n v="70195"/>
    <n v="2183"/>
    <n v="0"/>
    <n v="0"/>
    <m/>
    <m/>
    <m/>
    <m/>
    <s v="VO04941245"/>
  </r>
  <r>
    <s v="70195-2183-000-00"/>
    <d v="2019-03-26T00:00:00"/>
    <n v="876.65"/>
    <n v="0"/>
    <s v="USD"/>
    <s v="JRNLWA00388964"/>
    <s v="P"/>
    <s v="From Voucher Posting."/>
    <s v="JudyA"/>
    <s v="0/JE IC"/>
    <s v="VUS000014985"/>
    <m/>
    <x v="0"/>
    <d v="2019-03-01T00:00:00"/>
    <s v="WRRA Regular Dues"/>
    <n v="14680"/>
    <s v="PO-2000-19-00979"/>
    <m/>
    <m/>
    <s v="VO04964688"/>
    <s v="JRNL00927825"/>
    <n v="2000"/>
    <d v="2019-03-26T00:00:00"/>
    <d v="2019-03-28T00:00:00"/>
    <n v="8400"/>
    <d v="2019-04-05T00:00:00"/>
    <s v="wci_wa"/>
    <n v="0"/>
    <n v="0"/>
    <n v="0"/>
    <n v="0"/>
    <n v="0"/>
    <n v="1"/>
    <n v="70195"/>
    <n v="2183"/>
    <n v="0"/>
    <n v="0"/>
    <m/>
    <m/>
    <m/>
    <m/>
    <s v="VO04964688"/>
  </r>
  <r>
    <s v="70195-2183-000-00"/>
    <d v="2019-03-31T00:00:00"/>
    <n v="-208"/>
    <n v="0"/>
    <s v="USD"/>
    <s v="JRNLWA00388559"/>
    <s v="P"/>
    <s v="2019-02 TacH PO Log Accr"/>
    <s v="AlexandraP"/>
    <s v="0/JE IC"/>
    <m/>
    <m/>
    <x v="12"/>
    <m/>
    <m/>
    <m/>
    <m/>
    <m/>
    <m/>
    <s v="JRNL00926693"/>
    <s v="JRNL00926882"/>
    <m/>
    <d v="2019-03-07T00:00:00"/>
    <d v="2019-03-07T00:00:00"/>
    <m/>
    <m/>
    <s v="wci_wa"/>
    <n v="0"/>
    <n v="0"/>
    <n v="0"/>
    <n v="0"/>
    <n v="5"/>
    <n v="1"/>
    <n v="70195"/>
    <n v="2183"/>
    <n v="0"/>
    <n v="0"/>
    <m/>
    <m/>
    <m/>
    <m/>
    <s v=""/>
  </r>
  <r>
    <s v="70195-2183-000-00"/>
    <d v="2019-03-31T00:00:00"/>
    <n v="-25"/>
    <n v="0"/>
    <s v="USD"/>
    <s v="JRNLWA00388585"/>
    <s v="P"/>
    <s v="PO Log Accrual"/>
    <s v="AlexandraP"/>
    <s v="0/JE IC"/>
    <m/>
    <m/>
    <x v="13"/>
    <m/>
    <m/>
    <m/>
    <m/>
    <m/>
    <m/>
    <s v="JRNL00926750"/>
    <s v="JRNL00926908"/>
    <m/>
    <d v="2019-03-07T00:00:00"/>
    <d v="2019-03-07T00:00:00"/>
    <m/>
    <m/>
    <s v="wci_wa"/>
    <n v="0"/>
    <n v="0"/>
    <n v="0"/>
    <n v="0"/>
    <n v="5"/>
    <n v="1"/>
    <n v="70195"/>
    <n v="2183"/>
    <n v="0"/>
    <n v="0"/>
    <m/>
    <m/>
    <m/>
    <m/>
    <s v=""/>
  </r>
  <r>
    <s v="70195-2183-000-00"/>
    <d v="2019-04-10T00:00:00"/>
    <n v="876.65"/>
    <n v="0"/>
    <s v="USD"/>
    <s v="JRNLWA00390306"/>
    <s v="P"/>
    <s v="From Voucher Posting."/>
    <s v="JudyA"/>
    <s v="0/JE IC"/>
    <s v="VUS000014985"/>
    <m/>
    <x v="0"/>
    <d v="2019-04-01T00:00:00"/>
    <s v="WRRA Regular Dues"/>
    <n v="14709"/>
    <s v="PO-2000-19-01352"/>
    <m/>
    <m/>
    <s v="VO04979309"/>
    <s v="JRNL00930569"/>
    <n v="2000"/>
    <d v="2019-04-10T00:00:00"/>
    <d v="2019-04-19T00:00:00"/>
    <n v="8400"/>
    <d v="2019-05-06T00:00:00"/>
    <s v="wci_wa"/>
    <n v="0"/>
    <n v="0"/>
    <n v="0"/>
    <n v="0"/>
    <n v="0"/>
    <n v="1"/>
    <n v="70195"/>
    <n v="2183"/>
    <n v="0"/>
    <n v="0"/>
    <m/>
    <m/>
    <m/>
    <m/>
    <s v="VO04979309"/>
  </r>
  <r>
    <s v="70195-2183-000-00"/>
    <d v="2019-04-30T00:00:00"/>
    <n v="239.56"/>
    <n v="0"/>
    <s v="USD"/>
    <s v="JRNLWA00390650"/>
    <s v="P"/>
    <s v="Western Pcard Activity - April"/>
    <s v="HelenaK"/>
    <s v="0/JE IC"/>
    <m/>
    <m/>
    <x v="15"/>
    <m/>
    <m/>
    <m/>
    <m/>
    <m/>
    <m/>
    <s v="JRNL00931518"/>
    <s v="JRNL00931518"/>
    <m/>
    <d v="2019-05-01T00:00:00"/>
    <d v="2019-05-02T00:00:00"/>
    <m/>
    <m/>
    <s v="wci_wa"/>
    <n v="0"/>
    <n v="0"/>
    <n v="0"/>
    <n v="0"/>
    <n v="0"/>
    <n v="1"/>
    <n v="70195"/>
    <n v="2183"/>
    <n v="0"/>
    <n v="0"/>
    <m/>
    <m/>
    <m/>
    <m/>
    <s v=""/>
  </r>
  <r>
    <s v="70195-2183-000-00"/>
    <d v="2019-04-30T00:00:00"/>
    <n v="705"/>
    <n v="0"/>
    <s v="USD"/>
    <s v="JRNLWA00391257"/>
    <s v="P"/>
    <s v="OPEX13 - Pcard Accrual"/>
    <s v="AlexandraP"/>
    <s v="0/JE IC"/>
    <m/>
    <m/>
    <x v="4"/>
    <m/>
    <m/>
    <m/>
    <m/>
    <m/>
    <m/>
    <s v="JRNL00932811"/>
    <s v="JRNL00932811"/>
    <m/>
    <d v="2019-05-06T00:00:00"/>
    <d v="2019-05-06T00:00:00"/>
    <m/>
    <m/>
    <s v="wci_wa"/>
    <n v="0"/>
    <n v="0"/>
    <n v="0"/>
    <n v="0"/>
    <n v="0"/>
    <n v="1"/>
    <n v="70195"/>
    <n v="2183"/>
    <n v="0"/>
    <n v="0"/>
    <m/>
    <m/>
    <m/>
    <m/>
    <s v=""/>
  </r>
</pivotCacheRecords>
</file>

<file path=xl/pivotCache/pivotCacheRecords4.xml><?xml version="1.0" encoding="utf-8"?>
<pivotCacheRecords xmlns="http://schemas.openxmlformats.org/spreadsheetml/2006/main" xmlns:r="http://schemas.openxmlformats.org/officeDocument/2006/relationships" count="36">
  <r>
    <s v="70255-2183-000-00"/>
    <d v="2018-05-31T00:00:00"/>
    <n v="-644.37"/>
    <n v="0"/>
    <s v="USD"/>
    <s v="JRNLWA00372920"/>
    <s v="P"/>
    <s v="Ruby Canyon, Cameron Cole Accr"/>
    <s v="AlexandraP"/>
    <s v="0/JE IC"/>
    <m/>
    <m/>
    <x v="0"/>
    <m/>
    <m/>
    <m/>
    <m/>
    <m/>
    <m/>
    <s v="JRNL00887940"/>
    <s v="JRNL00887970"/>
    <m/>
    <d v="2018-05-04T00:00:00"/>
    <d v="2018-05-04T00:00:00"/>
    <m/>
    <m/>
    <s v="wci_wa"/>
    <n v="0"/>
    <n v="0"/>
    <n v="0"/>
    <n v="0"/>
    <n v="5"/>
    <n v="1"/>
    <n v="70255"/>
    <n v="2183"/>
    <n v="0"/>
    <n v="0"/>
    <m/>
    <m/>
    <m/>
    <m/>
    <s v=""/>
  </r>
  <r>
    <s v="70255-2183-000-00"/>
    <d v="2018-05-31T00:00:00"/>
    <n v="-275"/>
    <n v="0"/>
    <s v="USD"/>
    <s v="JRNLWA00373291"/>
    <s v="P"/>
    <s v="Opex 12 - S LeMay PO Log accru"/>
    <s v="AlexandraP"/>
    <s v="0/JE IC"/>
    <m/>
    <m/>
    <x v="1"/>
    <m/>
    <m/>
    <m/>
    <m/>
    <m/>
    <m/>
    <s v="JRNL00888329"/>
    <s v="JRNL00888489"/>
    <m/>
    <d v="2018-05-07T00:00:00"/>
    <d v="2018-05-07T00:00:00"/>
    <m/>
    <m/>
    <s v="wci_wa"/>
    <n v="0"/>
    <n v="0"/>
    <n v="0"/>
    <n v="0"/>
    <n v="5"/>
    <n v="1"/>
    <n v="70255"/>
    <n v="2183"/>
    <n v="0"/>
    <n v="0"/>
    <m/>
    <m/>
    <m/>
    <m/>
    <s v=""/>
  </r>
  <r>
    <s v="70255-2183-000-00"/>
    <d v="2018-05-31T00:00:00"/>
    <n v="412.82"/>
    <n v="0"/>
    <s v="USD"/>
    <s v="JRNLWA00373784"/>
    <s v="P"/>
    <s v="From Voucher Posting."/>
    <s v="RosemaryS"/>
    <s v="0/JE IC"/>
    <s v="VUS000023857"/>
    <m/>
    <x v="2"/>
    <d v="2018-04-22T00:00:00"/>
    <s v="Third party pricing consultant for UTC m"/>
    <s v="WCN-01"/>
    <s v="PO-2000-18-02367"/>
    <m/>
    <m/>
    <s v="VO04668693"/>
    <s v="JRNL00890350"/>
    <n v="2000"/>
    <d v="2018-06-01T00:00:00"/>
    <d v="2018-06-01T00:00:00"/>
    <n v="1784"/>
    <d v="2018-06-26T00:00:00"/>
    <s v="wci_wa"/>
    <n v="0"/>
    <n v="0"/>
    <n v="0"/>
    <n v="0"/>
    <n v="0"/>
    <n v="1"/>
    <n v="70255"/>
    <n v="2183"/>
    <n v="0"/>
    <n v="0"/>
    <m/>
    <m/>
    <m/>
    <m/>
    <s v="VO04668693"/>
  </r>
  <r>
    <s v="70255-2183-000-00"/>
    <d v="2018-05-31T00:00:00"/>
    <n v="275"/>
    <n v="0"/>
    <s v="USD"/>
    <s v="JRNLWA00373884"/>
    <s v="P"/>
    <s v="Western Region PCard Activity"/>
    <s v="HelenaK"/>
    <s v="0/JE IC"/>
    <m/>
    <m/>
    <x v="3"/>
    <m/>
    <m/>
    <m/>
    <m/>
    <m/>
    <m/>
    <s v="JRNL00890577"/>
    <s v="JRNL00890577"/>
    <m/>
    <d v="2018-06-04T00:00:00"/>
    <d v="2018-06-04T00:00:00"/>
    <m/>
    <m/>
    <s v="wci_wa"/>
    <n v="0"/>
    <n v="0"/>
    <n v="0"/>
    <n v="0"/>
    <n v="0"/>
    <n v="1"/>
    <n v="70255"/>
    <n v="2183"/>
    <n v="0"/>
    <n v="0"/>
    <m/>
    <m/>
    <m/>
    <m/>
    <s v=""/>
  </r>
  <r>
    <s v="70255-2183-000-00"/>
    <d v="2018-05-31T00:00:00"/>
    <n v="1287.79"/>
    <n v="0"/>
    <s v="USD"/>
    <s v="JRNLWA00374422"/>
    <s v="P"/>
    <s v="Ruby Canyon, Cameron Cole Accr"/>
    <s v="AlexandraP"/>
    <s v="0/JE IC"/>
    <m/>
    <m/>
    <x v="4"/>
    <m/>
    <m/>
    <m/>
    <m/>
    <m/>
    <m/>
    <s v="JRNL00891714"/>
    <s v="JRNL00891714"/>
    <m/>
    <d v="2018-06-06T00:00:00"/>
    <d v="2018-06-06T00:00:00"/>
    <m/>
    <m/>
    <s v="wci_wa"/>
    <n v="0"/>
    <n v="0"/>
    <n v="0"/>
    <n v="0"/>
    <n v="0"/>
    <n v="1"/>
    <n v="70255"/>
    <n v="2183"/>
    <n v="0"/>
    <n v="0"/>
    <m/>
    <m/>
    <m/>
    <m/>
    <s v=""/>
  </r>
  <r>
    <s v="70255-2183-000-00"/>
    <d v="2018-05-31T00:00:00"/>
    <n v="275"/>
    <n v="0"/>
    <s v="USD"/>
    <s v="JRNLWA00374690"/>
    <s v="P"/>
    <s v="Opex 12 - S LeMay PO Log accru"/>
    <s v="AlexandraP"/>
    <s v="0/JE IC"/>
    <m/>
    <m/>
    <x v="1"/>
    <m/>
    <m/>
    <m/>
    <m/>
    <m/>
    <m/>
    <s v="JRNL00892072"/>
    <s v="JRNL00892072"/>
    <m/>
    <d v="2018-06-06T00:00:00"/>
    <d v="2018-06-07T00:00:00"/>
    <m/>
    <m/>
    <s v="wci_wa"/>
    <n v="0"/>
    <n v="0"/>
    <n v="0"/>
    <n v="0"/>
    <n v="0"/>
    <n v="1"/>
    <n v="70255"/>
    <n v="2183"/>
    <n v="0"/>
    <n v="0"/>
    <m/>
    <m/>
    <m/>
    <m/>
    <s v=""/>
  </r>
  <r>
    <s v="70255-2183-000-00"/>
    <d v="2018-06-18T00:00:00"/>
    <n v="212.93"/>
    <n v="0"/>
    <s v="USD"/>
    <s v="JRNLWA00375068"/>
    <s v="P"/>
    <s v="From Voucher Posting."/>
    <s v="RosemaryS"/>
    <s v="0/JE IC"/>
    <s v="VUS000023348"/>
    <m/>
    <x v="5"/>
    <d v="2018-06-08T00:00:00"/>
    <s v="20180708 - NEW DIVISION LOGO"/>
    <n v="20180708"/>
    <s v="PO-2111-18-03021"/>
    <m/>
    <m/>
    <s v="VO04683065"/>
    <s v="JRNL00893088"/>
    <n v="2111"/>
    <d v="2018-06-18T00:00:00"/>
    <d v="2018-06-18T00:00:00"/>
    <n v="1162.5"/>
    <d v="2018-08-12T00:00:00"/>
    <s v="wci_wa"/>
    <n v="0"/>
    <n v="0"/>
    <n v="0"/>
    <n v="0"/>
    <n v="0"/>
    <n v="1"/>
    <n v="70255"/>
    <n v="2183"/>
    <n v="0"/>
    <n v="0"/>
    <m/>
    <m/>
    <m/>
    <m/>
    <s v="VO04683065"/>
  </r>
  <r>
    <s v="70255-2183-000-00"/>
    <d v="2018-06-30T00:00:00"/>
    <n v="-1287.79"/>
    <n v="0"/>
    <s v="USD"/>
    <s v="JRNLWA00374437"/>
    <s v="P"/>
    <s v="Ruby Canyon, Cameron Cole Accr"/>
    <s v="AlexandraP"/>
    <s v="0/JE IC"/>
    <m/>
    <m/>
    <x v="4"/>
    <m/>
    <m/>
    <m/>
    <m/>
    <m/>
    <m/>
    <s v="JRNL00891714"/>
    <s v="JRNL00891732"/>
    <m/>
    <d v="2018-06-06T00:00:00"/>
    <d v="2018-06-06T00:00:00"/>
    <m/>
    <m/>
    <s v="wci_wa"/>
    <n v="0"/>
    <n v="0"/>
    <n v="0"/>
    <n v="0"/>
    <n v="5"/>
    <n v="1"/>
    <n v="70255"/>
    <n v="2183"/>
    <n v="0"/>
    <n v="0"/>
    <m/>
    <m/>
    <m/>
    <m/>
    <s v=""/>
  </r>
  <r>
    <s v="70255-2183-000-00"/>
    <d v="2018-06-30T00:00:00"/>
    <n v="-275"/>
    <n v="0"/>
    <s v="USD"/>
    <s v="JRNLWA00374765"/>
    <s v="P"/>
    <s v="Opex 12 - S LeMay PO Log accru"/>
    <s v="AlexandraP"/>
    <s v="0/JE IC"/>
    <m/>
    <m/>
    <x v="1"/>
    <m/>
    <m/>
    <m/>
    <m/>
    <m/>
    <m/>
    <s v="JRNL00892072"/>
    <s v="JRNL00892188"/>
    <m/>
    <d v="2018-06-07T00:00:00"/>
    <d v="2018-06-07T00:00:00"/>
    <m/>
    <m/>
    <s v="wci_wa"/>
    <n v="0"/>
    <n v="0"/>
    <n v="0"/>
    <n v="0"/>
    <n v="5"/>
    <n v="1"/>
    <n v="70255"/>
    <n v="2183"/>
    <n v="0"/>
    <n v="0"/>
    <m/>
    <m/>
    <m/>
    <m/>
    <s v=""/>
  </r>
  <r>
    <s v="70255-2183-000-00"/>
    <d v="2018-06-30T00:00:00"/>
    <n v="275"/>
    <n v="0"/>
    <s v="USD"/>
    <s v="JRNLWA00375434"/>
    <s v="P"/>
    <s v="June PCard Activity - Western"/>
    <s v="HeatherWe"/>
    <s v="0/JE IC"/>
    <m/>
    <m/>
    <x v="6"/>
    <m/>
    <m/>
    <m/>
    <m/>
    <m/>
    <m/>
    <s v="JRNL00894442"/>
    <s v="JRNL00894442"/>
    <m/>
    <d v="2018-07-03T00:00:00"/>
    <d v="2018-07-03T00:00:00"/>
    <m/>
    <m/>
    <s v="wci_wa"/>
    <n v="0"/>
    <n v="0"/>
    <n v="0"/>
    <n v="0"/>
    <n v="0"/>
    <n v="1"/>
    <n v="70255"/>
    <n v="2183"/>
    <n v="0"/>
    <n v="0"/>
    <m/>
    <m/>
    <m/>
    <m/>
    <s v=""/>
  </r>
  <r>
    <s v="70255-2183-000-00"/>
    <d v="2018-06-30T00:00:00"/>
    <n v="275"/>
    <n v="0"/>
    <s v="USD"/>
    <s v="JRNLWA00375434"/>
    <s v="P"/>
    <s v="June PCard Activity - Western"/>
    <s v="HeatherWe"/>
    <s v="0/JE IC"/>
    <m/>
    <m/>
    <x v="3"/>
    <m/>
    <m/>
    <m/>
    <m/>
    <m/>
    <m/>
    <s v="JRNL00894442"/>
    <s v="JRNL00894442"/>
    <m/>
    <d v="2018-07-03T00:00:00"/>
    <d v="2018-07-03T00:00:00"/>
    <m/>
    <m/>
    <s v="wci_wa"/>
    <n v="0"/>
    <n v="0"/>
    <n v="0"/>
    <n v="0"/>
    <n v="0"/>
    <n v="1"/>
    <n v="70255"/>
    <n v="2183"/>
    <n v="0"/>
    <n v="0"/>
    <m/>
    <m/>
    <m/>
    <m/>
    <s v=""/>
  </r>
  <r>
    <s v="70255-2183-000-00"/>
    <d v="2018-06-30T00:00:00"/>
    <n v="305.33999999999997"/>
    <n v="0"/>
    <s v="USD"/>
    <s v="JRNLWA00375586"/>
    <s v="P"/>
    <s v="Ruby Canyon, Cameron Cole Accr"/>
    <s v="HeatherWe"/>
    <s v="0/JE IC"/>
    <m/>
    <m/>
    <x v="7"/>
    <m/>
    <m/>
    <m/>
    <m/>
    <m/>
    <m/>
    <s v="JRNL00894826"/>
    <s v="JRNL00894826"/>
    <m/>
    <d v="2018-07-05T00:00:00"/>
    <d v="2018-07-05T00:00:00"/>
    <m/>
    <m/>
    <s v="wci_wa"/>
    <n v="0"/>
    <n v="0"/>
    <n v="0"/>
    <n v="0"/>
    <n v="0"/>
    <n v="1"/>
    <n v="70255"/>
    <n v="2183"/>
    <n v="0"/>
    <n v="0"/>
    <m/>
    <m/>
    <m/>
    <m/>
    <s v=""/>
  </r>
  <r>
    <s v="70255-2183-000-00"/>
    <d v="2018-06-30T00:00:00"/>
    <n v="1287.79"/>
    <n v="0"/>
    <s v="USD"/>
    <s v="JRNLWA00375587"/>
    <s v="P"/>
    <s v="Ruby Canyon, Cameron Cole Allo"/>
    <s v="HeatherWe"/>
    <s v="0/JE IC"/>
    <m/>
    <m/>
    <x v="8"/>
    <m/>
    <m/>
    <m/>
    <m/>
    <m/>
    <m/>
    <s v="JRNL00894827"/>
    <s v="JRNL00894827"/>
    <m/>
    <d v="2018-07-05T00:00:00"/>
    <d v="2018-07-05T00:00:00"/>
    <m/>
    <m/>
    <s v="wci_wa"/>
    <n v="0"/>
    <n v="0"/>
    <n v="0"/>
    <n v="0"/>
    <n v="0"/>
    <n v="1"/>
    <n v="70255"/>
    <n v="2183"/>
    <n v="0"/>
    <n v="0"/>
    <m/>
    <m/>
    <m/>
    <m/>
    <s v=""/>
  </r>
  <r>
    <s v="70255-2183-000-00"/>
    <d v="2018-07-31T00:00:00"/>
    <n v="-305.33999999999997"/>
    <n v="0"/>
    <s v="USD"/>
    <s v="JRNLWA00375663"/>
    <s v="P"/>
    <s v="Ruby Canyon, Cameron Cole Accr"/>
    <s v="HelenaK"/>
    <s v="0/JE IC"/>
    <m/>
    <m/>
    <x v="7"/>
    <m/>
    <m/>
    <m/>
    <m/>
    <m/>
    <m/>
    <s v="JRNL00894826"/>
    <s v="JRNL00894829"/>
    <m/>
    <d v="2018-07-05T00:00:00"/>
    <d v="2018-07-05T00:00:00"/>
    <m/>
    <m/>
    <s v="wci_wa"/>
    <n v="0"/>
    <n v="0"/>
    <n v="0"/>
    <n v="0"/>
    <n v="5"/>
    <n v="1"/>
    <n v="70255"/>
    <n v="2183"/>
    <n v="0"/>
    <n v="0"/>
    <m/>
    <m/>
    <m/>
    <m/>
    <s v=""/>
  </r>
  <r>
    <s v="70255-2183-000-00"/>
    <d v="2018-07-31T00:00:00"/>
    <n v="275"/>
    <n v="0"/>
    <s v="USD"/>
    <s v="JRNLWA00376944"/>
    <s v="P"/>
    <s v="July Pcard Activity - Western"/>
    <s v="AlexandraP"/>
    <s v="0/JE IC"/>
    <m/>
    <m/>
    <x v="3"/>
    <m/>
    <m/>
    <m/>
    <m/>
    <m/>
    <m/>
    <s v="JRNL00898234"/>
    <s v="JRNL00898234"/>
    <m/>
    <d v="2018-08-02T00:00:00"/>
    <d v="2018-08-02T00:00:00"/>
    <m/>
    <m/>
    <s v="wci_wa"/>
    <n v="0"/>
    <n v="0"/>
    <n v="0"/>
    <n v="0"/>
    <n v="0"/>
    <n v="1"/>
    <n v="70255"/>
    <n v="2183"/>
    <n v="0"/>
    <n v="0"/>
    <m/>
    <m/>
    <m/>
    <m/>
    <s v=""/>
  </r>
  <r>
    <s v="70255-2183-000-00"/>
    <d v="2018-07-31T00:00:00"/>
    <n v="240"/>
    <n v="0"/>
    <s v="USD"/>
    <s v="JRNLWA00376947"/>
    <s v="P"/>
    <s v="Pcard Activity July18"/>
    <s v="AlexandraP"/>
    <s v="0/JE IC"/>
    <m/>
    <m/>
    <x v="9"/>
    <m/>
    <m/>
    <m/>
    <m/>
    <m/>
    <m/>
    <s v="JRNL00898249"/>
    <s v="JRNL00898249"/>
    <m/>
    <d v="2018-08-02T00:00:00"/>
    <d v="2018-08-02T00:00:00"/>
    <m/>
    <m/>
    <s v="wci_wa"/>
    <n v="0"/>
    <n v="0"/>
    <n v="0"/>
    <n v="0"/>
    <n v="0"/>
    <n v="1"/>
    <n v="70255"/>
    <n v="2183"/>
    <n v="0"/>
    <n v="0"/>
    <m/>
    <m/>
    <m/>
    <m/>
    <s v=""/>
  </r>
  <r>
    <s v="70255-2183-000-00"/>
    <d v="2018-07-31T00:00:00"/>
    <n v="25.68"/>
    <n v="0"/>
    <s v="USD"/>
    <s v="JRNLWA00377679"/>
    <s v="P"/>
    <s v="Ruby Canyon, Cameron Cole Accr"/>
    <s v="AlexandraP"/>
    <s v="0/JE IC"/>
    <m/>
    <m/>
    <x v="10"/>
    <m/>
    <m/>
    <m/>
    <m/>
    <m/>
    <m/>
    <s v="JRNL00899739"/>
    <s v="JRNL00899739"/>
    <m/>
    <d v="2018-08-06T00:00:00"/>
    <d v="2018-08-07T00:00:00"/>
    <m/>
    <m/>
    <s v="wci_wa"/>
    <n v="0"/>
    <n v="0"/>
    <n v="0"/>
    <n v="0"/>
    <n v="0"/>
    <n v="1"/>
    <n v="70255"/>
    <n v="2183"/>
    <n v="0"/>
    <n v="0"/>
    <m/>
    <m/>
    <m/>
    <m/>
    <s v=""/>
  </r>
  <r>
    <s v="70255-2183-000-00"/>
    <d v="2018-07-31T00:00:00"/>
    <n v="305.33999999999997"/>
    <n v="0"/>
    <s v="USD"/>
    <s v="JRNLWA00377680"/>
    <s v="P"/>
    <s v="Ruby Canyon, Cameron Cole Allo"/>
    <s v="AlexandraP"/>
    <s v="0/JE IC"/>
    <m/>
    <m/>
    <x v="8"/>
    <m/>
    <m/>
    <m/>
    <m/>
    <m/>
    <m/>
    <s v="JRNL00899740"/>
    <s v="JRNL00899740"/>
    <m/>
    <d v="2018-08-06T00:00:00"/>
    <d v="2018-08-07T00:00:00"/>
    <m/>
    <m/>
    <s v="wci_wa"/>
    <n v="0"/>
    <n v="0"/>
    <n v="0"/>
    <n v="0"/>
    <n v="0"/>
    <n v="1"/>
    <n v="70255"/>
    <n v="2183"/>
    <n v="0"/>
    <n v="0"/>
    <m/>
    <m/>
    <m/>
    <m/>
    <s v=""/>
  </r>
  <r>
    <s v="70255-2183-000-00"/>
    <d v="2018-08-31T00:00:00"/>
    <n v="-25.68"/>
    <n v="0"/>
    <s v="USD"/>
    <s v="JRNLWA00377736"/>
    <s v="P"/>
    <s v="Ruby Canyon, Cameron Cole Accr"/>
    <s v="HelenaK"/>
    <s v="0/JE IC"/>
    <m/>
    <m/>
    <x v="10"/>
    <m/>
    <m/>
    <m/>
    <m/>
    <m/>
    <m/>
    <s v="JRNL00899739"/>
    <s v="JRNL00899900"/>
    <m/>
    <d v="2018-08-07T00:00:00"/>
    <d v="2018-08-07T00:00:00"/>
    <m/>
    <m/>
    <s v="wci_wa"/>
    <n v="0"/>
    <n v="0"/>
    <n v="0"/>
    <n v="0"/>
    <n v="5"/>
    <n v="1"/>
    <n v="70255"/>
    <n v="2183"/>
    <n v="0"/>
    <n v="0"/>
    <m/>
    <m/>
    <m/>
    <m/>
    <s v=""/>
  </r>
  <r>
    <s v="70255-2183-000-00"/>
    <d v="2018-08-31T00:00:00"/>
    <n v="275"/>
    <n v="0"/>
    <s v="USD"/>
    <s v="JRNLWA00378512"/>
    <s v="P"/>
    <s v="Aug Pcard Activity - Western"/>
    <s v="HelenaK"/>
    <s v="0/JE IC"/>
    <m/>
    <m/>
    <x v="3"/>
    <m/>
    <m/>
    <m/>
    <m/>
    <m/>
    <m/>
    <s v="JRNL00902204"/>
    <s v="JRNL00902204"/>
    <m/>
    <d v="2018-09-05T00:00:00"/>
    <d v="2018-09-05T00:00:00"/>
    <m/>
    <m/>
    <s v="wci_wa"/>
    <n v="0"/>
    <n v="0"/>
    <n v="0"/>
    <n v="0"/>
    <n v="0"/>
    <n v="1"/>
    <n v="70255"/>
    <n v="2183"/>
    <n v="0"/>
    <n v="0"/>
    <m/>
    <m/>
    <m/>
    <m/>
    <s v=""/>
  </r>
  <r>
    <s v="70255-2183-000-00"/>
    <d v="2018-08-31T00:00:00"/>
    <n v="25.68"/>
    <n v="0"/>
    <s v="USD"/>
    <s v="JRNLWA00379245"/>
    <s v="P"/>
    <s v="Ruby Canyon, Cameron Cole Allo"/>
    <s v="AlexandraP"/>
    <s v="0/JE IC"/>
    <m/>
    <m/>
    <x v="8"/>
    <m/>
    <m/>
    <m/>
    <m/>
    <m/>
    <m/>
    <s v="JRNL00903596"/>
    <s v="JRNL00903596"/>
    <m/>
    <d v="2018-09-07T00:00:00"/>
    <d v="2018-09-10T00:00:00"/>
    <m/>
    <m/>
    <s v="wci_wa"/>
    <n v="0"/>
    <n v="0"/>
    <n v="0"/>
    <n v="0"/>
    <n v="0"/>
    <n v="1"/>
    <n v="70255"/>
    <n v="2183"/>
    <n v="0"/>
    <n v="0"/>
    <m/>
    <m/>
    <m/>
    <m/>
    <s v=""/>
  </r>
  <r>
    <s v="70255-2183-000-00"/>
    <d v="2018-08-31T00:00:00"/>
    <n v="84.01"/>
    <n v="0"/>
    <s v="USD"/>
    <s v="JRNLWA00379246"/>
    <s v="P"/>
    <s v="Ruby Canyon, Cameron Cole Accr"/>
    <s v="AlexandraP"/>
    <s v="0/JE IC"/>
    <m/>
    <m/>
    <x v="11"/>
    <m/>
    <m/>
    <m/>
    <m/>
    <m/>
    <m/>
    <s v="JRNL00903597"/>
    <s v="JRNL00903597"/>
    <m/>
    <d v="2018-09-07T00:00:00"/>
    <d v="2018-09-10T00:00:00"/>
    <m/>
    <m/>
    <s v="wci_wa"/>
    <n v="0"/>
    <n v="0"/>
    <n v="0"/>
    <n v="0"/>
    <n v="0"/>
    <n v="1"/>
    <n v="70255"/>
    <n v="2183"/>
    <n v="0"/>
    <n v="0"/>
    <m/>
    <m/>
    <m/>
    <m/>
    <s v=""/>
  </r>
  <r>
    <s v="70255-2183-000-00"/>
    <d v="2018-09-30T00:00:00"/>
    <n v="-84.01"/>
    <n v="0"/>
    <s v="USD"/>
    <s v="JRNLWA00379342"/>
    <s v="P"/>
    <s v="Ruby Canyon, Cameron Cole Accr"/>
    <s v="AlexandraP"/>
    <s v="0/JE IC"/>
    <m/>
    <m/>
    <x v="11"/>
    <m/>
    <m/>
    <m/>
    <m/>
    <m/>
    <m/>
    <s v="JRNL00903597"/>
    <s v="JRNL00903801"/>
    <m/>
    <d v="2018-09-10T00:00:00"/>
    <d v="2018-09-10T00:00:00"/>
    <m/>
    <m/>
    <s v="wci_wa"/>
    <n v="0"/>
    <n v="0"/>
    <n v="0"/>
    <n v="0"/>
    <n v="5"/>
    <n v="1"/>
    <n v="70255"/>
    <n v="2183"/>
    <n v="0"/>
    <n v="0"/>
    <m/>
    <m/>
    <m/>
    <m/>
    <s v=""/>
  </r>
  <r>
    <s v="70255-2183-000-00"/>
    <d v="2018-09-30T00:00:00"/>
    <n v="275"/>
    <n v="0"/>
    <s v="USD"/>
    <s v="JRNLWA00380086"/>
    <s v="P"/>
    <s v="Western PCard Activity - Septe"/>
    <s v="AlexandraP"/>
    <s v="0/JE IC"/>
    <m/>
    <m/>
    <x v="3"/>
    <m/>
    <m/>
    <m/>
    <m/>
    <m/>
    <m/>
    <s v="JRNL00905848"/>
    <s v="JRNL00905848"/>
    <m/>
    <d v="2018-10-02T00:00:00"/>
    <d v="2018-10-02T00:00:00"/>
    <m/>
    <m/>
    <s v="wci_wa"/>
    <n v="0"/>
    <n v="0"/>
    <n v="0"/>
    <n v="0"/>
    <n v="0"/>
    <n v="1"/>
    <n v="70255"/>
    <n v="2183"/>
    <n v="0"/>
    <n v="0"/>
    <m/>
    <m/>
    <m/>
    <m/>
    <s v=""/>
  </r>
  <r>
    <s v="70255-2183-000-00"/>
    <d v="2018-09-30T00:00:00"/>
    <n v="161.19"/>
    <n v="0"/>
    <s v="USD"/>
    <s v="JRNLWA00380525"/>
    <s v="P"/>
    <s v="Ruby Canyon, Cameron Cole Allo"/>
    <s v="AlexandraP"/>
    <s v="0/JE IC"/>
    <m/>
    <m/>
    <x v="8"/>
    <m/>
    <m/>
    <m/>
    <m/>
    <m/>
    <m/>
    <s v="JRNL00906696"/>
    <s v="JRNL00906696"/>
    <m/>
    <d v="2018-10-03T00:00:00"/>
    <d v="2018-10-04T00:00:00"/>
    <m/>
    <m/>
    <s v="wci_wa"/>
    <n v="0"/>
    <n v="0"/>
    <n v="0"/>
    <n v="0"/>
    <n v="0"/>
    <n v="1"/>
    <n v="70255"/>
    <n v="2183"/>
    <n v="0"/>
    <n v="0"/>
    <m/>
    <m/>
    <m/>
    <m/>
    <s v=""/>
  </r>
  <r>
    <s v="70255-2183-000-00"/>
    <d v="2018-09-30T00:00:00"/>
    <n v="28.9"/>
    <n v="0"/>
    <s v="USD"/>
    <s v="JRNLWA00380675"/>
    <s v="P"/>
    <s v="Ruby Canyon, Cameron Cole Accr"/>
    <s v="HelenaK"/>
    <s v="0/JE IC"/>
    <m/>
    <m/>
    <x v="12"/>
    <m/>
    <m/>
    <m/>
    <m/>
    <m/>
    <m/>
    <s v="JRNL00907178"/>
    <s v="JRNL00907178"/>
    <m/>
    <d v="2018-10-04T00:00:00"/>
    <d v="2018-10-04T00:00:00"/>
    <m/>
    <m/>
    <s v="wci_wa"/>
    <n v="0"/>
    <n v="0"/>
    <n v="0"/>
    <n v="0"/>
    <n v="0"/>
    <n v="1"/>
    <n v="70255"/>
    <n v="2183"/>
    <n v="0"/>
    <n v="0"/>
    <m/>
    <m/>
    <m/>
    <m/>
    <s v=""/>
  </r>
  <r>
    <s v="70255-2183-000-00"/>
    <d v="2018-10-31T00:00:00"/>
    <n v="275"/>
    <n v="0"/>
    <s v="USD"/>
    <m/>
    <s v="S"/>
    <s v="Western PCard Activity - October"/>
    <s v="JenniferB"/>
    <m/>
    <m/>
    <m/>
    <x v="3"/>
    <m/>
    <m/>
    <s v="JE22"/>
    <m/>
    <m/>
    <m/>
    <m/>
    <m/>
    <m/>
    <d v="2018-11-02T00:00:00"/>
    <m/>
    <m/>
    <m/>
    <m/>
    <n v="0"/>
    <m/>
    <m/>
    <m/>
    <m/>
    <m/>
    <n v="70255"/>
    <n v="2183"/>
    <n v="0"/>
    <n v="0"/>
    <m/>
    <s v="PO-2183-18-00009"/>
    <n v="2018010"/>
    <n v="2000"/>
    <s v=""/>
  </r>
  <r>
    <s v="70255-2183-000-00"/>
    <d v="2018-10-31T00:00:00"/>
    <n v="-28.9"/>
    <n v="0"/>
    <s v="USD"/>
    <s v="JRNLWA00380706"/>
    <s v="P"/>
    <s v="Ruby Canyon, Cameron Cole Accr"/>
    <s v="HelenaK"/>
    <s v="0/JE IC"/>
    <m/>
    <m/>
    <x v="12"/>
    <m/>
    <m/>
    <m/>
    <m/>
    <m/>
    <m/>
    <s v="JRNL00907178"/>
    <s v="JRNL00907201"/>
    <m/>
    <d v="2018-10-04T00:00:00"/>
    <d v="2018-10-04T00:00:00"/>
    <m/>
    <m/>
    <s v="wci_wa"/>
    <n v="0"/>
    <n v="0"/>
    <n v="0"/>
    <n v="0"/>
    <n v="5"/>
    <n v="1"/>
    <n v="70255"/>
    <n v="2183"/>
    <n v="0"/>
    <n v="0"/>
    <m/>
    <m/>
    <m/>
    <m/>
    <s v=""/>
  </r>
  <r>
    <s v="70255-2183-000-00"/>
    <d v="2018-10-31T00:00:00"/>
    <n v="275"/>
    <n v="0"/>
    <s v="USD"/>
    <s v="JRNLWA00381684"/>
    <s v="P"/>
    <s v="Western PCard Activity - Octob"/>
    <s v="AlexandraP"/>
    <s v="0/JE IC"/>
    <m/>
    <m/>
    <x v="3"/>
    <m/>
    <m/>
    <m/>
    <m/>
    <m/>
    <m/>
    <s v="JRNL00909891"/>
    <s v="JRNL00909891"/>
    <m/>
    <d v="2018-11-02T00:00:00"/>
    <d v="2018-11-02T00:00:00"/>
    <m/>
    <m/>
    <s v="wci_wa"/>
    <n v="0"/>
    <n v="0"/>
    <n v="0"/>
    <n v="0"/>
    <n v="0"/>
    <n v="1"/>
    <n v="70255"/>
    <n v="2183"/>
    <n v="0"/>
    <n v="0"/>
    <m/>
    <m/>
    <m/>
    <m/>
    <s v=""/>
  </r>
  <r>
    <s v="70255-2183-000-00"/>
    <d v="2018-10-31T00:00:00"/>
    <n v="45.74"/>
    <n v="0"/>
    <s v="USD"/>
    <s v="JRNLWA00382380"/>
    <s v="P"/>
    <s v="Ruby Canyon, Cameron Cole Allo"/>
    <s v="AlexandraP"/>
    <s v="0/JE IC"/>
    <m/>
    <m/>
    <x v="13"/>
    <m/>
    <m/>
    <m/>
    <m/>
    <m/>
    <m/>
    <s v="JRNL00911574"/>
    <s v="JRNL00911574"/>
    <m/>
    <d v="2018-11-07T00:00:00"/>
    <d v="2018-11-08T00:00:00"/>
    <m/>
    <m/>
    <s v="wci_wa"/>
    <n v="0"/>
    <n v="0"/>
    <n v="0"/>
    <n v="0"/>
    <n v="0"/>
    <n v="1"/>
    <n v="70255"/>
    <n v="2183"/>
    <n v="0"/>
    <n v="0"/>
    <m/>
    <m/>
    <m/>
    <m/>
    <s v=""/>
  </r>
  <r>
    <s v="70255-2183-000-00"/>
    <d v="2018-11-30T00:00:00"/>
    <n v="275"/>
    <n v="0"/>
    <s v="USD"/>
    <s v="JRNLWA00383135"/>
    <s v="P"/>
    <s v="Nov PCard Activity - Western"/>
    <s v="HelenaK"/>
    <s v="0/JE IC"/>
    <m/>
    <m/>
    <x v="3"/>
    <m/>
    <m/>
    <m/>
    <m/>
    <m/>
    <m/>
    <s v="JRNL00913705"/>
    <s v="JRNL00913705"/>
    <m/>
    <d v="2018-12-04T00:00:00"/>
    <d v="2018-12-04T00:00:00"/>
    <m/>
    <m/>
    <s v="wci_wa"/>
    <n v="0"/>
    <n v="0"/>
    <n v="0"/>
    <n v="0"/>
    <n v="0"/>
    <n v="1"/>
    <n v="70255"/>
    <n v="2183"/>
    <n v="0"/>
    <n v="0"/>
    <m/>
    <m/>
    <m/>
    <m/>
    <s v=""/>
  </r>
  <r>
    <s v="70255-2183-000-00"/>
    <d v="2018-12-31T00:00:00"/>
    <n v="275"/>
    <n v="0"/>
    <s v="USD"/>
    <s v="JRNLWA00384600"/>
    <s v="P"/>
    <s v="Western PCard Activity - Dec"/>
    <s v="HelenaK"/>
    <s v="0/JE IC"/>
    <m/>
    <m/>
    <x v="3"/>
    <m/>
    <m/>
    <m/>
    <m/>
    <m/>
    <m/>
    <s v="JRNL00917331"/>
    <s v="JRNL00917331"/>
    <m/>
    <d v="2019-01-03T00:00:00"/>
    <d v="2019-01-03T00:00:00"/>
    <m/>
    <m/>
    <s v="wci_wa"/>
    <n v="0"/>
    <n v="0"/>
    <n v="0"/>
    <n v="0"/>
    <n v="0"/>
    <n v="1"/>
    <n v="70255"/>
    <n v="2183"/>
    <n v="0"/>
    <n v="0"/>
    <m/>
    <m/>
    <m/>
    <m/>
    <s v=""/>
  </r>
  <r>
    <s v="70255-2183-000-00"/>
    <d v="2019-01-31T00:00:00"/>
    <n v="275"/>
    <n v="0"/>
    <s v="USD"/>
    <s v="JRNLWA00386265"/>
    <s v="P"/>
    <s v="Western PCard Activity - Jan"/>
    <s v="AlexandraP"/>
    <s v="0/JE IC"/>
    <m/>
    <m/>
    <x v="3"/>
    <m/>
    <m/>
    <m/>
    <m/>
    <m/>
    <m/>
    <s v="JRNL00921575"/>
    <s v="JRNL00921575"/>
    <m/>
    <d v="2019-02-04T00:00:00"/>
    <d v="2019-02-04T00:00:00"/>
    <m/>
    <m/>
    <s v="wci_wa"/>
    <n v="0"/>
    <n v="0"/>
    <n v="0"/>
    <n v="0"/>
    <n v="0"/>
    <n v="1"/>
    <n v="70255"/>
    <n v="2183"/>
    <n v="0"/>
    <n v="0"/>
    <m/>
    <m/>
    <m/>
    <m/>
    <s v=""/>
  </r>
  <r>
    <s v="70255-2183-000-00"/>
    <d v="2019-02-28T00:00:00"/>
    <n v="275"/>
    <n v="0"/>
    <s v="USD"/>
    <s v="JRNLWA00387734"/>
    <s v="P"/>
    <s v="Western PCard Activity - Feb"/>
    <s v="AlexandraP"/>
    <s v="0/JE IC"/>
    <m/>
    <m/>
    <x v="3"/>
    <m/>
    <m/>
    <m/>
    <m/>
    <m/>
    <m/>
    <s v="JRNL00925269"/>
    <s v="JRNL00925269"/>
    <m/>
    <d v="2019-03-04T00:00:00"/>
    <d v="2019-03-04T00:00:00"/>
    <m/>
    <m/>
    <s v="wci_wa"/>
    <n v="0"/>
    <n v="0"/>
    <n v="0"/>
    <n v="0"/>
    <n v="0"/>
    <n v="1"/>
    <n v="70255"/>
    <n v="2183"/>
    <n v="0"/>
    <n v="0"/>
    <m/>
    <m/>
    <m/>
    <m/>
    <s v=""/>
  </r>
  <r>
    <s v="70255-2183-000-00"/>
    <d v="2019-03-31T00:00:00"/>
    <n v="275"/>
    <n v="0"/>
    <s v="USD"/>
    <s v="JRNLWA00389218"/>
    <s v="P"/>
    <s v="Western Pcard Activity - March"/>
    <s v="HelenaK"/>
    <s v="0/JE IC"/>
    <m/>
    <m/>
    <x v="3"/>
    <m/>
    <m/>
    <m/>
    <m/>
    <m/>
    <m/>
    <s v="JRNL00928385"/>
    <s v="JRNL00928385"/>
    <m/>
    <d v="2019-04-02T00:00:00"/>
    <d v="2019-04-02T00:00:00"/>
    <m/>
    <m/>
    <s v="wci_wa"/>
    <n v="0"/>
    <n v="0"/>
    <n v="0"/>
    <n v="0"/>
    <n v="0"/>
    <n v="1"/>
    <n v="70255"/>
    <n v="2183"/>
    <n v="0"/>
    <n v="0"/>
    <m/>
    <m/>
    <m/>
    <m/>
    <s v=""/>
  </r>
  <r>
    <s v="70255-2183-000-00"/>
    <d v="2019-04-30T00:00:00"/>
    <n v="275"/>
    <n v="0"/>
    <s v="USD"/>
    <s v="JRNLWA00391257"/>
    <s v="P"/>
    <s v="OPEX13 - Pcard Accrual"/>
    <s v="AlexandraP"/>
    <s v="0/JE IC"/>
    <m/>
    <m/>
    <x v="3"/>
    <m/>
    <m/>
    <m/>
    <m/>
    <m/>
    <m/>
    <s v="JRNL00932811"/>
    <s v="JRNL00932811"/>
    <m/>
    <d v="2019-05-06T00:00:00"/>
    <d v="2019-05-06T00:00:00"/>
    <m/>
    <m/>
    <s v="wci_wa"/>
    <n v="0"/>
    <n v="0"/>
    <n v="0"/>
    <n v="0"/>
    <n v="0"/>
    <n v="1"/>
    <n v="70255"/>
    <n v="2183"/>
    <n v="0"/>
    <n v="0"/>
    <m/>
    <m/>
    <m/>
    <m/>
    <s v=""/>
  </r>
</pivotCacheRecords>
</file>

<file path=xl/pivotCache/pivotCacheRecords5.xml><?xml version="1.0" encoding="utf-8"?>
<pivotCacheRecords xmlns="http://schemas.openxmlformats.org/spreadsheetml/2006/main" xmlns:r="http://schemas.openxmlformats.org/officeDocument/2006/relationships" count="32">
  <r>
    <x v="0"/>
    <d v="2018-08-31T00:00:00"/>
    <n v="-6731"/>
    <n v="0"/>
    <s v="USD"/>
    <s v="JRNLWA00378363"/>
    <s v="P"/>
    <s v="Aug 10th Insurance Entry"/>
    <s v="HeatherWe"/>
    <s v="0/JE IC"/>
    <m/>
    <m/>
    <x v="0"/>
    <s v="MUSSON;WILLIAM"/>
    <s v="IV MADE A LEFT TURN AND HIT OV"/>
    <d v="2018-01-06T00:00:00"/>
    <x v="0"/>
    <x v="0"/>
  </r>
  <r>
    <x v="1"/>
    <d v="2018-06-30T00:00:00"/>
    <n v="-1250"/>
    <n v="0"/>
    <s v="USD"/>
    <s v="JRNLWA00375189"/>
    <s v="P"/>
    <s v="June 11th Insurance Entry"/>
    <s v="AlexandraP"/>
    <s v="0/JE IC"/>
    <m/>
    <m/>
    <x v="1"/>
    <s v="HUME;TINA M"/>
    <s v="IV WAS HIT BY THE OV GOING AROUND A ROUNDABOUT"/>
    <d v="2018-03-09T00:00:00"/>
    <x v="1"/>
    <x v="1"/>
  </r>
  <r>
    <x v="1"/>
    <d v="2018-08-31T00:00:00"/>
    <n v="17620"/>
    <n v="0"/>
    <s v="USD"/>
    <s v="JRNLWA00378363"/>
    <s v="P"/>
    <s v="Aug 10th Insurance Entry"/>
    <s v="HeatherWe"/>
    <s v="0/JE IC"/>
    <m/>
    <m/>
    <x v="1"/>
    <s v="HUME;TINA M"/>
    <s v="IV WAS HIT BY THE OV GOING AROUND A ROUNDABOUT"/>
    <d v="2018-03-09T00:00:00"/>
    <x v="2"/>
    <x v="2"/>
  </r>
  <r>
    <x v="1"/>
    <d v="2018-11-30T00:00:00"/>
    <n v="500"/>
    <n v="0"/>
    <s v="USD"/>
    <s v="JRNLWA00382985"/>
    <s v="P"/>
    <s v="Nov 9th Insurance Entry"/>
    <s v="AlexandraP"/>
    <s v="0/JE IC"/>
    <m/>
    <m/>
    <x v="1"/>
    <s v="HUME;TINA M"/>
    <s v="IV WAS HIT BY THE OV GOING AROUND A ROUNDABOUT"/>
    <d v="2018-03-09T00:00:00"/>
    <x v="2"/>
    <x v="2"/>
  </r>
  <r>
    <x v="0"/>
    <d v="2018-07-31T00:00:00"/>
    <n v="5000"/>
    <n v="0"/>
    <s v="USD"/>
    <s v="JRNLWA00376862"/>
    <s v="P"/>
    <s v="July 11th Insurance Entry"/>
    <s v="HeatherWe"/>
    <s v="0/JE IC"/>
    <m/>
    <m/>
    <x v="2"/>
    <s v="PUGET SOUND ENERGY"/>
    <s v="IV STRUCK LIGHT POLE"/>
    <d v="2018-04-10T00:00:00"/>
    <x v="3"/>
    <x v="0"/>
  </r>
  <r>
    <x v="0"/>
    <d v="2018-09-30T00:00:00"/>
    <n v="103.52"/>
    <n v="0"/>
    <s v="USD"/>
    <s v="JRNLWA00379827"/>
    <s v="P"/>
    <s v="Sept 10th Insurance Entry"/>
    <s v="AlexandraP"/>
    <s v="0/JE IC"/>
    <m/>
    <m/>
    <x v="2"/>
    <s v="PUGET SOUND ENERGY"/>
    <s v="IV STRUCK LIGHT POLE"/>
    <d v="2018-04-10T00:00:00"/>
    <x v="2"/>
    <x v="2"/>
  </r>
  <r>
    <x v="0"/>
    <d v="2018-06-30T00:00:00"/>
    <n v="-431.33"/>
    <n v="0"/>
    <s v="USD"/>
    <s v="JRNLWA00375189"/>
    <s v="P"/>
    <s v="June 11th Insurance Entry"/>
    <s v="AlexandraP"/>
    <s v="0/JE IC"/>
    <m/>
    <m/>
    <x v="3"/>
    <s v="FABREGAS;YVETTE"/>
    <s v="IV SIDESWIPED OV THAT WAS PARKED"/>
    <d v="2018-04-16T00:00:00"/>
    <x v="0"/>
    <x v="0"/>
  </r>
  <r>
    <x v="0"/>
    <d v="2018-10-31T00:00:00"/>
    <n v="110.13"/>
    <n v="0"/>
    <s v="USD"/>
    <s v="JRNLWA00381452"/>
    <s v="P"/>
    <s v="Oct 10th Insurance Entry"/>
    <s v="HelenaK"/>
    <s v="0/JE IC"/>
    <m/>
    <m/>
    <x v="3"/>
    <s v="FABREGAS;YVETTE"/>
    <s v="IV SIDESWIPED OV THAT WAS PARKED"/>
    <d v="2018-04-16T00:00:00"/>
    <x v="2"/>
    <x v="2"/>
  </r>
  <r>
    <x v="0"/>
    <d v="2018-07-31T00:00:00"/>
    <n v="1250"/>
    <n v="0"/>
    <s v="USD"/>
    <s v="JRNLWA00376862"/>
    <s v="P"/>
    <s v="July 11th Insurance Entry"/>
    <s v="HeatherWe"/>
    <s v="0/JE IC"/>
    <m/>
    <m/>
    <x v="4"/>
    <s v="RIVERA;JOSE"/>
    <s v="IV STRUCK A PARKED VEHICLE"/>
    <d v="2018-06-18T00:00:00"/>
    <x v="1"/>
    <x v="0"/>
  </r>
  <r>
    <x v="0"/>
    <d v="2018-08-31T00:00:00"/>
    <n v="3647.78"/>
    <n v="0"/>
    <s v="USD"/>
    <s v="JRNLWA00378363"/>
    <s v="P"/>
    <s v="Aug 10th Insurance Entry"/>
    <s v="HeatherWe"/>
    <s v="0/JE IC"/>
    <m/>
    <m/>
    <x v="4"/>
    <s v="RIVERA;JOSE"/>
    <s v="IV STRUCK A PARKED VEHICLE"/>
    <d v="2018-06-18T00:00:00"/>
    <x v="2"/>
    <x v="2"/>
  </r>
  <r>
    <x v="0"/>
    <d v="2018-09-30T00:00:00"/>
    <n v="35"/>
    <n v="0"/>
    <s v="USD"/>
    <s v="JRNLWA00379827"/>
    <s v="P"/>
    <s v="Sept 10th Insurance Entry"/>
    <s v="AlexandraP"/>
    <s v="0/JE IC"/>
    <m/>
    <m/>
    <x v="4"/>
    <s v="RIVERA;JOSE"/>
    <s v="IV STRUCK A PARKED VEHICLE"/>
    <d v="2018-06-18T00:00:00"/>
    <x v="2"/>
    <x v="2"/>
  </r>
  <r>
    <x v="0"/>
    <d v="2018-07-31T00:00:00"/>
    <n v="3250"/>
    <n v="0"/>
    <s v="USD"/>
    <s v="JRNLWA00376862"/>
    <s v="P"/>
    <s v="July 11th Insurance Entry"/>
    <s v="HeatherWe"/>
    <s v="0/JE IC"/>
    <m/>
    <m/>
    <x v="5"/>
    <s v="OLIVIERI;ANNA"/>
    <s v="IV STRUCK A PARKED VEHICLE"/>
    <d v="2018-06-27T00:00:00"/>
    <x v="3"/>
    <x v="0"/>
  </r>
  <r>
    <x v="0"/>
    <d v="2018-08-31T00:00:00"/>
    <n v="1500"/>
    <n v="0"/>
    <s v="USD"/>
    <s v="JRNLWA00378363"/>
    <s v="P"/>
    <s v="Aug 10th Insurance Entry"/>
    <s v="HeatherWe"/>
    <s v="0/JE IC"/>
    <m/>
    <m/>
    <x v="5"/>
    <s v="OLIVIERI;ANNA"/>
    <s v="IV STRUCK A PARKED VEHICLE"/>
    <d v="2018-06-27T00:00:00"/>
    <x v="2"/>
    <x v="2"/>
  </r>
  <r>
    <x v="0"/>
    <d v="2018-09-30T00:00:00"/>
    <n v="2267.1999999999998"/>
    <n v="0"/>
    <s v="USD"/>
    <s v="JRNLWA00379827"/>
    <s v="P"/>
    <s v="Sept 10th Insurance Entry"/>
    <s v="AlexandraP"/>
    <s v="0/JE IC"/>
    <m/>
    <m/>
    <x v="5"/>
    <s v="OLIVIERI;ANNA"/>
    <s v="IV STRUCK A PARKED VEHICLE"/>
    <d v="2018-06-27T00:00:00"/>
    <x v="2"/>
    <x v="2"/>
  </r>
  <r>
    <x v="2"/>
    <d v="2018-08-31T00:00:00"/>
    <n v="1250"/>
    <n v="0"/>
    <s v="USD"/>
    <s v="JRNLWA00378363"/>
    <s v="P"/>
    <s v="Aug 10th Insurance Entry"/>
    <s v="HeatherWe"/>
    <s v="0/JE IC"/>
    <m/>
    <m/>
    <x v="6"/>
    <s v="WESTBY;TYSON D."/>
    <s v="IV WAS STRUCK BY OV"/>
    <d v="2018-08-07T00:00:00"/>
    <x v="2"/>
    <x v="3"/>
  </r>
  <r>
    <x v="2"/>
    <d v="2018-09-30T00:00:00"/>
    <n v="-1250"/>
    <n v="0"/>
    <s v="USD"/>
    <s v="JRNLWA00379827"/>
    <s v="P"/>
    <s v="Sept 10th Insurance Entry"/>
    <s v="AlexandraP"/>
    <s v="0/JE IC"/>
    <m/>
    <m/>
    <x v="6"/>
    <s v="WESTBY;TYSON D."/>
    <s v="IV WAS STRUCK BY OV"/>
    <d v="2018-08-07T00:00:00"/>
    <x v="2"/>
    <x v="3"/>
  </r>
  <r>
    <x v="2"/>
    <d v="2018-10-31T00:00:00"/>
    <n v="16"/>
    <n v="0"/>
    <s v="USD"/>
    <s v="JRNLWA00381452"/>
    <s v="P"/>
    <s v="Oct 10th Insurance Entry"/>
    <s v="HelenaK"/>
    <s v="0/JE IC"/>
    <m/>
    <m/>
    <x v="6"/>
    <s v="WESTBY;TYSON D."/>
    <s v="IV WAS STRUCK BY OV"/>
    <d v="2018-08-07T00:00:00"/>
    <x v="2"/>
    <x v="3"/>
  </r>
  <r>
    <x v="0"/>
    <d v="2018-09-30T00:00:00"/>
    <n v="1250"/>
    <n v="0"/>
    <s v="USD"/>
    <s v="JRNLWA00379827"/>
    <s v="P"/>
    <s v="Sept 10th Insurance Entry"/>
    <s v="AlexandraP"/>
    <s v="0/JE IC"/>
    <m/>
    <m/>
    <x v="7"/>
    <s v="RAMSTAD;KIMBERLY"/>
    <s v="IV WAS STOPPED AT INTERSECTION.OV RAN LIGHT AND TBONED IV"/>
    <d v="2018-09-07T00:00:00"/>
    <x v="1"/>
    <x v="0"/>
  </r>
  <r>
    <x v="0"/>
    <d v="2018-10-31T00:00:00"/>
    <n v="1250"/>
    <n v="0"/>
    <s v="USD"/>
    <s v="JRNLWA00381452"/>
    <s v="P"/>
    <s v="Oct 10th Insurance Entry"/>
    <s v="HelenaK"/>
    <s v="0/JE IC"/>
    <m/>
    <m/>
    <x v="8"/>
    <s v="YE;QINYING"/>
    <s v="IV WAS REAR-ENDED BY OV."/>
    <d v="2018-09-25T00:00:00"/>
    <x v="3"/>
    <x v="4"/>
  </r>
  <r>
    <x v="0"/>
    <d v="2018-11-30T00:00:00"/>
    <n v="-1250"/>
    <n v="0"/>
    <s v="USD"/>
    <s v="JRNLWA00382985"/>
    <s v="P"/>
    <s v="Nov 9th Insurance Entry"/>
    <s v="AlexandraP"/>
    <s v="0/JE IC"/>
    <m/>
    <m/>
    <x v="8"/>
    <s v="YE;QINYING"/>
    <s v="IV WAS REAR-ENDED BY OV."/>
    <d v="2018-09-25T00:00:00"/>
    <x v="2"/>
    <x v="2"/>
  </r>
  <r>
    <x v="0"/>
    <d v="2018-12-31T00:00:00"/>
    <n v="2250"/>
    <n v="0"/>
    <s v="USD"/>
    <s v="JRNLWA00384427"/>
    <s v="P"/>
    <s v="Dec 10th Insurance Entry"/>
    <s v="HeatherWe"/>
    <s v="0/JE IC"/>
    <m/>
    <m/>
    <x v="9"/>
    <s v="HUME;TINA M"/>
    <s v="IV WAS HIT BY THE OV GOING AROUND A ROUNDABOUT"/>
    <d v="2018-03-09T00:00:00"/>
    <x v="3"/>
    <x v="1"/>
  </r>
  <r>
    <x v="0"/>
    <d v="2019-02-28T00:00:00"/>
    <n v="1250"/>
    <n v="0"/>
    <s v="USD"/>
    <s v="JRNLWA00388208"/>
    <s v="P"/>
    <s v="Feb Ins Claim Entry"/>
    <s v="AlexandraP"/>
    <s v="0/JE IC"/>
    <m/>
    <m/>
    <x v="10"/>
    <s v="HORVATH;RYAN"/>
    <s v="IV REAR ENDED OV"/>
    <d v="2019-01-24T00:00:00"/>
    <x v="1"/>
    <x v="5"/>
  </r>
  <r>
    <x v="0"/>
    <d v="2019-03-31T00:00:00"/>
    <n v="5000"/>
    <n v="0"/>
    <s v="USD"/>
    <s v="JRNLWA00389185"/>
    <s v="P"/>
    <s v="March Ins Claim Entry"/>
    <s v="HelenaK"/>
    <s v="0/JE IC"/>
    <m/>
    <m/>
    <x v="10"/>
    <s v="HORVATH;RYAN"/>
    <s v="IV REAR ENDED OV"/>
    <d v="2019-01-24T00:00:00"/>
    <x v="2"/>
    <x v="2"/>
  </r>
  <r>
    <x v="0"/>
    <d v="2019-02-28T00:00:00"/>
    <n v="1250"/>
    <n v="0"/>
    <s v="USD"/>
    <s v="JRNLWA00388208"/>
    <s v="P"/>
    <s v="Feb Ins Claim Entry"/>
    <s v="AlexandraP"/>
    <s v="0/JE IC"/>
    <m/>
    <m/>
    <x v="11"/>
    <s v="MALANCHUK;TIMOFEY T"/>
    <s v="CLAIMANT HIT REAR-END / INSD STOPPED"/>
    <d v="2019-02-04T00:00:00"/>
    <x v="3"/>
    <x v="5"/>
  </r>
  <r>
    <x v="0"/>
    <d v="2019-03-31T00:00:00"/>
    <n v="-1250"/>
    <n v="0"/>
    <s v="USD"/>
    <s v="JRNLWA00389185"/>
    <s v="P"/>
    <s v="March Ins Claim Entry"/>
    <s v="HelenaK"/>
    <s v="0/JE IC"/>
    <m/>
    <m/>
    <x v="11"/>
    <s v="MALANCHUK;TIMOFEY T"/>
    <s v="CLAIMANT HIT REAR-END / INSD STOPPED"/>
    <d v="2019-02-04T00:00:00"/>
    <x v="2"/>
    <x v="2"/>
  </r>
  <r>
    <x v="0"/>
    <d v="2019-04-30T00:00:00"/>
    <n v="5"/>
    <n v="0"/>
    <s v="USD"/>
    <s v="JRNLWA00390585"/>
    <s v="P"/>
    <s v="Apirl 8th Insurance Entry"/>
    <s v="HelenaK"/>
    <s v="0/JE IC"/>
    <m/>
    <m/>
    <x v="11"/>
    <s v="MALANCHUK;TIMOFEY T"/>
    <s v="CLAIMANT HIT REAR-END / INSD STOPPED"/>
    <d v="2019-02-04T00:00:00"/>
    <x v="2"/>
    <x v="2"/>
  </r>
  <r>
    <x v="0"/>
    <d v="2019-02-28T00:00:00"/>
    <n v="1250"/>
    <n v="0"/>
    <s v="USD"/>
    <s v="JRNLWA00388208"/>
    <s v="P"/>
    <s v="Feb Ins Claim Entry"/>
    <s v="AlexandraP"/>
    <s v="0/JE IC"/>
    <m/>
    <m/>
    <x v="12"/>
    <s v="ZIMMERMAN;BRANDON L"/>
    <s v="THE PARKED AND UNOCCUPIED IV WAS REAR ENDED BY THE OV. NO INJURIES WERE REPORTED. DAMAGE WAS INCUR"/>
    <d v="2019-02-04T00:00:00"/>
    <x v="3"/>
    <x v="5"/>
  </r>
  <r>
    <x v="0"/>
    <d v="2019-03-31T00:00:00"/>
    <n v="1250"/>
    <n v="0"/>
    <s v="USD"/>
    <s v="JRNLWA00389185"/>
    <s v="P"/>
    <s v="March Ins Claim Entry"/>
    <s v="HelenaK"/>
    <s v="0/JE IC"/>
    <m/>
    <m/>
    <x v="13"/>
    <s v="CORNETT;DEBORAH"/>
    <s v="IV DROVE AROUND IN DRIVEWAY AND HIT THE PAD AND FLOWER BED"/>
    <d v="2019-02-21T00:00:00"/>
    <x v="3"/>
    <x v="5"/>
  </r>
  <r>
    <x v="0"/>
    <d v="2019-03-31T00:00:00"/>
    <n v="1250"/>
    <n v="0"/>
    <s v="USD"/>
    <s v="JRNLWA00389185"/>
    <s v="P"/>
    <s v="March Ins Claim Entry"/>
    <s v="HelenaK"/>
    <s v="0/JE IC"/>
    <m/>
    <m/>
    <x v="14"/>
    <s v="NELSON;TONYA"/>
    <s v="THE COMPACTOR TO THE ENCLOSURE BECAME DISCONNECTED"/>
    <d v="2019-02-28T00:00:00"/>
    <x v="3"/>
    <x v="6"/>
  </r>
  <r>
    <x v="0"/>
    <d v="2019-04-30T00:00:00"/>
    <n v="1250"/>
    <n v="0"/>
    <s v="USD"/>
    <s v="JRNLWA00390585"/>
    <s v="P"/>
    <s v="Apirl 8th Insurance Entry"/>
    <s v="HelenaK"/>
    <s v="0/JE IC"/>
    <m/>
    <m/>
    <x v="15"/>
    <s v="URNESS;ROBERT W."/>
    <s v="IV STRUCK OV"/>
    <d v="2019-04-04T00:00:00"/>
    <x v="3"/>
    <x v="6"/>
  </r>
  <r>
    <x v="0"/>
    <d v="2018-08-31T00:00:00"/>
    <n v="1250"/>
    <n v="0"/>
    <s v="USD"/>
    <s v="JRNLWA00378363"/>
    <s v="P"/>
    <s v="Aug 10th Insurance Entry"/>
    <s v="HeatherWe"/>
    <s v="0/JE IC"/>
    <m/>
    <m/>
    <x v="16"/>
    <s v="KATZIDASKI;EMALIA"/>
    <s v="IV WAS STOPPED AND OV BACK INTO IV"/>
    <d v="2018-08-01T00:00:00"/>
    <x v="3"/>
    <x v="5"/>
  </r>
  <r>
    <x v="0"/>
    <d v="2018-09-30T00:00:00"/>
    <n v="-1250"/>
    <n v="0"/>
    <s v="USD"/>
    <s v="JRNLWA00379827"/>
    <s v="P"/>
    <s v="Sept 10th Insurance Entry"/>
    <s v="AlexandraP"/>
    <s v="0/JE IC"/>
    <m/>
    <m/>
    <x v="16"/>
    <s v="KATZIDASKI;EMALIA"/>
    <s v="IV WAS STOPPED AND OV BACK INTO IV"/>
    <d v="2018-08-01T00:00:00"/>
    <x v="2"/>
    <x v="2"/>
  </r>
</pivotCacheRecords>
</file>

<file path=xl/pivotCache/pivotCacheRecords6.xml><?xml version="1.0" encoding="utf-8"?>
<pivotCacheRecords xmlns="http://schemas.openxmlformats.org/spreadsheetml/2006/main" xmlns:r="http://schemas.openxmlformats.org/officeDocument/2006/relationships" count="48">
  <r>
    <x v="0"/>
    <d v="2018-05-17T00:00:00"/>
    <n v="924718"/>
    <n v="0"/>
    <s v="USD"/>
    <s v="JRNLWA00373559"/>
    <s v="P"/>
    <s v="From Voucher Posting."/>
    <s v="RosemaryS"/>
    <s v="0/JE IC"/>
    <s v="VUS000015249"/>
    <m/>
    <s v="THURSTON COUNTY SOLID WASTE UT"/>
    <d v="2018-04-30T00:00:00"/>
    <s v="MONTHLY DUMP BILL"/>
    <s v="Disposal 0418"/>
    <s v="PO-2183-18-00605"/>
    <m/>
    <m/>
    <s v="VO04654537"/>
    <s v="JRNL00889335"/>
    <n v="2183"/>
    <d v="2018-05-17T00:00:00"/>
    <d v="2018-05-17T00:00:00"/>
    <n v="1063030"/>
    <d v="2018-05-01T00:00:00"/>
    <s v="wci_wa"/>
    <n v="0"/>
    <n v="0"/>
    <n v="0"/>
    <n v="0"/>
    <n v="0"/>
    <n v="1"/>
    <n v="40101"/>
    <n v="2183"/>
    <n v="0"/>
    <n v="1"/>
    <m/>
    <m/>
    <m/>
    <m/>
    <s v="VO04654537"/>
  </r>
  <r>
    <x v="1"/>
    <d v="2018-05-17T00:00:00"/>
    <n v="44953"/>
    <n v="0"/>
    <s v="USD"/>
    <s v="JRNLWA00373559"/>
    <s v="P"/>
    <s v="From Voucher Posting."/>
    <s v="RosemaryS"/>
    <s v="0/JE IC"/>
    <s v="VUS000015249"/>
    <m/>
    <s v="THURSTON COUNTY SOLID WASTE UT"/>
    <d v="2018-04-30T00:00:00"/>
    <s v="MONTHLY DUMP BILL"/>
    <s v="Disposal 0418"/>
    <s v="PO-2183-18-00605"/>
    <m/>
    <m/>
    <s v="VO04654537"/>
    <s v="JRNL00889335"/>
    <n v="2183"/>
    <d v="2018-05-17T00:00:00"/>
    <d v="2018-05-17T00:00:00"/>
    <n v="1063030"/>
    <d v="2018-05-01T00:00:00"/>
    <s v="wci_wa"/>
    <n v="0"/>
    <n v="0"/>
    <n v="0"/>
    <n v="0"/>
    <n v="0"/>
    <n v="1"/>
    <n v="40101"/>
    <n v="2183"/>
    <n v="0"/>
    <n v="2"/>
    <m/>
    <m/>
    <m/>
    <m/>
    <s v="VO04654537"/>
  </r>
  <r>
    <x v="0"/>
    <d v="2018-05-31T00:00:00"/>
    <n v="-964070"/>
    <n v="0"/>
    <s v="USD"/>
    <s v="JRNLWA00373291"/>
    <s v="P"/>
    <s v="Opex 12 - S LeMay PO Log accru"/>
    <s v="AlexandraP"/>
    <s v="0/JE IC"/>
    <m/>
    <m/>
    <s v="VUS000015249: PO 00605: THURSTON COUNTY"/>
    <m/>
    <m/>
    <m/>
    <m/>
    <m/>
    <m/>
    <s v="JRNL00888329"/>
    <s v="JRNL00888489"/>
    <m/>
    <d v="2018-05-07T00:00:00"/>
    <d v="2018-05-07T00:00:00"/>
    <m/>
    <m/>
    <s v="wci_wa"/>
    <n v="0"/>
    <n v="0"/>
    <n v="0"/>
    <n v="0"/>
    <n v="5"/>
    <n v="1"/>
    <n v="40101"/>
    <n v="2183"/>
    <n v="0"/>
    <n v="1"/>
    <m/>
    <m/>
    <m/>
    <m/>
    <s v=""/>
  </r>
  <r>
    <x v="0"/>
    <d v="2018-05-31T00:00:00"/>
    <n v="1098626"/>
    <n v="0"/>
    <s v="USD"/>
    <s v="JRNLWA00374690"/>
    <s v="P"/>
    <s v="Opex 12 - S LeMay PO Log accru"/>
    <s v="AlexandraP"/>
    <s v="0/JE IC"/>
    <m/>
    <m/>
    <s v="VUS000015249: PO 00605: THURSTON COUNTY"/>
    <m/>
    <m/>
    <m/>
    <m/>
    <m/>
    <m/>
    <s v="JRNL00892072"/>
    <s v="JRNL00892072"/>
    <m/>
    <d v="2018-06-06T00:00:00"/>
    <d v="2018-06-07T00:00:00"/>
    <m/>
    <m/>
    <s v="wci_wa"/>
    <n v="0"/>
    <n v="0"/>
    <n v="0"/>
    <n v="0"/>
    <n v="0"/>
    <n v="1"/>
    <n v="40101"/>
    <n v="2183"/>
    <n v="0"/>
    <n v="1"/>
    <m/>
    <m/>
    <m/>
    <m/>
    <s v=""/>
  </r>
  <r>
    <x v="0"/>
    <d v="2018-06-14T00:00:00"/>
    <n v="1033942"/>
    <n v="0"/>
    <s v="USD"/>
    <s v="JRNLWA00375047"/>
    <s v="P"/>
    <s v="From Voucher Posting."/>
    <s v="RosemaryS"/>
    <s v="0/JE IC"/>
    <s v="VUS000015249"/>
    <m/>
    <s v="THURSTON COUNTY SOLID WASTE UT"/>
    <d v="2018-05-31T00:00:00"/>
    <s v="MONTHLY DUMP BILL"/>
    <s v="Disposal May 2018"/>
    <s v="PO-2183-18-00605"/>
    <m/>
    <m/>
    <s v="VO04680492"/>
    <s v="JRNL00892906"/>
    <n v="2183"/>
    <d v="2018-06-14T00:00:00"/>
    <d v="2018-06-14T00:00:00"/>
    <n v="1194200"/>
    <d v="2018-06-01T00:00:00"/>
    <s v="wci_wa"/>
    <n v="0"/>
    <n v="0"/>
    <n v="0"/>
    <n v="0"/>
    <n v="0"/>
    <n v="1"/>
    <n v="40101"/>
    <n v="2183"/>
    <n v="0"/>
    <n v="1"/>
    <m/>
    <m/>
    <m/>
    <m/>
    <s v="VO04680492"/>
  </r>
  <r>
    <x v="1"/>
    <d v="2018-06-14T00:00:00"/>
    <n v="67339"/>
    <n v="0"/>
    <s v="USD"/>
    <s v="JRNLWA00375047"/>
    <s v="P"/>
    <s v="From Voucher Posting."/>
    <s v="RosemaryS"/>
    <s v="0/JE IC"/>
    <s v="VUS000015249"/>
    <m/>
    <s v="THURSTON COUNTY SOLID WASTE UT"/>
    <d v="2018-05-31T00:00:00"/>
    <s v="MONTHLY DUMP BILL"/>
    <s v="Disposal May 2018"/>
    <s v="PO-2183-18-00605"/>
    <m/>
    <m/>
    <s v="VO04680492"/>
    <s v="JRNL00892906"/>
    <n v="2183"/>
    <d v="2018-06-14T00:00:00"/>
    <d v="2018-06-14T00:00:00"/>
    <n v="1194200"/>
    <d v="2018-06-01T00:00:00"/>
    <s v="wci_wa"/>
    <n v="0"/>
    <n v="0"/>
    <n v="0"/>
    <n v="0"/>
    <n v="0"/>
    <n v="1"/>
    <n v="40101"/>
    <n v="2183"/>
    <n v="0"/>
    <n v="2"/>
    <m/>
    <m/>
    <m/>
    <m/>
    <s v="VO04680492"/>
  </r>
  <r>
    <x v="0"/>
    <d v="2018-06-30T00:00:00"/>
    <n v="-1098626"/>
    <n v="0"/>
    <s v="USD"/>
    <s v="JRNLWA00374765"/>
    <s v="P"/>
    <s v="Opex 12 - S LeMay PO Log accru"/>
    <s v="AlexandraP"/>
    <s v="0/JE IC"/>
    <m/>
    <m/>
    <s v="VUS000015249: PO 00605: THURSTON COUNTY"/>
    <m/>
    <m/>
    <m/>
    <m/>
    <m/>
    <m/>
    <s v="JRNL00892072"/>
    <s v="JRNL00892188"/>
    <m/>
    <d v="2018-06-07T00:00:00"/>
    <d v="2018-06-07T00:00:00"/>
    <m/>
    <m/>
    <s v="wci_wa"/>
    <n v="0"/>
    <n v="0"/>
    <n v="0"/>
    <n v="0"/>
    <n v="5"/>
    <n v="1"/>
    <n v="40101"/>
    <n v="2183"/>
    <n v="0"/>
    <n v="1"/>
    <m/>
    <m/>
    <m/>
    <m/>
    <s v=""/>
  </r>
  <r>
    <x v="0"/>
    <d v="2018-06-30T00:00:00"/>
    <n v="982637"/>
    <n v="0"/>
    <s v="USD"/>
    <s v="JRNLWA00376175"/>
    <s v="P"/>
    <s v="Opex 12 - S LeMay PO Log accru"/>
    <s v="AlexandraP"/>
    <s v="0/JE IC"/>
    <m/>
    <m/>
    <s v="VUS000015249: PO 00605: THURSTON COUNTY"/>
    <m/>
    <m/>
    <m/>
    <m/>
    <m/>
    <m/>
    <s v="JRNL00895967"/>
    <s v="JRNL00895967"/>
    <m/>
    <d v="2018-07-06T00:00:00"/>
    <d v="2018-07-09T00:00:00"/>
    <m/>
    <m/>
    <s v="wci_wa"/>
    <n v="0"/>
    <n v="0"/>
    <n v="0"/>
    <n v="0"/>
    <n v="0"/>
    <n v="1"/>
    <n v="40101"/>
    <n v="2183"/>
    <n v="0"/>
    <n v="1"/>
    <m/>
    <m/>
    <m/>
    <m/>
    <s v=""/>
  </r>
  <r>
    <x v="0"/>
    <d v="2018-07-12T00:00:00"/>
    <n v="939230"/>
    <n v="0"/>
    <s v="USD"/>
    <s v="JRNLWA00376604"/>
    <s v="P"/>
    <s v="From Voucher Posting."/>
    <s v="RosemaryS"/>
    <s v="0/JE IC"/>
    <s v="VUS000015249"/>
    <m/>
    <s v="THURSTON COUNTY SOLID WASTE UT"/>
    <d v="2018-06-30T00:00:00"/>
    <s v="MONTHLY DUMP BILL"/>
    <s v="Disposal June 2018"/>
    <s v="PO-2183-18-00605"/>
    <m/>
    <m/>
    <s v="VO04707864"/>
    <s v="JRNL00896772"/>
    <n v="2183"/>
    <d v="2018-07-12T00:00:00"/>
    <d v="2018-07-12T00:00:00"/>
    <n v="1069640"/>
    <d v="2018-07-01T00:00:00"/>
    <s v="wci_wa"/>
    <n v="0"/>
    <n v="0"/>
    <n v="0"/>
    <n v="0"/>
    <n v="0"/>
    <n v="1"/>
    <n v="40101"/>
    <n v="2183"/>
    <n v="0"/>
    <n v="1"/>
    <m/>
    <m/>
    <m/>
    <m/>
    <s v="VO04707864"/>
  </r>
  <r>
    <x v="1"/>
    <d v="2018-07-12T00:00:00"/>
    <n v="47843"/>
    <n v="0"/>
    <s v="USD"/>
    <s v="JRNLWA00376604"/>
    <s v="P"/>
    <s v="From Voucher Posting."/>
    <s v="RosemaryS"/>
    <s v="0/JE IC"/>
    <s v="VUS000015249"/>
    <m/>
    <s v="THURSTON COUNTY SOLID WASTE UT"/>
    <d v="2018-06-30T00:00:00"/>
    <s v="MONTHLY DUMP BILL"/>
    <s v="Disposal June 2018"/>
    <s v="PO-2183-18-00605"/>
    <m/>
    <m/>
    <s v="VO04707864"/>
    <s v="JRNL00896772"/>
    <n v="2183"/>
    <d v="2018-07-12T00:00:00"/>
    <d v="2018-07-12T00:00:00"/>
    <n v="1069640"/>
    <d v="2018-07-01T00:00:00"/>
    <s v="wci_wa"/>
    <n v="0"/>
    <n v="0"/>
    <n v="0"/>
    <n v="0"/>
    <n v="0"/>
    <n v="1"/>
    <n v="40101"/>
    <n v="2183"/>
    <n v="0"/>
    <n v="2"/>
    <m/>
    <m/>
    <m/>
    <m/>
    <s v="VO04707864"/>
  </r>
  <r>
    <x v="0"/>
    <d v="2018-07-31T00:00:00"/>
    <n v="-982637"/>
    <n v="0"/>
    <s v="USD"/>
    <s v="JRNLWA00376330"/>
    <s v="P"/>
    <s v="Opex 12 - S LeMay PO Log accru"/>
    <s v="AlexandraP"/>
    <s v="0/JE IC"/>
    <m/>
    <m/>
    <s v="VUS000015249: PO 00605: THURSTON COUNTY"/>
    <m/>
    <m/>
    <m/>
    <m/>
    <m/>
    <m/>
    <s v="JRNL00895967"/>
    <s v="JRNL00896108"/>
    <m/>
    <d v="2018-07-09T00:00:00"/>
    <d v="2018-07-09T00:00:00"/>
    <m/>
    <m/>
    <s v="wci_wa"/>
    <n v="0"/>
    <n v="0"/>
    <n v="0"/>
    <n v="0"/>
    <n v="5"/>
    <n v="1"/>
    <n v="40101"/>
    <n v="2183"/>
    <n v="0"/>
    <n v="1"/>
    <m/>
    <m/>
    <m/>
    <m/>
    <s v=""/>
  </r>
  <r>
    <x v="0"/>
    <d v="2018-07-31T00:00:00"/>
    <n v="1010889"/>
    <n v="0"/>
    <s v="USD"/>
    <s v="JRNLWA00377696"/>
    <s v="P"/>
    <s v="Opex 12 - S LeMay PO Log accru"/>
    <s v="AlexandraP"/>
    <s v="0/JE IC"/>
    <m/>
    <m/>
    <s v="VUS000015249: PO 00605: THURSTON COUNTY"/>
    <m/>
    <m/>
    <m/>
    <m/>
    <m/>
    <m/>
    <s v="JRNL00899764"/>
    <s v="JRNL00899764"/>
    <m/>
    <d v="2018-08-06T00:00:00"/>
    <d v="2018-08-07T00:00:00"/>
    <m/>
    <m/>
    <s v="wci_wa"/>
    <n v="0"/>
    <n v="0"/>
    <n v="0"/>
    <n v="0"/>
    <n v="0"/>
    <n v="1"/>
    <n v="40101"/>
    <n v="2183"/>
    <n v="0"/>
    <n v="1"/>
    <m/>
    <m/>
    <m/>
    <m/>
    <s v=""/>
  </r>
  <r>
    <x v="0"/>
    <d v="2018-08-14T00:00:00"/>
    <n v="973029"/>
    <n v="0"/>
    <s v="USD"/>
    <s v="JRNLWA00378101"/>
    <s v="P"/>
    <s v="From Voucher Posting."/>
    <s v="JudyA"/>
    <s v="0/JE IC"/>
    <s v="VUS000015249"/>
    <m/>
    <s v="THURSTON COUNTY SOLID WASTE UT"/>
    <d v="2018-07-31T00:00:00"/>
    <s v="MONTHLY DUMP BILL"/>
    <s v="Disposal 0718"/>
    <s v="PO-2183-18-00605"/>
    <m/>
    <m/>
    <s v="VO04740338"/>
    <s v="JRNL00900654"/>
    <n v="2183"/>
    <d v="2018-08-14T00:00:00"/>
    <d v="2018-08-21T00:00:00"/>
    <n v="1103660"/>
    <d v="2018-08-01T00:00:00"/>
    <s v="wci_wa"/>
    <n v="0"/>
    <n v="0"/>
    <n v="0"/>
    <n v="0"/>
    <n v="0"/>
    <n v="1"/>
    <n v="40101"/>
    <n v="2183"/>
    <n v="0"/>
    <n v="1"/>
    <m/>
    <m/>
    <m/>
    <m/>
    <s v="VO04740338"/>
  </r>
  <r>
    <x v="1"/>
    <d v="2018-08-14T00:00:00"/>
    <n v="38800"/>
    <n v="0"/>
    <s v="USD"/>
    <s v="JRNLWA00378101"/>
    <s v="P"/>
    <s v="From Voucher Posting."/>
    <s v="JudyA"/>
    <s v="0/JE IC"/>
    <s v="VUS000015249"/>
    <m/>
    <s v="THURSTON COUNTY SOLID WASTE UT"/>
    <d v="2018-07-31T00:00:00"/>
    <s v="MONTHLY DUMP BILL"/>
    <s v="Disposal 0718"/>
    <s v="PO-2183-18-00605"/>
    <m/>
    <m/>
    <s v="VO04740338"/>
    <s v="JRNL00900654"/>
    <n v="2183"/>
    <d v="2018-08-14T00:00:00"/>
    <d v="2018-08-21T00:00:00"/>
    <n v="1103660"/>
    <d v="2018-08-01T00:00:00"/>
    <s v="wci_wa"/>
    <n v="0"/>
    <n v="0"/>
    <n v="0"/>
    <n v="0"/>
    <n v="0"/>
    <n v="1"/>
    <n v="40101"/>
    <n v="2183"/>
    <n v="0"/>
    <n v="2"/>
    <m/>
    <m/>
    <m/>
    <m/>
    <s v="VO04740338"/>
  </r>
  <r>
    <x v="0"/>
    <d v="2018-08-31T00:00:00"/>
    <n v="-1010889"/>
    <n v="0"/>
    <s v="USD"/>
    <s v="JRNLWA00377742"/>
    <s v="P"/>
    <s v="Opex 12 - S LeMay PO Log accru"/>
    <s v="HelenaK"/>
    <s v="0/JE IC"/>
    <m/>
    <m/>
    <s v="VUS000015249: PO 00605: THURSTON COUNTY"/>
    <m/>
    <m/>
    <m/>
    <m/>
    <m/>
    <m/>
    <s v="JRNL00899764"/>
    <s v="JRNL00899913"/>
    <m/>
    <d v="2018-08-07T00:00:00"/>
    <d v="2018-08-07T00:00:00"/>
    <m/>
    <m/>
    <s v="wci_wa"/>
    <n v="0"/>
    <n v="0"/>
    <n v="0"/>
    <n v="0"/>
    <n v="5"/>
    <n v="1"/>
    <n v="40101"/>
    <n v="2183"/>
    <n v="0"/>
    <n v="1"/>
    <m/>
    <m/>
    <m/>
    <m/>
    <s v=""/>
  </r>
  <r>
    <x v="0"/>
    <d v="2018-08-31T00:00:00"/>
    <n v="1057086"/>
    <n v="0"/>
    <s v="USD"/>
    <s v="JRNLWA00379259"/>
    <s v="P"/>
    <s v="Opex 12 - S LeMay PO Log accru"/>
    <s v="AlexandraP"/>
    <s v="0/JE IC"/>
    <m/>
    <m/>
    <s v="VUS000015249: PO 00605: THURSTON COUNTY"/>
    <m/>
    <m/>
    <m/>
    <m/>
    <m/>
    <m/>
    <s v="JRNL00903610"/>
    <s v="JRNL00903610"/>
    <m/>
    <d v="2018-09-07T00:00:00"/>
    <d v="2018-09-10T00:00:00"/>
    <m/>
    <m/>
    <s v="wci_wa"/>
    <n v="0"/>
    <n v="0"/>
    <n v="0"/>
    <n v="0"/>
    <n v="0"/>
    <n v="1"/>
    <n v="40101"/>
    <n v="2183"/>
    <n v="0"/>
    <n v="1"/>
    <m/>
    <m/>
    <m/>
    <m/>
    <s v=""/>
  </r>
  <r>
    <x v="0"/>
    <d v="2018-09-12T00:00:00"/>
    <n v="1022428"/>
    <n v="0"/>
    <s v="USD"/>
    <s v="JRNLWA00379591"/>
    <s v="P"/>
    <s v="From Voucher Posting."/>
    <s v="JudyA"/>
    <s v="0/JE IC"/>
    <s v="VUS000015249"/>
    <m/>
    <s v="THURSTON COUNTY SOLID WASTE UT"/>
    <d v="2018-08-31T00:00:00"/>
    <s v="MONTHLY DUMP BILL"/>
    <s v="Disposal 0818"/>
    <s v="PO-2183-18-00605"/>
    <m/>
    <m/>
    <s v="VO04769953"/>
    <s v="JRNL00904377"/>
    <n v="2183"/>
    <d v="2018-09-12T00:00:00"/>
    <d v="2018-09-13T00:00:00"/>
    <n v="1147220"/>
    <d v="2018-09-01T00:00:00"/>
    <s v="wci_wa"/>
    <n v="0"/>
    <n v="0"/>
    <n v="0"/>
    <n v="0"/>
    <n v="0"/>
    <n v="1"/>
    <n v="40101"/>
    <n v="2183"/>
    <n v="0"/>
    <n v="1"/>
    <m/>
    <m/>
    <m/>
    <m/>
    <s v="VO04769953"/>
  </r>
  <r>
    <x v="1"/>
    <d v="2018-09-12T00:00:00"/>
    <n v="34784"/>
    <n v="0"/>
    <s v="USD"/>
    <s v="JRNLWA00379591"/>
    <s v="P"/>
    <s v="From Voucher Posting."/>
    <s v="JudyA"/>
    <s v="0/JE IC"/>
    <s v="VUS000015249"/>
    <m/>
    <s v="THURSTON COUNTY SOLID WASTE UT"/>
    <d v="2018-08-31T00:00:00"/>
    <s v="MONTHLY DUMP BILL"/>
    <s v="Disposal 0818"/>
    <s v="PO-2183-18-00605"/>
    <m/>
    <m/>
    <s v="VO04769953"/>
    <s v="JRNL00904377"/>
    <n v="2183"/>
    <d v="2018-09-12T00:00:00"/>
    <d v="2018-09-13T00:00:00"/>
    <n v="1147220"/>
    <d v="2018-09-01T00:00:00"/>
    <s v="wci_wa"/>
    <n v="0"/>
    <n v="0"/>
    <n v="0"/>
    <n v="0"/>
    <n v="0"/>
    <n v="1"/>
    <n v="40101"/>
    <n v="2183"/>
    <n v="0"/>
    <n v="2"/>
    <m/>
    <m/>
    <m/>
    <m/>
    <s v="VO04769953"/>
  </r>
  <r>
    <x v="0"/>
    <d v="2018-09-30T00:00:00"/>
    <n v="-1057086"/>
    <n v="0"/>
    <s v="USD"/>
    <s v="JRNLWA00379348"/>
    <s v="P"/>
    <s v="Opex 12 - S LeMay PO Log accru"/>
    <s v="AlexandraP"/>
    <s v="0/JE IC"/>
    <m/>
    <m/>
    <s v="VUS000015249: PO 00605: THURSTON COUNTY"/>
    <m/>
    <m/>
    <m/>
    <m/>
    <m/>
    <m/>
    <s v="JRNL00903610"/>
    <s v="JRNL00903807"/>
    <m/>
    <d v="2018-09-10T00:00:00"/>
    <d v="2018-09-10T00:00:00"/>
    <m/>
    <m/>
    <s v="wci_wa"/>
    <n v="0"/>
    <n v="0"/>
    <n v="0"/>
    <n v="0"/>
    <n v="5"/>
    <n v="1"/>
    <n v="40101"/>
    <n v="2183"/>
    <n v="0"/>
    <n v="1"/>
    <m/>
    <m/>
    <m/>
    <m/>
    <s v=""/>
  </r>
  <r>
    <x v="0"/>
    <d v="2018-09-30T00:00:00"/>
    <n v="922011"/>
    <n v="0"/>
    <s v="USD"/>
    <s v="JRNLWA00380840"/>
    <s v="P"/>
    <s v="Opex 12 - S LeMay PO Log accru"/>
    <s v="AlexandraP"/>
    <s v="0/JE IC"/>
    <m/>
    <m/>
    <s v="PO 00605: THURSTON COUNTY SOLID WASTE UT"/>
    <m/>
    <m/>
    <m/>
    <m/>
    <m/>
    <m/>
    <s v="JRNL00907323"/>
    <s v="JRNL00907323"/>
    <m/>
    <d v="2018-10-04T00:00:00"/>
    <d v="2018-10-05T00:00:00"/>
    <m/>
    <m/>
    <s v="wci_wa"/>
    <n v="0"/>
    <n v="0"/>
    <n v="0"/>
    <n v="0"/>
    <n v="0"/>
    <n v="1"/>
    <n v="40101"/>
    <n v="2183"/>
    <n v="0"/>
    <n v="1"/>
    <m/>
    <m/>
    <m/>
    <m/>
    <s v=""/>
  </r>
  <r>
    <x v="0"/>
    <d v="2018-10-11T00:00:00"/>
    <n v="894638"/>
    <n v="0"/>
    <s v="USD"/>
    <s v="JRNLWA00381218"/>
    <s v="P"/>
    <s v="From Voucher Posting."/>
    <s v="JudyA"/>
    <s v="0/JE IC"/>
    <s v="VUS000015249"/>
    <m/>
    <s v="THURSTON COUNTY SOLID WASTE UT"/>
    <d v="2018-09-30T00:00:00"/>
    <s v="MONTHLY DUMP BILL"/>
    <s v="Disp 0918"/>
    <s v="PO-2183-18-00605"/>
    <m/>
    <m/>
    <s v="VO04799621"/>
    <s v="JRNL00908262"/>
    <n v="2183"/>
    <d v="2018-10-11T00:00:00"/>
    <d v="2018-10-12T00:00:00"/>
    <n v="1009630"/>
    <d v="2018-10-01T00:00:00"/>
    <s v="wci_wa"/>
    <n v="0"/>
    <n v="0"/>
    <n v="0"/>
    <n v="0"/>
    <n v="0"/>
    <n v="1"/>
    <n v="40101"/>
    <n v="2183"/>
    <n v="0"/>
    <n v="1"/>
    <m/>
    <m/>
    <m/>
    <m/>
    <s v="VO04799621"/>
  </r>
  <r>
    <x v="1"/>
    <d v="2018-10-11T00:00:00"/>
    <n v="32977"/>
    <n v="0"/>
    <s v="USD"/>
    <s v="JRNLWA00381218"/>
    <s v="P"/>
    <s v="From Voucher Posting."/>
    <s v="JudyA"/>
    <s v="0/JE IC"/>
    <s v="VUS000015249"/>
    <m/>
    <s v="THURSTON COUNTY SOLID WASTE UT"/>
    <d v="2018-09-30T00:00:00"/>
    <s v="MONTHLY DUMP BILL"/>
    <s v="Disp 0918"/>
    <s v="PO-2183-18-00605"/>
    <m/>
    <m/>
    <s v="VO04799621"/>
    <s v="JRNL00908262"/>
    <n v="2183"/>
    <d v="2018-10-11T00:00:00"/>
    <d v="2018-10-12T00:00:00"/>
    <n v="1009630"/>
    <d v="2018-10-01T00:00:00"/>
    <s v="wci_wa"/>
    <n v="0"/>
    <n v="0"/>
    <n v="0"/>
    <n v="0"/>
    <n v="0"/>
    <n v="1"/>
    <n v="40101"/>
    <n v="2183"/>
    <n v="0"/>
    <n v="2"/>
    <m/>
    <m/>
    <m/>
    <m/>
    <s v="VO04799621"/>
  </r>
  <r>
    <x v="0"/>
    <d v="2018-10-31T00:00:00"/>
    <n v="-922011"/>
    <n v="0"/>
    <s v="USD"/>
    <s v="JRNLWA00380934"/>
    <s v="P"/>
    <s v="Opex 12 - S LeMay PO Log accru"/>
    <s v="HelenaK"/>
    <s v="0/JE IC"/>
    <m/>
    <m/>
    <s v="PO 00605: THURSTON COUNTY SOLID WASTE UT"/>
    <m/>
    <m/>
    <m/>
    <m/>
    <m/>
    <m/>
    <s v="JRNL00907323"/>
    <s v="JRNL00907474"/>
    <m/>
    <d v="2018-10-05T00:00:00"/>
    <d v="2018-10-05T00:00:00"/>
    <m/>
    <m/>
    <s v="wci_wa"/>
    <n v="0"/>
    <n v="0"/>
    <n v="0"/>
    <n v="0"/>
    <n v="5"/>
    <n v="1"/>
    <n v="40101"/>
    <n v="2183"/>
    <n v="0"/>
    <n v="1"/>
    <m/>
    <m/>
    <m/>
    <m/>
    <s v=""/>
  </r>
  <r>
    <x v="0"/>
    <d v="2018-10-31T00:00:00"/>
    <n v="1052854"/>
    <n v="0"/>
    <s v="USD"/>
    <s v="JRNLWA00382292"/>
    <s v="P"/>
    <s v="PO Log Accrual"/>
    <s v="AlexandraP"/>
    <s v="0/JE IC"/>
    <m/>
    <m/>
    <s v="PO 00605: THURSTON COUNTY SOLID WASTE UT"/>
    <m/>
    <m/>
    <m/>
    <m/>
    <m/>
    <m/>
    <s v="JRNL00911442"/>
    <s v="JRNL00911442"/>
    <m/>
    <d v="2018-11-07T00:00:00"/>
    <d v="2018-11-07T00:00:00"/>
    <m/>
    <m/>
    <s v="wci_wa"/>
    <n v="0"/>
    <n v="0"/>
    <n v="0"/>
    <n v="0"/>
    <n v="0"/>
    <n v="1"/>
    <n v="40101"/>
    <n v="2183"/>
    <n v="0"/>
    <n v="1"/>
    <m/>
    <m/>
    <m/>
    <m/>
    <s v=""/>
  </r>
  <r>
    <x v="0"/>
    <d v="2018-11-13T00:00:00"/>
    <n v="1014373"/>
    <n v="0"/>
    <s v="USD"/>
    <s v="JRNLWA00382746"/>
    <s v="P"/>
    <s v="From Voucher Posting."/>
    <s v="JudyA"/>
    <s v="0/JE IC"/>
    <s v="VUS000015249"/>
    <m/>
    <s v="THURSTON COUNTY SOLID WASTE UT"/>
    <d v="2018-10-31T00:00:00"/>
    <s v="MONTHLY DUMP BILL"/>
    <s v="Disp 1018"/>
    <s v="PO-2183-18-00605"/>
    <m/>
    <m/>
    <s v="VO04831740"/>
    <s v="JRNL00912290"/>
    <n v="2183"/>
    <d v="2018-11-13T00:00:00"/>
    <d v="2018-11-19T00:00:00"/>
    <n v="1147590"/>
    <d v="2018-11-01T00:00:00"/>
    <s v="wci_wa"/>
    <n v="0"/>
    <n v="0"/>
    <n v="0"/>
    <n v="0"/>
    <n v="0"/>
    <n v="1"/>
    <n v="40101"/>
    <n v="2183"/>
    <n v="0"/>
    <n v="1"/>
    <m/>
    <m/>
    <m/>
    <m/>
    <s v="VO04831740"/>
  </r>
  <r>
    <x v="1"/>
    <d v="2018-11-13T00:00:00"/>
    <n v="41152"/>
    <n v="0"/>
    <s v="USD"/>
    <s v="JRNLWA00382746"/>
    <s v="P"/>
    <s v="From Voucher Posting."/>
    <s v="JudyA"/>
    <s v="0/JE IC"/>
    <s v="VUS000015249"/>
    <m/>
    <s v="THURSTON COUNTY SOLID WASTE UT"/>
    <d v="2018-10-31T00:00:00"/>
    <s v="MONTHLY DUMP BILL"/>
    <s v="Disp 1018"/>
    <s v="PO-2183-18-00605"/>
    <m/>
    <m/>
    <s v="VO04831740"/>
    <s v="JRNL00912290"/>
    <n v="2183"/>
    <d v="2018-11-13T00:00:00"/>
    <d v="2018-11-19T00:00:00"/>
    <n v="1147590"/>
    <d v="2018-11-01T00:00:00"/>
    <s v="wci_wa"/>
    <n v="0"/>
    <n v="0"/>
    <n v="0"/>
    <n v="0"/>
    <n v="0"/>
    <n v="1"/>
    <n v="40101"/>
    <n v="2183"/>
    <n v="0"/>
    <n v="2"/>
    <m/>
    <m/>
    <m/>
    <m/>
    <s v="VO04831740"/>
  </r>
  <r>
    <x v="0"/>
    <d v="2018-11-30T00:00:00"/>
    <n v="-1052854"/>
    <n v="0"/>
    <s v="USD"/>
    <s v="JRNLWA00382302"/>
    <s v="P"/>
    <s v="PO Log Accrual"/>
    <s v="AlexandraP"/>
    <s v="0/JE IC"/>
    <m/>
    <m/>
    <s v="PO 00605: THURSTON COUNTY SOLID WASTE UT"/>
    <m/>
    <m/>
    <m/>
    <m/>
    <m/>
    <m/>
    <s v="JRNL00911442"/>
    <s v="JRNL00911498"/>
    <m/>
    <d v="2018-11-07T00:00:00"/>
    <d v="2018-11-07T00:00:00"/>
    <m/>
    <m/>
    <s v="wci_wa"/>
    <n v="0"/>
    <n v="0"/>
    <n v="0"/>
    <n v="0"/>
    <n v="5"/>
    <n v="1"/>
    <n v="40101"/>
    <n v="2183"/>
    <n v="0"/>
    <n v="1"/>
    <m/>
    <m/>
    <m/>
    <m/>
    <s v=""/>
  </r>
  <r>
    <x v="0"/>
    <d v="2018-11-30T00:00:00"/>
    <n v="1041723"/>
    <n v="0"/>
    <s v="USD"/>
    <s v="JRNLWA00383878"/>
    <s v="P"/>
    <s v="PO Log Accrual"/>
    <s v="AlexandraP"/>
    <s v="0/JE IC"/>
    <m/>
    <m/>
    <s v="VUS000015249: PO 00605: THURSTON COUNTY"/>
    <m/>
    <m/>
    <m/>
    <m/>
    <m/>
    <m/>
    <s v="JRNL00915208"/>
    <s v="JRNL00915208"/>
    <m/>
    <d v="2018-12-06T00:00:00"/>
    <d v="2018-12-07T00:00:00"/>
    <m/>
    <m/>
    <s v="wci_wa"/>
    <n v="0"/>
    <n v="0"/>
    <n v="0"/>
    <n v="0"/>
    <n v="0"/>
    <n v="1"/>
    <n v="40101"/>
    <n v="2183"/>
    <n v="0"/>
    <n v="1"/>
    <m/>
    <m/>
    <m/>
    <m/>
    <s v=""/>
  </r>
  <r>
    <x v="0"/>
    <d v="2018-12-13T00:00:00"/>
    <n v="1000214"/>
    <n v="0"/>
    <s v="USD"/>
    <s v="JRNLWA00384229"/>
    <s v="P"/>
    <s v="From Voucher Posting."/>
    <s v="JudyA"/>
    <s v="0/JE IC"/>
    <s v="VUS000015249"/>
    <m/>
    <s v="THURSTON COUNTY SOLID WASTE UT"/>
    <d v="2018-11-30T00:00:00"/>
    <s v="MONTHLY DUMP BILL"/>
    <s v="Disp 1118"/>
    <s v="PO-2183-18-00605"/>
    <m/>
    <m/>
    <s v="VO04861821"/>
    <s v="JRNL00916156"/>
    <n v="2183"/>
    <d v="2018-12-13T00:00:00"/>
    <d v="2018-12-20T00:00:00"/>
    <n v="1128680"/>
    <d v="2018-12-01T00:00:00"/>
    <s v="wci_wa"/>
    <n v="0"/>
    <n v="0"/>
    <n v="0"/>
    <n v="0"/>
    <n v="0"/>
    <n v="1"/>
    <n v="40101"/>
    <n v="2183"/>
    <n v="0"/>
    <n v="1"/>
    <m/>
    <m/>
    <m/>
    <m/>
    <s v="VO04861821"/>
  </r>
  <r>
    <x v="1"/>
    <d v="2018-12-13T00:00:00"/>
    <n v="46757"/>
    <n v="0"/>
    <s v="USD"/>
    <s v="JRNLWA00384229"/>
    <s v="P"/>
    <s v="From Voucher Posting."/>
    <s v="JudyA"/>
    <s v="0/JE IC"/>
    <s v="VUS000015249"/>
    <m/>
    <s v="THURSTON COUNTY SOLID WASTE UT"/>
    <d v="2018-11-30T00:00:00"/>
    <s v="MONTHLY DUMP BILL"/>
    <s v="Disp 1118"/>
    <s v="PO-2183-18-00605"/>
    <m/>
    <m/>
    <s v="VO04861821"/>
    <s v="JRNL00916156"/>
    <n v="2183"/>
    <d v="2018-12-13T00:00:00"/>
    <d v="2018-12-20T00:00:00"/>
    <n v="1128680"/>
    <d v="2018-12-01T00:00:00"/>
    <s v="wci_wa"/>
    <n v="0"/>
    <n v="0"/>
    <n v="0"/>
    <n v="0"/>
    <n v="0"/>
    <n v="1"/>
    <n v="40101"/>
    <n v="2183"/>
    <n v="0"/>
    <n v="2"/>
    <m/>
    <m/>
    <m/>
    <m/>
    <s v="VO04861821"/>
  </r>
  <r>
    <x v="0"/>
    <d v="2018-12-31T00:00:00"/>
    <n v="-1041723"/>
    <n v="0"/>
    <s v="USD"/>
    <s v="JRNLWA00383964"/>
    <s v="P"/>
    <s v="PO Log Accrual"/>
    <s v="AlexandraP"/>
    <s v="0/JE IC"/>
    <m/>
    <m/>
    <s v="VUS000015249: PO 00605: THURSTON COUNTY"/>
    <m/>
    <m/>
    <m/>
    <m/>
    <m/>
    <m/>
    <s v="JRNL00915208"/>
    <s v="JRNL00915337"/>
    <m/>
    <d v="2018-12-07T00:00:00"/>
    <d v="2018-12-07T00:00:00"/>
    <m/>
    <m/>
    <s v="wci_wa"/>
    <n v="0"/>
    <n v="0"/>
    <n v="0"/>
    <n v="0"/>
    <n v="5"/>
    <n v="1"/>
    <n v="40101"/>
    <n v="2183"/>
    <n v="0"/>
    <n v="1"/>
    <m/>
    <m/>
    <m/>
    <m/>
    <s v=""/>
  </r>
  <r>
    <x v="0"/>
    <d v="2018-12-31T00:00:00"/>
    <n v="952165"/>
    <n v="0"/>
    <s v="USD"/>
    <s v="JRNLWA00385314"/>
    <s v="P"/>
    <s v="PO Log Accrual"/>
    <s v="AlexandraP"/>
    <s v="0/JE IC"/>
    <m/>
    <m/>
    <s v="VUS000015249: PO 00605: THURSTON COUNTY"/>
    <m/>
    <m/>
    <m/>
    <m/>
    <m/>
    <m/>
    <s v="JRNL00918913"/>
    <s v="JRNL00918913"/>
    <m/>
    <d v="2019-01-07T00:00:00"/>
    <d v="2019-01-08T00:00:00"/>
    <m/>
    <m/>
    <s v="wci_wa"/>
    <n v="0"/>
    <n v="0"/>
    <n v="0"/>
    <n v="0"/>
    <n v="0"/>
    <n v="1"/>
    <n v="40101"/>
    <n v="2183"/>
    <n v="0"/>
    <n v="1"/>
    <m/>
    <m/>
    <m/>
    <m/>
    <s v=""/>
  </r>
  <r>
    <x v="0"/>
    <d v="2019-01-17T00:00:00"/>
    <n v="927298"/>
    <n v="0"/>
    <s v="USD"/>
    <s v="JRNLWA00385857"/>
    <s v="P"/>
    <s v="From Voucher Posting."/>
    <s v="JudyA"/>
    <s v="0/JE IC"/>
    <s v="VUS000015249"/>
    <m/>
    <s v="THURSTON COUNTY SOLID WASTE UT"/>
    <d v="2018-12-31T00:00:00"/>
    <s v="MONTHLY DUMP BILL"/>
    <s v="Disp 1218"/>
    <s v="PO-2183-18-00605"/>
    <m/>
    <m/>
    <s v="VO04894306"/>
    <s v="JRNL00920126"/>
    <n v="2183"/>
    <d v="2019-01-17T00:00:00"/>
    <d v="2019-01-17T00:00:00"/>
    <n v="1032270"/>
    <d v="2019-01-01T00:00:00"/>
    <s v="wci_wa"/>
    <n v="0"/>
    <n v="0"/>
    <n v="0"/>
    <n v="0"/>
    <n v="0"/>
    <n v="1"/>
    <n v="40101"/>
    <n v="2183"/>
    <n v="0"/>
    <n v="1"/>
    <m/>
    <m/>
    <m/>
    <m/>
    <s v="VO04894306"/>
  </r>
  <r>
    <x v="1"/>
    <d v="2019-01-17T00:00:00"/>
    <n v="28955"/>
    <n v="0"/>
    <s v="USD"/>
    <s v="JRNLWA00385857"/>
    <s v="P"/>
    <s v="From Voucher Posting."/>
    <s v="JudyA"/>
    <s v="0/JE IC"/>
    <s v="VUS000015249"/>
    <m/>
    <s v="THURSTON COUNTY SOLID WASTE UT"/>
    <d v="2018-12-31T00:00:00"/>
    <s v="MONTHLY DUMP BILL"/>
    <s v="Disp 1218"/>
    <s v="PO-2183-18-00605"/>
    <m/>
    <m/>
    <s v="VO04894306"/>
    <s v="JRNL00920126"/>
    <n v="2183"/>
    <d v="2019-01-17T00:00:00"/>
    <d v="2019-01-17T00:00:00"/>
    <n v="1032270"/>
    <d v="2019-01-01T00:00:00"/>
    <s v="wci_wa"/>
    <n v="0"/>
    <n v="0"/>
    <n v="0"/>
    <n v="0"/>
    <n v="0"/>
    <n v="1"/>
    <n v="40101"/>
    <n v="2183"/>
    <n v="0"/>
    <n v="2"/>
    <m/>
    <m/>
    <m/>
    <m/>
    <s v="VO04894306"/>
  </r>
  <r>
    <x v="0"/>
    <d v="2019-01-31T00:00:00"/>
    <n v="-952165"/>
    <n v="0"/>
    <s v="USD"/>
    <s v="JRNLWA00385403"/>
    <s v="P"/>
    <s v="PO Log Accrual"/>
    <s v="AlexandraP"/>
    <s v="0/JE IC"/>
    <m/>
    <m/>
    <s v="VUS000015249: PO 00605: THURSTON COUNTY"/>
    <m/>
    <m/>
    <m/>
    <m/>
    <m/>
    <m/>
    <s v="JRNL00918913"/>
    <s v="JRNL00919027"/>
    <m/>
    <d v="2019-01-08T00:00:00"/>
    <d v="2019-01-08T00:00:00"/>
    <m/>
    <m/>
    <s v="wci_wa"/>
    <n v="0"/>
    <n v="0"/>
    <n v="0"/>
    <n v="0"/>
    <n v="5"/>
    <n v="1"/>
    <n v="40101"/>
    <n v="2183"/>
    <n v="0"/>
    <n v="1"/>
    <m/>
    <m/>
    <m/>
    <m/>
    <s v=""/>
  </r>
  <r>
    <x v="0"/>
    <d v="2019-01-31T00:00:00"/>
    <n v="1037943"/>
    <n v="0"/>
    <s v="USD"/>
    <s v="JRNLWA00386968"/>
    <s v="P"/>
    <s v="PO Log Accrual"/>
    <s v="AlexandraP"/>
    <s v="0/JE IC"/>
    <m/>
    <m/>
    <s v="VUS000015249: PO 05730: THURSTON COUNTY"/>
    <m/>
    <m/>
    <m/>
    <m/>
    <m/>
    <m/>
    <s v="JRNL00923103"/>
    <s v="JRNL00923103"/>
    <m/>
    <d v="2019-02-06T00:00:00"/>
    <d v="2019-02-07T00:00:00"/>
    <m/>
    <m/>
    <s v="wci_wa"/>
    <n v="0"/>
    <n v="0"/>
    <n v="0"/>
    <n v="0"/>
    <n v="0"/>
    <n v="1"/>
    <n v="40101"/>
    <n v="2183"/>
    <n v="0"/>
    <n v="1"/>
    <m/>
    <m/>
    <m/>
    <m/>
    <s v=""/>
  </r>
  <r>
    <x v="0"/>
    <d v="2019-02-14T00:00:00"/>
    <n v="1010266"/>
    <n v="0"/>
    <s v="USD"/>
    <s v="JRNLWA00387372"/>
    <s v="P"/>
    <s v="From Voucher Posting."/>
    <s v="MariaJ"/>
    <s v="0/JE IC"/>
    <s v="VUS000015249"/>
    <m/>
    <s v="THURSTON COUNTY SOLID WASTE UT"/>
    <d v="2019-01-31T00:00:00"/>
    <s v="MONTHLY DUMP BILL"/>
    <s v="Dump Bill Jan 2019"/>
    <s v="PO-2183-18-05730"/>
    <m/>
    <m/>
    <s v="VO04922805"/>
    <s v="JRNL00924133"/>
    <n v="2183"/>
    <d v="2019-02-14T00:00:00"/>
    <d v="2019-02-20T00:00:00"/>
    <n v="1125210"/>
    <d v="2019-02-01T00:00:00"/>
    <s v="wci_wa"/>
    <n v="0"/>
    <n v="0"/>
    <n v="0"/>
    <n v="0"/>
    <n v="0"/>
    <n v="1"/>
    <n v="40101"/>
    <n v="2183"/>
    <n v="0"/>
    <n v="1"/>
    <m/>
    <m/>
    <m/>
    <m/>
    <s v="VO04922805"/>
  </r>
  <r>
    <x v="1"/>
    <d v="2019-02-14T00:00:00"/>
    <n v="30724"/>
    <n v="0"/>
    <s v="USD"/>
    <s v="JRNLWA00387372"/>
    <s v="P"/>
    <s v="From Voucher Posting."/>
    <s v="MariaJ"/>
    <s v="0/JE IC"/>
    <s v="VUS000015249"/>
    <m/>
    <s v="THURSTON COUNTY SOLID WASTE UT"/>
    <d v="2019-01-31T00:00:00"/>
    <s v="MONTHLY DUMP BILL"/>
    <s v="Dump Bill Jan 2019"/>
    <s v="PO-2183-18-05730"/>
    <m/>
    <m/>
    <s v="VO04922805"/>
    <s v="JRNL00924133"/>
    <n v="2183"/>
    <d v="2019-02-14T00:00:00"/>
    <d v="2019-02-20T00:00:00"/>
    <n v="1125210"/>
    <d v="2019-02-01T00:00:00"/>
    <s v="wci_wa"/>
    <n v="0"/>
    <n v="0"/>
    <n v="0"/>
    <n v="0"/>
    <n v="0"/>
    <n v="1"/>
    <n v="40101"/>
    <n v="2183"/>
    <n v="0"/>
    <n v="2"/>
    <m/>
    <m/>
    <m/>
    <m/>
    <s v="VO04922805"/>
  </r>
  <r>
    <x v="0"/>
    <d v="2019-02-28T00:00:00"/>
    <n v="-1037943"/>
    <n v="0"/>
    <s v="USD"/>
    <s v="JRNLWA00387078"/>
    <s v="P"/>
    <s v="PO Log Accrual"/>
    <s v="AlexandraP"/>
    <s v="0/JE IC"/>
    <m/>
    <m/>
    <s v="VUS000015249: PO 05730: THURSTON COUNTY"/>
    <m/>
    <m/>
    <m/>
    <m/>
    <m/>
    <m/>
    <s v="JRNL00923103"/>
    <s v="JRNL00923260"/>
    <m/>
    <d v="2019-02-07T00:00:00"/>
    <d v="2019-02-07T00:00:00"/>
    <m/>
    <m/>
    <s v="wci_wa"/>
    <n v="0"/>
    <n v="0"/>
    <n v="0"/>
    <n v="0"/>
    <n v="5"/>
    <n v="1"/>
    <n v="40101"/>
    <n v="2183"/>
    <n v="0"/>
    <n v="1"/>
    <m/>
    <m/>
    <m/>
    <m/>
    <s v=""/>
  </r>
  <r>
    <x v="0"/>
    <d v="2019-02-28T00:00:00"/>
    <n v="797103"/>
    <n v="0"/>
    <s v="USD"/>
    <s v="JRNLWA00388494"/>
    <s v="P"/>
    <s v="PO Log Accrual"/>
    <s v="AlexandraP"/>
    <s v="0/JE IC"/>
    <m/>
    <m/>
    <s v="VUS000015249: PO 05730: THURSTON COUNTY"/>
    <m/>
    <m/>
    <m/>
    <m/>
    <m/>
    <m/>
    <s v="JRNL00926750"/>
    <s v="JRNL00926750"/>
    <m/>
    <d v="2019-03-06T00:00:00"/>
    <d v="2019-03-07T00:00:00"/>
    <m/>
    <m/>
    <s v="wci_wa"/>
    <n v="0"/>
    <n v="0"/>
    <n v="0"/>
    <n v="0"/>
    <n v="0"/>
    <n v="1"/>
    <n v="40101"/>
    <n v="2183"/>
    <n v="0"/>
    <n v="1"/>
    <m/>
    <m/>
    <m/>
    <m/>
    <s v=""/>
  </r>
  <r>
    <x v="0"/>
    <d v="2019-03-11T00:00:00"/>
    <n v="780534"/>
    <n v="0"/>
    <s v="USD"/>
    <s v="JRNLWA00388777"/>
    <s v="P"/>
    <s v="From Voucher Posting."/>
    <s v="JudyA"/>
    <s v="0/JE IC"/>
    <s v="VUS000015249"/>
    <m/>
    <s v="THURSTON COUNTY SOLID WASTE UT"/>
    <d v="2019-02-28T00:00:00"/>
    <s v="MONTHLY DUMP BILL"/>
    <s v="Disposal 0219"/>
    <s v="PO-2183-18-05730"/>
    <m/>
    <m/>
    <s v="VO04947166"/>
    <s v="JRNL00927268"/>
    <n v="2183"/>
    <d v="2019-03-11T00:00:00"/>
    <d v="2019-03-19T00:00:00"/>
    <n v="864208"/>
    <d v="2019-03-01T00:00:00"/>
    <s v="wci_wa"/>
    <n v="0"/>
    <n v="0"/>
    <n v="0"/>
    <n v="0"/>
    <n v="0"/>
    <n v="1"/>
    <n v="40101"/>
    <n v="2183"/>
    <n v="0"/>
    <n v="1"/>
    <m/>
    <m/>
    <m/>
    <m/>
    <s v="VO04947166"/>
  </r>
  <r>
    <x v="1"/>
    <d v="2019-03-11T00:00:00"/>
    <n v="16945"/>
    <n v="0"/>
    <s v="USD"/>
    <s v="JRNLWA00388777"/>
    <s v="P"/>
    <s v="From Voucher Posting."/>
    <s v="JudyA"/>
    <s v="0/JE IC"/>
    <s v="VUS000015249"/>
    <m/>
    <s v="THURSTON COUNTY SOLID WASTE UT"/>
    <d v="2019-02-28T00:00:00"/>
    <s v="MONTHLY DUMP BILL"/>
    <s v="Disposal 0219"/>
    <s v="PO-2183-18-05730"/>
    <m/>
    <m/>
    <s v="VO04947166"/>
    <s v="JRNL00927268"/>
    <n v="2183"/>
    <d v="2019-03-11T00:00:00"/>
    <d v="2019-03-19T00:00:00"/>
    <n v="864208"/>
    <d v="2019-03-01T00:00:00"/>
    <s v="wci_wa"/>
    <n v="0"/>
    <n v="0"/>
    <n v="0"/>
    <n v="0"/>
    <n v="0"/>
    <n v="1"/>
    <n v="40101"/>
    <n v="2183"/>
    <n v="0"/>
    <n v="2"/>
    <m/>
    <m/>
    <m/>
    <m/>
    <s v="VO04947166"/>
  </r>
  <r>
    <x v="0"/>
    <d v="2019-03-31T00:00:00"/>
    <n v="-797103"/>
    <n v="0"/>
    <s v="USD"/>
    <s v="JRNLWA00388585"/>
    <s v="P"/>
    <s v="PO Log Accrual"/>
    <s v="AlexandraP"/>
    <s v="0/JE IC"/>
    <m/>
    <m/>
    <s v="VUS000015249: PO 05730: THURSTON COUNTY"/>
    <m/>
    <m/>
    <m/>
    <m/>
    <m/>
    <m/>
    <s v="JRNL00926750"/>
    <s v="JRNL00926908"/>
    <m/>
    <d v="2019-03-07T00:00:00"/>
    <d v="2019-03-07T00:00:00"/>
    <m/>
    <m/>
    <s v="wci_wa"/>
    <n v="0"/>
    <n v="0"/>
    <n v="0"/>
    <n v="0"/>
    <n v="5"/>
    <n v="1"/>
    <n v="40101"/>
    <n v="2183"/>
    <n v="0"/>
    <n v="1"/>
    <m/>
    <m/>
    <m/>
    <m/>
    <s v=""/>
  </r>
  <r>
    <x v="0"/>
    <d v="2019-03-31T00:00:00"/>
    <n v="947863"/>
    <n v="0"/>
    <s v="USD"/>
    <s v="JRNLWA00389929"/>
    <s v="P"/>
    <s v="PO Log Accrual"/>
    <s v="HelenaK"/>
    <s v="0/JE IC"/>
    <m/>
    <m/>
    <s v="VUS000015249: PO 05730: THURSTON COUNTY"/>
    <m/>
    <m/>
    <m/>
    <m/>
    <m/>
    <m/>
    <s v="JRNL00929802"/>
    <s v="JRNL00929802"/>
    <m/>
    <d v="2019-04-04T00:00:00"/>
    <d v="2019-04-05T00:00:00"/>
    <m/>
    <m/>
    <s v="wci_wa"/>
    <n v="0"/>
    <n v="0"/>
    <n v="0"/>
    <n v="0"/>
    <n v="0"/>
    <n v="1"/>
    <n v="40101"/>
    <n v="2183"/>
    <n v="0"/>
    <n v="1"/>
    <m/>
    <m/>
    <m/>
    <m/>
    <s v=""/>
  </r>
  <r>
    <x v="0"/>
    <d v="2019-04-15T00:00:00"/>
    <n v="919353"/>
    <n v="0"/>
    <s v="USD"/>
    <s v="JRNLWA00390353"/>
    <s v="P"/>
    <s v="From Voucher Posting."/>
    <s v="JeffS"/>
    <s v="0/JE IC"/>
    <s v="VUS000015249"/>
    <m/>
    <s v="THURSTON COUNTY SOLID WASTE UT"/>
    <d v="2019-03-31T00:00:00"/>
    <s v="MONTHLY DUMP BILL"/>
    <s v="Disposal 0319"/>
    <s v="PO-2183-18-05730"/>
    <m/>
    <m/>
    <s v="VO04983430"/>
    <s v="JRNL00930717"/>
    <n v="2183"/>
    <d v="2019-04-15T00:00:00"/>
    <d v="2019-04-19T00:00:00"/>
    <n v="1035110"/>
    <d v="2019-04-01T00:00:00"/>
    <s v="wci_wa"/>
    <n v="0"/>
    <n v="0"/>
    <n v="0"/>
    <n v="0"/>
    <n v="0"/>
    <n v="1"/>
    <n v="40101"/>
    <n v="2183"/>
    <n v="0"/>
    <n v="1"/>
    <m/>
    <m/>
    <m/>
    <m/>
    <s v="VO04983430"/>
  </r>
  <r>
    <x v="1"/>
    <d v="2019-04-15T00:00:00"/>
    <n v="32785"/>
    <n v="0"/>
    <s v="USD"/>
    <s v="JRNLWA00390353"/>
    <s v="P"/>
    <s v="From Voucher Posting."/>
    <s v="JeffS"/>
    <s v="0/JE IC"/>
    <s v="VUS000015249"/>
    <m/>
    <s v="THURSTON COUNTY SOLID WASTE UT"/>
    <d v="2019-03-31T00:00:00"/>
    <s v="MONTHLY DUMP BILL"/>
    <s v="Disposal 0319"/>
    <s v="PO-2183-18-05730"/>
    <m/>
    <m/>
    <s v="VO04983430"/>
    <s v="JRNL00930717"/>
    <n v="2183"/>
    <d v="2019-04-15T00:00:00"/>
    <d v="2019-04-19T00:00:00"/>
    <n v="1035110"/>
    <d v="2019-04-01T00:00:00"/>
    <s v="wci_wa"/>
    <n v="0"/>
    <n v="0"/>
    <n v="0"/>
    <n v="0"/>
    <n v="0"/>
    <n v="1"/>
    <n v="40101"/>
    <n v="2183"/>
    <n v="0"/>
    <n v="2"/>
    <m/>
    <m/>
    <m/>
    <m/>
    <s v="VO04983430"/>
  </r>
  <r>
    <x v="0"/>
    <d v="2019-04-30T00:00:00"/>
    <n v="-947863"/>
    <n v="0"/>
    <s v="USD"/>
    <s v="JRNLWA00390016"/>
    <s v="P"/>
    <s v="PO Log Accrual"/>
    <s v="AlexandraP"/>
    <s v="0/JE IC"/>
    <m/>
    <m/>
    <s v="VUS000015249: PO 05730: THURSTON COUNTY"/>
    <m/>
    <m/>
    <m/>
    <m/>
    <m/>
    <m/>
    <s v="JRNL00929802"/>
    <s v="JRNL00929929"/>
    <m/>
    <d v="2019-04-05T00:00:00"/>
    <d v="2019-04-05T00:00:00"/>
    <m/>
    <m/>
    <s v="wci_wa"/>
    <n v="0"/>
    <n v="0"/>
    <n v="0"/>
    <n v="0"/>
    <n v="5"/>
    <n v="1"/>
    <n v="40101"/>
    <n v="2183"/>
    <n v="0"/>
    <n v="1"/>
    <m/>
    <m/>
    <m/>
    <m/>
    <s v=""/>
  </r>
  <r>
    <x v="0"/>
    <d v="2019-04-30T00:00:00"/>
    <n v="1035029"/>
    <n v="0"/>
    <s v="USD"/>
    <s v="JRNLWA00391430"/>
    <s v="P"/>
    <s v="PO Log Accrual"/>
    <s v="HelenaK"/>
    <s v="0/JE IC"/>
    <m/>
    <m/>
    <s v="VUS000015249: PO 05730: THURSTON COUNTY"/>
    <m/>
    <m/>
    <m/>
    <m/>
    <m/>
    <m/>
    <s v="JRNL00933056"/>
    <s v="JRNL00933056"/>
    <m/>
    <d v="2019-05-06T00:00:00"/>
    <d v="2019-05-07T00:00:00"/>
    <m/>
    <m/>
    <s v="wci_wa"/>
    <n v="0"/>
    <n v="0"/>
    <n v="0"/>
    <n v="0"/>
    <n v="0"/>
    <n v="1"/>
    <n v="40101"/>
    <n v="2183"/>
    <n v="0"/>
    <n v="1"/>
    <m/>
    <m/>
    <m/>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55:F117" firstHeaderRow="1" firstDataRow="1" firstDataCol="1" rowPageCount="1" colPageCount="1"/>
  <pivotFields count="18">
    <pivotField axis="axisPage" multipleItemSelectionAllowed="1" showAll="0">
      <items count="4">
        <item x="0"/>
        <item h="1" x="1"/>
        <item h="1" x="2"/>
        <item t="default"/>
      </items>
    </pivotField>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8">
        <item x="0"/>
        <item x="1"/>
        <item x="2"/>
        <item x="3"/>
        <item x="4"/>
        <item x="5"/>
        <item x="6"/>
        <item x="7"/>
        <item x="8"/>
        <item x="9"/>
        <item x="10"/>
        <item x="11"/>
        <item x="12"/>
        <item x="13"/>
        <item x="14"/>
        <item x="15"/>
        <item x="16"/>
        <item t="default"/>
      </items>
    </pivotField>
    <pivotField showAll="0"/>
    <pivotField showAll="0"/>
    <pivotField numFmtId="189" showAll="0"/>
    <pivotField axis="axisRow" showAll="0">
      <items count="5">
        <item x="1"/>
        <item x="3"/>
        <item x="0"/>
        <item x="2"/>
        <item t="default"/>
      </items>
    </pivotField>
    <pivotField axis="axisRow" showAll="0">
      <items count="8">
        <item x="1"/>
        <item x="0"/>
        <item x="5"/>
        <item x="4"/>
        <item x="6"/>
        <item x="3"/>
        <item x="2"/>
        <item t="default"/>
      </items>
    </pivotField>
  </pivotFields>
  <rowFields count="3">
    <field x="12"/>
    <field x="16"/>
    <field x="17"/>
  </rowFields>
  <rowItems count="62">
    <i>
      <x/>
    </i>
    <i r="1">
      <x v="2"/>
    </i>
    <i r="2">
      <x v="1"/>
    </i>
    <i>
      <x v="2"/>
    </i>
    <i r="1">
      <x v="1"/>
    </i>
    <i r="2">
      <x v="1"/>
    </i>
    <i r="1">
      <x v="3"/>
    </i>
    <i r="2">
      <x v="6"/>
    </i>
    <i>
      <x v="3"/>
    </i>
    <i r="1">
      <x v="2"/>
    </i>
    <i r="2">
      <x v="1"/>
    </i>
    <i r="1">
      <x v="3"/>
    </i>
    <i r="2">
      <x v="6"/>
    </i>
    <i>
      <x v="4"/>
    </i>
    <i r="1">
      <x/>
    </i>
    <i r="2">
      <x v="1"/>
    </i>
    <i r="1">
      <x v="3"/>
    </i>
    <i r="2">
      <x v="6"/>
    </i>
    <i>
      <x v="5"/>
    </i>
    <i r="1">
      <x v="1"/>
    </i>
    <i r="2">
      <x v="1"/>
    </i>
    <i r="1">
      <x v="3"/>
    </i>
    <i r="2">
      <x v="6"/>
    </i>
    <i>
      <x v="7"/>
    </i>
    <i r="1">
      <x/>
    </i>
    <i r="2">
      <x v="1"/>
    </i>
    <i>
      <x v="8"/>
    </i>
    <i r="1">
      <x v="1"/>
    </i>
    <i r="2">
      <x v="3"/>
    </i>
    <i r="1">
      <x v="3"/>
    </i>
    <i r="2">
      <x v="6"/>
    </i>
    <i>
      <x v="9"/>
    </i>
    <i r="1">
      <x v="1"/>
    </i>
    <i r="2">
      <x/>
    </i>
    <i>
      <x v="10"/>
    </i>
    <i r="1">
      <x/>
    </i>
    <i r="2">
      <x v="2"/>
    </i>
    <i r="1">
      <x v="3"/>
    </i>
    <i r="2">
      <x v="6"/>
    </i>
    <i>
      <x v="11"/>
    </i>
    <i r="1">
      <x v="1"/>
    </i>
    <i r="2">
      <x v="2"/>
    </i>
    <i r="1">
      <x v="3"/>
    </i>
    <i r="2">
      <x v="6"/>
    </i>
    <i>
      <x v="12"/>
    </i>
    <i r="1">
      <x v="1"/>
    </i>
    <i r="2">
      <x v="2"/>
    </i>
    <i>
      <x v="13"/>
    </i>
    <i r="1">
      <x v="1"/>
    </i>
    <i r="2">
      <x v="2"/>
    </i>
    <i>
      <x v="14"/>
    </i>
    <i r="1">
      <x v="1"/>
    </i>
    <i r="2">
      <x v="4"/>
    </i>
    <i>
      <x v="15"/>
    </i>
    <i r="1">
      <x v="1"/>
    </i>
    <i r="2">
      <x v="4"/>
    </i>
    <i>
      <x v="16"/>
    </i>
    <i r="1">
      <x v="1"/>
    </i>
    <i r="2">
      <x v="2"/>
    </i>
    <i r="1">
      <x v="3"/>
    </i>
    <i r="2">
      <x v="6"/>
    </i>
    <i t="grand">
      <x/>
    </i>
  </rowItems>
  <colItems count="1">
    <i/>
  </colItems>
  <pageFields count="1">
    <pageField fld="0" hier="-1"/>
  </pageFields>
  <dataFields count="1">
    <dataField name="Sum of Amount USD" fld="2" baseField="0" baseItem="0" numFmtId="43"/>
  </dataFields>
  <formats count="2">
    <format dxfId="23">
      <pivotArea outline="0" collapsedLevelsAreSubtotals="1" fieldPosition="0"/>
    </format>
    <format dxfId="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75:C94"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9">
        <item x="0"/>
        <item x="1"/>
        <item x="2"/>
        <item x="3"/>
        <item x="4"/>
        <item x="5"/>
        <item x="6"/>
        <item x="7"/>
        <item x="8"/>
        <item x="9"/>
        <item x="10"/>
        <item x="11"/>
        <item x="12"/>
        <item x="13"/>
        <item x="14"/>
        <item x="15"/>
        <item x="16"/>
        <item x="17"/>
        <item t="default"/>
      </items>
    </pivotField>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Amount USD" fld="2" baseField="0" baseItem="0" numFmtId="44"/>
  </dataFields>
  <formats count="5">
    <format dxfId="21">
      <pivotArea outline="0" collapsedLevelsAreSubtotals="1" fieldPosition="0"/>
    </format>
    <format dxfId="20">
      <pivotArea collapsedLevelsAreSubtotals="1" fieldPosition="0">
        <references count="1">
          <reference field="12" count="1">
            <x v="17"/>
          </reference>
        </references>
      </pivotArea>
    </format>
    <format dxfId="19">
      <pivotArea dataOnly="0" labelOnly="1" fieldPosition="0">
        <references count="1">
          <reference field="12" count="1">
            <x v="17"/>
          </reference>
        </references>
      </pivotArea>
    </format>
    <format dxfId="18">
      <pivotArea collapsedLevelsAreSubtotals="1" fieldPosition="0">
        <references count="1">
          <reference field="12" count="2">
            <x v="0"/>
            <x v="1"/>
          </reference>
        </references>
      </pivotArea>
    </format>
    <format dxfId="17">
      <pivotArea dataOnly="0" labelOnly="1" fieldPosition="0">
        <references count="1">
          <reference field="12"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438:C580"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t="default"/>
      </items>
    </pivotField>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t="grand">
      <x/>
    </i>
  </rowItems>
  <colItems count="1">
    <i/>
  </colItems>
  <dataFields count="1">
    <dataField name="Sum of Amount USD" fld="2" baseField="0" baseItem="0" numFmtId="44"/>
  </dataFields>
  <formats count="14">
    <format dxfId="16">
      <pivotArea outline="0" collapsedLevelsAreSubtotals="1" fieldPosition="0"/>
    </format>
    <format dxfId="15">
      <pivotArea dataOnly="0" fieldPosition="0">
        <references count="1">
          <reference field="12" count="1">
            <x v="23"/>
          </reference>
        </references>
      </pivotArea>
    </format>
    <format dxfId="14">
      <pivotArea collapsedLevelsAreSubtotals="1" fieldPosition="0">
        <references count="1">
          <reference field="12" count="1">
            <x v="26"/>
          </reference>
        </references>
      </pivotArea>
    </format>
    <format dxfId="13">
      <pivotArea dataOnly="0" labelOnly="1" fieldPosition="0">
        <references count="1">
          <reference field="12" count="1">
            <x v="26"/>
          </reference>
        </references>
      </pivotArea>
    </format>
    <format dxfId="12">
      <pivotArea collapsedLevelsAreSubtotals="1" fieldPosition="0">
        <references count="1">
          <reference field="12" count="1">
            <x v="29"/>
          </reference>
        </references>
      </pivotArea>
    </format>
    <format dxfId="11">
      <pivotArea dataOnly="0" labelOnly="1" fieldPosition="0">
        <references count="1">
          <reference field="12" count="1">
            <x v="29"/>
          </reference>
        </references>
      </pivotArea>
    </format>
    <format dxfId="10">
      <pivotArea collapsedLevelsAreSubtotals="1" fieldPosition="0">
        <references count="1">
          <reference field="12" count="1">
            <x v="73"/>
          </reference>
        </references>
      </pivotArea>
    </format>
    <format dxfId="9">
      <pivotArea dataOnly="0" labelOnly="1" fieldPosition="0">
        <references count="1">
          <reference field="12" count="1">
            <x v="73"/>
          </reference>
        </references>
      </pivotArea>
    </format>
    <format dxfId="8">
      <pivotArea collapsedLevelsAreSubtotals="1" fieldPosition="0">
        <references count="1">
          <reference field="12" count="1">
            <x v="104"/>
          </reference>
        </references>
      </pivotArea>
    </format>
    <format dxfId="7">
      <pivotArea dataOnly="0" labelOnly="1" fieldPosition="0">
        <references count="1">
          <reference field="12" count="1">
            <x v="104"/>
          </reference>
        </references>
      </pivotArea>
    </format>
    <format dxfId="6">
      <pivotArea collapsedLevelsAreSubtotals="1" fieldPosition="0">
        <references count="1">
          <reference field="12" count="1">
            <x v="130"/>
          </reference>
        </references>
      </pivotArea>
    </format>
    <format dxfId="5">
      <pivotArea dataOnly="0" labelOnly="1" fieldPosition="0">
        <references count="1">
          <reference field="12" count="1">
            <x v="130"/>
          </reference>
        </references>
      </pivotArea>
    </format>
    <format dxfId="4">
      <pivotArea collapsedLevelsAreSubtotals="1" fieldPosition="0">
        <references count="1">
          <reference field="12" count="1">
            <x v="135"/>
          </reference>
        </references>
      </pivotArea>
    </format>
    <format dxfId="3">
      <pivotArea dataOnly="0" labelOnly="1" fieldPosition="0">
        <references count="1">
          <reference field="12" count="1">
            <x v="1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60:C77"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7">
    <i>
      <x/>
    </i>
    <i>
      <x v="1"/>
    </i>
    <i>
      <x v="2"/>
    </i>
    <i>
      <x v="3"/>
    </i>
    <i>
      <x v="4"/>
    </i>
    <i>
      <x v="5"/>
    </i>
    <i>
      <x v="6"/>
    </i>
    <i>
      <x v="7"/>
    </i>
    <i>
      <x v="8"/>
    </i>
    <i>
      <x v="9"/>
    </i>
    <i>
      <x v="10"/>
    </i>
    <i>
      <x v="11"/>
    </i>
    <i>
      <x v="12"/>
    </i>
    <i>
      <x v="13"/>
    </i>
    <i>
      <x v="14"/>
    </i>
    <i>
      <x v="15"/>
    </i>
    <i t="grand">
      <x/>
    </i>
  </rowItems>
  <colItems count="1">
    <i/>
  </colItems>
  <dataFields count="1">
    <dataField name="Sum of Amount USD" fld="2" baseField="0" baseItem="0" numFmtId="4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72:B73" firstHeaderRow="1" firstDataRow="1" firstDataCol="0" rowPageCount="1" colPageCount="1"/>
  <pivotFields count="42">
    <pivotField axis="axisPage" showAll="0">
      <items count="3">
        <item x="0"/>
        <item x="1"/>
        <item t="default"/>
      </items>
    </pivotField>
    <pivotField numFmtId="14" showAll="0"/>
    <pivotField dataField="1" numFmtId="40" showAll="0"/>
    <pivotField numFmtId="4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0" item="1" hier="-1"/>
  </pageFields>
  <dataFields count="1">
    <dataField name="Sum of Amount USD" fld="2"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60:C75" firstHeaderRow="1" firstDataRow="1" firstDataCol="1"/>
  <pivotFields count="42">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5">
        <item x="9"/>
        <item x="6"/>
        <item x="3"/>
        <item x="2"/>
        <item x="1"/>
        <item x="0"/>
        <item x="11"/>
        <item x="10"/>
        <item x="7"/>
        <item x="4"/>
        <item x="12"/>
        <item x="8"/>
        <item x="13"/>
        <item x="5"/>
        <item t="default"/>
      </items>
    </pivotField>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5">
    <i>
      <x/>
    </i>
    <i>
      <x v="1"/>
    </i>
    <i>
      <x v="2"/>
    </i>
    <i>
      <x v="3"/>
    </i>
    <i>
      <x v="4"/>
    </i>
    <i>
      <x v="5"/>
    </i>
    <i>
      <x v="6"/>
    </i>
    <i>
      <x v="7"/>
    </i>
    <i>
      <x v="8"/>
    </i>
    <i>
      <x v="9"/>
    </i>
    <i>
      <x v="10"/>
    </i>
    <i>
      <x v="11"/>
    </i>
    <i>
      <x v="12"/>
    </i>
    <i>
      <x v="13"/>
    </i>
    <i t="grand">
      <x/>
    </i>
  </rowItems>
  <colItems count="1">
    <i/>
  </colItems>
  <dataFields count="1">
    <dataField name="Sum of Amount USD" fld="2" baseField="0" baseItem="0" numFmtId="4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xml"/><Relationship Id="rId1" Type="http://schemas.openxmlformats.org/officeDocument/2006/relationships/printerSettings" Target="../printerSettings/printerSettings25.bin"/><Relationship Id="rId5" Type="http://schemas.openxmlformats.org/officeDocument/2006/relationships/image" Target="../media/image3.emf"/><Relationship Id="rId4" Type="http://schemas.openxmlformats.org/officeDocument/2006/relationships/control" Target="../activeX/activeX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6.bin"/><Relationship Id="rId5" Type="http://schemas.openxmlformats.org/officeDocument/2006/relationships/image" Target="../media/image3.emf"/><Relationship Id="rId4" Type="http://schemas.openxmlformats.org/officeDocument/2006/relationships/control" Target="../activeX/activeX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7.bin"/><Relationship Id="rId5" Type="http://schemas.openxmlformats.org/officeDocument/2006/relationships/image" Target="../media/image3.emf"/><Relationship Id="rId4" Type="http://schemas.openxmlformats.org/officeDocument/2006/relationships/control" Target="../activeX/activeX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8.bin"/><Relationship Id="rId5" Type="http://schemas.openxmlformats.org/officeDocument/2006/relationships/image" Target="../media/image3.emf"/><Relationship Id="rId4" Type="http://schemas.openxmlformats.org/officeDocument/2006/relationships/control" Target="../activeX/activeX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9.bin"/><Relationship Id="rId1" Type="http://schemas.openxmlformats.org/officeDocument/2006/relationships/pivotTable" Target="../pivotTables/pivotTable1.xml"/><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1.bin"/><Relationship Id="rId1" Type="http://schemas.openxmlformats.org/officeDocument/2006/relationships/pivotTable" Target="../pivotTables/pivotTable2.xml"/><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2.bin"/><Relationship Id="rId1" Type="http://schemas.openxmlformats.org/officeDocument/2006/relationships/pivotTable" Target="../pivotTables/pivotTable3.xml"/><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3.bin"/><Relationship Id="rId1" Type="http://schemas.openxmlformats.org/officeDocument/2006/relationships/pivotTable" Target="../pivotTables/pivotTable4.xml"/><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34.bin"/><Relationship Id="rId1" Type="http://schemas.openxmlformats.org/officeDocument/2006/relationships/pivotTable" Target="../pivotTables/pivotTable5.xml"/><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35.bin"/><Relationship Id="rId1" Type="http://schemas.openxmlformats.org/officeDocument/2006/relationships/pivotTable" Target="../pivotTables/pivotTable6.xml"/><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pageSetUpPr fitToPage="1"/>
  </sheetPr>
  <dimension ref="A1:AJ572"/>
  <sheetViews>
    <sheetView showGridLines="0" tabSelected="1" view="pageBreakPreview" topLeftCell="D6" zoomScale="60" zoomScaleNormal="85" workbookViewId="0">
      <selection activeCell="AR41" sqref="AR41"/>
    </sheetView>
  </sheetViews>
  <sheetFormatPr defaultColWidth="13.85546875" defaultRowHeight="12.75" outlineLevelRow="1"/>
  <cols>
    <col min="1" max="3" width="0" style="2" hidden="1" customWidth="1"/>
    <col min="4" max="4" width="7.85546875" style="2" customWidth="1"/>
    <col min="5" max="6" width="2.28515625" style="2" customWidth="1"/>
    <col min="7" max="7" width="31.42578125" style="2" customWidth="1"/>
    <col min="8" max="8" width="2.28515625" style="2" customWidth="1"/>
    <col min="9" max="9" width="2.140625" style="2" customWidth="1"/>
    <col min="10" max="10" width="12.28515625" style="20" customWidth="1"/>
    <col min="11" max="11" width="1.5703125" style="2" customWidth="1"/>
    <col min="12" max="12" width="12.28515625" style="20" customWidth="1"/>
    <col min="13" max="13" width="1.5703125" style="2" customWidth="1"/>
    <col min="14" max="14" width="12.28515625" style="20" customWidth="1"/>
    <col min="15" max="15" width="1.5703125" style="2" customWidth="1"/>
    <col min="16" max="16" width="13.5703125" style="20" customWidth="1"/>
    <col min="17" max="17" width="0.85546875" style="2" customWidth="1"/>
    <col min="18" max="18" width="12.28515625" style="20" customWidth="1"/>
    <col min="19" max="19" width="1.5703125" style="2" customWidth="1"/>
    <col min="20" max="20" width="12.28515625" style="20" customWidth="1"/>
    <col min="21" max="21" width="1.5703125" style="2" customWidth="1"/>
    <col min="22" max="22" width="12.28515625" style="20" customWidth="1"/>
    <col min="23" max="23" width="0.85546875" style="2" customWidth="1"/>
    <col min="24" max="24" width="12.28515625" style="20" customWidth="1"/>
    <col min="25" max="25" width="1.5703125" style="2" customWidth="1"/>
    <col min="26" max="26" width="12.28515625" style="20" customWidth="1"/>
    <col min="27" max="27" width="1.5703125" style="2" customWidth="1"/>
    <col min="28" max="28" width="12.28515625" style="20" customWidth="1"/>
    <col min="29" max="29" width="0.85546875" style="2" customWidth="1"/>
    <col min="30" max="30" width="12.28515625" style="20" customWidth="1"/>
    <col min="31" max="31" width="1.5703125" style="2" customWidth="1"/>
    <col min="32" max="32" width="12.28515625" style="20" customWidth="1"/>
    <col min="33" max="33" width="1.5703125" style="2" customWidth="1"/>
    <col min="34" max="34" width="12.28515625" style="20" customWidth="1"/>
    <col min="35" max="35" width="4.5703125" style="2" customWidth="1"/>
    <col min="36" max="36" width="1.42578125" style="2" customWidth="1"/>
    <col min="37" max="259" width="13.85546875" style="2"/>
    <col min="260" max="260" width="7.85546875" style="2" customWidth="1"/>
    <col min="261" max="262" width="2.28515625" style="2" customWidth="1"/>
    <col min="263" max="263" width="31.42578125" style="2" customWidth="1"/>
    <col min="264" max="264" width="2.28515625" style="2" customWidth="1"/>
    <col min="265" max="265" width="2.140625" style="2" customWidth="1"/>
    <col min="266" max="266" width="12.28515625" style="2" customWidth="1"/>
    <col min="267" max="267" width="1.5703125" style="2" customWidth="1"/>
    <col min="268" max="268" width="12.28515625" style="2" customWidth="1"/>
    <col min="269" max="269" width="1.5703125" style="2" customWidth="1"/>
    <col min="270" max="270" width="12.28515625" style="2" customWidth="1"/>
    <col min="271" max="271" width="1.5703125" style="2" customWidth="1"/>
    <col min="272" max="272" width="13.5703125" style="2" customWidth="1"/>
    <col min="273" max="273" width="0.85546875" style="2" customWidth="1"/>
    <col min="274" max="274" width="12.28515625" style="2" customWidth="1"/>
    <col min="275" max="275" width="1.5703125" style="2" customWidth="1"/>
    <col min="276" max="276" width="12.28515625" style="2" customWidth="1"/>
    <col min="277" max="277" width="1.5703125" style="2" customWidth="1"/>
    <col min="278" max="278" width="12.28515625" style="2" customWidth="1"/>
    <col min="279" max="279" width="0.85546875" style="2" customWidth="1"/>
    <col min="280" max="280" width="12.28515625" style="2" customWidth="1"/>
    <col min="281" max="281" width="1.5703125" style="2" customWidth="1"/>
    <col min="282" max="282" width="12.28515625" style="2" customWidth="1"/>
    <col min="283" max="283" width="1.5703125" style="2" customWidth="1"/>
    <col min="284" max="284" width="12.28515625" style="2" customWidth="1"/>
    <col min="285" max="285" width="0.85546875" style="2" customWidth="1"/>
    <col min="286" max="286" width="12.28515625" style="2" customWidth="1"/>
    <col min="287" max="287" width="1.5703125" style="2" customWidth="1"/>
    <col min="288" max="288" width="12.28515625" style="2" customWidth="1"/>
    <col min="289" max="289" width="1.5703125" style="2" customWidth="1"/>
    <col min="290" max="290" width="12.28515625" style="2" customWidth="1"/>
    <col min="291" max="291" width="4.5703125" style="2" customWidth="1"/>
    <col min="292" max="292" width="1.42578125" style="2" customWidth="1"/>
    <col min="293" max="515" width="13.85546875" style="2"/>
    <col min="516" max="516" width="7.85546875" style="2" customWidth="1"/>
    <col min="517" max="518" width="2.28515625" style="2" customWidth="1"/>
    <col min="519" max="519" width="31.42578125" style="2" customWidth="1"/>
    <col min="520" max="520" width="2.28515625" style="2" customWidth="1"/>
    <col min="521" max="521" width="2.140625" style="2" customWidth="1"/>
    <col min="522" max="522" width="12.28515625" style="2" customWidth="1"/>
    <col min="523" max="523" width="1.5703125" style="2" customWidth="1"/>
    <col min="524" max="524" width="12.28515625" style="2" customWidth="1"/>
    <col min="525" max="525" width="1.5703125" style="2" customWidth="1"/>
    <col min="526" max="526" width="12.28515625" style="2" customWidth="1"/>
    <col min="527" max="527" width="1.5703125" style="2" customWidth="1"/>
    <col min="528" max="528" width="13.5703125" style="2" customWidth="1"/>
    <col min="529" max="529" width="0.85546875" style="2" customWidth="1"/>
    <col min="530" max="530" width="12.28515625" style="2" customWidth="1"/>
    <col min="531" max="531" width="1.5703125" style="2" customWidth="1"/>
    <col min="532" max="532" width="12.28515625" style="2" customWidth="1"/>
    <col min="533" max="533" width="1.5703125" style="2" customWidth="1"/>
    <col min="534" max="534" width="12.28515625" style="2" customWidth="1"/>
    <col min="535" max="535" width="0.85546875" style="2" customWidth="1"/>
    <col min="536" max="536" width="12.28515625" style="2" customWidth="1"/>
    <col min="537" max="537" width="1.5703125" style="2" customWidth="1"/>
    <col min="538" max="538" width="12.28515625" style="2" customWidth="1"/>
    <col min="539" max="539" width="1.5703125" style="2" customWidth="1"/>
    <col min="540" max="540" width="12.28515625" style="2" customWidth="1"/>
    <col min="541" max="541" width="0.85546875" style="2" customWidth="1"/>
    <col min="542" max="542" width="12.28515625" style="2" customWidth="1"/>
    <col min="543" max="543" width="1.5703125" style="2" customWidth="1"/>
    <col min="544" max="544" width="12.28515625" style="2" customWidth="1"/>
    <col min="545" max="545" width="1.5703125" style="2" customWidth="1"/>
    <col min="546" max="546" width="12.28515625" style="2" customWidth="1"/>
    <col min="547" max="547" width="4.5703125" style="2" customWidth="1"/>
    <col min="548" max="548" width="1.42578125" style="2" customWidth="1"/>
    <col min="549" max="771" width="13.85546875" style="2"/>
    <col min="772" max="772" width="7.85546875" style="2" customWidth="1"/>
    <col min="773" max="774" width="2.28515625" style="2" customWidth="1"/>
    <col min="775" max="775" width="31.42578125" style="2" customWidth="1"/>
    <col min="776" max="776" width="2.28515625" style="2" customWidth="1"/>
    <col min="777" max="777" width="2.140625" style="2" customWidth="1"/>
    <col min="778" max="778" width="12.28515625" style="2" customWidth="1"/>
    <col min="779" max="779" width="1.5703125" style="2" customWidth="1"/>
    <col min="780" max="780" width="12.28515625" style="2" customWidth="1"/>
    <col min="781" max="781" width="1.5703125" style="2" customWidth="1"/>
    <col min="782" max="782" width="12.28515625" style="2" customWidth="1"/>
    <col min="783" max="783" width="1.5703125" style="2" customWidth="1"/>
    <col min="784" max="784" width="13.5703125" style="2" customWidth="1"/>
    <col min="785" max="785" width="0.85546875" style="2" customWidth="1"/>
    <col min="786" max="786" width="12.28515625" style="2" customWidth="1"/>
    <col min="787" max="787" width="1.5703125" style="2" customWidth="1"/>
    <col min="788" max="788" width="12.28515625" style="2" customWidth="1"/>
    <col min="789" max="789" width="1.5703125" style="2" customWidth="1"/>
    <col min="790" max="790" width="12.28515625" style="2" customWidth="1"/>
    <col min="791" max="791" width="0.85546875" style="2" customWidth="1"/>
    <col min="792" max="792" width="12.28515625" style="2" customWidth="1"/>
    <col min="793" max="793" width="1.5703125" style="2" customWidth="1"/>
    <col min="794" max="794" width="12.28515625" style="2" customWidth="1"/>
    <col min="795" max="795" width="1.5703125" style="2" customWidth="1"/>
    <col min="796" max="796" width="12.28515625" style="2" customWidth="1"/>
    <col min="797" max="797" width="0.85546875" style="2" customWidth="1"/>
    <col min="798" max="798" width="12.28515625" style="2" customWidth="1"/>
    <col min="799" max="799" width="1.5703125" style="2" customWidth="1"/>
    <col min="800" max="800" width="12.28515625" style="2" customWidth="1"/>
    <col min="801" max="801" width="1.5703125" style="2" customWidth="1"/>
    <col min="802" max="802" width="12.28515625" style="2" customWidth="1"/>
    <col min="803" max="803" width="4.5703125" style="2" customWidth="1"/>
    <col min="804" max="804" width="1.42578125" style="2" customWidth="1"/>
    <col min="805" max="1027" width="13.85546875" style="2"/>
    <col min="1028" max="1028" width="7.85546875" style="2" customWidth="1"/>
    <col min="1029" max="1030" width="2.28515625" style="2" customWidth="1"/>
    <col min="1031" max="1031" width="31.42578125" style="2" customWidth="1"/>
    <col min="1032" max="1032" width="2.28515625" style="2" customWidth="1"/>
    <col min="1033" max="1033" width="2.140625" style="2" customWidth="1"/>
    <col min="1034" max="1034" width="12.28515625" style="2" customWidth="1"/>
    <col min="1035" max="1035" width="1.5703125" style="2" customWidth="1"/>
    <col min="1036" max="1036" width="12.28515625" style="2" customWidth="1"/>
    <col min="1037" max="1037" width="1.5703125" style="2" customWidth="1"/>
    <col min="1038" max="1038" width="12.28515625" style="2" customWidth="1"/>
    <col min="1039" max="1039" width="1.5703125" style="2" customWidth="1"/>
    <col min="1040" max="1040" width="13.5703125" style="2" customWidth="1"/>
    <col min="1041" max="1041" width="0.85546875" style="2" customWidth="1"/>
    <col min="1042" max="1042" width="12.28515625" style="2" customWidth="1"/>
    <col min="1043" max="1043" width="1.5703125" style="2" customWidth="1"/>
    <col min="1044" max="1044" width="12.28515625" style="2" customWidth="1"/>
    <col min="1045" max="1045" width="1.5703125" style="2" customWidth="1"/>
    <col min="1046" max="1046" width="12.28515625" style="2" customWidth="1"/>
    <col min="1047" max="1047" width="0.85546875" style="2" customWidth="1"/>
    <col min="1048" max="1048" width="12.28515625" style="2" customWidth="1"/>
    <col min="1049" max="1049" width="1.5703125" style="2" customWidth="1"/>
    <col min="1050" max="1050" width="12.28515625" style="2" customWidth="1"/>
    <col min="1051" max="1051" width="1.5703125" style="2" customWidth="1"/>
    <col min="1052" max="1052" width="12.28515625" style="2" customWidth="1"/>
    <col min="1053" max="1053" width="0.85546875" style="2" customWidth="1"/>
    <col min="1054" max="1054" width="12.28515625" style="2" customWidth="1"/>
    <col min="1055" max="1055" width="1.5703125" style="2" customWidth="1"/>
    <col min="1056" max="1056" width="12.28515625" style="2" customWidth="1"/>
    <col min="1057" max="1057" width="1.5703125" style="2" customWidth="1"/>
    <col min="1058" max="1058" width="12.28515625" style="2" customWidth="1"/>
    <col min="1059" max="1059" width="4.5703125" style="2" customWidth="1"/>
    <col min="1060" max="1060" width="1.42578125" style="2" customWidth="1"/>
    <col min="1061" max="1283" width="13.85546875" style="2"/>
    <col min="1284" max="1284" width="7.85546875" style="2" customWidth="1"/>
    <col min="1285" max="1286" width="2.28515625" style="2" customWidth="1"/>
    <col min="1287" max="1287" width="31.42578125" style="2" customWidth="1"/>
    <col min="1288" max="1288" width="2.28515625" style="2" customWidth="1"/>
    <col min="1289" max="1289" width="2.140625" style="2" customWidth="1"/>
    <col min="1290" max="1290" width="12.28515625" style="2" customWidth="1"/>
    <col min="1291" max="1291" width="1.5703125" style="2" customWidth="1"/>
    <col min="1292" max="1292" width="12.28515625" style="2" customWidth="1"/>
    <col min="1293" max="1293" width="1.5703125" style="2" customWidth="1"/>
    <col min="1294" max="1294" width="12.28515625" style="2" customWidth="1"/>
    <col min="1295" max="1295" width="1.5703125" style="2" customWidth="1"/>
    <col min="1296" max="1296" width="13.5703125" style="2" customWidth="1"/>
    <col min="1297" max="1297" width="0.85546875" style="2" customWidth="1"/>
    <col min="1298" max="1298" width="12.28515625" style="2" customWidth="1"/>
    <col min="1299" max="1299" width="1.5703125" style="2" customWidth="1"/>
    <col min="1300" max="1300" width="12.28515625" style="2" customWidth="1"/>
    <col min="1301" max="1301" width="1.5703125" style="2" customWidth="1"/>
    <col min="1302" max="1302" width="12.28515625" style="2" customWidth="1"/>
    <col min="1303" max="1303" width="0.85546875" style="2" customWidth="1"/>
    <col min="1304" max="1304" width="12.28515625" style="2" customWidth="1"/>
    <col min="1305" max="1305" width="1.5703125" style="2" customWidth="1"/>
    <col min="1306" max="1306" width="12.28515625" style="2" customWidth="1"/>
    <col min="1307" max="1307" width="1.5703125" style="2" customWidth="1"/>
    <col min="1308" max="1308" width="12.28515625" style="2" customWidth="1"/>
    <col min="1309" max="1309" width="0.85546875" style="2" customWidth="1"/>
    <col min="1310" max="1310" width="12.28515625" style="2" customWidth="1"/>
    <col min="1311" max="1311" width="1.5703125" style="2" customWidth="1"/>
    <col min="1312" max="1312" width="12.28515625" style="2" customWidth="1"/>
    <col min="1313" max="1313" width="1.5703125" style="2" customWidth="1"/>
    <col min="1314" max="1314" width="12.28515625" style="2" customWidth="1"/>
    <col min="1315" max="1315" width="4.5703125" style="2" customWidth="1"/>
    <col min="1316" max="1316" width="1.42578125" style="2" customWidth="1"/>
    <col min="1317" max="1539" width="13.85546875" style="2"/>
    <col min="1540" max="1540" width="7.85546875" style="2" customWidth="1"/>
    <col min="1541" max="1542" width="2.28515625" style="2" customWidth="1"/>
    <col min="1543" max="1543" width="31.42578125" style="2" customWidth="1"/>
    <col min="1544" max="1544" width="2.28515625" style="2" customWidth="1"/>
    <col min="1545" max="1545" width="2.140625" style="2" customWidth="1"/>
    <col min="1546" max="1546" width="12.28515625" style="2" customWidth="1"/>
    <col min="1547" max="1547" width="1.5703125" style="2" customWidth="1"/>
    <col min="1548" max="1548" width="12.28515625" style="2" customWidth="1"/>
    <col min="1549" max="1549" width="1.5703125" style="2" customWidth="1"/>
    <col min="1550" max="1550" width="12.28515625" style="2" customWidth="1"/>
    <col min="1551" max="1551" width="1.5703125" style="2" customWidth="1"/>
    <col min="1552" max="1552" width="13.5703125" style="2" customWidth="1"/>
    <col min="1553" max="1553" width="0.85546875" style="2" customWidth="1"/>
    <col min="1554" max="1554" width="12.28515625" style="2" customWidth="1"/>
    <col min="1555" max="1555" width="1.5703125" style="2" customWidth="1"/>
    <col min="1556" max="1556" width="12.28515625" style="2" customWidth="1"/>
    <col min="1557" max="1557" width="1.5703125" style="2" customWidth="1"/>
    <col min="1558" max="1558" width="12.28515625" style="2" customWidth="1"/>
    <col min="1559" max="1559" width="0.85546875" style="2" customWidth="1"/>
    <col min="1560" max="1560" width="12.28515625" style="2" customWidth="1"/>
    <col min="1561" max="1561" width="1.5703125" style="2" customWidth="1"/>
    <col min="1562" max="1562" width="12.28515625" style="2" customWidth="1"/>
    <col min="1563" max="1563" width="1.5703125" style="2" customWidth="1"/>
    <col min="1564" max="1564" width="12.28515625" style="2" customWidth="1"/>
    <col min="1565" max="1565" width="0.85546875" style="2" customWidth="1"/>
    <col min="1566" max="1566" width="12.28515625" style="2" customWidth="1"/>
    <col min="1567" max="1567" width="1.5703125" style="2" customWidth="1"/>
    <col min="1568" max="1568" width="12.28515625" style="2" customWidth="1"/>
    <col min="1569" max="1569" width="1.5703125" style="2" customWidth="1"/>
    <col min="1570" max="1570" width="12.28515625" style="2" customWidth="1"/>
    <col min="1571" max="1571" width="4.5703125" style="2" customWidth="1"/>
    <col min="1572" max="1572" width="1.42578125" style="2" customWidth="1"/>
    <col min="1573" max="1795" width="13.85546875" style="2"/>
    <col min="1796" max="1796" width="7.85546875" style="2" customWidth="1"/>
    <col min="1797" max="1798" width="2.28515625" style="2" customWidth="1"/>
    <col min="1799" max="1799" width="31.42578125" style="2" customWidth="1"/>
    <col min="1800" max="1800" width="2.28515625" style="2" customWidth="1"/>
    <col min="1801" max="1801" width="2.140625" style="2" customWidth="1"/>
    <col min="1802" max="1802" width="12.28515625" style="2" customWidth="1"/>
    <col min="1803" max="1803" width="1.5703125" style="2" customWidth="1"/>
    <col min="1804" max="1804" width="12.28515625" style="2" customWidth="1"/>
    <col min="1805" max="1805" width="1.5703125" style="2" customWidth="1"/>
    <col min="1806" max="1806" width="12.28515625" style="2" customWidth="1"/>
    <col min="1807" max="1807" width="1.5703125" style="2" customWidth="1"/>
    <col min="1808" max="1808" width="13.5703125" style="2" customWidth="1"/>
    <col min="1809" max="1809" width="0.85546875" style="2" customWidth="1"/>
    <col min="1810" max="1810" width="12.28515625" style="2" customWidth="1"/>
    <col min="1811" max="1811" width="1.5703125" style="2" customWidth="1"/>
    <col min="1812" max="1812" width="12.28515625" style="2" customWidth="1"/>
    <col min="1813" max="1813" width="1.5703125" style="2" customWidth="1"/>
    <col min="1814" max="1814" width="12.28515625" style="2" customWidth="1"/>
    <col min="1815" max="1815" width="0.85546875" style="2" customWidth="1"/>
    <col min="1816" max="1816" width="12.28515625" style="2" customWidth="1"/>
    <col min="1817" max="1817" width="1.5703125" style="2" customWidth="1"/>
    <col min="1818" max="1818" width="12.28515625" style="2" customWidth="1"/>
    <col min="1819" max="1819" width="1.5703125" style="2" customWidth="1"/>
    <col min="1820" max="1820" width="12.28515625" style="2" customWidth="1"/>
    <col min="1821" max="1821" width="0.85546875" style="2" customWidth="1"/>
    <col min="1822" max="1822" width="12.28515625" style="2" customWidth="1"/>
    <col min="1823" max="1823" width="1.5703125" style="2" customWidth="1"/>
    <col min="1824" max="1824" width="12.28515625" style="2" customWidth="1"/>
    <col min="1825" max="1825" width="1.5703125" style="2" customWidth="1"/>
    <col min="1826" max="1826" width="12.28515625" style="2" customWidth="1"/>
    <col min="1827" max="1827" width="4.5703125" style="2" customWidth="1"/>
    <col min="1828" max="1828" width="1.42578125" style="2" customWidth="1"/>
    <col min="1829" max="2051" width="13.85546875" style="2"/>
    <col min="2052" max="2052" width="7.85546875" style="2" customWidth="1"/>
    <col min="2053" max="2054" width="2.28515625" style="2" customWidth="1"/>
    <col min="2055" max="2055" width="31.42578125" style="2" customWidth="1"/>
    <col min="2056" max="2056" width="2.28515625" style="2" customWidth="1"/>
    <col min="2057" max="2057" width="2.140625" style="2" customWidth="1"/>
    <col min="2058" max="2058" width="12.28515625" style="2" customWidth="1"/>
    <col min="2059" max="2059" width="1.5703125" style="2" customWidth="1"/>
    <col min="2060" max="2060" width="12.28515625" style="2" customWidth="1"/>
    <col min="2061" max="2061" width="1.5703125" style="2" customWidth="1"/>
    <col min="2062" max="2062" width="12.28515625" style="2" customWidth="1"/>
    <col min="2063" max="2063" width="1.5703125" style="2" customWidth="1"/>
    <col min="2064" max="2064" width="13.5703125" style="2" customWidth="1"/>
    <col min="2065" max="2065" width="0.85546875" style="2" customWidth="1"/>
    <col min="2066" max="2066" width="12.28515625" style="2" customWidth="1"/>
    <col min="2067" max="2067" width="1.5703125" style="2" customWidth="1"/>
    <col min="2068" max="2068" width="12.28515625" style="2" customWidth="1"/>
    <col min="2069" max="2069" width="1.5703125" style="2" customWidth="1"/>
    <col min="2070" max="2070" width="12.28515625" style="2" customWidth="1"/>
    <col min="2071" max="2071" width="0.85546875" style="2" customWidth="1"/>
    <col min="2072" max="2072" width="12.28515625" style="2" customWidth="1"/>
    <col min="2073" max="2073" width="1.5703125" style="2" customWidth="1"/>
    <col min="2074" max="2074" width="12.28515625" style="2" customWidth="1"/>
    <col min="2075" max="2075" width="1.5703125" style="2" customWidth="1"/>
    <col min="2076" max="2076" width="12.28515625" style="2" customWidth="1"/>
    <col min="2077" max="2077" width="0.85546875" style="2" customWidth="1"/>
    <col min="2078" max="2078" width="12.28515625" style="2" customWidth="1"/>
    <col min="2079" max="2079" width="1.5703125" style="2" customWidth="1"/>
    <col min="2080" max="2080" width="12.28515625" style="2" customWidth="1"/>
    <col min="2081" max="2081" width="1.5703125" style="2" customWidth="1"/>
    <col min="2082" max="2082" width="12.28515625" style="2" customWidth="1"/>
    <col min="2083" max="2083" width="4.5703125" style="2" customWidth="1"/>
    <col min="2084" max="2084" width="1.42578125" style="2" customWidth="1"/>
    <col min="2085" max="2307" width="13.85546875" style="2"/>
    <col min="2308" max="2308" width="7.85546875" style="2" customWidth="1"/>
    <col min="2309" max="2310" width="2.28515625" style="2" customWidth="1"/>
    <col min="2311" max="2311" width="31.42578125" style="2" customWidth="1"/>
    <col min="2312" max="2312" width="2.28515625" style="2" customWidth="1"/>
    <col min="2313" max="2313" width="2.140625" style="2" customWidth="1"/>
    <col min="2314" max="2314" width="12.28515625" style="2" customWidth="1"/>
    <col min="2315" max="2315" width="1.5703125" style="2" customWidth="1"/>
    <col min="2316" max="2316" width="12.28515625" style="2" customWidth="1"/>
    <col min="2317" max="2317" width="1.5703125" style="2" customWidth="1"/>
    <col min="2318" max="2318" width="12.28515625" style="2" customWidth="1"/>
    <col min="2319" max="2319" width="1.5703125" style="2" customWidth="1"/>
    <col min="2320" max="2320" width="13.5703125" style="2" customWidth="1"/>
    <col min="2321" max="2321" width="0.85546875" style="2" customWidth="1"/>
    <col min="2322" max="2322" width="12.28515625" style="2" customWidth="1"/>
    <col min="2323" max="2323" width="1.5703125" style="2" customWidth="1"/>
    <col min="2324" max="2324" width="12.28515625" style="2" customWidth="1"/>
    <col min="2325" max="2325" width="1.5703125" style="2" customWidth="1"/>
    <col min="2326" max="2326" width="12.28515625" style="2" customWidth="1"/>
    <col min="2327" max="2327" width="0.85546875" style="2" customWidth="1"/>
    <col min="2328" max="2328" width="12.28515625" style="2" customWidth="1"/>
    <col min="2329" max="2329" width="1.5703125" style="2" customWidth="1"/>
    <col min="2330" max="2330" width="12.28515625" style="2" customWidth="1"/>
    <col min="2331" max="2331" width="1.5703125" style="2" customWidth="1"/>
    <col min="2332" max="2332" width="12.28515625" style="2" customWidth="1"/>
    <col min="2333" max="2333" width="0.85546875" style="2" customWidth="1"/>
    <col min="2334" max="2334" width="12.28515625" style="2" customWidth="1"/>
    <col min="2335" max="2335" width="1.5703125" style="2" customWidth="1"/>
    <col min="2336" max="2336" width="12.28515625" style="2" customWidth="1"/>
    <col min="2337" max="2337" width="1.5703125" style="2" customWidth="1"/>
    <col min="2338" max="2338" width="12.28515625" style="2" customWidth="1"/>
    <col min="2339" max="2339" width="4.5703125" style="2" customWidth="1"/>
    <col min="2340" max="2340" width="1.42578125" style="2" customWidth="1"/>
    <col min="2341" max="2563" width="13.85546875" style="2"/>
    <col min="2564" max="2564" width="7.85546875" style="2" customWidth="1"/>
    <col min="2565" max="2566" width="2.28515625" style="2" customWidth="1"/>
    <col min="2567" max="2567" width="31.42578125" style="2" customWidth="1"/>
    <col min="2568" max="2568" width="2.28515625" style="2" customWidth="1"/>
    <col min="2569" max="2569" width="2.140625" style="2" customWidth="1"/>
    <col min="2570" max="2570" width="12.28515625" style="2" customWidth="1"/>
    <col min="2571" max="2571" width="1.5703125" style="2" customWidth="1"/>
    <col min="2572" max="2572" width="12.28515625" style="2" customWidth="1"/>
    <col min="2573" max="2573" width="1.5703125" style="2" customWidth="1"/>
    <col min="2574" max="2574" width="12.28515625" style="2" customWidth="1"/>
    <col min="2575" max="2575" width="1.5703125" style="2" customWidth="1"/>
    <col min="2576" max="2576" width="13.5703125" style="2" customWidth="1"/>
    <col min="2577" max="2577" width="0.85546875" style="2" customWidth="1"/>
    <col min="2578" max="2578" width="12.28515625" style="2" customWidth="1"/>
    <col min="2579" max="2579" width="1.5703125" style="2" customWidth="1"/>
    <col min="2580" max="2580" width="12.28515625" style="2" customWidth="1"/>
    <col min="2581" max="2581" width="1.5703125" style="2" customWidth="1"/>
    <col min="2582" max="2582" width="12.28515625" style="2" customWidth="1"/>
    <col min="2583" max="2583" width="0.85546875" style="2" customWidth="1"/>
    <col min="2584" max="2584" width="12.28515625" style="2" customWidth="1"/>
    <col min="2585" max="2585" width="1.5703125" style="2" customWidth="1"/>
    <col min="2586" max="2586" width="12.28515625" style="2" customWidth="1"/>
    <col min="2587" max="2587" width="1.5703125" style="2" customWidth="1"/>
    <col min="2588" max="2588" width="12.28515625" style="2" customWidth="1"/>
    <col min="2589" max="2589" width="0.85546875" style="2" customWidth="1"/>
    <col min="2590" max="2590" width="12.28515625" style="2" customWidth="1"/>
    <col min="2591" max="2591" width="1.5703125" style="2" customWidth="1"/>
    <col min="2592" max="2592" width="12.28515625" style="2" customWidth="1"/>
    <col min="2593" max="2593" width="1.5703125" style="2" customWidth="1"/>
    <col min="2594" max="2594" width="12.28515625" style="2" customWidth="1"/>
    <col min="2595" max="2595" width="4.5703125" style="2" customWidth="1"/>
    <col min="2596" max="2596" width="1.42578125" style="2" customWidth="1"/>
    <col min="2597" max="2819" width="13.85546875" style="2"/>
    <col min="2820" max="2820" width="7.85546875" style="2" customWidth="1"/>
    <col min="2821" max="2822" width="2.28515625" style="2" customWidth="1"/>
    <col min="2823" max="2823" width="31.42578125" style="2" customWidth="1"/>
    <col min="2824" max="2824" width="2.28515625" style="2" customWidth="1"/>
    <col min="2825" max="2825" width="2.140625" style="2" customWidth="1"/>
    <col min="2826" max="2826" width="12.28515625" style="2" customWidth="1"/>
    <col min="2827" max="2827" width="1.5703125" style="2" customWidth="1"/>
    <col min="2828" max="2828" width="12.28515625" style="2" customWidth="1"/>
    <col min="2829" max="2829" width="1.5703125" style="2" customWidth="1"/>
    <col min="2830" max="2830" width="12.28515625" style="2" customWidth="1"/>
    <col min="2831" max="2831" width="1.5703125" style="2" customWidth="1"/>
    <col min="2832" max="2832" width="13.5703125" style="2" customWidth="1"/>
    <col min="2833" max="2833" width="0.85546875" style="2" customWidth="1"/>
    <col min="2834" max="2834" width="12.28515625" style="2" customWidth="1"/>
    <col min="2835" max="2835" width="1.5703125" style="2" customWidth="1"/>
    <col min="2836" max="2836" width="12.28515625" style="2" customWidth="1"/>
    <col min="2837" max="2837" width="1.5703125" style="2" customWidth="1"/>
    <col min="2838" max="2838" width="12.28515625" style="2" customWidth="1"/>
    <col min="2839" max="2839" width="0.85546875" style="2" customWidth="1"/>
    <col min="2840" max="2840" width="12.28515625" style="2" customWidth="1"/>
    <col min="2841" max="2841" width="1.5703125" style="2" customWidth="1"/>
    <col min="2842" max="2842" width="12.28515625" style="2" customWidth="1"/>
    <col min="2843" max="2843" width="1.5703125" style="2" customWidth="1"/>
    <col min="2844" max="2844" width="12.28515625" style="2" customWidth="1"/>
    <col min="2845" max="2845" width="0.85546875" style="2" customWidth="1"/>
    <col min="2846" max="2846" width="12.28515625" style="2" customWidth="1"/>
    <col min="2847" max="2847" width="1.5703125" style="2" customWidth="1"/>
    <col min="2848" max="2848" width="12.28515625" style="2" customWidth="1"/>
    <col min="2849" max="2849" width="1.5703125" style="2" customWidth="1"/>
    <col min="2850" max="2850" width="12.28515625" style="2" customWidth="1"/>
    <col min="2851" max="2851" width="4.5703125" style="2" customWidth="1"/>
    <col min="2852" max="2852" width="1.42578125" style="2" customWidth="1"/>
    <col min="2853" max="3075" width="13.85546875" style="2"/>
    <col min="3076" max="3076" width="7.85546875" style="2" customWidth="1"/>
    <col min="3077" max="3078" width="2.28515625" style="2" customWidth="1"/>
    <col min="3079" max="3079" width="31.42578125" style="2" customWidth="1"/>
    <col min="3080" max="3080" width="2.28515625" style="2" customWidth="1"/>
    <col min="3081" max="3081" width="2.140625" style="2" customWidth="1"/>
    <col min="3082" max="3082" width="12.28515625" style="2" customWidth="1"/>
    <col min="3083" max="3083" width="1.5703125" style="2" customWidth="1"/>
    <col min="3084" max="3084" width="12.28515625" style="2" customWidth="1"/>
    <col min="3085" max="3085" width="1.5703125" style="2" customWidth="1"/>
    <col min="3086" max="3086" width="12.28515625" style="2" customWidth="1"/>
    <col min="3087" max="3087" width="1.5703125" style="2" customWidth="1"/>
    <col min="3088" max="3088" width="13.5703125" style="2" customWidth="1"/>
    <col min="3089" max="3089" width="0.85546875" style="2" customWidth="1"/>
    <col min="3090" max="3090" width="12.28515625" style="2" customWidth="1"/>
    <col min="3091" max="3091" width="1.5703125" style="2" customWidth="1"/>
    <col min="3092" max="3092" width="12.28515625" style="2" customWidth="1"/>
    <col min="3093" max="3093" width="1.5703125" style="2" customWidth="1"/>
    <col min="3094" max="3094" width="12.28515625" style="2" customWidth="1"/>
    <col min="3095" max="3095" width="0.85546875" style="2" customWidth="1"/>
    <col min="3096" max="3096" width="12.28515625" style="2" customWidth="1"/>
    <col min="3097" max="3097" width="1.5703125" style="2" customWidth="1"/>
    <col min="3098" max="3098" width="12.28515625" style="2" customWidth="1"/>
    <col min="3099" max="3099" width="1.5703125" style="2" customWidth="1"/>
    <col min="3100" max="3100" width="12.28515625" style="2" customWidth="1"/>
    <col min="3101" max="3101" width="0.85546875" style="2" customWidth="1"/>
    <col min="3102" max="3102" width="12.28515625" style="2" customWidth="1"/>
    <col min="3103" max="3103" width="1.5703125" style="2" customWidth="1"/>
    <col min="3104" max="3104" width="12.28515625" style="2" customWidth="1"/>
    <col min="3105" max="3105" width="1.5703125" style="2" customWidth="1"/>
    <col min="3106" max="3106" width="12.28515625" style="2" customWidth="1"/>
    <col min="3107" max="3107" width="4.5703125" style="2" customWidth="1"/>
    <col min="3108" max="3108" width="1.42578125" style="2" customWidth="1"/>
    <col min="3109" max="3331" width="13.85546875" style="2"/>
    <col min="3332" max="3332" width="7.85546875" style="2" customWidth="1"/>
    <col min="3333" max="3334" width="2.28515625" style="2" customWidth="1"/>
    <col min="3335" max="3335" width="31.42578125" style="2" customWidth="1"/>
    <col min="3336" max="3336" width="2.28515625" style="2" customWidth="1"/>
    <col min="3337" max="3337" width="2.140625" style="2" customWidth="1"/>
    <col min="3338" max="3338" width="12.28515625" style="2" customWidth="1"/>
    <col min="3339" max="3339" width="1.5703125" style="2" customWidth="1"/>
    <col min="3340" max="3340" width="12.28515625" style="2" customWidth="1"/>
    <col min="3341" max="3341" width="1.5703125" style="2" customWidth="1"/>
    <col min="3342" max="3342" width="12.28515625" style="2" customWidth="1"/>
    <col min="3343" max="3343" width="1.5703125" style="2" customWidth="1"/>
    <col min="3344" max="3344" width="13.5703125" style="2" customWidth="1"/>
    <col min="3345" max="3345" width="0.85546875" style="2" customWidth="1"/>
    <col min="3346" max="3346" width="12.28515625" style="2" customWidth="1"/>
    <col min="3347" max="3347" width="1.5703125" style="2" customWidth="1"/>
    <col min="3348" max="3348" width="12.28515625" style="2" customWidth="1"/>
    <col min="3349" max="3349" width="1.5703125" style="2" customWidth="1"/>
    <col min="3350" max="3350" width="12.28515625" style="2" customWidth="1"/>
    <col min="3351" max="3351" width="0.85546875" style="2" customWidth="1"/>
    <col min="3352" max="3352" width="12.28515625" style="2" customWidth="1"/>
    <col min="3353" max="3353" width="1.5703125" style="2" customWidth="1"/>
    <col min="3354" max="3354" width="12.28515625" style="2" customWidth="1"/>
    <col min="3355" max="3355" width="1.5703125" style="2" customWidth="1"/>
    <col min="3356" max="3356" width="12.28515625" style="2" customWidth="1"/>
    <col min="3357" max="3357" width="0.85546875" style="2" customWidth="1"/>
    <col min="3358" max="3358" width="12.28515625" style="2" customWidth="1"/>
    <col min="3359" max="3359" width="1.5703125" style="2" customWidth="1"/>
    <col min="3360" max="3360" width="12.28515625" style="2" customWidth="1"/>
    <col min="3361" max="3361" width="1.5703125" style="2" customWidth="1"/>
    <col min="3362" max="3362" width="12.28515625" style="2" customWidth="1"/>
    <col min="3363" max="3363" width="4.5703125" style="2" customWidth="1"/>
    <col min="3364" max="3364" width="1.42578125" style="2" customWidth="1"/>
    <col min="3365" max="3587" width="13.85546875" style="2"/>
    <col min="3588" max="3588" width="7.85546875" style="2" customWidth="1"/>
    <col min="3589" max="3590" width="2.28515625" style="2" customWidth="1"/>
    <col min="3591" max="3591" width="31.42578125" style="2" customWidth="1"/>
    <col min="3592" max="3592" width="2.28515625" style="2" customWidth="1"/>
    <col min="3593" max="3593" width="2.140625" style="2" customWidth="1"/>
    <col min="3594" max="3594" width="12.28515625" style="2" customWidth="1"/>
    <col min="3595" max="3595" width="1.5703125" style="2" customWidth="1"/>
    <col min="3596" max="3596" width="12.28515625" style="2" customWidth="1"/>
    <col min="3597" max="3597" width="1.5703125" style="2" customWidth="1"/>
    <col min="3598" max="3598" width="12.28515625" style="2" customWidth="1"/>
    <col min="3599" max="3599" width="1.5703125" style="2" customWidth="1"/>
    <col min="3600" max="3600" width="13.5703125" style="2" customWidth="1"/>
    <col min="3601" max="3601" width="0.85546875" style="2" customWidth="1"/>
    <col min="3602" max="3602" width="12.28515625" style="2" customWidth="1"/>
    <col min="3603" max="3603" width="1.5703125" style="2" customWidth="1"/>
    <col min="3604" max="3604" width="12.28515625" style="2" customWidth="1"/>
    <col min="3605" max="3605" width="1.5703125" style="2" customWidth="1"/>
    <col min="3606" max="3606" width="12.28515625" style="2" customWidth="1"/>
    <col min="3607" max="3607" width="0.85546875" style="2" customWidth="1"/>
    <col min="3608" max="3608" width="12.28515625" style="2" customWidth="1"/>
    <col min="3609" max="3609" width="1.5703125" style="2" customWidth="1"/>
    <col min="3610" max="3610" width="12.28515625" style="2" customWidth="1"/>
    <col min="3611" max="3611" width="1.5703125" style="2" customWidth="1"/>
    <col min="3612" max="3612" width="12.28515625" style="2" customWidth="1"/>
    <col min="3613" max="3613" width="0.85546875" style="2" customWidth="1"/>
    <col min="3614" max="3614" width="12.28515625" style="2" customWidth="1"/>
    <col min="3615" max="3615" width="1.5703125" style="2" customWidth="1"/>
    <col min="3616" max="3616" width="12.28515625" style="2" customWidth="1"/>
    <col min="3617" max="3617" width="1.5703125" style="2" customWidth="1"/>
    <col min="3618" max="3618" width="12.28515625" style="2" customWidth="1"/>
    <col min="3619" max="3619" width="4.5703125" style="2" customWidth="1"/>
    <col min="3620" max="3620" width="1.42578125" style="2" customWidth="1"/>
    <col min="3621" max="3843" width="13.85546875" style="2"/>
    <col min="3844" max="3844" width="7.85546875" style="2" customWidth="1"/>
    <col min="3845" max="3846" width="2.28515625" style="2" customWidth="1"/>
    <col min="3847" max="3847" width="31.42578125" style="2" customWidth="1"/>
    <col min="3848" max="3848" width="2.28515625" style="2" customWidth="1"/>
    <col min="3849" max="3849" width="2.140625" style="2" customWidth="1"/>
    <col min="3850" max="3850" width="12.28515625" style="2" customWidth="1"/>
    <col min="3851" max="3851" width="1.5703125" style="2" customWidth="1"/>
    <col min="3852" max="3852" width="12.28515625" style="2" customWidth="1"/>
    <col min="3853" max="3853" width="1.5703125" style="2" customWidth="1"/>
    <col min="3854" max="3854" width="12.28515625" style="2" customWidth="1"/>
    <col min="3855" max="3855" width="1.5703125" style="2" customWidth="1"/>
    <col min="3856" max="3856" width="13.5703125" style="2" customWidth="1"/>
    <col min="3857" max="3857" width="0.85546875" style="2" customWidth="1"/>
    <col min="3858" max="3858" width="12.28515625" style="2" customWidth="1"/>
    <col min="3859" max="3859" width="1.5703125" style="2" customWidth="1"/>
    <col min="3860" max="3860" width="12.28515625" style="2" customWidth="1"/>
    <col min="3861" max="3861" width="1.5703125" style="2" customWidth="1"/>
    <col min="3862" max="3862" width="12.28515625" style="2" customWidth="1"/>
    <col min="3863" max="3863" width="0.85546875" style="2" customWidth="1"/>
    <col min="3864" max="3864" width="12.28515625" style="2" customWidth="1"/>
    <col min="3865" max="3865" width="1.5703125" style="2" customWidth="1"/>
    <col min="3866" max="3866" width="12.28515625" style="2" customWidth="1"/>
    <col min="3867" max="3867" width="1.5703125" style="2" customWidth="1"/>
    <col min="3868" max="3868" width="12.28515625" style="2" customWidth="1"/>
    <col min="3869" max="3869" width="0.85546875" style="2" customWidth="1"/>
    <col min="3870" max="3870" width="12.28515625" style="2" customWidth="1"/>
    <col min="3871" max="3871" width="1.5703125" style="2" customWidth="1"/>
    <col min="3872" max="3872" width="12.28515625" style="2" customWidth="1"/>
    <col min="3873" max="3873" width="1.5703125" style="2" customWidth="1"/>
    <col min="3874" max="3874" width="12.28515625" style="2" customWidth="1"/>
    <col min="3875" max="3875" width="4.5703125" style="2" customWidth="1"/>
    <col min="3876" max="3876" width="1.42578125" style="2" customWidth="1"/>
    <col min="3877" max="4099" width="13.85546875" style="2"/>
    <col min="4100" max="4100" width="7.85546875" style="2" customWidth="1"/>
    <col min="4101" max="4102" width="2.28515625" style="2" customWidth="1"/>
    <col min="4103" max="4103" width="31.42578125" style="2" customWidth="1"/>
    <col min="4104" max="4104" width="2.28515625" style="2" customWidth="1"/>
    <col min="4105" max="4105" width="2.140625" style="2" customWidth="1"/>
    <col min="4106" max="4106" width="12.28515625" style="2" customWidth="1"/>
    <col min="4107" max="4107" width="1.5703125" style="2" customWidth="1"/>
    <col min="4108" max="4108" width="12.28515625" style="2" customWidth="1"/>
    <col min="4109" max="4109" width="1.5703125" style="2" customWidth="1"/>
    <col min="4110" max="4110" width="12.28515625" style="2" customWidth="1"/>
    <col min="4111" max="4111" width="1.5703125" style="2" customWidth="1"/>
    <col min="4112" max="4112" width="13.5703125" style="2" customWidth="1"/>
    <col min="4113" max="4113" width="0.85546875" style="2" customWidth="1"/>
    <col min="4114" max="4114" width="12.28515625" style="2" customWidth="1"/>
    <col min="4115" max="4115" width="1.5703125" style="2" customWidth="1"/>
    <col min="4116" max="4116" width="12.28515625" style="2" customWidth="1"/>
    <col min="4117" max="4117" width="1.5703125" style="2" customWidth="1"/>
    <col min="4118" max="4118" width="12.28515625" style="2" customWidth="1"/>
    <col min="4119" max="4119" width="0.85546875" style="2" customWidth="1"/>
    <col min="4120" max="4120" width="12.28515625" style="2" customWidth="1"/>
    <col min="4121" max="4121" width="1.5703125" style="2" customWidth="1"/>
    <col min="4122" max="4122" width="12.28515625" style="2" customWidth="1"/>
    <col min="4123" max="4123" width="1.5703125" style="2" customWidth="1"/>
    <col min="4124" max="4124" width="12.28515625" style="2" customWidth="1"/>
    <col min="4125" max="4125" width="0.85546875" style="2" customWidth="1"/>
    <col min="4126" max="4126" width="12.28515625" style="2" customWidth="1"/>
    <col min="4127" max="4127" width="1.5703125" style="2" customWidth="1"/>
    <col min="4128" max="4128" width="12.28515625" style="2" customWidth="1"/>
    <col min="4129" max="4129" width="1.5703125" style="2" customWidth="1"/>
    <col min="4130" max="4130" width="12.28515625" style="2" customWidth="1"/>
    <col min="4131" max="4131" width="4.5703125" style="2" customWidth="1"/>
    <col min="4132" max="4132" width="1.42578125" style="2" customWidth="1"/>
    <col min="4133" max="4355" width="13.85546875" style="2"/>
    <col min="4356" max="4356" width="7.85546875" style="2" customWidth="1"/>
    <col min="4357" max="4358" width="2.28515625" style="2" customWidth="1"/>
    <col min="4359" max="4359" width="31.42578125" style="2" customWidth="1"/>
    <col min="4360" max="4360" width="2.28515625" style="2" customWidth="1"/>
    <col min="4361" max="4361" width="2.140625" style="2" customWidth="1"/>
    <col min="4362" max="4362" width="12.28515625" style="2" customWidth="1"/>
    <col min="4363" max="4363" width="1.5703125" style="2" customWidth="1"/>
    <col min="4364" max="4364" width="12.28515625" style="2" customWidth="1"/>
    <col min="4365" max="4365" width="1.5703125" style="2" customWidth="1"/>
    <col min="4366" max="4366" width="12.28515625" style="2" customWidth="1"/>
    <col min="4367" max="4367" width="1.5703125" style="2" customWidth="1"/>
    <col min="4368" max="4368" width="13.5703125" style="2" customWidth="1"/>
    <col min="4369" max="4369" width="0.85546875" style="2" customWidth="1"/>
    <col min="4370" max="4370" width="12.28515625" style="2" customWidth="1"/>
    <col min="4371" max="4371" width="1.5703125" style="2" customWidth="1"/>
    <col min="4372" max="4372" width="12.28515625" style="2" customWidth="1"/>
    <col min="4373" max="4373" width="1.5703125" style="2" customWidth="1"/>
    <col min="4374" max="4374" width="12.28515625" style="2" customWidth="1"/>
    <col min="4375" max="4375" width="0.85546875" style="2" customWidth="1"/>
    <col min="4376" max="4376" width="12.28515625" style="2" customWidth="1"/>
    <col min="4377" max="4377" width="1.5703125" style="2" customWidth="1"/>
    <col min="4378" max="4378" width="12.28515625" style="2" customWidth="1"/>
    <col min="4379" max="4379" width="1.5703125" style="2" customWidth="1"/>
    <col min="4380" max="4380" width="12.28515625" style="2" customWidth="1"/>
    <col min="4381" max="4381" width="0.85546875" style="2" customWidth="1"/>
    <col min="4382" max="4382" width="12.28515625" style="2" customWidth="1"/>
    <col min="4383" max="4383" width="1.5703125" style="2" customWidth="1"/>
    <col min="4384" max="4384" width="12.28515625" style="2" customWidth="1"/>
    <col min="4385" max="4385" width="1.5703125" style="2" customWidth="1"/>
    <col min="4386" max="4386" width="12.28515625" style="2" customWidth="1"/>
    <col min="4387" max="4387" width="4.5703125" style="2" customWidth="1"/>
    <col min="4388" max="4388" width="1.42578125" style="2" customWidth="1"/>
    <col min="4389" max="4611" width="13.85546875" style="2"/>
    <col min="4612" max="4612" width="7.85546875" style="2" customWidth="1"/>
    <col min="4613" max="4614" width="2.28515625" style="2" customWidth="1"/>
    <col min="4615" max="4615" width="31.42578125" style="2" customWidth="1"/>
    <col min="4616" max="4616" width="2.28515625" style="2" customWidth="1"/>
    <col min="4617" max="4617" width="2.140625" style="2" customWidth="1"/>
    <col min="4618" max="4618" width="12.28515625" style="2" customWidth="1"/>
    <col min="4619" max="4619" width="1.5703125" style="2" customWidth="1"/>
    <col min="4620" max="4620" width="12.28515625" style="2" customWidth="1"/>
    <col min="4621" max="4621" width="1.5703125" style="2" customWidth="1"/>
    <col min="4622" max="4622" width="12.28515625" style="2" customWidth="1"/>
    <col min="4623" max="4623" width="1.5703125" style="2" customWidth="1"/>
    <col min="4624" max="4624" width="13.5703125" style="2" customWidth="1"/>
    <col min="4625" max="4625" width="0.85546875" style="2" customWidth="1"/>
    <col min="4626" max="4626" width="12.28515625" style="2" customWidth="1"/>
    <col min="4627" max="4627" width="1.5703125" style="2" customWidth="1"/>
    <col min="4628" max="4628" width="12.28515625" style="2" customWidth="1"/>
    <col min="4629" max="4629" width="1.5703125" style="2" customWidth="1"/>
    <col min="4630" max="4630" width="12.28515625" style="2" customWidth="1"/>
    <col min="4631" max="4631" width="0.85546875" style="2" customWidth="1"/>
    <col min="4632" max="4632" width="12.28515625" style="2" customWidth="1"/>
    <col min="4633" max="4633" width="1.5703125" style="2" customWidth="1"/>
    <col min="4634" max="4634" width="12.28515625" style="2" customWidth="1"/>
    <col min="4635" max="4635" width="1.5703125" style="2" customWidth="1"/>
    <col min="4636" max="4636" width="12.28515625" style="2" customWidth="1"/>
    <col min="4637" max="4637" width="0.85546875" style="2" customWidth="1"/>
    <col min="4638" max="4638" width="12.28515625" style="2" customWidth="1"/>
    <col min="4639" max="4639" width="1.5703125" style="2" customWidth="1"/>
    <col min="4640" max="4640" width="12.28515625" style="2" customWidth="1"/>
    <col min="4641" max="4641" width="1.5703125" style="2" customWidth="1"/>
    <col min="4642" max="4642" width="12.28515625" style="2" customWidth="1"/>
    <col min="4643" max="4643" width="4.5703125" style="2" customWidth="1"/>
    <col min="4644" max="4644" width="1.42578125" style="2" customWidth="1"/>
    <col min="4645" max="4867" width="13.85546875" style="2"/>
    <col min="4868" max="4868" width="7.85546875" style="2" customWidth="1"/>
    <col min="4869" max="4870" width="2.28515625" style="2" customWidth="1"/>
    <col min="4871" max="4871" width="31.42578125" style="2" customWidth="1"/>
    <col min="4872" max="4872" width="2.28515625" style="2" customWidth="1"/>
    <col min="4873" max="4873" width="2.140625" style="2" customWidth="1"/>
    <col min="4874" max="4874" width="12.28515625" style="2" customWidth="1"/>
    <col min="4875" max="4875" width="1.5703125" style="2" customWidth="1"/>
    <col min="4876" max="4876" width="12.28515625" style="2" customWidth="1"/>
    <col min="4877" max="4877" width="1.5703125" style="2" customWidth="1"/>
    <col min="4878" max="4878" width="12.28515625" style="2" customWidth="1"/>
    <col min="4879" max="4879" width="1.5703125" style="2" customWidth="1"/>
    <col min="4880" max="4880" width="13.5703125" style="2" customWidth="1"/>
    <col min="4881" max="4881" width="0.85546875" style="2" customWidth="1"/>
    <col min="4882" max="4882" width="12.28515625" style="2" customWidth="1"/>
    <col min="4883" max="4883" width="1.5703125" style="2" customWidth="1"/>
    <col min="4884" max="4884" width="12.28515625" style="2" customWidth="1"/>
    <col min="4885" max="4885" width="1.5703125" style="2" customWidth="1"/>
    <col min="4886" max="4886" width="12.28515625" style="2" customWidth="1"/>
    <col min="4887" max="4887" width="0.85546875" style="2" customWidth="1"/>
    <col min="4888" max="4888" width="12.28515625" style="2" customWidth="1"/>
    <col min="4889" max="4889" width="1.5703125" style="2" customWidth="1"/>
    <col min="4890" max="4890" width="12.28515625" style="2" customWidth="1"/>
    <col min="4891" max="4891" width="1.5703125" style="2" customWidth="1"/>
    <col min="4892" max="4892" width="12.28515625" style="2" customWidth="1"/>
    <col min="4893" max="4893" width="0.85546875" style="2" customWidth="1"/>
    <col min="4894" max="4894" width="12.28515625" style="2" customWidth="1"/>
    <col min="4895" max="4895" width="1.5703125" style="2" customWidth="1"/>
    <col min="4896" max="4896" width="12.28515625" style="2" customWidth="1"/>
    <col min="4897" max="4897" width="1.5703125" style="2" customWidth="1"/>
    <col min="4898" max="4898" width="12.28515625" style="2" customWidth="1"/>
    <col min="4899" max="4899" width="4.5703125" style="2" customWidth="1"/>
    <col min="4900" max="4900" width="1.42578125" style="2" customWidth="1"/>
    <col min="4901" max="5123" width="13.85546875" style="2"/>
    <col min="5124" max="5124" width="7.85546875" style="2" customWidth="1"/>
    <col min="5125" max="5126" width="2.28515625" style="2" customWidth="1"/>
    <col min="5127" max="5127" width="31.42578125" style="2" customWidth="1"/>
    <col min="5128" max="5128" width="2.28515625" style="2" customWidth="1"/>
    <col min="5129" max="5129" width="2.140625" style="2" customWidth="1"/>
    <col min="5130" max="5130" width="12.28515625" style="2" customWidth="1"/>
    <col min="5131" max="5131" width="1.5703125" style="2" customWidth="1"/>
    <col min="5132" max="5132" width="12.28515625" style="2" customWidth="1"/>
    <col min="5133" max="5133" width="1.5703125" style="2" customWidth="1"/>
    <col min="5134" max="5134" width="12.28515625" style="2" customWidth="1"/>
    <col min="5135" max="5135" width="1.5703125" style="2" customWidth="1"/>
    <col min="5136" max="5136" width="13.5703125" style="2" customWidth="1"/>
    <col min="5137" max="5137" width="0.85546875" style="2" customWidth="1"/>
    <col min="5138" max="5138" width="12.28515625" style="2" customWidth="1"/>
    <col min="5139" max="5139" width="1.5703125" style="2" customWidth="1"/>
    <col min="5140" max="5140" width="12.28515625" style="2" customWidth="1"/>
    <col min="5141" max="5141" width="1.5703125" style="2" customWidth="1"/>
    <col min="5142" max="5142" width="12.28515625" style="2" customWidth="1"/>
    <col min="5143" max="5143" width="0.85546875" style="2" customWidth="1"/>
    <col min="5144" max="5144" width="12.28515625" style="2" customWidth="1"/>
    <col min="5145" max="5145" width="1.5703125" style="2" customWidth="1"/>
    <col min="5146" max="5146" width="12.28515625" style="2" customWidth="1"/>
    <col min="5147" max="5147" width="1.5703125" style="2" customWidth="1"/>
    <col min="5148" max="5148" width="12.28515625" style="2" customWidth="1"/>
    <col min="5149" max="5149" width="0.85546875" style="2" customWidth="1"/>
    <col min="5150" max="5150" width="12.28515625" style="2" customWidth="1"/>
    <col min="5151" max="5151" width="1.5703125" style="2" customWidth="1"/>
    <col min="5152" max="5152" width="12.28515625" style="2" customWidth="1"/>
    <col min="5153" max="5153" width="1.5703125" style="2" customWidth="1"/>
    <col min="5154" max="5154" width="12.28515625" style="2" customWidth="1"/>
    <col min="5155" max="5155" width="4.5703125" style="2" customWidth="1"/>
    <col min="5156" max="5156" width="1.42578125" style="2" customWidth="1"/>
    <col min="5157" max="5379" width="13.85546875" style="2"/>
    <col min="5380" max="5380" width="7.85546875" style="2" customWidth="1"/>
    <col min="5381" max="5382" width="2.28515625" style="2" customWidth="1"/>
    <col min="5383" max="5383" width="31.42578125" style="2" customWidth="1"/>
    <col min="5384" max="5384" width="2.28515625" style="2" customWidth="1"/>
    <col min="5385" max="5385" width="2.140625" style="2" customWidth="1"/>
    <col min="5386" max="5386" width="12.28515625" style="2" customWidth="1"/>
    <col min="5387" max="5387" width="1.5703125" style="2" customWidth="1"/>
    <col min="5388" max="5388" width="12.28515625" style="2" customWidth="1"/>
    <col min="5389" max="5389" width="1.5703125" style="2" customWidth="1"/>
    <col min="5390" max="5390" width="12.28515625" style="2" customWidth="1"/>
    <col min="5391" max="5391" width="1.5703125" style="2" customWidth="1"/>
    <col min="5392" max="5392" width="13.5703125" style="2" customWidth="1"/>
    <col min="5393" max="5393" width="0.85546875" style="2" customWidth="1"/>
    <col min="5394" max="5394" width="12.28515625" style="2" customWidth="1"/>
    <col min="5395" max="5395" width="1.5703125" style="2" customWidth="1"/>
    <col min="5396" max="5396" width="12.28515625" style="2" customWidth="1"/>
    <col min="5397" max="5397" width="1.5703125" style="2" customWidth="1"/>
    <col min="5398" max="5398" width="12.28515625" style="2" customWidth="1"/>
    <col min="5399" max="5399" width="0.85546875" style="2" customWidth="1"/>
    <col min="5400" max="5400" width="12.28515625" style="2" customWidth="1"/>
    <col min="5401" max="5401" width="1.5703125" style="2" customWidth="1"/>
    <col min="5402" max="5402" width="12.28515625" style="2" customWidth="1"/>
    <col min="5403" max="5403" width="1.5703125" style="2" customWidth="1"/>
    <col min="5404" max="5404" width="12.28515625" style="2" customWidth="1"/>
    <col min="5405" max="5405" width="0.85546875" style="2" customWidth="1"/>
    <col min="5406" max="5406" width="12.28515625" style="2" customWidth="1"/>
    <col min="5407" max="5407" width="1.5703125" style="2" customWidth="1"/>
    <col min="5408" max="5408" width="12.28515625" style="2" customWidth="1"/>
    <col min="5409" max="5409" width="1.5703125" style="2" customWidth="1"/>
    <col min="5410" max="5410" width="12.28515625" style="2" customWidth="1"/>
    <col min="5411" max="5411" width="4.5703125" style="2" customWidth="1"/>
    <col min="5412" max="5412" width="1.42578125" style="2" customWidth="1"/>
    <col min="5413" max="5635" width="13.85546875" style="2"/>
    <col min="5636" max="5636" width="7.85546875" style="2" customWidth="1"/>
    <col min="5637" max="5638" width="2.28515625" style="2" customWidth="1"/>
    <col min="5639" max="5639" width="31.42578125" style="2" customWidth="1"/>
    <col min="5640" max="5640" width="2.28515625" style="2" customWidth="1"/>
    <col min="5641" max="5641" width="2.140625" style="2" customWidth="1"/>
    <col min="5642" max="5642" width="12.28515625" style="2" customWidth="1"/>
    <col min="5643" max="5643" width="1.5703125" style="2" customWidth="1"/>
    <col min="5644" max="5644" width="12.28515625" style="2" customWidth="1"/>
    <col min="5645" max="5645" width="1.5703125" style="2" customWidth="1"/>
    <col min="5646" max="5646" width="12.28515625" style="2" customWidth="1"/>
    <col min="5647" max="5647" width="1.5703125" style="2" customWidth="1"/>
    <col min="5648" max="5648" width="13.5703125" style="2" customWidth="1"/>
    <col min="5649" max="5649" width="0.85546875" style="2" customWidth="1"/>
    <col min="5650" max="5650" width="12.28515625" style="2" customWidth="1"/>
    <col min="5651" max="5651" width="1.5703125" style="2" customWidth="1"/>
    <col min="5652" max="5652" width="12.28515625" style="2" customWidth="1"/>
    <col min="5653" max="5653" width="1.5703125" style="2" customWidth="1"/>
    <col min="5654" max="5654" width="12.28515625" style="2" customWidth="1"/>
    <col min="5655" max="5655" width="0.85546875" style="2" customWidth="1"/>
    <col min="5656" max="5656" width="12.28515625" style="2" customWidth="1"/>
    <col min="5657" max="5657" width="1.5703125" style="2" customWidth="1"/>
    <col min="5658" max="5658" width="12.28515625" style="2" customWidth="1"/>
    <col min="5659" max="5659" width="1.5703125" style="2" customWidth="1"/>
    <col min="5660" max="5660" width="12.28515625" style="2" customWidth="1"/>
    <col min="5661" max="5661" width="0.85546875" style="2" customWidth="1"/>
    <col min="5662" max="5662" width="12.28515625" style="2" customWidth="1"/>
    <col min="5663" max="5663" width="1.5703125" style="2" customWidth="1"/>
    <col min="5664" max="5664" width="12.28515625" style="2" customWidth="1"/>
    <col min="5665" max="5665" width="1.5703125" style="2" customWidth="1"/>
    <col min="5666" max="5666" width="12.28515625" style="2" customWidth="1"/>
    <col min="5667" max="5667" width="4.5703125" style="2" customWidth="1"/>
    <col min="5668" max="5668" width="1.42578125" style="2" customWidth="1"/>
    <col min="5669" max="5891" width="13.85546875" style="2"/>
    <col min="5892" max="5892" width="7.85546875" style="2" customWidth="1"/>
    <col min="5893" max="5894" width="2.28515625" style="2" customWidth="1"/>
    <col min="5895" max="5895" width="31.42578125" style="2" customWidth="1"/>
    <col min="5896" max="5896" width="2.28515625" style="2" customWidth="1"/>
    <col min="5897" max="5897" width="2.140625" style="2" customWidth="1"/>
    <col min="5898" max="5898" width="12.28515625" style="2" customWidth="1"/>
    <col min="5899" max="5899" width="1.5703125" style="2" customWidth="1"/>
    <col min="5900" max="5900" width="12.28515625" style="2" customWidth="1"/>
    <col min="5901" max="5901" width="1.5703125" style="2" customWidth="1"/>
    <col min="5902" max="5902" width="12.28515625" style="2" customWidth="1"/>
    <col min="5903" max="5903" width="1.5703125" style="2" customWidth="1"/>
    <col min="5904" max="5904" width="13.5703125" style="2" customWidth="1"/>
    <col min="5905" max="5905" width="0.85546875" style="2" customWidth="1"/>
    <col min="5906" max="5906" width="12.28515625" style="2" customWidth="1"/>
    <col min="5907" max="5907" width="1.5703125" style="2" customWidth="1"/>
    <col min="5908" max="5908" width="12.28515625" style="2" customWidth="1"/>
    <col min="5909" max="5909" width="1.5703125" style="2" customWidth="1"/>
    <col min="5910" max="5910" width="12.28515625" style="2" customWidth="1"/>
    <col min="5911" max="5911" width="0.85546875" style="2" customWidth="1"/>
    <col min="5912" max="5912" width="12.28515625" style="2" customWidth="1"/>
    <col min="5913" max="5913" width="1.5703125" style="2" customWidth="1"/>
    <col min="5914" max="5914" width="12.28515625" style="2" customWidth="1"/>
    <col min="5915" max="5915" width="1.5703125" style="2" customWidth="1"/>
    <col min="5916" max="5916" width="12.28515625" style="2" customWidth="1"/>
    <col min="5917" max="5917" width="0.85546875" style="2" customWidth="1"/>
    <col min="5918" max="5918" width="12.28515625" style="2" customWidth="1"/>
    <col min="5919" max="5919" width="1.5703125" style="2" customWidth="1"/>
    <col min="5920" max="5920" width="12.28515625" style="2" customWidth="1"/>
    <col min="5921" max="5921" width="1.5703125" style="2" customWidth="1"/>
    <col min="5922" max="5922" width="12.28515625" style="2" customWidth="1"/>
    <col min="5923" max="5923" width="4.5703125" style="2" customWidth="1"/>
    <col min="5924" max="5924" width="1.42578125" style="2" customWidth="1"/>
    <col min="5925" max="6147" width="13.85546875" style="2"/>
    <col min="6148" max="6148" width="7.85546875" style="2" customWidth="1"/>
    <col min="6149" max="6150" width="2.28515625" style="2" customWidth="1"/>
    <col min="6151" max="6151" width="31.42578125" style="2" customWidth="1"/>
    <col min="6152" max="6152" width="2.28515625" style="2" customWidth="1"/>
    <col min="6153" max="6153" width="2.140625" style="2" customWidth="1"/>
    <col min="6154" max="6154" width="12.28515625" style="2" customWidth="1"/>
    <col min="6155" max="6155" width="1.5703125" style="2" customWidth="1"/>
    <col min="6156" max="6156" width="12.28515625" style="2" customWidth="1"/>
    <col min="6157" max="6157" width="1.5703125" style="2" customWidth="1"/>
    <col min="6158" max="6158" width="12.28515625" style="2" customWidth="1"/>
    <col min="6159" max="6159" width="1.5703125" style="2" customWidth="1"/>
    <col min="6160" max="6160" width="13.5703125" style="2" customWidth="1"/>
    <col min="6161" max="6161" width="0.85546875" style="2" customWidth="1"/>
    <col min="6162" max="6162" width="12.28515625" style="2" customWidth="1"/>
    <col min="6163" max="6163" width="1.5703125" style="2" customWidth="1"/>
    <col min="6164" max="6164" width="12.28515625" style="2" customWidth="1"/>
    <col min="6165" max="6165" width="1.5703125" style="2" customWidth="1"/>
    <col min="6166" max="6166" width="12.28515625" style="2" customWidth="1"/>
    <col min="6167" max="6167" width="0.85546875" style="2" customWidth="1"/>
    <col min="6168" max="6168" width="12.28515625" style="2" customWidth="1"/>
    <col min="6169" max="6169" width="1.5703125" style="2" customWidth="1"/>
    <col min="6170" max="6170" width="12.28515625" style="2" customWidth="1"/>
    <col min="6171" max="6171" width="1.5703125" style="2" customWidth="1"/>
    <col min="6172" max="6172" width="12.28515625" style="2" customWidth="1"/>
    <col min="6173" max="6173" width="0.85546875" style="2" customWidth="1"/>
    <col min="6174" max="6174" width="12.28515625" style="2" customWidth="1"/>
    <col min="6175" max="6175" width="1.5703125" style="2" customWidth="1"/>
    <col min="6176" max="6176" width="12.28515625" style="2" customWidth="1"/>
    <col min="6177" max="6177" width="1.5703125" style="2" customWidth="1"/>
    <col min="6178" max="6178" width="12.28515625" style="2" customWidth="1"/>
    <col min="6179" max="6179" width="4.5703125" style="2" customWidth="1"/>
    <col min="6180" max="6180" width="1.42578125" style="2" customWidth="1"/>
    <col min="6181" max="6403" width="13.85546875" style="2"/>
    <col min="6404" max="6404" width="7.85546875" style="2" customWidth="1"/>
    <col min="6405" max="6406" width="2.28515625" style="2" customWidth="1"/>
    <col min="6407" max="6407" width="31.42578125" style="2" customWidth="1"/>
    <col min="6408" max="6408" width="2.28515625" style="2" customWidth="1"/>
    <col min="6409" max="6409" width="2.140625" style="2" customWidth="1"/>
    <col min="6410" max="6410" width="12.28515625" style="2" customWidth="1"/>
    <col min="6411" max="6411" width="1.5703125" style="2" customWidth="1"/>
    <col min="6412" max="6412" width="12.28515625" style="2" customWidth="1"/>
    <col min="6413" max="6413" width="1.5703125" style="2" customWidth="1"/>
    <col min="6414" max="6414" width="12.28515625" style="2" customWidth="1"/>
    <col min="6415" max="6415" width="1.5703125" style="2" customWidth="1"/>
    <col min="6416" max="6416" width="13.5703125" style="2" customWidth="1"/>
    <col min="6417" max="6417" width="0.85546875" style="2" customWidth="1"/>
    <col min="6418" max="6418" width="12.28515625" style="2" customWidth="1"/>
    <col min="6419" max="6419" width="1.5703125" style="2" customWidth="1"/>
    <col min="6420" max="6420" width="12.28515625" style="2" customWidth="1"/>
    <col min="6421" max="6421" width="1.5703125" style="2" customWidth="1"/>
    <col min="6422" max="6422" width="12.28515625" style="2" customWidth="1"/>
    <col min="6423" max="6423" width="0.85546875" style="2" customWidth="1"/>
    <col min="6424" max="6424" width="12.28515625" style="2" customWidth="1"/>
    <col min="6425" max="6425" width="1.5703125" style="2" customWidth="1"/>
    <col min="6426" max="6426" width="12.28515625" style="2" customWidth="1"/>
    <col min="6427" max="6427" width="1.5703125" style="2" customWidth="1"/>
    <col min="6428" max="6428" width="12.28515625" style="2" customWidth="1"/>
    <col min="6429" max="6429" width="0.85546875" style="2" customWidth="1"/>
    <col min="6430" max="6430" width="12.28515625" style="2" customWidth="1"/>
    <col min="6431" max="6431" width="1.5703125" style="2" customWidth="1"/>
    <col min="6432" max="6432" width="12.28515625" style="2" customWidth="1"/>
    <col min="6433" max="6433" width="1.5703125" style="2" customWidth="1"/>
    <col min="6434" max="6434" width="12.28515625" style="2" customWidth="1"/>
    <col min="6435" max="6435" width="4.5703125" style="2" customWidth="1"/>
    <col min="6436" max="6436" width="1.42578125" style="2" customWidth="1"/>
    <col min="6437" max="6659" width="13.85546875" style="2"/>
    <col min="6660" max="6660" width="7.85546875" style="2" customWidth="1"/>
    <col min="6661" max="6662" width="2.28515625" style="2" customWidth="1"/>
    <col min="6663" max="6663" width="31.42578125" style="2" customWidth="1"/>
    <col min="6664" max="6664" width="2.28515625" style="2" customWidth="1"/>
    <col min="6665" max="6665" width="2.140625" style="2" customWidth="1"/>
    <col min="6666" max="6666" width="12.28515625" style="2" customWidth="1"/>
    <col min="6667" max="6667" width="1.5703125" style="2" customWidth="1"/>
    <col min="6668" max="6668" width="12.28515625" style="2" customWidth="1"/>
    <col min="6669" max="6669" width="1.5703125" style="2" customWidth="1"/>
    <col min="6670" max="6670" width="12.28515625" style="2" customWidth="1"/>
    <col min="6671" max="6671" width="1.5703125" style="2" customWidth="1"/>
    <col min="6672" max="6672" width="13.5703125" style="2" customWidth="1"/>
    <col min="6673" max="6673" width="0.85546875" style="2" customWidth="1"/>
    <col min="6674" max="6674" width="12.28515625" style="2" customWidth="1"/>
    <col min="6675" max="6675" width="1.5703125" style="2" customWidth="1"/>
    <col min="6676" max="6676" width="12.28515625" style="2" customWidth="1"/>
    <col min="6677" max="6677" width="1.5703125" style="2" customWidth="1"/>
    <col min="6678" max="6678" width="12.28515625" style="2" customWidth="1"/>
    <col min="6679" max="6679" width="0.85546875" style="2" customWidth="1"/>
    <col min="6680" max="6680" width="12.28515625" style="2" customWidth="1"/>
    <col min="6681" max="6681" width="1.5703125" style="2" customWidth="1"/>
    <col min="6682" max="6682" width="12.28515625" style="2" customWidth="1"/>
    <col min="6683" max="6683" width="1.5703125" style="2" customWidth="1"/>
    <col min="6684" max="6684" width="12.28515625" style="2" customWidth="1"/>
    <col min="6685" max="6685" width="0.85546875" style="2" customWidth="1"/>
    <col min="6686" max="6686" width="12.28515625" style="2" customWidth="1"/>
    <col min="6687" max="6687" width="1.5703125" style="2" customWidth="1"/>
    <col min="6688" max="6688" width="12.28515625" style="2" customWidth="1"/>
    <col min="6689" max="6689" width="1.5703125" style="2" customWidth="1"/>
    <col min="6690" max="6690" width="12.28515625" style="2" customWidth="1"/>
    <col min="6691" max="6691" width="4.5703125" style="2" customWidth="1"/>
    <col min="6692" max="6692" width="1.42578125" style="2" customWidth="1"/>
    <col min="6693" max="6915" width="13.85546875" style="2"/>
    <col min="6916" max="6916" width="7.85546875" style="2" customWidth="1"/>
    <col min="6917" max="6918" width="2.28515625" style="2" customWidth="1"/>
    <col min="6919" max="6919" width="31.42578125" style="2" customWidth="1"/>
    <col min="6920" max="6920" width="2.28515625" style="2" customWidth="1"/>
    <col min="6921" max="6921" width="2.140625" style="2" customWidth="1"/>
    <col min="6922" max="6922" width="12.28515625" style="2" customWidth="1"/>
    <col min="6923" max="6923" width="1.5703125" style="2" customWidth="1"/>
    <col min="6924" max="6924" width="12.28515625" style="2" customWidth="1"/>
    <col min="6925" max="6925" width="1.5703125" style="2" customWidth="1"/>
    <col min="6926" max="6926" width="12.28515625" style="2" customWidth="1"/>
    <col min="6927" max="6927" width="1.5703125" style="2" customWidth="1"/>
    <col min="6928" max="6928" width="13.5703125" style="2" customWidth="1"/>
    <col min="6929" max="6929" width="0.85546875" style="2" customWidth="1"/>
    <col min="6930" max="6930" width="12.28515625" style="2" customWidth="1"/>
    <col min="6931" max="6931" width="1.5703125" style="2" customWidth="1"/>
    <col min="6932" max="6932" width="12.28515625" style="2" customWidth="1"/>
    <col min="6933" max="6933" width="1.5703125" style="2" customWidth="1"/>
    <col min="6934" max="6934" width="12.28515625" style="2" customWidth="1"/>
    <col min="6935" max="6935" width="0.85546875" style="2" customWidth="1"/>
    <col min="6936" max="6936" width="12.28515625" style="2" customWidth="1"/>
    <col min="6937" max="6937" width="1.5703125" style="2" customWidth="1"/>
    <col min="6938" max="6938" width="12.28515625" style="2" customWidth="1"/>
    <col min="6939" max="6939" width="1.5703125" style="2" customWidth="1"/>
    <col min="6940" max="6940" width="12.28515625" style="2" customWidth="1"/>
    <col min="6941" max="6941" width="0.85546875" style="2" customWidth="1"/>
    <col min="6942" max="6942" width="12.28515625" style="2" customWidth="1"/>
    <col min="6943" max="6943" width="1.5703125" style="2" customWidth="1"/>
    <col min="6944" max="6944" width="12.28515625" style="2" customWidth="1"/>
    <col min="6945" max="6945" width="1.5703125" style="2" customWidth="1"/>
    <col min="6946" max="6946" width="12.28515625" style="2" customWidth="1"/>
    <col min="6947" max="6947" width="4.5703125" style="2" customWidth="1"/>
    <col min="6948" max="6948" width="1.42578125" style="2" customWidth="1"/>
    <col min="6949" max="7171" width="13.85546875" style="2"/>
    <col min="7172" max="7172" width="7.85546875" style="2" customWidth="1"/>
    <col min="7173" max="7174" width="2.28515625" style="2" customWidth="1"/>
    <col min="7175" max="7175" width="31.42578125" style="2" customWidth="1"/>
    <col min="7176" max="7176" width="2.28515625" style="2" customWidth="1"/>
    <col min="7177" max="7177" width="2.140625" style="2" customWidth="1"/>
    <col min="7178" max="7178" width="12.28515625" style="2" customWidth="1"/>
    <col min="7179" max="7179" width="1.5703125" style="2" customWidth="1"/>
    <col min="7180" max="7180" width="12.28515625" style="2" customWidth="1"/>
    <col min="7181" max="7181" width="1.5703125" style="2" customWidth="1"/>
    <col min="7182" max="7182" width="12.28515625" style="2" customWidth="1"/>
    <col min="7183" max="7183" width="1.5703125" style="2" customWidth="1"/>
    <col min="7184" max="7184" width="13.5703125" style="2" customWidth="1"/>
    <col min="7185" max="7185" width="0.85546875" style="2" customWidth="1"/>
    <col min="7186" max="7186" width="12.28515625" style="2" customWidth="1"/>
    <col min="7187" max="7187" width="1.5703125" style="2" customWidth="1"/>
    <col min="7188" max="7188" width="12.28515625" style="2" customWidth="1"/>
    <col min="7189" max="7189" width="1.5703125" style="2" customWidth="1"/>
    <col min="7190" max="7190" width="12.28515625" style="2" customWidth="1"/>
    <col min="7191" max="7191" width="0.85546875" style="2" customWidth="1"/>
    <col min="7192" max="7192" width="12.28515625" style="2" customWidth="1"/>
    <col min="7193" max="7193" width="1.5703125" style="2" customWidth="1"/>
    <col min="7194" max="7194" width="12.28515625" style="2" customWidth="1"/>
    <col min="7195" max="7195" width="1.5703125" style="2" customWidth="1"/>
    <col min="7196" max="7196" width="12.28515625" style="2" customWidth="1"/>
    <col min="7197" max="7197" width="0.85546875" style="2" customWidth="1"/>
    <col min="7198" max="7198" width="12.28515625" style="2" customWidth="1"/>
    <col min="7199" max="7199" width="1.5703125" style="2" customWidth="1"/>
    <col min="7200" max="7200" width="12.28515625" style="2" customWidth="1"/>
    <col min="7201" max="7201" width="1.5703125" style="2" customWidth="1"/>
    <col min="7202" max="7202" width="12.28515625" style="2" customWidth="1"/>
    <col min="7203" max="7203" width="4.5703125" style="2" customWidth="1"/>
    <col min="7204" max="7204" width="1.42578125" style="2" customWidth="1"/>
    <col min="7205" max="7427" width="13.85546875" style="2"/>
    <col min="7428" max="7428" width="7.85546875" style="2" customWidth="1"/>
    <col min="7429" max="7430" width="2.28515625" style="2" customWidth="1"/>
    <col min="7431" max="7431" width="31.42578125" style="2" customWidth="1"/>
    <col min="7432" max="7432" width="2.28515625" style="2" customWidth="1"/>
    <col min="7433" max="7433" width="2.140625" style="2" customWidth="1"/>
    <col min="7434" max="7434" width="12.28515625" style="2" customWidth="1"/>
    <col min="7435" max="7435" width="1.5703125" style="2" customWidth="1"/>
    <col min="7436" max="7436" width="12.28515625" style="2" customWidth="1"/>
    <col min="7437" max="7437" width="1.5703125" style="2" customWidth="1"/>
    <col min="7438" max="7438" width="12.28515625" style="2" customWidth="1"/>
    <col min="7439" max="7439" width="1.5703125" style="2" customWidth="1"/>
    <col min="7440" max="7440" width="13.5703125" style="2" customWidth="1"/>
    <col min="7441" max="7441" width="0.85546875" style="2" customWidth="1"/>
    <col min="7442" max="7442" width="12.28515625" style="2" customWidth="1"/>
    <col min="7443" max="7443" width="1.5703125" style="2" customWidth="1"/>
    <col min="7444" max="7444" width="12.28515625" style="2" customWidth="1"/>
    <col min="7445" max="7445" width="1.5703125" style="2" customWidth="1"/>
    <col min="7446" max="7446" width="12.28515625" style="2" customWidth="1"/>
    <col min="7447" max="7447" width="0.85546875" style="2" customWidth="1"/>
    <col min="7448" max="7448" width="12.28515625" style="2" customWidth="1"/>
    <col min="7449" max="7449" width="1.5703125" style="2" customWidth="1"/>
    <col min="7450" max="7450" width="12.28515625" style="2" customWidth="1"/>
    <col min="7451" max="7451" width="1.5703125" style="2" customWidth="1"/>
    <col min="7452" max="7452" width="12.28515625" style="2" customWidth="1"/>
    <col min="7453" max="7453" width="0.85546875" style="2" customWidth="1"/>
    <col min="7454" max="7454" width="12.28515625" style="2" customWidth="1"/>
    <col min="7455" max="7455" width="1.5703125" style="2" customWidth="1"/>
    <col min="7456" max="7456" width="12.28515625" style="2" customWidth="1"/>
    <col min="7457" max="7457" width="1.5703125" style="2" customWidth="1"/>
    <col min="7458" max="7458" width="12.28515625" style="2" customWidth="1"/>
    <col min="7459" max="7459" width="4.5703125" style="2" customWidth="1"/>
    <col min="7460" max="7460" width="1.42578125" style="2" customWidth="1"/>
    <col min="7461" max="7683" width="13.85546875" style="2"/>
    <col min="7684" max="7684" width="7.85546875" style="2" customWidth="1"/>
    <col min="7685" max="7686" width="2.28515625" style="2" customWidth="1"/>
    <col min="7687" max="7687" width="31.42578125" style="2" customWidth="1"/>
    <col min="7688" max="7688" width="2.28515625" style="2" customWidth="1"/>
    <col min="7689" max="7689" width="2.140625" style="2" customWidth="1"/>
    <col min="7690" max="7690" width="12.28515625" style="2" customWidth="1"/>
    <col min="7691" max="7691" width="1.5703125" style="2" customWidth="1"/>
    <col min="7692" max="7692" width="12.28515625" style="2" customWidth="1"/>
    <col min="7693" max="7693" width="1.5703125" style="2" customWidth="1"/>
    <col min="7694" max="7694" width="12.28515625" style="2" customWidth="1"/>
    <col min="7695" max="7695" width="1.5703125" style="2" customWidth="1"/>
    <col min="7696" max="7696" width="13.5703125" style="2" customWidth="1"/>
    <col min="7697" max="7697" width="0.85546875" style="2" customWidth="1"/>
    <col min="7698" max="7698" width="12.28515625" style="2" customWidth="1"/>
    <col min="7699" max="7699" width="1.5703125" style="2" customWidth="1"/>
    <col min="7700" max="7700" width="12.28515625" style="2" customWidth="1"/>
    <col min="7701" max="7701" width="1.5703125" style="2" customWidth="1"/>
    <col min="7702" max="7702" width="12.28515625" style="2" customWidth="1"/>
    <col min="7703" max="7703" width="0.85546875" style="2" customWidth="1"/>
    <col min="7704" max="7704" width="12.28515625" style="2" customWidth="1"/>
    <col min="7705" max="7705" width="1.5703125" style="2" customWidth="1"/>
    <col min="7706" max="7706" width="12.28515625" style="2" customWidth="1"/>
    <col min="7707" max="7707" width="1.5703125" style="2" customWidth="1"/>
    <col min="7708" max="7708" width="12.28515625" style="2" customWidth="1"/>
    <col min="7709" max="7709" width="0.85546875" style="2" customWidth="1"/>
    <col min="7710" max="7710" width="12.28515625" style="2" customWidth="1"/>
    <col min="7711" max="7711" width="1.5703125" style="2" customWidth="1"/>
    <col min="7712" max="7712" width="12.28515625" style="2" customWidth="1"/>
    <col min="7713" max="7713" width="1.5703125" style="2" customWidth="1"/>
    <col min="7714" max="7714" width="12.28515625" style="2" customWidth="1"/>
    <col min="7715" max="7715" width="4.5703125" style="2" customWidth="1"/>
    <col min="7716" max="7716" width="1.42578125" style="2" customWidth="1"/>
    <col min="7717" max="7939" width="13.85546875" style="2"/>
    <col min="7940" max="7940" width="7.85546875" style="2" customWidth="1"/>
    <col min="7941" max="7942" width="2.28515625" style="2" customWidth="1"/>
    <col min="7943" max="7943" width="31.42578125" style="2" customWidth="1"/>
    <col min="7944" max="7944" width="2.28515625" style="2" customWidth="1"/>
    <col min="7945" max="7945" width="2.140625" style="2" customWidth="1"/>
    <col min="7946" max="7946" width="12.28515625" style="2" customWidth="1"/>
    <col min="7947" max="7947" width="1.5703125" style="2" customWidth="1"/>
    <col min="7948" max="7948" width="12.28515625" style="2" customWidth="1"/>
    <col min="7949" max="7949" width="1.5703125" style="2" customWidth="1"/>
    <col min="7950" max="7950" width="12.28515625" style="2" customWidth="1"/>
    <col min="7951" max="7951" width="1.5703125" style="2" customWidth="1"/>
    <col min="7952" max="7952" width="13.5703125" style="2" customWidth="1"/>
    <col min="7953" max="7953" width="0.85546875" style="2" customWidth="1"/>
    <col min="7954" max="7954" width="12.28515625" style="2" customWidth="1"/>
    <col min="7955" max="7955" width="1.5703125" style="2" customWidth="1"/>
    <col min="7956" max="7956" width="12.28515625" style="2" customWidth="1"/>
    <col min="7957" max="7957" width="1.5703125" style="2" customWidth="1"/>
    <col min="7958" max="7958" width="12.28515625" style="2" customWidth="1"/>
    <col min="7959" max="7959" width="0.85546875" style="2" customWidth="1"/>
    <col min="7960" max="7960" width="12.28515625" style="2" customWidth="1"/>
    <col min="7961" max="7961" width="1.5703125" style="2" customWidth="1"/>
    <col min="7962" max="7962" width="12.28515625" style="2" customWidth="1"/>
    <col min="7963" max="7963" width="1.5703125" style="2" customWidth="1"/>
    <col min="7964" max="7964" width="12.28515625" style="2" customWidth="1"/>
    <col min="7965" max="7965" width="0.85546875" style="2" customWidth="1"/>
    <col min="7966" max="7966" width="12.28515625" style="2" customWidth="1"/>
    <col min="7967" max="7967" width="1.5703125" style="2" customWidth="1"/>
    <col min="7968" max="7968" width="12.28515625" style="2" customWidth="1"/>
    <col min="7969" max="7969" width="1.5703125" style="2" customWidth="1"/>
    <col min="7970" max="7970" width="12.28515625" style="2" customWidth="1"/>
    <col min="7971" max="7971" width="4.5703125" style="2" customWidth="1"/>
    <col min="7972" max="7972" width="1.42578125" style="2" customWidth="1"/>
    <col min="7973" max="8195" width="13.85546875" style="2"/>
    <col min="8196" max="8196" width="7.85546875" style="2" customWidth="1"/>
    <col min="8197" max="8198" width="2.28515625" style="2" customWidth="1"/>
    <col min="8199" max="8199" width="31.42578125" style="2" customWidth="1"/>
    <col min="8200" max="8200" width="2.28515625" style="2" customWidth="1"/>
    <col min="8201" max="8201" width="2.140625" style="2" customWidth="1"/>
    <col min="8202" max="8202" width="12.28515625" style="2" customWidth="1"/>
    <col min="8203" max="8203" width="1.5703125" style="2" customWidth="1"/>
    <col min="8204" max="8204" width="12.28515625" style="2" customWidth="1"/>
    <col min="8205" max="8205" width="1.5703125" style="2" customWidth="1"/>
    <col min="8206" max="8206" width="12.28515625" style="2" customWidth="1"/>
    <col min="8207" max="8207" width="1.5703125" style="2" customWidth="1"/>
    <col min="8208" max="8208" width="13.5703125" style="2" customWidth="1"/>
    <col min="8209" max="8209" width="0.85546875" style="2" customWidth="1"/>
    <col min="8210" max="8210" width="12.28515625" style="2" customWidth="1"/>
    <col min="8211" max="8211" width="1.5703125" style="2" customWidth="1"/>
    <col min="8212" max="8212" width="12.28515625" style="2" customWidth="1"/>
    <col min="8213" max="8213" width="1.5703125" style="2" customWidth="1"/>
    <col min="8214" max="8214" width="12.28515625" style="2" customWidth="1"/>
    <col min="8215" max="8215" width="0.85546875" style="2" customWidth="1"/>
    <col min="8216" max="8216" width="12.28515625" style="2" customWidth="1"/>
    <col min="8217" max="8217" width="1.5703125" style="2" customWidth="1"/>
    <col min="8218" max="8218" width="12.28515625" style="2" customWidth="1"/>
    <col min="8219" max="8219" width="1.5703125" style="2" customWidth="1"/>
    <col min="8220" max="8220" width="12.28515625" style="2" customWidth="1"/>
    <col min="8221" max="8221" width="0.85546875" style="2" customWidth="1"/>
    <col min="8222" max="8222" width="12.28515625" style="2" customWidth="1"/>
    <col min="8223" max="8223" width="1.5703125" style="2" customWidth="1"/>
    <col min="8224" max="8224" width="12.28515625" style="2" customWidth="1"/>
    <col min="8225" max="8225" width="1.5703125" style="2" customWidth="1"/>
    <col min="8226" max="8226" width="12.28515625" style="2" customWidth="1"/>
    <col min="8227" max="8227" width="4.5703125" style="2" customWidth="1"/>
    <col min="8228" max="8228" width="1.42578125" style="2" customWidth="1"/>
    <col min="8229" max="8451" width="13.85546875" style="2"/>
    <col min="8452" max="8452" width="7.85546875" style="2" customWidth="1"/>
    <col min="8453" max="8454" width="2.28515625" style="2" customWidth="1"/>
    <col min="8455" max="8455" width="31.42578125" style="2" customWidth="1"/>
    <col min="8456" max="8456" width="2.28515625" style="2" customWidth="1"/>
    <col min="8457" max="8457" width="2.140625" style="2" customWidth="1"/>
    <col min="8458" max="8458" width="12.28515625" style="2" customWidth="1"/>
    <col min="8459" max="8459" width="1.5703125" style="2" customWidth="1"/>
    <col min="8460" max="8460" width="12.28515625" style="2" customWidth="1"/>
    <col min="8461" max="8461" width="1.5703125" style="2" customWidth="1"/>
    <col min="8462" max="8462" width="12.28515625" style="2" customWidth="1"/>
    <col min="8463" max="8463" width="1.5703125" style="2" customWidth="1"/>
    <col min="8464" max="8464" width="13.5703125" style="2" customWidth="1"/>
    <col min="8465" max="8465" width="0.85546875" style="2" customWidth="1"/>
    <col min="8466" max="8466" width="12.28515625" style="2" customWidth="1"/>
    <col min="8467" max="8467" width="1.5703125" style="2" customWidth="1"/>
    <col min="8468" max="8468" width="12.28515625" style="2" customWidth="1"/>
    <col min="8469" max="8469" width="1.5703125" style="2" customWidth="1"/>
    <col min="8470" max="8470" width="12.28515625" style="2" customWidth="1"/>
    <col min="8471" max="8471" width="0.85546875" style="2" customWidth="1"/>
    <col min="8472" max="8472" width="12.28515625" style="2" customWidth="1"/>
    <col min="8473" max="8473" width="1.5703125" style="2" customWidth="1"/>
    <col min="8474" max="8474" width="12.28515625" style="2" customWidth="1"/>
    <col min="8475" max="8475" width="1.5703125" style="2" customWidth="1"/>
    <col min="8476" max="8476" width="12.28515625" style="2" customWidth="1"/>
    <col min="8477" max="8477" width="0.85546875" style="2" customWidth="1"/>
    <col min="8478" max="8478" width="12.28515625" style="2" customWidth="1"/>
    <col min="8479" max="8479" width="1.5703125" style="2" customWidth="1"/>
    <col min="8480" max="8480" width="12.28515625" style="2" customWidth="1"/>
    <col min="8481" max="8481" width="1.5703125" style="2" customWidth="1"/>
    <col min="8482" max="8482" width="12.28515625" style="2" customWidth="1"/>
    <col min="8483" max="8483" width="4.5703125" style="2" customWidth="1"/>
    <col min="8484" max="8484" width="1.42578125" style="2" customWidth="1"/>
    <col min="8485" max="8707" width="13.85546875" style="2"/>
    <col min="8708" max="8708" width="7.85546875" style="2" customWidth="1"/>
    <col min="8709" max="8710" width="2.28515625" style="2" customWidth="1"/>
    <col min="8711" max="8711" width="31.42578125" style="2" customWidth="1"/>
    <col min="8712" max="8712" width="2.28515625" style="2" customWidth="1"/>
    <col min="8713" max="8713" width="2.140625" style="2" customWidth="1"/>
    <col min="8714" max="8714" width="12.28515625" style="2" customWidth="1"/>
    <col min="8715" max="8715" width="1.5703125" style="2" customWidth="1"/>
    <col min="8716" max="8716" width="12.28515625" style="2" customWidth="1"/>
    <col min="8717" max="8717" width="1.5703125" style="2" customWidth="1"/>
    <col min="8718" max="8718" width="12.28515625" style="2" customWidth="1"/>
    <col min="8719" max="8719" width="1.5703125" style="2" customWidth="1"/>
    <col min="8720" max="8720" width="13.5703125" style="2" customWidth="1"/>
    <col min="8721" max="8721" width="0.85546875" style="2" customWidth="1"/>
    <col min="8722" max="8722" width="12.28515625" style="2" customWidth="1"/>
    <col min="8723" max="8723" width="1.5703125" style="2" customWidth="1"/>
    <col min="8724" max="8724" width="12.28515625" style="2" customWidth="1"/>
    <col min="8725" max="8725" width="1.5703125" style="2" customWidth="1"/>
    <col min="8726" max="8726" width="12.28515625" style="2" customWidth="1"/>
    <col min="8727" max="8727" width="0.85546875" style="2" customWidth="1"/>
    <col min="8728" max="8728" width="12.28515625" style="2" customWidth="1"/>
    <col min="8729" max="8729" width="1.5703125" style="2" customWidth="1"/>
    <col min="8730" max="8730" width="12.28515625" style="2" customWidth="1"/>
    <col min="8731" max="8731" width="1.5703125" style="2" customWidth="1"/>
    <col min="8732" max="8732" width="12.28515625" style="2" customWidth="1"/>
    <col min="8733" max="8733" width="0.85546875" style="2" customWidth="1"/>
    <col min="8734" max="8734" width="12.28515625" style="2" customWidth="1"/>
    <col min="8735" max="8735" width="1.5703125" style="2" customWidth="1"/>
    <col min="8736" max="8736" width="12.28515625" style="2" customWidth="1"/>
    <col min="8737" max="8737" width="1.5703125" style="2" customWidth="1"/>
    <col min="8738" max="8738" width="12.28515625" style="2" customWidth="1"/>
    <col min="8739" max="8739" width="4.5703125" style="2" customWidth="1"/>
    <col min="8740" max="8740" width="1.42578125" style="2" customWidth="1"/>
    <col min="8741" max="8963" width="13.85546875" style="2"/>
    <col min="8964" max="8964" width="7.85546875" style="2" customWidth="1"/>
    <col min="8965" max="8966" width="2.28515625" style="2" customWidth="1"/>
    <col min="8967" max="8967" width="31.42578125" style="2" customWidth="1"/>
    <col min="8968" max="8968" width="2.28515625" style="2" customWidth="1"/>
    <col min="8969" max="8969" width="2.140625" style="2" customWidth="1"/>
    <col min="8970" max="8970" width="12.28515625" style="2" customWidth="1"/>
    <col min="8971" max="8971" width="1.5703125" style="2" customWidth="1"/>
    <col min="8972" max="8972" width="12.28515625" style="2" customWidth="1"/>
    <col min="8973" max="8973" width="1.5703125" style="2" customWidth="1"/>
    <col min="8974" max="8974" width="12.28515625" style="2" customWidth="1"/>
    <col min="8975" max="8975" width="1.5703125" style="2" customWidth="1"/>
    <col min="8976" max="8976" width="13.5703125" style="2" customWidth="1"/>
    <col min="8977" max="8977" width="0.85546875" style="2" customWidth="1"/>
    <col min="8978" max="8978" width="12.28515625" style="2" customWidth="1"/>
    <col min="8979" max="8979" width="1.5703125" style="2" customWidth="1"/>
    <col min="8980" max="8980" width="12.28515625" style="2" customWidth="1"/>
    <col min="8981" max="8981" width="1.5703125" style="2" customWidth="1"/>
    <col min="8982" max="8982" width="12.28515625" style="2" customWidth="1"/>
    <col min="8983" max="8983" width="0.85546875" style="2" customWidth="1"/>
    <col min="8984" max="8984" width="12.28515625" style="2" customWidth="1"/>
    <col min="8985" max="8985" width="1.5703125" style="2" customWidth="1"/>
    <col min="8986" max="8986" width="12.28515625" style="2" customWidth="1"/>
    <col min="8987" max="8987" width="1.5703125" style="2" customWidth="1"/>
    <col min="8988" max="8988" width="12.28515625" style="2" customWidth="1"/>
    <col min="8989" max="8989" width="0.85546875" style="2" customWidth="1"/>
    <col min="8990" max="8990" width="12.28515625" style="2" customWidth="1"/>
    <col min="8991" max="8991" width="1.5703125" style="2" customWidth="1"/>
    <col min="8992" max="8992" width="12.28515625" style="2" customWidth="1"/>
    <col min="8993" max="8993" width="1.5703125" style="2" customWidth="1"/>
    <col min="8994" max="8994" width="12.28515625" style="2" customWidth="1"/>
    <col min="8995" max="8995" width="4.5703125" style="2" customWidth="1"/>
    <col min="8996" max="8996" width="1.42578125" style="2" customWidth="1"/>
    <col min="8997" max="9219" width="13.85546875" style="2"/>
    <col min="9220" max="9220" width="7.85546875" style="2" customWidth="1"/>
    <col min="9221" max="9222" width="2.28515625" style="2" customWidth="1"/>
    <col min="9223" max="9223" width="31.42578125" style="2" customWidth="1"/>
    <col min="9224" max="9224" width="2.28515625" style="2" customWidth="1"/>
    <col min="9225" max="9225" width="2.140625" style="2" customWidth="1"/>
    <col min="9226" max="9226" width="12.28515625" style="2" customWidth="1"/>
    <col min="9227" max="9227" width="1.5703125" style="2" customWidth="1"/>
    <col min="9228" max="9228" width="12.28515625" style="2" customWidth="1"/>
    <col min="9229" max="9229" width="1.5703125" style="2" customWidth="1"/>
    <col min="9230" max="9230" width="12.28515625" style="2" customWidth="1"/>
    <col min="9231" max="9231" width="1.5703125" style="2" customWidth="1"/>
    <col min="9232" max="9232" width="13.5703125" style="2" customWidth="1"/>
    <col min="9233" max="9233" width="0.85546875" style="2" customWidth="1"/>
    <col min="9234" max="9234" width="12.28515625" style="2" customWidth="1"/>
    <col min="9235" max="9235" width="1.5703125" style="2" customWidth="1"/>
    <col min="9236" max="9236" width="12.28515625" style="2" customWidth="1"/>
    <col min="9237" max="9237" width="1.5703125" style="2" customWidth="1"/>
    <col min="9238" max="9238" width="12.28515625" style="2" customWidth="1"/>
    <col min="9239" max="9239" width="0.85546875" style="2" customWidth="1"/>
    <col min="9240" max="9240" width="12.28515625" style="2" customWidth="1"/>
    <col min="9241" max="9241" width="1.5703125" style="2" customWidth="1"/>
    <col min="9242" max="9242" width="12.28515625" style="2" customWidth="1"/>
    <col min="9243" max="9243" width="1.5703125" style="2" customWidth="1"/>
    <col min="9244" max="9244" width="12.28515625" style="2" customWidth="1"/>
    <col min="9245" max="9245" width="0.85546875" style="2" customWidth="1"/>
    <col min="9246" max="9246" width="12.28515625" style="2" customWidth="1"/>
    <col min="9247" max="9247" width="1.5703125" style="2" customWidth="1"/>
    <col min="9248" max="9248" width="12.28515625" style="2" customWidth="1"/>
    <col min="9249" max="9249" width="1.5703125" style="2" customWidth="1"/>
    <col min="9250" max="9250" width="12.28515625" style="2" customWidth="1"/>
    <col min="9251" max="9251" width="4.5703125" style="2" customWidth="1"/>
    <col min="9252" max="9252" width="1.42578125" style="2" customWidth="1"/>
    <col min="9253" max="9475" width="13.85546875" style="2"/>
    <col min="9476" max="9476" width="7.85546875" style="2" customWidth="1"/>
    <col min="9477" max="9478" width="2.28515625" style="2" customWidth="1"/>
    <col min="9479" max="9479" width="31.42578125" style="2" customWidth="1"/>
    <col min="9480" max="9480" width="2.28515625" style="2" customWidth="1"/>
    <col min="9481" max="9481" width="2.140625" style="2" customWidth="1"/>
    <col min="9482" max="9482" width="12.28515625" style="2" customWidth="1"/>
    <col min="9483" max="9483" width="1.5703125" style="2" customWidth="1"/>
    <col min="9484" max="9484" width="12.28515625" style="2" customWidth="1"/>
    <col min="9485" max="9485" width="1.5703125" style="2" customWidth="1"/>
    <col min="9486" max="9486" width="12.28515625" style="2" customWidth="1"/>
    <col min="9487" max="9487" width="1.5703125" style="2" customWidth="1"/>
    <col min="9488" max="9488" width="13.5703125" style="2" customWidth="1"/>
    <col min="9489" max="9489" width="0.85546875" style="2" customWidth="1"/>
    <col min="9490" max="9490" width="12.28515625" style="2" customWidth="1"/>
    <col min="9491" max="9491" width="1.5703125" style="2" customWidth="1"/>
    <col min="9492" max="9492" width="12.28515625" style="2" customWidth="1"/>
    <col min="9493" max="9493" width="1.5703125" style="2" customWidth="1"/>
    <col min="9494" max="9494" width="12.28515625" style="2" customWidth="1"/>
    <col min="9495" max="9495" width="0.85546875" style="2" customWidth="1"/>
    <col min="9496" max="9496" width="12.28515625" style="2" customWidth="1"/>
    <col min="9497" max="9497" width="1.5703125" style="2" customWidth="1"/>
    <col min="9498" max="9498" width="12.28515625" style="2" customWidth="1"/>
    <col min="9499" max="9499" width="1.5703125" style="2" customWidth="1"/>
    <col min="9500" max="9500" width="12.28515625" style="2" customWidth="1"/>
    <col min="9501" max="9501" width="0.85546875" style="2" customWidth="1"/>
    <col min="9502" max="9502" width="12.28515625" style="2" customWidth="1"/>
    <col min="9503" max="9503" width="1.5703125" style="2" customWidth="1"/>
    <col min="9504" max="9504" width="12.28515625" style="2" customWidth="1"/>
    <col min="9505" max="9505" width="1.5703125" style="2" customWidth="1"/>
    <col min="9506" max="9506" width="12.28515625" style="2" customWidth="1"/>
    <col min="9507" max="9507" width="4.5703125" style="2" customWidth="1"/>
    <col min="9508" max="9508" width="1.42578125" style="2" customWidth="1"/>
    <col min="9509" max="9731" width="13.85546875" style="2"/>
    <col min="9732" max="9732" width="7.85546875" style="2" customWidth="1"/>
    <col min="9733" max="9734" width="2.28515625" style="2" customWidth="1"/>
    <col min="9735" max="9735" width="31.42578125" style="2" customWidth="1"/>
    <col min="9736" max="9736" width="2.28515625" style="2" customWidth="1"/>
    <col min="9737" max="9737" width="2.140625" style="2" customWidth="1"/>
    <col min="9738" max="9738" width="12.28515625" style="2" customWidth="1"/>
    <col min="9739" max="9739" width="1.5703125" style="2" customWidth="1"/>
    <col min="9740" max="9740" width="12.28515625" style="2" customWidth="1"/>
    <col min="9741" max="9741" width="1.5703125" style="2" customWidth="1"/>
    <col min="9742" max="9742" width="12.28515625" style="2" customWidth="1"/>
    <col min="9743" max="9743" width="1.5703125" style="2" customWidth="1"/>
    <col min="9744" max="9744" width="13.5703125" style="2" customWidth="1"/>
    <col min="9745" max="9745" width="0.85546875" style="2" customWidth="1"/>
    <col min="9746" max="9746" width="12.28515625" style="2" customWidth="1"/>
    <col min="9747" max="9747" width="1.5703125" style="2" customWidth="1"/>
    <col min="9748" max="9748" width="12.28515625" style="2" customWidth="1"/>
    <col min="9749" max="9749" width="1.5703125" style="2" customWidth="1"/>
    <col min="9750" max="9750" width="12.28515625" style="2" customWidth="1"/>
    <col min="9751" max="9751" width="0.85546875" style="2" customWidth="1"/>
    <col min="9752" max="9752" width="12.28515625" style="2" customWidth="1"/>
    <col min="9753" max="9753" width="1.5703125" style="2" customWidth="1"/>
    <col min="9754" max="9754" width="12.28515625" style="2" customWidth="1"/>
    <col min="9755" max="9755" width="1.5703125" style="2" customWidth="1"/>
    <col min="9756" max="9756" width="12.28515625" style="2" customWidth="1"/>
    <col min="9757" max="9757" width="0.85546875" style="2" customWidth="1"/>
    <col min="9758" max="9758" width="12.28515625" style="2" customWidth="1"/>
    <col min="9759" max="9759" width="1.5703125" style="2" customWidth="1"/>
    <col min="9760" max="9760" width="12.28515625" style="2" customWidth="1"/>
    <col min="9761" max="9761" width="1.5703125" style="2" customWidth="1"/>
    <col min="9762" max="9762" width="12.28515625" style="2" customWidth="1"/>
    <col min="9763" max="9763" width="4.5703125" style="2" customWidth="1"/>
    <col min="9764" max="9764" width="1.42578125" style="2" customWidth="1"/>
    <col min="9765" max="9987" width="13.85546875" style="2"/>
    <col min="9988" max="9988" width="7.85546875" style="2" customWidth="1"/>
    <col min="9989" max="9990" width="2.28515625" style="2" customWidth="1"/>
    <col min="9991" max="9991" width="31.42578125" style="2" customWidth="1"/>
    <col min="9992" max="9992" width="2.28515625" style="2" customWidth="1"/>
    <col min="9993" max="9993" width="2.140625" style="2" customWidth="1"/>
    <col min="9994" max="9994" width="12.28515625" style="2" customWidth="1"/>
    <col min="9995" max="9995" width="1.5703125" style="2" customWidth="1"/>
    <col min="9996" max="9996" width="12.28515625" style="2" customWidth="1"/>
    <col min="9997" max="9997" width="1.5703125" style="2" customWidth="1"/>
    <col min="9998" max="9998" width="12.28515625" style="2" customWidth="1"/>
    <col min="9999" max="9999" width="1.5703125" style="2" customWidth="1"/>
    <col min="10000" max="10000" width="13.5703125" style="2" customWidth="1"/>
    <col min="10001" max="10001" width="0.85546875" style="2" customWidth="1"/>
    <col min="10002" max="10002" width="12.28515625" style="2" customWidth="1"/>
    <col min="10003" max="10003" width="1.5703125" style="2" customWidth="1"/>
    <col min="10004" max="10004" width="12.28515625" style="2" customWidth="1"/>
    <col min="10005" max="10005" width="1.5703125" style="2" customWidth="1"/>
    <col min="10006" max="10006" width="12.28515625" style="2" customWidth="1"/>
    <col min="10007" max="10007" width="0.85546875" style="2" customWidth="1"/>
    <col min="10008" max="10008" width="12.28515625" style="2" customWidth="1"/>
    <col min="10009" max="10009" width="1.5703125" style="2" customWidth="1"/>
    <col min="10010" max="10010" width="12.28515625" style="2" customWidth="1"/>
    <col min="10011" max="10011" width="1.5703125" style="2" customWidth="1"/>
    <col min="10012" max="10012" width="12.28515625" style="2" customWidth="1"/>
    <col min="10013" max="10013" width="0.85546875" style="2" customWidth="1"/>
    <col min="10014" max="10014" width="12.28515625" style="2" customWidth="1"/>
    <col min="10015" max="10015" width="1.5703125" style="2" customWidth="1"/>
    <col min="10016" max="10016" width="12.28515625" style="2" customWidth="1"/>
    <col min="10017" max="10017" width="1.5703125" style="2" customWidth="1"/>
    <col min="10018" max="10018" width="12.28515625" style="2" customWidth="1"/>
    <col min="10019" max="10019" width="4.5703125" style="2" customWidth="1"/>
    <col min="10020" max="10020" width="1.42578125" style="2" customWidth="1"/>
    <col min="10021" max="10243" width="13.85546875" style="2"/>
    <col min="10244" max="10244" width="7.85546875" style="2" customWidth="1"/>
    <col min="10245" max="10246" width="2.28515625" style="2" customWidth="1"/>
    <col min="10247" max="10247" width="31.42578125" style="2" customWidth="1"/>
    <col min="10248" max="10248" width="2.28515625" style="2" customWidth="1"/>
    <col min="10249" max="10249" width="2.140625" style="2" customWidth="1"/>
    <col min="10250" max="10250" width="12.28515625" style="2" customWidth="1"/>
    <col min="10251" max="10251" width="1.5703125" style="2" customWidth="1"/>
    <col min="10252" max="10252" width="12.28515625" style="2" customWidth="1"/>
    <col min="10253" max="10253" width="1.5703125" style="2" customWidth="1"/>
    <col min="10254" max="10254" width="12.28515625" style="2" customWidth="1"/>
    <col min="10255" max="10255" width="1.5703125" style="2" customWidth="1"/>
    <col min="10256" max="10256" width="13.5703125" style="2" customWidth="1"/>
    <col min="10257" max="10257" width="0.85546875" style="2" customWidth="1"/>
    <col min="10258" max="10258" width="12.28515625" style="2" customWidth="1"/>
    <col min="10259" max="10259" width="1.5703125" style="2" customWidth="1"/>
    <col min="10260" max="10260" width="12.28515625" style="2" customWidth="1"/>
    <col min="10261" max="10261" width="1.5703125" style="2" customWidth="1"/>
    <col min="10262" max="10262" width="12.28515625" style="2" customWidth="1"/>
    <col min="10263" max="10263" width="0.85546875" style="2" customWidth="1"/>
    <col min="10264" max="10264" width="12.28515625" style="2" customWidth="1"/>
    <col min="10265" max="10265" width="1.5703125" style="2" customWidth="1"/>
    <col min="10266" max="10266" width="12.28515625" style="2" customWidth="1"/>
    <col min="10267" max="10267" width="1.5703125" style="2" customWidth="1"/>
    <col min="10268" max="10268" width="12.28515625" style="2" customWidth="1"/>
    <col min="10269" max="10269" width="0.85546875" style="2" customWidth="1"/>
    <col min="10270" max="10270" width="12.28515625" style="2" customWidth="1"/>
    <col min="10271" max="10271" width="1.5703125" style="2" customWidth="1"/>
    <col min="10272" max="10272" width="12.28515625" style="2" customWidth="1"/>
    <col min="10273" max="10273" width="1.5703125" style="2" customWidth="1"/>
    <col min="10274" max="10274" width="12.28515625" style="2" customWidth="1"/>
    <col min="10275" max="10275" width="4.5703125" style="2" customWidth="1"/>
    <col min="10276" max="10276" width="1.42578125" style="2" customWidth="1"/>
    <col min="10277" max="10499" width="13.85546875" style="2"/>
    <col min="10500" max="10500" width="7.85546875" style="2" customWidth="1"/>
    <col min="10501" max="10502" width="2.28515625" style="2" customWidth="1"/>
    <col min="10503" max="10503" width="31.42578125" style="2" customWidth="1"/>
    <col min="10504" max="10504" width="2.28515625" style="2" customWidth="1"/>
    <col min="10505" max="10505" width="2.140625" style="2" customWidth="1"/>
    <col min="10506" max="10506" width="12.28515625" style="2" customWidth="1"/>
    <col min="10507" max="10507" width="1.5703125" style="2" customWidth="1"/>
    <col min="10508" max="10508" width="12.28515625" style="2" customWidth="1"/>
    <col min="10509" max="10509" width="1.5703125" style="2" customWidth="1"/>
    <col min="10510" max="10510" width="12.28515625" style="2" customWidth="1"/>
    <col min="10511" max="10511" width="1.5703125" style="2" customWidth="1"/>
    <col min="10512" max="10512" width="13.5703125" style="2" customWidth="1"/>
    <col min="10513" max="10513" width="0.85546875" style="2" customWidth="1"/>
    <col min="10514" max="10514" width="12.28515625" style="2" customWidth="1"/>
    <col min="10515" max="10515" width="1.5703125" style="2" customWidth="1"/>
    <col min="10516" max="10516" width="12.28515625" style="2" customWidth="1"/>
    <col min="10517" max="10517" width="1.5703125" style="2" customWidth="1"/>
    <col min="10518" max="10518" width="12.28515625" style="2" customWidth="1"/>
    <col min="10519" max="10519" width="0.85546875" style="2" customWidth="1"/>
    <col min="10520" max="10520" width="12.28515625" style="2" customWidth="1"/>
    <col min="10521" max="10521" width="1.5703125" style="2" customWidth="1"/>
    <col min="10522" max="10522" width="12.28515625" style="2" customWidth="1"/>
    <col min="10523" max="10523" width="1.5703125" style="2" customWidth="1"/>
    <col min="10524" max="10524" width="12.28515625" style="2" customWidth="1"/>
    <col min="10525" max="10525" width="0.85546875" style="2" customWidth="1"/>
    <col min="10526" max="10526" width="12.28515625" style="2" customWidth="1"/>
    <col min="10527" max="10527" width="1.5703125" style="2" customWidth="1"/>
    <col min="10528" max="10528" width="12.28515625" style="2" customWidth="1"/>
    <col min="10529" max="10529" width="1.5703125" style="2" customWidth="1"/>
    <col min="10530" max="10530" width="12.28515625" style="2" customWidth="1"/>
    <col min="10531" max="10531" width="4.5703125" style="2" customWidth="1"/>
    <col min="10532" max="10532" width="1.42578125" style="2" customWidth="1"/>
    <col min="10533" max="10755" width="13.85546875" style="2"/>
    <col min="10756" max="10756" width="7.85546875" style="2" customWidth="1"/>
    <col min="10757" max="10758" width="2.28515625" style="2" customWidth="1"/>
    <col min="10759" max="10759" width="31.42578125" style="2" customWidth="1"/>
    <col min="10760" max="10760" width="2.28515625" style="2" customWidth="1"/>
    <col min="10761" max="10761" width="2.140625" style="2" customWidth="1"/>
    <col min="10762" max="10762" width="12.28515625" style="2" customWidth="1"/>
    <col min="10763" max="10763" width="1.5703125" style="2" customWidth="1"/>
    <col min="10764" max="10764" width="12.28515625" style="2" customWidth="1"/>
    <col min="10765" max="10765" width="1.5703125" style="2" customWidth="1"/>
    <col min="10766" max="10766" width="12.28515625" style="2" customWidth="1"/>
    <col min="10767" max="10767" width="1.5703125" style="2" customWidth="1"/>
    <col min="10768" max="10768" width="13.5703125" style="2" customWidth="1"/>
    <col min="10769" max="10769" width="0.85546875" style="2" customWidth="1"/>
    <col min="10770" max="10770" width="12.28515625" style="2" customWidth="1"/>
    <col min="10771" max="10771" width="1.5703125" style="2" customWidth="1"/>
    <col min="10772" max="10772" width="12.28515625" style="2" customWidth="1"/>
    <col min="10773" max="10773" width="1.5703125" style="2" customWidth="1"/>
    <col min="10774" max="10774" width="12.28515625" style="2" customWidth="1"/>
    <col min="10775" max="10775" width="0.85546875" style="2" customWidth="1"/>
    <col min="10776" max="10776" width="12.28515625" style="2" customWidth="1"/>
    <col min="10777" max="10777" width="1.5703125" style="2" customWidth="1"/>
    <col min="10778" max="10778" width="12.28515625" style="2" customWidth="1"/>
    <col min="10779" max="10779" width="1.5703125" style="2" customWidth="1"/>
    <col min="10780" max="10780" width="12.28515625" style="2" customWidth="1"/>
    <col min="10781" max="10781" width="0.85546875" style="2" customWidth="1"/>
    <col min="10782" max="10782" width="12.28515625" style="2" customWidth="1"/>
    <col min="10783" max="10783" width="1.5703125" style="2" customWidth="1"/>
    <col min="10784" max="10784" width="12.28515625" style="2" customWidth="1"/>
    <col min="10785" max="10785" width="1.5703125" style="2" customWidth="1"/>
    <col min="10786" max="10786" width="12.28515625" style="2" customWidth="1"/>
    <col min="10787" max="10787" width="4.5703125" style="2" customWidth="1"/>
    <col min="10788" max="10788" width="1.42578125" style="2" customWidth="1"/>
    <col min="10789" max="11011" width="13.85546875" style="2"/>
    <col min="11012" max="11012" width="7.85546875" style="2" customWidth="1"/>
    <col min="11013" max="11014" width="2.28515625" style="2" customWidth="1"/>
    <col min="11015" max="11015" width="31.42578125" style="2" customWidth="1"/>
    <col min="11016" max="11016" width="2.28515625" style="2" customWidth="1"/>
    <col min="11017" max="11017" width="2.140625" style="2" customWidth="1"/>
    <col min="11018" max="11018" width="12.28515625" style="2" customWidth="1"/>
    <col min="11019" max="11019" width="1.5703125" style="2" customWidth="1"/>
    <col min="11020" max="11020" width="12.28515625" style="2" customWidth="1"/>
    <col min="11021" max="11021" width="1.5703125" style="2" customWidth="1"/>
    <col min="11022" max="11022" width="12.28515625" style="2" customWidth="1"/>
    <col min="11023" max="11023" width="1.5703125" style="2" customWidth="1"/>
    <col min="11024" max="11024" width="13.5703125" style="2" customWidth="1"/>
    <col min="11025" max="11025" width="0.85546875" style="2" customWidth="1"/>
    <col min="11026" max="11026" width="12.28515625" style="2" customWidth="1"/>
    <col min="11027" max="11027" width="1.5703125" style="2" customWidth="1"/>
    <col min="11028" max="11028" width="12.28515625" style="2" customWidth="1"/>
    <col min="11029" max="11029" width="1.5703125" style="2" customWidth="1"/>
    <col min="11030" max="11030" width="12.28515625" style="2" customWidth="1"/>
    <col min="11031" max="11031" width="0.85546875" style="2" customWidth="1"/>
    <col min="11032" max="11032" width="12.28515625" style="2" customWidth="1"/>
    <col min="11033" max="11033" width="1.5703125" style="2" customWidth="1"/>
    <col min="11034" max="11034" width="12.28515625" style="2" customWidth="1"/>
    <col min="11035" max="11035" width="1.5703125" style="2" customWidth="1"/>
    <col min="11036" max="11036" width="12.28515625" style="2" customWidth="1"/>
    <col min="11037" max="11037" width="0.85546875" style="2" customWidth="1"/>
    <col min="11038" max="11038" width="12.28515625" style="2" customWidth="1"/>
    <col min="11039" max="11039" width="1.5703125" style="2" customWidth="1"/>
    <col min="11040" max="11040" width="12.28515625" style="2" customWidth="1"/>
    <col min="11041" max="11041" width="1.5703125" style="2" customWidth="1"/>
    <col min="11042" max="11042" width="12.28515625" style="2" customWidth="1"/>
    <col min="11043" max="11043" width="4.5703125" style="2" customWidth="1"/>
    <col min="11044" max="11044" width="1.42578125" style="2" customWidth="1"/>
    <col min="11045" max="11267" width="13.85546875" style="2"/>
    <col min="11268" max="11268" width="7.85546875" style="2" customWidth="1"/>
    <col min="11269" max="11270" width="2.28515625" style="2" customWidth="1"/>
    <col min="11271" max="11271" width="31.42578125" style="2" customWidth="1"/>
    <col min="11272" max="11272" width="2.28515625" style="2" customWidth="1"/>
    <col min="11273" max="11273" width="2.140625" style="2" customWidth="1"/>
    <col min="11274" max="11274" width="12.28515625" style="2" customWidth="1"/>
    <col min="11275" max="11275" width="1.5703125" style="2" customWidth="1"/>
    <col min="11276" max="11276" width="12.28515625" style="2" customWidth="1"/>
    <col min="11277" max="11277" width="1.5703125" style="2" customWidth="1"/>
    <col min="11278" max="11278" width="12.28515625" style="2" customWidth="1"/>
    <col min="11279" max="11279" width="1.5703125" style="2" customWidth="1"/>
    <col min="11280" max="11280" width="13.5703125" style="2" customWidth="1"/>
    <col min="11281" max="11281" width="0.85546875" style="2" customWidth="1"/>
    <col min="11282" max="11282" width="12.28515625" style="2" customWidth="1"/>
    <col min="11283" max="11283" width="1.5703125" style="2" customWidth="1"/>
    <col min="11284" max="11284" width="12.28515625" style="2" customWidth="1"/>
    <col min="11285" max="11285" width="1.5703125" style="2" customWidth="1"/>
    <col min="11286" max="11286" width="12.28515625" style="2" customWidth="1"/>
    <col min="11287" max="11287" width="0.85546875" style="2" customWidth="1"/>
    <col min="11288" max="11288" width="12.28515625" style="2" customWidth="1"/>
    <col min="11289" max="11289" width="1.5703125" style="2" customWidth="1"/>
    <col min="11290" max="11290" width="12.28515625" style="2" customWidth="1"/>
    <col min="11291" max="11291" width="1.5703125" style="2" customWidth="1"/>
    <col min="11292" max="11292" width="12.28515625" style="2" customWidth="1"/>
    <col min="11293" max="11293" width="0.85546875" style="2" customWidth="1"/>
    <col min="11294" max="11294" width="12.28515625" style="2" customWidth="1"/>
    <col min="11295" max="11295" width="1.5703125" style="2" customWidth="1"/>
    <col min="11296" max="11296" width="12.28515625" style="2" customWidth="1"/>
    <col min="11297" max="11297" width="1.5703125" style="2" customWidth="1"/>
    <col min="11298" max="11298" width="12.28515625" style="2" customWidth="1"/>
    <col min="11299" max="11299" width="4.5703125" style="2" customWidth="1"/>
    <col min="11300" max="11300" width="1.42578125" style="2" customWidth="1"/>
    <col min="11301" max="11523" width="13.85546875" style="2"/>
    <col min="11524" max="11524" width="7.85546875" style="2" customWidth="1"/>
    <col min="11525" max="11526" width="2.28515625" style="2" customWidth="1"/>
    <col min="11527" max="11527" width="31.42578125" style="2" customWidth="1"/>
    <col min="11528" max="11528" width="2.28515625" style="2" customWidth="1"/>
    <col min="11529" max="11529" width="2.140625" style="2" customWidth="1"/>
    <col min="11530" max="11530" width="12.28515625" style="2" customWidth="1"/>
    <col min="11531" max="11531" width="1.5703125" style="2" customWidth="1"/>
    <col min="11532" max="11532" width="12.28515625" style="2" customWidth="1"/>
    <col min="11533" max="11533" width="1.5703125" style="2" customWidth="1"/>
    <col min="11534" max="11534" width="12.28515625" style="2" customWidth="1"/>
    <col min="11535" max="11535" width="1.5703125" style="2" customWidth="1"/>
    <col min="11536" max="11536" width="13.5703125" style="2" customWidth="1"/>
    <col min="11537" max="11537" width="0.85546875" style="2" customWidth="1"/>
    <col min="11538" max="11538" width="12.28515625" style="2" customWidth="1"/>
    <col min="11539" max="11539" width="1.5703125" style="2" customWidth="1"/>
    <col min="11540" max="11540" width="12.28515625" style="2" customWidth="1"/>
    <col min="11541" max="11541" width="1.5703125" style="2" customWidth="1"/>
    <col min="11542" max="11542" width="12.28515625" style="2" customWidth="1"/>
    <col min="11543" max="11543" width="0.85546875" style="2" customWidth="1"/>
    <col min="11544" max="11544" width="12.28515625" style="2" customWidth="1"/>
    <col min="11545" max="11545" width="1.5703125" style="2" customWidth="1"/>
    <col min="11546" max="11546" width="12.28515625" style="2" customWidth="1"/>
    <col min="11547" max="11547" width="1.5703125" style="2" customWidth="1"/>
    <col min="11548" max="11548" width="12.28515625" style="2" customWidth="1"/>
    <col min="11549" max="11549" width="0.85546875" style="2" customWidth="1"/>
    <col min="11550" max="11550" width="12.28515625" style="2" customWidth="1"/>
    <col min="11551" max="11551" width="1.5703125" style="2" customWidth="1"/>
    <col min="11552" max="11552" width="12.28515625" style="2" customWidth="1"/>
    <col min="11553" max="11553" width="1.5703125" style="2" customWidth="1"/>
    <col min="11554" max="11554" width="12.28515625" style="2" customWidth="1"/>
    <col min="11555" max="11555" width="4.5703125" style="2" customWidth="1"/>
    <col min="11556" max="11556" width="1.42578125" style="2" customWidth="1"/>
    <col min="11557" max="11779" width="13.85546875" style="2"/>
    <col min="11780" max="11780" width="7.85546875" style="2" customWidth="1"/>
    <col min="11781" max="11782" width="2.28515625" style="2" customWidth="1"/>
    <col min="11783" max="11783" width="31.42578125" style="2" customWidth="1"/>
    <col min="11784" max="11784" width="2.28515625" style="2" customWidth="1"/>
    <col min="11785" max="11785" width="2.140625" style="2" customWidth="1"/>
    <col min="11786" max="11786" width="12.28515625" style="2" customWidth="1"/>
    <col min="11787" max="11787" width="1.5703125" style="2" customWidth="1"/>
    <col min="11788" max="11788" width="12.28515625" style="2" customWidth="1"/>
    <col min="11789" max="11789" width="1.5703125" style="2" customWidth="1"/>
    <col min="11790" max="11790" width="12.28515625" style="2" customWidth="1"/>
    <col min="11791" max="11791" width="1.5703125" style="2" customWidth="1"/>
    <col min="11792" max="11792" width="13.5703125" style="2" customWidth="1"/>
    <col min="11793" max="11793" width="0.85546875" style="2" customWidth="1"/>
    <col min="11794" max="11794" width="12.28515625" style="2" customWidth="1"/>
    <col min="11795" max="11795" width="1.5703125" style="2" customWidth="1"/>
    <col min="11796" max="11796" width="12.28515625" style="2" customWidth="1"/>
    <col min="11797" max="11797" width="1.5703125" style="2" customWidth="1"/>
    <col min="11798" max="11798" width="12.28515625" style="2" customWidth="1"/>
    <col min="11799" max="11799" width="0.85546875" style="2" customWidth="1"/>
    <col min="11800" max="11800" width="12.28515625" style="2" customWidth="1"/>
    <col min="11801" max="11801" width="1.5703125" style="2" customWidth="1"/>
    <col min="11802" max="11802" width="12.28515625" style="2" customWidth="1"/>
    <col min="11803" max="11803" width="1.5703125" style="2" customWidth="1"/>
    <col min="11804" max="11804" width="12.28515625" style="2" customWidth="1"/>
    <col min="11805" max="11805" width="0.85546875" style="2" customWidth="1"/>
    <col min="11806" max="11806" width="12.28515625" style="2" customWidth="1"/>
    <col min="11807" max="11807" width="1.5703125" style="2" customWidth="1"/>
    <col min="11808" max="11808" width="12.28515625" style="2" customWidth="1"/>
    <col min="11809" max="11809" width="1.5703125" style="2" customWidth="1"/>
    <col min="11810" max="11810" width="12.28515625" style="2" customWidth="1"/>
    <col min="11811" max="11811" width="4.5703125" style="2" customWidth="1"/>
    <col min="11812" max="11812" width="1.42578125" style="2" customWidth="1"/>
    <col min="11813" max="12035" width="13.85546875" style="2"/>
    <col min="12036" max="12036" width="7.85546875" style="2" customWidth="1"/>
    <col min="12037" max="12038" width="2.28515625" style="2" customWidth="1"/>
    <col min="12039" max="12039" width="31.42578125" style="2" customWidth="1"/>
    <col min="12040" max="12040" width="2.28515625" style="2" customWidth="1"/>
    <col min="12041" max="12041" width="2.140625" style="2" customWidth="1"/>
    <col min="12042" max="12042" width="12.28515625" style="2" customWidth="1"/>
    <col min="12043" max="12043" width="1.5703125" style="2" customWidth="1"/>
    <col min="12044" max="12044" width="12.28515625" style="2" customWidth="1"/>
    <col min="12045" max="12045" width="1.5703125" style="2" customWidth="1"/>
    <col min="12046" max="12046" width="12.28515625" style="2" customWidth="1"/>
    <col min="12047" max="12047" width="1.5703125" style="2" customWidth="1"/>
    <col min="12048" max="12048" width="13.5703125" style="2" customWidth="1"/>
    <col min="12049" max="12049" width="0.85546875" style="2" customWidth="1"/>
    <col min="12050" max="12050" width="12.28515625" style="2" customWidth="1"/>
    <col min="12051" max="12051" width="1.5703125" style="2" customWidth="1"/>
    <col min="12052" max="12052" width="12.28515625" style="2" customWidth="1"/>
    <col min="12053" max="12053" width="1.5703125" style="2" customWidth="1"/>
    <col min="12054" max="12054" width="12.28515625" style="2" customWidth="1"/>
    <col min="12055" max="12055" width="0.85546875" style="2" customWidth="1"/>
    <col min="12056" max="12056" width="12.28515625" style="2" customWidth="1"/>
    <col min="12057" max="12057" width="1.5703125" style="2" customWidth="1"/>
    <col min="12058" max="12058" width="12.28515625" style="2" customWidth="1"/>
    <col min="12059" max="12059" width="1.5703125" style="2" customWidth="1"/>
    <col min="12060" max="12060" width="12.28515625" style="2" customWidth="1"/>
    <col min="12061" max="12061" width="0.85546875" style="2" customWidth="1"/>
    <col min="12062" max="12062" width="12.28515625" style="2" customWidth="1"/>
    <col min="12063" max="12063" width="1.5703125" style="2" customWidth="1"/>
    <col min="12064" max="12064" width="12.28515625" style="2" customWidth="1"/>
    <col min="12065" max="12065" width="1.5703125" style="2" customWidth="1"/>
    <col min="12066" max="12066" width="12.28515625" style="2" customWidth="1"/>
    <col min="12067" max="12067" width="4.5703125" style="2" customWidth="1"/>
    <col min="12068" max="12068" width="1.42578125" style="2" customWidth="1"/>
    <col min="12069" max="12291" width="13.85546875" style="2"/>
    <col min="12292" max="12292" width="7.85546875" style="2" customWidth="1"/>
    <col min="12293" max="12294" width="2.28515625" style="2" customWidth="1"/>
    <col min="12295" max="12295" width="31.42578125" style="2" customWidth="1"/>
    <col min="12296" max="12296" width="2.28515625" style="2" customWidth="1"/>
    <col min="12297" max="12297" width="2.140625" style="2" customWidth="1"/>
    <col min="12298" max="12298" width="12.28515625" style="2" customWidth="1"/>
    <col min="12299" max="12299" width="1.5703125" style="2" customWidth="1"/>
    <col min="12300" max="12300" width="12.28515625" style="2" customWidth="1"/>
    <col min="12301" max="12301" width="1.5703125" style="2" customWidth="1"/>
    <col min="12302" max="12302" width="12.28515625" style="2" customWidth="1"/>
    <col min="12303" max="12303" width="1.5703125" style="2" customWidth="1"/>
    <col min="12304" max="12304" width="13.5703125" style="2" customWidth="1"/>
    <col min="12305" max="12305" width="0.85546875" style="2" customWidth="1"/>
    <col min="12306" max="12306" width="12.28515625" style="2" customWidth="1"/>
    <col min="12307" max="12307" width="1.5703125" style="2" customWidth="1"/>
    <col min="12308" max="12308" width="12.28515625" style="2" customWidth="1"/>
    <col min="12309" max="12309" width="1.5703125" style="2" customWidth="1"/>
    <col min="12310" max="12310" width="12.28515625" style="2" customWidth="1"/>
    <col min="12311" max="12311" width="0.85546875" style="2" customWidth="1"/>
    <col min="12312" max="12312" width="12.28515625" style="2" customWidth="1"/>
    <col min="12313" max="12313" width="1.5703125" style="2" customWidth="1"/>
    <col min="12314" max="12314" width="12.28515625" style="2" customWidth="1"/>
    <col min="12315" max="12315" width="1.5703125" style="2" customWidth="1"/>
    <col min="12316" max="12316" width="12.28515625" style="2" customWidth="1"/>
    <col min="12317" max="12317" width="0.85546875" style="2" customWidth="1"/>
    <col min="12318" max="12318" width="12.28515625" style="2" customWidth="1"/>
    <col min="12319" max="12319" width="1.5703125" style="2" customWidth="1"/>
    <col min="12320" max="12320" width="12.28515625" style="2" customWidth="1"/>
    <col min="12321" max="12321" width="1.5703125" style="2" customWidth="1"/>
    <col min="12322" max="12322" width="12.28515625" style="2" customWidth="1"/>
    <col min="12323" max="12323" width="4.5703125" style="2" customWidth="1"/>
    <col min="12324" max="12324" width="1.42578125" style="2" customWidth="1"/>
    <col min="12325" max="12547" width="13.85546875" style="2"/>
    <col min="12548" max="12548" width="7.85546875" style="2" customWidth="1"/>
    <col min="12549" max="12550" width="2.28515625" style="2" customWidth="1"/>
    <col min="12551" max="12551" width="31.42578125" style="2" customWidth="1"/>
    <col min="12552" max="12552" width="2.28515625" style="2" customWidth="1"/>
    <col min="12553" max="12553" width="2.140625" style="2" customWidth="1"/>
    <col min="12554" max="12554" width="12.28515625" style="2" customWidth="1"/>
    <col min="12555" max="12555" width="1.5703125" style="2" customWidth="1"/>
    <col min="12556" max="12556" width="12.28515625" style="2" customWidth="1"/>
    <col min="12557" max="12557" width="1.5703125" style="2" customWidth="1"/>
    <col min="12558" max="12558" width="12.28515625" style="2" customWidth="1"/>
    <col min="12559" max="12559" width="1.5703125" style="2" customWidth="1"/>
    <col min="12560" max="12560" width="13.5703125" style="2" customWidth="1"/>
    <col min="12561" max="12561" width="0.85546875" style="2" customWidth="1"/>
    <col min="12562" max="12562" width="12.28515625" style="2" customWidth="1"/>
    <col min="12563" max="12563" width="1.5703125" style="2" customWidth="1"/>
    <col min="12564" max="12564" width="12.28515625" style="2" customWidth="1"/>
    <col min="12565" max="12565" width="1.5703125" style="2" customWidth="1"/>
    <col min="12566" max="12566" width="12.28515625" style="2" customWidth="1"/>
    <col min="12567" max="12567" width="0.85546875" style="2" customWidth="1"/>
    <col min="12568" max="12568" width="12.28515625" style="2" customWidth="1"/>
    <col min="12569" max="12569" width="1.5703125" style="2" customWidth="1"/>
    <col min="12570" max="12570" width="12.28515625" style="2" customWidth="1"/>
    <col min="12571" max="12571" width="1.5703125" style="2" customWidth="1"/>
    <col min="12572" max="12572" width="12.28515625" style="2" customWidth="1"/>
    <col min="12573" max="12573" width="0.85546875" style="2" customWidth="1"/>
    <col min="12574" max="12574" width="12.28515625" style="2" customWidth="1"/>
    <col min="12575" max="12575" width="1.5703125" style="2" customWidth="1"/>
    <col min="12576" max="12576" width="12.28515625" style="2" customWidth="1"/>
    <col min="12577" max="12577" width="1.5703125" style="2" customWidth="1"/>
    <col min="12578" max="12578" width="12.28515625" style="2" customWidth="1"/>
    <col min="12579" max="12579" width="4.5703125" style="2" customWidth="1"/>
    <col min="12580" max="12580" width="1.42578125" style="2" customWidth="1"/>
    <col min="12581" max="12803" width="13.85546875" style="2"/>
    <col min="12804" max="12804" width="7.85546875" style="2" customWidth="1"/>
    <col min="12805" max="12806" width="2.28515625" style="2" customWidth="1"/>
    <col min="12807" max="12807" width="31.42578125" style="2" customWidth="1"/>
    <col min="12808" max="12808" width="2.28515625" style="2" customWidth="1"/>
    <col min="12809" max="12809" width="2.140625" style="2" customWidth="1"/>
    <col min="12810" max="12810" width="12.28515625" style="2" customWidth="1"/>
    <col min="12811" max="12811" width="1.5703125" style="2" customWidth="1"/>
    <col min="12812" max="12812" width="12.28515625" style="2" customWidth="1"/>
    <col min="12813" max="12813" width="1.5703125" style="2" customWidth="1"/>
    <col min="12814" max="12814" width="12.28515625" style="2" customWidth="1"/>
    <col min="12815" max="12815" width="1.5703125" style="2" customWidth="1"/>
    <col min="12816" max="12816" width="13.5703125" style="2" customWidth="1"/>
    <col min="12817" max="12817" width="0.85546875" style="2" customWidth="1"/>
    <col min="12818" max="12818" width="12.28515625" style="2" customWidth="1"/>
    <col min="12819" max="12819" width="1.5703125" style="2" customWidth="1"/>
    <col min="12820" max="12820" width="12.28515625" style="2" customWidth="1"/>
    <col min="12821" max="12821" width="1.5703125" style="2" customWidth="1"/>
    <col min="12822" max="12822" width="12.28515625" style="2" customWidth="1"/>
    <col min="12823" max="12823" width="0.85546875" style="2" customWidth="1"/>
    <col min="12824" max="12824" width="12.28515625" style="2" customWidth="1"/>
    <col min="12825" max="12825" width="1.5703125" style="2" customWidth="1"/>
    <col min="12826" max="12826" width="12.28515625" style="2" customWidth="1"/>
    <col min="12827" max="12827" width="1.5703125" style="2" customWidth="1"/>
    <col min="12828" max="12828" width="12.28515625" style="2" customWidth="1"/>
    <col min="12829" max="12829" width="0.85546875" style="2" customWidth="1"/>
    <col min="12830" max="12830" width="12.28515625" style="2" customWidth="1"/>
    <col min="12831" max="12831" width="1.5703125" style="2" customWidth="1"/>
    <col min="12832" max="12832" width="12.28515625" style="2" customWidth="1"/>
    <col min="12833" max="12833" width="1.5703125" style="2" customWidth="1"/>
    <col min="12834" max="12834" width="12.28515625" style="2" customWidth="1"/>
    <col min="12835" max="12835" width="4.5703125" style="2" customWidth="1"/>
    <col min="12836" max="12836" width="1.42578125" style="2" customWidth="1"/>
    <col min="12837" max="13059" width="13.85546875" style="2"/>
    <col min="13060" max="13060" width="7.85546875" style="2" customWidth="1"/>
    <col min="13061" max="13062" width="2.28515625" style="2" customWidth="1"/>
    <col min="13063" max="13063" width="31.42578125" style="2" customWidth="1"/>
    <col min="13064" max="13064" width="2.28515625" style="2" customWidth="1"/>
    <col min="13065" max="13065" width="2.140625" style="2" customWidth="1"/>
    <col min="13066" max="13066" width="12.28515625" style="2" customWidth="1"/>
    <col min="13067" max="13067" width="1.5703125" style="2" customWidth="1"/>
    <col min="13068" max="13068" width="12.28515625" style="2" customWidth="1"/>
    <col min="13069" max="13069" width="1.5703125" style="2" customWidth="1"/>
    <col min="13070" max="13070" width="12.28515625" style="2" customWidth="1"/>
    <col min="13071" max="13071" width="1.5703125" style="2" customWidth="1"/>
    <col min="13072" max="13072" width="13.5703125" style="2" customWidth="1"/>
    <col min="13073" max="13073" width="0.85546875" style="2" customWidth="1"/>
    <col min="13074" max="13074" width="12.28515625" style="2" customWidth="1"/>
    <col min="13075" max="13075" width="1.5703125" style="2" customWidth="1"/>
    <col min="13076" max="13076" width="12.28515625" style="2" customWidth="1"/>
    <col min="13077" max="13077" width="1.5703125" style="2" customWidth="1"/>
    <col min="13078" max="13078" width="12.28515625" style="2" customWidth="1"/>
    <col min="13079" max="13079" width="0.85546875" style="2" customWidth="1"/>
    <col min="13080" max="13080" width="12.28515625" style="2" customWidth="1"/>
    <col min="13081" max="13081" width="1.5703125" style="2" customWidth="1"/>
    <col min="13082" max="13082" width="12.28515625" style="2" customWidth="1"/>
    <col min="13083" max="13083" width="1.5703125" style="2" customWidth="1"/>
    <col min="13084" max="13084" width="12.28515625" style="2" customWidth="1"/>
    <col min="13085" max="13085" width="0.85546875" style="2" customWidth="1"/>
    <col min="13086" max="13086" width="12.28515625" style="2" customWidth="1"/>
    <col min="13087" max="13087" width="1.5703125" style="2" customWidth="1"/>
    <col min="13088" max="13088" width="12.28515625" style="2" customWidth="1"/>
    <col min="13089" max="13089" width="1.5703125" style="2" customWidth="1"/>
    <col min="13090" max="13090" width="12.28515625" style="2" customWidth="1"/>
    <col min="13091" max="13091" width="4.5703125" style="2" customWidth="1"/>
    <col min="13092" max="13092" width="1.42578125" style="2" customWidth="1"/>
    <col min="13093" max="13315" width="13.85546875" style="2"/>
    <col min="13316" max="13316" width="7.85546875" style="2" customWidth="1"/>
    <col min="13317" max="13318" width="2.28515625" style="2" customWidth="1"/>
    <col min="13319" max="13319" width="31.42578125" style="2" customWidth="1"/>
    <col min="13320" max="13320" width="2.28515625" style="2" customWidth="1"/>
    <col min="13321" max="13321" width="2.140625" style="2" customWidth="1"/>
    <col min="13322" max="13322" width="12.28515625" style="2" customWidth="1"/>
    <col min="13323" max="13323" width="1.5703125" style="2" customWidth="1"/>
    <col min="13324" max="13324" width="12.28515625" style="2" customWidth="1"/>
    <col min="13325" max="13325" width="1.5703125" style="2" customWidth="1"/>
    <col min="13326" max="13326" width="12.28515625" style="2" customWidth="1"/>
    <col min="13327" max="13327" width="1.5703125" style="2" customWidth="1"/>
    <col min="13328" max="13328" width="13.5703125" style="2" customWidth="1"/>
    <col min="13329" max="13329" width="0.85546875" style="2" customWidth="1"/>
    <col min="13330" max="13330" width="12.28515625" style="2" customWidth="1"/>
    <col min="13331" max="13331" width="1.5703125" style="2" customWidth="1"/>
    <col min="13332" max="13332" width="12.28515625" style="2" customWidth="1"/>
    <col min="13333" max="13333" width="1.5703125" style="2" customWidth="1"/>
    <col min="13334" max="13334" width="12.28515625" style="2" customWidth="1"/>
    <col min="13335" max="13335" width="0.85546875" style="2" customWidth="1"/>
    <col min="13336" max="13336" width="12.28515625" style="2" customWidth="1"/>
    <col min="13337" max="13337" width="1.5703125" style="2" customWidth="1"/>
    <col min="13338" max="13338" width="12.28515625" style="2" customWidth="1"/>
    <col min="13339" max="13339" width="1.5703125" style="2" customWidth="1"/>
    <col min="13340" max="13340" width="12.28515625" style="2" customWidth="1"/>
    <col min="13341" max="13341" width="0.85546875" style="2" customWidth="1"/>
    <col min="13342" max="13342" width="12.28515625" style="2" customWidth="1"/>
    <col min="13343" max="13343" width="1.5703125" style="2" customWidth="1"/>
    <col min="13344" max="13344" width="12.28515625" style="2" customWidth="1"/>
    <col min="13345" max="13345" width="1.5703125" style="2" customWidth="1"/>
    <col min="13346" max="13346" width="12.28515625" style="2" customWidth="1"/>
    <col min="13347" max="13347" width="4.5703125" style="2" customWidth="1"/>
    <col min="13348" max="13348" width="1.42578125" style="2" customWidth="1"/>
    <col min="13349" max="13571" width="13.85546875" style="2"/>
    <col min="13572" max="13572" width="7.85546875" style="2" customWidth="1"/>
    <col min="13573" max="13574" width="2.28515625" style="2" customWidth="1"/>
    <col min="13575" max="13575" width="31.42578125" style="2" customWidth="1"/>
    <col min="13576" max="13576" width="2.28515625" style="2" customWidth="1"/>
    <col min="13577" max="13577" width="2.140625" style="2" customWidth="1"/>
    <col min="13578" max="13578" width="12.28515625" style="2" customWidth="1"/>
    <col min="13579" max="13579" width="1.5703125" style="2" customWidth="1"/>
    <col min="13580" max="13580" width="12.28515625" style="2" customWidth="1"/>
    <col min="13581" max="13581" width="1.5703125" style="2" customWidth="1"/>
    <col min="13582" max="13582" width="12.28515625" style="2" customWidth="1"/>
    <col min="13583" max="13583" width="1.5703125" style="2" customWidth="1"/>
    <col min="13584" max="13584" width="13.5703125" style="2" customWidth="1"/>
    <col min="13585" max="13585" width="0.85546875" style="2" customWidth="1"/>
    <col min="13586" max="13586" width="12.28515625" style="2" customWidth="1"/>
    <col min="13587" max="13587" width="1.5703125" style="2" customWidth="1"/>
    <col min="13588" max="13588" width="12.28515625" style="2" customWidth="1"/>
    <col min="13589" max="13589" width="1.5703125" style="2" customWidth="1"/>
    <col min="13590" max="13590" width="12.28515625" style="2" customWidth="1"/>
    <col min="13591" max="13591" width="0.85546875" style="2" customWidth="1"/>
    <col min="13592" max="13592" width="12.28515625" style="2" customWidth="1"/>
    <col min="13593" max="13593" width="1.5703125" style="2" customWidth="1"/>
    <col min="13594" max="13594" width="12.28515625" style="2" customWidth="1"/>
    <col min="13595" max="13595" width="1.5703125" style="2" customWidth="1"/>
    <col min="13596" max="13596" width="12.28515625" style="2" customWidth="1"/>
    <col min="13597" max="13597" width="0.85546875" style="2" customWidth="1"/>
    <col min="13598" max="13598" width="12.28515625" style="2" customWidth="1"/>
    <col min="13599" max="13599" width="1.5703125" style="2" customWidth="1"/>
    <col min="13600" max="13600" width="12.28515625" style="2" customWidth="1"/>
    <col min="13601" max="13601" width="1.5703125" style="2" customWidth="1"/>
    <col min="13602" max="13602" width="12.28515625" style="2" customWidth="1"/>
    <col min="13603" max="13603" width="4.5703125" style="2" customWidth="1"/>
    <col min="13604" max="13604" width="1.42578125" style="2" customWidth="1"/>
    <col min="13605" max="13827" width="13.85546875" style="2"/>
    <col min="13828" max="13828" width="7.85546875" style="2" customWidth="1"/>
    <col min="13829" max="13830" width="2.28515625" style="2" customWidth="1"/>
    <col min="13831" max="13831" width="31.42578125" style="2" customWidth="1"/>
    <col min="13832" max="13832" width="2.28515625" style="2" customWidth="1"/>
    <col min="13833" max="13833" width="2.140625" style="2" customWidth="1"/>
    <col min="13834" max="13834" width="12.28515625" style="2" customWidth="1"/>
    <col min="13835" max="13835" width="1.5703125" style="2" customWidth="1"/>
    <col min="13836" max="13836" width="12.28515625" style="2" customWidth="1"/>
    <col min="13837" max="13837" width="1.5703125" style="2" customWidth="1"/>
    <col min="13838" max="13838" width="12.28515625" style="2" customWidth="1"/>
    <col min="13839" max="13839" width="1.5703125" style="2" customWidth="1"/>
    <col min="13840" max="13840" width="13.5703125" style="2" customWidth="1"/>
    <col min="13841" max="13841" width="0.85546875" style="2" customWidth="1"/>
    <col min="13842" max="13842" width="12.28515625" style="2" customWidth="1"/>
    <col min="13843" max="13843" width="1.5703125" style="2" customWidth="1"/>
    <col min="13844" max="13844" width="12.28515625" style="2" customWidth="1"/>
    <col min="13845" max="13845" width="1.5703125" style="2" customWidth="1"/>
    <col min="13846" max="13846" width="12.28515625" style="2" customWidth="1"/>
    <col min="13847" max="13847" width="0.85546875" style="2" customWidth="1"/>
    <col min="13848" max="13848" width="12.28515625" style="2" customWidth="1"/>
    <col min="13849" max="13849" width="1.5703125" style="2" customWidth="1"/>
    <col min="13850" max="13850" width="12.28515625" style="2" customWidth="1"/>
    <col min="13851" max="13851" width="1.5703125" style="2" customWidth="1"/>
    <col min="13852" max="13852" width="12.28515625" style="2" customWidth="1"/>
    <col min="13853" max="13853" width="0.85546875" style="2" customWidth="1"/>
    <col min="13854" max="13854" width="12.28515625" style="2" customWidth="1"/>
    <col min="13855" max="13855" width="1.5703125" style="2" customWidth="1"/>
    <col min="13856" max="13856" width="12.28515625" style="2" customWidth="1"/>
    <col min="13857" max="13857" width="1.5703125" style="2" customWidth="1"/>
    <col min="13858" max="13858" width="12.28515625" style="2" customWidth="1"/>
    <col min="13859" max="13859" width="4.5703125" style="2" customWidth="1"/>
    <col min="13860" max="13860" width="1.42578125" style="2" customWidth="1"/>
    <col min="13861" max="14083" width="13.85546875" style="2"/>
    <col min="14084" max="14084" width="7.85546875" style="2" customWidth="1"/>
    <col min="14085" max="14086" width="2.28515625" style="2" customWidth="1"/>
    <col min="14087" max="14087" width="31.42578125" style="2" customWidth="1"/>
    <col min="14088" max="14088" width="2.28515625" style="2" customWidth="1"/>
    <col min="14089" max="14089" width="2.140625" style="2" customWidth="1"/>
    <col min="14090" max="14090" width="12.28515625" style="2" customWidth="1"/>
    <col min="14091" max="14091" width="1.5703125" style="2" customWidth="1"/>
    <col min="14092" max="14092" width="12.28515625" style="2" customWidth="1"/>
    <col min="14093" max="14093" width="1.5703125" style="2" customWidth="1"/>
    <col min="14094" max="14094" width="12.28515625" style="2" customWidth="1"/>
    <col min="14095" max="14095" width="1.5703125" style="2" customWidth="1"/>
    <col min="14096" max="14096" width="13.5703125" style="2" customWidth="1"/>
    <col min="14097" max="14097" width="0.85546875" style="2" customWidth="1"/>
    <col min="14098" max="14098" width="12.28515625" style="2" customWidth="1"/>
    <col min="14099" max="14099" width="1.5703125" style="2" customWidth="1"/>
    <col min="14100" max="14100" width="12.28515625" style="2" customWidth="1"/>
    <col min="14101" max="14101" width="1.5703125" style="2" customWidth="1"/>
    <col min="14102" max="14102" width="12.28515625" style="2" customWidth="1"/>
    <col min="14103" max="14103" width="0.85546875" style="2" customWidth="1"/>
    <col min="14104" max="14104" width="12.28515625" style="2" customWidth="1"/>
    <col min="14105" max="14105" width="1.5703125" style="2" customWidth="1"/>
    <col min="14106" max="14106" width="12.28515625" style="2" customWidth="1"/>
    <col min="14107" max="14107" width="1.5703125" style="2" customWidth="1"/>
    <col min="14108" max="14108" width="12.28515625" style="2" customWidth="1"/>
    <col min="14109" max="14109" width="0.85546875" style="2" customWidth="1"/>
    <col min="14110" max="14110" width="12.28515625" style="2" customWidth="1"/>
    <col min="14111" max="14111" width="1.5703125" style="2" customWidth="1"/>
    <col min="14112" max="14112" width="12.28515625" style="2" customWidth="1"/>
    <col min="14113" max="14113" width="1.5703125" style="2" customWidth="1"/>
    <col min="14114" max="14114" width="12.28515625" style="2" customWidth="1"/>
    <col min="14115" max="14115" width="4.5703125" style="2" customWidth="1"/>
    <col min="14116" max="14116" width="1.42578125" style="2" customWidth="1"/>
    <col min="14117" max="14339" width="13.85546875" style="2"/>
    <col min="14340" max="14340" width="7.85546875" style="2" customWidth="1"/>
    <col min="14341" max="14342" width="2.28515625" style="2" customWidth="1"/>
    <col min="14343" max="14343" width="31.42578125" style="2" customWidth="1"/>
    <col min="14344" max="14344" width="2.28515625" style="2" customWidth="1"/>
    <col min="14345" max="14345" width="2.140625" style="2" customWidth="1"/>
    <col min="14346" max="14346" width="12.28515625" style="2" customWidth="1"/>
    <col min="14347" max="14347" width="1.5703125" style="2" customWidth="1"/>
    <col min="14348" max="14348" width="12.28515625" style="2" customWidth="1"/>
    <col min="14349" max="14349" width="1.5703125" style="2" customWidth="1"/>
    <col min="14350" max="14350" width="12.28515625" style="2" customWidth="1"/>
    <col min="14351" max="14351" width="1.5703125" style="2" customWidth="1"/>
    <col min="14352" max="14352" width="13.5703125" style="2" customWidth="1"/>
    <col min="14353" max="14353" width="0.85546875" style="2" customWidth="1"/>
    <col min="14354" max="14354" width="12.28515625" style="2" customWidth="1"/>
    <col min="14355" max="14355" width="1.5703125" style="2" customWidth="1"/>
    <col min="14356" max="14356" width="12.28515625" style="2" customWidth="1"/>
    <col min="14357" max="14357" width="1.5703125" style="2" customWidth="1"/>
    <col min="14358" max="14358" width="12.28515625" style="2" customWidth="1"/>
    <col min="14359" max="14359" width="0.85546875" style="2" customWidth="1"/>
    <col min="14360" max="14360" width="12.28515625" style="2" customWidth="1"/>
    <col min="14361" max="14361" width="1.5703125" style="2" customWidth="1"/>
    <col min="14362" max="14362" width="12.28515625" style="2" customWidth="1"/>
    <col min="14363" max="14363" width="1.5703125" style="2" customWidth="1"/>
    <col min="14364" max="14364" width="12.28515625" style="2" customWidth="1"/>
    <col min="14365" max="14365" width="0.85546875" style="2" customWidth="1"/>
    <col min="14366" max="14366" width="12.28515625" style="2" customWidth="1"/>
    <col min="14367" max="14367" width="1.5703125" style="2" customWidth="1"/>
    <col min="14368" max="14368" width="12.28515625" style="2" customWidth="1"/>
    <col min="14369" max="14369" width="1.5703125" style="2" customWidth="1"/>
    <col min="14370" max="14370" width="12.28515625" style="2" customWidth="1"/>
    <col min="14371" max="14371" width="4.5703125" style="2" customWidth="1"/>
    <col min="14372" max="14372" width="1.42578125" style="2" customWidth="1"/>
    <col min="14373" max="14595" width="13.85546875" style="2"/>
    <col min="14596" max="14596" width="7.85546875" style="2" customWidth="1"/>
    <col min="14597" max="14598" width="2.28515625" style="2" customWidth="1"/>
    <col min="14599" max="14599" width="31.42578125" style="2" customWidth="1"/>
    <col min="14600" max="14600" width="2.28515625" style="2" customWidth="1"/>
    <col min="14601" max="14601" width="2.140625" style="2" customWidth="1"/>
    <col min="14602" max="14602" width="12.28515625" style="2" customWidth="1"/>
    <col min="14603" max="14603" width="1.5703125" style="2" customWidth="1"/>
    <col min="14604" max="14604" width="12.28515625" style="2" customWidth="1"/>
    <col min="14605" max="14605" width="1.5703125" style="2" customWidth="1"/>
    <col min="14606" max="14606" width="12.28515625" style="2" customWidth="1"/>
    <col min="14607" max="14607" width="1.5703125" style="2" customWidth="1"/>
    <col min="14608" max="14608" width="13.5703125" style="2" customWidth="1"/>
    <col min="14609" max="14609" width="0.85546875" style="2" customWidth="1"/>
    <col min="14610" max="14610" width="12.28515625" style="2" customWidth="1"/>
    <col min="14611" max="14611" width="1.5703125" style="2" customWidth="1"/>
    <col min="14612" max="14612" width="12.28515625" style="2" customWidth="1"/>
    <col min="14613" max="14613" width="1.5703125" style="2" customWidth="1"/>
    <col min="14614" max="14614" width="12.28515625" style="2" customWidth="1"/>
    <col min="14615" max="14615" width="0.85546875" style="2" customWidth="1"/>
    <col min="14616" max="14616" width="12.28515625" style="2" customWidth="1"/>
    <col min="14617" max="14617" width="1.5703125" style="2" customWidth="1"/>
    <col min="14618" max="14618" width="12.28515625" style="2" customWidth="1"/>
    <col min="14619" max="14619" width="1.5703125" style="2" customWidth="1"/>
    <col min="14620" max="14620" width="12.28515625" style="2" customWidth="1"/>
    <col min="14621" max="14621" width="0.85546875" style="2" customWidth="1"/>
    <col min="14622" max="14622" width="12.28515625" style="2" customWidth="1"/>
    <col min="14623" max="14623" width="1.5703125" style="2" customWidth="1"/>
    <col min="14624" max="14624" width="12.28515625" style="2" customWidth="1"/>
    <col min="14625" max="14625" width="1.5703125" style="2" customWidth="1"/>
    <col min="14626" max="14626" width="12.28515625" style="2" customWidth="1"/>
    <col min="14627" max="14627" width="4.5703125" style="2" customWidth="1"/>
    <col min="14628" max="14628" width="1.42578125" style="2" customWidth="1"/>
    <col min="14629" max="14851" width="13.85546875" style="2"/>
    <col min="14852" max="14852" width="7.85546875" style="2" customWidth="1"/>
    <col min="14853" max="14854" width="2.28515625" style="2" customWidth="1"/>
    <col min="14855" max="14855" width="31.42578125" style="2" customWidth="1"/>
    <col min="14856" max="14856" width="2.28515625" style="2" customWidth="1"/>
    <col min="14857" max="14857" width="2.140625" style="2" customWidth="1"/>
    <col min="14858" max="14858" width="12.28515625" style="2" customWidth="1"/>
    <col min="14859" max="14859" width="1.5703125" style="2" customWidth="1"/>
    <col min="14860" max="14860" width="12.28515625" style="2" customWidth="1"/>
    <col min="14861" max="14861" width="1.5703125" style="2" customWidth="1"/>
    <col min="14862" max="14862" width="12.28515625" style="2" customWidth="1"/>
    <col min="14863" max="14863" width="1.5703125" style="2" customWidth="1"/>
    <col min="14864" max="14864" width="13.5703125" style="2" customWidth="1"/>
    <col min="14865" max="14865" width="0.85546875" style="2" customWidth="1"/>
    <col min="14866" max="14866" width="12.28515625" style="2" customWidth="1"/>
    <col min="14867" max="14867" width="1.5703125" style="2" customWidth="1"/>
    <col min="14868" max="14868" width="12.28515625" style="2" customWidth="1"/>
    <col min="14869" max="14869" width="1.5703125" style="2" customWidth="1"/>
    <col min="14870" max="14870" width="12.28515625" style="2" customWidth="1"/>
    <col min="14871" max="14871" width="0.85546875" style="2" customWidth="1"/>
    <col min="14872" max="14872" width="12.28515625" style="2" customWidth="1"/>
    <col min="14873" max="14873" width="1.5703125" style="2" customWidth="1"/>
    <col min="14874" max="14874" width="12.28515625" style="2" customWidth="1"/>
    <col min="14875" max="14875" width="1.5703125" style="2" customWidth="1"/>
    <col min="14876" max="14876" width="12.28515625" style="2" customWidth="1"/>
    <col min="14877" max="14877" width="0.85546875" style="2" customWidth="1"/>
    <col min="14878" max="14878" width="12.28515625" style="2" customWidth="1"/>
    <col min="14879" max="14879" width="1.5703125" style="2" customWidth="1"/>
    <col min="14880" max="14880" width="12.28515625" style="2" customWidth="1"/>
    <col min="14881" max="14881" width="1.5703125" style="2" customWidth="1"/>
    <col min="14882" max="14882" width="12.28515625" style="2" customWidth="1"/>
    <col min="14883" max="14883" width="4.5703125" style="2" customWidth="1"/>
    <col min="14884" max="14884" width="1.42578125" style="2" customWidth="1"/>
    <col min="14885" max="15107" width="13.85546875" style="2"/>
    <col min="15108" max="15108" width="7.85546875" style="2" customWidth="1"/>
    <col min="15109" max="15110" width="2.28515625" style="2" customWidth="1"/>
    <col min="15111" max="15111" width="31.42578125" style="2" customWidth="1"/>
    <col min="15112" max="15112" width="2.28515625" style="2" customWidth="1"/>
    <col min="15113" max="15113" width="2.140625" style="2" customWidth="1"/>
    <col min="15114" max="15114" width="12.28515625" style="2" customWidth="1"/>
    <col min="15115" max="15115" width="1.5703125" style="2" customWidth="1"/>
    <col min="15116" max="15116" width="12.28515625" style="2" customWidth="1"/>
    <col min="15117" max="15117" width="1.5703125" style="2" customWidth="1"/>
    <col min="15118" max="15118" width="12.28515625" style="2" customWidth="1"/>
    <col min="15119" max="15119" width="1.5703125" style="2" customWidth="1"/>
    <col min="15120" max="15120" width="13.5703125" style="2" customWidth="1"/>
    <col min="15121" max="15121" width="0.85546875" style="2" customWidth="1"/>
    <col min="15122" max="15122" width="12.28515625" style="2" customWidth="1"/>
    <col min="15123" max="15123" width="1.5703125" style="2" customWidth="1"/>
    <col min="15124" max="15124" width="12.28515625" style="2" customWidth="1"/>
    <col min="15125" max="15125" width="1.5703125" style="2" customWidth="1"/>
    <col min="15126" max="15126" width="12.28515625" style="2" customWidth="1"/>
    <col min="15127" max="15127" width="0.85546875" style="2" customWidth="1"/>
    <col min="15128" max="15128" width="12.28515625" style="2" customWidth="1"/>
    <col min="15129" max="15129" width="1.5703125" style="2" customWidth="1"/>
    <col min="15130" max="15130" width="12.28515625" style="2" customWidth="1"/>
    <col min="15131" max="15131" width="1.5703125" style="2" customWidth="1"/>
    <col min="15132" max="15132" width="12.28515625" style="2" customWidth="1"/>
    <col min="15133" max="15133" width="0.85546875" style="2" customWidth="1"/>
    <col min="15134" max="15134" width="12.28515625" style="2" customWidth="1"/>
    <col min="15135" max="15135" width="1.5703125" style="2" customWidth="1"/>
    <col min="15136" max="15136" width="12.28515625" style="2" customWidth="1"/>
    <col min="15137" max="15137" width="1.5703125" style="2" customWidth="1"/>
    <col min="15138" max="15138" width="12.28515625" style="2" customWidth="1"/>
    <col min="15139" max="15139" width="4.5703125" style="2" customWidth="1"/>
    <col min="15140" max="15140" width="1.42578125" style="2" customWidth="1"/>
    <col min="15141" max="15363" width="13.85546875" style="2"/>
    <col min="15364" max="15364" width="7.85546875" style="2" customWidth="1"/>
    <col min="15365" max="15366" width="2.28515625" style="2" customWidth="1"/>
    <col min="15367" max="15367" width="31.42578125" style="2" customWidth="1"/>
    <col min="15368" max="15368" width="2.28515625" style="2" customWidth="1"/>
    <col min="15369" max="15369" width="2.140625" style="2" customWidth="1"/>
    <col min="15370" max="15370" width="12.28515625" style="2" customWidth="1"/>
    <col min="15371" max="15371" width="1.5703125" style="2" customWidth="1"/>
    <col min="15372" max="15372" width="12.28515625" style="2" customWidth="1"/>
    <col min="15373" max="15373" width="1.5703125" style="2" customWidth="1"/>
    <col min="15374" max="15374" width="12.28515625" style="2" customWidth="1"/>
    <col min="15375" max="15375" width="1.5703125" style="2" customWidth="1"/>
    <col min="15376" max="15376" width="13.5703125" style="2" customWidth="1"/>
    <col min="15377" max="15377" width="0.85546875" style="2" customWidth="1"/>
    <col min="15378" max="15378" width="12.28515625" style="2" customWidth="1"/>
    <col min="15379" max="15379" width="1.5703125" style="2" customWidth="1"/>
    <col min="15380" max="15380" width="12.28515625" style="2" customWidth="1"/>
    <col min="15381" max="15381" width="1.5703125" style="2" customWidth="1"/>
    <col min="15382" max="15382" width="12.28515625" style="2" customWidth="1"/>
    <col min="15383" max="15383" width="0.85546875" style="2" customWidth="1"/>
    <col min="15384" max="15384" width="12.28515625" style="2" customWidth="1"/>
    <col min="15385" max="15385" width="1.5703125" style="2" customWidth="1"/>
    <col min="15386" max="15386" width="12.28515625" style="2" customWidth="1"/>
    <col min="15387" max="15387" width="1.5703125" style="2" customWidth="1"/>
    <col min="15388" max="15388" width="12.28515625" style="2" customWidth="1"/>
    <col min="15389" max="15389" width="0.85546875" style="2" customWidth="1"/>
    <col min="15390" max="15390" width="12.28515625" style="2" customWidth="1"/>
    <col min="15391" max="15391" width="1.5703125" style="2" customWidth="1"/>
    <col min="15392" max="15392" width="12.28515625" style="2" customWidth="1"/>
    <col min="15393" max="15393" width="1.5703125" style="2" customWidth="1"/>
    <col min="15394" max="15394" width="12.28515625" style="2" customWidth="1"/>
    <col min="15395" max="15395" width="4.5703125" style="2" customWidth="1"/>
    <col min="15396" max="15396" width="1.42578125" style="2" customWidth="1"/>
    <col min="15397" max="15619" width="13.85546875" style="2"/>
    <col min="15620" max="15620" width="7.85546875" style="2" customWidth="1"/>
    <col min="15621" max="15622" width="2.28515625" style="2" customWidth="1"/>
    <col min="15623" max="15623" width="31.42578125" style="2" customWidth="1"/>
    <col min="15624" max="15624" width="2.28515625" style="2" customWidth="1"/>
    <col min="15625" max="15625" width="2.140625" style="2" customWidth="1"/>
    <col min="15626" max="15626" width="12.28515625" style="2" customWidth="1"/>
    <col min="15627" max="15627" width="1.5703125" style="2" customWidth="1"/>
    <col min="15628" max="15628" width="12.28515625" style="2" customWidth="1"/>
    <col min="15629" max="15629" width="1.5703125" style="2" customWidth="1"/>
    <col min="15630" max="15630" width="12.28515625" style="2" customWidth="1"/>
    <col min="15631" max="15631" width="1.5703125" style="2" customWidth="1"/>
    <col min="15632" max="15632" width="13.5703125" style="2" customWidth="1"/>
    <col min="15633" max="15633" width="0.85546875" style="2" customWidth="1"/>
    <col min="15634" max="15634" width="12.28515625" style="2" customWidth="1"/>
    <col min="15635" max="15635" width="1.5703125" style="2" customWidth="1"/>
    <col min="15636" max="15636" width="12.28515625" style="2" customWidth="1"/>
    <col min="15637" max="15637" width="1.5703125" style="2" customWidth="1"/>
    <col min="15638" max="15638" width="12.28515625" style="2" customWidth="1"/>
    <col min="15639" max="15639" width="0.85546875" style="2" customWidth="1"/>
    <col min="15640" max="15640" width="12.28515625" style="2" customWidth="1"/>
    <col min="15641" max="15641" width="1.5703125" style="2" customWidth="1"/>
    <col min="15642" max="15642" width="12.28515625" style="2" customWidth="1"/>
    <col min="15643" max="15643" width="1.5703125" style="2" customWidth="1"/>
    <col min="15644" max="15644" width="12.28515625" style="2" customWidth="1"/>
    <col min="15645" max="15645" width="0.85546875" style="2" customWidth="1"/>
    <col min="15646" max="15646" width="12.28515625" style="2" customWidth="1"/>
    <col min="15647" max="15647" width="1.5703125" style="2" customWidth="1"/>
    <col min="15648" max="15648" width="12.28515625" style="2" customWidth="1"/>
    <col min="15649" max="15649" width="1.5703125" style="2" customWidth="1"/>
    <col min="15650" max="15650" width="12.28515625" style="2" customWidth="1"/>
    <col min="15651" max="15651" width="4.5703125" style="2" customWidth="1"/>
    <col min="15652" max="15652" width="1.42578125" style="2" customWidth="1"/>
    <col min="15653" max="15875" width="13.85546875" style="2"/>
    <col min="15876" max="15876" width="7.85546875" style="2" customWidth="1"/>
    <col min="15877" max="15878" width="2.28515625" style="2" customWidth="1"/>
    <col min="15879" max="15879" width="31.42578125" style="2" customWidth="1"/>
    <col min="15880" max="15880" width="2.28515625" style="2" customWidth="1"/>
    <col min="15881" max="15881" width="2.140625" style="2" customWidth="1"/>
    <col min="15882" max="15882" width="12.28515625" style="2" customWidth="1"/>
    <col min="15883" max="15883" width="1.5703125" style="2" customWidth="1"/>
    <col min="15884" max="15884" width="12.28515625" style="2" customWidth="1"/>
    <col min="15885" max="15885" width="1.5703125" style="2" customWidth="1"/>
    <col min="15886" max="15886" width="12.28515625" style="2" customWidth="1"/>
    <col min="15887" max="15887" width="1.5703125" style="2" customWidth="1"/>
    <col min="15888" max="15888" width="13.5703125" style="2" customWidth="1"/>
    <col min="15889" max="15889" width="0.85546875" style="2" customWidth="1"/>
    <col min="15890" max="15890" width="12.28515625" style="2" customWidth="1"/>
    <col min="15891" max="15891" width="1.5703125" style="2" customWidth="1"/>
    <col min="15892" max="15892" width="12.28515625" style="2" customWidth="1"/>
    <col min="15893" max="15893" width="1.5703125" style="2" customWidth="1"/>
    <col min="15894" max="15894" width="12.28515625" style="2" customWidth="1"/>
    <col min="15895" max="15895" width="0.85546875" style="2" customWidth="1"/>
    <col min="15896" max="15896" width="12.28515625" style="2" customWidth="1"/>
    <col min="15897" max="15897" width="1.5703125" style="2" customWidth="1"/>
    <col min="15898" max="15898" width="12.28515625" style="2" customWidth="1"/>
    <col min="15899" max="15899" width="1.5703125" style="2" customWidth="1"/>
    <col min="15900" max="15900" width="12.28515625" style="2" customWidth="1"/>
    <col min="15901" max="15901" width="0.85546875" style="2" customWidth="1"/>
    <col min="15902" max="15902" width="12.28515625" style="2" customWidth="1"/>
    <col min="15903" max="15903" width="1.5703125" style="2" customWidth="1"/>
    <col min="15904" max="15904" width="12.28515625" style="2" customWidth="1"/>
    <col min="15905" max="15905" width="1.5703125" style="2" customWidth="1"/>
    <col min="15906" max="15906" width="12.28515625" style="2" customWidth="1"/>
    <col min="15907" max="15907" width="4.5703125" style="2" customWidth="1"/>
    <col min="15908" max="15908" width="1.42578125" style="2" customWidth="1"/>
    <col min="15909" max="16131" width="13.85546875" style="2"/>
    <col min="16132" max="16132" width="7.85546875" style="2" customWidth="1"/>
    <col min="16133" max="16134" width="2.28515625" style="2" customWidth="1"/>
    <col min="16135" max="16135" width="31.42578125" style="2" customWidth="1"/>
    <col min="16136" max="16136" width="2.28515625" style="2" customWidth="1"/>
    <col min="16137" max="16137" width="2.140625" style="2" customWidth="1"/>
    <col min="16138" max="16138" width="12.28515625" style="2" customWidth="1"/>
    <col min="16139" max="16139" width="1.5703125" style="2" customWidth="1"/>
    <col min="16140" max="16140" width="12.28515625" style="2" customWidth="1"/>
    <col min="16141" max="16141" width="1.5703125" style="2" customWidth="1"/>
    <col min="16142" max="16142" width="12.28515625" style="2" customWidth="1"/>
    <col min="16143" max="16143" width="1.5703125" style="2" customWidth="1"/>
    <col min="16144" max="16144" width="13.5703125" style="2" customWidth="1"/>
    <col min="16145" max="16145" width="0.85546875" style="2" customWidth="1"/>
    <col min="16146" max="16146" width="12.28515625" style="2" customWidth="1"/>
    <col min="16147" max="16147" width="1.5703125" style="2" customWidth="1"/>
    <col min="16148" max="16148" width="12.28515625" style="2" customWidth="1"/>
    <col min="16149" max="16149" width="1.5703125" style="2" customWidth="1"/>
    <col min="16150" max="16150" width="12.28515625" style="2" customWidth="1"/>
    <col min="16151" max="16151" width="0.85546875" style="2" customWidth="1"/>
    <col min="16152" max="16152" width="12.28515625" style="2" customWidth="1"/>
    <col min="16153" max="16153" width="1.5703125" style="2" customWidth="1"/>
    <col min="16154" max="16154" width="12.28515625" style="2" customWidth="1"/>
    <col min="16155" max="16155" width="1.5703125" style="2" customWidth="1"/>
    <col min="16156" max="16156" width="12.28515625" style="2" customWidth="1"/>
    <col min="16157" max="16157" width="0.85546875" style="2" customWidth="1"/>
    <col min="16158" max="16158" width="12.28515625" style="2" customWidth="1"/>
    <col min="16159" max="16159" width="1.5703125" style="2" customWidth="1"/>
    <col min="16160" max="16160" width="12.28515625" style="2" customWidth="1"/>
    <col min="16161" max="16161" width="1.5703125" style="2" customWidth="1"/>
    <col min="16162" max="16162" width="12.28515625" style="2" customWidth="1"/>
    <col min="16163" max="16163" width="4.5703125" style="2" customWidth="1"/>
    <col min="16164" max="16164" width="1.42578125" style="2" customWidth="1"/>
    <col min="16165" max="16384" width="13.85546875" style="2"/>
  </cols>
  <sheetData>
    <row r="1" spans="1:36" hidden="1">
      <c r="D1" s="2" t="s">
        <v>175</v>
      </c>
      <c r="E1" s="2" t="s">
        <v>176</v>
      </c>
      <c r="F1" s="3"/>
      <c r="G1" s="4"/>
      <c r="J1" s="2" t="s">
        <v>177</v>
      </c>
      <c r="L1" s="2" t="s">
        <v>178</v>
      </c>
      <c r="N1" s="2" t="s">
        <v>179</v>
      </c>
      <c r="P1" s="2" t="s">
        <v>180</v>
      </c>
      <c r="R1" s="2" t="s">
        <v>181</v>
      </c>
      <c r="T1" s="2" t="s">
        <v>182</v>
      </c>
      <c r="V1" s="2" t="s">
        <v>183</v>
      </c>
      <c r="X1" s="2" t="s">
        <v>184</v>
      </c>
      <c r="Z1" s="2" t="s">
        <v>185</v>
      </c>
      <c r="AB1" s="2" t="s">
        <v>186</v>
      </c>
      <c r="AD1" s="2" t="s">
        <v>187</v>
      </c>
      <c r="AF1" s="2" t="s">
        <v>188</v>
      </c>
      <c r="AH1" s="5"/>
    </row>
    <row r="2" spans="1:36" hidden="1" outlineLevel="1">
      <c r="B2" s="24"/>
      <c r="D2" s="6"/>
      <c r="E2" s="6"/>
      <c r="F2" s="7"/>
      <c r="G2" s="4"/>
      <c r="H2" s="8"/>
      <c r="I2" s="9"/>
      <c r="J2" s="10">
        <v>0</v>
      </c>
      <c r="K2" s="9"/>
      <c r="L2" s="10">
        <v>0</v>
      </c>
      <c r="M2" s="9"/>
      <c r="N2" s="10">
        <v>0</v>
      </c>
      <c r="O2" s="9"/>
      <c r="P2" s="10">
        <v>0</v>
      </c>
      <c r="Q2" s="9"/>
      <c r="R2" s="10">
        <v>0</v>
      </c>
      <c r="S2" s="9"/>
      <c r="T2" s="10">
        <v>0</v>
      </c>
      <c r="U2" s="9"/>
      <c r="V2" s="10">
        <v>0</v>
      </c>
      <c r="W2" s="9"/>
      <c r="X2" s="10">
        <v>0</v>
      </c>
      <c r="Y2" s="9"/>
      <c r="Z2" s="10">
        <v>0</v>
      </c>
      <c r="AA2" s="9"/>
      <c r="AB2" s="10">
        <v>0</v>
      </c>
      <c r="AC2" s="9"/>
      <c r="AD2" s="10">
        <v>0</v>
      </c>
      <c r="AE2" s="9"/>
      <c r="AF2" s="10">
        <v>0</v>
      </c>
      <c r="AG2" s="9"/>
      <c r="AH2" s="10">
        <f>AF2+AD2+AB2+Z2+X2+V2+T2+R2+P2+N2+L2+J2</f>
        <v>0</v>
      </c>
      <c r="AI2" s="11">
        <f>IF(AH$65=0,0,AH2/AH$65)</f>
        <v>0</v>
      </c>
      <c r="AJ2" s="12"/>
    </row>
    <row r="3" spans="1:36" hidden="1">
      <c r="D3" s="13"/>
      <c r="E3" s="13"/>
      <c r="F3" s="13"/>
      <c r="G3" s="13"/>
      <c r="H3" s="13"/>
      <c r="I3" s="13"/>
      <c r="J3" s="2" t="str">
        <f>TEXT(EDATE(DATEVALUE(RIGHT($D$8,2)&amp;"/1/"&amp;LEFT($D$8,4)),-11),"yyyy-mm")</f>
        <v>2018-05</v>
      </c>
      <c r="L3" s="2" t="str">
        <f>TEXT(EDATE(DATEVALUE(RIGHT($D$8,2)&amp;"/1/"&amp;LEFT($D$8,4)),-10),"yyyy-mm")</f>
        <v>2018-06</v>
      </c>
      <c r="N3" s="2" t="str">
        <f>TEXT(EDATE(DATEVALUE(RIGHT($D$8,2)&amp;"/1/"&amp;LEFT($D$8,4)),-9),"yyyy-mm")</f>
        <v>2018-07</v>
      </c>
      <c r="P3" s="2" t="str">
        <f>TEXT(EDATE(DATEVALUE(RIGHT($D$8,2)&amp;"/1/"&amp;LEFT($D$8,4)),-8),"yyyy-mm")</f>
        <v>2018-08</v>
      </c>
      <c r="R3" s="2" t="str">
        <f>TEXT(EDATE(DATEVALUE(RIGHT($D$8,2)&amp;"/1/"&amp;LEFT($D$8,4)),-7),"yyyy-mm")</f>
        <v>2018-09</v>
      </c>
      <c r="T3" s="2" t="str">
        <f>TEXT(EDATE(DATEVALUE(RIGHT($D$8,2)&amp;"/1/"&amp;LEFT($D$8,4)),-6),"yyyy-mm")</f>
        <v>2018-10</v>
      </c>
      <c r="V3" s="2" t="str">
        <f>TEXT(EDATE(DATEVALUE(RIGHT($D$8,2)&amp;"/1/"&amp;LEFT($D$8,4)),-5),"yyyy-mm")</f>
        <v>2018-11</v>
      </c>
      <c r="X3" s="2" t="str">
        <f>TEXT(EDATE(DATEVALUE(RIGHT($D$8,2)&amp;"/1/"&amp;LEFT($D$8,4)),-4),"yyyy-mm")</f>
        <v>2018-12</v>
      </c>
      <c r="Z3" s="2" t="str">
        <f>TEXT(EDATE(DATEVALUE(RIGHT($D$8,2)&amp;"/1/"&amp;LEFT($D$8,4)),-3),"yyyy-mm")</f>
        <v>2019-01</v>
      </c>
      <c r="AB3" s="2" t="str">
        <f>TEXT(EDATE(DATEVALUE(RIGHT($D$8,2)&amp;"/1/"&amp;LEFT($D$8,4)),-2),"yyyy-mm")</f>
        <v>2019-02</v>
      </c>
      <c r="AD3" s="2" t="str">
        <f>TEXT(EDATE(DATEVALUE(RIGHT($D$8,2)&amp;"/1/"&amp;LEFT($D$8,4)),-1),"yyyy-mm")</f>
        <v>2019-03</v>
      </c>
      <c r="AF3" s="2" t="str">
        <f>YearMonth</f>
        <v>2019-04</v>
      </c>
      <c r="AH3" s="2"/>
    </row>
    <row r="4" spans="1:36" ht="15" hidden="1">
      <c r="B4" s="25" t="str">
        <f ca="1">_xll.ReportVariable("WCN1",B13:B444,1:1,2:2,_xll.Param(D8,N6,"PL,98501",R7,"PL",R6,"AcctGrp1","ConsolSum","",""))</f>
        <v>OK!: ReportVariable Formula OK [jAction{}]</v>
      </c>
      <c r="G4" s="14"/>
      <c r="J4" s="2"/>
      <c r="L4" s="2"/>
      <c r="N4" s="2"/>
      <c r="P4" s="2"/>
      <c r="R4" s="2"/>
      <c r="T4" s="2"/>
      <c r="V4" s="2"/>
      <c r="X4" s="2"/>
      <c r="Z4" s="2"/>
      <c r="AB4" s="2"/>
      <c r="AD4" s="2"/>
      <c r="AF4" s="2"/>
      <c r="AH4" s="2"/>
    </row>
    <row r="5" spans="1:36" hidden="1">
      <c r="B5" s="25" t="e">
        <f ca="1">_xll.ReportDrill(,"JEQuery",D12:D342,J3:AJ3,"K7","G6",,,_xll.Param("","",N6))</f>
        <v>#VALUE!</v>
      </c>
      <c r="J5" s="2"/>
      <c r="L5" s="2"/>
      <c r="N5" s="2"/>
      <c r="P5" s="2"/>
      <c r="R5" s="2"/>
      <c r="T5" s="2"/>
      <c r="V5" s="2"/>
      <c r="X5" s="2"/>
      <c r="Z5" s="2"/>
      <c r="AB5" s="2"/>
      <c r="AD5" s="2"/>
      <c r="AF5" s="2"/>
      <c r="AH5" s="2"/>
    </row>
    <row r="6" spans="1:36" s="15" customFormat="1" ht="15.75">
      <c r="A6" s="2"/>
      <c r="B6" s="2"/>
      <c r="C6" s="2"/>
      <c r="D6" s="1280" t="s">
        <v>189</v>
      </c>
      <c r="E6" s="1281"/>
      <c r="F6" s="1281"/>
      <c r="G6" s="1281"/>
      <c r="H6" s="1281"/>
      <c r="I6" s="1281"/>
      <c r="J6" s="1281"/>
      <c r="K6" s="1281"/>
      <c r="L6" s="1281"/>
      <c r="M6" s="1282" t="s">
        <v>190</v>
      </c>
      <c r="N6" s="1283" t="s">
        <v>191</v>
      </c>
      <c r="O6" s="1281"/>
      <c r="P6" s="1281"/>
      <c r="Q6" s="1282" t="s">
        <v>192</v>
      </c>
      <c r="R6" s="1284"/>
      <c r="S6" s="1282"/>
      <c r="T6" s="1283"/>
      <c r="U6" s="1281"/>
      <c r="V6" s="1281"/>
      <c r="W6" s="1281"/>
      <c r="X6" s="1281"/>
      <c r="Y6" s="1282"/>
      <c r="Z6" s="1283"/>
      <c r="AA6" s="1281"/>
      <c r="AB6" s="1281"/>
      <c r="AC6" s="1281"/>
      <c r="AD6" s="1281"/>
      <c r="AE6" s="1282"/>
      <c r="AF6" s="1283"/>
      <c r="AG6" s="1281"/>
      <c r="AH6" s="1285"/>
      <c r="AI6" s="1281"/>
    </row>
    <row r="7" spans="1:36" s="15" customFormat="1" ht="15.75">
      <c r="A7" s="2"/>
      <c r="D7" s="1280" t="s">
        <v>193</v>
      </c>
      <c r="E7" s="1281"/>
      <c r="F7" s="1281"/>
      <c r="G7" s="1281"/>
      <c r="H7" s="1281"/>
      <c r="I7" s="1281"/>
      <c r="J7" s="1281"/>
      <c r="K7" s="1281"/>
      <c r="L7" s="1281"/>
      <c r="M7" s="1281"/>
      <c r="N7" s="1286" t="s">
        <v>194</v>
      </c>
      <c r="O7" s="1281"/>
      <c r="P7" s="1281"/>
      <c r="Q7" s="1282" t="s">
        <v>195</v>
      </c>
      <c r="R7" s="1286" t="s">
        <v>194</v>
      </c>
      <c r="S7" s="1281"/>
      <c r="T7" s="1286" t="s">
        <v>194</v>
      </c>
      <c r="U7" s="1281"/>
      <c r="V7" s="1281"/>
      <c r="W7" s="1281"/>
      <c r="X7" s="1281"/>
      <c r="Y7" s="1281"/>
      <c r="Z7" s="1286" t="s">
        <v>194</v>
      </c>
      <c r="AA7" s="1281"/>
      <c r="AB7" s="1281"/>
      <c r="AC7" s="1281"/>
      <c r="AD7" s="1281"/>
      <c r="AE7" s="1281"/>
      <c r="AF7" s="1286" t="s">
        <v>194</v>
      </c>
      <c r="AG7" s="1281"/>
      <c r="AH7" s="1281"/>
      <c r="AI7" s="1281"/>
    </row>
    <row r="8" spans="1:36" s="15" customFormat="1" ht="15.75">
      <c r="A8" s="2"/>
      <c r="D8" s="1287" t="s">
        <v>824</v>
      </c>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row>
    <row r="9" spans="1:36" s="15" customFormat="1" ht="15.75">
      <c r="A9" s="2"/>
      <c r="D9" s="1288"/>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row>
    <row r="10" spans="1:36" s="15" customFormat="1" ht="15">
      <c r="A10" s="2"/>
      <c r="D10" s="1289"/>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row>
    <row r="11" spans="1:36" s="15" customFormat="1" ht="15">
      <c r="A11" s="2"/>
      <c r="D11" s="1290"/>
      <c r="E11" s="1290"/>
      <c r="F11" s="1290"/>
      <c r="G11" s="1290"/>
      <c r="H11" s="1290"/>
      <c r="I11" s="1290"/>
      <c r="J11" s="1291"/>
      <c r="K11" s="1292"/>
      <c r="L11" s="1291"/>
      <c r="M11" s="1292"/>
      <c r="N11" s="1293"/>
      <c r="O11" s="1292"/>
      <c r="P11" s="1291"/>
      <c r="Q11" s="1292"/>
      <c r="R11" s="1291"/>
      <c r="S11" s="1292"/>
      <c r="T11" s="1293"/>
      <c r="U11" s="1292"/>
      <c r="V11" s="1291"/>
      <c r="W11" s="1292"/>
      <c r="X11" s="1291"/>
      <c r="Y11" s="1292"/>
      <c r="Z11" s="1293"/>
      <c r="AA11" s="1292"/>
      <c r="AB11" s="1291"/>
      <c r="AC11" s="1292"/>
      <c r="AD11" s="1291"/>
      <c r="AE11" s="1292"/>
      <c r="AF11" s="1293"/>
      <c r="AG11" s="1292"/>
      <c r="AH11" s="1291"/>
      <c r="AI11" s="1291"/>
    </row>
    <row r="12" spans="1:36" s="15" customFormat="1" ht="15.75" thickBot="1">
      <c r="A12" s="2"/>
      <c r="B12" s="26" t="s">
        <v>394</v>
      </c>
      <c r="D12" s="1290"/>
      <c r="E12" s="1290"/>
      <c r="F12" s="1290"/>
      <c r="G12" s="1290"/>
      <c r="H12" s="1290"/>
      <c r="I12" s="1290"/>
      <c r="J12" s="1294">
        <f>DATE(MID(J3,1,4), MID(J3,6,2), MID(J3,6,2))</f>
        <v>43225</v>
      </c>
      <c r="K12" s="1295"/>
      <c r="L12" s="1294">
        <f>DATE(MID(L3,1,4), MID(L3,6,2), MID(L3,6,2))</f>
        <v>43257</v>
      </c>
      <c r="M12" s="1295"/>
      <c r="N12" s="1294">
        <f>DATE(MID(N3,1,4), MID(N3,6,2), MID(N3,6,2))</f>
        <v>43288</v>
      </c>
      <c r="O12" s="1296"/>
      <c r="P12" s="1294">
        <f>DATE(MID(P3,1,4), MID(P3,6,2), MID(P3,6,2))</f>
        <v>43320</v>
      </c>
      <c r="Q12" s="1295"/>
      <c r="R12" s="1294">
        <f>DATE(MID(R3,1,4), MID(R3,6,2), MID(R3,6,2))</f>
        <v>43352</v>
      </c>
      <c r="S12" s="1295"/>
      <c r="T12" s="1294">
        <f>DATE(MID(T3,1,4), MID(T3,6,2), MID(T3,6,2))</f>
        <v>43383</v>
      </c>
      <c r="U12" s="1296"/>
      <c r="V12" s="1294">
        <f>DATE(MID(V3,1,4), MID(V3,6,2), MID(V3,6,2))</f>
        <v>43415</v>
      </c>
      <c r="W12" s="1295"/>
      <c r="X12" s="1294">
        <f>DATE(MID(X3,1,4), MID(X3,6,2), MID(X3,6,2))</f>
        <v>43446</v>
      </c>
      <c r="Y12" s="1295"/>
      <c r="Z12" s="1294">
        <f>DATE(MID(Z3,1,4), MID(Z3,6,2), MID(Z3,6,2))</f>
        <v>43466</v>
      </c>
      <c r="AA12" s="1296"/>
      <c r="AB12" s="1294">
        <f>DATE(MID(AB3,1,4), MID(AB3,6,2), MID(AB3,6,2))</f>
        <v>43498</v>
      </c>
      <c r="AC12" s="1295"/>
      <c r="AD12" s="1294">
        <f>DATE(MID(AD3,1,4), MID(AD3,6,2), MID(AD3,6,2))</f>
        <v>43527</v>
      </c>
      <c r="AE12" s="1295"/>
      <c r="AF12" s="1294">
        <f>DATE(MID(AF3,1,4), MID(AF3,6,2), MID(AF3,6,2))</f>
        <v>43559</v>
      </c>
      <c r="AG12" s="1296"/>
      <c r="AH12" s="1294" t="s">
        <v>13</v>
      </c>
      <c r="AI12" s="1297"/>
    </row>
    <row r="13" spans="1:36" s="407" customFormat="1" outlineLevel="1">
      <c r="B13" s="24" t="s">
        <v>395</v>
      </c>
      <c r="D13" s="1298">
        <v>98501</v>
      </c>
      <c r="E13" s="1298" t="s">
        <v>436</v>
      </c>
      <c r="F13" s="1299"/>
      <c r="G13" s="1300"/>
      <c r="H13" s="1301"/>
      <c r="I13" s="1302"/>
      <c r="J13" s="1303">
        <v>23</v>
      </c>
      <c r="K13" s="1302"/>
      <c r="L13" s="1303">
        <v>21</v>
      </c>
      <c r="M13" s="1302"/>
      <c r="N13" s="1303">
        <v>22</v>
      </c>
      <c r="O13" s="1302"/>
      <c r="P13" s="1303">
        <v>23</v>
      </c>
      <c r="Q13" s="1302"/>
      <c r="R13" s="1303">
        <v>20</v>
      </c>
      <c r="S13" s="1302"/>
      <c r="T13" s="1303">
        <v>23</v>
      </c>
      <c r="U13" s="1302"/>
      <c r="V13" s="1303">
        <v>22</v>
      </c>
      <c r="W13" s="1302"/>
      <c r="X13" s="1303">
        <v>21</v>
      </c>
      <c r="Y13" s="1302"/>
      <c r="Z13" s="1303">
        <v>23</v>
      </c>
      <c r="AA13" s="1302"/>
      <c r="AB13" s="1303">
        <v>20</v>
      </c>
      <c r="AC13" s="1302"/>
      <c r="AD13" s="1303">
        <v>21</v>
      </c>
      <c r="AE13" s="1302"/>
      <c r="AF13" s="1303">
        <v>22</v>
      </c>
      <c r="AG13" s="1302"/>
      <c r="AH13" s="1303">
        <f>AF13+AD13+AB13+Z13+X13+V13+T13+R13+P13+N13+L13+J13</f>
        <v>261</v>
      </c>
      <c r="AI13" s="1304">
        <f>IF(AH$65=0,0,AH13/AH$65)</f>
        <v>7.6306182279905936E-6</v>
      </c>
      <c r="AJ13" s="12"/>
    </row>
    <row r="14" spans="1:36" s="8" customFormat="1" ht="4.5" customHeight="1">
      <c r="D14" s="1301"/>
      <c r="E14" s="1301"/>
      <c r="F14" s="1301"/>
      <c r="G14" s="1301"/>
      <c r="H14" s="1301"/>
      <c r="I14" s="1301"/>
      <c r="J14" s="1302"/>
      <c r="K14" s="1281"/>
      <c r="L14" s="1302"/>
      <c r="M14" s="1281"/>
      <c r="N14" s="1302"/>
      <c r="O14" s="1281"/>
      <c r="P14" s="1302"/>
      <c r="Q14" s="1281"/>
      <c r="R14" s="1302"/>
      <c r="S14" s="1281"/>
      <c r="T14" s="1302"/>
      <c r="U14" s="1281"/>
      <c r="V14" s="1302"/>
      <c r="W14" s="1281"/>
      <c r="X14" s="1302"/>
      <c r="Y14" s="1281"/>
      <c r="Z14" s="1302"/>
      <c r="AA14" s="1281"/>
      <c r="AB14" s="1302"/>
      <c r="AC14" s="1281"/>
      <c r="AD14" s="1302"/>
      <c r="AE14" s="1281"/>
      <c r="AF14" s="1302"/>
      <c r="AG14" s="1281"/>
      <c r="AH14" s="1302"/>
      <c r="AI14" s="1305"/>
      <c r="AJ14" s="15"/>
    </row>
    <row r="15" spans="1:36" s="8" customFormat="1" ht="15" outlineLevel="1">
      <c r="D15" s="1301"/>
      <c r="E15" s="1301"/>
      <c r="F15" s="1301"/>
      <c r="G15" s="1301"/>
      <c r="H15" s="1301"/>
      <c r="I15" s="1301"/>
      <c r="J15" s="1302"/>
      <c r="K15" s="1281"/>
      <c r="L15" s="1302"/>
      <c r="M15" s="1281"/>
      <c r="N15" s="1302"/>
      <c r="O15" s="1281"/>
      <c r="P15" s="1302"/>
      <c r="Q15" s="1281"/>
      <c r="R15" s="1302"/>
      <c r="S15" s="1281"/>
      <c r="T15" s="1302"/>
      <c r="U15" s="1281"/>
      <c r="V15" s="1302"/>
      <c r="W15" s="1281"/>
      <c r="X15" s="1302"/>
      <c r="Y15" s="1281"/>
      <c r="Z15" s="1302"/>
      <c r="AA15" s="1281"/>
      <c r="AB15" s="1302"/>
      <c r="AC15" s="1281"/>
      <c r="AD15" s="1302"/>
      <c r="AE15" s="1281"/>
      <c r="AF15" s="1302"/>
      <c r="AG15" s="1281"/>
      <c r="AH15" s="1302"/>
      <c r="AI15" s="1306"/>
      <c r="AJ15" s="15"/>
    </row>
    <row r="16" spans="1:36" s="407" customFormat="1" outlineLevel="1">
      <c r="B16" s="24" t="s">
        <v>396</v>
      </c>
      <c r="D16" s="1298">
        <v>31000</v>
      </c>
      <c r="E16" s="1298" t="s">
        <v>196</v>
      </c>
      <c r="F16" s="1299"/>
      <c r="G16" s="1300"/>
      <c r="H16" s="1301"/>
      <c r="I16" s="1302"/>
      <c r="J16" s="1303">
        <v>82686.73</v>
      </c>
      <c r="K16" s="1302"/>
      <c r="L16" s="1303">
        <v>75180.17</v>
      </c>
      <c r="M16" s="1302"/>
      <c r="N16" s="1303">
        <v>78163.149999999994</v>
      </c>
      <c r="O16" s="1302"/>
      <c r="P16" s="1303">
        <v>83122.070000000007</v>
      </c>
      <c r="Q16" s="1302"/>
      <c r="R16" s="1303">
        <v>72280.03</v>
      </c>
      <c r="S16" s="1302"/>
      <c r="T16" s="1303">
        <v>87890.53</v>
      </c>
      <c r="U16" s="1302"/>
      <c r="V16" s="1303">
        <v>76268.539999999994</v>
      </c>
      <c r="W16" s="1302"/>
      <c r="X16" s="1303">
        <v>74635.839999999997</v>
      </c>
      <c r="Y16" s="1302"/>
      <c r="Z16" s="1303">
        <v>80263.59</v>
      </c>
      <c r="AA16" s="1302"/>
      <c r="AB16" s="1303">
        <v>70221.34</v>
      </c>
      <c r="AC16" s="1302"/>
      <c r="AD16" s="1303">
        <v>83548.009999999995</v>
      </c>
      <c r="AE16" s="1302"/>
      <c r="AF16" s="1303">
        <v>82408.22</v>
      </c>
      <c r="AG16" s="1302"/>
      <c r="AH16" s="1303">
        <f t="shared" ref="AH16:AH30" si="0">AF16+AD16+AB16+Z16+X16+V16+T16+R16+P16+N16+L16+J16</f>
        <v>946668.22</v>
      </c>
      <c r="AI16" s="1304">
        <f t="shared" ref="AI16:AI30" si="1">IF(AH$65=0,0,AH16/AH$65)</f>
        <v>2.7676872702649076E-2</v>
      </c>
      <c r="AJ16" s="12"/>
    </row>
    <row r="17" spans="2:36" s="407" customFormat="1" outlineLevel="1">
      <c r="B17" s="24" t="s">
        <v>397</v>
      </c>
      <c r="D17" s="1298">
        <v>31001</v>
      </c>
      <c r="E17" s="1298" t="s">
        <v>197</v>
      </c>
      <c r="F17" s="1299"/>
      <c r="G17" s="1300"/>
      <c r="H17" s="1301"/>
      <c r="I17" s="1302"/>
      <c r="J17" s="1303">
        <v>30499.200000000001</v>
      </c>
      <c r="K17" s="1302"/>
      <c r="L17" s="1303">
        <v>26410.2</v>
      </c>
      <c r="M17" s="1302"/>
      <c r="N17" s="1303">
        <v>33014.35</v>
      </c>
      <c r="O17" s="1302"/>
      <c r="P17" s="1303">
        <v>40017.5</v>
      </c>
      <c r="Q17" s="1302"/>
      <c r="R17" s="1303">
        <v>30053.55</v>
      </c>
      <c r="S17" s="1302"/>
      <c r="T17" s="1303">
        <v>33104.800000000003</v>
      </c>
      <c r="U17" s="1302"/>
      <c r="V17" s="1303">
        <v>25443</v>
      </c>
      <c r="W17" s="1302"/>
      <c r="X17" s="1303">
        <v>24186.400000000001</v>
      </c>
      <c r="Y17" s="1302"/>
      <c r="Z17" s="1303">
        <v>24163.95</v>
      </c>
      <c r="AA17" s="1302"/>
      <c r="AB17" s="1303">
        <v>15336.85</v>
      </c>
      <c r="AC17" s="1302"/>
      <c r="AD17" s="1303">
        <v>27759.05</v>
      </c>
      <c r="AE17" s="1302"/>
      <c r="AF17" s="1303">
        <v>30428.799999999999</v>
      </c>
      <c r="AG17" s="1302"/>
      <c r="AH17" s="1303">
        <f t="shared" si="0"/>
        <v>340417.64999999997</v>
      </c>
      <c r="AI17" s="1304">
        <f t="shared" si="1"/>
        <v>9.9524794069721124E-3</v>
      </c>
      <c r="AJ17" s="12"/>
    </row>
    <row r="18" spans="2:36" s="407" customFormat="1" outlineLevel="1">
      <c r="B18" s="24" t="s">
        <v>397</v>
      </c>
      <c r="D18" s="1298">
        <v>31002</v>
      </c>
      <c r="E18" s="1298" t="s">
        <v>198</v>
      </c>
      <c r="F18" s="1299"/>
      <c r="G18" s="1300"/>
      <c r="H18" s="1301"/>
      <c r="I18" s="1302"/>
      <c r="J18" s="1303">
        <v>30870.93</v>
      </c>
      <c r="K18" s="1302"/>
      <c r="L18" s="1303">
        <v>30380.560000000001</v>
      </c>
      <c r="M18" s="1302"/>
      <c r="N18" s="1303">
        <v>32407.919999999998</v>
      </c>
      <c r="O18" s="1302"/>
      <c r="P18" s="1303">
        <v>34661.33</v>
      </c>
      <c r="Q18" s="1302"/>
      <c r="R18" s="1303">
        <v>32968.36</v>
      </c>
      <c r="S18" s="1302"/>
      <c r="T18" s="1303">
        <v>32642.67</v>
      </c>
      <c r="U18" s="1302"/>
      <c r="V18" s="1303">
        <v>30531.439999999999</v>
      </c>
      <c r="W18" s="1302"/>
      <c r="X18" s="1303">
        <v>28897.69</v>
      </c>
      <c r="Y18" s="1302"/>
      <c r="Z18" s="1303">
        <v>30692.68</v>
      </c>
      <c r="AA18" s="1302"/>
      <c r="AB18" s="1303">
        <v>30176.61</v>
      </c>
      <c r="AC18" s="1302"/>
      <c r="AD18" s="1303">
        <v>32659.58</v>
      </c>
      <c r="AE18" s="1302"/>
      <c r="AF18" s="1303">
        <v>33176.959999999999</v>
      </c>
      <c r="AG18" s="1302"/>
      <c r="AH18" s="1303">
        <f t="shared" si="0"/>
        <v>380066.73</v>
      </c>
      <c r="AI18" s="1304">
        <f t="shared" si="1"/>
        <v>1.1111663286554708E-2</v>
      </c>
      <c r="AJ18" s="12"/>
    </row>
    <row r="19" spans="2:36" s="407" customFormat="1" outlineLevel="1">
      <c r="B19" s="24" t="s">
        <v>397</v>
      </c>
      <c r="D19" s="1298">
        <v>31004</v>
      </c>
      <c r="E19" s="1298" t="s">
        <v>199</v>
      </c>
      <c r="F19" s="1299"/>
      <c r="G19" s="1300"/>
      <c r="H19" s="1301"/>
      <c r="I19" s="1302"/>
      <c r="J19" s="1303">
        <v>73924.710000000006</v>
      </c>
      <c r="K19" s="1302"/>
      <c r="L19" s="1303">
        <v>83553.509999999995</v>
      </c>
      <c r="M19" s="1302"/>
      <c r="N19" s="1303">
        <v>93991.42</v>
      </c>
      <c r="O19" s="1302"/>
      <c r="P19" s="1303">
        <v>104170.49</v>
      </c>
      <c r="Q19" s="1302"/>
      <c r="R19" s="1303">
        <v>68920.05</v>
      </c>
      <c r="S19" s="1302"/>
      <c r="T19" s="1303">
        <v>99941.48</v>
      </c>
      <c r="U19" s="1302"/>
      <c r="V19" s="1303">
        <v>87059.48</v>
      </c>
      <c r="W19" s="1302"/>
      <c r="X19" s="1303">
        <v>67543.61</v>
      </c>
      <c r="Y19" s="1302"/>
      <c r="Z19" s="1303">
        <v>81133.53</v>
      </c>
      <c r="AA19" s="1302"/>
      <c r="AB19" s="1303">
        <v>67805.61</v>
      </c>
      <c r="AC19" s="1302"/>
      <c r="AD19" s="1303">
        <v>89674.48</v>
      </c>
      <c r="AE19" s="1302"/>
      <c r="AF19" s="1303">
        <v>103170</v>
      </c>
      <c r="AG19" s="1302"/>
      <c r="AH19" s="1303">
        <f t="shared" si="0"/>
        <v>1020888.37</v>
      </c>
      <c r="AI19" s="1304">
        <f t="shared" si="1"/>
        <v>2.9846779328986991E-2</v>
      </c>
      <c r="AJ19" s="12"/>
    </row>
    <row r="20" spans="2:36" s="407" customFormat="1" outlineLevel="1">
      <c r="B20" s="24" t="s">
        <v>397</v>
      </c>
      <c r="D20" s="1298">
        <v>31005</v>
      </c>
      <c r="E20" s="1298" t="s">
        <v>830</v>
      </c>
      <c r="F20" s="1299"/>
      <c r="G20" s="1300"/>
      <c r="H20" s="1301"/>
      <c r="I20" s="1302"/>
      <c r="J20" s="1303">
        <v>282933.28999999998</v>
      </c>
      <c r="K20" s="1302"/>
      <c r="L20" s="1303">
        <v>262852.43</v>
      </c>
      <c r="M20" s="1302"/>
      <c r="N20" s="1303">
        <v>291085.34000000003</v>
      </c>
      <c r="O20" s="1302"/>
      <c r="P20" s="1303">
        <v>317433.71000000002</v>
      </c>
      <c r="Q20" s="1302"/>
      <c r="R20" s="1303">
        <v>252904.08</v>
      </c>
      <c r="S20" s="1302"/>
      <c r="T20" s="1303">
        <v>327636.27</v>
      </c>
      <c r="U20" s="1302"/>
      <c r="V20" s="1303">
        <v>300075.37</v>
      </c>
      <c r="W20" s="1302"/>
      <c r="X20" s="1303">
        <v>275159.53999999998</v>
      </c>
      <c r="Y20" s="1302"/>
      <c r="Z20" s="1303">
        <v>303016.14</v>
      </c>
      <c r="AA20" s="1302"/>
      <c r="AB20" s="1303">
        <v>232245.76000000001</v>
      </c>
      <c r="AC20" s="1302"/>
      <c r="AD20" s="1303">
        <v>285743.71999999997</v>
      </c>
      <c r="AE20" s="1302"/>
      <c r="AF20" s="1303">
        <v>291466.77</v>
      </c>
      <c r="AG20" s="1302"/>
      <c r="AH20" s="1303">
        <f t="shared" si="0"/>
        <v>3422552.4200000004</v>
      </c>
      <c r="AI20" s="1304">
        <f t="shared" si="1"/>
        <v>0.10006203403182114</v>
      </c>
      <c r="AJ20" s="12"/>
    </row>
    <row r="21" spans="2:36" s="407" customFormat="1" outlineLevel="1">
      <c r="B21" s="24" t="s">
        <v>397</v>
      </c>
      <c r="D21" s="1298">
        <v>31010</v>
      </c>
      <c r="E21" s="1298" t="s">
        <v>200</v>
      </c>
      <c r="F21" s="1299"/>
      <c r="G21" s="1300"/>
      <c r="H21" s="1301"/>
      <c r="I21" s="1302"/>
      <c r="J21" s="1303">
        <v>2348.88</v>
      </c>
      <c r="K21" s="1302"/>
      <c r="L21" s="1303">
        <v>2035.46</v>
      </c>
      <c r="M21" s="1302"/>
      <c r="N21" s="1303">
        <v>2010.98</v>
      </c>
      <c r="O21" s="1302"/>
      <c r="P21" s="1303">
        <v>2997.04</v>
      </c>
      <c r="Q21" s="1302"/>
      <c r="R21" s="1303">
        <v>2528.08</v>
      </c>
      <c r="S21" s="1302"/>
      <c r="T21" s="1303">
        <v>2569.56</v>
      </c>
      <c r="U21" s="1302"/>
      <c r="V21" s="1303">
        <v>2539.56</v>
      </c>
      <c r="W21" s="1302"/>
      <c r="X21" s="1303">
        <v>2452.38</v>
      </c>
      <c r="Y21" s="1302"/>
      <c r="Z21" s="1303">
        <v>2544.2800000000002</v>
      </c>
      <c r="AA21" s="1302"/>
      <c r="AB21" s="1303">
        <v>2292.86</v>
      </c>
      <c r="AC21" s="1302"/>
      <c r="AD21" s="1303">
        <v>2623.9</v>
      </c>
      <c r="AE21" s="1302"/>
      <c r="AF21" s="1303">
        <v>2776.78</v>
      </c>
      <c r="AG21" s="1302"/>
      <c r="AH21" s="1303">
        <f t="shared" si="0"/>
        <v>29719.760000000002</v>
      </c>
      <c r="AI21" s="1304">
        <f t="shared" si="1"/>
        <v>8.6888943443488777E-4</v>
      </c>
      <c r="AJ21" s="12"/>
    </row>
    <row r="22" spans="2:36" s="407" customFormat="1" outlineLevel="1">
      <c r="B22" s="24" t="s">
        <v>397</v>
      </c>
      <c r="D22" s="1298">
        <v>32000</v>
      </c>
      <c r="E22" s="1298" t="s">
        <v>201</v>
      </c>
      <c r="F22" s="1299"/>
      <c r="G22" s="1300"/>
      <c r="H22" s="1301"/>
      <c r="I22" s="1302"/>
      <c r="J22" s="1303">
        <v>936468.73</v>
      </c>
      <c r="K22" s="1302"/>
      <c r="L22" s="1303">
        <v>941329.65</v>
      </c>
      <c r="M22" s="1302"/>
      <c r="N22" s="1303">
        <v>943213.55</v>
      </c>
      <c r="O22" s="1302"/>
      <c r="P22" s="1303">
        <v>948061.97</v>
      </c>
      <c r="Q22" s="1302"/>
      <c r="R22" s="1303">
        <v>949890</v>
      </c>
      <c r="S22" s="1302"/>
      <c r="T22" s="1303">
        <v>951797.95</v>
      </c>
      <c r="U22" s="1302"/>
      <c r="V22" s="1303">
        <v>951544.06</v>
      </c>
      <c r="W22" s="1302"/>
      <c r="X22" s="1303">
        <v>952597.77</v>
      </c>
      <c r="Y22" s="1302"/>
      <c r="Z22" s="1303">
        <v>952975.91</v>
      </c>
      <c r="AA22" s="1302"/>
      <c r="AB22" s="1303">
        <v>954360.24</v>
      </c>
      <c r="AC22" s="1302"/>
      <c r="AD22" s="1303">
        <v>958611.34</v>
      </c>
      <c r="AE22" s="1302"/>
      <c r="AF22" s="1303">
        <v>961245.34</v>
      </c>
      <c r="AG22" s="1302"/>
      <c r="AH22" s="1303">
        <f t="shared" si="0"/>
        <v>11402096.510000002</v>
      </c>
      <c r="AI22" s="1304">
        <f t="shared" si="1"/>
        <v>0.33335266462265878</v>
      </c>
      <c r="AJ22" s="12"/>
    </row>
    <row r="23" spans="2:36" s="407" customFormat="1" outlineLevel="1">
      <c r="B23" s="24" t="s">
        <v>397</v>
      </c>
      <c r="D23" s="1298">
        <v>32001</v>
      </c>
      <c r="E23" s="1298" t="s">
        <v>202</v>
      </c>
      <c r="F23" s="1299"/>
      <c r="G23" s="1300"/>
      <c r="H23" s="1301"/>
      <c r="I23" s="1302"/>
      <c r="J23" s="1303">
        <v>20686.59</v>
      </c>
      <c r="K23" s="1302"/>
      <c r="L23" s="1303">
        <v>21342.12</v>
      </c>
      <c r="M23" s="1302"/>
      <c r="N23" s="1303">
        <v>18746.34</v>
      </c>
      <c r="O23" s="1302"/>
      <c r="P23" s="1303">
        <v>18043.490000000002</v>
      </c>
      <c r="Q23" s="1302"/>
      <c r="R23" s="1303">
        <v>12764.82</v>
      </c>
      <c r="S23" s="1302"/>
      <c r="T23" s="1303">
        <v>13406.5</v>
      </c>
      <c r="U23" s="1302"/>
      <c r="V23" s="1303">
        <v>23980.959999999999</v>
      </c>
      <c r="W23" s="1302"/>
      <c r="X23" s="1303">
        <v>23406.75</v>
      </c>
      <c r="Y23" s="1302"/>
      <c r="Z23" s="1303">
        <v>23347.49</v>
      </c>
      <c r="AA23" s="1302"/>
      <c r="AB23" s="1303">
        <v>12545.07</v>
      </c>
      <c r="AC23" s="1302"/>
      <c r="AD23" s="1303">
        <v>18770.419999999998</v>
      </c>
      <c r="AE23" s="1302"/>
      <c r="AF23" s="1303">
        <v>17105.54</v>
      </c>
      <c r="AG23" s="1302"/>
      <c r="AH23" s="1303">
        <f t="shared" si="0"/>
        <v>224146.09</v>
      </c>
      <c r="AI23" s="1304">
        <f t="shared" si="1"/>
        <v>6.5531541765778542E-3</v>
      </c>
      <c r="AJ23" s="12"/>
    </row>
    <row r="24" spans="2:36" s="407" customFormat="1" outlineLevel="1">
      <c r="B24" s="24" t="s">
        <v>397</v>
      </c>
      <c r="D24" s="1298">
        <v>32100</v>
      </c>
      <c r="E24" s="1298" t="s">
        <v>203</v>
      </c>
      <c r="F24" s="1299"/>
      <c r="G24" s="1300"/>
      <c r="H24" s="1301"/>
      <c r="I24" s="1302"/>
      <c r="J24" s="1303">
        <v>424588.43</v>
      </c>
      <c r="K24" s="1302"/>
      <c r="L24" s="1303">
        <v>426436.97</v>
      </c>
      <c r="M24" s="1302"/>
      <c r="N24" s="1303">
        <v>368122.4</v>
      </c>
      <c r="O24" s="1302"/>
      <c r="P24" s="1303">
        <v>369132.06</v>
      </c>
      <c r="Q24" s="1302"/>
      <c r="R24" s="1303">
        <v>368876.93</v>
      </c>
      <c r="S24" s="1302"/>
      <c r="T24" s="1303">
        <v>369366.6</v>
      </c>
      <c r="U24" s="1302"/>
      <c r="V24" s="1303">
        <v>368788</v>
      </c>
      <c r="W24" s="1302"/>
      <c r="X24" s="1303">
        <v>368989.14</v>
      </c>
      <c r="Y24" s="1302"/>
      <c r="Z24" s="1303">
        <v>369078.11</v>
      </c>
      <c r="AA24" s="1302"/>
      <c r="AB24" s="1303">
        <v>369161.42</v>
      </c>
      <c r="AC24" s="1302"/>
      <c r="AD24" s="1303">
        <v>370369.15</v>
      </c>
      <c r="AE24" s="1302"/>
      <c r="AF24" s="1303">
        <v>371506.53</v>
      </c>
      <c r="AG24" s="1302"/>
      <c r="AH24" s="1303">
        <f t="shared" si="0"/>
        <v>4544415.74</v>
      </c>
      <c r="AI24" s="1304">
        <f t="shared" si="1"/>
        <v>0.13286092559851095</v>
      </c>
      <c r="AJ24" s="12"/>
    </row>
    <row r="25" spans="2:36" s="407" customFormat="1" outlineLevel="1">
      <c r="B25" s="24" t="s">
        <v>397</v>
      </c>
      <c r="D25" s="1298">
        <v>32110</v>
      </c>
      <c r="E25" s="1298" t="s">
        <v>204</v>
      </c>
      <c r="F25" s="1299"/>
      <c r="G25" s="1300"/>
      <c r="H25" s="1301"/>
      <c r="I25" s="1302"/>
      <c r="J25" s="1303">
        <v>159155.56</v>
      </c>
      <c r="K25" s="1302"/>
      <c r="L25" s="1303">
        <v>163344.04999999999</v>
      </c>
      <c r="M25" s="1302"/>
      <c r="N25" s="1303">
        <v>164119.16</v>
      </c>
      <c r="O25" s="1302"/>
      <c r="P25" s="1303">
        <v>165052.20000000001</v>
      </c>
      <c r="Q25" s="1302"/>
      <c r="R25" s="1303">
        <v>164531.26</v>
      </c>
      <c r="S25" s="1302"/>
      <c r="T25" s="1303">
        <v>164313.73000000001</v>
      </c>
      <c r="U25" s="1302"/>
      <c r="V25" s="1303">
        <v>163834.70000000001</v>
      </c>
      <c r="W25" s="1302"/>
      <c r="X25" s="1303">
        <v>162396.60999999999</v>
      </c>
      <c r="Y25" s="1302"/>
      <c r="Z25" s="1303">
        <v>160865.99</v>
      </c>
      <c r="AA25" s="1302"/>
      <c r="AB25" s="1303">
        <v>160230.39999999999</v>
      </c>
      <c r="AC25" s="1302"/>
      <c r="AD25" s="1303">
        <v>161350.1</v>
      </c>
      <c r="AE25" s="1302"/>
      <c r="AF25" s="1303">
        <v>163213.49</v>
      </c>
      <c r="AG25" s="1302"/>
      <c r="AH25" s="1303">
        <f t="shared" si="0"/>
        <v>1952407.25</v>
      </c>
      <c r="AI25" s="1304">
        <f t="shared" si="1"/>
        <v>5.7080744637206846E-2</v>
      </c>
      <c r="AJ25" s="12"/>
    </row>
    <row r="26" spans="2:36" s="407" customFormat="1" outlineLevel="1">
      <c r="B26" s="24" t="s">
        <v>397</v>
      </c>
      <c r="D26" s="1298">
        <v>33000</v>
      </c>
      <c r="E26" s="1298" t="s">
        <v>205</v>
      </c>
      <c r="F26" s="1299"/>
      <c r="G26" s="1300"/>
      <c r="H26" s="1301"/>
      <c r="I26" s="1302"/>
      <c r="J26" s="1303">
        <v>529265.18999999994</v>
      </c>
      <c r="K26" s="1302"/>
      <c r="L26" s="1303">
        <v>529330.13</v>
      </c>
      <c r="M26" s="1302"/>
      <c r="N26" s="1303">
        <v>519555.08</v>
      </c>
      <c r="O26" s="1302"/>
      <c r="P26" s="1303">
        <v>529231.99</v>
      </c>
      <c r="Q26" s="1302"/>
      <c r="R26" s="1303">
        <v>536390.42000000004</v>
      </c>
      <c r="S26" s="1302"/>
      <c r="T26" s="1303">
        <v>536012.78</v>
      </c>
      <c r="U26" s="1302"/>
      <c r="V26" s="1303">
        <v>533334.94999999995</v>
      </c>
      <c r="W26" s="1302"/>
      <c r="X26" s="1303">
        <v>536792.87</v>
      </c>
      <c r="Y26" s="1302"/>
      <c r="Z26" s="1303">
        <v>537968.74</v>
      </c>
      <c r="AA26" s="1302"/>
      <c r="AB26" s="1303">
        <v>536050.93000000005</v>
      </c>
      <c r="AC26" s="1302"/>
      <c r="AD26" s="1303">
        <v>538348.91</v>
      </c>
      <c r="AE26" s="1302"/>
      <c r="AF26" s="1303">
        <v>544885.6</v>
      </c>
      <c r="AG26" s="1302"/>
      <c r="AH26" s="1303">
        <f t="shared" si="0"/>
        <v>6407167.5899999999</v>
      </c>
      <c r="AI26" s="1304">
        <f t="shared" si="1"/>
        <v>0.18732049732584122</v>
      </c>
      <c r="AJ26" s="12"/>
    </row>
    <row r="27" spans="2:36" s="407" customFormat="1" outlineLevel="1">
      <c r="B27" s="24" t="s">
        <v>397</v>
      </c>
      <c r="D27" s="1298">
        <v>33001</v>
      </c>
      <c r="E27" s="1298" t="s">
        <v>206</v>
      </c>
      <c r="F27" s="1299"/>
      <c r="G27" s="1300"/>
      <c r="H27" s="1301"/>
      <c r="I27" s="1302"/>
      <c r="J27" s="1303">
        <v>19136.27</v>
      </c>
      <c r="K27" s="1302"/>
      <c r="L27" s="1303">
        <v>17294.45</v>
      </c>
      <c r="M27" s="1302"/>
      <c r="N27" s="1303">
        <v>16564.54</v>
      </c>
      <c r="O27" s="1302"/>
      <c r="P27" s="1303">
        <v>17686.810000000001</v>
      </c>
      <c r="Q27" s="1302"/>
      <c r="R27" s="1303">
        <v>14604.46</v>
      </c>
      <c r="S27" s="1302"/>
      <c r="T27" s="1303">
        <v>16856.330000000002</v>
      </c>
      <c r="U27" s="1302"/>
      <c r="V27" s="1303">
        <v>15716.34</v>
      </c>
      <c r="W27" s="1302"/>
      <c r="X27" s="1303">
        <v>17061.47</v>
      </c>
      <c r="Y27" s="1302"/>
      <c r="Z27" s="1303">
        <v>15256.68</v>
      </c>
      <c r="AA27" s="1302"/>
      <c r="AB27" s="1303">
        <v>13799.21</v>
      </c>
      <c r="AC27" s="1302"/>
      <c r="AD27" s="1303">
        <v>17220.37</v>
      </c>
      <c r="AE27" s="1302"/>
      <c r="AF27" s="1303">
        <v>15881.27</v>
      </c>
      <c r="AG27" s="1302"/>
      <c r="AH27" s="1303">
        <f t="shared" si="0"/>
        <v>197078.2</v>
      </c>
      <c r="AI27" s="1304">
        <f t="shared" si="1"/>
        <v>5.7617950393087196E-3</v>
      </c>
      <c r="AJ27" s="12"/>
    </row>
    <row r="28" spans="2:36" s="407" customFormat="1" outlineLevel="1">
      <c r="B28" s="24" t="s">
        <v>397</v>
      </c>
      <c r="D28" s="1298">
        <v>33020</v>
      </c>
      <c r="E28" s="1298" t="s">
        <v>207</v>
      </c>
      <c r="F28" s="1299"/>
      <c r="G28" s="1300"/>
      <c r="H28" s="1301"/>
      <c r="I28" s="1302"/>
      <c r="J28" s="1303">
        <v>216916.92</v>
      </c>
      <c r="K28" s="1302"/>
      <c r="L28" s="1303">
        <v>218646.38</v>
      </c>
      <c r="M28" s="1302"/>
      <c r="N28" s="1303">
        <v>211240.92</v>
      </c>
      <c r="O28" s="1302"/>
      <c r="P28" s="1303">
        <v>215442.85</v>
      </c>
      <c r="Q28" s="1302"/>
      <c r="R28" s="1303">
        <v>220544.38</v>
      </c>
      <c r="S28" s="1302"/>
      <c r="T28" s="1303">
        <v>220610.7</v>
      </c>
      <c r="U28" s="1302"/>
      <c r="V28" s="1303">
        <v>221439.04</v>
      </c>
      <c r="W28" s="1302"/>
      <c r="X28" s="1303">
        <v>220628.17</v>
      </c>
      <c r="Y28" s="1302"/>
      <c r="Z28" s="1303">
        <v>220747.18</v>
      </c>
      <c r="AA28" s="1302"/>
      <c r="AB28" s="1303">
        <v>221029.94</v>
      </c>
      <c r="AC28" s="1302"/>
      <c r="AD28" s="1303">
        <v>221738.19</v>
      </c>
      <c r="AE28" s="1302"/>
      <c r="AF28" s="1303">
        <v>222558.41</v>
      </c>
      <c r="AG28" s="1302"/>
      <c r="AH28" s="1303">
        <f t="shared" si="0"/>
        <v>2631543.0799999996</v>
      </c>
      <c r="AI28" s="1304">
        <f t="shared" si="1"/>
        <v>7.6936017601496182E-2</v>
      </c>
      <c r="AJ28" s="12"/>
    </row>
    <row r="29" spans="2:36" s="407" customFormat="1" outlineLevel="1">
      <c r="B29" s="24" t="s">
        <v>397</v>
      </c>
      <c r="D29" s="1298">
        <v>33021</v>
      </c>
      <c r="E29" s="1298" t="s">
        <v>207</v>
      </c>
      <c r="F29" s="1299"/>
      <c r="G29" s="1300"/>
      <c r="H29" s="1301"/>
      <c r="I29" s="1302"/>
      <c r="J29" s="1303">
        <v>6271.4</v>
      </c>
      <c r="K29" s="1302"/>
      <c r="L29" s="1303">
        <v>6870.33</v>
      </c>
      <c r="M29" s="1302"/>
      <c r="N29" s="1303">
        <v>8301.48</v>
      </c>
      <c r="O29" s="1302"/>
      <c r="P29" s="1303">
        <v>10132.379999999999</v>
      </c>
      <c r="Q29" s="1302"/>
      <c r="R29" s="1303">
        <v>6745.2</v>
      </c>
      <c r="S29" s="1302"/>
      <c r="T29" s="1303">
        <v>8051.68</v>
      </c>
      <c r="U29" s="1302"/>
      <c r="V29" s="1303">
        <v>6193.51</v>
      </c>
      <c r="W29" s="1302"/>
      <c r="X29" s="1303">
        <v>5608.56</v>
      </c>
      <c r="Y29" s="1302"/>
      <c r="Z29" s="1303">
        <v>6743.01</v>
      </c>
      <c r="AA29" s="1302"/>
      <c r="AB29" s="1303">
        <v>4773.0600000000004</v>
      </c>
      <c r="AC29" s="1302"/>
      <c r="AD29" s="1303">
        <v>6602.73</v>
      </c>
      <c r="AE29" s="1302"/>
      <c r="AF29" s="1303">
        <v>7757.4</v>
      </c>
      <c r="AG29" s="1302"/>
      <c r="AH29" s="1303">
        <f t="shared" si="0"/>
        <v>84050.739999999991</v>
      </c>
      <c r="AI29" s="1304">
        <f t="shared" si="1"/>
        <v>2.4573145927973103E-3</v>
      </c>
      <c r="AJ29" s="12"/>
    </row>
    <row r="30" spans="2:36" s="407" customFormat="1" outlineLevel="1">
      <c r="B30" s="24" t="s">
        <v>397</v>
      </c>
      <c r="D30" s="1298">
        <v>33030</v>
      </c>
      <c r="E30" s="1298" t="s">
        <v>398</v>
      </c>
      <c r="F30" s="1299"/>
      <c r="G30" s="1300"/>
      <c r="H30" s="1301"/>
      <c r="I30" s="1302"/>
      <c r="J30" s="1303">
        <v>9295.7199999999993</v>
      </c>
      <c r="K30" s="1302"/>
      <c r="L30" s="1303">
        <v>8506.24</v>
      </c>
      <c r="M30" s="1302"/>
      <c r="N30" s="1303">
        <v>8576.0400000000009</v>
      </c>
      <c r="O30" s="1302"/>
      <c r="P30" s="1303">
        <v>8619.2000000000007</v>
      </c>
      <c r="Q30" s="1302"/>
      <c r="R30" s="1303">
        <v>8492.32</v>
      </c>
      <c r="S30" s="1302"/>
      <c r="T30" s="1303">
        <v>8257.99</v>
      </c>
      <c r="U30" s="1302"/>
      <c r="V30" s="1303">
        <v>8339.7900000000009</v>
      </c>
      <c r="W30" s="1302"/>
      <c r="X30" s="1303">
        <v>8311.8700000000008</v>
      </c>
      <c r="Y30" s="1302"/>
      <c r="Z30" s="1303">
        <v>8227.33</v>
      </c>
      <c r="AA30" s="1302"/>
      <c r="AB30" s="1303">
        <v>8094.13</v>
      </c>
      <c r="AC30" s="1302"/>
      <c r="AD30" s="1303">
        <v>8149.83</v>
      </c>
      <c r="AE30" s="1302"/>
      <c r="AF30" s="1303">
        <v>8040.15</v>
      </c>
      <c r="AG30" s="1302"/>
      <c r="AH30" s="1303">
        <f t="shared" si="0"/>
        <v>100910.61</v>
      </c>
      <c r="AI30" s="1304">
        <f t="shared" si="1"/>
        <v>2.9502311879833327E-3</v>
      </c>
      <c r="AJ30" s="12"/>
    </row>
    <row r="31" spans="2:36" s="8" customFormat="1" ht="4.5" customHeight="1" outlineLevel="1">
      <c r="B31" s="16" t="s">
        <v>194</v>
      </c>
      <c r="D31" s="1301"/>
      <c r="E31" s="1301"/>
      <c r="F31" s="1301"/>
      <c r="G31" s="1301"/>
      <c r="H31" s="1301"/>
      <c r="I31" s="1301"/>
      <c r="J31" s="1307"/>
      <c r="K31" s="1281"/>
      <c r="L31" s="1307"/>
      <c r="M31" s="1281"/>
      <c r="N31" s="1307"/>
      <c r="O31" s="1281"/>
      <c r="P31" s="1307"/>
      <c r="Q31" s="1281"/>
      <c r="R31" s="1307"/>
      <c r="S31" s="1281"/>
      <c r="T31" s="1307"/>
      <c r="U31" s="1281"/>
      <c r="V31" s="1307"/>
      <c r="W31" s="1281"/>
      <c r="X31" s="1307"/>
      <c r="Y31" s="1281"/>
      <c r="Z31" s="1307"/>
      <c r="AA31" s="1281"/>
      <c r="AB31" s="1307"/>
      <c r="AC31" s="1281"/>
      <c r="AD31" s="1307"/>
      <c r="AE31" s="1281"/>
      <c r="AF31" s="1307"/>
      <c r="AG31" s="1281"/>
      <c r="AH31" s="1307"/>
      <c r="AI31" s="1306"/>
      <c r="AJ31" s="15"/>
    </row>
    <row r="32" spans="2:36" s="8" customFormat="1" ht="15">
      <c r="B32" s="2" t="s">
        <v>194</v>
      </c>
      <c r="D32" s="1301"/>
      <c r="E32" s="1301"/>
      <c r="F32" s="1301" t="s">
        <v>208</v>
      </c>
      <c r="G32" s="1301"/>
      <c r="H32" s="1301"/>
      <c r="I32" s="1301"/>
      <c r="J32" s="1308">
        <f>SUM(J15:J31)</f>
        <v>2825048.5500000003</v>
      </c>
      <c r="K32" s="1309"/>
      <c r="L32" s="1308">
        <f>SUM(L15:L31)</f>
        <v>2813512.6500000004</v>
      </c>
      <c r="M32" s="1309"/>
      <c r="N32" s="1308">
        <f>SUM(N15:N31)</f>
        <v>2789112.67</v>
      </c>
      <c r="O32" s="1309"/>
      <c r="P32" s="1308">
        <f>SUM(P15:P31)</f>
        <v>2863805.0900000003</v>
      </c>
      <c r="Q32" s="1309"/>
      <c r="R32" s="1308">
        <f>SUM(R15:R31)</f>
        <v>2742493.94</v>
      </c>
      <c r="S32" s="1309"/>
      <c r="T32" s="1308">
        <f>SUM(T15:T31)</f>
        <v>2872459.5700000008</v>
      </c>
      <c r="U32" s="1309"/>
      <c r="V32" s="1308">
        <f>SUM(V15:V31)</f>
        <v>2815088.7399999993</v>
      </c>
      <c r="W32" s="1309"/>
      <c r="X32" s="1308">
        <f>SUM(X15:X31)</f>
        <v>2768668.6700000004</v>
      </c>
      <c r="Y32" s="1309"/>
      <c r="Z32" s="1308">
        <f>SUM(Z15:Z31)</f>
        <v>2817024.6100000003</v>
      </c>
      <c r="AA32" s="1309"/>
      <c r="AB32" s="1308">
        <f>SUM(AB15:AB31)</f>
        <v>2698123.4299999997</v>
      </c>
      <c r="AC32" s="1309"/>
      <c r="AD32" s="1308">
        <f>SUM(AD15:AD31)</f>
        <v>2823169.7800000003</v>
      </c>
      <c r="AE32" s="1309"/>
      <c r="AF32" s="1308">
        <f>SUM(AF15:AF31)</f>
        <v>2855621.2600000002</v>
      </c>
      <c r="AG32" s="1309"/>
      <c r="AH32" s="1308">
        <f>SUM(AH15:AH31)</f>
        <v>33684128.960000001</v>
      </c>
      <c r="AI32" s="1304">
        <f>IF(AH$65=0,0,AH32/AH$65)</f>
        <v>0.98479206297380006</v>
      </c>
      <c r="AJ32" s="15"/>
    </row>
    <row r="33" spans="2:36" s="8" customFormat="1" ht="15" outlineLevel="1">
      <c r="B33" s="16" t="s">
        <v>194</v>
      </c>
      <c r="D33" s="1301"/>
      <c r="E33" s="1301"/>
      <c r="F33" s="1301"/>
      <c r="G33" s="1301"/>
      <c r="H33" s="1301"/>
      <c r="I33" s="1301"/>
      <c r="J33" s="1310"/>
      <c r="K33" s="1309"/>
      <c r="L33" s="1310"/>
      <c r="M33" s="1309"/>
      <c r="N33" s="1310"/>
      <c r="O33" s="1309"/>
      <c r="P33" s="1310"/>
      <c r="Q33" s="1309"/>
      <c r="R33" s="1310"/>
      <c r="S33" s="1309"/>
      <c r="T33" s="1310"/>
      <c r="U33" s="1309"/>
      <c r="V33" s="1310"/>
      <c r="W33" s="1309"/>
      <c r="X33" s="1310"/>
      <c r="Y33" s="1309"/>
      <c r="Z33" s="1310"/>
      <c r="AA33" s="1309"/>
      <c r="AB33" s="1310"/>
      <c r="AC33" s="1309"/>
      <c r="AD33" s="1310"/>
      <c r="AE33" s="1309"/>
      <c r="AF33" s="1310"/>
      <c r="AG33" s="1309"/>
      <c r="AH33" s="1310"/>
      <c r="AI33" s="1306"/>
      <c r="AJ33" s="15"/>
    </row>
    <row r="34" spans="2:36" s="407" customFormat="1" outlineLevel="1">
      <c r="B34" s="24" t="s">
        <v>399</v>
      </c>
      <c r="D34" s="1298"/>
      <c r="E34" s="1298"/>
      <c r="F34" s="1299"/>
      <c r="G34" s="1300"/>
      <c r="H34" s="1301"/>
      <c r="I34" s="1302"/>
      <c r="J34" s="1303"/>
      <c r="K34" s="1302"/>
      <c r="L34" s="1303"/>
      <c r="M34" s="1302"/>
      <c r="N34" s="1303"/>
      <c r="O34" s="1302"/>
      <c r="P34" s="1303"/>
      <c r="Q34" s="1302"/>
      <c r="R34" s="1303"/>
      <c r="S34" s="1302"/>
      <c r="T34" s="1303"/>
      <c r="U34" s="1302"/>
      <c r="V34" s="1303"/>
      <c r="W34" s="1302"/>
      <c r="X34" s="1303"/>
      <c r="Y34" s="1302"/>
      <c r="Z34" s="1303"/>
      <c r="AA34" s="1302"/>
      <c r="AB34" s="1303"/>
      <c r="AC34" s="1302"/>
      <c r="AD34" s="1303"/>
      <c r="AE34" s="1302"/>
      <c r="AF34" s="1303"/>
      <c r="AG34" s="1302"/>
      <c r="AH34" s="1303">
        <f>AF34+AD34+AB34+Z34+X34+V34+T34+R34+P34+N34+L34+J34</f>
        <v>0</v>
      </c>
      <c r="AI34" s="1304">
        <f>IF(AH$65=0,0,AH34/AH$65)</f>
        <v>0</v>
      </c>
      <c r="AJ34" s="12"/>
    </row>
    <row r="35" spans="2:36" s="8" customFormat="1" ht="5.0999999999999996" customHeight="1" outlineLevel="1">
      <c r="B35" s="16" t="s">
        <v>194</v>
      </c>
      <c r="D35" s="1299"/>
      <c r="E35" s="1299"/>
      <c r="F35" s="1299"/>
      <c r="G35" s="1299"/>
      <c r="H35" s="1301"/>
      <c r="I35" s="1301"/>
      <c r="J35" s="1311"/>
      <c r="K35" s="1309"/>
      <c r="L35" s="1311"/>
      <c r="M35" s="1309"/>
      <c r="N35" s="1311"/>
      <c r="O35" s="1309"/>
      <c r="P35" s="1311"/>
      <c r="Q35" s="1309"/>
      <c r="R35" s="1311"/>
      <c r="S35" s="1309"/>
      <c r="T35" s="1311"/>
      <c r="U35" s="1309"/>
      <c r="V35" s="1311"/>
      <c r="W35" s="1309"/>
      <c r="X35" s="1311"/>
      <c r="Y35" s="1309"/>
      <c r="Z35" s="1311"/>
      <c r="AA35" s="1309"/>
      <c r="AB35" s="1311"/>
      <c r="AC35" s="1309"/>
      <c r="AD35" s="1311"/>
      <c r="AE35" s="1309"/>
      <c r="AF35" s="1311"/>
      <c r="AG35" s="1309"/>
      <c r="AH35" s="1311"/>
      <c r="AI35" s="1306"/>
      <c r="AJ35" s="15"/>
    </row>
    <row r="36" spans="2:36" s="8" customFormat="1" ht="15">
      <c r="B36" s="2" t="s">
        <v>194</v>
      </c>
      <c r="D36" s="1301"/>
      <c r="E36" s="1301"/>
      <c r="F36" s="1299" t="s">
        <v>210</v>
      </c>
      <c r="G36" s="1301"/>
      <c r="H36" s="1301"/>
      <c r="I36" s="1301"/>
      <c r="J36" s="1308">
        <f>SUM(J34:J35)</f>
        <v>0</v>
      </c>
      <c r="K36" s="1309"/>
      <c r="L36" s="1308">
        <f>SUM(L34:L35)</f>
        <v>0</v>
      </c>
      <c r="M36" s="1309"/>
      <c r="N36" s="1308">
        <f>SUM(N34:N35)</f>
        <v>0</v>
      </c>
      <c r="O36" s="1309"/>
      <c r="P36" s="1308">
        <f>SUM(P34:P35)</f>
        <v>0</v>
      </c>
      <c r="Q36" s="1309"/>
      <c r="R36" s="1308">
        <f>SUM(R34:R35)</f>
        <v>0</v>
      </c>
      <c r="S36" s="1309"/>
      <c r="T36" s="1308">
        <f>SUM(T34:T35)</f>
        <v>0</v>
      </c>
      <c r="U36" s="1309"/>
      <c r="V36" s="1308">
        <f>SUM(V34:V35)</f>
        <v>0</v>
      </c>
      <c r="W36" s="1309"/>
      <c r="X36" s="1308">
        <f>SUM(X34:X35)</f>
        <v>0</v>
      </c>
      <c r="Y36" s="1309"/>
      <c r="Z36" s="1308">
        <f>SUM(Z34:Z35)</f>
        <v>0</v>
      </c>
      <c r="AA36" s="1309"/>
      <c r="AB36" s="1308">
        <f>SUM(AB34:AB35)</f>
        <v>0</v>
      </c>
      <c r="AC36" s="1309"/>
      <c r="AD36" s="1308">
        <f>SUM(AD34:AD35)</f>
        <v>0</v>
      </c>
      <c r="AE36" s="1309"/>
      <c r="AF36" s="1308">
        <f>SUM(AF34:AF35)</f>
        <v>0</v>
      </c>
      <c r="AG36" s="1309"/>
      <c r="AH36" s="1308">
        <f>SUM(AH34:AH35)</f>
        <v>0</v>
      </c>
      <c r="AI36" s="1304">
        <f>IF(AH$65=0,0,AH36/AH$65)</f>
        <v>0</v>
      </c>
      <c r="AJ36" s="15"/>
    </row>
    <row r="37" spans="2:36" s="8" customFormat="1" ht="15" outlineLevel="1">
      <c r="B37" s="2"/>
      <c r="D37" s="1301"/>
      <c r="E37" s="1301"/>
      <c r="F37" s="1301"/>
      <c r="G37" s="1301"/>
      <c r="H37" s="1301"/>
      <c r="I37" s="1301"/>
      <c r="J37" s="1310"/>
      <c r="K37" s="1309"/>
      <c r="L37" s="1310"/>
      <c r="M37" s="1309"/>
      <c r="N37" s="1310"/>
      <c r="O37" s="1309"/>
      <c r="P37" s="1310"/>
      <c r="Q37" s="1309"/>
      <c r="R37" s="1310"/>
      <c r="S37" s="1309"/>
      <c r="T37" s="1310"/>
      <c r="U37" s="1309"/>
      <c r="V37" s="1310"/>
      <c r="W37" s="1309"/>
      <c r="X37" s="1310"/>
      <c r="Y37" s="1309"/>
      <c r="Z37" s="1310"/>
      <c r="AA37" s="1309"/>
      <c r="AB37" s="1310"/>
      <c r="AC37" s="1309"/>
      <c r="AD37" s="1310"/>
      <c r="AE37" s="1309"/>
      <c r="AF37" s="1310"/>
      <c r="AG37" s="1309"/>
      <c r="AH37" s="1310"/>
      <c r="AI37" s="1306"/>
      <c r="AJ37" s="15"/>
    </row>
    <row r="38" spans="2:36" s="8" customFormat="1" ht="15" outlineLevel="1">
      <c r="B38" s="2" t="s">
        <v>194</v>
      </c>
      <c r="D38" s="1301"/>
      <c r="E38" s="1301"/>
      <c r="F38" s="1301"/>
      <c r="G38" s="1301"/>
      <c r="H38" s="1301"/>
      <c r="I38" s="1301"/>
      <c r="J38" s="1310"/>
      <c r="K38" s="1309"/>
      <c r="L38" s="1310"/>
      <c r="M38" s="1309"/>
      <c r="N38" s="1310"/>
      <c r="O38" s="1309"/>
      <c r="P38" s="1310"/>
      <c r="Q38" s="1309"/>
      <c r="R38" s="1310"/>
      <c r="S38" s="1309"/>
      <c r="T38" s="1310"/>
      <c r="U38" s="1309"/>
      <c r="V38" s="1310"/>
      <c r="W38" s="1309"/>
      <c r="X38" s="1310"/>
      <c r="Y38" s="1309"/>
      <c r="Z38" s="1310"/>
      <c r="AA38" s="1309"/>
      <c r="AB38" s="1310"/>
      <c r="AC38" s="1309"/>
      <c r="AD38" s="1310"/>
      <c r="AE38" s="1309"/>
      <c r="AF38" s="1310"/>
      <c r="AG38" s="1309"/>
      <c r="AH38" s="1310"/>
      <c r="AI38" s="1306"/>
      <c r="AJ38" s="15"/>
    </row>
    <row r="39" spans="2:36" s="407" customFormat="1" outlineLevel="1">
      <c r="B39" s="24" t="s">
        <v>400</v>
      </c>
      <c r="D39" s="1298">
        <v>35510</v>
      </c>
      <c r="E39" s="1298" t="s">
        <v>292</v>
      </c>
      <c r="F39" s="1299"/>
      <c r="G39" s="1300"/>
      <c r="H39" s="1301"/>
      <c r="I39" s="1302"/>
      <c r="J39" s="1303">
        <v>41788.949999999997</v>
      </c>
      <c r="K39" s="1302"/>
      <c r="L39" s="1303">
        <v>37363.19</v>
      </c>
      <c r="M39" s="1302"/>
      <c r="N39" s="1303">
        <v>41227.01</v>
      </c>
      <c r="O39" s="1302"/>
      <c r="P39" s="1303">
        <v>43606.52</v>
      </c>
      <c r="Q39" s="1302"/>
      <c r="R39" s="1303">
        <v>40442.54</v>
      </c>
      <c r="S39" s="1302"/>
      <c r="T39" s="1303">
        <v>49660.68</v>
      </c>
      <c r="U39" s="1302"/>
      <c r="V39" s="1303">
        <v>49478.55</v>
      </c>
      <c r="W39" s="1302"/>
      <c r="X39" s="1303">
        <v>50655.56</v>
      </c>
      <c r="Y39" s="1302"/>
      <c r="Z39" s="1303">
        <v>49415.12</v>
      </c>
      <c r="AA39" s="1302"/>
      <c r="AB39" s="1303">
        <v>32071.46</v>
      </c>
      <c r="AC39" s="1302"/>
      <c r="AD39" s="1303">
        <v>32557.5</v>
      </c>
      <c r="AE39" s="1302"/>
      <c r="AF39" s="1303">
        <v>26644.35</v>
      </c>
      <c r="AG39" s="1302"/>
      <c r="AH39" s="1303">
        <f t="shared" ref="AH39:AH46" si="2">AF39+AD39+AB39+Z39+X39+V39+T39+R39+P39+N39+L39+J39</f>
        <v>494911.43</v>
      </c>
      <c r="AI39" s="1304">
        <f t="shared" ref="AI39:AI46" si="3">IF(AH$65=0,0,AH39/AH$65)</f>
        <v>1.4469272716470844E-2</v>
      </c>
      <c r="AJ39" s="12"/>
    </row>
    <row r="40" spans="2:36" s="407" customFormat="1" outlineLevel="1">
      <c r="B40" s="24" t="s">
        <v>397</v>
      </c>
      <c r="D40" s="1298">
        <v>35511</v>
      </c>
      <c r="E40" s="1298" t="s">
        <v>293</v>
      </c>
      <c r="F40" s="1299"/>
      <c r="G40" s="1300"/>
      <c r="H40" s="1301"/>
      <c r="I40" s="1302"/>
      <c r="J40" s="1303">
        <v>1890.6</v>
      </c>
      <c r="K40" s="1302"/>
      <c r="L40" s="1303">
        <v>1662.7</v>
      </c>
      <c r="M40" s="1302"/>
      <c r="N40" s="1303">
        <v>1806.35</v>
      </c>
      <c r="O40" s="1302"/>
      <c r="P40" s="1303">
        <v>1881.75</v>
      </c>
      <c r="Q40" s="1302"/>
      <c r="R40" s="1303">
        <v>2254.85</v>
      </c>
      <c r="S40" s="1302"/>
      <c r="T40" s="1303">
        <v>2145</v>
      </c>
      <c r="U40" s="1302"/>
      <c r="V40" s="1303">
        <v>1881.75</v>
      </c>
      <c r="W40" s="1302"/>
      <c r="X40" s="1303">
        <v>1760.2</v>
      </c>
      <c r="Y40" s="1302"/>
      <c r="Z40" s="1303">
        <v>1977.95</v>
      </c>
      <c r="AA40" s="1302"/>
      <c r="AB40" s="1303">
        <v>1513.85</v>
      </c>
      <c r="AC40" s="1302"/>
      <c r="AD40" s="1303">
        <v>-3491.8</v>
      </c>
      <c r="AE40" s="1302"/>
      <c r="AF40" s="1303">
        <v>0</v>
      </c>
      <c r="AG40" s="1302"/>
      <c r="AH40" s="1303">
        <f t="shared" si="2"/>
        <v>15283.2</v>
      </c>
      <c r="AI40" s="1304">
        <f t="shared" si="3"/>
        <v>4.4682093678937102E-4</v>
      </c>
      <c r="AJ40" s="12"/>
    </row>
    <row r="41" spans="2:36" s="407" customFormat="1" outlineLevel="1">
      <c r="B41" s="24" t="s">
        <v>397</v>
      </c>
      <c r="D41" s="1298">
        <v>35512</v>
      </c>
      <c r="E41" s="1298" t="s">
        <v>826</v>
      </c>
      <c r="F41" s="1299"/>
      <c r="G41" s="1300"/>
      <c r="H41" s="1301"/>
      <c r="I41" s="1302"/>
      <c r="J41" s="1303">
        <v>0</v>
      </c>
      <c r="K41" s="1302"/>
      <c r="L41" s="1303">
        <v>0</v>
      </c>
      <c r="M41" s="1302"/>
      <c r="N41" s="1303">
        <v>0</v>
      </c>
      <c r="O41" s="1302"/>
      <c r="P41" s="1303">
        <v>0</v>
      </c>
      <c r="Q41" s="1302"/>
      <c r="R41" s="1303">
        <v>0</v>
      </c>
      <c r="S41" s="1302"/>
      <c r="T41" s="1303">
        <v>0</v>
      </c>
      <c r="U41" s="1302"/>
      <c r="V41" s="1303">
        <v>0</v>
      </c>
      <c r="W41" s="1302"/>
      <c r="X41" s="1303">
        <v>0</v>
      </c>
      <c r="Y41" s="1302"/>
      <c r="Z41" s="1303">
        <v>0</v>
      </c>
      <c r="AA41" s="1302"/>
      <c r="AB41" s="1303">
        <v>0</v>
      </c>
      <c r="AC41" s="1302"/>
      <c r="AD41" s="1303">
        <v>5273.8</v>
      </c>
      <c r="AE41" s="1302"/>
      <c r="AF41" s="1303">
        <v>1797.75</v>
      </c>
      <c r="AG41" s="1302"/>
      <c r="AH41" s="1303">
        <f t="shared" si="2"/>
        <v>7071.55</v>
      </c>
      <c r="AI41" s="1304">
        <f t="shared" si="3"/>
        <v>2.0674443804653977E-4</v>
      </c>
      <c r="AJ41" s="12"/>
    </row>
    <row r="42" spans="2:36" s="407" customFormat="1" outlineLevel="1">
      <c r="B42" s="24" t="s">
        <v>397</v>
      </c>
      <c r="D42" s="1298">
        <v>35513</v>
      </c>
      <c r="E42" s="1298" t="s">
        <v>827</v>
      </c>
      <c r="F42" s="1299"/>
      <c r="G42" s="1300"/>
      <c r="H42" s="1301"/>
      <c r="I42" s="1302"/>
      <c r="J42" s="1303">
        <v>0</v>
      </c>
      <c r="K42" s="1302"/>
      <c r="L42" s="1303">
        <v>0</v>
      </c>
      <c r="M42" s="1302"/>
      <c r="N42" s="1303">
        <v>0</v>
      </c>
      <c r="O42" s="1302"/>
      <c r="P42" s="1303">
        <v>0</v>
      </c>
      <c r="Q42" s="1302"/>
      <c r="R42" s="1303">
        <v>0</v>
      </c>
      <c r="S42" s="1302"/>
      <c r="T42" s="1303">
        <v>0</v>
      </c>
      <c r="U42" s="1302"/>
      <c r="V42" s="1303">
        <v>0</v>
      </c>
      <c r="W42" s="1302"/>
      <c r="X42" s="1303">
        <v>0</v>
      </c>
      <c r="Y42" s="1302"/>
      <c r="Z42" s="1303">
        <v>0</v>
      </c>
      <c r="AA42" s="1302"/>
      <c r="AB42" s="1303">
        <v>0</v>
      </c>
      <c r="AC42" s="1302"/>
      <c r="AD42" s="1303">
        <v>0</v>
      </c>
      <c r="AE42" s="1302"/>
      <c r="AF42" s="1303">
        <v>0</v>
      </c>
      <c r="AG42" s="1302"/>
      <c r="AH42" s="1303">
        <f t="shared" si="2"/>
        <v>0</v>
      </c>
      <c r="AI42" s="1304">
        <f t="shared" si="3"/>
        <v>0</v>
      </c>
      <c r="AJ42" s="12"/>
    </row>
    <row r="43" spans="2:36" s="407" customFormat="1" outlineLevel="1">
      <c r="B43" s="24" t="s">
        <v>397</v>
      </c>
      <c r="D43" s="1298">
        <v>35514</v>
      </c>
      <c r="E43" s="1298" t="s">
        <v>828</v>
      </c>
      <c r="F43" s="1299"/>
      <c r="G43" s="1300"/>
      <c r="H43" s="1301"/>
      <c r="I43" s="1302"/>
      <c r="J43" s="1303">
        <v>0</v>
      </c>
      <c r="K43" s="1302"/>
      <c r="L43" s="1303">
        <v>0</v>
      </c>
      <c r="M43" s="1302"/>
      <c r="N43" s="1303">
        <v>0</v>
      </c>
      <c r="O43" s="1302"/>
      <c r="P43" s="1303">
        <v>0</v>
      </c>
      <c r="Q43" s="1302"/>
      <c r="R43" s="1303">
        <v>468</v>
      </c>
      <c r="S43" s="1302"/>
      <c r="T43" s="1303">
        <v>1238.4000000000001</v>
      </c>
      <c r="U43" s="1302"/>
      <c r="V43" s="1303">
        <v>841.6</v>
      </c>
      <c r="W43" s="1302"/>
      <c r="X43" s="1303">
        <v>0</v>
      </c>
      <c r="Y43" s="1302"/>
      <c r="Z43" s="1303">
        <v>0</v>
      </c>
      <c r="AA43" s="1302"/>
      <c r="AB43" s="1303">
        <v>762.3</v>
      </c>
      <c r="AC43" s="1302"/>
      <c r="AD43" s="1303">
        <v>-762.3</v>
      </c>
      <c r="AE43" s="1302"/>
      <c r="AF43" s="1303">
        <v>0</v>
      </c>
      <c r="AG43" s="1302"/>
      <c r="AH43" s="1303">
        <f t="shared" si="2"/>
        <v>2548</v>
      </c>
      <c r="AI43" s="1304">
        <f t="shared" si="3"/>
        <v>7.4493544999693602E-5</v>
      </c>
      <c r="AJ43" s="12"/>
    </row>
    <row r="44" spans="2:36" s="407" customFormat="1" outlineLevel="1">
      <c r="B44" s="24" t="s">
        <v>397</v>
      </c>
      <c r="D44" s="1298">
        <v>35515</v>
      </c>
      <c r="E44" s="1298" t="s">
        <v>294</v>
      </c>
      <c r="F44" s="1299"/>
      <c r="G44" s="1300"/>
      <c r="H44" s="1301"/>
      <c r="I44" s="1302"/>
      <c r="J44" s="1303">
        <v>0</v>
      </c>
      <c r="K44" s="1302"/>
      <c r="L44" s="1303">
        <v>1262.45</v>
      </c>
      <c r="M44" s="1302"/>
      <c r="N44" s="1303">
        <v>0</v>
      </c>
      <c r="O44" s="1302"/>
      <c r="P44" s="1303">
        <v>0</v>
      </c>
      <c r="Q44" s="1302"/>
      <c r="R44" s="1303">
        <v>0</v>
      </c>
      <c r="S44" s="1302"/>
      <c r="T44" s="1303">
        <v>0</v>
      </c>
      <c r="U44" s="1302"/>
      <c r="V44" s="1303">
        <v>0</v>
      </c>
      <c r="W44" s="1302"/>
      <c r="X44" s="1303">
        <v>0</v>
      </c>
      <c r="Y44" s="1302"/>
      <c r="Z44" s="1303">
        <v>0</v>
      </c>
      <c r="AA44" s="1302"/>
      <c r="AB44" s="1303">
        <v>0</v>
      </c>
      <c r="AC44" s="1302"/>
      <c r="AD44" s="1303">
        <v>0</v>
      </c>
      <c r="AE44" s="1302"/>
      <c r="AF44" s="1303">
        <v>0</v>
      </c>
      <c r="AG44" s="1302"/>
      <c r="AH44" s="1303">
        <f t="shared" si="2"/>
        <v>1262.45</v>
      </c>
      <c r="AI44" s="1304">
        <f t="shared" si="3"/>
        <v>3.6909095716194345E-5</v>
      </c>
      <c r="AJ44" s="12"/>
    </row>
    <row r="45" spans="2:36" s="407" customFormat="1" outlineLevel="1">
      <c r="B45" s="24" t="s">
        <v>397</v>
      </c>
      <c r="D45" s="1298">
        <v>35517</v>
      </c>
      <c r="E45" s="1298" t="s">
        <v>829</v>
      </c>
      <c r="F45" s="1299"/>
      <c r="G45" s="1300"/>
      <c r="H45" s="1301"/>
      <c r="I45" s="1302"/>
      <c r="J45" s="1303">
        <v>0</v>
      </c>
      <c r="K45" s="1302"/>
      <c r="L45" s="1303">
        <v>0</v>
      </c>
      <c r="M45" s="1302"/>
      <c r="N45" s="1303">
        <v>0</v>
      </c>
      <c r="O45" s="1302"/>
      <c r="P45" s="1303">
        <v>0</v>
      </c>
      <c r="Q45" s="1302"/>
      <c r="R45" s="1303">
        <v>0</v>
      </c>
      <c r="S45" s="1302"/>
      <c r="T45" s="1303">
        <v>0</v>
      </c>
      <c r="U45" s="1302"/>
      <c r="V45" s="1303">
        <v>0</v>
      </c>
      <c r="W45" s="1302"/>
      <c r="X45" s="1303">
        <v>0</v>
      </c>
      <c r="Y45" s="1302"/>
      <c r="Z45" s="1303">
        <v>0</v>
      </c>
      <c r="AA45" s="1302"/>
      <c r="AB45" s="1303">
        <v>0</v>
      </c>
      <c r="AC45" s="1302"/>
      <c r="AD45" s="1303">
        <v>1378.3</v>
      </c>
      <c r="AE45" s="1302"/>
      <c r="AF45" s="1303">
        <v>-49</v>
      </c>
      <c r="AG45" s="1302"/>
      <c r="AH45" s="1303">
        <f t="shared" si="2"/>
        <v>1329.3</v>
      </c>
      <c r="AI45" s="1304">
        <f t="shared" si="3"/>
        <v>3.8863528009455532E-5</v>
      </c>
      <c r="AJ45" s="12"/>
    </row>
    <row r="46" spans="2:36" s="407" customFormat="1" outlineLevel="1">
      <c r="B46" s="24" t="s">
        <v>397</v>
      </c>
      <c r="D46" s="1298">
        <v>35520</v>
      </c>
      <c r="E46" s="1298" t="s">
        <v>440</v>
      </c>
      <c r="F46" s="1299"/>
      <c r="G46" s="1300"/>
      <c r="H46" s="1301"/>
      <c r="I46" s="1302"/>
      <c r="J46" s="1303">
        <v>-5143.6000000000004</v>
      </c>
      <c r="K46" s="1302"/>
      <c r="L46" s="1303">
        <v>-4376.95</v>
      </c>
      <c r="M46" s="1302"/>
      <c r="N46" s="1303">
        <v>-7551.6</v>
      </c>
      <c r="O46" s="1302"/>
      <c r="P46" s="1303">
        <v>-5624.55</v>
      </c>
      <c r="Q46" s="1302"/>
      <c r="R46" s="1303">
        <v>-7569</v>
      </c>
      <c r="S46" s="1302"/>
      <c r="T46" s="1303">
        <v>-18306.25</v>
      </c>
      <c r="U46" s="1302"/>
      <c r="V46" s="1303">
        <v>-5590.85</v>
      </c>
      <c r="W46" s="1302"/>
      <c r="X46" s="1303">
        <v>-4096.08</v>
      </c>
      <c r="Y46" s="1302"/>
      <c r="Z46" s="1303">
        <v>-6378.3</v>
      </c>
      <c r="AA46" s="1302"/>
      <c r="AB46" s="1303">
        <v>-3450.5</v>
      </c>
      <c r="AC46" s="1302"/>
      <c r="AD46" s="1303">
        <v>-3774.25</v>
      </c>
      <c r="AE46" s="1302"/>
      <c r="AF46" s="1303">
        <v>-2680.65</v>
      </c>
      <c r="AG46" s="1302"/>
      <c r="AH46" s="1303">
        <f t="shared" si="2"/>
        <v>-74542.58</v>
      </c>
      <c r="AI46" s="1304">
        <f t="shared" si="3"/>
        <v>-2.1793332172775747E-3</v>
      </c>
      <c r="AJ46" s="12"/>
    </row>
    <row r="47" spans="2:36" s="8" customFormat="1" ht="5.0999999999999996" customHeight="1" outlineLevel="1">
      <c r="B47" s="16" t="s">
        <v>194</v>
      </c>
      <c r="D47" s="1299"/>
      <c r="E47" s="1299"/>
      <c r="F47" s="1299"/>
      <c r="G47" s="1299"/>
      <c r="H47" s="1301"/>
      <c r="I47" s="1301"/>
      <c r="J47" s="1311"/>
      <c r="K47" s="1309"/>
      <c r="L47" s="1311"/>
      <c r="M47" s="1309"/>
      <c r="N47" s="1311"/>
      <c r="O47" s="1309"/>
      <c r="P47" s="1311"/>
      <c r="Q47" s="1309"/>
      <c r="R47" s="1311"/>
      <c r="S47" s="1309"/>
      <c r="T47" s="1311"/>
      <c r="U47" s="1309"/>
      <c r="V47" s="1311"/>
      <c r="W47" s="1309"/>
      <c r="X47" s="1311"/>
      <c r="Y47" s="1309"/>
      <c r="Z47" s="1311"/>
      <c r="AA47" s="1309"/>
      <c r="AB47" s="1311"/>
      <c r="AC47" s="1309"/>
      <c r="AD47" s="1311"/>
      <c r="AE47" s="1309"/>
      <c r="AF47" s="1311"/>
      <c r="AG47" s="1309"/>
      <c r="AH47" s="1311"/>
      <c r="AI47" s="1306"/>
      <c r="AJ47" s="15"/>
    </row>
    <row r="48" spans="2:36" s="8" customFormat="1" ht="15">
      <c r="B48" s="2" t="s">
        <v>194</v>
      </c>
      <c r="D48" s="1301"/>
      <c r="E48" s="1301"/>
      <c r="F48" s="1299" t="s">
        <v>211</v>
      </c>
      <c r="G48" s="1301"/>
      <c r="H48" s="1301"/>
      <c r="I48" s="1301"/>
      <c r="J48" s="1308">
        <f>SUM(J38:J47)</f>
        <v>38535.949999999997</v>
      </c>
      <c r="K48" s="1309"/>
      <c r="L48" s="1308">
        <f>SUM(L38:L47)</f>
        <v>35911.39</v>
      </c>
      <c r="M48" s="1309"/>
      <c r="N48" s="1308">
        <f>SUM(N38:N47)</f>
        <v>35481.760000000002</v>
      </c>
      <c r="O48" s="1309"/>
      <c r="P48" s="1308">
        <f>SUM(P38:P47)</f>
        <v>39863.719999999994</v>
      </c>
      <c r="Q48" s="1309"/>
      <c r="R48" s="1308">
        <f>SUM(R38:R47)</f>
        <v>35596.39</v>
      </c>
      <c r="S48" s="1309"/>
      <c r="T48" s="1308">
        <f>SUM(T38:T47)</f>
        <v>34737.83</v>
      </c>
      <c r="U48" s="1309"/>
      <c r="V48" s="1308">
        <f>SUM(V38:V47)</f>
        <v>46611.05</v>
      </c>
      <c r="W48" s="1309"/>
      <c r="X48" s="1308">
        <f>SUM(X38:X47)</f>
        <v>48319.679999999993</v>
      </c>
      <c r="Y48" s="1309"/>
      <c r="Z48" s="1308">
        <f>SUM(Z38:Z47)</f>
        <v>45014.77</v>
      </c>
      <c r="AA48" s="1309"/>
      <c r="AB48" s="1308">
        <f>SUM(AB38:AB47)</f>
        <v>30897.11</v>
      </c>
      <c r="AC48" s="1309"/>
      <c r="AD48" s="1308">
        <f>SUM(AD38:AD47)</f>
        <v>31181.25</v>
      </c>
      <c r="AE48" s="1309"/>
      <c r="AF48" s="1308">
        <f>SUM(AF38:AF47)</f>
        <v>25712.449999999997</v>
      </c>
      <c r="AG48" s="1309"/>
      <c r="AH48" s="1308">
        <f>SUM(AH38:AH47)</f>
        <v>447863.35</v>
      </c>
      <c r="AI48" s="1304">
        <f>IF(AH$65=0,0,AH48/AH$65)</f>
        <v>1.3093771042754523E-2</v>
      </c>
      <c r="AJ48" s="15"/>
    </row>
    <row r="49" spans="2:36" s="8" customFormat="1" ht="15" outlineLevel="1">
      <c r="B49" s="2"/>
      <c r="D49" s="1299"/>
      <c r="E49" s="1299"/>
      <c r="F49" s="1299"/>
      <c r="G49" s="1299"/>
      <c r="H49" s="1301"/>
      <c r="I49" s="1301"/>
      <c r="J49" s="1310"/>
      <c r="K49" s="1309"/>
      <c r="L49" s="1310"/>
      <c r="M49" s="1309"/>
      <c r="N49" s="1310"/>
      <c r="O49" s="1309"/>
      <c r="P49" s="1310"/>
      <c r="Q49" s="1309"/>
      <c r="R49" s="1310"/>
      <c r="S49" s="1309"/>
      <c r="T49" s="1310"/>
      <c r="U49" s="1309"/>
      <c r="V49" s="1310"/>
      <c r="W49" s="1309"/>
      <c r="X49" s="1310"/>
      <c r="Y49" s="1309"/>
      <c r="Z49" s="1310"/>
      <c r="AA49" s="1309"/>
      <c r="AB49" s="1310"/>
      <c r="AC49" s="1309"/>
      <c r="AD49" s="1310"/>
      <c r="AE49" s="1309"/>
      <c r="AF49" s="1310"/>
      <c r="AG49" s="1309"/>
      <c r="AH49" s="1310"/>
      <c r="AI49" s="1306"/>
      <c r="AJ49" s="15"/>
    </row>
    <row r="50" spans="2:36" s="8" customFormat="1" ht="15" outlineLevel="1">
      <c r="B50" s="2" t="s">
        <v>194</v>
      </c>
      <c r="D50" s="1301"/>
      <c r="E50" s="1301"/>
      <c r="F50" s="1301"/>
      <c r="G50" s="1301"/>
      <c r="H50" s="1301"/>
      <c r="I50" s="1301"/>
      <c r="J50" s="1310"/>
      <c r="K50" s="1309"/>
      <c r="L50" s="1310"/>
      <c r="M50" s="1309"/>
      <c r="N50" s="1310"/>
      <c r="O50" s="1309"/>
      <c r="P50" s="1310"/>
      <c r="Q50" s="1309"/>
      <c r="R50" s="1310"/>
      <c r="S50" s="1309"/>
      <c r="T50" s="1310"/>
      <c r="U50" s="1309"/>
      <c r="V50" s="1310"/>
      <c r="W50" s="1309"/>
      <c r="X50" s="1310"/>
      <c r="Y50" s="1309"/>
      <c r="Z50" s="1310"/>
      <c r="AA50" s="1309"/>
      <c r="AB50" s="1310"/>
      <c r="AC50" s="1309"/>
      <c r="AD50" s="1310"/>
      <c r="AE50" s="1309"/>
      <c r="AF50" s="1310"/>
      <c r="AG50" s="1309"/>
      <c r="AH50" s="1310"/>
      <c r="AI50" s="1306"/>
      <c r="AJ50" s="15"/>
    </row>
    <row r="51" spans="2:36" s="407" customFormat="1" outlineLevel="1">
      <c r="B51" s="24" t="s">
        <v>401</v>
      </c>
      <c r="D51" s="1298"/>
      <c r="E51" s="1298"/>
      <c r="F51" s="1299"/>
      <c r="G51" s="1300"/>
      <c r="H51" s="1301"/>
      <c r="I51" s="1302"/>
      <c r="J51" s="1303"/>
      <c r="K51" s="1302"/>
      <c r="L51" s="1303"/>
      <c r="M51" s="1302"/>
      <c r="N51" s="1303"/>
      <c r="O51" s="1302"/>
      <c r="P51" s="1303"/>
      <c r="Q51" s="1302"/>
      <c r="R51" s="1303"/>
      <c r="S51" s="1302"/>
      <c r="T51" s="1303"/>
      <c r="U51" s="1302"/>
      <c r="V51" s="1303"/>
      <c r="W51" s="1302"/>
      <c r="X51" s="1303"/>
      <c r="Y51" s="1302"/>
      <c r="Z51" s="1303"/>
      <c r="AA51" s="1302"/>
      <c r="AB51" s="1303"/>
      <c r="AC51" s="1302"/>
      <c r="AD51" s="1303"/>
      <c r="AE51" s="1302"/>
      <c r="AF51" s="1303"/>
      <c r="AG51" s="1302"/>
      <c r="AH51" s="1303">
        <f>AF51+AD51+AB51+Z51+X51+V51+T51+R51+P51+N51+L51+J51</f>
        <v>0</v>
      </c>
      <c r="AI51" s="1304">
        <f>IF(AH$65=0,0,AH51/AH$65)</f>
        <v>0</v>
      </c>
      <c r="AJ51" s="12"/>
    </row>
    <row r="52" spans="2:36" s="8" customFormat="1" ht="3.75" customHeight="1" outlineLevel="1">
      <c r="B52" s="16" t="s">
        <v>194</v>
      </c>
      <c r="D52" s="1299"/>
      <c r="E52" s="1299"/>
      <c r="F52" s="1299"/>
      <c r="G52" s="1299"/>
      <c r="H52" s="1301"/>
      <c r="I52" s="1301"/>
      <c r="J52" s="1311"/>
      <c r="K52" s="1309"/>
      <c r="L52" s="1311"/>
      <c r="M52" s="1309"/>
      <c r="N52" s="1311"/>
      <c r="O52" s="1309"/>
      <c r="P52" s="1311"/>
      <c r="Q52" s="1309"/>
      <c r="R52" s="1311"/>
      <c r="S52" s="1309"/>
      <c r="T52" s="1311"/>
      <c r="U52" s="1309"/>
      <c r="V52" s="1311"/>
      <c r="W52" s="1309"/>
      <c r="X52" s="1311"/>
      <c r="Y52" s="1309"/>
      <c r="Z52" s="1311"/>
      <c r="AA52" s="1309"/>
      <c r="AB52" s="1311"/>
      <c r="AC52" s="1309"/>
      <c r="AD52" s="1311"/>
      <c r="AE52" s="1309"/>
      <c r="AF52" s="1311"/>
      <c r="AG52" s="1309"/>
      <c r="AH52" s="1311"/>
      <c r="AI52" s="1306"/>
      <c r="AJ52" s="15"/>
    </row>
    <row r="53" spans="2:36" s="8" customFormat="1" ht="15">
      <c r="B53" s="2" t="s">
        <v>194</v>
      </c>
      <c r="D53" s="1301"/>
      <c r="E53" s="1301"/>
      <c r="F53" s="1299" t="s">
        <v>212</v>
      </c>
      <c r="G53" s="1301"/>
      <c r="H53" s="1301"/>
      <c r="I53" s="1301"/>
      <c r="J53" s="1308">
        <f>SUM(J50:J52)</f>
        <v>0</v>
      </c>
      <c r="K53" s="1309"/>
      <c r="L53" s="1308">
        <f>SUM(L50:L52)</f>
        <v>0</v>
      </c>
      <c r="M53" s="1309"/>
      <c r="N53" s="1308">
        <f>SUM(N50:N52)</f>
        <v>0</v>
      </c>
      <c r="O53" s="1309"/>
      <c r="P53" s="1308">
        <f>SUM(P50:P52)</f>
        <v>0</v>
      </c>
      <c r="Q53" s="1309"/>
      <c r="R53" s="1308">
        <f>SUM(R50:R52)</f>
        <v>0</v>
      </c>
      <c r="S53" s="1309"/>
      <c r="T53" s="1308">
        <f>SUM(T50:T52)</f>
        <v>0</v>
      </c>
      <c r="U53" s="1309"/>
      <c r="V53" s="1308">
        <f>SUM(V50:V52)</f>
        <v>0</v>
      </c>
      <c r="W53" s="1309"/>
      <c r="X53" s="1308">
        <f>SUM(X50:X52)</f>
        <v>0</v>
      </c>
      <c r="Y53" s="1309"/>
      <c r="Z53" s="1308">
        <f>SUM(Z50:Z52)</f>
        <v>0</v>
      </c>
      <c r="AA53" s="1309"/>
      <c r="AB53" s="1308">
        <f>SUM(AB50:AB52)</f>
        <v>0</v>
      </c>
      <c r="AC53" s="1309"/>
      <c r="AD53" s="1308">
        <f>SUM(AD50:AD52)</f>
        <v>0</v>
      </c>
      <c r="AE53" s="1309"/>
      <c r="AF53" s="1308">
        <f>SUM(AF50:AF52)</f>
        <v>0</v>
      </c>
      <c r="AG53" s="1309"/>
      <c r="AH53" s="1308">
        <f>SUM(AH50:AH52)</f>
        <v>0</v>
      </c>
      <c r="AI53" s="1304">
        <f>IF(AH$65=0,0,AH53/AH$65)</f>
        <v>0</v>
      </c>
      <c r="AJ53" s="15"/>
    </row>
    <row r="54" spans="2:36" s="8" customFormat="1" ht="15" outlineLevel="1">
      <c r="B54" s="16" t="s">
        <v>194</v>
      </c>
      <c r="D54" s="1301"/>
      <c r="E54" s="1301"/>
      <c r="F54" s="1301"/>
      <c r="G54" s="1301"/>
      <c r="H54" s="1301"/>
      <c r="I54" s="1301"/>
      <c r="J54" s="1310"/>
      <c r="K54" s="1309"/>
      <c r="L54" s="1310"/>
      <c r="M54" s="1309"/>
      <c r="N54" s="1310"/>
      <c r="O54" s="1309"/>
      <c r="P54" s="1310"/>
      <c r="Q54" s="1309"/>
      <c r="R54" s="1310"/>
      <c r="S54" s="1309"/>
      <c r="T54" s="1310"/>
      <c r="U54" s="1309"/>
      <c r="V54" s="1310"/>
      <c r="W54" s="1309"/>
      <c r="X54" s="1310"/>
      <c r="Y54" s="1309"/>
      <c r="Z54" s="1310"/>
      <c r="AA54" s="1309"/>
      <c r="AB54" s="1310"/>
      <c r="AC54" s="1309"/>
      <c r="AD54" s="1310"/>
      <c r="AE54" s="1309"/>
      <c r="AF54" s="1310"/>
      <c r="AG54" s="1309"/>
      <c r="AH54" s="1310"/>
      <c r="AI54" s="1306"/>
      <c r="AJ54" s="15"/>
    </row>
    <row r="55" spans="2:36" s="407" customFormat="1" outlineLevel="1">
      <c r="B55" s="24" t="s">
        <v>402</v>
      </c>
      <c r="D55" s="1298"/>
      <c r="E55" s="1298"/>
      <c r="F55" s="1299"/>
      <c r="G55" s="1300"/>
      <c r="H55" s="1301"/>
      <c r="I55" s="1302"/>
      <c r="J55" s="1303"/>
      <c r="K55" s="1302"/>
      <c r="L55" s="1303"/>
      <c r="M55" s="1302"/>
      <c r="N55" s="1303"/>
      <c r="O55" s="1302"/>
      <c r="P55" s="1303"/>
      <c r="Q55" s="1302"/>
      <c r="R55" s="1303"/>
      <c r="S55" s="1302"/>
      <c r="T55" s="1303"/>
      <c r="U55" s="1302"/>
      <c r="V55" s="1303"/>
      <c r="W55" s="1302"/>
      <c r="X55" s="1303"/>
      <c r="Y55" s="1302"/>
      <c r="Z55" s="1303"/>
      <c r="AA55" s="1302"/>
      <c r="AB55" s="1303"/>
      <c r="AC55" s="1302"/>
      <c r="AD55" s="1303"/>
      <c r="AE55" s="1302"/>
      <c r="AF55" s="1303"/>
      <c r="AG55" s="1302"/>
      <c r="AH55" s="1303">
        <f>AF55+AD55+AB55+Z55+X55+V55+T55+R55+P55+N55+L55+J55</f>
        <v>0</v>
      </c>
      <c r="AI55" s="1304">
        <f>IF(AH$65=0,0,AH55/AH$65)</f>
        <v>0</v>
      </c>
      <c r="AJ55" s="12"/>
    </row>
    <row r="56" spans="2:36" s="8" customFormat="1" ht="3.75" customHeight="1" outlineLevel="1">
      <c r="B56" s="16" t="s">
        <v>194</v>
      </c>
      <c r="D56" s="1299"/>
      <c r="E56" s="1299"/>
      <c r="F56" s="1299"/>
      <c r="G56" s="1299"/>
      <c r="H56" s="1301"/>
      <c r="I56" s="1301"/>
      <c r="J56" s="1311"/>
      <c r="K56" s="1309"/>
      <c r="L56" s="1311"/>
      <c r="M56" s="1309"/>
      <c r="N56" s="1311"/>
      <c r="O56" s="1309"/>
      <c r="P56" s="1311"/>
      <c r="Q56" s="1309"/>
      <c r="R56" s="1311"/>
      <c r="S56" s="1309"/>
      <c r="T56" s="1311"/>
      <c r="U56" s="1309"/>
      <c r="V56" s="1311"/>
      <c r="W56" s="1309"/>
      <c r="X56" s="1311"/>
      <c r="Y56" s="1309"/>
      <c r="Z56" s="1311"/>
      <c r="AA56" s="1309"/>
      <c r="AB56" s="1311"/>
      <c r="AC56" s="1309"/>
      <c r="AD56" s="1311"/>
      <c r="AE56" s="1309"/>
      <c r="AF56" s="1311"/>
      <c r="AG56" s="1309"/>
      <c r="AH56" s="1311"/>
      <c r="AI56" s="1306"/>
      <c r="AJ56" s="15"/>
    </row>
    <row r="57" spans="2:36" s="8" customFormat="1" ht="15">
      <c r="B57" s="16"/>
      <c r="D57" s="1301"/>
      <c r="E57" s="1301"/>
      <c r="F57" s="1299" t="s">
        <v>213</v>
      </c>
      <c r="G57" s="1301"/>
      <c r="H57" s="1301"/>
      <c r="I57" s="1301"/>
      <c r="J57" s="1308">
        <f>SUM(J55:J56)</f>
        <v>0</v>
      </c>
      <c r="K57" s="1309"/>
      <c r="L57" s="1308">
        <f>SUM(L55:L56)</f>
        <v>0</v>
      </c>
      <c r="M57" s="1309"/>
      <c r="N57" s="1308">
        <f>SUM(N55:N56)</f>
        <v>0</v>
      </c>
      <c r="O57" s="1309"/>
      <c r="P57" s="1308">
        <f>SUM(P55:P56)</f>
        <v>0</v>
      </c>
      <c r="Q57" s="1309"/>
      <c r="R57" s="1308">
        <f>SUM(R55:R56)</f>
        <v>0</v>
      </c>
      <c r="S57" s="1309"/>
      <c r="T57" s="1308">
        <f>SUM(T55:T56)</f>
        <v>0</v>
      </c>
      <c r="U57" s="1309"/>
      <c r="V57" s="1308">
        <f>SUM(V55:V56)</f>
        <v>0</v>
      </c>
      <c r="W57" s="1309"/>
      <c r="X57" s="1308">
        <f>SUM(X55:X56)</f>
        <v>0</v>
      </c>
      <c r="Y57" s="1309"/>
      <c r="Z57" s="1308">
        <f>SUM(Z55:Z56)</f>
        <v>0</v>
      </c>
      <c r="AA57" s="1309"/>
      <c r="AB57" s="1308">
        <f>SUM(AB55:AB56)</f>
        <v>0</v>
      </c>
      <c r="AC57" s="1309"/>
      <c r="AD57" s="1308">
        <f>SUM(AD55:AD56)</f>
        <v>0</v>
      </c>
      <c r="AE57" s="1309"/>
      <c r="AF57" s="1308">
        <f>SUM(AF55:AF56)</f>
        <v>0</v>
      </c>
      <c r="AG57" s="1309"/>
      <c r="AH57" s="1308">
        <f>SUM(AH55:AH56)</f>
        <v>0</v>
      </c>
      <c r="AI57" s="1304">
        <f>IF(AH$65=0,0,AH57/AH$65)</f>
        <v>0</v>
      </c>
      <c r="AJ57" s="15"/>
    </row>
    <row r="58" spans="2:36" s="8" customFormat="1" ht="15" outlineLevel="1">
      <c r="B58" s="16"/>
      <c r="D58" s="1301"/>
      <c r="E58" s="1301"/>
      <c r="F58" s="1301"/>
      <c r="G58" s="1301"/>
      <c r="H58" s="1301"/>
      <c r="I58" s="1301"/>
      <c r="J58" s="1310"/>
      <c r="K58" s="1309"/>
      <c r="L58" s="1310"/>
      <c r="M58" s="1309"/>
      <c r="N58" s="1310"/>
      <c r="O58" s="1309"/>
      <c r="P58" s="1310"/>
      <c r="Q58" s="1309"/>
      <c r="R58" s="1310"/>
      <c r="S58" s="1309"/>
      <c r="T58" s="1310"/>
      <c r="U58" s="1309"/>
      <c r="V58" s="1310"/>
      <c r="W58" s="1309"/>
      <c r="X58" s="1310"/>
      <c r="Y58" s="1309"/>
      <c r="Z58" s="1310"/>
      <c r="AA58" s="1309"/>
      <c r="AB58" s="1310"/>
      <c r="AC58" s="1309"/>
      <c r="AD58" s="1310"/>
      <c r="AE58" s="1309"/>
      <c r="AF58" s="1310"/>
      <c r="AG58" s="1309"/>
      <c r="AH58" s="1310"/>
      <c r="AI58" s="1306"/>
      <c r="AJ58" s="15"/>
    </row>
    <row r="59" spans="2:36" s="8" customFormat="1" ht="15" outlineLevel="1">
      <c r="B59" s="16" t="s">
        <v>194</v>
      </c>
      <c r="D59" s="1301"/>
      <c r="E59" s="1301"/>
      <c r="F59" s="1301"/>
      <c r="G59" s="1301"/>
      <c r="H59" s="1301"/>
      <c r="I59" s="1301"/>
      <c r="J59" s="1310"/>
      <c r="K59" s="1309"/>
      <c r="L59" s="1310"/>
      <c r="M59" s="1309"/>
      <c r="N59" s="1310"/>
      <c r="O59" s="1309"/>
      <c r="P59" s="1310"/>
      <c r="Q59" s="1309"/>
      <c r="R59" s="1310"/>
      <c r="S59" s="1309"/>
      <c r="T59" s="1310"/>
      <c r="U59" s="1309"/>
      <c r="V59" s="1310"/>
      <c r="W59" s="1309"/>
      <c r="X59" s="1310"/>
      <c r="Y59" s="1309"/>
      <c r="Z59" s="1310"/>
      <c r="AA59" s="1309"/>
      <c r="AB59" s="1310"/>
      <c r="AC59" s="1309"/>
      <c r="AD59" s="1310"/>
      <c r="AE59" s="1309"/>
      <c r="AF59" s="1310"/>
      <c r="AG59" s="1309"/>
      <c r="AH59" s="1310"/>
      <c r="AI59" s="1306"/>
      <c r="AJ59" s="15"/>
    </row>
    <row r="60" spans="2:36" s="407" customFormat="1" outlineLevel="1">
      <c r="B60" s="24" t="s">
        <v>403</v>
      </c>
      <c r="D60" s="1298">
        <v>38000</v>
      </c>
      <c r="E60" s="1298" t="s">
        <v>214</v>
      </c>
      <c r="F60" s="1299"/>
      <c r="G60" s="1300"/>
      <c r="H60" s="1301"/>
      <c r="I60" s="1302"/>
      <c r="J60" s="1303">
        <v>2976.39</v>
      </c>
      <c r="K60" s="1302"/>
      <c r="L60" s="1303">
        <v>2993.03</v>
      </c>
      <c r="M60" s="1302"/>
      <c r="N60" s="1303">
        <v>3139.83</v>
      </c>
      <c r="O60" s="1302"/>
      <c r="P60" s="1303">
        <v>2679.57</v>
      </c>
      <c r="Q60" s="1302"/>
      <c r="R60" s="1303">
        <v>4105.93</v>
      </c>
      <c r="S60" s="1302"/>
      <c r="T60" s="1303">
        <v>2893.58</v>
      </c>
      <c r="U60" s="1302"/>
      <c r="V60" s="1303">
        <v>4379.1899999999996</v>
      </c>
      <c r="W60" s="1302"/>
      <c r="X60" s="1303">
        <v>2413.6799999999998</v>
      </c>
      <c r="Y60" s="1302"/>
      <c r="Z60" s="1303">
        <v>3599.18</v>
      </c>
      <c r="AA60" s="1302"/>
      <c r="AB60" s="1303">
        <v>2835.88</v>
      </c>
      <c r="AC60" s="1302"/>
      <c r="AD60" s="1303">
        <v>3391.52</v>
      </c>
      <c r="AE60" s="1302"/>
      <c r="AF60" s="1303">
        <v>3111.55</v>
      </c>
      <c r="AG60" s="1302"/>
      <c r="AH60" s="1303">
        <f t="shared" ref="AH60:AH61" si="4">AF60+AD60+AB60+Z60+X60+V60+T60+R60+P60+N60+L60+J60</f>
        <v>38519.33</v>
      </c>
      <c r="AI60" s="1304">
        <f t="shared" ref="AI60:AI61" si="5">IF(AH$65=0,0,AH60/AH$65)</f>
        <v>1.1261544123677583E-3</v>
      </c>
      <c r="AJ60" s="12"/>
    </row>
    <row r="61" spans="2:36" s="407" customFormat="1" outlineLevel="1">
      <c r="B61" s="24" t="s">
        <v>397</v>
      </c>
      <c r="D61" s="1298">
        <v>38001</v>
      </c>
      <c r="E61" s="1298" t="s">
        <v>435</v>
      </c>
      <c r="F61" s="1299"/>
      <c r="G61" s="1300"/>
      <c r="H61" s="1301"/>
      <c r="I61" s="1302"/>
      <c r="J61" s="1303">
        <v>2408.35</v>
      </c>
      <c r="K61" s="1302"/>
      <c r="L61" s="1303">
        <v>5690.71</v>
      </c>
      <c r="M61" s="1302"/>
      <c r="N61" s="1303">
        <v>2454.2600000000002</v>
      </c>
      <c r="O61" s="1302"/>
      <c r="P61" s="1303">
        <v>3419.69</v>
      </c>
      <c r="Q61" s="1302"/>
      <c r="R61" s="1303">
        <v>2475.96</v>
      </c>
      <c r="S61" s="1302"/>
      <c r="T61" s="1303">
        <v>2353.06</v>
      </c>
      <c r="U61" s="1302"/>
      <c r="V61" s="1303">
        <v>2307.9899999999998</v>
      </c>
      <c r="W61" s="1302"/>
      <c r="X61" s="1303">
        <v>3445.51</v>
      </c>
      <c r="Y61" s="1302"/>
      <c r="Z61" s="1303">
        <v>2134.9</v>
      </c>
      <c r="AA61" s="1302"/>
      <c r="AB61" s="1303">
        <v>2591.36</v>
      </c>
      <c r="AC61" s="1302"/>
      <c r="AD61" s="1303">
        <v>2070.59</v>
      </c>
      <c r="AE61" s="1302"/>
      <c r="AF61" s="1303">
        <v>2441.87</v>
      </c>
      <c r="AG61" s="1302"/>
      <c r="AH61" s="1303">
        <f t="shared" si="4"/>
        <v>33794.249999999993</v>
      </c>
      <c r="AI61" s="1304">
        <f t="shared" si="5"/>
        <v>9.8801157107766672E-4</v>
      </c>
      <c r="AJ61" s="12"/>
    </row>
    <row r="62" spans="2:36" s="8" customFormat="1" ht="4.5" customHeight="1" outlineLevel="1">
      <c r="B62" s="16" t="s">
        <v>194</v>
      </c>
      <c r="D62" s="1312"/>
      <c r="E62" s="1301"/>
      <c r="F62" s="1301"/>
      <c r="G62" s="1301"/>
      <c r="H62" s="1301"/>
      <c r="I62" s="1301"/>
      <c r="J62" s="1311"/>
      <c r="K62" s="1309"/>
      <c r="L62" s="1311"/>
      <c r="M62" s="1309"/>
      <c r="N62" s="1311"/>
      <c r="O62" s="1309"/>
      <c r="P62" s="1311"/>
      <c r="Q62" s="1309"/>
      <c r="R62" s="1311"/>
      <c r="S62" s="1309"/>
      <c r="T62" s="1311"/>
      <c r="U62" s="1309"/>
      <c r="V62" s="1311"/>
      <c r="W62" s="1309"/>
      <c r="X62" s="1311"/>
      <c r="Y62" s="1309"/>
      <c r="Z62" s="1311"/>
      <c r="AA62" s="1309"/>
      <c r="AB62" s="1311"/>
      <c r="AC62" s="1309"/>
      <c r="AD62" s="1311"/>
      <c r="AE62" s="1309"/>
      <c r="AF62" s="1311"/>
      <c r="AG62" s="1309"/>
      <c r="AH62" s="1311"/>
      <c r="AI62" s="1306"/>
      <c r="AJ62" s="15"/>
    </row>
    <row r="63" spans="2:36" s="8" customFormat="1" ht="15">
      <c r="B63" s="16" t="s">
        <v>194</v>
      </c>
      <c r="D63" s="1301"/>
      <c r="E63" s="1301"/>
      <c r="F63" s="1301" t="s">
        <v>214</v>
      </c>
      <c r="G63" s="1301"/>
      <c r="H63" s="1301"/>
      <c r="I63" s="1301"/>
      <c r="J63" s="1308">
        <f>SUM(J59:J62)</f>
        <v>5384.74</v>
      </c>
      <c r="K63" s="1309"/>
      <c r="L63" s="1308">
        <f>SUM(L59:L62)</f>
        <v>8683.74</v>
      </c>
      <c r="M63" s="1309"/>
      <c r="N63" s="1308">
        <f>SUM(N59:N62)</f>
        <v>5594.09</v>
      </c>
      <c r="O63" s="1309"/>
      <c r="P63" s="1308">
        <f>SUM(P59:P62)</f>
        <v>6099.26</v>
      </c>
      <c r="Q63" s="1309"/>
      <c r="R63" s="1308">
        <f>SUM(R59:R62)</f>
        <v>6581.89</v>
      </c>
      <c r="S63" s="1309"/>
      <c r="T63" s="1308">
        <f>SUM(T59:T62)</f>
        <v>5246.6399999999994</v>
      </c>
      <c r="U63" s="1309"/>
      <c r="V63" s="1308">
        <f>SUM(V59:V62)</f>
        <v>6687.1799999999994</v>
      </c>
      <c r="W63" s="1309"/>
      <c r="X63" s="1308">
        <f>SUM(X59:X62)</f>
        <v>5859.1900000000005</v>
      </c>
      <c r="Y63" s="1309"/>
      <c r="Z63" s="1308">
        <f>SUM(Z59:Z62)</f>
        <v>5734.08</v>
      </c>
      <c r="AA63" s="1309"/>
      <c r="AB63" s="1308">
        <f>SUM(AB59:AB62)</f>
        <v>5427.24</v>
      </c>
      <c r="AC63" s="1309"/>
      <c r="AD63" s="1308">
        <f>SUM(AD59:AD62)</f>
        <v>5462.1100000000006</v>
      </c>
      <c r="AE63" s="1309"/>
      <c r="AF63" s="1308">
        <f>SUM(AF59:AF62)</f>
        <v>5553.42</v>
      </c>
      <c r="AG63" s="1309"/>
      <c r="AH63" s="1308">
        <f>SUM(AH59:AH62)</f>
        <v>72313.579999999987</v>
      </c>
      <c r="AI63" s="1304">
        <f>IF(AH$65=0,0,AH63/AH$65)</f>
        <v>2.1141659834454248E-3</v>
      </c>
      <c r="AJ63" s="15"/>
    </row>
    <row r="64" spans="2:36" s="8" customFormat="1" ht="7.5" customHeight="1">
      <c r="B64" s="16" t="s">
        <v>194</v>
      </c>
      <c r="D64" s="1301"/>
      <c r="E64" s="1301"/>
      <c r="F64" s="1301"/>
      <c r="G64" s="1301"/>
      <c r="H64" s="1301"/>
      <c r="I64" s="1301"/>
      <c r="J64" s="1310"/>
      <c r="K64" s="1309"/>
      <c r="L64" s="1310"/>
      <c r="M64" s="1309"/>
      <c r="N64" s="1310"/>
      <c r="O64" s="1309"/>
      <c r="P64" s="1310"/>
      <c r="Q64" s="1309"/>
      <c r="R64" s="1310"/>
      <c r="S64" s="1309"/>
      <c r="T64" s="1310"/>
      <c r="U64" s="1309"/>
      <c r="V64" s="1310"/>
      <c r="W64" s="1309"/>
      <c r="X64" s="1310"/>
      <c r="Y64" s="1309"/>
      <c r="Z64" s="1310"/>
      <c r="AA64" s="1309"/>
      <c r="AB64" s="1310"/>
      <c r="AC64" s="1309"/>
      <c r="AD64" s="1310"/>
      <c r="AE64" s="1309"/>
      <c r="AF64" s="1310"/>
      <c r="AG64" s="1309"/>
      <c r="AH64" s="1310"/>
      <c r="AI64" s="1306"/>
      <c r="AJ64" s="15"/>
    </row>
    <row r="65" spans="2:36" s="8" customFormat="1" ht="15">
      <c r="B65" s="16" t="s">
        <v>194</v>
      </c>
      <c r="D65" s="1301"/>
      <c r="E65" s="1313" t="s">
        <v>174</v>
      </c>
      <c r="F65" s="1301"/>
      <c r="G65" s="1301"/>
      <c r="H65" s="1301"/>
      <c r="I65" s="1301"/>
      <c r="J65" s="1314">
        <f>+J36+J48+J53+J63+J32+J57</f>
        <v>2868969.24</v>
      </c>
      <c r="K65" s="1309"/>
      <c r="L65" s="1314">
        <f>+L36+L48+L53+L63+L32+L57</f>
        <v>2858107.7800000003</v>
      </c>
      <c r="M65" s="1309"/>
      <c r="N65" s="1314">
        <f>+N36+N48+N53+N63+N32+N57</f>
        <v>2830188.52</v>
      </c>
      <c r="O65" s="1309"/>
      <c r="P65" s="1314">
        <f>+P36+P48+P53+P63+P32+P57</f>
        <v>2909768.0700000003</v>
      </c>
      <c r="Q65" s="1309"/>
      <c r="R65" s="1314">
        <f>+R36+R48+R53+R63+R32+R57</f>
        <v>2784672.2199999997</v>
      </c>
      <c r="S65" s="1309"/>
      <c r="T65" s="1314">
        <f>+T36+T48+T53+T63+T32+T57</f>
        <v>2912444.040000001</v>
      </c>
      <c r="U65" s="1309"/>
      <c r="V65" s="1314">
        <f>+V36+V48+V53+V63+V32+V57</f>
        <v>2868386.9699999993</v>
      </c>
      <c r="W65" s="1309"/>
      <c r="X65" s="1314">
        <f>+X36+X48+X53+X63+X32+X57</f>
        <v>2822847.5400000005</v>
      </c>
      <c r="Y65" s="1309"/>
      <c r="Z65" s="1314">
        <f>+Z36+Z48+Z53+Z63+Z32+Z57</f>
        <v>2867773.4600000004</v>
      </c>
      <c r="AA65" s="1309"/>
      <c r="AB65" s="1314">
        <f>+AB36+AB48+AB53+AB63+AB32+AB57</f>
        <v>2734447.78</v>
      </c>
      <c r="AC65" s="1309"/>
      <c r="AD65" s="1314">
        <f>+AD36+AD48+AD53+AD63+AD32+AD57</f>
        <v>2859813.14</v>
      </c>
      <c r="AE65" s="1309"/>
      <c r="AF65" s="1314">
        <f>+AF36+AF48+AF53+AF63+AF32+AF57</f>
        <v>2886887.1300000004</v>
      </c>
      <c r="AG65" s="1309"/>
      <c r="AH65" s="1314">
        <f>+AH36+AH48+AH53+AH63+AH32+AH57</f>
        <v>34204305.890000001</v>
      </c>
      <c r="AI65" s="1304">
        <f>IF(AH$65=0,0,AH65/AH$65)</f>
        <v>1</v>
      </c>
      <c r="AJ65" s="15"/>
    </row>
    <row r="66" spans="2:36" s="8" customFormat="1" ht="7.5" customHeight="1">
      <c r="B66" s="16" t="s">
        <v>194</v>
      </c>
      <c r="D66" s="1301"/>
      <c r="E66" s="1301"/>
      <c r="F66" s="1301"/>
      <c r="G66" s="1301"/>
      <c r="H66" s="1301"/>
      <c r="I66" s="1301"/>
      <c r="J66" s="1310"/>
      <c r="K66" s="1309"/>
      <c r="L66" s="1310"/>
      <c r="M66" s="1309"/>
      <c r="N66" s="1310"/>
      <c r="O66" s="1309"/>
      <c r="P66" s="1310"/>
      <c r="Q66" s="1309"/>
      <c r="R66" s="1310"/>
      <c r="S66" s="1309"/>
      <c r="T66" s="1310"/>
      <c r="U66" s="1309"/>
      <c r="V66" s="1310"/>
      <c r="W66" s="1309"/>
      <c r="X66" s="1310"/>
      <c r="Y66" s="1309"/>
      <c r="Z66" s="1310"/>
      <c r="AA66" s="1309"/>
      <c r="AB66" s="1310"/>
      <c r="AC66" s="1309"/>
      <c r="AD66" s="1310"/>
      <c r="AE66" s="1309"/>
      <c r="AF66" s="1310"/>
      <c r="AG66" s="1309"/>
      <c r="AH66" s="1310"/>
      <c r="AI66" s="1306"/>
      <c r="AJ66" s="15"/>
    </row>
    <row r="67" spans="2:36" s="8" customFormat="1" ht="15" outlineLevel="1">
      <c r="B67" s="16"/>
      <c r="D67" s="1301"/>
      <c r="E67" s="1301"/>
      <c r="F67" s="1301"/>
      <c r="G67" s="1301"/>
      <c r="H67" s="1301"/>
      <c r="I67" s="1301"/>
      <c r="J67" s="1310"/>
      <c r="K67" s="1309"/>
      <c r="L67" s="1310"/>
      <c r="M67" s="1309"/>
      <c r="N67" s="1310"/>
      <c r="O67" s="1309"/>
      <c r="P67" s="1310"/>
      <c r="Q67" s="1309"/>
      <c r="R67" s="1310"/>
      <c r="S67" s="1309"/>
      <c r="T67" s="1310"/>
      <c r="U67" s="1309"/>
      <c r="V67" s="1310"/>
      <c r="W67" s="1309"/>
      <c r="X67" s="1310"/>
      <c r="Y67" s="1309"/>
      <c r="Z67" s="1310"/>
      <c r="AA67" s="1309"/>
      <c r="AB67" s="1310"/>
      <c r="AC67" s="1309"/>
      <c r="AD67" s="1310"/>
      <c r="AE67" s="1309"/>
      <c r="AF67" s="1310"/>
      <c r="AG67" s="1309"/>
      <c r="AH67" s="1310"/>
      <c r="AI67" s="1306"/>
      <c r="AJ67" s="15"/>
    </row>
    <row r="68" spans="2:36" s="407" customFormat="1" outlineLevel="1">
      <c r="B68" s="24" t="s">
        <v>404</v>
      </c>
      <c r="D68" s="1298">
        <v>40101</v>
      </c>
      <c r="E68" s="1298" t="s">
        <v>67</v>
      </c>
      <c r="F68" s="1299"/>
      <c r="G68" s="1300"/>
      <c r="H68" s="1301"/>
      <c r="I68" s="1302"/>
      <c r="J68" s="1303">
        <v>1104227</v>
      </c>
      <c r="K68" s="1302"/>
      <c r="L68" s="1303">
        <v>985292</v>
      </c>
      <c r="M68" s="1302"/>
      <c r="N68" s="1303">
        <v>1015325</v>
      </c>
      <c r="O68" s="1302"/>
      <c r="P68" s="1303">
        <v>1058026</v>
      </c>
      <c r="Q68" s="1302"/>
      <c r="R68" s="1303">
        <v>922137</v>
      </c>
      <c r="S68" s="1302"/>
      <c r="T68" s="1303">
        <v>1058458</v>
      </c>
      <c r="U68" s="1302"/>
      <c r="V68" s="1303">
        <v>1044394</v>
      </c>
      <c r="W68" s="1302"/>
      <c r="X68" s="1303">
        <v>957413</v>
      </c>
      <c r="Y68" s="1302"/>
      <c r="Z68" s="1303">
        <v>1042031</v>
      </c>
      <c r="AA68" s="1302"/>
      <c r="AB68" s="1303">
        <v>800150</v>
      </c>
      <c r="AC68" s="1302"/>
      <c r="AD68" s="1303">
        <v>948239</v>
      </c>
      <c r="AE68" s="1302"/>
      <c r="AF68" s="1303">
        <v>1039304</v>
      </c>
      <c r="AG68" s="1302"/>
      <c r="AH68" s="1303">
        <f t="shared" ref="AH68:AH70" si="6">AF68+AD68+AB68+Z68+X68+V68+T68+R68+P68+N68+L68+J68</f>
        <v>11974996</v>
      </c>
      <c r="AI68" s="1304">
        <f t="shared" ref="AI68:AI70" si="7">IF(AH$65=0,0,AH68/AH$65)</f>
        <v>0.35010200290312044</v>
      </c>
      <c r="AJ68" s="12"/>
    </row>
    <row r="69" spans="2:36" s="407" customFormat="1" outlineLevel="1">
      <c r="B69" s="24" t="s">
        <v>397</v>
      </c>
      <c r="D69" s="1298">
        <v>40109</v>
      </c>
      <c r="E69" s="1298" t="s">
        <v>68</v>
      </c>
      <c r="F69" s="1299"/>
      <c r="G69" s="1300"/>
      <c r="H69" s="1301"/>
      <c r="I69" s="1302"/>
      <c r="J69" s="1303">
        <v>1844.29</v>
      </c>
      <c r="K69" s="1302"/>
      <c r="L69" s="1303">
        <v>2141.5500000000002</v>
      </c>
      <c r="M69" s="1302"/>
      <c r="N69" s="1303">
        <v>2480.1</v>
      </c>
      <c r="O69" s="1302"/>
      <c r="P69" s="1303">
        <v>3243.45</v>
      </c>
      <c r="Q69" s="1302"/>
      <c r="R69" s="1303">
        <v>2115.4499999999998</v>
      </c>
      <c r="S69" s="1302"/>
      <c r="T69" s="1303">
        <v>2211.6799999999998</v>
      </c>
      <c r="U69" s="1302"/>
      <c r="V69" s="1303">
        <v>1671.5</v>
      </c>
      <c r="W69" s="1302"/>
      <c r="X69" s="1303">
        <v>1835.55</v>
      </c>
      <c r="Y69" s="1302"/>
      <c r="Z69" s="1303">
        <v>1948.2</v>
      </c>
      <c r="AA69" s="1302"/>
      <c r="AB69" s="1303">
        <v>1667.4</v>
      </c>
      <c r="AC69" s="1302"/>
      <c r="AD69" s="1303">
        <v>2391.6</v>
      </c>
      <c r="AE69" s="1302"/>
      <c r="AF69" s="1303">
        <v>2454.9</v>
      </c>
      <c r="AG69" s="1302"/>
      <c r="AH69" s="1303">
        <f t="shared" si="6"/>
        <v>26005.67</v>
      </c>
      <c r="AI69" s="1304">
        <f t="shared" si="7"/>
        <v>7.6030398288547162E-4</v>
      </c>
      <c r="AJ69" s="12"/>
    </row>
    <row r="70" spans="2:36" s="407" customFormat="1" outlineLevel="1">
      <c r="B70" s="24" t="s">
        <v>397</v>
      </c>
      <c r="D70" s="1298">
        <v>40122</v>
      </c>
      <c r="E70" s="1298" t="s">
        <v>215</v>
      </c>
      <c r="F70" s="1299"/>
      <c r="G70" s="1300"/>
      <c r="H70" s="1301"/>
      <c r="I70" s="1302"/>
      <c r="J70" s="1303">
        <v>21367</v>
      </c>
      <c r="K70" s="1302"/>
      <c r="L70" s="1303">
        <v>44802.48</v>
      </c>
      <c r="M70" s="1302"/>
      <c r="N70" s="1303">
        <v>54219.98</v>
      </c>
      <c r="O70" s="1302"/>
      <c r="P70" s="1303">
        <v>48657.84</v>
      </c>
      <c r="Q70" s="1302"/>
      <c r="R70" s="1303">
        <v>29234.560000000001</v>
      </c>
      <c r="S70" s="1302"/>
      <c r="T70" s="1303">
        <v>55161.98</v>
      </c>
      <c r="U70" s="1302"/>
      <c r="V70" s="1303">
        <v>50465.43</v>
      </c>
      <c r="W70" s="1302"/>
      <c r="X70" s="1303">
        <v>41580.519999999997</v>
      </c>
      <c r="Y70" s="1302"/>
      <c r="Z70" s="1303">
        <v>49385.91</v>
      </c>
      <c r="AA70" s="1302"/>
      <c r="AB70" s="1303">
        <v>35547.800000000003</v>
      </c>
      <c r="AC70" s="1302"/>
      <c r="AD70" s="1303">
        <v>32982.1</v>
      </c>
      <c r="AE70" s="1302"/>
      <c r="AF70" s="1303">
        <v>46853.67</v>
      </c>
      <c r="AG70" s="1302"/>
      <c r="AH70" s="1303">
        <f t="shared" si="6"/>
        <v>510259.2699999999</v>
      </c>
      <c r="AI70" s="1304">
        <f t="shared" si="7"/>
        <v>1.491798347380526E-2</v>
      </c>
      <c r="AJ70" s="12"/>
    </row>
    <row r="71" spans="2:36" s="8" customFormat="1" ht="5.0999999999999996" customHeight="1" outlineLevel="1">
      <c r="B71" s="16" t="s">
        <v>194</v>
      </c>
      <c r="D71" s="1299"/>
      <c r="E71" s="1299"/>
      <c r="F71" s="1299"/>
      <c r="G71" s="1299"/>
      <c r="H71" s="1301"/>
      <c r="I71" s="1301"/>
      <c r="J71" s="1311"/>
      <c r="K71" s="1309"/>
      <c r="L71" s="1311"/>
      <c r="M71" s="1309"/>
      <c r="N71" s="1311"/>
      <c r="O71" s="1309"/>
      <c r="P71" s="1311"/>
      <c r="Q71" s="1309"/>
      <c r="R71" s="1311"/>
      <c r="S71" s="1309"/>
      <c r="T71" s="1311"/>
      <c r="U71" s="1309"/>
      <c r="V71" s="1311"/>
      <c r="W71" s="1309"/>
      <c r="X71" s="1311"/>
      <c r="Y71" s="1309"/>
      <c r="Z71" s="1311"/>
      <c r="AA71" s="1309"/>
      <c r="AB71" s="1311"/>
      <c r="AC71" s="1309"/>
      <c r="AD71" s="1311"/>
      <c r="AE71" s="1309"/>
      <c r="AF71" s="1311"/>
      <c r="AG71" s="1309"/>
      <c r="AH71" s="1311"/>
      <c r="AI71" s="1306"/>
      <c r="AJ71" s="15"/>
    </row>
    <row r="72" spans="2:36" s="8" customFormat="1" ht="15">
      <c r="B72" s="16" t="s">
        <v>194</v>
      </c>
      <c r="D72" s="1301"/>
      <c r="E72" s="1301"/>
      <c r="F72" s="1299" t="s">
        <v>216</v>
      </c>
      <c r="G72" s="1301"/>
      <c r="H72" s="1301"/>
      <c r="I72" s="1301"/>
      <c r="J72" s="1308">
        <f>SUM(J67:J71)</f>
        <v>1127438.29</v>
      </c>
      <c r="K72" s="1309"/>
      <c r="L72" s="1308">
        <f>SUM(L67:L71)</f>
        <v>1032236.03</v>
      </c>
      <c r="M72" s="1309"/>
      <c r="N72" s="1308">
        <f>SUM(N67:N71)</f>
        <v>1072025.08</v>
      </c>
      <c r="O72" s="1309"/>
      <c r="P72" s="1308">
        <f>SUM(P67:P71)</f>
        <v>1109927.29</v>
      </c>
      <c r="Q72" s="1309"/>
      <c r="R72" s="1308">
        <f>SUM(R67:R71)</f>
        <v>953487.01</v>
      </c>
      <c r="S72" s="1309"/>
      <c r="T72" s="1308">
        <f>SUM(T67:T71)</f>
        <v>1115831.6599999999</v>
      </c>
      <c r="U72" s="1309"/>
      <c r="V72" s="1308">
        <f>SUM(V67:V71)</f>
        <v>1096530.93</v>
      </c>
      <c r="W72" s="1309"/>
      <c r="X72" s="1308">
        <f>SUM(X67:X71)</f>
        <v>1000829.0700000001</v>
      </c>
      <c r="Y72" s="1309"/>
      <c r="Z72" s="1308">
        <f>SUM(Z67:Z71)</f>
        <v>1093365.1099999999</v>
      </c>
      <c r="AA72" s="1309"/>
      <c r="AB72" s="1308">
        <f>SUM(AB67:AB71)</f>
        <v>837365.20000000007</v>
      </c>
      <c r="AC72" s="1309"/>
      <c r="AD72" s="1308">
        <f>SUM(AD67:AD71)</f>
        <v>983612.7</v>
      </c>
      <c r="AE72" s="1309"/>
      <c r="AF72" s="1308">
        <f>SUM(AF67:AF71)</f>
        <v>1088612.57</v>
      </c>
      <c r="AG72" s="1309"/>
      <c r="AH72" s="1308">
        <f>SUM(AH67:AH71)</f>
        <v>12511260.939999999</v>
      </c>
      <c r="AI72" s="1304">
        <f>IF(AH$65=0,0,AH72/AH$65)</f>
        <v>0.36578029035981119</v>
      </c>
      <c r="AJ72" s="15"/>
    </row>
    <row r="73" spans="2:36" s="8" customFormat="1" ht="15" outlineLevel="1">
      <c r="B73" s="16"/>
      <c r="D73" s="1301"/>
      <c r="E73" s="1301"/>
      <c r="F73" s="1301"/>
      <c r="G73" s="1301"/>
      <c r="H73" s="1301"/>
      <c r="I73" s="1301"/>
      <c r="J73" s="1310"/>
      <c r="K73" s="1309"/>
      <c r="L73" s="1310"/>
      <c r="M73" s="1309"/>
      <c r="N73" s="1310"/>
      <c r="O73" s="1309"/>
      <c r="P73" s="1310"/>
      <c r="Q73" s="1309"/>
      <c r="R73" s="1310"/>
      <c r="S73" s="1309"/>
      <c r="T73" s="1310"/>
      <c r="U73" s="1309"/>
      <c r="V73" s="1310"/>
      <c r="W73" s="1309"/>
      <c r="X73" s="1310"/>
      <c r="Y73" s="1309"/>
      <c r="Z73" s="1310"/>
      <c r="AA73" s="1309"/>
      <c r="AB73" s="1310"/>
      <c r="AC73" s="1309"/>
      <c r="AD73" s="1310"/>
      <c r="AE73" s="1309"/>
      <c r="AF73" s="1310"/>
      <c r="AG73" s="1309"/>
      <c r="AH73" s="1310"/>
      <c r="AI73" s="1306"/>
      <c r="AJ73" s="15"/>
    </row>
    <row r="74" spans="2:36" s="407" customFormat="1" outlineLevel="1">
      <c r="B74" s="24" t="s">
        <v>405</v>
      </c>
      <c r="D74" s="1298">
        <v>40861</v>
      </c>
      <c r="E74" s="1298" t="s">
        <v>431</v>
      </c>
      <c r="F74" s="1299"/>
      <c r="G74" s="1300"/>
      <c r="H74" s="1301"/>
      <c r="I74" s="1302"/>
      <c r="J74" s="1303">
        <v>62874.45</v>
      </c>
      <c r="K74" s="1302"/>
      <c r="L74" s="1303">
        <v>59891.4</v>
      </c>
      <c r="M74" s="1302"/>
      <c r="N74" s="1303">
        <v>0</v>
      </c>
      <c r="O74" s="1302"/>
      <c r="P74" s="1303">
        <v>0</v>
      </c>
      <c r="Q74" s="1302"/>
      <c r="R74" s="1303">
        <v>0</v>
      </c>
      <c r="S74" s="1302"/>
      <c r="T74" s="1303">
        <v>0</v>
      </c>
      <c r="U74" s="1302"/>
      <c r="V74" s="1303">
        <v>0</v>
      </c>
      <c r="W74" s="1302"/>
      <c r="X74" s="1303">
        <v>0</v>
      </c>
      <c r="Y74" s="1302"/>
      <c r="Z74" s="1303">
        <v>0</v>
      </c>
      <c r="AA74" s="1302"/>
      <c r="AB74" s="1303">
        <v>0</v>
      </c>
      <c r="AC74" s="1302"/>
      <c r="AD74" s="1303">
        <v>0</v>
      </c>
      <c r="AE74" s="1302"/>
      <c r="AF74" s="1303">
        <v>0</v>
      </c>
      <c r="AG74" s="1302"/>
      <c r="AH74" s="1303">
        <f>AF74+AD74+AB74+Z74+X74+V74+T74+R74+P74+N74+L74+J74</f>
        <v>122765.85</v>
      </c>
      <c r="AI74" s="1304">
        <f>IF(AH$65=0,0,AH74/AH$65)</f>
        <v>3.5891928459186166E-3</v>
      </c>
      <c r="AJ74" s="12"/>
    </row>
    <row r="75" spans="2:36" s="8" customFormat="1" ht="4.5" customHeight="1" outlineLevel="1">
      <c r="B75" s="8" t="s">
        <v>194</v>
      </c>
      <c r="D75" s="1312"/>
      <c r="E75" s="1301"/>
      <c r="F75" s="1301"/>
      <c r="G75" s="1301"/>
      <c r="H75" s="1301"/>
      <c r="I75" s="1301"/>
      <c r="J75" s="1311"/>
      <c r="K75" s="1309"/>
      <c r="L75" s="1311"/>
      <c r="M75" s="1309"/>
      <c r="N75" s="1311"/>
      <c r="O75" s="1309"/>
      <c r="P75" s="1311"/>
      <c r="Q75" s="1309"/>
      <c r="R75" s="1311"/>
      <c r="S75" s="1309"/>
      <c r="T75" s="1311"/>
      <c r="U75" s="1309"/>
      <c r="V75" s="1311"/>
      <c r="W75" s="1309"/>
      <c r="X75" s="1311"/>
      <c r="Y75" s="1309"/>
      <c r="Z75" s="1311"/>
      <c r="AA75" s="1309"/>
      <c r="AB75" s="1311"/>
      <c r="AC75" s="1309"/>
      <c r="AD75" s="1311"/>
      <c r="AE75" s="1309"/>
      <c r="AF75" s="1311"/>
      <c r="AG75" s="1309"/>
      <c r="AH75" s="1311"/>
      <c r="AI75" s="1306"/>
      <c r="AJ75" s="15"/>
    </row>
    <row r="76" spans="2:36" s="8" customFormat="1" ht="15">
      <c r="B76" s="16" t="s">
        <v>194</v>
      </c>
      <c r="D76" s="1301"/>
      <c r="E76" s="1301"/>
      <c r="F76" s="1301" t="s">
        <v>218</v>
      </c>
      <c r="G76" s="1301"/>
      <c r="H76" s="1301"/>
      <c r="I76" s="1301"/>
      <c r="J76" s="1308">
        <f>SUM(J74:J75)</f>
        <v>62874.45</v>
      </c>
      <c r="K76" s="1309"/>
      <c r="L76" s="1308">
        <f>SUM(L74:L75)</f>
        <v>59891.4</v>
      </c>
      <c r="M76" s="1309"/>
      <c r="N76" s="1308">
        <f>SUM(N74:N75)</f>
        <v>0</v>
      </c>
      <c r="O76" s="1309"/>
      <c r="P76" s="1308">
        <f>SUM(P74:P75)</f>
        <v>0</v>
      </c>
      <c r="Q76" s="1309"/>
      <c r="R76" s="1308">
        <f>SUM(R74:R75)</f>
        <v>0</v>
      </c>
      <c r="S76" s="1309"/>
      <c r="T76" s="1308">
        <f>SUM(T74:T75)</f>
        <v>0</v>
      </c>
      <c r="U76" s="1309"/>
      <c r="V76" s="1308">
        <f>SUM(V74:V75)</f>
        <v>0</v>
      </c>
      <c r="W76" s="1309"/>
      <c r="X76" s="1308">
        <f>SUM(X74:X75)</f>
        <v>0</v>
      </c>
      <c r="Y76" s="1309"/>
      <c r="Z76" s="1308">
        <f>SUM(Z74:Z75)</f>
        <v>0</v>
      </c>
      <c r="AA76" s="1309"/>
      <c r="AB76" s="1308">
        <f>SUM(AB74:AB75)</f>
        <v>0</v>
      </c>
      <c r="AC76" s="1309"/>
      <c r="AD76" s="1308">
        <f>SUM(AD74:AD75)</f>
        <v>0</v>
      </c>
      <c r="AE76" s="1309"/>
      <c r="AF76" s="1308">
        <f>SUM(AF74:AF75)</f>
        <v>0</v>
      </c>
      <c r="AG76" s="1309"/>
      <c r="AH76" s="1308">
        <f>SUM(AH74:AH75)</f>
        <v>122765.85</v>
      </c>
      <c r="AI76" s="1304">
        <f>IF(AH$65=0,0,AH76/AH$65)</f>
        <v>3.5891928459186166E-3</v>
      </c>
      <c r="AJ76" s="15"/>
    </row>
    <row r="77" spans="2:36" s="8" customFormat="1" ht="15" outlineLevel="1">
      <c r="B77" s="16"/>
      <c r="D77" s="1301"/>
      <c r="E77" s="1301"/>
      <c r="F77" s="1301"/>
      <c r="G77" s="1301"/>
      <c r="H77" s="1301"/>
      <c r="I77" s="1301"/>
      <c r="J77" s="1310"/>
      <c r="K77" s="1309"/>
      <c r="L77" s="1310"/>
      <c r="M77" s="1309"/>
      <c r="N77" s="1310"/>
      <c r="O77" s="1309"/>
      <c r="P77" s="1310"/>
      <c r="Q77" s="1309"/>
      <c r="R77" s="1310"/>
      <c r="S77" s="1309"/>
      <c r="T77" s="1310"/>
      <c r="U77" s="1309"/>
      <c r="V77" s="1310"/>
      <c r="W77" s="1309"/>
      <c r="X77" s="1310"/>
      <c r="Y77" s="1309"/>
      <c r="Z77" s="1310"/>
      <c r="AA77" s="1309"/>
      <c r="AB77" s="1310"/>
      <c r="AC77" s="1309"/>
      <c r="AD77" s="1310"/>
      <c r="AE77" s="1309"/>
      <c r="AF77" s="1310"/>
      <c r="AG77" s="1309"/>
      <c r="AH77" s="1310"/>
      <c r="AI77" s="1306"/>
      <c r="AJ77" s="15"/>
    </row>
    <row r="78" spans="2:36" s="8" customFormat="1" ht="15" outlineLevel="1">
      <c r="B78" s="16" t="s">
        <v>194</v>
      </c>
      <c r="D78" s="1301"/>
      <c r="E78" s="1301"/>
      <c r="F78" s="1301"/>
      <c r="G78" s="1301"/>
      <c r="H78" s="1301"/>
      <c r="I78" s="1301"/>
      <c r="J78" s="1310"/>
      <c r="K78" s="1309"/>
      <c r="L78" s="1310"/>
      <c r="M78" s="1309"/>
      <c r="N78" s="1310"/>
      <c r="O78" s="1309"/>
      <c r="P78" s="1310"/>
      <c r="Q78" s="1309"/>
      <c r="R78" s="1310"/>
      <c r="S78" s="1309"/>
      <c r="T78" s="1310"/>
      <c r="U78" s="1309"/>
      <c r="V78" s="1310"/>
      <c r="W78" s="1309"/>
      <c r="X78" s="1310"/>
      <c r="Y78" s="1309"/>
      <c r="Z78" s="1310"/>
      <c r="AA78" s="1309"/>
      <c r="AB78" s="1310"/>
      <c r="AC78" s="1309"/>
      <c r="AD78" s="1310"/>
      <c r="AE78" s="1309"/>
      <c r="AF78" s="1310"/>
      <c r="AG78" s="1309"/>
      <c r="AH78" s="1310"/>
      <c r="AI78" s="1306"/>
      <c r="AJ78" s="15"/>
    </row>
    <row r="79" spans="2:36" s="407" customFormat="1" outlineLevel="1">
      <c r="B79" s="24" t="s">
        <v>406</v>
      </c>
      <c r="D79" s="1298">
        <v>41201</v>
      </c>
      <c r="E79" s="1298" t="s">
        <v>219</v>
      </c>
      <c r="F79" s="1299"/>
      <c r="G79" s="1300"/>
      <c r="H79" s="1301"/>
      <c r="I79" s="1302"/>
      <c r="J79" s="1303">
        <v>5786.6</v>
      </c>
      <c r="K79" s="1302"/>
      <c r="L79" s="1303">
        <v>5803.9</v>
      </c>
      <c r="M79" s="1302"/>
      <c r="N79" s="1303">
        <v>5821.2</v>
      </c>
      <c r="O79" s="1302"/>
      <c r="P79" s="1303">
        <v>5831</v>
      </c>
      <c r="Q79" s="1302"/>
      <c r="R79" s="1303">
        <v>5837.1</v>
      </c>
      <c r="S79" s="1302"/>
      <c r="T79" s="1303">
        <v>-17489.3</v>
      </c>
      <c r="U79" s="1302"/>
      <c r="V79" s="1303">
        <v>0</v>
      </c>
      <c r="W79" s="1302"/>
      <c r="X79" s="1303">
        <v>0</v>
      </c>
      <c r="Y79" s="1302"/>
      <c r="Z79" s="1303">
        <v>0</v>
      </c>
      <c r="AA79" s="1302"/>
      <c r="AB79" s="1303">
        <v>0</v>
      </c>
      <c r="AC79" s="1302"/>
      <c r="AD79" s="1303">
        <v>0</v>
      </c>
      <c r="AE79" s="1302"/>
      <c r="AF79" s="1303">
        <v>0</v>
      </c>
      <c r="AG79" s="1302"/>
      <c r="AH79" s="1303">
        <f t="shared" ref="AH79:AH81" si="8">AF79+AD79+AB79+Z79+X79+V79+T79+R79+P79+N79+L79+J79</f>
        <v>11590.5</v>
      </c>
      <c r="AI79" s="1304">
        <f t="shared" ref="AI79:AI81" si="9">IF(AH$65=0,0,AH79/AH$65)</f>
        <v>3.3886084510162824E-4</v>
      </c>
      <c r="AJ79" s="12"/>
    </row>
    <row r="80" spans="2:36" s="407" customFormat="1" outlineLevel="1">
      <c r="B80" s="24" t="s">
        <v>397</v>
      </c>
      <c r="D80" s="1298">
        <v>43001</v>
      </c>
      <c r="E80" s="1298" t="s">
        <v>220</v>
      </c>
      <c r="F80" s="1299"/>
      <c r="G80" s="1300"/>
      <c r="H80" s="1301"/>
      <c r="I80" s="1302"/>
      <c r="J80" s="1303">
        <v>43913.38</v>
      </c>
      <c r="K80" s="1302"/>
      <c r="L80" s="1303">
        <v>43917.34</v>
      </c>
      <c r="M80" s="1302"/>
      <c r="N80" s="1303">
        <v>44382.26</v>
      </c>
      <c r="O80" s="1302"/>
      <c r="P80" s="1303">
        <v>44693.57</v>
      </c>
      <c r="Q80" s="1302"/>
      <c r="R80" s="1303">
        <v>42816.21</v>
      </c>
      <c r="S80" s="1302"/>
      <c r="T80" s="1303">
        <v>44511.95</v>
      </c>
      <c r="U80" s="1302"/>
      <c r="V80" s="1303">
        <v>44370.42</v>
      </c>
      <c r="W80" s="1302"/>
      <c r="X80" s="1303">
        <v>43772.99</v>
      </c>
      <c r="Y80" s="1302"/>
      <c r="Z80" s="1303">
        <v>44156.93</v>
      </c>
      <c r="AA80" s="1302"/>
      <c r="AB80" s="1303">
        <v>41592.74</v>
      </c>
      <c r="AC80" s="1302"/>
      <c r="AD80" s="1303">
        <v>43680.639999999999</v>
      </c>
      <c r="AE80" s="1302"/>
      <c r="AF80" s="1303">
        <v>44498.51</v>
      </c>
      <c r="AG80" s="1302"/>
      <c r="AH80" s="1303">
        <f t="shared" si="8"/>
        <v>526306.94000000006</v>
      </c>
      <c r="AI80" s="1304">
        <f t="shared" si="9"/>
        <v>1.5387154520620505E-2</v>
      </c>
      <c r="AJ80" s="12"/>
    </row>
    <row r="81" spans="2:36" s="407" customFormat="1" outlineLevel="1">
      <c r="B81" s="24" t="s">
        <v>397</v>
      </c>
      <c r="D81" s="1298">
        <v>43002</v>
      </c>
      <c r="E81" s="1298" t="s">
        <v>221</v>
      </c>
      <c r="F81" s="1299"/>
      <c r="G81" s="1300"/>
      <c r="H81" s="1301"/>
      <c r="I81" s="1302"/>
      <c r="J81" s="1303">
        <v>11613.56</v>
      </c>
      <c r="K81" s="1302"/>
      <c r="L81" s="1303">
        <v>11527.37</v>
      </c>
      <c r="M81" s="1302"/>
      <c r="N81" s="1303">
        <v>12080.86</v>
      </c>
      <c r="O81" s="1302"/>
      <c r="P81" s="1303">
        <v>12826.09</v>
      </c>
      <c r="Q81" s="1302"/>
      <c r="R81" s="1303">
        <v>12365.92</v>
      </c>
      <c r="S81" s="1302"/>
      <c r="T81" s="1303">
        <v>12686.47</v>
      </c>
      <c r="U81" s="1302"/>
      <c r="V81" s="1303">
        <v>12446.68</v>
      </c>
      <c r="W81" s="1302"/>
      <c r="X81" s="1303">
        <v>12252.53</v>
      </c>
      <c r="Y81" s="1302"/>
      <c r="Z81" s="1303">
        <v>12417.79</v>
      </c>
      <c r="AA81" s="1302"/>
      <c r="AB81" s="1303">
        <v>12028.96</v>
      </c>
      <c r="AC81" s="1302"/>
      <c r="AD81" s="1303">
        <v>12558.88</v>
      </c>
      <c r="AE81" s="1302"/>
      <c r="AF81" s="1303">
        <v>14859.39</v>
      </c>
      <c r="AG81" s="1302"/>
      <c r="AH81" s="1303">
        <f t="shared" si="8"/>
        <v>149664.5</v>
      </c>
      <c r="AI81" s="1304">
        <f t="shared" si="9"/>
        <v>4.3756040681344754E-3</v>
      </c>
      <c r="AJ81" s="12"/>
    </row>
    <row r="82" spans="2:36" s="8" customFormat="1" ht="5.0999999999999996" customHeight="1" outlineLevel="1">
      <c r="B82" s="2" t="s">
        <v>194</v>
      </c>
      <c r="D82" s="1299"/>
      <c r="E82" s="1299"/>
      <c r="F82" s="1299"/>
      <c r="G82" s="1299"/>
      <c r="H82" s="1301"/>
      <c r="I82" s="1301"/>
      <c r="J82" s="1311"/>
      <c r="K82" s="1309"/>
      <c r="L82" s="1311"/>
      <c r="M82" s="1309"/>
      <c r="N82" s="1311"/>
      <c r="O82" s="1309"/>
      <c r="P82" s="1311"/>
      <c r="Q82" s="1309"/>
      <c r="R82" s="1311"/>
      <c r="S82" s="1309"/>
      <c r="T82" s="1311"/>
      <c r="U82" s="1309"/>
      <c r="V82" s="1311"/>
      <c r="W82" s="1309"/>
      <c r="X82" s="1311"/>
      <c r="Y82" s="1309"/>
      <c r="Z82" s="1311"/>
      <c r="AA82" s="1309"/>
      <c r="AB82" s="1311"/>
      <c r="AC82" s="1309"/>
      <c r="AD82" s="1311"/>
      <c r="AE82" s="1309"/>
      <c r="AF82" s="1311"/>
      <c r="AG82" s="1309"/>
      <c r="AH82" s="1311"/>
      <c r="AI82" s="1306"/>
      <c r="AJ82" s="15"/>
    </row>
    <row r="83" spans="2:36" s="8" customFormat="1" ht="15">
      <c r="B83" s="16" t="s">
        <v>194</v>
      </c>
      <c r="D83" s="1301"/>
      <c r="E83" s="1301"/>
      <c r="F83" s="1299" t="s">
        <v>222</v>
      </c>
      <c r="G83" s="1315"/>
      <c r="H83" s="1315"/>
      <c r="I83" s="1315"/>
      <c r="J83" s="1308">
        <f>SUM(J78:J82)</f>
        <v>61313.539999999994</v>
      </c>
      <c r="K83" s="1309"/>
      <c r="L83" s="1308">
        <f>SUM(L78:L82)</f>
        <v>61248.61</v>
      </c>
      <c r="M83" s="1309"/>
      <c r="N83" s="1308">
        <f>SUM(N78:N82)</f>
        <v>62284.32</v>
      </c>
      <c r="O83" s="1309"/>
      <c r="P83" s="1308">
        <f>SUM(P78:P82)</f>
        <v>63350.66</v>
      </c>
      <c r="Q83" s="1309"/>
      <c r="R83" s="1308">
        <f>SUM(R78:R82)</f>
        <v>61019.229999999996</v>
      </c>
      <c r="S83" s="1309"/>
      <c r="T83" s="1308">
        <f>SUM(T78:T82)</f>
        <v>39709.119999999995</v>
      </c>
      <c r="U83" s="1309"/>
      <c r="V83" s="1308">
        <f>SUM(V78:V82)</f>
        <v>56817.1</v>
      </c>
      <c r="W83" s="1309"/>
      <c r="X83" s="1308">
        <f>SUM(X78:X82)</f>
        <v>56025.52</v>
      </c>
      <c r="Y83" s="1309"/>
      <c r="Z83" s="1308">
        <f>SUM(Z78:Z82)</f>
        <v>56574.720000000001</v>
      </c>
      <c r="AA83" s="1309"/>
      <c r="AB83" s="1308">
        <f>SUM(AB78:AB82)</f>
        <v>53621.7</v>
      </c>
      <c r="AC83" s="1309"/>
      <c r="AD83" s="1308">
        <f>SUM(AD78:AD82)</f>
        <v>56239.519999999997</v>
      </c>
      <c r="AE83" s="1309"/>
      <c r="AF83" s="1308">
        <f>SUM(AF78:AF82)</f>
        <v>59357.9</v>
      </c>
      <c r="AG83" s="1309"/>
      <c r="AH83" s="1308">
        <f>SUM(AH78:AH82)</f>
        <v>687561.94000000006</v>
      </c>
      <c r="AI83" s="1304">
        <f>IF(AH$65=0,0,AH83/AH$65)</f>
        <v>2.0101619433856608E-2</v>
      </c>
      <c r="AJ83" s="15"/>
    </row>
    <row r="84" spans="2:36" s="8" customFormat="1" ht="15" outlineLevel="1">
      <c r="B84" s="16"/>
      <c r="D84" s="1301"/>
      <c r="E84" s="1301"/>
      <c r="F84" s="1301"/>
      <c r="G84" s="1301"/>
      <c r="H84" s="1301"/>
      <c r="I84" s="1301"/>
      <c r="J84" s="1310"/>
      <c r="K84" s="1309"/>
      <c r="L84" s="1310"/>
      <c r="M84" s="1309"/>
      <c r="N84" s="1310"/>
      <c r="O84" s="1309"/>
      <c r="P84" s="1310"/>
      <c r="Q84" s="1309"/>
      <c r="R84" s="1310"/>
      <c r="S84" s="1309"/>
      <c r="T84" s="1310"/>
      <c r="U84" s="1309"/>
      <c r="V84" s="1310"/>
      <c r="W84" s="1309"/>
      <c r="X84" s="1310"/>
      <c r="Y84" s="1309"/>
      <c r="Z84" s="1310"/>
      <c r="AA84" s="1309"/>
      <c r="AB84" s="1310"/>
      <c r="AC84" s="1309"/>
      <c r="AD84" s="1310"/>
      <c r="AE84" s="1309"/>
      <c r="AF84" s="1310"/>
      <c r="AG84" s="1309"/>
      <c r="AH84" s="1310"/>
      <c r="AI84" s="1306"/>
      <c r="AJ84" s="15"/>
    </row>
    <row r="85" spans="2:36" s="8" customFormat="1" ht="15" outlineLevel="1">
      <c r="B85" s="16" t="s">
        <v>194</v>
      </c>
      <c r="D85" s="1301"/>
      <c r="E85" s="1301"/>
      <c r="F85" s="1301"/>
      <c r="G85" s="1301"/>
      <c r="H85" s="1301"/>
      <c r="I85" s="1301"/>
      <c r="J85" s="1310"/>
      <c r="K85" s="1309"/>
      <c r="L85" s="1310"/>
      <c r="M85" s="1309"/>
      <c r="N85" s="1310"/>
      <c r="O85" s="1309"/>
      <c r="P85" s="1310"/>
      <c r="Q85" s="1309"/>
      <c r="R85" s="1310"/>
      <c r="S85" s="1309"/>
      <c r="T85" s="1310"/>
      <c r="U85" s="1309"/>
      <c r="V85" s="1310"/>
      <c r="W85" s="1309"/>
      <c r="X85" s="1310"/>
      <c r="Y85" s="1309"/>
      <c r="Z85" s="1310"/>
      <c r="AA85" s="1309"/>
      <c r="AB85" s="1310"/>
      <c r="AC85" s="1309"/>
      <c r="AD85" s="1310"/>
      <c r="AE85" s="1309"/>
      <c r="AF85" s="1310"/>
      <c r="AG85" s="1309"/>
      <c r="AH85" s="1310"/>
      <c r="AI85" s="1306"/>
      <c r="AJ85" s="15"/>
    </row>
    <row r="86" spans="2:36" s="407" customFormat="1" outlineLevel="1">
      <c r="B86" s="24" t="s">
        <v>407</v>
      </c>
      <c r="D86" s="1298">
        <v>44168</v>
      </c>
      <c r="E86" s="1298" t="s">
        <v>223</v>
      </c>
      <c r="F86" s="1299"/>
      <c r="G86" s="1300"/>
      <c r="H86" s="1301"/>
      <c r="I86" s="1302"/>
      <c r="J86" s="1303">
        <v>11647.9</v>
      </c>
      <c r="K86" s="1302"/>
      <c r="L86" s="1303">
        <v>10310.290000000001</v>
      </c>
      <c r="M86" s="1302"/>
      <c r="N86" s="1303">
        <v>16952.990000000002</v>
      </c>
      <c r="O86" s="1302"/>
      <c r="P86" s="1303">
        <v>15650.93</v>
      </c>
      <c r="Q86" s="1302"/>
      <c r="R86" s="1303">
        <v>122336.7</v>
      </c>
      <c r="S86" s="1302"/>
      <c r="T86" s="1303">
        <v>17937.990000000002</v>
      </c>
      <c r="U86" s="1302"/>
      <c r="V86" s="1303">
        <v>23639.9</v>
      </c>
      <c r="W86" s="1302"/>
      <c r="X86" s="1303">
        <v>49550.47</v>
      </c>
      <c r="Y86" s="1302"/>
      <c r="Z86" s="1303">
        <v>63556.98</v>
      </c>
      <c r="AA86" s="1302"/>
      <c r="AB86" s="1303">
        <v>17509.009999999998</v>
      </c>
      <c r="AC86" s="1302"/>
      <c r="AD86" s="1303">
        <v>21269.59</v>
      </c>
      <c r="AE86" s="1302"/>
      <c r="AF86" s="1303">
        <v>23724.03</v>
      </c>
      <c r="AG86" s="1302"/>
      <c r="AH86" s="1303">
        <f t="shared" ref="AH86:AH87" si="10">AF86+AD86+AB86+Z86+X86+V86+T86+R86+P86+N86+L86+J86</f>
        <v>394086.77999999997</v>
      </c>
      <c r="AI86" s="1304">
        <f t="shared" ref="AI86:AI87" si="11">IF(AH$65=0,0,AH86/AH$65)</f>
        <v>1.1521554662368269E-2</v>
      </c>
      <c r="AJ86" s="12"/>
    </row>
    <row r="87" spans="2:36" s="407" customFormat="1" outlineLevel="1">
      <c r="B87" s="24" t="s">
        <v>397</v>
      </c>
      <c r="D87" s="1298">
        <v>44169</v>
      </c>
      <c r="E87" s="1298" t="s">
        <v>296</v>
      </c>
      <c r="F87" s="1299"/>
      <c r="G87" s="1300"/>
      <c r="H87" s="1301"/>
      <c r="I87" s="1302"/>
      <c r="J87" s="1303">
        <v>168.1</v>
      </c>
      <c r="K87" s="1302"/>
      <c r="L87" s="1303">
        <v>168.1</v>
      </c>
      <c r="M87" s="1302"/>
      <c r="N87" s="1303">
        <v>168.1</v>
      </c>
      <c r="O87" s="1302"/>
      <c r="P87" s="1303">
        <v>168.1</v>
      </c>
      <c r="Q87" s="1302"/>
      <c r="R87" s="1303">
        <v>0</v>
      </c>
      <c r="S87" s="1302"/>
      <c r="T87" s="1303">
        <v>336.2</v>
      </c>
      <c r="U87" s="1302"/>
      <c r="V87" s="1303">
        <v>168.1</v>
      </c>
      <c r="W87" s="1302"/>
      <c r="X87" s="1303">
        <v>168.1</v>
      </c>
      <c r="Y87" s="1302"/>
      <c r="Z87" s="1303">
        <v>176.5</v>
      </c>
      <c r="AA87" s="1302"/>
      <c r="AB87" s="1303">
        <v>176.5</v>
      </c>
      <c r="AC87" s="1302"/>
      <c r="AD87" s="1303">
        <v>176.5</v>
      </c>
      <c r="AE87" s="1302"/>
      <c r="AF87" s="1303">
        <v>176.5</v>
      </c>
      <c r="AG87" s="1302"/>
      <c r="AH87" s="1303">
        <f t="shared" si="10"/>
        <v>2050.7999999999997</v>
      </c>
      <c r="AI87" s="1304">
        <f t="shared" si="11"/>
        <v>5.9957363455797341E-5</v>
      </c>
      <c r="AJ87" s="12"/>
    </row>
    <row r="88" spans="2:36" s="8" customFormat="1" ht="5.0999999999999996" customHeight="1" outlineLevel="1">
      <c r="B88" s="2" t="s">
        <v>194</v>
      </c>
      <c r="D88" s="1299"/>
      <c r="E88" s="1299"/>
      <c r="F88" s="1299"/>
      <c r="G88" s="1299"/>
      <c r="H88" s="1301"/>
      <c r="I88" s="1301"/>
      <c r="J88" s="1311"/>
      <c r="K88" s="1309"/>
      <c r="L88" s="1311"/>
      <c r="M88" s="1309"/>
      <c r="N88" s="1311"/>
      <c r="O88" s="1309"/>
      <c r="P88" s="1311"/>
      <c r="Q88" s="1309"/>
      <c r="R88" s="1311"/>
      <c r="S88" s="1309"/>
      <c r="T88" s="1311"/>
      <c r="U88" s="1309"/>
      <c r="V88" s="1311"/>
      <c r="W88" s="1309"/>
      <c r="X88" s="1311"/>
      <c r="Y88" s="1309"/>
      <c r="Z88" s="1311"/>
      <c r="AA88" s="1309"/>
      <c r="AB88" s="1311"/>
      <c r="AC88" s="1309"/>
      <c r="AD88" s="1311"/>
      <c r="AE88" s="1309"/>
      <c r="AF88" s="1311"/>
      <c r="AG88" s="1309"/>
      <c r="AH88" s="1311"/>
      <c r="AI88" s="1306"/>
      <c r="AJ88" s="15"/>
    </row>
    <row r="89" spans="2:36" s="8" customFormat="1" ht="15">
      <c r="B89" s="2" t="s">
        <v>194</v>
      </c>
      <c r="D89" s="1301"/>
      <c r="E89" s="1301"/>
      <c r="F89" s="1299" t="s">
        <v>224</v>
      </c>
      <c r="G89" s="1315"/>
      <c r="H89" s="1315"/>
      <c r="I89" s="1315"/>
      <c r="J89" s="1308">
        <f>SUM(J85:J88)</f>
        <v>11816</v>
      </c>
      <c r="K89" s="1309"/>
      <c r="L89" s="1308">
        <f>SUM(L85:L88)</f>
        <v>10478.390000000001</v>
      </c>
      <c r="M89" s="1309"/>
      <c r="N89" s="1308">
        <f>SUM(N85:N88)</f>
        <v>17121.09</v>
      </c>
      <c r="O89" s="1309"/>
      <c r="P89" s="1308">
        <f>SUM(P85:P88)</f>
        <v>15819.03</v>
      </c>
      <c r="Q89" s="1309"/>
      <c r="R89" s="1308">
        <f>SUM(R85:R88)</f>
        <v>122336.7</v>
      </c>
      <c r="S89" s="1309"/>
      <c r="T89" s="1308">
        <f>SUM(T85:T88)</f>
        <v>18274.190000000002</v>
      </c>
      <c r="U89" s="1309"/>
      <c r="V89" s="1308">
        <f>SUM(V85:V88)</f>
        <v>23808</v>
      </c>
      <c r="W89" s="1309"/>
      <c r="X89" s="1308">
        <f>SUM(X85:X88)</f>
        <v>49718.57</v>
      </c>
      <c r="Y89" s="1309"/>
      <c r="Z89" s="1308">
        <f>SUM(Z85:Z88)</f>
        <v>63733.48</v>
      </c>
      <c r="AA89" s="1309"/>
      <c r="AB89" s="1308">
        <f>SUM(AB85:AB88)</f>
        <v>17685.509999999998</v>
      </c>
      <c r="AC89" s="1309"/>
      <c r="AD89" s="1308">
        <f>SUM(AD85:AD88)</f>
        <v>21446.09</v>
      </c>
      <c r="AE89" s="1309"/>
      <c r="AF89" s="1308">
        <f>SUM(AF85:AF88)</f>
        <v>23900.53</v>
      </c>
      <c r="AG89" s="1309"/>
      <c r="AH89" s="1308">
        <f>SUM(AH85:AH88)</f>
        <v>396137.57999999996</v>
      </c>
      <c r="AI89" s="1304">
        <f>IF(AH$65=0,0,AH89/AH$65)</f>
        <v>1.1581512025824067E-2</v>
      </c>
      <c r="AJ89" s="15"/>
    </row>
    <row r="90" spans="2:36" s="8" customFormat="1" ht="15" outlineLevel="1">
      <c r="B90" s="16" t="s">
        <v>194</v>
      </c>
      <c r="D90" s="1301"/>
      <c r="E90" s="1301"/>
      <c r="F90" s="1301"/>
      <c r="G90" s="1301"/>
      <c r="H90" s="1301"/>
      <c r="I90" s="1301"/>
      <c r="J90" s="1310"/>
      <c r="K90" s="1309"/>
      <c r="L90" s="1310"/>
      <c r="M90" s="1309"/>
      <c r="N90" s="1310"/>
      <c r="O90" s="1309"/>
      <c r="P90" s="1310"/>
      <c r="Q90" s="1309"/>
      <c r="R90" s="1310"/>
      <c r="S90" s="1309"/>
      <c r="T90" s="1310"/>
      <c r="U90" s="1309"/>
      <c r="V90" s="1310"/>
      <c r="W90" s="1309"/>
      <c r="X90" s="1310"/>
      <c r="Y90" s="1309"/>
      <c r="Z90" s="1310"/>
      <c r="AA90" s="1309"/>
      <c r="AB90" s="1310"/>
      <c r="AC90" s="1309"/>
      <c r="AD90" s="1310"/>
      <c r="AE90" s="1309"/>
      <c r="AF90" s="1310"/>
      <c r="AG90" s="1309"/>
      <c r="AH90" s="1310"/>
      <c r="AI90" s="1306"/>
      <c r="AJ90" s="15"/>
    </row>
    <row r="91" spans="2:36" s="407" customFormat="1" outlineLevel="1">
      <c r="B91" s="24" t="s">
        <v>408</v>
      </c>
      <c r="D91" s="1298"/>
      <c r="E91" s="1298"/>
      <c r="F91" s="1299"/>
      <c r="G91" s="1300"/>
      <c r="H91" s="1301"/>
      <c r="I91" s="1302"/>
      <c r="J91" s="1303"/>
      <c r="K91" s="1302"/>
      <c r="L91" s="1303"/>
      <c r="M91" s="1302"/>
      <c r="N91" s="1303"/>
      <c r="O91" s="1302"/>
      <c r="P91" s="1303"/>
      <c r="Q91" s="1302"/>
      <c r="R91" s="1303"/>
      <c r="S91" s="1302"/>
      <c r="T91" s="1303"/>
      <c r="U91" s="1302"/>
      <c r="V91" s="1303"/>
      <c r="W91" s="1302"/>
      <c r="X91" s="1303"/>
      <c r="Y91" s="1302"/>
      <c r="Z91" s="1303"/>
      <c r="AA91" s="1302"/>
      <c r="AB91" s="1303"/>
      <c r="AC91" s="1302"/>
      <c r="AD91" s="1303"/>
      <c r="AE91" s="1302"/>
      <c r="AF91" s="1303"/>
      <c r="AG91" s="1302"/>
      <c r="AH91" s="1303">
        <f>AF91+AD91+AB91+Z91+X91+V91+T91+R91+P91+N91+L91+J91</f>
        <v>0</v>
      </c>
      <c r="AI91" s="1304">
        <f>IF(AH$65=0,0,AH91/AH$65)</f>
        <v>0</v>
      </c>
      <c r="AJ91" s="12"/>
    </row>
    <row r="92" spans="2:36" s="8" customFormat="1" ht="4.5" customHeight="1" outlineLevel="1">
      <c r="B92" s="8" t="s">
        <v>194</v>
      </c>
      <c r="D92" s="1312"/>
      <c r="E92" s="1301"/>
      <c r="F92" s="1301"/>
      <c r="G92" s="1301"/>
      <c r="H92" s="1301"/>
      <c r="I92" s="1301"/>
      <c r="J92" s="1311"/>
      <c r="K92" s="1309"/>
      <c r="L92" s="1311"/>
      <c r="M92" s="1309"/>
      <c r="N92" s="1311"/>
      <c r="O92" s="1309"/>
      <c r="P92" s="1311"/>
      <c r="Q92" s="1309"/>
      <c r="R92" s="1311"/>
      <c r="S92" s="1309"/>
      <c r="T92" s="1311"/>
      <c r="U92" s="1309"/>
      <c r="V92" s="1311"/>
      <c r="W92" s="1309"/>
      <c r="X92" s="1311"/>
      <c r="Y92" s="1309"/>
      <c r="Z92" s="1311"/>
      <c r="AA92" s="1309"/>
      <c r="AB92" s="1311"/>
      <c r="AC92" s="1309"/>
      <c r="AD92" s="1311"/>
      <c r="AE92" s="1309"/>
      <c r="AF92" s="1311"/>
      <c r="AG92" s="1309"/>
      <c r="AH92" s="1311"/>
      <c r="AI92" s="1306"/>
      <c r="AJ92" s="15"/>
    </row>
    <row r="93" spans="2:36" s="8" customFormat="1" ht="15">
      <c r="B93" s="16" t="s">
        <v>194</v>
      </c>
      <c r="D93" s="1301"/>
      <c r="E93" s="1301"/>
      <c r="F93" s="1301" t="s">
        <v>225</v>
      </c>
      <c r="G93" s="1301"/>
      <c r="H93" s="1301"/>
      <c r="I93" s="1301"/>
      <c r="J93" s="1308">
        <f>SUM(J91:J92)</f>
        <v>0</v>
      </c>
      <c r="K93" s="1309"/>
      <c r="L93" s="1308">
        <f>SUM(L91:L92)</f>
        <v>0</v>
      </c>
      <c r="M93" s="1309"/>
      <c r="N93" s="1308">
        <f>SUM(N91:N92)</f>
        <v>0</v>
      </c>
      <c r="O93" s="1309"/>
      <c r="P93" s="1308">
        <f>SUM(P91:P92)</f>
        <v>0</v>
      </c>
      <c r="Q93" s="1309"/>
      <c r="R93" s="1308">
        <f>SUM(R91:R92)</f>
        <v>0</v>
      </c>
      <c r="S93" s="1309"/>
      <c r="T93" s="1308">
        <f>SUM(T91:T92)</f>
        <v>0</v>
      </c>
      <c r="U93" s="1309"/>
      <c r="V93" s="1308">
        <f>SUM(V91:V92)</f>
        <v>0</v>
      </c>
      <c r="W93" s="1309"/>
      <c r="X93" s="1308">
        <f>SUM(X91:X92)</f>
        <v>0</v>
      </c>
      <c r="Y93" s="1309"/>
      <c r="Z93" s="1308">
        <f>SUM(Z91:Z92)</f>
        <v>0</v>
      </c>
      <c r="AA93" s="1309"/>
      <c r="AB93" s="1308">
        <f>SUM(AB91:AB92)</f>
        <v>0</v>
      </c>
      <c r="AC93" s="1309"/>
      <c r="AD93" s="1308">
        <f>SUM(AD91:AD92)</f>
        <v>0</v>
      </c>
      <c r="AE93" s="1309"/>
      <c r="AF93" s="1308">
        <f>SUM(AF91:AF92)</f>
        <v>0</v>
      </c>
      <c r="AG93" s="1309"/>
      <c r="AH93" s="1308">
        <f>SUM(AH91:AH92)</f>
        <v>0</v>
      </c>
      <c r="AI93" s="1304">
        <f>IF(AH$65=0,0,AH93/AH$65)</f>
        <v>0</v>
      </c>
      <c r="AJ93" s="15"/>
    </row>
    <row r="94" spans="2:36" s="8" customFormat="1" ht="7.5" customHeight="1">
      <c r="B94" s="2" t="s">
        <v>194</v>
      </c>
      <c r="D94" s="1301"/>
      <c r="E94" s="1301"/>
      <c r="F94" s="1301"/>
      <c r="G94" s="1301"/>
      <c r="H94" s="1301"/>
      <c r="I94" s="1301"/>
      <c r="J94" s="1310"/>
      <c r="K94" s="1309"/>
      <c r="L94" s="1310"/>
      <c r="M94" s="1309"/>
      <c r="N94" s="1310"/>
      <c r="O94" s="1309"/>
      <c r="P94" s="1310"/>
      <c r="Q94" s="1309"/>
      <c r="R94" s="1310"/>
      <c r="S94" s="1309"/>
      <c r="T94" s="1310"/>
      <c r="U94" s="1309"/>
      <c r="V94" s="1310"/>
      <c r="W94" s="1309"/>
      <c r="X94" s="1310"/>
      <c r="Y94" s="1309"/>
      <c r="Z94" s="1310"/>
      <c r="AA94" s="1309"/>
      <c r="AB94" s="1310"/>
      <c r="AC94" s="1309"/>
      <c r="AD94" s="1310"/>
      <c r="AE94" s="1309"/>
      <c r="AF94" s="1310"/>
      <c r="AG94" s="1309"/>
      <c r="AH94" s="1310"/>
      <c r="AI94" s="1306"/>
      <c r="AJ94" s="15"/>
    </row>
    <row r="95" spans="2:36" s="8" customFormat="1" ht="15">
      <c r="B95" s="2" t="s">
        <v>194</v>
      </c>
      <c r="D95" s="1301"/>
      <c r="E95" s="1313" t="s">
        <v>226</v>
      </c>
      <c r="F95" s="1301"/>
      <c r="G95" s="1301"/>
      <c r="H95" s="1301"/>
      <c r="I95" s="1301"/>
      <c r="J95" s="1314">
        <f>+J72+J83+J89+J76+J93</f>
        <v>1263442.28</v>
      </c>
      <c r="K95" s="1309"/>
      <c r="L95" s="1314">
        <f>+L72+L83+L89+L76+L93</f>
        <v>1163854.43</v>
      </c>
      <c r="M95" s="1309"/>
      <c r="N95" s="1314">
        <f>+N72+N83+N89+N76+N93</f>
        <v>1151430.4900000002</v>
      </c>
      <c r="O95" s="1309"/>
      <c r="P95" s="1314">
        <f>+P72+P83+P89+P76+P93</f>
        <v>1189096.98</v>
      </c>
      <c r="Q95" s="1309"/>
      <c r="R95" s="1314">
        <f>+R72+R83+R89+R76+R93</f>
        <v>1136842.94</v>
      </c>
      <c r="S95" s="1309"/>
      <c r="T95" s="1314">
        <f>+T72+T83+T89+T76+T93</f>
        <v>1173814.9699999997</v>
      </c>
      <c r="U95" s="1309"/>
      <c r="V95" s="1314">
        <f>+V72+V83+V89+V76+V93</f>
        <v>1177156.03</v>
      </c>
      <c r="W95" s="1309"/>
      <c r="X95" s="1314">
        <f>+X72+X83+X89+X76+X93</f>
        <v>1106573.1600000001</v>
      </c>
      <c r="Y95" s="1309"/>
      <c r="Z95" s="1314">
        <f>+Z72+Z83+Z89+Z76+Z93</f>
        <v>1213673.3099999998</v>
      </c>
      <c r="AA95" s="1309"/>
      <c r="AB95" s="1314">
        <f>+AB72+AB83+AB89+AB76+AB93</f>
        <v>908672.41</v>
      </c>
      <c r="AC95" s="1309"/>
      <c r="AD95" s="1314">
        <f>+AD72+AD83+AD89+AD76+AD93</f>
        <v>1061298.31</v>
      </c>
      <c r="AE95" s="1309"/>
      <c r="AF95" s="1314">
        <f>+AF72+AF83+AF89+AF76+AF93</f>
        <v>1171871</v>
      </c>
      <c r="AG95" s="1309"/>
      <c r="AH95" s="1314">
        <f>+AH72+AH83+AH89+AH76+AH93</f>
        <v>13717726.309999999</v>
      </c>
      <c r="AI95" s="1304">
        <f>IF(AH$65=0,0,AH95/AH$65)</f>
        <v>0.40105261466541042</v>
      </c>
      <c r="AJ95" s="15"/>
    </row>
    <row r="96" spans="2:36" s="8" customFormat="1" ht="7.5" customHeight="1">
      <c r="B96" s="2" t="s">
        <v>194</v>
      </c>
      <c r="D96" s="1301"/>
      <c r="E96" s="1301"/>
      <c r="F96" s="1301"/>
      <c r="G96" s="1301"/>
      <c r="H96" s="1301"/>
      <c r="I96" s="1301"/>
      <c r="J96" s="1310"/>
      <c r="K96" s="1309"/>
      <c r="L96" s="1310"/>
      <c r="M96" s="1309"/>
      <c r="N96" s="1310"/>
      <c r="O96" s="1309"/>
      <c r="P96" s="1310"/>
      <c r="Q96" s="1309"/>
      <c r="R96" s="1310"/>
      <c r="S96" s="1309"/>
      <c r="T96" s="1310"/>
      <c r="U96" s="1309"/>
      <c r="V96" s="1310"/>
      <c r="W96" s="1309"/>
      <c r="X96" s="1310"/>
      <c r="Y96" s="1309"/>
      <c r="Z96" s="1310"/>
      <c r="AA96" s="1309"/>
      <c r="AB96" s="1310"/>
      <c r="AC96" s="1309"/>
      <c r="AD96" s="1310"/>
      <c r="AE96" s="1309"/>
      <c r="AF96" s="1310"/>
      <c r="AG96" s="1309"/>
      <c r="AH96" s="1310"/>
      <c r="AI96" s="1306"/>
      <c r="AJ96" s="15"/>
    </row>
    <row r="97" spans="2:36" s="8" customFormat="1" ht="15">
      <c r="B97" s="2" t="s">
        <v>194</v>
      </c>
      <c r="D97" s="1301"/>
      <c r="E97" s="1316" t="s">
        <v>227</v>
      </c>
      <c r="F97" s="1301"/>
      <c r="G97" s="1301"/>
      <c r="H97" s="1301"/>
      <c r="I97" s="1301"/>
      <c r="J97" s="1314">
        <f>J65-J95</f>
        <v>1605526.9600000002</v>
      </c>
      <c r="K97" s="1309"/>
      <c r="L97" s="1314">
        <f>L65-L95</f>
        <v>1694253.3500000003</v>
      </c>
      <c r="M97" s="1309"/>
      <c r="N97" s="1314">
        <f>N65-N95</f>
        <v>1678758.0299999998</v>
      </c>
      <c r="O97" s="1309"/>
      <c r="P97" s="1314">
        <f>P65-P95</f>
        <v>1720671.0900000003</v>
      </c>
      <c r="Q97" s="1309"/>
      <c r="R97" s="1314">
        <f>R65-R95</f>
        <v>1647829.2799999998</v>
      </c>
      <c r="S97" s="1309"/>
      <c r="T97" s="1314">
        <f>T65-T95</f>
        <v>1738629.0700000012</v>
      </c>
      <c r="U97" s="1309"/>
      <c r="V97" s="1314">
        <f>V65-V95</f>
        <v>1691230.9399999992</v>
      </c>
      <c r="W97" s="1309"/>
      <c r="X97" s="1314">
        <f>X65-X95</f>
        <v>1716274.3800000004</v>
      </c>
      <c r="Y97" s="1309"/>
      <c r="Z97" s="1314">
        <f>Z65-Z95</f>
        <v>1654100.1500000006</v>
      </c>
      <c r="AA97" s="1309"/>
      <c r="AB97" s="1314">
        <f>AB65-AB95</f>
        <v>1825775.3699999996</v>
      </c>
      <c r="AC97" s="1309"/>
      <c r="AD97" s="1314">
        <f>AD65-AD95</f>
        <v>1798514.83</v>
      </c>
      <c r="AE97" s="1309"/>
      <c r="AF97" s="1314">
        <f>AF65-AF95</f>
        <v>1715016.1300000004</v>
      </c>
      <c r="AG97" s="1309"/>
      <c r="AH97" s="1314">
        <f>AH65-AH95</f>
        <v>20486579.580000002</v>
      </c>
      <c r="AI97" s="1304">
        <f>IF(AH$65=0,0,AH97/AH$65)</f>
        <v>0.59894738533458958</v>
      </c>
      <c r="AJ97" s="15"/>
    </row>
    <row r="98" spans="2:36" s="8" customFormat="1" ht="7.5" customHeight="1">
      <c r="B98" s="2" t="s">
        <v>194</v>
      </c>
      <c r="D98" s="1301"/>
      <c r="E98" s="1301"/>
      <c r="F98" s="1301"/>
      <c r="G98" s="1301"/>
      <c r="H98" s="1301"/>
      <c r="I98" s="1301"/>
      <c r="J98" s="1310"/>
      <c r="K98" s="1309"/>
      <c r="L98" s="1310"/>
      <c r="M98" s="1309"/>
      <c r="N98" s="1310"/>
      <c r="O98" s="1309"/>
      <c r="P98" s="1310"/>
      <c r="Q98" s="1309"/>
      <c r="R98" s="1310"/>
      <c r="S98" s="1309"/>
      <c r="T98" s="1310"/>
      <c r="U98" s="1309"/>
      <c r="V98" s="1310"/>
      <c r="W98" s="1309"/>
      <c r="X98" s="1310"/>
      <c r="Y98" s="1309"/>
      <c r="Z98" s="1310"/>
      <c r="AA98" s="1309"/>
      <c r="AB98" s="1310"/>
      <c r="AC98" s="1309"/>
      <c r="AD98" s="1310"/>
      <c r="AE98" s="1309"/>
      <c r="AF98" s="1310"/>
      <c r="AG98" s="1309"/>
      <c r="AH98" s="1310"/>
      <c r="AI98" s="1306"/>
      <c r="AJ98" s="15"/>
    </row>
    <row r="99" spans="2:36" s="8" customFormat="1" ht="15" outlineLevel="1">
      <c r="B99" s="2"/>
      <c r="D99" s="1301"/>
      <c r="E99" s="1301"/>
      <c r="F99" s="1301"/>
      <c r="G99" s="1301"/>
      <c r="H99" s="1301"/>
      <c r="I99" s="1301"/>
      <c r="J99" s="1310"/>
      <c r="K99" s="1309"/>
      <c r="L99" s="1310"/>
      <c r="M99" s="1309"/>
      <c r="N99" s="1310"/>
      <c r="O99" s="1309"/>
      <c r="P99" s="1310"/>
      <c r="Q99" s="1309"/>
      <c r="R99" s="1310"/>
      <c r="S99" s="1309"/>
      <c r="T99" s="1310"/>
      <c r="U99" s="1309"/>
      <c r="V99" s="1310"/>
      <c r="W99" s="1309"/>
      <c r="X99" s="1310"/>
      <c r="Y99" s="1309"/>
      <c r="Z99" s="1310"/>
      <c r="AA99" s="1309"/>
      <c r="AB99" s="1310"/>
      <c r="AC99" s="1309"/>
      <c r="AD99" s="1310"/>
      <c r="AE99" s="1309"/>
      <c r="AF99" s="1310"/>
      <c r="AG99" s="1309"/>
      <c r="AH99" s="1310"/>
      <c r="AI99" s="1306"/>
      <c r="AJ99" s="15"/>
    </row>
    <row r="100" spans="2:36" s="407" customFormat="1" outlineLevel="1">
      <c r="B100" s="24" t="s">
        <v>409</v>
      </c>
      <c r="D100" s="1298">
        <v>50010</v>
      </c>
      <c r="E100" s="1298" t="s">
        <v>17</v>
      </c>
      <c r="F100" s="1299"/>
      <c r="G100" s="1300"/>
      <c r="H100" s="1301"/>
      <c r="I100" s="1302"/>
      <c r="J100" s="1303">
        <v>208.34</v>
      </c>
      <c r="K100" s="1302"/>
      <c r="L100" s="1303">
        <v>208.34</v>
      </c>
      <c r="M100" s="1302"/>
      <c r="N100" s="1303">
        <v>208.34</v>
      </c>
      <c r="O100" s="1302"/>
      <c r="P100" s="1303">
        <v>208.34</v>
      </c>
      <c r="Q100" s="1302"/>
      <c r="R100" s="1303">
        <v>208.34</v>
      </c>
      <c r="S100" s="1302"/>
      <c r="T100" s="1303">
        <v>208.34</v>
      </c>
      <c r="U100" s="1302"/>
      <c r="V100" s="1303">
        <v>208.34</v>
      </c>
      <c r="W100" s="1302"/>
      <c r="X100" s="1303">
        <v>208.34</v>
      </c>
      <c r="Y100" s="1302"/>
      <c r="Z100" s="1303">
        <v>0</v>
      </c>
      <c r="AA100" s="1302"/>
      <c r="AB100" s="1303">
        <v>0</v>
      </c>
      <c r="AC100" s="1302"/>
      <c r="AD100" s="1303">
        <v>0</v>
      </c>
      <c r="AE100" s="1302"/>
      <c r="AF100" s="1303">
        <v>0</v>
      </c>
      <c r="AG100" s="1302"/>
      <c r="AH100" s="1303">
        <f t="shared" ref="AH100:AH113" si="12">AF100+AD100+AB100+Z100+X100+V100+T100+R100+P100+N100+L100+J100</f>
        <v>1666.7199999999998</v>
      </c>
      <c r="AI100" s="1304">
        <f t="shared" ref="AI100:AI113" si="13">IF(AH$65=0,0,AH100/AH$65)</f>
        <v>4.8728367865733635E-5</v>
      </c>
      <c r="AJ100" s="12"/>
    </row>
    <row r="101" spans="2:36" s="407" customFormat="1" outlineLevel="1">
      <c r="B101" s="24" t="s">
        <v>397</v>
      </c>
      <c r="D101" s="1298">
        <v>50020</v>
      </c>
      <c r="E101" s="1298" t="s">
        <v>24</v>
      </c>
      <c r="F101" s="1299"/>
      <c r="G101" s="1300"/>
      <c r="H101" s="1301"/>
      <c r="I101" s="1302"/>
      <c r="J101" s="1303">
        <v>270515.03999999998</v>
      </c>
      <c r="K101" s="1302"/>
      <c r="L101" s="1303">
        <v>241340.66</v>
      </c>
      <c r="M101" s="1302"/>
      <c r="N101" s="1303">
        <v>253089.92000000001</v>
      </c>
      <c r="O101" s="1302"/>
      <c r="P101" s="1303">
        <v>249963.06</v>
      </c>
      <c r="Q101" s="1302"/>
      <c r="R101" s="1303">
        <v>228005.55</v>
      </c>
      <c r="S101" s="1302"/>
      <c r="T101" s="1303">
        <v>269863.58</v>
      </c>
      <c r="U101" s="1302"/>
      <c r="V101" s="1303">
        <v>250117.89</v>
      </c>
      <c r="W101" s="1302"/>
      <c r="X101" s="1303">
        <v>251623.47</v>
      </c>
      <c r="Y101" s="1302"/>
      <c r="Z101" s="1303">
        <v>288399.40999999997</v>
      </c>
      <c r="AA101" s="1302"/>
      <c r="AB101" s="1303">
        <v>221306.84</v>
      </c>
      <c r="AC101" s="1302"/>
      <c r="AD101" s="1303">
        <v>242123.79</v>
      </c>
      <c r="AE101" s="1302"/>
      <c r="AF101" s="1303">
        <v>268532.93</v>
      </c>
      <c r="AG101" s="1302"/>
      <c r="AH101" s="1303">
        <f t="shared" si="12"/>
        <v>3034882.14</v>
      </c>
      <c r="AI101" s="1304">
        <f t="shared" si="13"/>
        <v>8.8728072709912259E-2</v>
      </c>
      <c r="AJ101" s="12"/>
    </row>
    <row r="102" spans="2:36" s="407" customFormat="1" outlineLevel="1">
      <c r="B102" s="24" t="s">
        <v>397</v>
      </c>
      <c r="D102" s="1298">
        <v>50025</v>
      </c>
      <c r="E102" s="1298" t="s">
        <v>25</v>
      </c>
      <c r="F102" s="1299"/>
      <c r="G102" s="1300"/>
      <c r="H102" s="1301"/>
      <c r="I102" s="1302"/>
      <c r="J102" s="1303">
        <v>87566.44</v>
      </c>
      <c r="K102" s="1302"/>
      <c r="L102" s="1303">
        <v>97213.06</v>
      </c>
      <c r="M102" s="1302"/>
      <c r="N102" s="1303">
        <v>98634.67</v>
      </c>
      <c r="O102" s="1302"/>
      <c r="P102" s="1303">
        <v>105264.51</v>
      </c>
      <c r="Q102" s="1302"/>
      <c r="R102" s="1303">
        <v>94019.88</v>
      </c>
      <c r="S102" s="1302"/>
      <c r="T102" s="1303">
        <v>77687.8</v>
      </c>
      <c r="U102" s="1302"/>
      <c r="V102" s="1303">
        <v>103422.66</v>
      </c>
      <c r="W102" s="1302"/>
      <c r="X102" s="1303">
        <v>71124.87</v>
      </c>
      <c r="Y102" s="1302"/>
      <c r="Z102" s="1303">
        <v>77913.100000000006</v>
      </c>
      <c r="AA102" s="1302"/>
      <c r="AB102" s="1303">
        <v>55529.67</v>
      </c>
      <c r="AC102" s="1302"/>
      <c r="AD102" s="1303">
        <v>89785.94</v>
      </c>
      <c r="AE102" s="1302"/>
      <c r="AF102" s="1303">
        <v>82443.149999999994</v>
      </c>
      <c r="AG102" s="1302"/>
      <c r="AH102" s="1303">
        <f t="shared" si="12"/>
        <v>1040605.75</v>
      </c>
      <c r="AI102" s="1304">
        <f t="shared" si="13"/>
        <v>3.0423238329892039E-2</v>
      </c>
      <c r="AJ102" s="12"/>
    </row>
    <row r="103" spans="2:36" s="407" customFormat="1" outlineLevel="1">
      <c r="B103" s="24" t="s">
        <v>397</v>
      </c>
      <c r="D103" s="1298">
        <v>50035</v>
      </c>
      <c r="E103" s="1298" t="s">
        <v>26</v>
      </c>
      <c r="F103" s="1299"/>
      <c r="G103" s="1300"/>
      <c r="H103" s="1301"/>
      <c r="I103" s="1302"/>
      <c r="J103" s="1303">
        <v>4466.0200000000004</v>
      </c>
      <c r="K103" s="1302"/>
      <c r="L103" s="1303">
        <v>4466.03</v>
      </c>
      <c r="M103" s="1302"/>
      <c r="N103" s="1303">
        <v>4466.03</v>
      </c>
      <c r="O103" s="1302"/>
      <c r="P103" s="1303">
        <v>9234.48</v>
      </c>
      <c r="Q103" s="1302"/>
      <c r="R103" s="1303">
        <v>-2379.4699999999998</v>
      </c>
      <c r="S103" s="1302"/>
      <c r="T103" s="1303">
        <v>4784.33</v>
      </c>
      <c r="U103" s="1302"/>
      <c r="V103" s="1303">
        <v>5621.76</v>
      </c>
      <c r="W103" s="1302"/>
      <c r="X103" s="1303">
        <v>-275.45999999999998</v>
      </c>
      <c r="Y103" s="1302"/>
      <c r="Z103" s="1303">
        <v>1553.65</v>
      </c>
      <c r="AA103" s="1302"/>
      <c r="AB103" s="1303">
        <v>-4791.8100000000004</v>
      </c>
      <c r="AC103" s="1302"/>
      <c r="AD103" s="1303">
        <v>3303.66</v>
      </c>
      <c r="AE103" s="1302"/>
      <c r="AF103" s="1303">
        <v>1553.65</v>
      </c>
      <c r="AG103" s="1302"/>
      <c r="AH103" s="1303">
        <f t="shared" si="12"/>
        <v>32002.87</v>
      </c>
      <c r="AI103" s="1304">
        <f t="shared" si="13"/>
        <v>9.3563863283529993E-4</v>
      </c>
      <c r="AJ103" s="12"/>
    </row>
    <row r="104" spans="2:36" s="407" customFormat="1" outlineLevel="1">
      <c r="B104" s="24" t="s">
        <v>397</v>
      </c>
      <c r="D104" s="1298">
        <v>50045</v>
      </c>
      <c r="E104" s="1298" t="s">
        <v>27</v>
      </c>
      <c r="F104" s="1299"/>
      <c r="G104" s="1300"/>
      <c r="H104" s="1301"/>
      <c r="I104" s="1302"/>
      <c r="J104" s="1303">
        <v>586.09</v>
      </c>
      <c r="K104" s="1302"/>
      <c r="L104" s="1303">
        <v>1780.05</v>
      </c>
      <c r="M104" s="1302"/>
      <c r="N104" s="1303">
        <v>420.03</v>
      </c>
      <c r="O104" s="1302"/>
      <c r="P104" s="1303">
        <v>161.18</v>
      </c>
      <c r="Q104" s="1302"/>
      <c r="R104" s="1303">
        <v>0</v>
      </c>
      <c r="S104" s="1302"/>
      <c r="T104" s="1303">
        <v>0</v>
      </c>
      <c r="U104" s="1302"/>
      <c r="V104" s="1303">
        <v>0</v>
      </c>
      <c r="W104" s="1302"/>
      <c r="X104" s="1303">
        <v>0</v>
      </c>
      <c r="Y104" s="1302"/>
      <c r="Z104" s="1303">
        <v>0</v>
      </c>
      <c r="AA104" s="1302"/>
      <c r="AB104" s="1303">
        <v>305.79000000000002</v>
      </c>
      <c r="AC104" s="1302"/>
      <c r="AD104" s="1303">
        <v>0</v>
      </c>
      <c r="AE104" s="1302"/>
      <c r="AF104" s="1303">
        <v>0</v>
      </c>
      <c r="AG104" s="1302"/>
      <c r="AH104" s="1303">
        <f t="shared" si="12"/>
        <v>3253.1400000000003</v>
      </c>
      <c r="AI104" s="1304">
        <f t="shared" si="13"/>
        <v>9.5109078092740689E-5</v>
      </c>
      <c r="AJ104" s="12"/>
    </row>
    <row r="105" spans="2:36" s="407" customFormat="1" outlineLevel="1">
      <c r="B105" s="24" t="s">
        <v>397</v>
      </c>
      <c r="D105" s="1298">
        <v>50050</v>
      </c>
      <c r="E105" s="1298" t="s">
        <v>166</v>
      </c>
      <c r="F105" s="1299"/>
      <c r="G105" s="1300"/>
      <c r="H105" s="1301"/>
      <c r="I105" s="1302"/>
      <c r="J105" s="1303">
        <v>33727.620000000003</v>
      </c>
      <c r="K105" s="1302"/>
      <c r="L105" s="1303">
        <v>27480.77</v>
      </c>
      <c r="M105" s="1302"/>
      <c r="N105" s="1303">
        <v>30704.21</v>
      </c>
      <c r="O105" s="1302"/>
      <c r="P105" s="1303">
        <v>29759.88</v>
      </c>
      <c r="Q105" s="1302"/>
      <c r="R105" s="1303">
        <v>27042.27</v>
      </c>
      <c r="S105" s="1302"/>
      <c r="T105" s="1303">
        <v>28950.07</v>
      </c>
      <c r="U105" s="1302"/>
      <c r="V105" s="1303">
        <v>28680.76</v>
      </c>
      <c r="W105" s="1302"/>
      <c r="X105" s="1303">
        <v>28035.3</v>
      </c>
      <c r="Y105" s="1302"/>
      <c r="Z105" s="1303">
        <v>35305.83</v>
      </c>
      <c r="AA105" s="1302"/>
      <c r="AB105" s="1303">
        <v>25407.34</v>
      </c>
      <c r="AC105" s="1302"/>
      <c r="AD105" s="1303">
        <v>28639.21</v>
      </c>
      <c r="AE105" s="1302"/>
      <c r="AF105" s="1303">
        <v>30691.61</v>
      </c>
      <c r="AG105" s="1302"/>
      <c r="AH105" s="1303">
        <f t="shared" si="12"/>
        <v>354424.87000000005</v>
      </c>
      <c r="AI105" s="1304">
        <f t="shared" si="13"/>
        <v>1.0361995683813014E-2</v>
      </c>
      <c r="AJ105" s="12"/>
    </row>
    <row r="106" spans="2:36" s="407" customFormat="1" outlineLevel="1">
      <c r="B106" s="24" t="s">
        <v>397</v>
      </c>
      <c r="D106" s="1298">
        <v>50060</v>
      </c>
      <c r="E106" s="1298" t="s">
        <v>75</v>
      </c>
      <c r="F106" s="1299"/>
      <c r="G106" s="1300"/>
      <c r="H106" s="1301"/>
      <c r="I106" s="1302"/>
      <c r="J106" s="1303">
        <v>26394.44</v>
      </c>
      <c r="K106" s="1302"/>
      <c r="L106" s="1303">
        <v>23977.85</v>
      </c>
      <c r="M106" s="1302"/>
      <c r="N106" s="1303">
        <v>24088.9</v>
      </c>
      <c r="O106" s="1302"/>
      <c r="P106" s="1303">
        <v>22928.880000000001</v>
      </c>
      <c r="Q106" s="1302"/>
      <c r="R106" s="1303">
        <v>20453.509999999998</v>
      </c>
      <c r="S106" s="1302"/>
      <c r="T106" s="1303">
        <v>20416.22</v>
      </c>
      <c r="U106" s="1302"/>
      <c r="V106" s="1303">
        <v>22774.46</v>
      </c>
      <c r="W106" s="1302"/>
      <c r="X106" s="1303">
        <v>24072.49</v>
      </c>
      <c r="Y106" s="1302"/>
      <c r="Z106" s="1303">
        <v>22998.62</v>
      </c>
      <c r="AA106" s="1302"/>
      <c r="AB106" s="1303">
        <v>22782.31</v>
      </c>
      <c r="AC106" s="1302"/>
      <c r="AD106" s="1303">
        <v>24057.17</v>
      </c>
      <c r="AE106" s="1302"/>
      <c r="AF106" s="1303">
        <v>22071.99</v>
      </c>
      <c r="AG106" s="1302"/>
      <c r="AH106" s="1303">
        <f t="shared" si="12"/>
        <v>277016.84000000003</v>
      </c>
      <c r="AI106" s="1304">
        <f t="shared" si="13"/>
        <v>8.0988879263002057E-3</v>
      </c>
      <c r="AJ106" s="12"/>
    </row>
    <row r="107" spans="2:36" s="407" customFormat="1" outlineLevel="1">
      <c r="B107" s="24" t="s">
        <v>397</v>
      </c>
      <c r="D107" s="1298">
        <v>50065</v>
      </c>
      <c r="E107" s="1298" t="s">
        <v>21</v>
      </c>
      <c r="F107" s="1299"/>
      <c r="G107" s="1300"/>
      <c r="H107" s="1301"/>
      <c r="I107" s="1302"/>
      <c r="J107" s="1303">
        <v>29866.89</v>
      </c>
      <c r="K107" s="1302"/>
      <c r="L107" s="1303">
        <v>10296.120000000001</v>
      </c>
      <c r="M107" s="1302"/>
      <c r="N107" s="1303">
        <v>9821.27</v>
      </c>
      <c r="O107" s="1302"/>
      <c r="P107" s="1303">
        <v>8630.67</v>
      </c>
      <c r="Q107" s="1302"/>
      <c r="R107" s="1303">
        <v>15902.13</v>
      </c>
      <c r="S107" s="1302"/>
      <c r="T107" s="1303">
        <v>11393.65</v>
      </c>
      <c r="U107" s="1302"/>
      <c r="V107" s="1303">
        <v>10277.48</v>
      </c>
      <c r="W107" s="1302"/>
      <c r="X107" s="1303">
        <v>10981.57</v>
      </c>
      <c r="Y107" s="1302"/>
      <c r="Z107" s="1303">
        <v>23194.89</v>
      </c>
      <c r="AA107" s="1302"/>
      <c r="AB107" s="1303">
        <v>10796.39</v>
      </c>
      <c r="AC107" s="1302"/>
      <c r="AD107" s="1303">
        <v>15910.91</v>
      </c>
      <c r="AE107" s="1302"/>
      <c r="AF107" s="1303">
        <v>12998.48</v>
      </c>
      <c r="AG107" s="1302"/>
      <c r="AH107" s="1303">
        <f t="shared" si="12"/>
        <v>170070.45</v>
      </c>
      <c r="AI107" s="1304">
        <f t="shared" si="13"/>
        <v>4.9721941602013904E-3</v>
      </c>
      <c r="AJ107" s="12"/>
    </row>
    <row r="108" spans="2:36" s="407" customFormat="1" outlineLevel="1">
      <c r="B108" s="24" t="s">
        <v>397</v>
      </c>
      <c r="D108" s="1298">
        <v>50070</v>
      </c>
      <c r="E108" s="1298" t="s">
        <v>22</v>
      </c>
      <c r="F108" s="1299"/>
      <c r="G108" s="1300"/>
      <c r="H108" s="1301"/>
      <c r="I108" s="1302"/>
      <c r="J108" s="1303">
        <v>6855.01</v>
      </c>
      <c r="K108" s="1302"/>
      <c r="L108" s="1303">
        <v>7168.42</v>
      </c>
      <c r="M108" s="1302"/>
      <c r="N108" s="1303">
        <v>7970.11</v>
      </c>
      <c r="O108" s="1302"/>
      <c r="P108" s="1303">
        <v>5424.9</v>
      </c>
      <c r="Q108" s="1302"/>
      <c r="R108" s="1303">
        <v>4669.03</v>
      </c>
      <c r="S108" s="1302"/>
      <c r="T108" s="1303">
        <v>10624.86</v>
      </c>
      <c r="U108" s="1302"/>
      <c r="V108" s="1303">
        <v>5851.43</v>
      </c>
      <c r="W108" s="1302"/>
      <c r="X108" s="1303">
        <v>4638.76</v>
      </c>
      <c r="Y108" s="1302"/>
      <c r="Z108" s="1303">
        <v>9743.58</v>
      </c>
      <c r="AA108" s="1302"/>
      <c r="AB108" s="1303">
        <v>25314.48</v>
      </c>
      <c r="AC108" s="1302"/>
      <c r="AD108" s="1303">
        <v>7450.71</v>
      </c>
      <c r="AE108" s="1302"/>
      <c r="AF108" s="1303">
        <v>14669.05</v>
      </c>
      <c r="AG108" s="1302"/>
      <c r="AH108" s="1303">
        <f t="shared" si="12"/>
        <v>110380.34</v>
      </c>
      <c r="AI108" s="1304">
        <f t="shared" si="13"/>
        <v>3.2270890207501883E-3</v>
      </c>
      <c r="AJ108" s="12"/>
    </row>
    <row r="109" spans="2:36" s="407" customFormat="1" outlineLevel="1">
      <c r="B109" s="24" t="s">
        <v>397</v>
      </c>
      <c r="D109" s="1298">
        <v>50086</v>
      </c>
      <c r="E109" s="1298" t="s">
        <v>60</v>
      </c>
      <c r="F109" s="1299"/>
      <c r="G109" s="1300"/>
      <c r="H109" s="1301"/>
      <c r="I109" s="1302"/>
      <c r="J109" s="1303">
        <v>6378.16</v>
      </c>
      <c r="K109" s="1302"/>
      <c r="L109" s="1303">
        <v>6115.87</v>
      </c>
      <c r="M109" s="1302"/>
      <c r="N109" s="1303">
        <v>2711.08</v>
      </c>
      <c r="O109" s="1302"/>
      <c r="P109" s="1303">
        <v>7076.48</v>
      </c>
      <c r="Q109" s="1302"/>
      <c r="R109" s="1303">
        <v>2671.28</v>
      </c>
      <c r="S109" s="1302"/>
      <c r="T109" s="1303">
        <v>9858.33</v>
      </c>
      <c r="U109" s="1302"/>
      <c r="V109" s="1303">
        <v>8522.6</v>
      </c>
      <c r="W109" s="1302"/>
      <c r="X109" s="1303">
        <v>3465.79</v>
      </c>
      <c r="Y109" s="1302"/>
      <c r="Z109" s="1303">
        <v>12193.25</v>
      </c>
      <c r="AA109" s="1302"/>
      <c r="AB109" s="1303">
        <v>5364.48</v>
      </c>
      <c r="AC109" s="1302"/>
      <c r="AD109" s="1303">
        <v>6845.89</v>
      </c>
      <c r="AE109" s="1302"/>
      <c r="AF109" s="1303">
        <v>3716.29</v>
      </c>
      <c r="AG109" s="1302"/>
      <c r="AH109" s="1303">
        <f t="shared" si="12"/>
        <v>74919.5</v>
      </c>
      <c r="AI109" s="1304">
        <f t="shared" si="13"/>
        <v>2.1903528824978591E-3</v>
      </c>
      <c r="AJ109" s="12"/>
    </row>
    <row r="110" spans="2:36" s="407" customFormat="1" outlineLevel="1">
      <c r="B110" s="24" t="s">
        <v>397</v>
      </c>
      <c r="D110" s="1298">
        <v>50090</v>
      </c>
      <c r="E110" s="1298" t="s">
        <v>39</v>
      </c>
      <c r="F110" s="1299"/>
      <c r="G110" s="1300"/>
      <c r="H110" s="1301"/>
      <c r="I110" s="1302"/>
      <c r="J110" s="1303">
        <v>2258.46</v>
      </c>
      <c r="K110" s="1302"/>
      <c r="L110" s="1303">
        <v>4712.3100000000004</v>
      </c>
      <c r="M110" s="1302"/>
      <c r="N110" s="1303">
        <v>1831.3</v>
      </c>
      <c r="O110" s="1302"/>
      <c r="P110" s="1303">
        <v>3288.9</v>
      </c>
      <c r="Q110" s="1302"/>
      <c r="R110" s="1303">
        <v>2753.67</v>
      </c>
      <c r="S110" s="1302"/>
      <c r="T110" s="1303">
        <v>5339.67</v>
      </c>
      <c r="U110" s="1302"/>
      <c r="V110" s="1303">
        <v>2406.1</v>
      </c>
      <c r="W110" s="1302"/>
      <c r="X110" s="1303">
        <v>2221.0500000000002</v>
      </c>
      <c r="Y110" s="1302"/>
      <c r="Z110" s="1303">
        <v>3277.82</v>
      </c>
      <c r="AA110" s="1302"/>
      <c r="AB110" s="1303">
        <v>1661.43</v>
      </c>
      <c r="AC110" s="1302"/>
      <c r="AD110" s="1303">
        <v>1677.7</v>
      </c>
      <c r="AE110" s="1302"/>
      <c r="AF110" s="1303">
        <v>1796.26</v>
      </c>
      <c r="AG110" s="1302"/>
      <c r="AH110" s="1303">
        <f t="shared" si="12"/>
        <v>33224.670000000006</v>
      </c>
      <c r="AI110" s="1304">
        <f t="shared" si="13"/>
        <v>9.7135928168954884E-4</v>
      </c>
      <c r="AJ110" s="12"/>
    </row>
    <row r="111" spans="2:36" s="407" customFormat="1" outlineLevel="1">
      <c r="B111" s="24" t="s">
        <v>397</v>
      </c>
      <c r="D111" s="1298">
        <v>50115</v>
      </c>
      <c r="E111" s="1298" t="s">
        <v>120</v>
      </c>
      <c r="F111" s="1299"/>
      <c r="G111" s="1300"/>
      <c r="H111" s="1301"/>
      <c r="I111" s="1302"/>
      <c r="J111" s="1303">
        <v>2162.12</v>
      </c>
      <c r="K111" s="1302"/>
      <c r="L111" s="1303">
        <v>1537.67</v>
      </c>
      <c r="M111" s="1302"/>
      <c r="N111" s="1303">
        <v>2131.63</v>
      </c>
      <c r="O111" s="1302"/>
      <c r="P111" s="1303">
        <v>1993.92</v>
      </c>
      <c r="Q111" s="1302"/>
      <c r="R111" s="1303">
        <v>1724.17</v>
      </c>
      <c r="S111" s="1302"/>
      <c r="T111" s="1303">
        <v>1525.64</v>
      </c>
      <c r="U111" s="1302"/>
      <c r="V111" s="1303">
        <v>1539.39</v>
      </c>
      <c r="W111" s="1302"/>
      <c r="X111" s="1303">
        <v>1930.45</v>
      </c>
      <c r="Y111" s="1302"/>
      <c r="Z111" s="1303">
        <v>3031.98</v>
      </c>
      <c r="AA111" s="1302"/>
      <c r="AB111" s="1303">
        <v>2204.6799999999998</v>
      </c>
      <c r="AC111" s="1302"/>
      <c r="AD111" s="1303">
        <v>2663.2</v>
      </c>
      <c r="AE111" s="1302"/>
      <c r="AF111" s="1303">
        <v>3226.38</v>
      </c>
      <c r="AG111" s="1302"/>
      <c r="AH111" s="1303">
        <f t="shared" si="12"/>
        <v>25671.23</v>
      </c>
      <c r="AI111" s="1304">
        <f t="shared" si="13"/>
        <v>7.5052626656298442E-4</v>
      </c>
      <c r="AJ111" s="12"/>
    </row>
    <row r="112" spans="2:36" s="407" customFormat="1" outlineLevel="1">
      <c r="B112" s="24" t="s">
        <v>397</v>
      </c>
      <c r="D112" s="1298">
        <v>50116</v>
      </c>
      <c r="E112" s="1298" t="s">
        <v>116</v>
      </c>
      <c r="F112" s="1299"/>
      <c r="G112" s="1300"/>
      <c r="H112" s="1301"/>
      <c r="I112" s="1302"/>
      <c r="J112" s="1303">
        <v>53904</v>
      </c>
      <c r="K112" s="1302"/>
      <c r="L112" s="1303">
        <v>52582.5</v>
      </c>
      <c r="M112" s="1302"/>
      <c r="N112" s="1303">
        <v>53922.5</v>
      </c>
      <c r="O112" s="1302"/>
      <c r="P112" s="1303">
        <v>53982.81</v>
      </c>
      <c r="Q112" s="1302"/>
      <c r="R112" s="1303">
        <v>53941</v>
      </c>
      <c r="S112" s="1302"/>
      <c r="T112" s="1303">
        <v>53959.5</v>
      </c>
      <c r="U112" s="1302"/>
      <c r="V112" s="1303">
        <v>52638</v>
      </c>
      <c r="W112" s="1302"/>
      <c r="X112" s="1303">
        <v>56880.3</v>
      </c>
      <c r="Y112" s="1302"/>
      <c r="Z112" s="1303">
        <v>56880.3</v>
      </c>
      <c r="AA112" s="1302"/>
      <c r="AB112" s="1303">
        <v>57272.7</v>
      </c>
      <c r="AC112" s="1302"/>
      <c r="AD112" s="1303">
        <v>57901.9</v>
      </c>
      <c r="AE112" s="1302"/>
      <c r="AF112" s="1303">
        <v>57850.5</v>
      </c>
      <c r="AG112" s="1302"/>
      <c r="AH112" s="1303">
        <f t="shared" si="12"/>
        <v>661716.01</v>
      </c>
      <c r="AI112" s="1304">
        <f t="shared" si="13"/>
        <v>1.9345985623215347E-2</v>
      </c>
      <c r="AJ112" s="12"/>
    </row>
    <row r="113" spans="2:36" s="407" customFormat="1" outlineLevel="1">
      <c r="B113" s="24" t="s">
        <v>397</v>
      </c>
      <c r="D113" s="1298">
        <v>50117</v>
      </c>
      <c r="E113" s="1298" t="s">
        <v>119</v>
      </c>
      <c r="F113" s="1299"/>
      <c r="G113" s="1300"/>
      <c r="H113" s="1301"/>
      <c r="I113" s="1302"/>
      <c r="J113" s="1303">
        <v>22568.84</v>
      </c>
      <c r="K113" s="1302"/>
      <c r="L113" s="1303">
        <v>21350.67</v>
      </c>
      <c r="M113" s="1302"/>
      <c r="N113" s="1303">
        <v>22150.05</v>
      </c>
      <c r="O113" s="1302"/>
      <c r="P113" s="1303">
        <v>22977.16</v>
      </c>
      <c r="Q113" s="1302"/>
      <c r="R113" s="1303">
        <v>19821.669999999998</v>
      </c>
      <c r="S113" s="1302"/>
      <c r="T113" s="1303">
        <v>22440.240000000002</v>
      </c>
      <c r="U113" s="1302"/>
      <c r="V113" s="1303">
        <v>22778.9</v>
      </c>
      <c r="W113" s="1302"/>
      <c r="X113" s="1303">
        <v>22110.52</v>
      </c>
      <c r="Y113" s="1302"/>
      <c r="Z113" s="1303">
        <v>24138.32</v>
      </c>
      <c r="AA113" s="1302"/>
      <c r="AB113" s="1303">
        <v>20462.07</v>
      </c>
      <c r="AC113" s="1302"/>
      <c r="AD113" s="1303">
        <v>21788.71</v>
      </c>
      <c r="AE113" s="1302"/>
      <c r="AF113" s="1303">
        <v>23849.31</v>
      </c>
      <c r="AG113" s="1302"/>
      <c r="AH113" s="1303">
        <f t="shared" si="12"/>
        <v>266436.46000000002</v>
      </c>
      <c r="AI113" s="1304">
        <f t="shared" si="13"/>
        <v>7.7895590355451594E-3</v>
      </c>
      <c r="AJ113" s="12"/>
    </row>
    <row r="114" spans="2:36" s="8" customFormat="1" ht="5.0999999999999996" customHeight="1" outlineLevel="1">
      <c r="B114" s="16" t="s">
        <v>194</v>
      </c>
      <c r="D114" s="1299"/>
      <c r="E114" s="1299"/>
      <c r="F114" s="1299"/>
      <c r="G114" s="1299"/>
      <c r="H114" s="1301"/>
      <c r="I114" s="1301"/>
      <c r="J114" s="1311"/>
      <c r="K114" s="1309"/>
      <c r="L114" s="1311"/>
      <c r="M114" s="1309"/>
      <c r="N114" s="1311"/>
      <c r="O114" s="1309"/>
      <c r="P114" s="1311"/>
      <c r="Q114" s="1309"/>
      <c r="R114" s="1311"/>
      <c r="S114" s="1309"/>
      <c r="T114" s="1311"/>
      <c r="U114" s="1309"/>
      <c r="V114" s="1311"/>
      <c r="W114" s="1309"/>
      <c r="X114" s="1311"/>
      <c r="Y114" s="1309"/>
      <c r="Z114" s="1311"/>
      <c r="AA114" s="1309"/>
      <c r="AB114" s="1311"/>
      <c r="AC114" s="1309"/>
      <c r="AD114" s="1311"/>
      <c r="AE114" s="1309"/>
      <c r="AF114" s="1311"/>
      <c r="AG114" s="1309"/>
      <c r="AH114" s="1311"/>
      <c r="AI114" s="1306"/>
      <c r="AJ114" s="15"/>
    </row>
    <row r="115" spans="2:36" s="8" customFormat="1" ht="15">
      <c r="B115" s="16" t="s">
        <v>194</v>
      </c>
      <c r="D115" s="1301"/>
      <c r="E115" s="1301"/>
      <c r="F115" s="1299" t="s">
        <v>229</v>
      </c>
      <c r="G115" s="1301"/>
      <c r="H115" s="1301"/>
      <c r="I115" s="1301"/>
      <c r="J115" s="1308">
        <f>SUM(J99:J114)</f>
        <v>547457.47000000009</v>
      </c>
      <c r="K115" s="1309"/>
      <c r="L115" s="1308">
        <f>SUM(L99:L114)</f>
        <v>500230.31999999995</v>
      </c>
      <c r="M115" s="1309"/>
      <c r="N115" s="1308">
        <f>SUM(N99:N114)</f>
        <v>512150.0400000001</v>
      </c>
      <c r="O115" s="1309"/>
      <c r="P115" s="1308">
        <f>SUM(P99:P114)</f>
        <v>520895.16999999993</v>
      </c>
      <c r="Q115" s="1309"/>
      <c r="R115" s="1308">
        <f>SUM(R99:R114)</f>
        <v>468833.03000000009</v>
      </c>
      <c r="S115" s="1309"/>
      <c r="T115" s="1308">
        <f>SUM(T99:T114)</f>
        <v>517052.2300000001</v>
      </c>
      <c r="U115" s="1309"/>
      <c r="V115" s="1308">
        <f>SUM(V99:V114)</f>
        <v>514839.77</v>
      </c>
      <c r="W115" s="1309"/>
      <c r="X115" s="1308">
        <f>SUM(X99:X114)</f>
        <v>477017.44999999995</v>
      </c>
      <c r="Y115" s="1309"/>
      <c r="Z115" s="1308">
        <f>SUM(Z99:Z114)</f>
        <v>558630.75</v>
      </c>
      <c r="AA115" s="1309"/>
      <c r="AB115" s="1308">
        <f>SUM(AB99:AB114)</f>
        <v>443616.37</v>
      </c>
      <c r="AC115" s="1309"/>
      <c r="AD115" s="1308">
        <f>SUM(AD99:AD114)</f>
        <v>502148.79000000004</v>
      </c>
      <c r="AE115" s="1309"/>
      <c r="AF115" s="1308">
        <f>SUM(AF99:AF114)</f>
        <v>523399.59999999992</v>
      </c>
      <c r="AG115" s="1309"/>
      <c r="AH115" s="1308">
        <f>SUM(AH99:AH114)</f>
        <v>6086270.9900000002</v>
      </c>
      <c r="AI115" s="1304">
        <f>IF(AH$65=0,0,AH115/AH$65)</f>
        <v>0.17793873699917376</v>
      </c>
      <c r="AJ115" s="15"/>
    </row>
    <row r="116" spans="2:36" s="8" customFormat="1" ht="15" outlineLevel="1">
      <c r="D116" s="1301"/>
      <c r="E116" s="1301"/>
      <c r="F116" s="1301"/>
      <c r="G116" s="1301"/>
      <c r="H116" s="1301"/>
      <c r="I116" s="1301"/>
      <c r="J116" s="1310"/>
      <c r="K116" s="1309"/>
      <c r="L116" s="1310"/>
      <c r="M116" s="1309"/>
      <c r="N116" s="1310"/>
      <c r="O116" s="1309"/>
      <c r="P116" s="1310"/>
      <c r="Q116" s="1309"/>
      <c r="R116" s="1310"/>
      <c r="S116" s="1309"/>
      <c r="T116" s="1310"/>
      <c r="U116" s="1309"/>
      <c r="V116" s="1310"/>
      <c r="W116" s="1309"/>
      <c r="X116" s="1310"/>
      <c r="Y116" s="1309"/>
      <c r="Z116" s="1310"/>
      <c r="AA116" s="1309"/>
      <c r="AB116" s="1310"/>
      <c r="AC116" s="1309"/>
      <c r="AD116" s="1310"/>
      <c r="AE116" s="1309"/>
      <c r="AF116" s="1310"/>
      <c r="AG116" s="1309"/>
      <c r="AH116" s="1310"/>
      <c r="AI116" s="1306"/>
      <c r="AJ116" s="15"/>
    </row>
    <row r="117" spans="2:36" s="407" customFormat="1" outlineLevel="1">
      <c r="B117" s="24" t="s">
        <v>410</v>
      </c>
      <c r="D117" s="1298">
        <v>51295</v>
      </c>
      <c r="E117" s="1298" t="s">
        <v>163</v>
      </c>
      <c r="F117" s="1299"/>
      <c r="G117" s="1300"/>
      <c r="H117" s="1301"/>
      <c r="I117" s="1302"/>
      <c r="J117" s="1303">
        <v>7196.32</v>
      </c>
      <c r="K117" s="1302"/>
      <c r="L117" s="1303">
        <v>6137.84</v>
      </c>
      <c r="M117" s="1302"/>
      <c r="N117" s="1303">
        <v>6148.34</v>
      </c>
      <c r="O117" s="1302"/>
      <c r="P117" s="1303">
        <v>6185.82</v>
      </c>
      <c r="Q117" s="1302"/>
      <c r="R117" s="1303">
        <v>6496.33</v>
      </c>
      <c r="S117" s="1302"/>
      <c r="T117" s="1303">
        <v>7516.1</v>
      </c>
      <c r="U117" s="1302"/>
      <c r="V117" s="1303">
        <v>7064.82</v>
      </c>
      <c r="W117" s="1302"/>
      <c r="X117" s="1303">
        <v>6148.34</v>
      </c>
      <c r="Y117" s="1302"/>
      <c r="Z117" s="1303">
        <v>7995.6</v>
      </c>
      <c r="AA117" s="1302"/>
      <c r="AB117" s="1303">
        <v>8079.56</v>
      </c>
      <c r="AC117" s="1302"/>
      <c r="AD117" s="1303">
        <v>7562.91</v>
      </c>
      <c r="AE117" s="1302"/>
      <c r="AF117" s="1303">
        <v>8856.16</v>
      </c>
      <c r="AG117" s="1302"/>
      <c r="AH117" s="1303">
        <f>AF117+AD117+AB117+Z117+X117+V117+T117+R117+P117+N117+L117+J117</f>
        <v>85388.140000000014</v>
      </c>
      <c r="AI117" s="1304">
        <f>IF(AH$65=0,0,AH117/AH$65)</f>
        <v>2.4964149330966006E-3</v>
      </c>
      <c r="AJ117" s="12"/>
    </row>
    <row r="118" spans="2:36" s="8" customFormat="1" ht="5.0999999999999996" customHeight="1" outlineLevel="1">
      <c r="B118" s="2" t="s">
        <v>194</v>
      </c>
      <c r="D118" s="1299"/>
      <c r="E118" s="1299"/>
      <c r="F118" s="1299"/>
      <c r="G118" s="1299"/>
      <c r="H118" s="1301"/>
      <c r="I118" s="1301"/>
      <c r="J118" s="1311"/>
      <c r="K118" s="1309"/>
      <c r="L118" s="1311"/>
      <c r="M118" s="1309"/>
      <c r="N118" s="1311"/>
      <c r="O118" s="1309"/>
      <c r="P118" s="1311"/>
      <c r="Q118" s="1309"/>
      <c r="R118" s="1311"/>
      <c r="S118" s="1309"/>
      <c r="T118" s="1311"/>
      <c r="U118" s="1309"/>
      <c r="V118" s="1311"/>
      <c r="W118" s="1309"/>
      <c r="X118" s="1311"/>
      <c r="Y118" s="1309"/>
      <c r="Z118" s="1311"/>
      <c r="AA118" s="1309"/>
      <c r="AB118" s="1311"/>
      <c r="AC118" s="1309"/>
      <c r="AD118" s="1311"/>
      <c r="AE118" s="1309"/>
      <c r="AF118" s="1311"/>
      <c r="AG118" s="1309"/>
      <c r="AH118" s="1311"/>
      <c r="AI118" s="1306"/>
      <c r="AJ118" s="15"/>
    </row>
    <row r="119" spans="2:36" s="8" customFormat="1" ht="15">
      <c r="B119" s="2"/>
      <c r="D119" s="1301"/>
      <c r="E119" s="1301"/>
      <c r="F119" s="1299" t="s">
        <v>230</v>
      </c>
      <c r="G119" s="1301"/>
      <c r="H119" s="1301"/>
      <c r="I119" s="1301"/>
      <c r="J119" s="1308">
        <f>SUM(J117:J118)</f>
        <v>7196.32</v>
      </c>
      <c r="K119" s="1309"/>
      <c r="L119" s="1308">
        <f>SUM(L117:L118)</f>
        <v>6137.84</v>
      </c>
      <c r="M119" s="1309"/>
      <c r="N119" s="1308">
        <f>SUM(N117:N118)</f>
        <v>6148.34</v>
      </c>
      <c r="O119" s="1309"/>
      <c r="P119" s="1308">
        <f>SUM(P117:P118)</f>
        <v>6185.82</v>
      </c>
      <c r="Q119" s="1309"/>
      <c r="R119" s="1308">
        <f>SUM(R117:R118)</f>
        <v>6496.33</v>
      </c>
      <c r="S119" s="1309"/>
      <c r="T119" s="1308">
        <f>SUM(T117:T118)</f>
        <v>7516.1</v>
      </c>
      <c r="U119" s="1309"/>
      <c r="V119" s="1308">
        <f>SUM(V117:V118)</f>
        <v>7064.82</v>
      </c>
      <c r="W119" s="1309"/>
      <c r="X119" s="1308">
        <f>SUM(X117:X118)</f>
        <v>6148.34</v>
      </c>
      <c r="Y119" s="1309"/>
      <c r="Z119" s="1308">
        <f>SUM(Z117:Z118)</f>
        <v>7995.6</v>
      </c>
      <c r="AA119" s="1309"/>
      <c r="AB119" s="1308">
        <f>SUM(AB117:AB118)</f>
        <v>8079.56</v>
      </c>
      <c r="AC119" s="1309"/>
      <c r="AD119" s="1308">
        <f>SUM(AD117:AD118)</f>
        <v>7562.91</v>
      </c>
      <c r="AE119" s="1309"/>
      <c r="AF119" s="1308">
        <f>SUM(AF117:AF118)</f>
        <v>8856.16</v>
      </c>
      <c r="AG119" s="1309"/>
      <c r="AH119" s="1308">
        <f>SUM(AH117:AH118)</f>
        <v>85388.140000000014</v>
      </c>
      <c r="AI119" s="1304">
        <f>IF(AH$65=0,0,AH119/AH$65)</f>
        <v>2.4964149330966006E-3</v>
      </c>
      <c r="AJ119" s="15"/>
    </row>
    <row r="120" spans="2:36" s="8" customFormat="1" ht="15" outlineLevel="1">
      <c r="B120" s="2"/>
      <c r="D120" s="1301"/>
      <c r="E120" s="1301"/>
      <c r="F120" s="1301"/>
      <c r="G120" s="1301"/>
      <c r="H120" s="1301"/>
      <c r="I120" s="1301"/>
      <c r="J120" s="1310"/>
      <c r="K120" s="1309"/>
      <c r="L120" s="1310"/>
      <c r="M120" s="1309"/>
      <c r="N120" s="1310"/>
      <c r="O120" s="1309"/>
      <c r="P120" s="1310"/>
      <c r="Q120" s="1309"/>
      <c r="R120" s="1310"/>
      <c r="S120" s="1309"/>
      <c r="T120" s="1310"/>
      <c r="U120" s="1309"/>
      <c r="V120" s="1310"/>
      <c r="W120" s="1309"/>
      <c r="X120" s="1310"/>
      <c r="Y120" s="1309"/>
      <c r="Z120" s="1310"/>
      <c r="AA120" s="1309"/>
      <c r="AB120" s="1310"/>
      <c r="AC120" s="1309"/>
      <c r="AD120" s="1310"/>
      <c r="AE120" s="1309"/>
      <c r="AF120" s="1310"/>
      <c r="AG120" s="1309"/>
      <c r="AH120" s="1310"/>
      <c r="AI120" s="1306"/>
      <c r="AJ120" s="15"/>
    </row>
    <row r="121" spans="2:36" s="8" customFormat="1" ht="15" outlineLevel="1">
      <c r="B121" s="2"/>
      <c r="D121" s="1301"/>
      <c r="E121" s="1301"/>
      <c r="F121" s="1301"/>
      <c r="G121" s="1301"/>
      <c r="H121" s="1301"/>
      <c r="I121" s="1301"/>
      <c r="J121" s="1310"/>
      <c r="K121" s="1309"/>
      <c r="L121" s="1310"/>
      <c r="M121" s="1309"/>
      <c r="N121" s="1310"/>
      <c r="O121" s="1309"/>
      <c r="P121" s="1310"/>
      <c r="Q121" s="1309"/>
      <c r="R121" s="1310"/>
      <c r="S121" s="1309"/>
      <c r="T121" s="1310"/>
      <c r="U121" s="1309"/>
      <c r="V121" s="1310"/>
      <c r="W121" s="1309"/>
      <c r="X121" s="1310"/>
      <c r="Y121" s="1309"/>
      <c r="Z121" s="1310"/>
      <c r="AA121" s="1309"/>
      <c r="AB121" s="1310"/>
      <c r="AC121" s="1309"/>
      <c r="AD121" s="1310"/>
      <c r="AE121" s="1309"/>
      <c r="AF121" s="1310"/>
      <c r="AG121" s="1309"/>
      <c r="AH121" s="1310"/>
      <c r="AI121" s="1306"/>
      <c r="AJ121" s="15"/>
    </row>
    <row r="122" spans="2:36" s="407" customFormat="1" outlineLevel="1">
      <c r="B122" s="24" t="s">
        <v>411</v>
      </c>
      <c r="D122" s="1298">
        <v>52010</v>
      </c>
      <c r="E122" s="1298" t="s">
        <v>17</v>
      </c>
      <c r="F122" s="1299"/>
      <c r="G122" s="1300"/>
      <c r="H122" s="1301"/>
      <c r="I122" s="1302"/>
      <c r="J122" s="1303">
        <v>4479.6000000000004</v>
      </c>
      <c r="K122" s="1302"/>
      <c r="L122" s="1303">
        <v>11793.08</v>
      </c>
      <c r="M122" s="1302"/>
      <c r="N122" s="1303">
        <v>12089.8</v>
      </c>
      <c r="O122" s="1302"/>
      <c r="P122" s="1303">
        <v>12386.51</v>
      </c>
      <c r="Q122" s="1302"/>
      <c r="R122" s="1303">
        <v>11496.36</v>
      </c>
      <c r="S122" s="1302"/>
      <c r="T122" s="1303">
        <v>12386.51</v>
      </c>
      <c r="U122" s="1302"/>
      <c r="V122" s="1303">
        <v>12089.8</v>
      </c>
      <c r="W122" s="1302"/>
      <c r="X122" s="1303">
        <v>11793.08</v>
      </c>
      <c r="Y122" s="1302"/>
      <c r="Z122" s="1303">
        <v>9176.65</v>
      </c>
      <c r="AA122" s="1302"/>
      <c r="AB122" s="1303">
        <v>8293.92</v>
      </c>
      <c r="AC122" s="1302"/>
      <c r="AD122" s="1303">
        <v>8598.06</v>
      </c>
      <c r="AE122" s="1302"/>
      <c r="AF122" s="1303">
        <v>8902.19</v>
      </c>
      <c r="AG122" s="1302"/>
      <c r="AH122" s="1303">
        <f t="shared" ref="AH122:AH144" si="14">AF122+AD122+AB122+Z122+X122+V122+T122+R122+P122+N122+L122+J122</f>
        <v>123485.56</v>
      </c>
      <c r="AI122" s="1304">
        <f t="shared" ref="AI122:AI144" si="15">IF(AH$65=0,0,AH122/AH$65)</f>
        <v>3.6102343487725134E-3</v>
      </c>
      <c r="AJ122" s="12"/>
    </row>
    <row r="123" spans="2:36" s="407" customFormat="1" outlineLevel="1">
      <c r="B123" s="24" t="s">
        <v>397</v>
      </c>
      <c r="D123" s="1298">
        <v>52020</v>
      </c>
      <c r="E123" s="1298" t="s">
        <v>24</v>
      </c>
      <c r="F123" s="1299"/>
      <c r="G123" s="1300"/>
      <c r="H123" s="1301"/>
      <c r="I123" s="1302"/>
      <c r="J123" s="1303">
        <v>42539.12</v>
      </c>
      <c r="K123" s="1302"/>
      <c r="L123" s="1303">
        <v>43959.16</v>
      </c>
      <c r="M123" s="1302"/>
      <c r="N123" s="1303">
        <v>51753.08</v>
      </c>
      <c r="O123" s="1302"/>
      <c r="P123" s="1303">
        <v>48555.199999999997</v>
      </c>
      <c r="Q123" s="1302"/>
      <c r="R123" s="1303">
        <v>43926.41</v>
      </c>
      <c r="S123" s="1302"/>
      <c r="T123" s="1303">
        <v>51517.04</v>
      </c>
      <c r="U123" s="1302"/>
      <c r="V123" s="1303">
        <v>51817.34</v>
      </c>
      <c r="W123" s="1302"/>
      <c r="X123" s="1303">
        <v>51026.34</v>
      </c>
      <c r="Y123" s="1302"/>
      <c r="Z123" s="1303">
        <v>58184.72</v>
      </c>
      <c r="AA123" s="1302"/>
      <c r="AB123" s="1303">
        <v>45885.04</v>
      </c>
      <c r="AC123" s="1302"/>
      <c r="AD123" s="1303">
        <v>49565.11</v>
      </c>
      <c r="AE123" s="1302"/>
      <c r="AF123" s="1303">
        <v>52406.29</v>
      </c>
      <c r="AG123" s="1302"/>
      <c r="AH123" s="1303">
        <f t="shared" si="14"/>
        <v>591134.85</v>
      </c>
      <c r="AI123" s="1304">
        <f t="shared" si="15"/>
        <v>1.7282468818430975E-2</v>
      </c>
      <c r="AJ123" s="12"/>
    </row>
    <row r="124" spans="2:36" s="407" customFormat="1" outlineLevel="1">
      <c r="B124" s="24" t="s">
        <v>397</v>
      </c>
      <c r="D124" s="1298">
        <v>52025</v>
      </c>
      <c r="E124" s="1298" t="s">
        <v>25</v>
      </c>
      <c r="F124" s="1299"/>
      <c r="G124" s="1300"/>
      <c r="H124" s="1301"/>
      <c r="I124" s="1302"/>
      <c r="J124" s="1303">
        <v>9654.57</v>
      </c>
      <c r="K124" s="1302"/>
      <c r="L124" s="1303">
        <v>8693.7900000000009</v>
      </c>
      <c r="M124" s="1302"/>
      <c r="N124" s="1303">
        <v>8471.31</v>
      </c>
      <c r="O124" s="1302"/>
      <c r="P124" s="1303">
        <v>10357.41</v>
      </c>
      <c r="Q124" s="1302"/>
      <c r="R124" s="1303">
        <v>7029.6</v>
      </c>
      <c r="S124" s="1302"/>
      <c r="T124" s="1303">
        <v>6246.89</v>
      </c>
      <c r="U124" s="1302"/>
      <c r="V124" s="1303">
        <v>9279.02</v>
      </c>
      <c r="W124" s="1302"/>
      <c r="X124" s="1303">
        <v>4821.8900000000003</v>
      </c>
      <c r="Y124" s="1302"/>
      <c r="Z124" s="1303">
        <v>5103.17</v>
      </c>
      <c r="AA124" s="1302"/>
      <c r="AB124" s="1303">
        <v>4874.8599999999997</v>
      </c>
      <c r="AC124" s="1302"/>
      <c r="AD124" s="1303">
        <v>8281.83</v>
      </c>
      <c r="AE124" s="1302"/>
      <c r="AF124" s="1303">
        <v>8325.1</v>
      </c>
      <c r="AG124" s="1302"/>
      <c r="AH124" s="1303">
        <f t="shared" si="14"/>
        <v>91139.44</v>
      </c>
      <c r="AI124" s="1304">
        <f t="shared" si="15"/>
        <v>2.6645604297044251E-3</v>
      </c>
      <c r="AJ124" s="12"/>
    </row>
    <row r="125" spans="2:36" s="407" customFormat="1" outlineLevel="1">
      <c r="B125" s="24" t="s">
        <v>397</v>
      </c>
      <c r="D125" s="1298">
        <v>52035</v>
      </c>
      <c r="E125" s="1298" t="s">
        <v>26</v>
      </c>
      <c r="F125" s="1299"/>
      <c r="G125" s="1300"/>
      <c r="H125" s="1301"/>
      <c r="I125" s="1302"/>
      <c r="J125" s="1303">
        <v>0</v>
      </c>
      <c r="K125" s="1302"/>
      <c r="L125" s="1303">
        <v>0</v>
      </c>
      <c r="M125" s="1302"/>
      <c r="N125" s="1303">
        <v>0</v>
      </c>
      <c r="O125" s="1302"/>
      <c r="P125" s="1303">
        <v>0</v>
      </c>
      <c r="Q125" s="1302"/>
      <c r="R125" s="1303">
        <v>0</v>
      </c>
      <c r="S125" s="1302"/>
      <c r="T125" s="1303">
        <v>0</v>
      </c>
      <c r="U125" s="1302"/>
      <c r="V125" s="1303">
        <v>0</v>
      </c>
      <c r="W125" s="1302"/>
      <c r="X125" s="1303">
        <v>0</v>
      </c>
      <c r="Y125" s="1302"/>
      <c r="Z125" s="1303">
        <v>1857.13</v>
      </c>
      <c r="AA125" s="1302"/>
      <c r="AB125" s="1303">
        <v>1857.13</v>
      </c>
      <c r="AC125" s="1302"/>
      <c r="AD125" s="1303">
        <v>1857.13</v>
      </c>
      <c r="AE125" s="1302"/>
      <c r="AF125" s="1303">
        <v>1857.13</v>
      </c>
      <c r="AG125" s="1302"/>
      <c r="AH125" s="1303">
        <f t="shared" si="14"/>
        <v>7428.52</v>
      </c>
      <c r="AI125" s="1304">
        <f t="shared" si="15"/>
        <v>2.1718084336778805E-4</v>
      </c>
      <c r="AJ125" s="12"/>
    </row>
    <row r="126" spans="2:36" s="407" customFormat="1" outlineLevel="1">
      <c r="B126" s="24" t="s">
        <v>397</v>
      </c>
      <c r="D126" s="1298">
        <v>52050</v>
      </c>
      <c r="E126" s="1298" t="s">
        <v>166</v>
      </c>
      <c r="F126" s="1299"/>
      <c r="G126" s="1300"/>
      <c r="H126" s="1301"/>
      <c r="I126" s="1302"/>
      <c r="J126" s="1303">
        <v>4199.54</v>
      </c>
      <c r="K126" s="1302"/>
      <c r="L126" s="1303">
        <v>4656.03</v>
      </c>
      <c r="M126" s="1302"/>
      <c r="N126" s="1303">
        <v>5313.33</v>
      </c>
      <c r="O126" s="1302"/>
      <c r="P126" s="1303">
        <v>5760.47</v>
      </c>
      <c r="Q126" s="1302"/>
      <c r="R126" s="1303">
        <v>4573.1899999999996</v>
      </c>
      <c r="S126" s="1302"/>
      <c r="T126" s="1303">
        <v>5074.12</v>
      </c>
      <c r="U126" s="1302"/>
      <c r="V126" s="1303">
        <v>5358.32</v>
      </c>
      <c r="W126" s="1302"/>
      <c r="X126" s="1303">
        <v>5287.97</v>
      </c>
      <c r="Y126" s="1302"/>
      <c r="Z126" s="1303">
        <v>7933</v>
      </c>
      <c r="AA126" s="1302"/>
      <c r="AB126" s="1303">
        <v>5225.8999999999996</v>
      </c>
      <c r="AC126" s="1302"/>
      <c r="AD126" s="1303">
        <v>5501.46</v>
      </c>
      <c r="AE126" s="1302"/>
      <c r="AF126" s="1303">
        <v>5665.09</v>
      </c>
      <c r="AG126" s="1302"/>
      <c r="AH126" s="1303">
        <f t="shared" si="14"/>
        <v>64548.420000000006</v>
      </c>
      <c r="AI126" s="1304">
        <f t="shared" si="15"/>
        <v>1.8871431043677876E-3</v>
      </c>
      <c r="AJ126" s="12"/>
    </row>
    <row r="127" spans="2:36" s="407" customFormat="1" outlineLevel="1">
      <c r="B127" s="24" t="s">
        <v>397</v>
      </c>
      <c r="D127" s="1298">
        <v>52060</v>
      </c>
      <c r="E127" s="1298" t="s">
        <v>75</v>
      </c>
      <c r="F127" s="1299"/>
      <c r="G127" s="1300"/>
      <c r="H127" s="1301"/>
      <c r="I127" s="1302"/>
      <c r="J127" s="1303">
        <v>11160.26</v>
      </c>
      <c r="K127" s="1302"/>
      <c r="L127" s="1303">
        <v>11209.88</v>
      </c>
      <c r="M127" s="1302"/>
      <c r="N127" s="1303">
        <v>13510.23</v>
      </c>
      <c r="O127" s="1302"/>
      <c r="P127" s="1303">
        <v>13510.58</v>
      </c>
      <c r="Q127" s="1302"/>
      <c r="R127" s="1303">
        <v>13563.34</v>
      </c>
      <c r="S127" s="1302"/>
      <c r="T127" s="1303">
        <v>12560.34</v>
      </c>
      <c r="U127" s="1302"/>
      <c r="V127" s="1303">
        <v>13412.36</v>
      </c>
      <c r="W127" s="1302"/>
      <c r="X127" s="1303">
        <v>14562.36</v>
      </c>
      <c r="Y127" s="1302"/>
      <c r="Z127" s="1303">
        <v>15265.24</v>
      </c>
      <c r="AA127" s="1302"/>
      <c r="AB127" s="1303">
        <v>15035.5</v>
      </c>
      <c r="AC127" s="1302"/>
      <c r="AD127" s="1303">
        <v>15198.05</v>
      </c>
      <c r="AE127" s="1302"/>
      <c r="AF127" s="1303">
        <v>15082.72</v>
      </c>
      <c r="AG127" s="1302"/>
      <c r="AH127" s="1303">
        <f t="shared" si="14"/>
        <v>164070.86000000002</v>
      </c>
      <c r="AI127" s="1304">
        <f t="shared" si="15"/>
        <v>4.796789636008018E-3</v>
      </c>
      <c r="AJ127" s="12"/>
    </row>
    <row r="128" spans="2:36" s="407" customFormat="1" outlineLevel="1">
      <c r="B128" s="24" t="s">
        <v>397</v>
      </c>
      <c r="D128" s="1298">
        <v>52065</v>
      </c>
      <c r="E128" s="1298" t="s">
        <v>21</v>
      </c>
      <c r="F128" s="1299"/>
      <c r="G128" s="1300"/>
      <c r="H128" s="1301"/>
      <c r="I128" s="1302"/>
      <c r="J128" s="1303">
        <v>-2314.15</v>
      </c>
      <c r="K128" s="1302"/>
      <c r="L128" s="1303">
        <v>1483.77</v>
      </c>
      <c r="M128" s="1302"/>
      <c r="N128" s="1303">
        <v>-453.35</v>
      </c>
      <c r="O128" s="1302"/>
      <c r="P128" s="1303">
        <v>5707.48</v>
      </c>
      <c r="Q128" s="1302"/>
      <c r="R128" s="1303">
        <v>419.69</v>
      </c>
      <c r="S128" s="1302"/>
      <c r="T128" s="1303">
        <v>-704.71</v>
      </c>
      <c r="U128" s="1302"/>
      <c r="V128" s="1303">
        <v>588.55999999999995</v>
      </c>
      <c r="W128" s="1302"/>
      <c r="X128" s="1303">
        <v>-680.78</v>
      </c>
      <c r="Y128" s="1302"/>
      <c r="Z128" s="1303">
        <v>3620.55</v>
      </c>
      <c r="AA128" s="1302"/>
      <c r="AB128" s="1303">
        <v>2046.67</v>
      </c>
      <c r="AC128" s="1302"/>
      <c r="AD128" s="1303">
        <v>3658.69</v>
      </c>
      <c r="AE128" s="1302"/>
      <c r="AF128" s="1303">
        <v>2103.96</v>
      </c>
      <c r="AG128" s="1302"/>
      <c r="AH128" s="1303">
        <f t="shared" si="14"/>
        <v>15476.38</v>
      </c>
      <c r="AI128" s="1304">
        <f t="shared" si="15"/>
        <v>4.524687637214906E-4</v>
      </c>
      <c r="AJ128" s="12"/>
    </row>
    <row r="129" spans="2:36" s="407" customFormat="1" outlineLevel="1">
      <c r="B129" s="24" t="s">
        <v>397</v>
      </c>
      <c r="D129" s="1298">
        <v>52070</v>
      </c>
      <c r="E129" s="1298" t="s">
        <v>22</v>
      </c>
      <c r="F129" s="1299"/>
      <c r="G129" s="1300"/>
      <c r="H129" s="1301"/>
      <c r="I129" s="1302"/>
      <c r="J129" s="1303">
        <v>248.91</v>
      </c>
      <c r="K129" s="1302"/>
      <c r="L129" s="1303">
        <v>1705.13</v>
      </c>
      <c r="M129" s="1302"/>
      <c r="N129" s="1303">
        <v>1085.6400000000001</v>
      </c>
      <c r="O129" s="1302"/>
      <c r="P129" s="1303">
        <v>1251.54</v>
      </c>
      <c r="Q129" s="1302"/>
      <c r="R129" s="1303">
        <v>1244.1199999999999</v>
      </c>
      <c r="S129" s="1302"/>
      <c r="T129" s="1303">
        <v>2241.6</v>
      </c>
      <c r="U129" s="1302"/>
      <c r="V129" s="1303">
        <v>1863.63</v>
      </c>
      <c r="W129" s="1302"/>
      <c r="X129" s="1303">
        <v>2840.95</v>
      </c>
      <c r="Y129" s="1302"/>
      <c r="Z129" s="1303">
        <v>344.71</v>
      </c>
      <c r="AA129" s="1302"/>
      <c r="AB129" s="1303">
        <v>5785.15</v>
      </c>
      <c r="AC129" s="1302"/>
      <c r="AD129" s="1303">
        <v>2089.46</v>
      </c>
      <c r="AE129" s="1302"/>
      <c r="AF129" s="1303">
        <v>2458.21</v>
      </c>
      <c r="AG129" s="1302"/>
      <c r="AH129" s="1303">
        <f t="shared" si="14"/>
        <v>23159.05</v>
      </c>
      <c r="AI129" s="1304">
        <f t="shared" si="15"/>
        <v>6.7707995813389094E-4</v>
      </c>
      <c r="AJ129" s="12"/>
    </row>
    <row r="130" spans="2:36" s="407" customFormat="1" outlineLevel="1">
      <c r="B130" s="24" t="s">
        <v>397</v>
      </c>
      <c r="D130" s="1298">
        <v>52086</v>
      </c>
      <c r="E130" s="1298" t="s">
        <v>60</v>
      </c>
      <c r="F130" s="1299"/>
      <c r="G130" s="1300"/>
      <c r="H130" s="1301"/>
      <c r="I130" s="1302"/>
      <c r="J130" s="1303">
        <v>1137.52</v>
      </c>
      <c r="K130" s="1302"/>
      <c r="L130" s="1303">
        <v>1316.43</v>
      </c>
      <c r="M130" s="1302"/>
      <c r="N130" s="1303">
        <v>870.84</v>
      </c>
      <c r="O130" s="1302"/>
      <c r="P130" s="1303">
        <v>1256.1500000000001</v>
      </c>
      <c r="Q130" s="1302"/>
      <c r="R130" s="1303">
        <v>1366.29</v>
      </c>
      <c r="S130" s="1302"/>
      <c r="T130" s="1303">
        <v>4019.11</v>
      </c>
      <c r="U130" s="1302"/>
      <c r="V130" s="1303">
        <v>1357.39</v>
      </c>
      <c r="W130" s="1302"/>
      <c r="X130" s="1303">
        <v>1455.48</v>
      </c>
      <c r="Y130" s="1302"/>
      <c r="Z130" s="1303">
        <v>1327.13</v>
      </c>
      <c r="AA130" s="1302"/>
      <c r="AB130" s="1303">
        <v>1933.77</v>
      </c>
      <c r="AC130" s="1302"/>
      <c r="AD130" s="1303">
        <v>4518.53</v>
      </c>
      <c r="AE130" s="1302"/>
      <c r="AF130" s="1303">
        <v>1112.4100000000001</v>
      </c>
      <c r="AG130" s="1302"/>
      <c r="AH130" s="1303">
        <f t="shared" si="14"/>
        <v>21671.050000000003</v>
      </c>
      <c r="AI130" s="1304">
        <f t="shared" si="15"/>
        <v>6.3357666340879519E-4</v>
      </c>
      <c r="AJ130" s="12"/>
    </row>
    <row r="131" spans="2:36" s="407" customFormat="1" outlineLevel="1">
      <c r="B131" s="24" t="s">
        <v>397</v>
      </c>
      <c r="D131" s="1298">
        <v>52090</v>
      </c>
      <c r="E131" s="1298" t="s">
        <v>39</v>
      </c>
      <c r="F131" s="1299"/>
      <c r="G131" s="1300"/>
      <c r="H131" s="1301"/>
      <c r="I131" s="1302"/>
      <c r="J131" s="1303">
        <v>785.79</v>
      </c>
      <c r="K131" s="1302"/>
      <c r="L131" s="1303">
        <v>569.27</v>
      </c>
      <c r="M131" s="1302"/>
      <c r="N131" s="1303">
        <v>986.25</v>
      </c>
      <c r="O131" s="1302"/>
      <c r="P131" s="1303">
        <v>640.39</v>
      </c>
      <c r="Q131" s="1302"/>
      <c r="R131" s="1303">
        <v>634.32000000000005</v>
      </c>
      <c r="S131" s="1302"/>
      <c r="T131" s="1303">
        <v>817.61</v>
      </c>
      <c r="U131" s="1302"/>
      <c r="V131" s="1303">
        <v>725.17</v>
      </c>
      <c r="W131" s="1302"/>
      <c r="X131" s="1303">
        <v>683.31</v>
      </c>
      <c r="Y131" s="1302"/>
      <c r="Z131" s="1303">
        <v>844.97</v>
      </c>
      <c r="AA131" s="1302"/>
      <c r="AB131" s="1303">
        <v>904.45</v>
      </c>
      <c r="AC131" s="1302"/>
      <c r="AD131" s="1303">
        <v>653.73</v>
      </c>
      <c r="AE131" s="1302"/>
      <c r="AF131" s="1303">
        <v>713.42</v>
      </c>
      <c r="AG131" s="1302"/>
      <c r="AH131" s="1303">
        <f t="shared" si="14"/>
        <v>8958.68</v>
      </c>
      <c r="AI131" s="1304">
        <f t="shared" si="15"/>
        <v>2.6191673144342824E-4</v>
      </c>
      <c r="AJ131" s="12"/>
    </row>
    <row r="132" spans="2:36" s="407" customFormat="1" outlineLevel="1">
      <c r="B132" s="24" t="s">
        <v>397</v>
      </c>
      <c r="D132" s="1298">
        <v>52115</v>
      </c>
      <c r="E132" s="1298" t="s">
        <v>120</v>
      </c>
      <c r="F132" s="1299"/>
      <c r="G132" s="1300"/>
      <c r="H132" s="1301"/>
      <c r="I132" s="1302"/>
      <c r="J132" s="1303">
        <v>1256.45</v>
      </c>
      <c r="K132" s="1302"/>
      <c r="L132" s="1303">
        <v>820.77</v>
      </c>
      <c r="M132" s="1302"/>
      <c r="N132" s="1303">
        <v>1126.3900000000001</v>
      </c>
      <c r="O132" s="1302"/>
      <c r="P132" s="1303">
        <v>1074.3399999999999</v>
      </c>
      <c r="Q132" s="1302"/>
      <c r="R132" s="1303">
        <v>1121.24</v>
      </c>
      <c r="S132" s="1302"/>
      <c r="T132" s="1303">
        <v>1169.07</v>
      </c>
      <c r="U132" s="1302"/>
      <c r="V132" s="1303">
        <v>1102.42</v>
      </c>
      <c r="W132" s="1302"/>
      <c r="X132" s="1303">
        <v>1558.37</v>
      </c>
      <c r="Y132" s="1302"/>
      <c r="Z132" s="1303">
        <v>3180.69</v>
      </c>
      <c r="AA132" s="1302"/>
      <c r="AB132" s="1303">
        <v>2477.06</v>
      </c>
      <c r="AC132" s="1302"/>
      <c r="AD132" s="1303">
        <v>1954.16</v>
      </c>
      <c r="AE132" s="1302"/>
      <c r="AF132" s="1303">
        <v>2080.81</v>
      </c>
      <c r="AG132" s="1302"/>
      <c r="AH132" s="1303">
        <f t="shared" si="14"/>
        <v>18921.77</v>
      </c>
      <c r="AI132" s="1304">
        <f t="shared" si="15"/>
        <v>5.5319847918714772E-4</v>
      </c>
      <c r="AJ132" s="12"/>
    </row>
    <row r="133" spans="2:36" s="407" customFormat="1" outlineLevel="1">
      <c r="B133" s="24" t="s">
        <v>397</v>
      </c>
      <c r="D133" s="1298">
        <v>52120</v>
      </c>
      <c r="E133" s="1298" t="s">
        <v>231</v>
      </c>
      <c r="F133" s="1299"/>
      <c r="G133" s="1300"/>
      <c r="H133" s="1301"/>
      <c r="I133" s="1302"/>
      <c r="J133" s="1303">
        <v>30314.400000000001</v>
      </c>
      <c r="K133" s="1302"/>
      <c r="L133" s="1303">
        <v>24802.95</v>
      </c>
      <c r="M133" s="1302"/>
      <c r="N133" s="1303">
        <v>37937.47</v>
      </c>
      <c r="O133" s="1302"/>
      <c r="P133" s="1303">
        <v>33589.74</v>
      </c>
      <c r="Q133" s="1302"/>
      <c r="R133" s="1303">
        <v>18517.189999999999</v>
      </c>
      <c r="S133" s="1302"/>
      <c r="T133" s="1303">
        <v>33747.99</v>
      </c>
      <c r="U133" s="1302"/>
      <c r="V133" s="1303">
        <v>33149.949999999997</v>
      </c>
      <c r="W133" s="1302"/>
      <c r="X133" s="1303">
        <v>32192.81</v>
      </c>
      <c r="Y133" s="1302"/>
      <c r="Z133" s="1303">
        <v>34290.07</v>
      </c>
      <c r="AA133" s="1302"/>
      <c r="AB133" s="1303">
        <v>37978.400000000001</v>
      </c>
      <c r="AC133" s="1302"/>
      <c r="AD133" s="1303">
        <v>30772.85</v>
      </c>
      <c r="AE133" s="1302"/>
      <c r="AF133" s="1303">
        <v>35647.86</v>
      </c>
      <c r="AG133" s="1302"/>
      <c r="AH133" s="1303">
        <f t="shared" si="14"/>
        <v>382941.68</v>
      </c>
      <c r="AI133" s="1304">
        <f t="shared" si="15"/>
        <v>1.1195715569599005E-2</v>
      </c>
      <c r="AJ133" s="12"/>
    </row>
    <row r="134" spans="2:36" s="407" customFormat="1" outlineLevel="1">
      <c r="B134" s="24" t="s">
        <v>397</v>
      </c>
      <c r="D134" s="1298">
        <v>52125</v>
      </c>
      <c r="E134" s="1298" t="s">
        <v>62</v>
      </c>
      <c r="F134" s="1299"/>
      <c r="G134" s="1300"/>
      <c r="H134" s="1301"/>
      <c r="I134" s="1302"/>
      <c r="J134" s="1303">
        <v>5520.49</v>
      </c>
      <c r="K134" s="1302"/>
      <c r="L134" s="1303">
        <v>4551.83</v>
      </c>
      <c r="M134" s="1302"/>
      <c r="N134" s="1303">
        <v>6873.76</v>
      </c>
      <c r="O134" s="1302"/>
      <c r="P134" s="1303">
        <v>5175.28</v>
      </c>
      <c r="Q134" s="1302"/>
      <c r="R134" s="1303">
        <v>4929.6099999999997</v>
      </c>
      <c r="S134" s="1302"/>
      <c r="T134" s="1303">
        <v>5764.43</v>
      </c>
      <c r="U134" s="1302"/>
      <c r="V134" s="1303">
        <v>7042.27</v>
      </c>
      <c r="W134" s="1302"/>
      <c r="X134" s="1303">
        <v>14981.39</v>
      </c>
      <c r="Y134" s="1302"/>
      <c r="Z134" s="1303">
        <v>7772.48</v>
      </c>
      <c r="AA134" s="1302"/>
      <c r="AB134" s="1303">
        <v>4759.1099999999997</v>
      </c>
      <c r="AC134" s="1302"/>
      <c r="AD134" s="1303">
        <v>5452.14</v>
      </c>
      <c r="AE134" s="1302"/>
      <c r="AF134" s="1303">
        <v>5064.12</v>
      </c>
      <c r="AG134" s="1302"/>
      <c r="AH134" s="1303">
        <f t="shared" si="14"/>
        <v>77886.91</v>
      </c>
      <c r="AI134" s="1304">
        <f t="shared" si="15"/>
        <v>2.2771083339764857E-3</v>
      </c>
      <c r="AJ134" s="12"/>
    </row>
    <row r="135" spans="2:36" s="407" customFormat="1" outlineLevel="1">
      <c r="B135" s="24" t="s">
        <v>397</v>
      </c>
      <c r="D135" s="1298">
        <v>52135</v>
      </c>
      <c r="E135" s="1298" t="s">
        <v>232</v>
      </c>
      <c r="F135" s="1299"/>
      <c r="G135" s="1300"/>
      <c r="H135" s="1301"/>
      <c r="I135" s="1302"/>
      <c r="J135" s="1303">
        <v>0</v>
      </c>
      <c r="K135" s="1302"/>
      <c r="L135" s="1303">
        <v>0</v>
      </c>
      <c r="M135" s="1302"/>
      <c r="N135" s="1303">
        <v>0</v>
      </c>
      <c r="O135" s="1302"/>
      <c r="P135" s="1303">
        <v>0</v>
      </c>
      <c r="Q135" s="1302"/>
      <c r="R135" s="1303">
        <v>0</v>
      </c>
      <c r="S135" s="1302"/>
      <c r="T135" s="1303">
        <v>0</v>
      </c>
      <c r="U135" s="1302"/>
      <c r="V135" s="1303">
        <v>0</v>
      </c>
      <c r="W135" s="1302"/>
      <c r="X135" s="1303">
        <v>0</v>
      </c>
      <c r="Y135" s="1302"/>
      <c r="Z135" s="1303">
        <v>0</v>
      </c>
      <c r="AA135" s="1302"/>
      <c r="AB135" s="1303">
        <v>0</v>
      </c>
      <c r="AC135" s="1302"/>
      <c r="AD135" s="1303">
        <v>82.4</v>
      </c>
      <c r="AE135" s="1302"/>
      <c r="AF135" s="1303">
        <v>0</v>
      </c>
      <c r="AG135" s="1302"/>
      <c r="AH135" s="1303">
        <f t="shared" si="14"/>
        <v>82.4</v>
      </c>
      <c r="AI135" s="1304">
        <f t="shared" si="15"/>
        <v>2.409053417572509E-6</v>
      </c>
      <c r="AJ135" s="12"/>
    </row>
    <row r="136" spans="2:36" s="407" customFormat="1" outlineLevel="1">
      <c r="B136" s="24" t="s">
        <v>397</v>
      </c>
      <c r="D136" s="1298">
        <v>52140</v>
      </c>
      <c r="E136" s="1298" t="s">
        <v>233</v>
      </c>
      <c r="F136" s="1299"/>
      <c r="G136" s="1300"/>
      <c r="H136" s="1301"/>
      <c r="I136" s="1302"/>
      <c r="J136" s="1303">
        <v>17657.599999999999</v>
      </c>
      <c r="K136" s="1302"/>
      <c r="L136" s="1303">
        <v>21100.04</v>
      </c>
      <c r="M136" s="1302"/>
      <c r="N136" s="1303">
        <v>23793.040000000001</v>
      </c>
      <c r="O136" s="1302"/>
      <c r="P136" s="1303">
        <v>21634.14</v>
      </c>
      <c r="Q136" s="1302"/>
      <c r="R136" s="1303">
        <v>18765.169999999998</v>
      </c>
      <c r="S136" s="1302"/>
      <c r="T136" s="1303">
        <v>22410.77</v>
      </c>
      <c r="U136" s="1302"/>
      <c r="V136" s="1303">
        <v>15995.81</v>
      </c>
      <c r="W136" s="1302"/>
      <c r="X136" s="1303">
        <v>14767.83</v>
      </c>
      <c r="Y136" s="1302"/>
      <c r="Z136" s="1303">
        <v>20479.810000000001</v>
      </c>
      <c r="AA136" s="1302"/>
      <c r="AB136" s="1303">
        <v>11166.42</v>
      </c>
      <c r="AC136" s="1302"/>
      <c r="AD136" s="1303">
        <v>13899.5</v>
      </c>
      <c r="AE136" s="1302"/>
      <c r="AF136" s="1303">
        <v>19460.84</v>
      </c>
      <c r="AG136" s="1302"/>
      <c r="AH136" s="1303">
        <f t="shared" si="14"/>
        <v>221130.97</v>
      </c>
      <c r="AI136" s="1304">
        <f t="shared" si="15"/>
        <v>6.4650038714760185E-3</v>
      </c>
      <c r="AJ136" s="12"/>
    </row>
    <row r="137" spans="2:36" s="407" customFormat="1" outlineLevel="1">
      <c r="B137" s="24" t="s">
        <v>397</v>
      </c>
      <c r="D137" s="1298">
        <v>52142</v>
      </c>
      <c r="E137" s="1298" t="s">
        <v>51</v>
      </c>
      <c r="F137" s="1299"/>
      <c r="G137" s="1300"/>
      <c r="H137" s="1301"/>
      <c r="I137" s="1302"/>
      <c r="J137" s="1303">
        <v>115529.34</v>
      </c>
      <c r="K137" s="1302"/>
      <c r="L137" s="1303">
        <v>119430.99</v>
      </c>
      <c r="M137" s="1302"/>
      <c r="N137" s="1303">
        <v>118877.91</v>
      </c>
      <c r="O137" s="1302"/>
      <c r="P137" s="1303">
        <v>114432.61</v>
      </c>
      <c r="Q137" s="1302"/>
      <c r="R137" s="1303">
        <v>104430.63</v>
      </c>
      <c r="S137" s="1302"/>
      <c r="T137" s="1303">
        <v>122679.69</v>
      </c>
      <c r="U137" s="1302"/>
      <c r="V137" s="1303">
        <v>112928.12</v>
      </c>
      <c r="W137" s="1302"/>
      <c r="X137" s="1303">
        <v>85426.08</v>
      </c>
      <c r="Y137" s="1302"/>
      <c r="Z137" s="1303">
        <v>108619.53</v>
      </c>
      <c r="AA137" s="1302"/>
      <c r="AB137" s="1303">
        <v>74974.289999999994</v>
      </c>
      <c r="AC137" s="1302"/>
      <c r="AD137" s="1303">
        <v>102939.11</v>
      </c>
      <c r="AE137" s="1302"/>
      <c r="AF137" s="1303">
        <v>112063.99</v>
      </c>
      <c r="AG137" s="1302"/>
      <c r="AH137" s="1303">
        <f t="shared" si="14"/>
        <v>1292332.29</v>
      </c>
      <c r="AI137" s="1304">
        <f t="shared" si="15"/>
        <v>3.7782736891551053E-2</v>
      </c>
      <c r="AJ137" s="12"/>
    </row>
    <row r="138" spans="2:36" s="407" customFormat="1" outlineLevel="1">
      <c r="B138" s="24" t="s">
        <v>397</v>
      </c>
      <c r="D138" s="1298">
        <v>52144</v>
      </c>
      <c r="E138" s="1298" t="s">
        <v>52</v>
      </c>
      <c r="F138" s="1299"/>
      <c r="G138" s="1300"/>
      <c r="H138" s="1301"/>
      <c r="I138" s="1302"/>
      <c r="J138" s="1303">
        <v>1382.52</v>
      </c>
      <c r="K138" s="1302"/>
      <c r="L138" s="1303">
        <v>1263.6199999999999</v>
      </c>
      <c r="M138" s="1302"/>
      <c r="N138" s="1303">
        <v>1278.74</v>
      </c>
      <c r="O138" s="1302"/>
      <c r="P138" s="1303">
        <v>1552.05</v>
      </c>
      <c r="Q138" s="1302"/>
      <c r="R138" s="1303">
        <v>1128.07</v>
      </c>
      <c r="S138" s="1302"/>
      <c r="T138" s="1303">
        <v>1318.7</v>
      </c>
      <c r="U138" s="1302"/>
      <c r="V138" s="1303">
        <v>1629.25</v>
      </c>
      <c r="W138" s="1302"/>
      <c r="X138" s="1303">
        <v>1474.47</v>
      </c>
      <c r="Y138" s="1302"/>
      <c r="Z138" s="1303">
        <v>1851.23</v>
      </c>
      <c r="AA138" s="1302"/>
      <c r="AB138" s="1303">
        <v>875.49</v>
      </c>
      <c r="AC138" s="1302"/>
      <c r="AD138" s="1303">
        <v>1977.16</v>
      </c>
      <c r="AE138" s="1302"/>
      <c r="AF138" s="1303">
        <v>1537.39</v>
      </c>
      <c r="AG138" s="1302"/>
      <c r="AH138" s="1303">
        <f t="shared" si="14"/>
        <v>17268.690000000002</v>
      </c>
      <c r="AI138" s="1304">
        <f t="shared" si="15"/>
        <v>5.0486889152306089E-4</v>
      </c>
      <c r="AJ138" s="12"/>
    </row>
    <row r="139" spans="2:36" s="407" customFormat="1" outlineLevel="1">
      <c r="B139" s="24" t="s">
        <v>397</v>
      </c>
      <c r="D139" s="1298">
        <v>52146</v>
      </c>
      <c r="E139" s="1298" t="s">
        <v>53</v>
      </c>
      <c r="F139" s="1299"/>
      <c r="G139" s="1300"/>
      <c r="H139" s="1301"/>
      <c r="I139" s="1302"/>
      <c r="J139" s="1303">
        <v>8913.92</v>
      </c>
      <c r="K139" s="1302"/>
      <c r="L139" s="1303">
        <v>8897.9699999999993</v>
      </c>
      <c r="M139" s="1302"/>
      <c r="N139" s="1303">
        <v>8953.33</v>
      </c>
      <c r="O139" s="1302"/>
      <c r="P139" s="1303">
        <v>6679.89</v>
      </c>
      <c r="Q139" s="1302"/>
      <c r="R139" s="1303">
        <v>728.36</v>
      </c>
      <c r="S139" s="1302"/>
      <c r="T139" s="1303">
        <v>9187.0400000000009</v>
      </c>
      <c r="U139" s="1302"/>
      <c r="V139" s="1303">
        <v>8240.7199999999993</v>
      </c>
      <c r="W139" s="1302"/>
      <c r="X139" s="1303">
        <v>6676.56</v>
      </c>
      <c r="Y139" s="1302"/>
      <c r="Z139" s="1303">
        <v>11614.97</v>
      </c>
      <c r="AA139" s="1302"/>
      <c r="AB139" s="1303">
        <v>6804.48</v>
      </c>
      <c r="AC139" s="1302"/>
      <c r="AD139" s="1303">
        <v>4718.51</v>
      </c>
      <c r="AE139" s="1302"/>
      <c r="AF139" s="1303">
        <v>8460.26</v>
      </c>
      <c r="AG139" s="1302"/>
      <c r="AH139" s="1303">
        <f t="shared" si="14"/>
        <v>89876.01</v>
      </c>
      <c r="AI139" s="1304">
        <f t="shared" si="15"/>
        <v>2.6276226826247692E-3</v>
      </c>
      <c r="AJ139" s="12"/>
    </row>
    <row r="140" spans="2:36" s="407" customFormat="1" outlineLevel="1">
      <c r="B140" s="24" t="s">
        <v>397</v>
      </c>
      <c r="D140" s="1298">
        <v>52147</v>
      </c>
      <c r="E140" s="1298" t="s">
        <v>234</v>
      </c>
      <c r="F140" s="1299"/>
      <c r="G140" s="1300"/>
      <c r="H140" s="1301"/>
      <c r="I140" s="1302"/>
      <c r="J140" s="1303">
        <v>15453.09</v>
      </c>
      <c r="K140" s="1302"/>
      <c r="L140" s="1303">
        <v>18324.97</v>
      </c>
      <c r="M140" s="1302"/>
      <c r="N140" s="1303">
        <v>5739.9</v>
      </c>
      <c r="O140" s="1302"/>
      <c r="P140" s="1303">
        <v>20757.41</v>
      </c>
      <c r="Q140" s="1302"/>
      <c r="R140" s="1303">
        <v>13855.32</v>
      </c>
      <c r="S140" s="1302"/>
      <c r="T140" s="1303">
        <v>17244.16</v>
      </c>
      <c r="U140" s="1302"/>
      <c r="V140" s="1303">
        <v>15155.14</v>
      </c>
      <c r="W140" s="1302"/>
      <c r="X140" s="1303">
        <v>6167.36</v>
      </c>
      <c r="Y140" s="1302"/>
      <c r="Z140" s="1303">
        <v>7927.16</v>
      </c>
      <c r="AA140" s="1302"/>
      <c r="AB140" s="1303">
        <v>5153.84</v>
      </c>
      <c r="AC140" s="1302"/>
      <c r="AD140" s="1303">
        <v>13156.45</v>
      </c>
      <c r="AE140" s="1302"/>
      <c r="AF140" s="1303">
        <v>14664.34</v>
      </c>
      <c r="AG140" s="1302"/>
      <c r="AH140" s="1303">
        <f t="shared" si="14"/>
        <v>153599.14000000001</v>
      </c>
      <c r="AI140" s="1304">
        <f t="shared" si="15"/>
        <v>4.4906375382669696E-3</v>
      </c>
      <c r="AJ140" s="12"/>
    </row>
    <row r="141" spans="2:36" s="407" customFormat="1" outlineLevel="1">
      <c r="B141" s="24" t="s">
        <v>397</v>
      </c>
      <c r="D141" s="1298">
        <v>52165</v>
      </c>
      <c r="E141" s="1298" t="s">
        <v>235</v>
      </c>
      <c r="F141" s="1299"/>
      <c r="G141" s="1300"/>
      <c r="H141" s="1301"/>
      <c r="I141" s="1302"/>
      <c r="J141" s="1303">
        <v>303.18</v>
      </c>
      <c r="K141" s="1302"/>
      <c r="L141" s="1303">
        <v>160.13999999999999</v>
      </c>
      <c r="M141" s="1302"/>
      <c r="N141" s="1303">
        <v>951.73</v>
      </c>
      <c r="O141" s="1302"/>
      <c r="P141" s="1303">
        <v>829</v>
      </c>
      <c r="Q141" s="1302"/>
      <c r="R141" s="1303">
        <v>0</v>
      </c>
      <c r="S141" s="1302"/>
      <c r="T141" s="1303">
        <v>233.7</v>
      </c>
      <c r="U141" s="1302"/>
      <c r="V141" s="1303">
        <v>1592.56</v>
      </c>
      <c r="W141" s="1302"/>
      <c r="X141" s="1303">
        <v>185.55</v>
      </c>
      <c r="Y141" s="1302"/>
      <c r="Z141" s="1303">
        <v>235.71</v>
      </c>
      <c r="AA141" s="1302"/>
      <c r="AB141" s="1303">
        <v>0</v>
      </c>
      <c r="AC141" s="1302"/>
      <c r="AD141" s="1303">
        <v>200</v>
      </c>
      <c r="AE141" s="1302"/>
      <c r="AF141" s="1303">
        <v>852.27</v>
      </c>
      <c r="AG141" s="1302"/>
      <c r="AH141" s="1303">
        <f t="shared" si="14"/>
        <v>5543.8400000000011</v>
      </c>
      <c r="AI141" s="1304">
        <f t="shared" si="15"/>
        <v>1.6208017837955317E-4</v>
      </c>
      <c r="AJ141" s="12"/>
    </row>
    <row r="142" spans="2:36" s="407" customFormat="1" outlineLevel="1">
      <c r="B142" s="24" t="s">
        <v>397</v>
      </c>
      <c r="D142" s="1298">
        <v>52182</v>
      </c>
      <c r="E142" s="1298" t="s">
        <v>236</v>
      </c>
      <c r="F142" s="1299"/>
      <c r="G142" s="1300"/>
      <c r="H142" s="1301"/>
      <c r="I142" s="1302"/>
      <c r="J142" s="1303">
        <v>863.2</v>
      </c>
      <c r="K142" s="1302"/>
      <c r="L142" s="1303">
        <v>647.4</v>
      </c>
      <c r="M142" s="1302"/>
      <c r="N142" s="1303">
        <v>863.2</v>
      </c>
      <c r="O142" s="1302"/>
      <c r="P142" s="1303">
        <v>1510.6</v>
      </c>
      <c r="Q142" s="1302"/>
      <c r="R142" s="1303">
        <v>323.7</v>
      </c>
      <c r="S142" s="1302"/>
      <c r="T142" s="1303">
        <v>0</v>
      </c>
      <c r="U142" s="1302"/>
      <c r="V142" s="1303">
        <v>0</v>
      </c>
      <c r="W142" s="1302"/>
      <c r="X142" s="1303">
        <v>1726.4</v>
      </c>
      <c r="Y142" s="1302"/>
      <c r="Z142" s="1303">
        <v>377.65</v>
      </c>
      <c r="AA142" s="1302"/>
      <c r="AB142" s="1303">
        <v>2114.84</v>
      </c>
      <c r="AC142" s="1302"/>
      <c r="AD142" s="1303">
        <v>1240.8499999999999</v>
      </c>
      <c r="AE142" s="1302"/>
      <c r="AF142" s="1303">
        <v>0</v>
      </c>
      <c r="AG142" s="1302"/>
      <c r="AH142" s="1303">
        <f t="shared" si="14"/>
        <v>9667.84</v>
      </c>
      <c r="AI142" s="1304">
        <f t="shared" si="15"/>
        <v>2.8264979359883747E-4</v>
      </c>
      <c r="AJ142" s="12"/>
    </row>
    <row r="143" spans="2:36" s="407" customFormat="1" outlineLevel="1">
      <c r="B143" s="24" t="s">
        <v>397</v>
      </c>
      <c r="D143" s="1298">
        <v>52200</v>
      </c>
      <c r="E143" s="1298" t="s">
        <v>237</v>
      </c>
      <c r="F143" s="1299"/>
      <c r="G143" s="1300"/>
      <c r="H143" s="1301"/>
      <c r="I143" s="1302"/>
      <c r="J143" s="1303">
        <v>0</v>
      </c>
      <c r="K143" s="1302"/>
      <c r="L143" s="1303">
        <v>0</v>
      </c>
      <c r="M143" s="1302"/>
      <c r="N143" s="1303">
        <v>0</v>
      </c>
      <c r="O143" s="1302"/>
      <c r="P143" s="1303">
        <v>0</v>
      </c>
      <c r="Q143" s="1302"/>
      <c r="R143" s="1303">
        <v>0</v>
      </c>
      <c r="S143" s="1302"/>
      <c r="T143" s="1303">
        <v>8.86</v>
      </c>
      <c r="U143" s="1302"/>
      <c r="V143" s="1303">
        <v>0.78</v>
      </c>
      <c r="W143" s="1302"/>
      <c r="X143" s="1303">
        <v>64.819999999999993</v>
      </c>
      <c r="Y143" s="1302"/>
      <c r="Z143" s="1303">
        <v>0</v>
      </c>
      <c r="AA143" s="1302"/>
      <c r="AB143" s="1303">
        <v>0</v>
      </c>
      <c r="AC143" s="1302"/>
      <c r="AD143" s="1303">
        <v>0</v>
      </c>
      <c r="AE143" s="1302"/>
      <c r="AF143" s="1303">
        <v>0</v>
      </c>
      <c r="AG143" s="1302"/>
      <c r="AH143" s="1303">
        <f t="shared" si="14"/>
        <v>74.459999999999994</v>
      </c>
      <c r="AI143" s="1304">
        <f t="shared" si="15"/>
        <v>2.1769189013646724E-6</v>
      </c>
      <c r="AJ143" s="12"/>
    </row>
    <row r="144" spans="2:36" s="407" customFormat="1" outlineLevel="1">
      <c r="B144" s="24" t="s">
        <v>397</v>
      </c>
      <c r="D144" s="1298">
        <v>52901</v>
      </c>
      <c r="E144" s="1298" t="s">
        <v>433</v>
      </c>
      <c r="F144" s="1299"/>
      <c r="G144" s="1300"/>
      <c r="H144" s="1301"/>
      <c r="I144" s="1302"/>
      <c r="J144" s="1303">
        <v>0</v>
      </c>
      <c r="K144" s="1302"/>
      <c r="L144" s="1303">
        <v>0</v>
      </c>
      <c r="M144" s="1302"/>
      <c r="N144" s="1303">
        <v>0</v>
      </c>
      <c r="O144" s="1302"/>
      <c r="P144" s="1303">
        <v>0</v>
      </c>
      <c r="Q144" s="1302"/>
      <c r="R144" s="1303">
        <v>0</v>
      </c>
      <c r="S144" s="1302"/>
      <c r="T144" s="1303">
        <v>0</v>
      </c>
      <c r="U144" s="1302"/>
      <c r="V144" s="1303">
        <v>0</v>
      </c>
      <c r="W144" s="1302"/>
      <c r="X144" s="1303">
        <v>0</v>
      </c>
      <c r="Y144" s="1302"/>
      <c r="Z144" s="1303">
        <v>0</v>
      </c>
      <c r="AA144" s="1302"/>
      <c r="AB144" s="1303">
        <v>0</v>
      </c>
      <c r="AC144" s="1302"/>
      <c r="AD144" s="1303">
        <v>0</v>
      </c>
      <c r="AE144" s="1302"/>
      <c r="AF144" s="1303">
        <v>0</v>
      </c>
      <c r="AG144" s="1302"/>
      <c r="AH144" s="1303">
        <f t="shared" si="14"/>
        <v>0</v>
      </c>
      <c r="AI144" s="1304">
        <f t="shared" si="15"/>
        <v>0</v>
      </c>
      <c r="AJ144" s="12"/>
    </row>
    <row r="145" spans="2:36" s="8" customFormat="1" ht="5.0999999999999996" customHeight="1" outlineLevel="1">
      <c r="B145" s="2" t="s">
        <v>194</v>
      </c>
      <c r="D145" s="1299"/>
      <c r="E145" s="1299"/>
      <c r="F145" s="1299"/>
      <c r="G145" s="1299"/>
      <c r="H145" s="1301"/>
      <c r="I145" s="1301"/>
      <c r="J145" s="1311"/>
      <c r="K145" s="1309"/>
      <c r="L145" s="1311"/>
      <c r="M145" s="1309"/>
      <c r="N145" s="1311"/>
      <c r="O145" s="1309"/>
      <c r="P145" s="1311"/>
      <c r="Q145" s="1309"/>
      <c r="R145" s="1311"/>
      <c r="S145" s="1309"/>
      <c r="T145" s="1311"/>
      <c r="U145" s="1309"/>
      <c r="V145" s="1311"/>
      <c r="W145" s="1309"/>
      <c r="X145" s="1311"/>
      <c r="Y145" s="1309"/>
      <c r="Z145" s="1311"/>
      <c r="AA145" s="1309"/>
      <c r="AB145" s="1311"/>
      <c r="AC145" s="1309"/>
      <c r="AD145" s="1311"/>
      <c r="AE145" s="1309"/>
      <c r="AF145" s="1311"/>
      <c r="AG145" s="1309"/>
      <c r="AH145" s="1311"/>
      <c r="AI145" s="1306"/>
      <c r="AJ145" s="15"/>
    </row>
    <row r="146" spans="2:36" s="8" customFormat="1" ht="15">
      <c r="B146" s="2" t="s">
        <v>194</v>
      </c>
      <c r="D146" s="1301"/>
      <c r="E146" s="1301"/>
      <c r="F146" s="1299" t="s">
        <v>238</v>
      </c>
      <c r="G146" s="1301"/>
      <c r="H146" s="1301"/>
      <c r="I146" s="1301"/>
      <c r="J146" s="1308">
        <f>SUM(J121:J145)</f>
        <v>269085.35000000003</v>
      </c>
      <c r="K146" s="1309"/>
      <c r="L146" s="1308">
        <f>SUM(L121:L145)</f>
        <v>285387.22000000009</v>
      </c>
      <c r="M146" s="1309"/>
      <c r="N146" s="1308">
        <f>SUM(N121:N145)</f>
        <v>300022.60000000003</v>
      </c>
      <c r="O146" s="1309"/>
      <c r="P146" s="1308">
        <f>SUM(P121:P145)</f>
        <v>306660.78999999992</v>
      </c>
      <c r="Q146" s="1309"/>
      <c r="R146" s="1308">
        <f>SUM(R121:R145)</f>
        <v>248052.61000000002</v>
      </c>
      <c r="S146" s="1309"/>
      <c r="T146" s="1308">
        <f>SUM(T121:T145)</f>
        <v>307922.91999999993</v>
      </c>
      <c r="U146" s="1309"/>
      <c r="V146" s="1308">
        <f>SUM(V121:V145)</f>
        <v>293328.61000000004</v>
      </c>
      <c r="W146" s="1309"/>
      <c r="X146" s="1308">
        <f>SUM(X121:X145)</f>
        <v>257012.23999999993</v>
      </c>
      <c r="Y146" s="1309"/>
      <c r="Z146" s="1308">
        <f>SUM(Z121:Z145)</f>
        <v>300006.57</v>
      </c>
      <c r="AA146" s="1309"/>
      <c r="AB146" s="1308">
        <f>SUM(AB121:AB145)</f>
        <v>238146.31999999998</v>
      </c>
      <c r="AC146" s="1309"/>
      <c r="AD146" s="1308">
        <f>SUM(AD121:AD145)</f>
        <v>276315.18</v>
      </c>
      <c r="AE146" s="1309"/>
      <c r="AF146" s="1308">
        <f>SUM(AF121:AF145)</f>
        <v>298458.40000000008</v>
      </c>
      <c r="AG146" s="1309"/>
      <c r="AH146" s="1308">
        <f>SUM(AH121:AH145)</f>
        <v>3380398.8099999991</v>
      </c>
      <c r="AI146" s="1304">
        <f>IF(AH$65=0,0,AH146/AH$65)</f>
        <v>9.882962749986092E-2</v>
      </c>
      <c r="AJ146" s="15"/>
    </row>
    <row r="147" spans="2:36" s="8" customFormat="1" ht="15" outlineLevel="1">
      <c r="B147" s="2" t="s">
        <v>194</v>
      </c>
      <c r="D147" s="1301"/>
      <c r="E147" s="1301"/>
      <c r="F147" s="1301"/>
      <c r="G147" s="1301"/>
      <c r="H147" s="1301"/>
      <c r="I147" s="1301"/>
      <c r="J147" s="1310"/>
      <c r="K147" s="1309"/>
      <c r="L147" s="1310"/>
      <c r="M147" s="1309"/>
      <c r="N147" s="1310"/>
      <c r="O147" s="1309"/>
      <c r="P147" s="1310"/>
      <c r="Q147" s="1309"/>
      <c r="R147" s="1310"/>
      <c r="S147" s="1309"/>
      <c r="T147" s="1310"/>
      <c r="U147" s="1309"/>
      <c r="V147" s="1310"/>
      <c r="W147" s="1309"/>
      <c r="X147" s="1310"/>
      <c r="Y147" s="1309"/>
      <c r="Z147" s="1310"/>
      <c r="AA147" s="1309"/>
      <c r="AB147" s="1310"/>
      <c r="AC147" s="1309"/>
      <c r="AD147" s="1310"/>
      <c r="AE147" s="1309"/>
      <c r="AF147" s="1310"/>
      <c r="AG147" s="1309"/>
      <c r="AH147" s="1310"/>
      <c r="AI147" s="1306"/>
      <c r="AJ147" s="15"/>
    </row>
    <row r="148" spans="2:36" s="8" customFormat="1" ht="15" outlineLevel="1">
      <c r="D148" s="1301"/>
      <c r="E148" s="1301"/>
      <c r="F148" s="1301"/>
      <c r="G148" s="1301"/>
      <c r="H148" s="1301"/>
      <c r="I148" s="1301"/>
      <c r="J148" s="1310"/>
      <c r="K148" s="1309"/>
      <c r="L148" s="1310"/>
      <c r="M148" s="1309"/>
      <c r="N148" s="1310"/>
      <c r="O148" s="1309"/>
      <c r="P148" s="1310"/>
      <c r="Q148" s="1309"/>
      <c r="R148" s="1310"/>
      <c r="S148" s="1309"/>
      <c r="T148" s="1310"/>
      <c r="U148" s="1309"/>
      <c r="V148" s="1310"/>
      <c r="W148" s="1309"/>
      <c r="X148" s="1310"/>
      <c r="Y148" s="1309"/>
      <c r="Z148" s="1310"/>
      <c r="AA148" s="1309"/>
      <c r="AB148" s="1310"/>
      <c r="AC148" s="1309"/>
      <c r="AD148" s="1310"/>
      <c r="AE148" s="1309"/>
      <c r="AF148" s="1310"/>
      <c r="AG148" s="1309"/>
      <c r="AH148" s="1310"/>
      <c r="AI148" s="1306"/>
      <c r="AJ148" s="15"/>
    </row>
    <row r="149" spans="2:36" s="407" customFormat="1" outlineLevel="1">
      <c r="B149" s="24" t="s">
        <v>412</v>
      </c>
      <c r="D149" s="1298">
        <v>55020</v>
      </c>
      <c r="E149" s="1298" t="s">
        <v>24</v>
      </c>
      <c r="F149" s="1299"/>
      <c r="G149" s="1300"/>
      <c r="H149" s="1301"/>
      <c r="I149" s="1302"/>
      <c r="J149" s="1303">
        <v>4513.3100000000004</v>
      </c>
      <c r="K149" s="1302"/>
      <c r="L149" s="1303">
        <v>-914.4</v>
      </c>
      <c r="M149" s="1302"/>
      <c r="N149" s="1303">
        <v>0</v>
      </c>
      <c r="O149" s="1302"/>
      <c r="P149" s="1303">
        <v>0</v>
      </c>
      <c r="Q149" s="1302"/>
      <c r="R149" s="1303">
        <v>0</v>
      </c>
      <c r="S149" s="1302"/>
      <c r="T149" s="1303">
        <v>0</v>
      </c>
      <c r="U149" s="1302"/>
      <c r="V149" s="1303">
        <v>0</v>
      </c>
      <c r="W149" s="1302"/>
      <c r="X149" s="1303">
        <v>0</v>
      </c>
      <c r="Y149" s="1302"/>
      <c r="Z149" s="1303">
        <v>0</v>
      </c>
      <c r="AA149" s="1302"/>
      <c r="AB149" s="1303">
        <v>0</v>
      </c>
      <c r="AC149" s="1302"/>
      <c r="AD149" s="1303">
        <v>0</v>
      </c>
      <c r="AE149" s="1302"/>
      <c r="AF149" s="1303">
        <v>0</v>
      </c>
      <c r="AG149" s="1302"/>
      <c r="AH149" s="1303">
        <f t="shared" ref="AH149:AH158" si="16">AF149+AD149+AB149+Z149+X149+V149+T149+R149+P149+N149+L149+J149</f>
        <v>3598.9100000000003</v>
      </c>
      <c r="AI149" s="1304">
        <f t="shared" ref="AI149:AI158" si="17">IF(AH$65=0,0,AH149/AH$65)</f>
        <v>1.0521803926014416E-4</v>
      </c>
      <c r="AJ149" s="12"/>
    </row>
    <row r="150" spans="2:36" s="407" customFormat="1" outlineLevel="1">
      <c r="B150" s="24" t="s">
        <v>397</v>
      </c>
      <c r="D150" s="1298">
        <v>55025</v>
      </c>
      <c r="E150" s="1298" t="s">
        <v>25</v>
      </c>
      <c r="F150" s="1299"/>
      <c r="G150" s="1300"/>
      <c r="H150" s="1301"/>
      <c r="I150" s="1302"/>
      <c r="J150" s="1303">
        <v>889.12</v>
      </c>
      <c r="K150" s="1302"/>
      <c r="L150" s="1303">
        <v>-428.67</v>
      </c>
      <c r="M150" s="1302"/>
      <c r="N150" s="1303">
        <v>0</v>
      </c>
      <c r="O150" s="1302"/>
      <c r="P150" s="1303">
        <v>0</v>
      </c>
      <c r="Q150" s="1302"/>
      <c r="R150" s="1303">
        <v>0</v>
      </c>
      <c r="S150" s="1302"/>
      <c r="T150" s="1303">
        <v>0</v>
      </c>
      <c r="U150" s="1302"/>
      <c r="V150" s="1303">
        <v>0</v>
      </c>
      <c r="W150" s="1302"/>
      <c r="X150" s="1303">
        <v>0</v>
      </c>
      <c r="Y150" s="1302"/>
      <c r="Z150" s="1303">
        <v>0</v>
      </c>
      <c r="AA150" s="1302"/>
      <c r="AB150" s="1303">
        <v>9.51</v>
      </c>
      <c r="AC150" s="1302"/>
      <c r="AD150" s="1303">
        <v>0</v>
      </c>
      <c r="AE150" s="1302"/>
      <c r="AF150" s="1303">
        <v>0</v>
      </c>
      <c r="AG150" s="1302"/>
      <c r="AH150" s="1303">
        <f t="shared" si="16"/>
        <v>469.96</v>
      </c>
      <c r="AI150" s="1304">
        <f t="shared" si="17"/>
        <v>1.3739790584009421E-5</v>
      </c>
      <c r="AJ150" s="12"/>
    </row>
    <row r="151" spans="2:36" s="407" customFormat="1" outlineLevel="1">
      <c r="B151" s="24" t="s">
        <v>397</v>
      </c>
      <c r="D151" s="1298">
        <v>55050</v>
      </c>
      <c r="E151" s="1298" t="s">
        <v>166</v>
      </c>
      <c r="F151" s="1299"/>
      <c r="G151" s="1300"/>
      <c r="H151" s="1301"/>
      <c r="I151" s="1302"/>
      <c r="J151" s="1303">
        <v>488.17</v>
      </c>
      <c r="K151" s="1302"/>
      <c r="L151" s="1303">
        <v>-119.19</v>
      </c>
      <c r="M151" s="1302"/>
      <c r="N151" s="1303">
        <v>0</v>
      </c>
      <c r="O151" s="1302"/>
      <c r="P151" s="1303">
        <v>0</v>
      </c>
      <c r="Q151" s="1302"/>
      <c r="R151" s="1303">
        <v>0</v>
      </c>
      <c r="S151" s="1302"/>
      <c r="T151" s="1303">
        <v>0</v>
      </c>
      <c r="U151" s="1302"/>
      <c r="V151" s="1303">
        <v>0</v>
      </c>
      <c r="W151" s="1302"/>
      <c r="X151" s="1303">
        <v>0</v>
      </c>
      <c r="Y151" s="1302"/>
      <c r="Z151" s="1303">
        <v>-0.21</v>
      </c>
      <c r="AA151" s="1302"/>
      <c r="AB151" s="1303">
        <v>0.95</v>
      </c>
      <c r="AC151" s="1302"/>
      <c r="AD151" s="1303">
        <v>0</v>
      </c>
      <c r="AE151" s="1302"/>
      <c r="AF151" s="1303">
        <v>0</v>
      </c>
      <c r="AG151" s="1302"/>
      <c r="AH151" s="1303">
        <f t="shared" si="16"/>
        <v>369.72</v>
      </c>
      <c r="AI151" s="1304">
        <f t="shared" si="17"/>
        <v>1.0809165407098399E-5</v>
      </c>
      <c r="AJ151" s="12"/>
    </row>
    <row r="152" spans="2:36" s="407" customFormat="1" outlineLevel="1">
      <c r="B152" s="24" t="s">
        <v>397</v>
      </c>
      <c r="D152" s="1298">
        <v>55060</v>
      </c>
      <c r="E152" s="1298" t="s">
        <v>75</v>
      </c>
      <c r="F152" s="1299"/>
      <c r="G152" s="1300"/>
      <c r="H152" s="1301"/>
      <c r="I152" s="1302"/>
      <c r="J152" s="1303">
        <v>949.9</v>
      </c>
      <c r="K152" s="1302"/>
      <c r="L152" s="1303">
        <v>1150</v>
      </c>
      <c r="M152" s="1302"/>
      <c r="N152" s="1303">
        <v>0</v>
      </c>
      <c r="O152" s="1302"/>
      <c r="P152" s="1303">
        <v>0</v>
      </c>
      <c r="Q152" s="1302"/>
      <c r="R152" s="1303">
        <v>0</v>
      </c>
      <c r="S152" s="1302"/>
      <c r="T152" s="1303">
        <v>0</v>
      </c>
      <c r="U152" s="1302"/>
      <c r="V152" s="1303">
        <v>0</v>
      </c>
      <c r="W152" s="1302"/>
      <c r="X152" s="1303">
        <v>0</v>
      </c>
      <c r="Y152" s="1302"/>
      <c r="Z152" s="1303">
        <v>0</v>
      </c>
      <c r="AA152" s="1302"/>
      <c r="AB152" s="1303">
        <v>0</v>
      </c>
      <c r="AC152" s="1302"/>
      <c r="AD152" s="1303">
        <v>0</v>
      </c>
      <c r="AE152" s="1302"/>
      <c r="AF152" s="1303">
        <v>0</v>
      </c>
      <c r="AG152" s="1302"/>
      <c r="AH152" s="1303">
        <f t="shared" si="16"/>
        <v>2099.9</v>
      </c>
      <c r="AI152" s="1304">
        <f t="shared" si="17"/>
        <v>6.1392855237384856E-5</v>
      </c>
      <c r="AJ152" s="12"/>
    </row>
    <row r="153" spans="2:36" s="407" customFormat="1" outlineLevel="1">
      <c r="B153" s="24" t="s">
        <v>397</v>
      </c>
      <c r="D153" s="1298">
        <v>55065</v>
      </c>
      <c r="E153" s="1298" t="s">
        <v>21</v>
      </c>
      <c r="F153" s="1299"/>
      <c r="G153" s="1300"/>
      <c r="H153" s="1301"/>
      <c r="I153" s="1302"/>
      <c r="J153" s="1303">
        <v>363</v>
      </c>
      <c r="K153" s="1302"/>
      <c r="L153" s="1303">
        <v>0</v>
      </c>
      <c r="M153" s="1302"/>
      <c r="N153" s="1303">
        <v>0</v>
      </c>
      <c r="O153" s="1302"/>
      <c r="P153" s="1303">
        <v>0</v>
      </c>
      <c r="Q153" s="1302"/>
      <c r="R153" s="1303">
        <v>0</v>
      </c>
      <c r="S153" s="1302"/>
      <c r="T153" s="1303">
        <v>0</v>
      </c>
      <c r="U153" s="1302"/>
      <c r="V153" s="1303">
        <v>0</v>
      </c>
      <c r="W153" s="1302"/>
      <c r="X153" s="1303">
        <v>0</v>
      </c>
      <c r="Y153" s="1302"/>
      <c r="Z153" s="1303">
        <v>0</v>
      </c>
      <c r="AA153" s="1302"/>
      <c r="AB153" s="1303">
        <v>0</v>
      </c>
      <c r="AC153" s="1302"/>
      <c r="AD153" s="1303">
        <v>0</v>
      </c>
      <c r="AE153" s="1302"/>
      <c r="AF153" s="1303">
        <v>0</v>
      </c>
      <c r="AG153" s="1302"/>
      <c r="AH153" s="1303">
        <f t="shared" si="16"/>
        <v>363</v>
      </c>
      <c r="AI153" s="1304">
        <f t="shared" si="17"/>
        <v>1.0612698914791514E-5</v>
      </c>
      <c r="AJ153" s="12"/>
    </row>
    <row r="154" spans="2:36" s="407" customFormat="1" outlineLevel="1">
      <c r="B154" s="24" t="s">
        <v>397</v>
      </c>
      <c r="D154" s="1298">
        <v>55115</v>
      </c>
      <c r="E154" s="1298" t="s">
        <v>120</v>
      </c>
      <c r="F154" s="1299"/>
      <c r="G154" s="1300"/>
      <c r="H154" s="1301"/>
      <c r="I154" s="1302"/>
      <c r="J154" s="1303">
        <v>126.81</v>
      </c>
      <c r="K154" s="1302"/>
      <c r="L154" s="1303">
        <v>0</v>
      </c>
      <c r="M154" s="1302"/>
      <c r="N154" s="1303">
        <v>0</v>
      </c>
      <c r="O154" s="1302"/>
      <c r="P154" s="1303">
        <v>0</v>
      </c>
      <c r="Q154" s="1302"/>
      <c r="R154" s="1303">
        <v>0</v>
      </c>
      <c r="S154" s="1302"/>
      <c r="T154" s="1303">
        <v>0</v>
      </c>
      <c r="U154" s="1302"/>
      <c r="V154" s="1303">
        <v>0</v>
      </c>
      <c r="W154" s="1302"/>
      <c r="X154" s="1303">
        <v>0</v>
      </c>
      <c r="Y154" s="1302"/>
      <c r="Z154" s="1303">
        <v>0.36</v>
      </c>
      <c r="AA154" s="1302"/>
      <c r="AB154" s="1303">
        <v>0</v>
      </c>
      <c r="AC154" s="1302"/>
      <c r="AD154" s="1303">
        <v>0</v>
      </c>
      <c r="AE154" s="1302"/>
      <c r="AF154" s="1303">
        <v>0</v>
      </c>
      <c r="AG154" s="1302"/>
      <c r="AH154" s="1303">
        <f t="shared" si="16"/>
        <v>127.17</v>
      </c>
      <c r="AI154" s="1304">
        <f t="shared" si="17"/>
        <v>3.7179529503967956E-6</v>
      </c>
      <c r="AJ154" s="12"/>
    </row>
    <row r="155" spans="2:36" s="407" customFormat="1" outlineLevel="1">
      <c r="B155" s="24" t="s">
        <v>397</v>
      </c>
      <c r="D155" s="1298">
        <v>55120</v>
      </c>
      <c r="E155" s="1298" t="s">
        <v>231</v>
      </c>
      <c r="F155" s="1299"/>
      <c r="G155" s="1300"/>
      <c r="H155" s="1301"/>
      <c r="I155" s="1302"/>
      <c r="J155" s="1303">
        <v>6150.79</v>
      </c>
      <c r="K155" s="1302"/>
      <c r="L155" s="1303">
        <v>2142.48</v>
      </c>
      <c r="M155" s="1302"/>
      <c r="N155" s="1303">
        <v>0</v>
      </c>
      <c r="O155" s="1302"/>
      <c r="P155" s="1303">
        <v>0</v>
      </c>
      <c r="Q155" s="1302"/>
      <c r="R155" s="1303">
        <v>666.27</v>
      </c>
      <c r="S155" s="1302"/>
      <c r="T155" s="1303">
        <v>0</v>
      </c>
      <c r="U155" s="1302"/>
      <c r="V155" s="1303">
        <v>2063.6799999999998</v>
      </c>
      <c r="W155" s="1302"/>
      <c r="X155" s="1303">
        <v>183.66</v>
      </c>
      <c r="Y155" s="1302"/>
      <c r="Z155" s="1303">
        <v>0</v>
      </c>
      <c r="AA155" s="1302"/>
      <c r="AB155" s="1303">
        <v>1254.02</v>
      </c>
      <c r="AC155" s="1302"/>
      <c r="AD155" s="1303">
        <v>3000.71</v>
      </c>
      <c r="AE155" s="1302"/>
      <c r="AF155" s="1303">
        <v>1770.02</v>
      </c>
      <c r="AG155" s="1302"/>
      <c r="AH155" s="1303">
        <f t="shared" si="16"/>
        <v>17231.63</v>
      </c>
      <c r="AI155" s="1304">
        <f t="shared" si="17"/>
        <v>5.0378540220685645E-4</v>
      </c>
      <c r="AJ155" s="12"/>
    </row>
    <row r="156" spans="2:36" s="407" customFormat="1" outlineLevel="1">
      <c r="B156" s="24" t="s">
        <v>397</v>
      </c>
      <c r="D156" s="1298">
        <v>55125</v>
      </c>
      <c r="E156" s="1298" t="s">
        <v>62</v>
      </c>
      <c r="F156" s="1299"/>
      <c r="G156" s="1300"/>
      <c r="H156" s="1301"/>
      <c r="I156" s="1302"/>
      <c r="J156" s="1303">
        <v>2482.46</v>
      </c>
      <c r="K156" s="1302"/>
      <c r="L156" s="1303">
        <v>4077.1</v>
      </c>
      <c r="M156" s="1302"/>
      <c r="N156" s="1303">
        <v>2582.0500000000002</v>
      </c>
      <c r="O156" s="1302"/>
      <c r="P156" s="1303">
        <v>10492.93</v>
      </c>
      <c r="Q156" s="1302"/>
      <c r="R156" s="1303">
        <v>1447.36</v>
      </c>
      <c r="S156" s="1302"/>
      <c r="T156" s="1303">
        <v>829.37</v>
      </c>
      <c r="U156" s="1302"/>
      <c r="V156" s="1303">
        <v>355.78</v>
      </c>
      <c r="W156" s="1302"/>
      <c r="X156" s="1303">
        <v>1538.73</v>
      </c>
      <c r="Y156" s="1302"/>
      <c r="Z156" s="1303">
        <v>393.18</v>
      </c>
      <c r="AA156" s="1302"/>
      <c r="AB156" s="1303">
        <v>1572.05</v>
      </c>
      <c r="AC156" s="1302"/>
      <c r="AD156" s="1303">
        <v>-8.36</v>
      </c>
      <c r="AE156" s="1302"/>
      <c r="AF156" s="1303">
        <v>264.99</v>
      </c>
      <c r="AG156" s="1302"/>
      <c r="AH156" s="1303">
        <f t="shared" si="16"/>
        <v>26027.639999999996</v>
      </c>
      <c r="AI156" s="1304">
        <f t="shared" si="17"/>
        <v>7.6094629967654039E-4</v>
      </c>
      <c r="AJ156" s="12"/>
    </row>
    <row r="157" spans="2:36" s="407" customFormat="1" outlineLevel="1">
      <c r="B157" s="24" t="s">
        <v>397</v>
      </c>
      <c r="D157" s="1298">
        <v>55147</v>
      </c>
      <c r="E157" s="1298" t="s">
        <v>234</v>
      </c>
      <c r="F157" s="1299"/>
      <c r="G157" s="1300"/>
      <c r="H157" s="1301"/>
      <c r="I157" s="1302"/>
      <c r="J157" s="1303">
        <v>23657.18</v>
      </c>
      <c r="K157" s="1302"/>
      <c r="L157" s="1303">
        <v>38223.230000000003</v>
      </c>
      <c r="M157" s="1302"/>
      <c r="N157" s="1303">
        <v>33068.01</v>
      </c>
      <c r="O157" s="1302"/>
      <c r="P157" s="1303">
        <v>35297.760000000002</v>
      </c>
      <c r="Q157" s="1302"/>
      <c r="R157" s="1303">
        <v>34288.720000000001</v>
      </c>
      <c r="S157" s="1302"/>
      <c r="T157" s="1303">
        <v>30029.09</v>
      </c>
      <c r="U157" s="1302"/>
      <c r="V157" s="1303">
        <v>29343.23</v>
      </c>
      <c r="W157" s="1302"/>
      <c r="X157" s="1303">
        <v>17911.919999999998</v>
      </c>
      <c r="Y157" s="1302"/>
      <c r="Z157" s="1303">
        <v>30886.36</v>
      </c>
      <c r="AA157" s="1302"/>
      <c r="AB157" s="1303">
        <v>12755.61</v>
      </c>
      <c r="AC157" s="1302"/>
      <c r="AD157" s="1303">
        <v>24429.919999999998</v>
      </c>
      <c r="AE157" s="1302"/>
      <c r="AF157" s="1303">
        <v>26451.85</v>
      </c>
      <c r="AG157" s="1302"/>
      <c r="AH157" s="1303">
        <f t="shared" si="16"/>
        <v>336342.87999999995</v>
      </c>
      <c r="AI157" s="1304">
        <f t="shared" si="17"/>
        <v>9.8333490842254876E-3</v>
      </c>
      <c r="AJ157" s="12"/>
    </row>
    <row r="158" spans="2:36" s="407" customFormat="1" outlineLevel="1">
      <c r="B158" s="24" t="s">
        <v>397</v>
      </c>
      <c r="D158" s="1298">
        <v>55335</v>
      </c>
      <c r="E158" s="1298" t="s">
        <v>43</v>
      </c>
      <c r="F158" s="1299"/>
      <c r="G158" s="1300"/>
      <c r="H158" s="1301"/>
      <c r="I158" s="1302"/>
      <c r="J158" s="1303">
        <v>33108</v>
      </c>
      <c r="K158" s="1302"/>
      <c r="L158" s="1303">
        <v>27197.72</v>
      </c>
      <c r="M158" s="1302"/>
      <c r="N158" s="1303">
        <v>34747.89</v>
      </c>
      <c r="O158" s="1302"/>
      <c r="P158" s="1303">
        <v>30000</v>
      </c>
      <c r="Q158" s="1302"/>
      <c r="R158" s="1303">
        <v>23952</v>
      </c>
      <c r="S158" s="1302"/>
      <c r="T158" s="1303">
        <v>24828</v>
      </c>
      <c r="U158" s="1302"/>
      <c r="V158" s="1303">
        <v>22136</v>
      </c>
      <c r="W158" s="1302"/>
      <c r="X158" s="1303">
        <v>20692</v>
      </c>
      <c r="Y158" s="1302"/>
      <c r="Z158" s="1303">
        <v>23775</v>
      </c>
      <c r="AA158" s="1302"/>
      <c r="AB158" s="1303">
        <v>16737.5</v>
      </c>
      <c r="AC158" s="1302"/>
      <c r="AD158" s="1303">
        <v>21637.5</v>
      </c>
      <c r="AE158" s="1302"/>
      <c r="AF158" s="1303">
        <v>24837.5</v>
      </c>
      <c r="AG158" s="1302"/>
      <c r="AH158" s="1303">
        <f t="shared" si="16"/>
        <v>303649.11</v>
      </c>
      <c r="AI158" s="1304">
        <f t="shared" si="17"/>
        <v>8.8775112401498872E-3</v>
      </c>
      <c r="AJ158" s="12"/>
    </row>
    <row r="159" spans="2:36" s="8" customFormat="1" ht="5.0999999999999996" customHeight="1" outlineLevel="1">
      <c r="B159" s="2" t="s">
        <v>194</v>
      </c>
      <c r="D159" s="1299"/>
      <c r="E159" s="1299"/>
      <c r="F159" s="1299"/>
      <c r="G159" s="1299"/>
      <c r="H159" s="1301"/>
      <c r="I159" s="1301"/>
      <c r="J159" s="1311"/>
      <c r="K159" s="1309"/>
      <c r="L159" s="1311"/>
      <c r="M159" s="1309"/>
      <c r="N159" s="1311"/>
      <c r="O159" s="1309"/>
      <c r="P159" s="1311"/>
      <c r="Q159" s="1309"/>
      <c r="R159" s="1311"/>
      <c r="S159" s="1309"/>
      <c r="T159" s="1311"/>
      <c r="U159" s="1309"/>
      <c r="V159" s="1311"/>
      <c r="W159" s="1309"/>
      <c r="X159" s="1311"/>
      <c r="Y159" s="1309"/>
      <c r="Z159" s="1311"/>
      <c r="AA159" s="1309"/>
      <c r="AB159" s="1311"/>
      <c r="AC159" s="1309"/>
      <c r="AD159" s="1311"/>
      <c r="AE159" s="1309"/>
      <c r="AF159" s="1311"/>
      <c r="AG159" s="1309"/>
      <c r="AH159" s="1311"/>
      <c r="AI159" s="1306"/>
      <c r="AJ159" s="15"/>
    </row>
    <row r="160" spans="2:36" s="8" customFormat="1" ht="15">
      <c r="B160" s="2"/>
      <c r="D160" s="1301"/>
      <c r="E160" s="1301"/>
      <c r="F160" s="1299" t="s">
        <v>239</v>
      </c>
      <c r="G160" s="1301"/>
      <c r="H160" s="1301"/>
      <c r="I160" s="1301"/>
      <c r="J160" s="1308">
        <f>SUM(J148:J159)</f>
        <v>72728.740000000005</v>
      </c>
      <c r="K160" s="1309"/>
      <c r="L160" s="1308">
        <f>SUM(L148:L159)</f>
        <v>71328.27</v>
      </c>
      <c r="M160" s="1309"/>
      <c r="N160" s="1308">
        <f>SUM(N148:N159)</f>
        <v>70397.950000000012</v>
      </c>
      <c r="O160" s="1309"/>
      <c r="P160" s="1308">
        <f>SUM(P148:P159)</f>
        <v>75790.69</v>
      </c>
      <c r="Q160" s="1309"/>
      <c r="R160" s="1308">
        <f>SUM(R148:R159)</f>
        <v>60354.35</v>
      </c>
      <c r="S160" s="1309"/>
      <c r="T160" s="1308">
        <f>SUM(T148:T159)</f>
        <v>55686.46</v>
      </c>
      <c r="U160" s="1309"/>
      <c r="V160" s="1308">
        <f>SUM(V148:V159)</f>
        <v>53898.69</v>
      </c>
      <c r="W160" s="1309"/>
      <c r="X160" s="1308">
        <f>SUM(X148:X159)</f>
        <v>40326.31</v>
      </c>
      <c r="Y160" s="1309"/>
      <c r="Z160" s="1308">
        <f>SUM(Z148:Z159)</f>
        <v>55054.69</v>
      </c>
      <c r="AA160" s="1309"/>
      <c r="AB160" s="1308">
        <f>SUM(AB148:AB159)</f>
        <v>32329.64</v>
      </c>
      <c r="AC160" s="1309"/>
      <c r="AD160" s="1308">
        <f>SUM(AD148:AD159)</f>
        <v>49059.77</v>
      </c>
      <c r="AE160" s="1309"/>
      <c r="AF160" s="1308">
        <f>SUM(AF148:AF159)</f>
        <v>53324.36</v>
      </c>
      <c r="AG160" s="1309"/>
      <c r="AH160" s="1308">
        <f>SUM(AH148:AH159)</f>
        <v>690279.91999999993</v>
      </c>
      <c r="AI160" s="1304">
        <f>IF(AH$65=0,0,AH160/AH$65)</f>
        <v>2.0181082528612598E-2</v>
      </c>
      <c r="AJ160" s="15"/>
    </row>
    <row r="161" spans="2:36" s="8" customFormat="1" ht="15" outlineLevel="1">
      <c r="B161" s="2"/>
      <c r="D161" s="1301"/>
      <c r="E161" s="1301"/>
      <c r="F161" s="1301"/>
      <c r="G161" s="1301"/>
      <c r="H161" s="1301"/>
      <c r="I161" s="1301"/>
      <c r="J161" s="1310"/>
      <c r="K161" s="1309"/>
      <c r="L161" s="1310"/>
      <c r="M161" s="1309"/>
      <c r="N161" s="1310"/>
      <c r="O161" s="1309"/>
      <c r="P161" s="1310"/>
      <c r="Q161" s="1309"/>
      <c r="R161" s="1310"/>
      <c r="S161" s="1309"/>
      <c r="T161" s="1310"/>
      <c r="U161" s="1309"/>
      <c r="V161" s="1310"/>
      <c r="W161" s="1309"/>
      <c r="X161" s="1310"/>
      <c r="Y161" s="1309"/>
      <c r="Z161" s="1310"/>
      <c r="AA161" s="1309"/>
      <c r="AB161" s="1310"/>
      <c r="AC161" s="1309"/>
      <c r="AD161" s="1310"/>
      <c r="AE161" s="1309"/>
      <c r="AF161" s="1310"/>
      <c r="AG161" s="1309"/>
      <c r="AH161" s="1310"/>
      <c r="AI161" s="1306"/>
      <c r="AJ161" s="15"/>
    </row>
    <row r="162" spans="2:36" s="8" customFormat="1" ht="15" outlineLevel="1">
      <c r="B162" s="2" t="s">
        <v>194</v>
      </c>
      <c r="D162" s="1301"/>
      <c r="E162" s="1301"/>
      <c r="F162" s="1301"/>
      <c r="G162" s="1301"/>
      <c r="H162" s="1301"/>
      <c r="I162" s="1301"/>
      <c r="J162" s="1310"/>
      <c r="K162" s="1309"/>
      <c r="L162" s="1310"/>
      <c r="M162" s="1309"/>
      <c r="N162" s="1310"/>
      <c r="O162" s="1309"/>
      <c r="P162" s="1310"/>
      <c r="Q162" s="1309"/>
      <c r="R162" s="1310"/>
      <c r="S162" s="1309"/>
      <c r="T162" s="1310"/>
      <c r="U162" s="1309"/>
      <c r="V162" s="1310"/>
      <c r="W162" s="1309"/>
      <c r="X162" s="1310"/>
      <c r="Y162" s="1309"/>
      <c r="Z162" s="1310"/>
      <c r="AA162" s="1309"/>
      <c r="AB162" s="1310"/>
      <c r="AC162" s="1309"/>
      <c r="AD162" s="1310"/>
      <c r="AE162" s="1309"/>
      <c r="AF162" s="1310"/>
      <c r="AG162" s="1309"/>
      <c r="AH162" s="1310"/>
      <c r="AI162" s="1306"/>
      <c r="AJ162" s="15"/>
    </row>
    <row r="163" spans="2:36" s="407" customFormat="1" outlineLevel="1">
      <c r="B163" s="24" t="s">
        <v>413</v>
      </c>
      <c r="D163" s="1298">
        <v>56010</v>
      </c>
      <c r="E163" s="1298" t="s">
        <v>17</v>
      </c>
      <c r="F163" s="1299"/>
      <c r="G163" s="1300"/>
      <c r="H163" s="1301"/>
      <c r="I163" s="1302"/>
      <c r="J163" s="1303">
        <v>31223.88</v>
      </c>
      <c r="K163" s="1302"/>
      <c r="L163" s="1303">
        <v>28692.09</v>
      </c>
      <c r="M163" s="1302"/>
      <c r="N163" s="1303">
        <v>29957.97</v>
      </c>
      <c r="O163" s="1302"/>
      <c r="P163" s="1303">
        <v>31223.89</v>
      </c>
      <c r="Q163" s="1302"/>
      <c r="R163" s="1303">
        <v>27426.2</v>
      </c>
      <c r="S163" s="1302"/>
      <c r="T163" s="1303">
        <v>31223.88</v>
      </c>
      <c r="U163" s="1302"/>
      <c r="V163" s="1303">
        <v>29957.99</v>
      </c>
      <c r="W163" s="1302"/>
      <c r="X163" s="1303">
        <v>28692.080000000002</v>
      </c>
      <c r="Y163" s="1302"/>
      <c r="Z163" s="1303">
        <v>32586.41</v>
      </c>
      <c r="AA163" s="1302"/>
      <c r="AB163" s="1303">
        <v>24450.19</v>
      </c>
      <c r="AC163" s="1302"/>
      <c r="AD163" s="1303">
        <v>30046.01</v>
      </c>
      <c r="AE163" s="1302"/>
      <c r="AF163" s="1303">
        <v>31592.11</v>
      </c>
      <c r="AG163" s="1302"/>
      <c r="AH163" s="1303">
        <f t="shared" ref="AH163:AH169" si="18">AF163+AD163+AB163+Z163+X163+V163+T163+R163+P163+N163+L163+J163</f>
        <v>357072.7</v>
      </c>
      <c r="AI163" s="1304">
        <f t="shared" ref="AI163:AI169" si="19">IF(AH$65=0,0,AH163/AH$65)</f>
        <v>1.0439407867194699E-2</v>
      </c>
      <c r="AJ163" s="12"/>
    </row>
    <row r="164" spans="2:36" s="407" customFormat="1" outlineLevel="1">
      <c r="B164" s="24" t="s">
        <v>397</v>
      </c>
      <c r="D164" s="1298">
        <v>56050</v>
      </c>
      <c r="E164" s="1298" t="s">
        <v>166</v>
      </c>
      <c r="F164" s="1299"/>
      <c r="G164" s="1300"/>
      <c r="H164" s="1301"/>
      <c r="I164" s="1302"/>
      <c r="J164" s="1303">
        <v>2324.7199999999998</v>
      </c>
      <c r="K164" s="1302"/>
      <c r="L164" s="1303">
        <v>1832.77</v>
      </c>
      <c r="M164" s="1302"/>
      <c r="N164" s="1303">
        <v>2204.39</v>
      </c>
      <c r="O164" s="1302"/>
      <c r="P164" s="1303">
        <v>2071.9899999999998</v>
      </c>
      <c r="Q164" s="1302"/>
      <c r="R164" s="1303">
        <v>2353.3200000000002</v>
      </c>
      <c r="S164" s="1302"/>
      <c r="T164" s="1303">
        <v>2190.52</v>
      </c>
      <c r="U164" s="1302"/>
      <c r="V164" s="1303">
        <v>2313.38</v>
      </c>
      <c r="W164" s="1302"/>
      <c r="X164" s="1303">
        <v>2623.28</v>
      </c>
      <c r="Y164" s="1302"/>
      <c r="Z164" s="1303">
        <v>2893.57</v>
      </c>
      <c r="AA164" s="1302"/>
      <c r="AB164" s="1303">
        <v>1907.76</v>
      </c>
      <c r="AC164" s="1302"/>
      <c r="AD164" s="1303">
        <v>2395.1999999999998</v>
      </c>
      <c r="AE164" s="1302"/>
      <c r="AF164" s="1303">
        <v>2512.16</v>
      </c>
      <c r="AG164" s="1302"/>
      <c r="AH164" s="1303">
        <f t="shared" si="18"/>
        <v>27623.06</v>
      </c>
      <c r="AI164" s="1304">
        <f t="shared" si="19"/>
        <v>8.0759013467002997E-4</v>
      </c>
      <c r="AJ164" s="12"/>
    </row>
    <row r="165" spans="2:36" s="407" customFormat="1" outlineLevel="1">
      <c r="B165" s="24" t="s">
        <v>397</v>
      </c>
      <c r="D165" s="1298">
        <v>56060</v>
      </c>
      <c r="E165" s="1298" t="s">
        <v>75</v>
      </c>
      <c r="F165" s="1299"/>
      <c r="G165" s="1300"/>
      <c r="H165" s="1301"/>
      <c r="I165" s="1302"/>
      <c r="J165" s="1303">
        <v>4993.6899999999996</v>
      </c>
      <c r="K165" s="1302"/>
      <c r="L165" s="1303">
        <v>5162.42</v>
      </c>
      <c r="M165" s="1302"/>
      <c r="N165" s="1303">
        <v>5162.42</v>
      </c>
      <c r="O165" s="1302"/>
      <c r="P165" s="1303">
        <v>5143.92</v>
      </c>
      <c r="Q165" s="1302"/>
      <c r="R165" s="1303">
        <v>5233.75</v>
      </c>
      <c r="S165" s="1302"/>
      <c r="T165" s="1303">
        <v>4815.8</v>
      </c>
      <c r="U165" s="1302"/>
      <c r="V165" s="1303">
        <v>5162.42</v>
      </c>
      <c r="W165" s="1302"/>
      <c r="X165" s="1303">
        <v>5163.78</v>
      </c>
      <c r="Y165" s="1302"/>
      <c r="Z165" s="1303">
        <v>5413.1</v>
      </c>
      <c r="AA165" s="1302"/>
      <c r="AB165" s="1303">
        <v>4198.92</v>
      </c>
      <c r="AC165" s="1302"/>
      <c r="AD165" s="1303">
        <v>5231.97</v>
      </c>
      <c r="AE165" s="1302"/>
      <c r="AF165" s="1303">
        <v>5784.68</v>
      </c>
      <c r="AG165" s="1302"/>
      <c r="AH165" s="1303">
        <f t="shared" si="18"/>
        <v>61466.87</v>
      </c>
      <c r="AI165" s="1304">
        <f t="shared" si="19"/>
        <v>1.7970506461284603E-3</v>
      </c>
      <c r="AJ165" s="12"/>
    </row>
    <row r="166" spans="2:36" s="407" customFormat="1" outlineLevel="1">
      <c r="B166" s="24" t="s">
        <v>397</v>
      </c>
      <c r="D166" s="1298">
        <v>56065</v>
      </c>
      <c r="E166" s="1298" t="s">
        <v>21</v>
      </c>
      <c r="F166" s="1299"/>
      <c r="G166" s="1300"/>
      <c r="H166" s="1301"/>
      <c r="I166" s="1302"/>
      <c r="J166" s="1303">
        <v>-1928.56</v>
      </c>
      <c r="K166" s="1302"/>
      <c r="L166" s="1303">
        <v>-2141.02</v>
      </c>
      <c r="M166" s="1302"/>
      <c r="N166" s="1303">
        <v>-282.95999999999998</v>
      </c>
      <c r="O166" s="1302"/>
      <c r="P166" s="1303">
        <v>-2746.46</v>
      </c>
      <c r="Q166" s="1302"/>
      <c r="R166" s="1303">
        <v>5506.24</v>
      </c>
      <c r="S166" s="1302"/>
      <c r="T166" s="1303">
        <v>0</v>
      </c>
      <c r="U166" s="1302"/>
      <c r="V166" s="1303">
        <v>-1071.24</v>
      </c>
      <c r="W166" s="1302"/>
      <c r="X166" s="1303">
        <v>4851.5600000000004</v>
      </c>
      <c r="Y166" s="1302"/>
      <c r="Z166" s="1303">
        <v>0</v>
      </c>
      <c r="AA166" s="1302"/>
      <c r="AB166" s="1303">
        <v>0</v>
      </c>
      <c r="AC166" s="1302"/>
      <c r="AD166" s="1303">
        <v>0</v>
      </c>
      <c r="AE166" s="1302"/>
      <c r="AF166" s="1303">
        <v>0</v>
      </c>
      <c r="AG166" s="1302"/>
      <c r="AH166" s="1303">
        <f t="shared" si="18"/>
        <v>2187.5600000000009</v>
      </c>
      <c r="AI166" s="1304">
        <f t="shared" si="19"/>
        <v>6.3955690462923781E-5</v>
      </c>
      <c r="AJ166" s="12"/>
    </row>
    <row r="167" spans="2:36" s="407" customFormat="1" outlineLevel="1">
      <c r="B167" s="24" t="s">
        <v>397</v>
      </c>
      <c r="D167" s="1298">
        <v>56115</v>
      </c>
      <c r="E167" s="1298" t="s">
        <v>120</v>
      </c>
      <c r="F167" s="1299"/>
      <c r="G167" s="1300"/>
      <c r="H167" s="1301"/>
      <c r="I167" s="1302"/>
      <c r="J167" s="1303">
        <v>1139.3699999999999</v>
      </c>
      <c r="K167" s="1302"/>
      <c r="L167" s="1303">
        <v>759.58</v>
      </c>
      <c r="M167" s="1302"/>
      <c r="N167" s="1303">
        <v>759.58</v>
      </c>
      <c r="O167" s="1302"/>
      <c r="P167" s="1303">
        <v>759.58</v>
      </c>
      <c r="Q167" s="1302"/>
      <c r="R167" s="1303">
        <v>1139.3699999999999</v>
      </c>
      <c r="S167" s="1302"/>
      <c r="T167" s="1303">
        <v>759.58</v>
      </c>
      <c r="U167" s="1302"/>
      <c r="V167" s="1303">
        <v>759.58</v>
      </c>
      <c r="W167" s="1302"/>
      <c r="X167" s="1303">
        <v>759.58</v>
      </c>
      <c r="Y167" s="1302"/>
      <c r="Z167" s="1303">
        <v>1278.51</v>
      </c>
      <c r="AA167" s="1302"/>
      <c r="AB167" s="1303">
        <v>1499.44</v>
      </c>
      <c r="AC167" s="1302"/>
      <c r="AD167" s="1303">
        <v>1210.4100000000001</v>
      </c>
      <c r="AE167" s="1302"/>
      <c r="AF167" s="1303">
        <v>930.38</v>
      </c>
      <c r="AG167" s="1302"/>
      <c r="AH167" s="1303">
        <f t="shared" si="18"/>
        <v>11754.96</v>
      </c>
      <c r="AI167" s="1304">
        <f t="shared" si="19"/>
        <v>3.4366901166781722E-4</v>
      </c>
      <c r="AJ167" s="12"/>
    </row>
    <row r="168" spans="2:36" s="407" customFormat="1" outlineLevel="1">
      <c r="B168" s="24" t="s">
        <v>397</v>
      </c>
      <c r="D168" s="1298">
        <v>56142</v>
      </c>
      <c r="E168" s="1298" t="s">
        <v>51</v>
      </c>
      <c r="F168" s="1299"/>
      <c r="G168" s="1300"/>
      <c r="H168" s="1301"/>
      <c r="I168" s="1302"/>
      <c r="J168" s="1303">
        <v>0</v>
      </c>
      <c r="K168" s="1302"/>
      <c r="L168" s="1303">
        <v>0</v>
      </c>
      <c r="M168" s="1302"/>
      <c r="N168" s="1303">
        <v>0</v>
      </c>
      <c r="O168" s="1302"/>
      <c r="P168" s="1303">
        <v>0</v>
      </c>
      <c r="Q168" s="1302"/>
      <c r="R168" s="1303">
        <v>0</v>
      </c>
      <c r="S168" s="1302"/>
      <c r="T168" s="1303">
        <v>0</v>
      </c>
      <c r="U168" s="1302"/>
      <c r="V168" s="1303">
        <v>0</v>
      </c>
      <c r="W168" s="1302"/>
      <c r="X168" s="1303">
        <v>0</v>
      </c>
      <c r="Y168" s="1302"/>
      <c r="Z168" s="1303">
        <v>0</v>
      </c>
      <c r="AA168" s="1302"/>
      <c r="AB168" s="1303">
        <v>0</v>
      </c>
      <c r="AC168" s="1302"/>
      <c r="AD168" s="1303">
        <v>58.02</v>
      </c>
      <c r="AE168" s="1302"/>
      <c r="AF168" s="1303">
        <v>0</v>
      </c>
      <c r="AG168" s="1302"/>
      <c r="AH168" s="1303">
        <f t="shared" si="18"/>
        <v>58.02</v>
      </c>
      <c r="AI168" s="1304">
        <f t="shared" si="19"/>
        <v>1.6962776612567595E-6</v>
      </c>
      <c r="AJ168" s="12"/>
    </row>
    <row r="169" spans="2:36" s="407" customFormat="1" outlineLevel="1">
      <c r="B169" s="24" t="s">
        <v>397</v>
      </c>
      <c r="D169" s="1298">
        <v>56200</v>
      </c>
      <c r="E169" s="1298" t="s">
        <v>59</v>
      </c>
      <c r="F169" s="1299"/>
      <c r="G169" s="1300"/>
      <c r="H169" s="1301"/>
      <c r="I169" s="1302"/>
      <c r="J169" s="1303">
        <v>0</v>
      </c>
      <c r="K169" s="1302"/>
      <c r="L169" s="1303">
        <v>205.72</v>
      </c>
      <c r="M169" s="1302"/>
      <c r="N169" s="1303">
        <v>0</v>
      </c>
      <c r="O169" s="1302"/>
      <c r="P169" s="1303">
        <v>0</v>
      </c>
      <c r="Q169" s="1302"/>
      <c r="R169" s="1303">
        <v>0</v>
      </c>
      <c r="S169" s="1302"/>
      <c r="T169" s="1303">
        <v>0</v>
      </c>
      <c r="U169" s="1302"/>
      <c r="V169" s="1303">
        <v>0</v>
      </c>
      <c r="W169" s="1302"/>
      <c r="X169" s="1303">
        <v>0</v>
      </c>
      <c r="Y169" s="1302"/>
      <c r="Z169" s="1303">
        <v>0</v>
      </c>
      <c r="AA169" s="1302"/>
      <c r="AB169" s="1303">
        <v>0</v>
      </c>
      <c r="AC169" s="1302"/>
      <c r="AD169" s="1303">
        <v>0</v>
      </c>
      <c r="AE169" s="1302"/>
      <c r="AF169" s="1303">
        <v>0</v>
      </c>
      <c r="AG169" s="1302"/>
      <c r="AH169" s="1303">
        <f t="shared" si="18"/>
        <v>205.72</v>
      </c>
      <c r="AI169" s="1304">
        <f t="shared" si="19"/>
        <v>6.0144474400851519E-6</v>
      </c>
      <c r="AJ169" s="12"/>
    </row>
    <row r="170" spans="2:36" s="8" customFormat="1" ht="5.0999999999999996" customHeight="1" outlineLevel="1">
      <c r="B170" s="2" t="s">
        <v>194</v>
      </c>
      <c r="D170" s="1299"/>
      <c r="E170" s="1299"/>
      <c r="F170" s="1299"/>
      <c r="G170" s="1299"/>
      <c r="H170" s="1301"/>
      <c r="I170" s="1301"/>
      <c r="J170" s="1311"/>
      <c r="K170" s="1309"/>
      <c r="L170" s="1311"/>
      <c r="M170" s="1309"/>
      <c r="N170" s="1311"/>
      <c r="O170" s="1309"/>
      <c r="P170" s="1311"/>
      <c r="Q170" s="1309"/>
      <c r="R170" s="1311"/>
      <c r="S170" s="1309"/>
      <c r="T170" s="1311"/>
      <c r="U170" s="1309"/>
      <c r="V170" s="1311"/>
      <c r="W170" s="1309"/>
      <c r="X170" s="1311"/>
      <c r="Y170" s="1309"/>
      <c r="Z170" s="1311"/>
      <c r="AA170" s="1309"/>
      <c r="AB170" s="1311"/>
      <c r="AC170" s="1309"/>
      <c r="AD170" s="1311"/>
      <c r="AE170" s="1309"/>
      <c r="AF170" s="1311"/>
      <c r="AG170" s="1309"/>
      <c r="AH170" s="1311"/>
      <c r="AI170" s="1306"/>
      <c r="AJ170" s="15"/>
    </row>
    <row r="171" spans="2:36" s="8" customFormat="1" ht="15">
      <c r="B171" s="2" t="s">
        <v>194</v>
      </c>
      <c r="D171" s="1301"/>
      <c r="E171" s="1301"/>
      <c r="F171" s="1299" t="s">
        <v>241</v>
      </c>
      <c r="G171" s="1301"/>
      <c r="H171" s="1301"/>
      <c r="I171" s="1301"/>
      <c r="J171" s="1308">
        <f>SUM(J162:J170)</f>
        <v>37753.100000000006</v>
      </c>
      <c r="K171" s="1309"/>
      <c r="L171" s="1308">
        <f>SUM(L162:L170)</f>
        <v>34511.560000000005</v>
      </c>
      <c r="M171" s="1309"/>
      <c r="N171" s="1308">
        <f>SUM(N162:N170)</f>
        <v>37801.4</v>
      </c>
      <c r="O171" s="1309"/>
      <c r="P171" s="1308">
        <f>SUM(P162:P170)</f>
        <v>36452.92</v>
      </c>
      <c r="Q171" s="1309"/>
      <c r="R171" s="1308">
        <f>SUM(R162:R170)</f>
        <v>41658.880000000005</v>
      </c>
      <c r="S171" s="1309"/>
      <c r="T171" s="1308">
        <f>SUM(T162:T170)</f>
        <v>38989.780000000006</v>
      </c>
      <c r="U171" s="1309"/>
      <c r="V171" s="1308">
        <f>SUM(V162:V170)</f>
        <v>37122.130000000005</v>
      </c>
      <c r="W171" s="1309"/>
      <c r="X171" s="1308">
        <f>SUM(X162:X170)</f>
        <v>42090.28</v>
      </c>
      <c r="Y171" s="1309"/>
      <c r="Z171" s="1308">
        <f>SUM(Z162:Z170)</f>
        <v>42171.590000000004</v>
      </c>
      <c r="AA171" s="1309"/>
      <c r="AB171" s="1308">
        <f>SUM(AB162:AB170)</f>
        <v>32056.309999999994</v>
      </c>
      <c r="AC171" s="1309"/>
      <c r="AD171" s="1308">
        <f>SUM(AD162:AD170)</f>
        <v>38941.61</v>
      </c>
      <c r="AE171" s="1309"/>
      <c r="AF171" s="1308">
        <f>SUM(AF162:AF170)</f>
        <v>40819.33</v>
      </c>
      <c r="AG171" s="1309"/>
      <c r="AH171" s="1308">
        <f>SUM(AH162:AH170)</f>
        <v>460368.89</v>
      </c>
      <c r="AI171" s="1304">
        <f>IF(AH$65=0,0,AH171/AH$65)</f>
        <v>1.3459384075225274E-2</v>
      </c>
      <c r="AJ171" s="15"/>
    </row>
    <row r="172" spans="2:36" s="8" customFormat="1" ht="15" outlineLevel="1">
      <c r="B172" s="2"/>
      <c r="D172" s="1301"/>
      <c r="E172" s="1301"/>
      <c r="F172" s="1301"/>
      <c r="G172" s="1301"/>
      <c r="H172" s="1301"/>
      <c r="I172" s="1301"/>
      <c r="J172" s="1310"/>
      <c r="K172" s="1309"/>
      <c r="L172" s="1310"/>
      <c r="M172" s="1309"/>
      <c r="N172" s="1310"/>
      <c r="O172" s="1309"/>
      <c r="P172" s="1310"/>
      <c r="Q172" s="1309"/>
      <c r="R172" s="1310"/>
      <c r="S172" s="1309"/>
      <c r="T172" s="1310"/>
      <c r="U172" s="1309"/>
      <c r="V172" s="1310"/>
      <c r="W172" s="1309"/>
      <c r="X172" s="1310"/>
      <c r="Y172" s="1309"/>
      <c r="Z172" s="1310"/>
      <c r="AA172" s="1309"/>
      <c r="AB172" s="1310"/>
      <c r="AC172" s="1309"/>
      <c r="AD172" s="1310"/>
      <c r="AE172" s="1309"/>
      <c r="AF172" s="1310"/>
      <c r="AG172" s="1309"/>
      <c r="AH172" s="1310"/>
      <c r="AI172" s="1306"/>
      <c r="AJ172" s="15"/>
    </row>
    <row r="173" spans="2:36" s="8" customFormat="1" ht="15" outlineLevel="1">
      <c r="B173" s="2" t="s">
        <v>194</v>
      </c>
      <c r="D173" s="1301"/>
      <c r="E173" s="1301"/>
      <c r="F173" s="1301"/>
      <c r="G173" s="1301"/>
      <c r="H173" s="1301"/>
      <c r="I173" s="1301"/>
      <c r="J173" s="1310"/>
      <c r="K173" s="1309"/>
      <c r="L173" s="1310"/>
      <c r="M173" s="1309"/>
      <c r="N173" s="1310"/>
      <c r="O173" s="1309"/>
      <c r="P173" s="1310"/>
      <c r="Q173" s="1309"/>
      <c r="R173" s="1310"/>
      <c r="S173" s="1309"/>
      <c r="T173" s="1310"/>
      <c r="U173" s="1309"/>
      <c r="V173" s="1310"/>
      <c r="W173" s="1309"/>
      <c r="X173" s="1310"/>
      <c r="Y173" s="1309"/>
      <c r="Z173" s="1310"/>
      <c r="AA173" s="1309"/>
      <c r="AB173" s="1310"/>
      <c r="AC173" s="1309"/>
      <c r="AD173" s="1310"/>
      <c r="AE173" s="1309"/>
      <c r="AF173" s="1310"/>
      <c r="AG173" s="1309"/>
      <c r="AH173" s="1310"/>
      <c r="AI173" s="1306"/>
      <c r="AJ173" s="15"/>
    </row>
    <row r="174" spans="2:36" s="407" customFormat="1" outlineLevel="1">
      <c r="B174" s="24" t="s">
        <v>414</v>
      </c>
      <c r="D174" s="1298">
        <v>57125</v>
      </c>
      <c r="E174" s="1298" t="s">
        <v>62</v>
      </c>
      <c r="F174" s="1299"/>
      <c r="G174" s="1300"/>
      <c r="H174" s="1301"/>
      <c r="I174" s="1302"/>
      <c r="J174" s="1303">
        <v>47.1</v>
      </c>
      <c r="K174" s="1302"/>
      <c r="L174" s="1303">
        <v>0</v>
      </c>
      <c r="M174" s="1302"/>
      <c r="N174" s="1303">
        <v>0</v>
      </c>
      <c r="O174" s="1302"/>
      <c r="P174" s="1303">
        <v>1986.15</v>
      </c>
      <c r="Q174" s="1302"/>
      <c r="R174" s="1303">
        <v>393.24</v>
      </c>
      <c r="S174" s="1302"/>
      <c r="T174" s="1303">
        <v>0</v>
      </c>
      <c r="U174" s="1302"/>
      <c r="V174" s="1303">
        <v>1709.54</v>
      </c>
      <c r="W174" s="1302"/>
      <c r="X174" s="1303">
        <v>0</v>
      </c>
      <c r="Y174" s="1302"/>
      <c r="Z174" s="1303">
        <v>425.4</v>
      </c>
      <c r="AA174" s="1302"/>
      <c r="AB174" s="1303">
        <v>0</v>
      </c>
      <c r="AC174" s="1302"/>
      <c r="AD174" s="1303">
        <v>0</v>
      </c>
      <c r="AE174" s="1302"/>
      <c r="AF174" s="1303">
        <v>663.39</v>
      </c>
      <c r="AG174" s="1302"/>
      <c r="AH174" s="1303">
        <f t="shared" ref="AH174:AH183" si="20">AF174+AD174+AB174+Z174+X174+V174+T174+R174+P174+N174+L174+J174</f>
        <v>5224.82</v>
      </c>
      <c r="AI174" s="1304">
        <f t="shared" ref="AI174:AI183" si="21">IF(AH$65=0,0,AH174/AH$65)</f>
        <v>1.5275328249030577E-4</v>
      </c>
      <c r="AJ174" s="12"/>
    </row>
    <row r="175" spans="2:36" s="407" customFormat="1" outlineLevel="1">
      <c r="B175" s="24" t="s">
        <v>397</v>
      </c>
      <c r="D175" s="1298">
        <v>57147</v>
      </c>
      <c r="E175" s="1298" t="s">
        <v>242</v>
      </c>
      <c r="F175" s="1299"/>
      <c r="G175" s="1300"/>
      <c r="H175" s="1301"/>
      <c r="I175" s="1302"/>
      <c r="J175" s="1303">
        <v>11204.2</v>
      </c>
      <c r="K175" s="1302"/>
      <c r="L175" s="1303">
        <v>13911.47</v>
      </c>
      <c r="M175" s="1302"/>
      <c r="N175" s="1303">
        <v>10677.7</v>
      </c>
      <c r="O175" s="1302"/>
      <c r="P175" s="1303">
        <v>9301.82</v>
      </c>
      <c r="Q175" s="1302"/>
      <c r="R175" s="1303">
        <v>14362.73</v>
      </c>
      <c r="S175" s="1302"/>
      <c r="T175" s="1303">
        <v>11301.05</v>
      </c>
      <c r="U175" s="1302"/>
      <c r="V175" s="1303">
        <v>9180.73</v>
      </c>
      <c r="W175" s="1302"/>
      <c r="X175" s="1303">
        <v>12965.25</v>
      </c>
      <c r="Y175" s="1302"/>
      <c r="Z175" s="1303">
        <v>9926.0499999999993</v>
      </c>
      <c r="AA175" s="1302"/>
      <c r="AB175" s="1303">
        <v>7376.8</v>
      </c>
      <c r="AC175" s="1302"/>
      <c r="AD175" s="1303">
        <v>14416.78</v>
      </c>
      <c r="AE175" s="1302"/>
      <c r="AF175" s="1303">
        <v>12593.69</v>
      </c>
      <c r="AG175" s="1302"/>
      <c r="AH175" s="1303">
        <f t="shared" si="20"/>
        <v>137218.26999999999</v>
      </c>
      <c r="AI175" s="1304">
        <f t="shared" si="21"/>
        <v>4.0117250278748455E-3</v>
      </c>
      <c r="AJ175" s="12"/>
    </row>
    <row r="176" spans="2:36" s="407" customFormat="1" outlineLevel="1">
      <c r="B176" s="24" t="s">
        <v>397</v>
      </c>
      <c r="D176" s="1298">
        <v>57165</v>
      </c>
      <c r="E176" s="1298" t="s">
        <v>235</v>
      </c>
      <c r="F176" s="1299"/>
      <c r="G176" s="1300"/>
      <c r="H176" s="1301"/>
      <c r="I176" s="1302"/>
      <c r="J176" s="1303">
        <v>2636.69</v>
      </c>
      <c r="K176" s="1302"/>
      <c r="L176" s="1303">
        <v>3658.5</v>
      </c>
      <c r="M176" s="1302"/>
      <c r="N176" s="1303">
        <v>1964.9</v>
      </c>
      <c r="O176" s="1302"/>
      <c r="P176" s="1303">
        <v>1964.9</v>
      </c>
      <c r="Q176" s="1302"/>
      <c r="R176" s="1303">
        <v>1964.91</v>
      </c>
      <c r="S176" s="1302"/>
      <c r="T176" s="1303">
        <v>1824.85</v>
      </c>
      <c r="U176" s="1302"/>
      <c r="V176" s="1303">
        <v>1964.9</v>
      </c>
      <c r="W176" s="1302"/>
      <c r="X176" s="1303">
        <v>2006.24</v>
      </c>
      <c r="Y176" s="1302"/>
      <c r="Z176" s="1303">
        <v>964.9</v>
      </c>
      <c r="AA176" s="1302"/>
      <c r="AB176" s="1303">
        <v>1847.29</v>
      </c>
      <c r="AC176" s="1302"/>
      <c r="AD176" s="1303">
        <v>1964.14</v>
      </c>
      <c r="AE176" s="1302"/>
      <c r="AF176" s="1303">
        <v>1998.18</v>
      </c>
      <c r="AG176" s="1302"/>
      <c r="AH176" s="1303">
        <f t="shared" si="20"/>
        <v>24760.400000000001</v>
      </c>
      <c r="AI176" s="1304">
        <f t="shared" si="21"/>
        <v>7.2389716311240719E-4</v>
      </c>
      <c r="AJ176" s="12"/>
    </row>
    <row r="177" spans="2:36" s="407" customFormat="1" outlineLevel="1">
      <c r="B177" s="24" t="s">
        <v>397</v>
      </c>
      <c r="D177" s="1298">
        <v>57170</v>
      </c>
      <c r="E177" s="1298" t="s">
        <v>637</v>
      </c>
      <c r="F177" s="1299"/>
      <c r="G177" s="1300"/>
      <c r="H177" s="1301"/>
      <c r="I177" s="1302"/>
      <c r="J177" s="1303">
        <v>0</v>
      </c>
      <c r="K177" s="1302"/>
      <c r="L177" s="1303">
        <v>0</v>
      </c>
      <c r="M177" s="1302"/>
      <c r="N177" s="1303">
        <v>0</v>
      </c>
      <c r="O177" s="1302"/>
      <c r="P177" s="1303">
        <v>0</v>
      </c>
      <c r="Q177" s="1302"/>
      <c r="R177" s="1303">
        <v>0</v>
      </c>
      <c r="S177" s="1302"/>
      <c r="T177" s="1303">
        <v>0</v>
      </c>
      <c r="U177" s="1302"/>
      <c r="V177" s="1303">
        <v>0</v>
      </c>
      <c r="W177" s="1302"/>
      <c r="X177" s="1303">
        <v>0</v>
      </c>
      <c r="Y177" s="1302"/>
      <c r="Z177" s="1303">
        <v>1131.58</v>
      </c>
      <c r="AA177" s="1302"/>
      <c r="AB177" s="1303">
        <v>1131.58</v>
      </c>
      <c r="AC177" s="1302"/>
      <c r="AD177" s="1303">
        <v>1131.58</v>
      </c>
      <c r="AE177" s="1302"/>
      <c r="AF177" s="1303">
        <v>1131.58</v>
      </c>
      <c r="AG177" s="1302"/>
      <c r="AH177" s="1303">
        <f t="shared" si="20"/>
        <v>4526.32</v>
      </c>
      <c r="AI177" s="1304">
        <f t="shared" si="21"/>
        <v>1.3233187700275239E-4</v>
      </c>
      <c r="AJ177" s="12"/>
    </row>
    <row r="178" spans="2:36" s="407" customFormat="1" outlineLevel="1">
      <c r="B178" s="24" t="s">
        <v>397</v>
      </c>
      <c r="D178" s="1298">
        <v>57175</v>
      </c>
      <c r="E178" s="1298" t="s">
        <v>550</v>
      </c>
      <c r="F178" s="1299"/>
      <c r="G178" s="1300"/>
      <c r="H178" s="1301"/>
      <c r="I178" s="1302"/>
      <c r="J178" s="1303">
        <v>210.72</v>
      </c>
      <c r="K178" s="1302"/>
      <c r="L178" s="1303">
        <v>1285.43</v>
      </c>
      <c r="M178" s="1302"/>
      <c r="N178" s="1303">
        <v>2010.72</v>
      </c>
      <c r="O178" s="1302"/>
      <c r="P178" s="1303">
        <v>-1589.28</v>
      </c>
      <c r="Q178" s="1302"/>
      <c r="R178" s="1303">
        <v>210.72</v>
      </c>
      <c r="S178" s="1302"/>
      <c r="T178" s="1303">
        <v>210.72</v>
      </c>
      <c r="U178" s="1302"/>
      <c r="V178" s="1303">
        <v>210.72</v>
      </c>
      <c r="W178" s="1302"/>
      <c r="X178" s="1303">
        <v>210.72</v>
      </c>
      <c r="Y178" s="1302"/>
      <c r="Z178" s="1303">
        <v>210.72</v>
      </c>
      <c r="AA178" s="1302"/>
      <c r="AB178" s="1303">
        <v>2020.2</v>
      </c>
      <c r="AC178" s="1302"/>
      <c r="AD178" s="1303">
        <v>210.77</v>
      </c>
      <c r="AE178" s="1302"/>
      <c r="AF178" s="1303">
        <v>359.49</v>
      </c>
      <c r="AG178" s="1302"/>
      <c r="AH178" s="1303">
        <f t="shared" si="20"/>
        <v>5561.65</v>
      </c>
      <c r="AI178" s="1304">
        <f t="shared" si="21"/>
        <v>1.6260087305633669E-4</v>
      </c>
      <c r="AJ178" s="12"/>
    </row>
    <row r="179" spans="2:36" s="407" customFormat="1" outlineLevel="1">
      <c r="B179" s="24" t="s">
        <v>397</v>
      </c>
      <c r="D179" s="1298">
        <v>57254</v>
      </c>
      <c r="E179" s="1298" t="s">
        <v>432</v>
      </c>
      <c r="F179" s="1299"/>
      <c r="G179" s="1300"/>
      <c r="H179" s="1301"/>
      <c r="I179" s="1302"/>
      <c r="J179" s="1303">
        <v>4862.09</v>
      </c>
      <c r="K179" s="1302"/>
      <c r="L179" s="1303">
        <v>4862.08</v>
      </c>
      <c r="M179" s="1302"/>
      <c r="N179" s="1303">
        <v>4862.09</v>
      </c>
      <c r="O179" s="1302"/>
      <c r="P179" s="1303">
        <v>4862.08</v>
      </c>
      <c r="Q179" s="1302"/>
      <c r="R179" s="1303">
        <v>4862.09</v>
      </c>
      <c r="S179" s="1302"/>
      <c r="T179" s="1303">
        <v>4862.09</v>
      </c>
      <c r="U179" s="1302"/>
      <c r="V179" s="1303">
        <v>4862.08</v>
      </c>
      <c r="W179" s="1302"/>
      <c r="X179" s="1303">
        <v>4862.09</v>
      </c>
      <c r="Y179" s="1302"/>
      <c r="Z179" s="1303">
        <v>3885.59</v>
      </c>
      <c r="AA179" s="1302"/>
      <c r="AB179" s="1303">
        <v>3885.6</v>
      </c>
      <c r="AC179" s="1302"/>
      <c r="AD179" s="1303">
        <v>3885.6</v>
      </c>
      <c r="AE179" s="1302"/>
      <c r="AF179" s="1303">
        <v>4332.24</v>
      </c>
      <c r="AG179" s="1302"/>
      <c r="AH179" s="1303">
        <f t="shared" si="20"/>
        <v>54885.72</v>
      </c>
      <c r="AI179" s="1304">
        <f t="shared" si="21"/>
        <v>1.6046435842466968E-3</v>
      </c>
      <c r="AJ179" s="12"/>
    </row>
    <row r="180" spans="2:36" s="407" customFormat="1" outlineLevel="1">
      <c r="B180" s="24" t="s">
        <v>397</v>
      </c>
      <c r="D180" s="1298">
        <v>57255</v>
      </c>
      <c r="E180" s="1298" t="s">
        <v>63</v>
      </c>
      <c r="F180" s="1299"/>
      <c r="G180" s="1300"/>
      <c r="H180" s="1301"/>
      <c r="I180" s="1302"/>
      <c r="J180" s="1303">
        <v>0</v>
      </c>
      <c r="K180" s="1302"/>
      <c r="L180" s="1303">
        <v>0</v>
      </c>
      <c r="M180" s="1302"/>
      <c r="N180" s="1303">
        <v>0</v>
      </c>
      <c r="O180" s="1302"/>
      <c r="P180" s="1303">
        <v>3182.63</v>
      </c>
      <c r="Q180" s="1302"/>
      <c r="R180" s="1303">
        <v>0</v>
      </c>
      <c r="S180" s="1302"/>
      <c r="T180" s="1303">
        <v>489.4</v>
      </c>
      <c r="U180" s="1302"/>
      <c r="V180" s="1303">
        <v>10000</v>
      </c>
      <c r="W180" s="1302"/>
      <c r="X180" s="1303">
        <v>424.84</v>
      </c>
      <c r="Y180" s="1302"/>
      <c r="Z180" s="1303">
        <v>0</v>
      </c>
      <c r="AA180" s="1302"/>
      <c r="AB180" s="1303">
        <v>0</v>
      </c>
      <c r="AC180" s="1302"/>
      <c r="AD180" s="1303">
        <v>0</v>
      </c>
      <c r="AE180" s="1302"/>
      <c r="AF180" s="1303">
        <v>445</v>
      </c>
      <c r="AG180" s="1302"/>
      <c r="AH180" s="1303">
        <f t="shared" si="20"/>
        <v>14541.869999999999</v>
      </c>
      <c r="AI180" s="1304">
        <f t="shared" si="21"/>
        <v>4.2514734977421286E-4</v>
      </c>
      <c r="AJ180" s="12"/>
    </row>
    <row r="181" spans="2:36" s="407" customFormat="1" outlineLevel="1">
      <c r="B181" s="24" t="s">
        <v>397</v>
      </c>
      <c r="D181" s="1298">
        <v>57275</v>
      </c>
      <c r="E181" s="1298" t="s">
        <v>243</v>
      </c>
      <c r="F181" s="1299"/>
      <c r="G181" s="1300"/>
      <c r="H181" s="1301"/>
      <c r="I181" s="1302"/>
      <c r="J181" s="1303">
        <v>9102.4500000000007</v>
      </c>
      <c r="K181" s="1302"/>
      <c r="L181" s="1303">
        <v>9102.4500000000007</v>
      </c>
      <c r="M181" s="1302"/>
      <c r="N181" s="1303">
        <v>9102.4500000000007</v>
      </c>
      <c r="O181" s="1302"/>
      <c r="P181" s="1303">
        <v>9102.4500000000007</v>
      </c>
      <c r="Q181" s="1302"/>
      <c r="R181" s="1303">
        <v>5522.18</v>
      </c>
      <c r="S181" s="1302"/>
      <c r="T181" s="1303">
        <v>8704.6299999999992</v>
      </c>
      <c r="U181" s="1302"/>
      <c r="V181" s="1303">
        <v>8704.65</v>
      </c>
      <c r="W181" s="1302"/>
      <c r="X181" s="1303">
        <v>8704.64</v>
      </c>
      <c r="Y181" s="1302"/>
      <c r="Z181" s="1303">
        <v>7923.01</v>
      </c>
      <c r="AA181" s="1302"/>
      <c r="AB181" s="1303">
        <v>7923.01</v>
      </c>
      <c r="AC181" s="1302"/>
      <c r="AD181" s="1303">
        <v>7923.01</v>
      </c>
      <c r="AE181" s="1302"/>
      <c r="AF181" s="1303">
        <v>7923.02</v>
      </c>
      <c r="AG181" s="1302"/>
      <c r="AH181" s="1303">
        <f t="shared" si="20"/>
        <v>99737.95</v>
      </c>
      <c r="AI181" s="1304">
        <f t="shared" si="21"/>
        <v>2.9159472003540778E-3</v>
      </c>
      <c r="AJ181" s="12"/>
    </row>
    <row r="182" spans="2:36" s="407" customFormat="1" outlineLevel="1">
      <c r="B182" s="24" t="s">
        <v>397</v>
      </c>
      <c r="D182" s="1298">
        <v>57357</v>
      </c>
      <c r="E182" s="1298" t="s">
        <v>146</v>
      </c>
      <c r="F182" s="1299"/>
      <c r="G182" s="1300"/>
      <c r="H182" s="1301"/>
      <c r="I182" s="1302"/>
      <c r="J182" s="1303">
        <v>-235</v>
      </c>
      <c r="K182" s="1302"/>
      <c r="L182" s="1303">
        <v>0</v>
      </c>
      <c r="M182" s="1302"/>
      <c r="N182" s="1303">
        <v>88.06</v>
      </c>
      <c r="O182" s="1302"/>
      <c r="P182" s="1303">
        <v>0</v>
      </c>
      <c r="Q182" s="1302"/>
      <c r="R182" s="1303">
        <v>52.73</v>
      </c>
      <c r="S182" s="1302"/>
      <c r="T182" s="1303">
        <v>0</v>
      </c>
      <c r="U182" s="1302"/>
      <c r="V182" s="1303">
        <v>44.03</v>
      </c>
      <c r="W182" s="1302"/>
      <c r="X182" s="1303">
        <v>0</v>
      </c>
      <c r="Y182" s="1302"/>
      <c r="Z182" s="1303">
        <v>44.03</v>
      </c>
      <c r="AA182" s="1302"/>
      <c r="AB182" s="1303">
        <v>0</v>
      </c>
      <c r="AC182" s="1302"/>
      <c r="AD182" s="1303">
        <v>44.03</v>
      </c>
      <c r="AE182" s="1302"/>
      <c r="AF182" s="1303">
        <v>44.03</v>
      </c>
      <c r="AG182" s="1302"/>
      <c r="AH182" s="1303">
        <f t="shared" si="20"/>
        <v>81.909999999999968</v>
      </c>
      <c r="AI182" s="1304">
        <f t="shared" si="21"/>
        <v>2.3947277358417979E-6</v>
      </c>
      <c r="AJ182" s="12"/>
    </row>
    <row r="183" spans="2:36" s="407" customFormat="1" outlineLevel="1">
      <c r="B183" s="24" t="s">
        <v>397</v>
      </c>
      <c r="D183" s="1298">
        <v>57370</v>
      </c>
      <c r="E183" s="1298" t="s">
        <v>244</v>
      </c>
      <c r="F183" s="1299"/>
      <c r="G183" s="1300"/>
      <c r="H183" s="1301"/>
      <c r="I183" s="1302"/>
      <c r="J183" s="1303">
        <v>62.6</v>
      </c>
      <c r="K183" s="1302"/>
      <c r="L183" s="1303">
        <v>62.6</v>
      </c>
      <c r="M183" s="1302"/>
      <c r="N183" s="1303">
        <v>81.05</v>
      </c>
      <c r="O183" s="1302"/>
      <c r="P183" s="1303">
        <v>81.05</v>
      </c>
      <c r="Q183" s="1302"/>
      <c r="R183" s="1303">
        <v>81.05</v>
      </c>
      <c r="S183" s="1302"/>
      <c r="T183" s="1303">
        <v>81.05</v>
      </c>
      <c r="U183" s="1302"/>
      <c r="V183" s="1303">
        <v>81.05</v>
      </c>
      <c r="W183" s="1302"/>
      <c r="X183" s="1303">
        <v>81.05</v>
      </c>
      <c r="Y183" s="1302"/>
      <c r="Z183" s="1303">
        <v>81.47</v>
      </c>
      <c r="AA183" s="1302"/>
      <c r="AB183" s="1303">
        <v>81.47</v>
      </c>
      <c r="AC183" s="1302"/>
      <c r="AD183" s="1303">
        <v>81.47</v>
      </c>
      <c r="AE183" s="1302"/>
      <c r="AF183" s="1303">
        <v>81.47</v>
      </c>
      <c r="AG183" s="1302"/>
      <c r="AH183" s="1303">
        <f t="shared" si="20"/>
        <v>937.37999999999988</v>
      </c>
      <c r="AI183" s="1304">
        <f t="shared" si="21"/>
        <v>2.7405321511700465E-5</v>
      </c>
      <c r="AJ183" s="12"/>
    </row>
    <row r="184" spans="2:36" s="8" customFormat="1" ht="5.0999999999999996" customHeight="1" outlineLevel="1">
      <c r="B184" s="16" t="s">
        <v>194</v>
      </c>
      <c r="D184" s="1299"/>
      <c r="E184" s="1299"/>
      <c r="F184" s="1299"/>
      <c r="G184" s="1299"/>
      <c r="H184" s="1301"/>
      <c r="I184" s="1301"/>
      <c r="J184" s="1311"/>
      <c r="K184" s="1309"/>
      <c r="L184" s="1311"/>
      <c r="M184" s="1309"/>
      <c r="N184" s="1311"/>
      <c r="O184" s="1309"/>
      <c r="P184" s="1311"/>
      <c r="Q184" s="1309"/>
      <c r="R184" s="1311"/>
      <c r="S184" s="1309"/>
      <c r="T184" s="1311"/>
      <c r="U184" s="1309"/>
      <c r="V184" s="1311"/>
      <c r="W184" s="1309"/>
      <c r="X184" s="1311"/>
      <c r="Y184" s="1309"/>
      <c r="Z184" s="1311"/>
      <c r="AA184" s="1309"/>
      <c r="AB184" s="1311"/>
      <c r="AC184" s="1309"/>
      <c r="AD184" s="1311"/>
      <c r="AE184" s="1309"/>
      <c r="AF184" s="1311"/>
      <c r="AG184" s="1309"/>
      <c r="AH184" s="1311"/>
      <c r="AI184" s="1306"/>
      <c r="AJ184" s="15"/>
    </row>
    <row r="185" spans="2:36" s="8" customFormat="1" ht="15">
      <c r="B185" s="16" t="s">
        <v>194</v>
      </c>
      <c r="D185" s="1301"/>
      <c r="E185" s="1301"/>
      <c r="F185" s="1299" t="s">
        <v>245</v>
      </c>
      <c r="G185" s="1301"/>
      <c r="H185" s="1301"/>
      <c r="I185" s="1301"/>
      <c r="J185" s="1308">
        <f>SUM(J173:J184)</f>
        <v>27890.850000000002</v>
      </c>
      <c r="K185" s="1309"/>
      <c r="L185" s="1308">
        <f>SUM(L173:L184)</f>
        <v>32882.530000000006</v>
      </c>
      <c r="M185" s="1309"/>
      <c r="N185" s="1308">
        <f>SUM(N173:N184)</f>
        <v>28786.97</v>
      </c>
      <c r="O185" s="1309"/>
      <c r="P185" s="1308">
        <f>SUM(P173:P184)</f>
        <v>28891.8</v>
      </c>
      <c r="Q185" s="1309"/>
      <c r="R185" s="1308">
        <f>SUM(R173:R184)</f>
        <v>27449.65</v>
      </c>
      <c r="S185" s="1309"/>
      <c r="T185" s="1308">
        <f>SUM(T173:T184)</f>
        <v>27473.789999999997</v>
      </c>
      <c r="U185" s="1309"/>
      <c r="V185" s="1308">
        <f>SUM(V173:V184)</f>
        <v>36757.700000000004</v>
      </c>
      <c r="W185" s="1309"/>
      <c r="X185" s="1308">
        <f>SUM(X173:X184)</f>
        <v>29254.829999999998</v>
      </c>
      <c r="Y185" s="1309"/>
      <c r="Z185" s="1308">
        <f>SUM(Z173:Z184)</f>
        <v>24592.75</v>
      </c>
      <c r="AA185" s="1309"/>
      <c r="AB185" s="1308">
        <f>SUM(AB173:AB184)</f>
        <v>24265.950000000004</v>
      </c>
      <c r="AC185" s="1309"/>
      <c r="AD185" s="1308">
        <f>SUM(AD173:AD184)</f>
        <v>29657.379999999997</v>
      </c>
      <c r="AE185" s="1309"/>
      <c r="AF185" s="1308">
        <f>SUM(AF173:AF184)</f>
        <v>29572.09</v>
      </c>
      <c r="AG185" s="1309"/>
      <c r="AH185" s="1308">
        <f>SUM(AH173:AH184)</f>
        <v>347476.29</v>
      </c>
      <c r="AI185" s="1304">
        <f>IF(AH$65=0,0,AH185/AH$65)</f>
        <v>1.0158846407159177E-2</v>
      </c>
      <c r="AJ185" s="15"/>
    </row>
    <row r="186" spans="2:36" s="8" customFormat="1" ht="15" outlineLevel="1">
      <c r="B186" s="16"/>
      <c r="D186" s="1301"/>
      <c r="E186" s="1301"/>
      <c r="F186" s="1301"/>
      <c r="G186" s="1301"/>
      <c r="H186" s="1301"/>
      <c r="I186" s="1301"/>
      <c r="J186" s="1310"/>
      <c r="K186" s="1309"/>
      <c r="L186" s="1310"/>
      <c r="M186" s="1309"/>
      <c r="N186" s="1310"/>
      <c r="O186" s="1309"/>
      <c r="P186" s="1310"/>
      <c r="Q186" s="1309"/>
      <c r="R186" s="1310"/>
      <c r="S186" s="1309"/>
      <c r="T186" s="1310"/>
      <c r="U186" s="1309"/>
      <c r="V186" s="1310"/>
      <c r="W186" s="1309"/>
      <c r="X186" s="1310"/>
      <c r="Y186" s="1309"/>
      <c r="Z186" s="1310"/>
      <c r="AA186" s="1309"/>
      <c r="AB186" s="1310"/>
      <c r="AC186" s="1309"/>
      <c r="AD186" s="1310"/>
      <c r="AE186" s="1309"/>
      <c r="AF186" s="1310"/>
      <c r="AG186" s="1309"/>
      <c r="AH186" s="1310"/>
      <c r="AI186" s="1306"/>
      <c r="AJ186" s="15"/>
    </row>
    <row r="187" spans="2:36" s="8" customFormat="1" ht="15" outlineLevel="1">
      <c r="B187" s="16"/>
      <c r="D187" s="1317"/>
      <c r="E187" s="1317"/>
      <c r="F187" s="1317"/>
      <c r="G187" s="1317"/>
      <c r="H187" s="1317"/>
      <c r="I187" s="1317"/>
      <c r="J187" s="1318"/>
      <c r="K187" s="1319"/>
      <c r="L187" s="1318"/>
      <c r="M187" s="1319"/>
      <c r="N187" s="1318"/>
      <c r="O187" s="1319"/>
      <c r="P187" s="1318"/>
      <c r="Q187" s="1319"/>
      <c r="R187" s="1318"/>
      <c r="S187" s="1319"/>
      <c r="T187" s="1318"/>
      <c r="U187" s="1319"/>
      <c r="V187" s="1318"/>
      <c r="W187" s="1319"/>
      <c r="X187" s="1318"/>
      <c r="Y187" s="1319"/>
      <c r="Z187" s="1318"/>
      <c r="AA187" s="1319"/>
      <c r="AB187" s="1318"/>
      <c r="AC187" s="1319"/>
      <c r="AD187" s="1318"/>
      <c r="AE187" s="1319"/>
      <c r="AF187" s="1318"/>
      <c r="AG187" s="1319"/>
      <c r="AH187" s="1318"/>
      <c r="AI187" s="1317"/>
      <c r="AJ187" s="18"/>
    </row>
    <row r="188" spans="2:36" s="8" customFormat="1" ht="4.5" customHeight="1" outlineLevel="1">
      <c r="B188" s="16"/>
      <c r="D188" s="1312"/>
      <c r="E188" s="1301"/>
      <c r="F188" s="1301"/>
      <c r="G188" s="1301"/>
      <c r="H188" s="1301"/>
      <c r="I188" s="1301"/>
      <c r="J188" s="1311"/>
      <c r="K188" s="1309"/>
      <c r="L188" s="1311"/>
      <c r="M188" s="1309"/>
      <c r="N188" s="1311"/>
      <c r="O188" s="1309"/>
      <c r="P188" s="1311"/>
      <c r="Q188" s="1309"/>
      <c r="R188" s="1311"/>
      <c r="S188" s="1309"/>
      <c r="T188" s="1311"/>
      <c r="U188" s="1309"/>
      <c r="V188" s="1311"/>
      <c r="W188" s="1309"/>
      <c r="X188" s="1311"/>
      <c r="Y188" s="1309"/>
      <c r="Z188" s="1311"/>
      <c r="AA188" s="1309"/>
      <c r="AB188" s="1311"/>
      <c r="AC188" s="1309"/>
      <c r="AD188" s="1311"/>
      <c r="AE188" s="1309"/>
      <c r="AF188" s="1311"/>
      <c r="AG188" s="1309"/>
      <c r="AH188" s="1311"/>
      <c r="AI188" s="1306"/>
      <c r="AJ188" s="15"/>
    </row>
    <row r="189" spans="2:36" s="8" customFormat="1" ht="15">
      <c r="B189" s="16"/>
      <c r="D189" s="1301"/>
      <c r="E189" s="1301"/>
      <c r="F189" s="1301" t="s">
        <v>246</v>
      </c>
      <c r="G189" s="1301"/>
      <c r="H189" s="1301"/>
      <c r="I189" s="1301"/>
      <c r="J189" s="1308">
        <f>SUM(J187:J188)</f>
        <v>0</v>
      </c>
      <c r="K189" s="1309"/>
      <c r="L189" s="1308">
        <f>SUM(L187:L188)</f>
        <v>0</v>
      </c>
      <c r="M189" s="1309"/>
      <c r="N189" s="1308">
        <f>SUM(N187:N188)</f>
        <v>0</v>
      </c>
      <c r="O189" s="1309"/>
      <c r="P189" s="1308">
        <f>SUM(P187:P188)</f>
        <v>0</v>
      </c>
      <c r="Q189" s="1309"/>
      <c r="R189" s="1308">
        <f>SUM(R187:R188)</f>
        <v>0</v>
      </c>
      <c r="S189" s="1309"/>
      <c r="T189" s="1308">
        <f>SUM(T187:T188)</f>
        <v>0</v>
      </c>
      <c r="U189" s="1309"/>
      <c r="V189" s="1308">
        <f>SUM(V187:V188)</f>
        <v>0</v>
      </c>
      <c r="W189" s="1309"/>
      <c r="X189" s="1308">
        <f>SUM(X187:X188)</f>
        <v>0</v>
      </c>
      <c r="Y189" s="1309"/>
      <c r="Z189" s="1308">
        <f>SUM(Z187:Z188)</f>
        <v>0</v>
      </c>
      <c r="AA189" s="1309"/>
      <c r="AB189" s="1308">
        <f>SUM(AB187:AB188)</f>
        <v>0</v>
      </c>
      <c r="AC189" s="1309"/>
      <c r="AD189" s="1308">
        <f>SUM(AD187:AD188)</f>
        <v>0</v>
      </c>
      <c r="AE189" s="1309"/>
      <c r="AF189" s="1308">
        <f>SUM(AF187:AF188)</f>
        <v>0</v>
      </c>
      <c r="AG189" s="1309"/>
      <c r="AH189" s="1308">
        <f>SUM(AH187:AH188)</f>
        <v>0</v>
      </c>
      <c r="AI189" s="1304">
        <f>IF(AH$65=0,0,AH189/AH$65)</f>
        <v>0</v>
      </c>
      <c r="AJ189" s="15"/>
    </row>
    <row r="190" spans="2:36" s="8" customFormat="1" ht="15" outlineLevel="1">
      <c r="B190" s="16"/>
      <c r="D190" s="1301"/>
      <c r="E190" s="1301"/>
      <c r="F190" s="1301"/>
      <c r="G190" s="1301"/>
      <c r="H190" s="1301"/>
      <c r="I190" s="1301"/>
      <c r="J190" s="1310"/>
      <c r="K190" s="1309"/>
      <c r="L190" s="1310"/>
      <c r="M190" s="1309"/>
      <c r="N190" s="1310"/>
      <c r="O190" s="1309"/>
      <c r="P190" s="1310"/>
      <c r="Q190" s="1309"/>
      <c r="R190" s="1310"/>
      <c r="S190" s="1309"/>
      <c r="T190" s="1310"/>
      <c r="U190" s="1309"/>
      <c r="V190" s="1310"/>
      <c r="W190" s="1309"/>
      <c r="X190" s="1310"/>
      <c r="Y190" s="1309"/>
      <c r="Z190" s="1310"/>
      <c r="AA190" s="1309"/>
      <c r="AB190" s="1310"/>
      <c r="AC190" s="1309"/>
      <c r="AD190" s="1310"/>
      <c r="AE190" s="1309"/>
      <c r="AF190" s="1310"/>
      <c r="AG190" s="1309"/>
      <c r="AH190" s="1310"/>
      <c r="AI190" s="1306"/>
      <c r="AJ190" s="15"/>
    </row>
    <row r="191" spans="2:36" s="8" customFormat="1" ht="15" outlineLevel="1">
      <c r="B191" s="16"/>
      <c r="D191" s="1301"/>
      <c r="E191" s="1301"/>
      <c r="F191" s="1301"/>
      <c r="G191" s="1301"/>
      <c r="H191" s="1301"/>
      <c r="I191" s="1301"/>
      <c r="J191" s="1310"/>
      <c r="K191" s="1309"/>
      <c r="L191" s="1310"/>
      <c r="M191" s="1309"/>
      <c r="N191" s="1310"/>
      <c r="O191" s="1309"/>
      <c r="P191" s="1310"/>
      <c r="Q191" s="1309"/>
      <c r="R191" s="1310"/>
      <c r="S191" s="1309"/>
      <c r="T191" s="1310"/>
      <c r="U191" s="1309"/>
      <c r="V191" s="1310"/>
      <c r="W191" s="1309"/>
      <c r="X191" s="1310"/>
      <c r="Y191" s="1309"/>
      <c r="Z191" s="1310"/>
      <c r="AA191" s="1309"/>
      <c r="AB191" s="1310"/>
      <c r="AC191" s="1309"/>
      <c r="AD191" s="1310"/>
      <c r="AE191" s="1309"/>
      <c r="AF191" s="1310"/>
      <c r="AG191" s="1309"/>
      <c r="AH191" s="1310"/>
      <c r="AI191" s="1306"/>
      <c r="AJ191" s="15"/>
    </row>
    <row r="192" spans="2:36" s="407" customFormat="1" outlineLevel="1">
      <c r="B192" s="24" t="s">
        <v>415</v>
      </c>
      <c r="D192" s="1298">
        <v>59271</v>
      </c>
      <c r="E192" s="1298" t="s">
        <v>549</v>
      </c>
      <c r="F192" s="1299"/>
      <c r="G192" s="1300"/>
      <c r="H192" s="1301"/>
      <c r="I192" s="1302"/>
      <c r="J192" s="1303">
        <v>0</v>
      </c>
      <c r="K192" s="1302"/>
      <c r="L192" s="1303">
        <v>0</v>
      </c>
      <c r="M192" s="1302"/>
      <c r="N192" s="1303">
        <v>0</v>
      </c>
      <c r="O192" s="1302"/>
      <c r="P192" s="1303">
        <v>0</v>
      </c>
      <c r="Q192" s="1302"/>
      <c r="R192" s="1303">
        <v>0</v>
      </c>
      <c r="S192" s="1302"/>
      <c r="T192" s="1303">
        <v>0</v>
      </c>
      <c r="U192" s="1302"/>
      <c r="V192" s="1303">
        <v>1250</v>
      </c>
      <c r="W192" s="1302"/>
      <c r="X192" s="1303">
        <v>0</v>
      </c>
      <c r="Y192" s="1302"/>
      <c r="Z192" s="1303">
        <v>-1250</v>
      </c>
      <c r="AA192" s="1302"/>
      <c r="AB192" s="1303">
        <v>0</v>
      </c>
      <c r="AC192" s="1302"/>
      <c r="AD192" s="1303">
        <v>0</v>
      </c>
      <c r="AE192" s="1302"/>
      <c r="AF192" s="1303">
        <v>0</v>
      </c>
      <c r="AG192" s="1302"/>
      <c r="AH192" s="1303">
        <f t="shared" ref="AH192:AH200" si="22">AF192+AD192+AB192+Z192+X192+V192+T192+R192+P192+N192+L192+J192</f>
        <v>0</v>
      </c>
      <c r="AI192" s="1304">
        <f t="shared" ref="AI192:AI200" si="23">IF(AH$65=0,0,AH192/AH$65)</f>
        <v>0</v>
      </c>
      <c r="AJ192" s="12"/>
    </row>
    <row r="193" spans="2:36" s="407" customFormat="1" outlineLevel="1">
      <c r="B193" s="24" t="s">
        <v>397</v>
      </c>
      <c r="D193" s="1298">
        <v>59340</v>
      </c>
      <c r="E193" s="1298" t="s">
        <v>85</v>
      </c>
      <c r="F193" s="1299"/>
      <c r="G193" s="1300"/>
      <c r="H193" s="1301"/>
      <c r="I193" s="1302"/>
      <c r="J193" s="1303">
        <v>8548.6200000000008</v>
      </c>
      <c r="K193" s="1302"/>
      <c r="L193" s="1303">
        <v>8548.6200000000008</v>
      </c>
      <c r="M193" s="1302"/>
      <c r="N193" s="1303">
        <v>8548.6200000000008</v>
      </c>
      <c r="O193" s="1302"/>
      <c r="P193" s="1303">
        <v>8548.6200000000008</v>
      </c>
      <c r="Q193" s="1302"/>
      <c r="R193" s="1303">
        <v>8548.6200000000008</v>
      </c>
      <c r="S193" s="1302"/>
      <c r="T193" s="1303">
        <v>8548.6200000000008</v>
      </c>
      <c r="U193" s="1302"/>
      <c r="V193" s="1303">
        <v>8548.6200000000008</v>
      </c>
      <c r="W193" s="1302"/>
      <c r="X193" s="1303">
        <v>8548.6200000000008</v>
      </c>
      <c r="Y193" s="1302"/>
      <c r="Z193" s="1303">
        <v>7984.91</v>
      </c>
      <c r="AA193" s="1302"/>
      <c r="AB193" s="1303">
        <v>7984.91</v>
      </c>
      <c r="AC193" s="1302"/>
      <c r="AD193" s="1303">
        <v>7984.91</v>
      </c>
      <c r="AE193" s="1302"/>
      <c r="AF193" s="1303">
        <v>8600.2099999999991</v>
      </c>
      <c r="AG193" s="1302"/>
      <c r="AH193" s="1303">
        <f t="shared" si="22"/>
        <v>100943.89999999998</v>
      </c>
      <c r="AI193" s="1304">
        <f t="shared" si="23"/>
        <v>2.9512044572584653E-3</v>
      </c>
      <c r="AJ193" s="12"/>
    </row>
    <row r="194" spans="2:36" s="407" customFormat="1" outlineLevel="1">
      <c r="B194" s="24" t="s">
        <v>397</v>
      </c>
      <c r="D194" s="1298">
        <v>59341</v>
      </c>
      <c r="E194" s="1298" t="s">
        <v>247</v>
      </c>
      <c r="F194" s="1299"/>
      <c r="G194" s="1300"/>
      <c r="H194" s="1301"/>
      <c r="I194" s="1302"/>
      <c r="J194" s="1303">
        <v>0</v>
      </c>
      <c r="K194" s="1302"/>
      <c r="L194" s="1303">
        <v>-431.33</v>
      </c>
      <c r="M194" s="1302"/>
      <c r="N194" s="1303">
        <v>9500</v>
      </c>
      <c r="O194" s="1302"/>
      <c r="P194" s="1303">
        <v>-333.22</v>
      </c>
      <c r="Q194" s="1302"/>
      <c r="R194" s="1303">
        <v>2405.7199999999998</v>
      </c>
      <c r="S194" s="1302"/>
      <c r="T194" s="1303">
        <v>1360.13</v>
      </c>
      <c r="U194" s="1302"/>
      <c r="V194" s="1303">
        <v>-1250</v>
      </c>
      <c r="W194" s="1302"/>
      <c r="X194" s="1303">
        <v>2250</v>
      </c>
      <c r="Y194" s="1302"/>
      <c r="Z194" s="1303">
        <v>0</v>
      </c>
      <c r="AA194" s="1302"/>
      <c r="AB194" s="1303">
        <v>3750</v>
      </c>
      <c r="AC194" s="1302"/>
      <c r="AD194" s="1303">
        <v>6250</v>
      </c>
      <c r="AE194" s="1302"/>
      <c r="AF194" s="1303">
        <v>1255</v>
      </c>
      <c r="AG194" s="1302"/>
      <c r="AH194" s="1303">
        <f t="shared" si="22"/>
        <v>24756.3</v>
      </c>
      <c r="AI194" s="1304">
        <f t="shared" si="23"/>
        <v>7.2377729516323185E-4</v>
      </c>
      <c r="AJ194" s="12"/>
    </row>
    <row r="195" spans="2:36" s="407" customFormat="1" outlineLevel="1">
      <c r="B195" s="24" t="s">
        <v>397</v>
      </c>
      <c r="D195" s="1298">
        <v>59342</v>
      </c>
      <c r="E195" s="1298" t="s">
        <v>248</v>
      </c>
      <c r="F195" s="1299"/>
      <c r="G195" s="1300"/>
      <c r="H195" s="1301"/>
      <c r="I195" s="1302"/>
      <c r="J195" s="1303">
        <v>0</v>
      </c>
      <c r="K195" s="1302"/>
      <c r="L195" s="1303">
        <v>0</v>
      </c>
      <c r="M195" s="1302"/>
      <c r="N195" s="1303">
        <v>250</v>
      </c>
      <c r="O195" s="1302"/>
      <c r="P195" s="1303">
        <v>0</v>
      </c>
      <c r="Q195" s="1302"/>
      <c r="R195" s="1303">
        <v>0</v>
      </c>
      <c r="S195" s="1302"/>
      <c r="T195" s="1303">
        <v>500</v>
      </c>
      <c r="U195" s="1302"/>
      <c r="V195" s="1303">
        <v>0</v>
      </c>
      <c r="W195" s="1302"/>
      <c r="X195" s="1303">
        <v>27421.41</v>
      </c>
      <c r="Y195" s="1302"/>
      <c r="Z195" s="1303">
        <v>-1045</v>
      </c>
      <c r="AA195" s="1302"/>
      <c r="AB195" s="1303">
        <v>8680</v>
      </c>
      <c r="AC195" s="1302"/>
      <c r="AD195" s="1303">
        <v>8.5</v>
      </c>
      <c r="AE195" s="1302"/>
      <c r="AF195" s="1303">
        <v>1740.72</v>
      </c>
      <c r="AG195" s="1302"/>
      <c r="AH195" s="1303">
        <f t="shared" si="22"/>
        <v>37555.629999999997</v>
      </c>
      <c r="AI195" s="1304">
        <f t="shared" si="23"/>
        <v>1.0979795970945223E-3</v>
      </c>
      <c r="AJ195" s="12"/>
    </row>
    <row r="196" spans="2:36" s="407" customFormat="1" outlineLevel="1">
      <c r="B196" s="24" t="s">
        <v>397</v>
      </c>
      <c r="D196" s="1298">
        <v>59343</v>
      </c>
      <c r="E196" s="1298" t="s">
        <v>249</v>
      </c>
      <c r="F196" s="1299"/>
      <c r="G196" s="1300"/>
      <c r="H196" s="1301"/>
      <c r="I196" s="1302"/>
      <c r="J196" s="1303">
        <v>407.81</v>
      </c>
      <c r="K196" s="1302"/>
      <c r="L196" s="1303">
        <v>-3748.19</v>
      </c>
      <c r="M196" s="1302"/>
      <c r="N196" s="1303">
        <v>992</v>
      </c>
      <c r="O196" s="1302"/>
      <c r="P196" s="1303">
        <v>0</v>
      </c>
      <c r="Q196" s="1302"/>
      <c r="R196" s="1303">
        <v>0</v>
      </c>
      <c r="S196" s="1302"/>
      <c r="T196" s="1303">
        <v>-1613.46</v>
      </c>
      <c r="U196" s="1302"/>
      <c r="V196" s="1303">
        <v>0</v>
      </c>
      <c r="W196" s="1302"/>
      <c r="X196" s="1303">
        <v>0</v>
      </c>
      <c r="Y196" s="1302"/>
      <c r="Z196" s="1303">
        <v>0</v>
      </c>
      <c r="AA196" s="1302"/>
      <c r="AB196" s="1303">
        <v>0</v>
      </c>
      <c r="AC196" s="1302"/>
      <c r="AD196" s="1303">
        <v>0</v>
      </c>
      <c r="AE196" s="1302"/>
      <c r="AF196" s="1303">
        <v>0</v>
      </c>
      <c r="AG196" s="1302"/>
      <c r="AH196" s="1303">
        <f t="shared" si="22"/>
        <v>-3961.8399999999997</v>
      </c>
      <c r="AI196" s="1304">
        <f t="shared" si="23"/>
        <v>-1.1582869164897413E-4</v>
      </c>
      <c r="AJ196" s="12"/>
    </row>
    <row r="197" spans="2:36" s="407" customFormat="1" outlineLevel="1">
      <c r="B197" s="24" t="s">
        <v>397</v>
      </c>
      <c r="D197" s="1298">
        <v>59344</v>
      </c>
      <c r="E197" s="1298" t="s">
        <v>250</v>
      </c>
      <c r="F197" s="1299"/>
      <c r="G197" s="1300"/>
      <c r="H197" s="1301"/>
      <c r="I197" s="1302"/>
      <c r="J197" s="1303">
        <v>0</v>
      </c>
      <c r="K197" s="1302"/>
      <c r="L197" s="1303">
        <v>-3185.74</v>
      </c>
      <c r="M197" s="1302"/>
      <c r="N197" s="1303">
        <v>0</v>
      </c>
      <c r="O197" s="1302"/>
      <c r="P197" s="1303">
        <v>0</v>
      </c>
      <c r="Q197" s="1302"/>
      <c r="R197" s="1303">
        <v>-1492.12</v>
      </c>
      <c r="S197" s="1302"/>
      <c r="T197" s="1303">
        <v>1960</v>
      </c>
      <c r="U197" s="1302"/>
      <c r="V197" s="1303">
        <v>1249.9000000000001</v>
      </c>
      <c r="W197" s="1302"/>
      <c r="X197" s="1303">
        <v>3920</v>
      </c>
      <c r="Y197" s="1302"/>
      <c r="Z197" s="1303">
        <v>4900</v>
      </c>
      <c r="AA197" s="1302"/>
      <c r="AB197" s="1303">
        <v>833.6</v>
      </c>
      <c r="AC197" s="1302"/>
      <c r="AD197" s="1303">
        <v>2146.4899999999998</v>
      </c>
      <c r="AE197" s="1302"/>
      <c r="AF197" s="1303">
        <v>1960</v>
      </c>
      <c r="AG197" s="1302"/>
      <c r="AH197" s="1303">
        <f t="shared" si="22"/>
        <v>12292.13</v>
      </c>
      <c r="AI197" s="1304">
        <f t="shared" si="23"/>
        <v>3.5937375953574714E-4</v>
      </c>
      <c r="AJ197" s="12"/>
    </row>
    <row r="198" spans="2:36" s="407" customFormat="1" outlineLevel="1">
      <c r="B198" s="24" t="s">
        <v>397</v>
      </c>
      <c r="D198" s="1298">
        <v>59400</v>
      </c>
      <c r="E198" s="1298" t="s">
        <v>251</v>
      </c>
      <c r="F198" s="1299"/>
      <c r="G198" s="1300"/>
      <c r="H198" s="1301"/>
      <c r="I198" s="1302"/>
      <c r="J198" s="1303">
        <v>183.58</v>
      </c>
      <c r="K198" s="1302"/>
      <c r="L198" s="1303">
        <v>0</v>
      </c>
      <c r="M198" s="1302"/>
      <c r="N198" s="1303">
        <v>3000</v>
      </c>
      <c r="O198" s="1302"/>
      <c r="P198" s="1303">
        <v>3000</v>
      </c>
      <c r="Q198" s="1302"/>
      <c r="R198" s="1303">
        <v>2345.94</v>
      </c>
      <c r="S198" s="1302"/>
      <c r="T198" s="1303">
        <v>-1967.81</v>
      </c>
      <c r="U198" s="1302"/>
      <c r="V198" s="1303">
        <v>0</v>
      </c>
      <c r="W198" s="1302"/>
      <c r="X198" s="1303">
        <v>-4032.19</v>
      </c>
      <c r="Y198" s="1302"/>
      <c r="Z198" s="1303">
        <v>0</v>
      </c>
      <c r="AA198" s="1302"/>
      <c r="AB198" s="1303">
        <v>0</v>
      </c>
      <c r="AC198" s="1302"/>
      <c r="AD198" s="1303">
        <v>0</v>
      </c>
      <c r="AE198" s="1302"/>
      <c r="AF198" s="1303">
        <v>0</v>
      </c>
      <c r="AG198" s="1302"/>
      <c r="AH198" s="1303">
        <f t="shared" si="22"/>
        <v>2529.52</v>
      </c>
      <c r="AI198" s="1304">
        <f t="shared" si="23"/>
        <v>7.3953262145849666E-5</v>
      </c>
      <c r="AJ198" s="12"/>
    </row>
    <row r="199" spans="2:36" s="407" customFormat="1" outlineLevel="1">
      <c r="B199" s="24" t="s">
        <v>397</v>
      </c>
      <c r="D199" s="1298">
        <v>59401</v>
      </c>
      <c r="E199" s="1298" t="s">
        <v>439</v>
      </c>
      <c r="F199" s="1299"/>
      <c r="G199" s="1300"/>
      <c r="H199" s="1301"/>
      <c r="I199" s="1302"/>
      <c r="J199" s="1303">
        <v>0</v>
      </c>
      <c r="K199" s="1302"/>
      <c r="L199" s="1303">
        <v>0</v>
      </c>
      <c r="M199" s="1302"/>
      <c r="N199" s="1303">
        <v>1967.57</v>
      </c>
      <c r="O199" s="1302"/>
      <c r="P199" s="1303">
        <v>0</v>
      </c>
      <c r="Q199" s="1302"/>
      <c r="R199" s="1303">
        <v>0</v>
      </c>
      <c r="S199" s="1302"/>
      <c r="T199" s="1303">
        <v>0</v>
      </c>
      <c r="U199" s="1302"/>
      <c r="V199" s="1303">
        <v>0</v>
      </c>
      <c r="W199" s="1302"/>
      <c r="X199" s="1303">
        <v>4032.19</v>
      </c>
      <c r="Y199" s="1302"/>
      <c r="Z199" s="1303">
        <v>0</v>
      </c>
      <c r="AA199" s="1302"/>
      <c r="AB199" s="1303">
        <v>0</v>
      </c>
      <c r="AC199" s="1302"/>
      <c r="AD199" s="1303">
        <v>0</v>
      </c>
      <c r="AE199" s="1302"/>
      <c r="AF199" s="1303">
        <v>3644.55</v>
      </c>
      <c r="AG199" s="1302"/>
      <c r="AH199" s="1303">
        <f t="shared" si="22"/>
        <v>9644.31</v>
      </c>
      <c r="AI199" s="1304">
        <f t="shared" si="23"/>
        <v>2.8196186851491169E-4</v>
      </c>
      <c r="AJ199" s="12"/>
    </row>
    <row r="200" spans="2:36" s="407" customFormat="1" outlineLevel="1">
      <c r="B200" s="24" t="s">
        <v>397</v>
      </c>
      <c r="D200" s="1298">
        <v>59500</v>
      </c>
      <c r="E200" s="1298" t="s">
        <v>252</v>
      </c>
      <c r="F200" s="1299"/>
      <c r="G200" s="1300"/>
      <c r="H200" s="1301"/>
      <c r="I200" s="1302"/>
      <c r="J200" s="1303">
        <v>1869.67</v>
      </c>
      <c r="K200" s="1302"/>
      <c r="L200" s="1303">
        <v>3090.35</v>
      </c>
      <c r="M200" s="1302"/>
      <c r="N200" s="1303">
        <v>3069.15</v>
      </c>
      <c r="O200" s="1302"/>
      <c r="P200" s="1303">
        <v>3534.94</v>
      </c>
      <c r="Q200" s="1302"/>
      <c r="R200" s="1303">
        <v>2521.59</v>
      </c>
      <c r="S200" s="1302"/>
      <c r="T200" s="1303">
        <v>2897.47</v>
      </c>
      <c r="U200" s="1302"/>
      <c r="V200" s="1303">
        <v>2748.25</v>
      </c>
      <c r="W200" s="1302"/>
      <c r="X200" s="1303">
        <v>2932.17</v>
      </c>
      <c r="Y200" s="1302"/>
      <c r="Z200" s="1303">
        <v>2904.94</v>
      </c>
      <c r="AA200" s="1302"/>
      <c r="AB200" s="1303">
        <v>1072.92</v>
      </c>
      <c r="AC200" s="1302"/>
      <c r="AD200" s="1303">
        <v>2161.37</v>
      </c>
      <c r="AE200" s="1302"/>
      <c r="AF200" s="1303">
        <v>2632.08</v>
      </c>
      <c r="AG200" s="1302"/>
      <c r="AH200" s="1303">
        <f t="shared" si="22"/>
        <v>31434.9</v>
      </c>
      <c r="AI200" s="1304">
        <f t="shared" si="23"/>
        <v>9.1903341354429688E-4</v>
      </c>
      <c r="AJ200" s="12"/>
    </row>
    <row r="201" spans="2:36" s="8" customFormat="1" ht="5.0999999999999996" customHeight="1" outlineLevel="1">
      <c r="B201" s="16" t="s">
        <v>194</v>
      </c>
      <c r="D201" s="1299"/>
      <c r="E201" s="1299"/>
      <c r="F201" s="1299"/>
      <c r="G201" s="1299"/>
      <c r="H201" s="1301"/>
      <c r="I201" s="1301"/>
      <c r="J201" s="1311"/>
      <c r="K201" s="1309"/>
      <c r="L201" s="1311"/>
      <c r="M201" s="1309"/>
      <c r="N201" s="1311"/>
      <c r="O201" s="1309"/>
      <c r="P201" s="1311"/>
      <c r="Q201" s="1309"/>
      <c r="R201" s="1311"/>
      <c r="S201" s="1309"/>
      <c r="T201" s="1311"/>
      <c r="U201" s="1309"/>
      <c r="V201" s="1311"/>
      <c r="W201" s="1309"/>
      <c r="X201" s="1311"/>
      <c r="Y201" s="1309"/>
      <c r="Z201" s="1311"/>
      <c r="AA201" s="1309"/>
      <c r="AB201" s="1311"/>
      <c r="AC201" s="1309"/>
      <c r="AD201" s="1311"/>
      <c r="AE201" s="1309"/>
      <c r="AF201" s="1311"/>
      <c r="AG201" s="1309"/>
      <c r="AH201" s="1311"/>
      <c r="AI201" s="1306"/>
      <c r="AJ201" s="15"/>
    </row>
    <row r="202" spans="2:36" s="8" customFormat="1" ht="15">
      <c r="D202" s="1301"/>
      <c r="E202" s="1301"/>
      <c r="F202" s="1299" t="s">
        <v>253</v>
      </c>
      <c r="G202" s="1301"/>
      <c r="H202" s="1301"/>
      <c r="I202" s="1301"/>
      <c r="J202" s="1308">
        <f>SUM(J191:J201)</f>
        <v>11009.68</v>
      </c>
      <c r="K202" s="1309"/>
      <c r="L202" s="1308">
        <f>SUM(L191:L201)</f>
        <v>4273.7100000000009</v>
      </c>
      <c r="M202" s="1309"/>
      <c r="N202" s="1308">
        <f>SUM(N191:N201)</f>
        <v>27327.340000000004</v>
      </c>
      <c r="O202" s="1309"/>
      <c r="P202" s="1308">
        <f>SUM(P191:P201)</f>
        <v>14750.340000000002</v>
      </c>
      <c r="Q202" s="1309"/>
      <c r="R202" s="1308">
        <f>SUM(R191:R201)</f>
        <v>14329.750000000002</v>
      </c>
      <c r="S202" s="1309"/>
      <c r="T202" s="1308">
        <f>SUM(T191:T201)</f>
        <v>11684.95</v>
      </c>
      <c r="U202" s="1309"/>
      <c r="V202" s="1308">
        <f>SUM(V191:V201)</f>
        <v>12546.77</v>
      </c>
      <c r="W202" s="1309"/>
      <c r="X202" s="1308">
        <f>SUM(X191:X201)</f>
        <v>45072.2</v>
      </c>
      <c r="Y202" s="1309"/>
      <c r="Z202" s="1308">
        <f>SUM(Z191:Z201)</f>
        <v>13494.85</v>
      </c>
      <c r="AA202" s="1309"/>
      <c r="AB202" s="1308">
        <f>SUM(AB191:AB201)</f>
        <v>22321.43</v>
      </c>
      <c r="AC202" s="1309"/>
      <c r="AD202" s="1308">
        <f>SUM(AD191:AD201)</f>
        <v>18551.27</v>
      </c>
      <c r="AE202" s="1309"/>
      <c r="AF202" s="1308">
        <f>SUM(AF191:AF201)</f>
        <v>19832.559999999998</v>
      </c>
      <c r="AG202" s="1309"/>
      <c r="AH202" s="1308">
        <f>SUM(AH191:AH201)</f>
        <v>215194.84999999998</v>
      </c>
      <c r="AI202" s="1304">
        <f>IF(AH$65=0,0,AH202/AH$65)</f>
        <v>6.2914549616080511E-3</v>
      </c>
      <c r="AJ202" s="15"/>
    </row>
    <row r="203" spans="2:36" s="8" customFormat="1" ht="15" outlineLevel="1">
      <c r="B203" s="16" t="s">
        <v>194</v>
      </c>
      <c r="D203" s="1301"/>
      <c r="E203" s="1301"/>
      <c r="F203" s="1301"/>
      <c r="G203" s="1301"/>
      <c r="H203" s="1301"/>
      <c r="I203" s="1301"/>
      <c r="J203" s="1310"/>
      <c r="K203" s="1309"/>
      <c r="L203" s="1310"/>
      <c r="M203" s="1309"/>
      <c r="N203" s="1310"/>
      <c r="O203" s="1309"/>
      <c r="P203" s="1310"/>
      <c r="Q203" s="1309"/>
      <c r="R203" s="1310"/>
      <c r="S203" s="1309"/>
      <c r="T203" s="1310"/>
      <c r="U203" s="1309"/>
      <c r="V203" s="1310"/>
      <c r="W203" s="1309"/>
      <c r="X203" s="1310"/>
      <c r="Y203" s="1309"/>
      <c r="Z203" s="1310"/>
      <c r="AA203" s="1309"/>
      <c r="AB203" s="1310"/>
      <c r="AC203" s="1309"/>
      <c r="AD203" s="1310"/>
      <c r="AE203" s="1309"/>
      <c r="AF203" s="1310"/>
      <c r="AG203" s="1309"/>
      <c r="AH203" s="1310"/>
      <c r="AI203" s="1306"/>
      <c r="AJ203" s="15"/>
    </row>
    <row r="204" spans="2:36" s="407" customFormat="1" outlineLevel="1">
      <c r="B204" s="24" t="s">
        <v>416</v>
      </c>
      <c r="D204" s="1298">
        <v>91010</v>
      </c>
      <c r="E204" s="1298" t="s">
        <v>254</v>
      </c>
      <c r="F204" s="1299"/>
      <c r="G204" s="1300"/>
      <c r="H204" s="1301"/>
      <c r="I204" s="1302"/>
      <c r="J204" s="1303">
        <v>-241.44</v>
      </c>
      <c r="K204" s="1302"/>
      <c r="L204" s="1303">
        <v>0</v>
      </c>
      <c r="M204" s="1302"/>
      <c r="N204" s="1303">
        <v>0</v>
      </c>
      <c r="O204" s="1302"/>
      <c r="P204" s="1303">
        <v>-549.38</v>
      </c>
      <c r="Q204" s="1302"/>
      <c r="R204" s="1303">
        <v>0</v>
      </c>
      <c r="S204" s="1302"/>
      <c r="T204" s="1303">
        <v>0</v>
      </c>
      <c r="U204" s="1302"/>
      <c r="V204" s="1303">
        <v>-1956</v>
      </c>
      <c r="W204" s="1302"/>
      <c r="X204" s="1303">
        <v>0</v>
      </c>
      <c r="Y204" s="1302"/>
      <c r="Z204" s="1303">
        <v>-4863.6000000000004</v>
      </c>
      <c r="AA204" s="1302"/>
      <c r="AB204" s="1303">
        <v>0</v>
      </c>
      <c r="AC204" s="1302"/>
      <c r="AD204" s="1303">
        <v>0</v>
      </c>
      <c r="AE204" s="1302"/>
      <c r="AF204" s="1303">
        <v>0</v>
      </c>
      <c r="AG204" s="1302"/>
      <c r="AH204" s="1303">
        <f>AF204+AD204+AB204+Z204+X204+V204+T204+R204+P204+N204+L204+J204</f>
        <v>-7610.42</v>
      </c>
      <c r="AI204" s="1304">
        <f>IF(AH$65=0,0,AH204/AH$65)</f>
        <v>-2.224988872592497E-4</v>
      </c>
      <c r="AJ204" s="12"/>
    </row>
    <row r="205" spans="2:36" s="8" customFormat="1" ht="5.0999999999999996" customHeight="1" outlineLevel="1">
      <c r="B205" s="2" t="s">
        <v>194</v>
      </c>
      <c r="D205" s="1299"/>
      <c r="E205" s="1299"/>
      <c r="F205" s="1299"/>
      <c r="G205" s="1299"/>
      <c r="H205" s="1301"/>
      <c r="I205" s="1301"/>
      <c r="J205" s="1311"/>
      <c r="K205" s="1309"/>
      <c r="L205" s="1311"/>
      <c r="M205" s="1309"/>
      <c r="N205" s="1311"/>
      <c r="O205" s="1309"/>
      <c r="P205" s="1311"/>
      <c r="Q205" s="1309"/>
      <c r="R205" s="1311"/>
      <c r="S205" s="1309"/>
      <c r="T205" s="1311"/>
      <c r="U205" s="1309"/>
      <c r="V205" s="1311"/>
      <c r="W205" s="1309"/>
      <c r="X205" s="1311"/>
      <c r="Y205" s="1309"/>
      <c r="Z205" s="1311"/>
      <c r="AA205" s="1309"/>
      <c r="AB205" s="1311"/>
      <c r="AC205" s="1309"/>
      <c r="AD205" s="1311"/>
      <c r="AE205" s="1309"/>
      <c r="AF205" s="1311"/>
      <c r="AG205" s="1309"/>
      <c r="AH205" s="1311"/>
      <c r="AI205" s="1306"/>
      <c r="AJ205" s="15"/>
    </row>
    <row r="206" spans="2:36" s="8" customFormat="1" ht="15">
      <c r="B206" s="2" t="s">
        <v>194</v>
      </c>
      <c r="D206" s="1301"/>
      <c r="E206" s="1301"/>
      <c r="F206" s="1298" t="s">
        <v>255</v>
      </c>
      <c r="G206" s="1301"/>
      <c r="H206" s="1301"/>
      <c r="I206" s="1301"/>
      <c r="J206" s="1308">
        <f>SUM(J204:J205)</f>
        <v>-241.44</v>
      </c>
      <c r="K206" s="1309"/>
      <c r="L206" s="1308">
        <f>SUM(L204:L205)</f>
        <v>0</v>
      </c>
      <c r="M206" s="1309"/>
      <c r="N206" s="1308">
        <f>SUM(N204:N205)</f>
        <v>0</v>
      </c>
      <c r="O206" s="1309"/>
      <c r="P206" s="1308">
        <f>SUM(P204:P205)</f>
        <v>-549.38</v>
      </c>
      <c r="Q206" s="1309"/>
      <c r="R206" s="1308">
        <f>SUM(R204:R205)</f>
        <v>0</v>
      </c>
      <c r="S206" s="1309"/>
      <c r="T206" s="1308">
        <f>SUM(T204:T205)</f>
        <v>0</v>
      </c>
      <c r="U206" s="1309"/>
      <c r="V206" s="1308">
        <f>SUM(V204:V205)</f>
        <v>-1956</v>
      </c>
      <c r="W206" s="1309"/>
      <c r="X206" s="1308">
        <f>SUM(X204:X205)</f>
        <v>0</v>
      </c>
      <c r="Y206" s="1309"/>
      <c r="Z206" s="1308">
        <f>SUM(Z204:Z205)</f>
        <v>-4863.6000000000004</v>
      </c>
      <c r="AA206" s="1309"/>
      <c r="AB206" s="1308">
        <f>SUM(AB204:AB205)</f>
        <v>0</v>
      </c>
      <c r="AC206" s="1309"/>
      <c r="AD206" s="1308">
        <f>SUM(AD204:AD205)</f>
        <v>0</v>
      </c>
      <c r="AE206" s="1309"/>
      <c r="AF206" s="1308">
        <f>SUM(AF204:AF205)</f>
        <v>0</v>
      </c>
      <c r="AG206" s="1309"/>
      <c r="AH206" s="1308">
        <f>SUM(AH204:AH205)</f>
        <v>-7610.42</v>
      </c>
      <c r="AI206" s="1304">
        <f>IF(AH$65=0,0,AH206/AH$65)</f>
        <v>-2.224988872592497E-4</v>
      </c>
      <c r="AJ206" s="15"/>
    </row>
    <row r="207" spans="2:36" s="8" customFormat="1" ht="7.5" customHeight="1">
      <c r="B207" s="2"/>
      <c r="D207" s="1301"/>
      <c r="E207" s="1301"/>
      <c r="F207" s="1301"/>
      <c r="G207" s="1301"/>
      <c r="H207" s="1301"/>
      <c r="I207" s="1301"/>
      <c r="J207" s="1310"/>
      <c r="K207" s="1309"/>
      <c r="L207" s="1310"/>
      <c r="M207" s="1309"/>
      <c r="N207" s="1310"/>
      <c r="O207" s="1309"/>
      <c r="P207" s="1310"/>
      <c r="Q207" s="1309"/>
      <c r="R207" s="1310"/>
      <c r="S207" s="1309"/>
      <c r="T207" s="1310"/>
      <c r="U207" s="1309"/>
      <c r="V207" s="1310"/>
      <c r="W207" s="1309"/>
      <c r="X207" s="1310"/>
      <c r="Y207" s="1309"/>
      <c r="Z207" s="1310"/>
      <c r="AA207" s="1309"/>
      <c r="AB207" s="1310"/>
      <c r="AC207" s="1309"/>
      <c r="AD207" s="1310"/>
      <c r="AE207" s="1309"/>
      <c r="AF207" s="1310"/>
      <c r="AG207" s="1309"/>
      <c r="AH207" s="1310"/>
      <c r="AI207" s="1306"/>
      <c r="AJ207" s="15"/>
    </row>
    <row r="208" spans="2:36" s="8" customFormat="1" ht="15">
      <c r="B208" s="2"/>
      <c r="D208" s="1301"/>
      <c r="E208" s="1316" t="s">
        <v>256</v>
      </c>
      <c r="F208" s="1301"/>
      <c r="G208" s="1301"/>
      <c r="H208" s="1301"/>
      <c r="I208" s="1301"/>
      <c r="J208" s="1314">
        <f>+J115+J119+J146+J160+J171+J185+J202+J189+J206</f>
        <v>972880.07000000018</v>
      </c>
      <c r="K208" s="1309"/>
      <c r="L208" s="1314">
        <f>+L115+L119+L146+L160+L171+L185+L202+L189+L206</f>
        <v>934751.45000000019</v>
      </c>
      <c r="M208" s="1309"/>
      <c r="N208" s="1314">
        <f>+N115+N119+N146+N160+N171+N185+N202+N189+N206</f>
        <v>982634.64000000013</v>
      </c>
      <c r="O208" s="1309"/>
      <c r="P208" s="1314">
        <f>+P115+P119+P146+P160+P171+P185+P202+P189+P206</f>
        <v>989078.14999999979</v>
      </c>
      <c r="Q208" s="1309"/>
      <c r="R208" s="1314">
        <f>+R115+R119+R146+R160+R171+R185+R202+R189+R206</f>
        <v>867174.60000000009</v>
      </c>
      <c r="S208" s="1309"/>
      <c r="T208" s="1314">
        <f>+T115+T119+T146+T160+T171+T185+T202+T189+T206</f>
        <v>966326.23</v>
      </c>
      <c r="U208" s="1309"/>
      <c r="V208" s="1314">
        <f>+V115+V119+V146+V160+V171+V185+V202+V189+V206</f>
        <v>953602.49000000011</v>
      </c>
      <c r="W208" s="1309"/>
      <c r="X208" s="1314">
        <f>+X115+X119+X146+X160+X171+X185+X202+X189+X206</f>
        <v>896921.64999999979</v>
      </c>
      <c r="Y208" s="1309"/>
      <c r="Z208" s="1314">
        <f>+Z115+Z119+Z146+Z160+Z171+Z185+Z202+Z189+Z206</f>
        <v>997083.19999999984</v>
      </c>
      <c r="AA208" s="1309"/>
      <c r="AB208" s="1314">
        <f>+AB115+AB119+AB146+AB160+AB171+AB185+AB202+AB189+AB206</f>
        <v>800815.58</v>
      </c>
      <c r="AC208" s="1309"/>
      <c r="AD208" s="1314">
        <f>+AD115+AD119+AD146+AD160+AD171+AD185+AD202+AD189+AD206</f>
        <v>922236.91</v>
      </c>
      <c r="AE208" s="1309"/>
      <c r="AF208" s="1314">
        <f>+AF115+AF119+AF146+AF160+AF171+AF185+AF202+AF189+AF206</f>
        <v>974262.49999999977</v>
      </c>
      <c r="AG208" s="1309"/>
      <c r="AH208" s="1314">
        <f>+AH115+AH119+AH146+AH160+AH171+AH185+AH202+AH189+AH206</f>
        <v>11257767.469999999</v>
      </c>
      <c r="AI208" s="1304">
        <f>IF(AH$65=0,0,AH208/AH$65)</f>
        <v>0.3291330485174771</v>
      </c>
      <c r="AJ208" s="15"/>
    </row>
    <row r="209" spans="2:36" s="8" customFormat="1" ht="7.5" customHeight="1">
      <c r="B209" s="2"/>
      <c r="D209" s="1301"/>
      <c r="E209" s="1301"/>
      <c r="F209" s="1301"/>
      <c r="G209" s="1301"/>
      <c r="H209" s="1301"/>
      <c r="I209" s="1301"/>
      <c r="J209" s="1310"/>
      <c r="K209" s="1309"/>
      <c r="L209" s="1310"/>
      <c r="M209" s="1309"/>
      <c r="N209" s="1310"/>
      <c r="O209" s="1309"/>
      <c r="P209" s="1310"/>
      <c r="Q209" s="1309"/>
      <c r="R209" s="1310"/>
      <c r="S209" s="1309"/>
      <c r="T209" s="1310"/>
      <c r="U209" s="1309"/>
      <c r="V209" s="1310"/>
      <c r="W209" s="1309"/>
      <c r="X209" s="1310"/>
      <c r="Y209" s="1309"/>
      <c r="Z209" s="1310"/>
      <c r="AA209" s="1309"/>
      <c r="AB209" s="1310"/>
      <c r="AC209" s="1309"/>
      <c r="AD209" s="1310"/>
      <c r="AE209" s="1309"/>
      <c r="AF209" s="1310"/>
      <c r="AG209" s="1309"/>
      <c r="AH209" s="1310"/>
      <c r="AI209" s="1306"/>
      <c r="AJ209" s="15"/>
    </row>
    <row r="210" spans="2:36" s="8" customFormat="1" ht="15">
      <c r="B210" s="16" t="s">
        <v>194</v>
      </c>
      <c r="D210" s="1301"/>
      <c r="E210" s="1316" t="s">
        <v>257</v>
      </c>
      <c r="F210" s="1301"/>
      <c r="G210" s="1301"/>
      <c r="H210" s="1301"/>
      <c r="I210" s="1301"/>
      <c r="J210" s="1314">
        <f>J97-J208</f>
        <v>632646.89</v>
      </c>
      <c r="K210" s="1309"/>
      <c r="L210" s="1314">
        <f>L97-L208</f>
        <v>759501.90000000014</v>
      </c>
      <c r="M210" s="1309"/>
      <c r="N210" s="1314">
        <f>N97-N208</f>
        <v>696123.38999999966</v>
      </c>
      <c r="O210" s="1309"/>
      <c r="P210" s="1314">
        <f>P97-P208</f>
        <v>731592.94000000053</v>
      </c>
      <c r="Q210" s="1309"/>
      <c r="R210" s="1314">
        <f>R97-R208</f>
        <v>780654.6799999997</v>
      </c>
      <c r="S210" s="1309"/>
      <c r="T210" s="1314">
        <f>T97-T208</f>
        <v>772302.84000000125</v>
      </c>
      <c r="U210" s="1309"/>
      <c r="V210" s="1314">
        <f>V97-V208</f>
        <v>737628.44999999914</v>
      </c>
      <c r="W210" s="1309"/>
      <c r="X210" s="1314">
        <f>X97-X208</f>
        <v>819352.73000000056</v>
      </c>
      <c r="Y210" s="1309"/>
      <c r="Z210" s="1314">
        <f>Z97-Z208</f>
        <v>657016.95000000077</v>
      </c>
      <c r="AA210" s="1309"/>
      <c r="AB210" s="1314">
        <f>AB97-AB208</f>
        <v>1024959.7899999997</v>
      </c>
      <c r="AC210" s="1309"/>
      <c r="AD210" s="1314">
        <f>AD97-AD208</f>
        <v>876277.92</v>
      </c>
      <c r="AE210" s="1309"/>
      <c r="AF210" s="1314">
        <f>AF97-AF208</f>
        <v>740753.63000000059</v>
      </c>
      <c r="AG210" s="1309"/>
      <c r="AH210" s="1314">
        <f>AH97-AH208</f>
        <v>9228812.1100000031</v>
      </c>
      <c r="AI210" s="1304">
        <f>IF(AH$65=0,0,AH210/AH$65)</f>
        <v>0.26981433681711242</v>
      </c>
      <c r="AJ210" s="15"/>
    </row>
    <row r="211" spans="2:36" s="8" customFormat="1" ht="7.5" customHeight="1">
      <c r="B211" s="16" t="s">
        <v>194</v>
      </c>
      <c r="D211" s="1301"/>
      <c r="E211" s="1301"/>
      <c r="F211" s="1301"/>
      <c r="G211" s="1301"/>
      <c r="H211" s="1301"/>
      <c r="I211" s="1301"/>
      <c r="J211" s="1310"/>
      <c r="K211" s="1309"/>
      <c r="L211" s="1310"/>
      <c r="M211" s="1309"/>
      <c r="N211" s="1310"/>
      <c r="O211" s="1309"/>
      <c r="P211" s="1310"/>
      <c r="Q211" s="1309"/>
      <c r="R211" s="1310"/>
      <c r="S211" s="1309"/>
      <c r="T211" s="1310"/>
      <c r="U211" s="1309"/>
      <c r="V211" s="1310"/>
      <c r="W211" s="1309"/>
      <c r="X211" s="1310"/>
      <c r="Y211" s="1309"/>
      <c r="Z211" s="1310"/>
      <c r="AA211" s="1309"/>
      <c r="AB211" s="1310"/>
      <c r="AC211" s="1309"/>
      <c r="AD211" s="1310"/>
      <c r="AE211" s="1309"/>
      <c r="AF211" s="1310"/>
      <c r="AG211" s="1309"/>
      <c r="AH211" s="1310"/>
      <c r="AI211" s="1306"/>
      <c r="AJ211" s="15"/>
    </row>
    <row r="212" spans="2:36" s="8" customFormat="1" ht="15" outlineLevel="1">
      <c r="B212" s="16" t="s">
        <v>194</v>
      </c>
      <c r="D212" s="1301"/>
      <c r="E212" s="1301"/>
      <c r="F212" s="1301"/>
      <c r="G212" s="1301"/>
      <c r="H212" s="1301"/>
      <c r="I212" s="1301"/>
      <c r="J212" s="1310"/>
      <c r="K212" s="1309"/>
      <c r="L212" s="1310"/>
      <c r="M212" s="1309"/>
      <c r="N212" s="1310"/>
      <c r="O212" s="1309"/>
      <c r="P212" s="1310"/>
      <c r="Q212" s="1309"/>
      <c r="R212" s="1310"/>
      <c r="S212" s="1309"/>
      <c r="T212" s="1310"/>
      <c r="U212" s="1309"/>
      <c r="V212" s="1310"/>
      <c r="W212" s="1309"/>
      <c r="X212" s="1310"/>
      <c r="Y212" s="1309"/>
      <c r="Z212" s="1310"/>
      <c r="AA212" s="1309"/>
      <c r="AB212" s="1310"/>
      <c r="AC212" s="1309"/>
      <c r="AD212" s="1310"/>
      <c r="AE212" s="1309"/>
      <c r="AF212" s="1310"/>
      <c r="AG212" s="1309"/>
      <c r="AH212" s="1310"/>
      <c r="AI212" s="1306"/>
      <c r="AJ212" s="15"/>
    </row>
    <row r="213" spans="2:36" s="407" customFormat="1" outlineLevel="1">
      <c r="B213" s="24" t="s">
        <v>417</v>
      </c>
      <c r="D213" s="1298">
        <v>60010</v>
      </c>
      <c r="E213" s="1298" t="s">
        <v>17</v>
      </c>
      <c r="F213" s="1299"/>
      <c r="G213" s="1300"/>
      <c r="H213" s="1301"/>
      <c r="I213" s="1302"/>
      <c r="J213" s="1303">
        <v>4930.2299999999996</v>
      </c>
      <c r="K213" s="1302"/>
      <c r="L213" s="1303">
        <v>4501.5200000000004</v>
      </c>
      <c r="M213" s="1302"/>
      <c r="N213" s="1303">
        <v>4715.88</v>
      </c>
      <c r="O213" s="1302"/>
      <c r="P213" s="1303">
        <v>4930.2299999999996</v>
      </c>
      <c r="Q213" s="1302"/>
      <c r="R213" s="1303">
        <v>4287.16</v>
      </c>
      <c r="S213" s="1302"/>
      <c r="T213" s="1303">
        <v>4930.2299999999996</v>
      </c>
      <c r="U213" s="1302"/>
      <c r="V213" s="1303">
        <v>4715.88</v>
      </c>
      <c r="W213" s="1302"/>
      <c r="X213" s="1303">
        <v>4501.5200000000004</v>
      </c>
      <c r="Y213" s="1302"/>
      <c r="Z213" s="1303">
        <v>5011.6899999999996</v>
      </c>
      <c r="AA213" s="1302"/>
      <c r="AB213" s="1303">
        <v>4372.8999999999996</v>
      </c>
      <c r="AC213" s="1302"/>
      <c r="AD213" s="1303">
        <v>4591.54</v>
      </c>
      <c r="AE213" s="1302"/>
      <c r="AF213" s="1303">
        <v>4810.1899999999996</v>
      </c>
      <c r="AG213" s="1302"/>
      <c r="AH213" s="1303">
        <f t="shared" ref="AH213:AH222" si="24">AF213+AD213+AB213+Z213+X213+V213+T213+R213+P213+N213+L213+J213</f>
        <v>56298.969999999987</v>
      </c>
      <c r="AI213" s="1304">
        <f t="shared" ref="AI213:AI222" si="25">IF(AH$65=0,0,AH213/AH$65)</f>
        <v>1.6459614816057297E-3</v>
      </c>
      <c r="AJ213" s="12"/>
    </row>
    <row r="214" spans="2:36" s="407" customFormat="1" outlineLevel="1">
      <c r="B214" s="24" t="s">
        <v>397</v>
      </c>
      <c r="D214" s="1298">
        <v>60030</v>
      </c>
      <c r="E214" s="1298" t="s">
        <v>74</v>
      </c>
      <c r="F214" s="1299"/>
      <c r="G214" s="1300"/>
      <c r="H214" s="1301"/>
      <c r="I214" s="1302"/>
      <c r="J214" s="1303">
        <v>1530.91</v>
      </c>
      <c r="K214" s="1302"/>
      <c r="L214" s="1303">
        <v>1619.91</v>
      </c>
      <c r="M214" s="1302"/>
      <c r="N214" s="1303">
        <v>1773.13</v>
      </c>
      <c r="O214" s="1302"/>
      <c r="P214" s="1303">
        <v>1366.05</v>
      </c>
      <c r="Q214" s="1302"/>
      <c r="R214" s="1303">
        <v>1139.8800000000001</v>
      </c>
      <c r="S214" s="1302"/>
      <c r="T214" s="1303">
        <v>966.93</v>
      </c>
      <c r="U214" s="1302"/>
      <c r="V214" s="1303">
        <v>1237.67</v>
      </c>
      <c r="W214" s="1302"/>
      <c r="X214" s="1303">
        <v>985.68</v>
      </c>
      <c r="Y214" s="1302"/>
      <c r="Z214" s="1303">
        <v>443.75</v>
      </c>
      <c r="AA214" s="1302"/>
      <c r="AB214" s="1303">
        <v>331.62</v>
      </c>
      <c r="AC214" s="1302"/>
      <c r="AD214" s="1303">
        <v>929.81</v>
      </c>
      <c r="AE214" s="1302"/>
      <c r="AF214" s="1303">
        <v>1178.31</v>
      </c>
      <c r="AG214" s="1302"/>
      <c r="AH214" s="1303">
        <f t="shared" si="24"/>
        <v>13503.650000000001</v>
      </c>
      <c r="AI214" s="1304">
        <f t="shared" si="25"/>
        <v>3.9479386143450261E-4</v>
      </c>
      <c r="AJ214" s="12"/>
    </row>
    <row r="215" spans="2:36" s="407" customFormat="1" outlineLevel="1">
      <c r="B215" s="24" t="s">
        <v>397</v>
      </c>
      <c r="D215" s="1298">
        <v>60050</v>
      </c>
      <c r="E215" s="1298" t="s">
        <v>166</v>
      </c>
      <c r="F215" s="1299"/>
      <c r="G215" s="1300"/>
      <c r="H215" s="1301"/>
      <c r="I215" s="1302"/>
      <c r="J215" s="1303">
        <v>495.66</v>
      </c>
      <c r="K215" s="1302"/>
      <c r="L215" s="1303">
        <v>333.91</v>
      </c>
      <c r="M215" s="1302"/>
      <c r="N215" s="1303">
        <v>295.83999999999997</v>
      </c>
      <c r="O215" s="1302"/>
      <c r="P215" s="1303">
        <v>580.6</v>
      </c>
      <c r="Q215" s="1302"/>
      <c r="R215" s="1303">
        <v>313.68</v>
      </c>
      <c r="S215" s="1302"/>
      <c r="T215" s="1303">
        <v>507.56</v>
      </c>
      <c r="U215" s="1302"/>
      <c r="V215" s="1303">
        <v>291.39999999999998</v>
      </c>
      <c r="W215" s="1302"/>
      <c r="X215" s="1303">
        <v>221.1</v>
      </c>
      <c r="Y215" s="1302"/>
      <c r="Z215" s="1303">
        <v>564.16</v>
      </c>
      <c r="AA215" s="1302"/>
      <c r="AB215" s="1303">
        <v>303.52</v>
      </c>
      <c r="AC215" s="1302"/>
      <c r="AD215" s="1303">
        <v>365.26</v>
      </c>
      <c r="AE215" s="1302"/>
      <c r="AF215" s="1303">
        <v>398.29</v>
      </c>
      <c r="AG215" s="1302"/>
      <c r="AH215" s="1303">
        <f t="shared" si="24"/>
        <v>4670.9799999999996</v>
      </c>
      <c r="AI215" s="1304">
        <f t="shared" si="25"/>
        <v>1.3656116908268006E-4</v>
      </c>
      <c r="AJ215" s="12"/>
    </row>
    <row r="216" spans="2:36" s="407" customFormat="1" outlineLevel="1">
      <c r="B216" s="24" t="s">
        <v>397</v>
      </c>
      <c r="D216" s="1298">
        <v>60060</v>
      </c>
      <c r="E216" s="1298" t="s">
        <v>75</v>
      </c>
      <c r="F216" s="1299"/>
      <c r="G216" s="1300"/>
      <c r="H216" s="1301"/>
      <c r="I216" s="1302"/>
      <c r="J216" s="1303">
        <v>1020.64</v>
      </c>
      <c r="K216" s="1302"/>
      <c r="L216" s="1303">
        <v>1056.3800000000001</v>
      </c>
      <c r="M216" s="1302"/>
      <c r="N216" s="1303">
        <v>1056.3800000000001</v>
      </c>
      <c r="O216" s="1302"/>
      <c r="P216" s="1303">
        <v>1056.3800000000001</v>
      </c>
      <c r="Q216" s="1302"/>
      <c r="R216" s="1303">
        <v>1065.8800000000001</v>
      </c>
      <c r="S216" s="1302"/>
      <c r="T216" s="1303">
        <v>1000.07</v>
      </c>
      <c r="U216" s="1302"/>
      <c r="V216" s="1303">
        <v>1056.3800000000001</v>
      </c>
      <c r="W216" s="1302"/>
      <c r="X216" s="1303">
        <v>1056.56</v>
      </c>
      <c r="Y216" s="1302"/>
      <c r="Z216" s="1303">
        <v>1106.74</v>
      </c>
      <c r="AA216" s="1302"/>
      <c r="AB216" s="1303">
        <v>1089.55</v>
      </c>
      <c r="AC216" s="1302"/>
      <c r="AD216" s="1303">
        <v>1105.3399999999999</v>
      </c>
      <c r="AE216" s="1302"/>
      <c r="AF216" s="1303">
        <v>1095.6600000000001</v>
      </c>
      <c r="AG216" s="1302"/>
      <c r="AH216" s="1303">
        <f t="shared" si="24"/>
        <v>12765.960000000003</v>
      </c>
      <c r="AI216" s="1304">
        <f t="shared" si="25"/>
        <v>3.732266937693441E-4</v>
      </c>
      <c r="AJ216" s="12"/>
    </row>
    <row r="217" spans="2:36" s="407" customFormat="1" outlineLevel="1">
      <c r="B217" s="24" t="s">
        <v>397</v>
      </c>
      <c r="D217" s="1298">
        <v>60065</v>
      </c>
      <c r="E217" s="1298" t="s">
        <v>21</v>
      </c>
      <c r="F217" s="1299"/>
      <c r="G217" s="1300"/>
      <c r="H217" s="1301"/>
      <c r="I217" s="1302"/>
      <c r="J217" s="1303">
        <v>0</v>
      </c>
      <c r="K217" s="1302"/>
      <c r="L217" s="1303">
        <v>-215.98</v>
      </c>
      <c r="M217" s="1302"/>
      <c r="N217" s="1303">
        <v>-1284.53</v>
      </c>
      <c r="O217" s="1302"/>
      <c r="P217" s="1303">
        <v>0</v>
      </c>
      <c r="Q217" s="1302"/>
      <c r="R217" s="1303">
        <v>-643.07000000000005</v>
      </c>
      <c r="S217" s="1302"/>
      <c r="T217" s="1303">
        <v>-107.18</v>
      </c>
      <c r="U217" s="1302"/>
      <c r="V217" s="1303">
        <v>-643.07000000000005</v>
      </c>
      <c r="W217" s="1302"/>
      <c r="X217" s="1303">
        <v>-1714.87</v>
      </c>
      <c r="Y217" s="1302"/>
      <c r="Z217" s="1303">
        <v>0</v>
      </c>
      <c r="AA217" s="1302"/>
      <c r="AB217" s="1303">
        <v>0</v>
      </c>
      <c r="AC217" s="1302"/>
      <c r="AD217" s="1303">
        <v>0</v>
      </c>
      <c r="AE217" s="1302"/>
      <c r="AF217" s="1303">
        <v>0</v>
      </c>
      <c r="AG217" s="1302"/>
      <c r="AH217" s="1303">
        <f t="shared" si="24"/>
        <v>-4608.7</v>
      </c>
      <c r="AI217" s="1304">
        <f t="shared" si="25"/>
        <v>-1.3474034569862161E-4</v>
      </c>
      <c r="AJ217" s="12"/>
    </row>
    <row r="218" spans="2:36" s="407" customFormat="1" outlineLevel="1">
      <c r="B218" s="24" t="s">
        <v>397</v>
      </c>
      <c r="D218" s="1298">
        <v>60070</v>
      </c>
      <c r="E218" s="1298" t="s">
        <v>22</v>
      </c>
      <c r="F218" s="1299"/>
      <c r="G218" s="1300"/>
      <c r="H218" s="1301"/>
      <c r="I218" s="1302"/>
      <c r="J218" s="1303">
        <v>183.9</v>
      </c>
      <c r="K218" s="1302"/>
      <c r="L218" s="1303">
        <v>200.91</v>
      </c>
      <c r="M218" s="1302"/>
      <c r="N218" s="1303">
        <v>175.49</v>
      </c>
      <c r="O218" s="1302"/>
      <c r="P218" s="1303">
        <v>216.57</v>
      </c>
      <c r="Q218" s="1302"/>
      <c r="R218" s="1303">
        <v>226.89</v>
      </c>
      <c r="S218" s="1302"/>
      <c r="T218" s="1303">
        <v>237.2</v>
      </c>
      <c r="U218" s="1302"/>
      <c r="V218" s="1303">
        <v>228.6</v>
      </c>
      <c r="W218" s="1302"/>
      <c r="X218" s="1303">
        <v>214.86</v>
      </c>
      <c r="Y218" s="1302"/>
      <c r="Z218" s="1303">
        <v>-0.42</v>
      </c>
      <c r="AA218" s="1302"/>
      <c r="AB218" s="1303">
        <v>0</v>
      </c>
      <c r="AC218" s="1302"/>
      <c r="AD218" s="1303">
        <v>0</v>
      </c>
      <c r="AE218" s="1302"/>
      <c r="AF218" s="1303">
        <v>0</v>
      </c>
      <c r="AG218" s="1302"/>
      <c r="AH218" s="1303">
        <f t="shared" si="24"/>
        <v>1684.0000000000002</v>
      </c>
      <c r="AI218" s="1304">
        <f t="shared" si="25"/>
        <v>4.9233567417379922E-5</v>
      </c>
      <c r="AJ218" s="12"/>
    </row>
    <row r="219" spans="2:36" s="407" customFormat="1" outlineLevel="1">
      <c r="B219" s="24" t="s">
        <v>397</v>
      </c>
      <c r="D219" s="1298">
        <v>60116</v>
      </c>
      <c r="E219" s="1298" t="s">
        <v>120</v>
      </c>
      <c r="F219" s="1299"/>
      <c r="G219" s="1300"/>
      <c r="H219" s="1301"/>
      <c r="I219" s="1302"/>
      <c r="J219" s="1303">
        <v>180.52</v>
      </c>
      <c r="K219" s="1302"/>
      <c r="L219" s="1303">
        <v>107.18</v>
      </c>
      <c r="M219" s="1302"/>
      <c r="N219" s="1303">
        <v>107.18</v>
      </c>
      <c r="O219" s="1302"/>
      <c r="P219" s="1303">
        <v>157.68</v>
      </c>
      <c r="Q219" s="1302"/>
      <c r="R219" s="1303">
        <v>160.77000000000001</v>
      </c>
      <c r="S219" s="1302"/>
      <c r="T219" s="1303">
        <v>138.43</v>
      </c>
      <c r="U219" s="1302"/>
      <c r="V219" s="1303">
        <v>107.18</v>
      </c>
      <c r="W219" s="1302"/>
      <c r="X219" s="1303">
        <v>107.18</v>
      </c>
      <c r="Y219" s="1302"/>
      <c r="Z219" s="1303">
        <v>254.01</v>
      </c>
      <c r="AA219" s="1302"/>
      <c r="AB219" s="1303">
        <v>339.24</v>
      </c>
      <c r="AC219" s="1302"/>
      <c r="AD219" s="1303">
        <v>327.99</v>
      </c>
      <c r="AE219" s="1302"/>
      <c r="AF219" s="1303">
        <v>226.66</v>
      </c>
      <c r="AG219" s="1302"/>
      <c r="AH219" s="1303">
        <f t="shared" si="24"/>
        <v>2214.0200000000004</v>
      </c>
      <c r="AI219" s="1304">
        <f t="shared" si="25"/>
        <v>6.4729277276382135E-5</v>
      </c>
      <c r="AJ219" s="12"/>
    </row>
    <row r="220" spans="2:36" s="407" customFormat="1" outlineLevel="1">
      <c r="B220" s="24" t="s">
        <v>397</v>
      </c>
      <c r="D220" s="1298">
        <v>60195</v>
      </c>
      <c r="E220" s="1298" t="s">
        <v>81</v>
      </c>
      <c r="F220" s="1299"/>
      <c r="G220" s="1300"/>
      <c r="H220" s="1301"/>
      <c r="I220" s="1302"/>
      <c r="J220" s="1303">
        <v>0</v>
      </c>
      <c r="K220" s="1302"/>
      <c r="L220" s="1303">
        <v>0</v>
      </c>
      <c r="M220" s="1302"/>
      <c r="N220" s="1303">
        <v>0</v>
      </c>
      <c r="O220" s="1302"/>
      <c r="P220" s="1303">
        <v>0</v>
      </c>
      <c r="Q220" s="1302"/>
      <c r="R220" s="1303">
        <v>0</v>
      </c>
      <c r="S220" s="1302"/>
      <c r="T220" s="1303">
        <v>0</v>
      </c>
      <c r="U220" s="1302"/>
      <c r="V220" s="1303">
        <v>0</v>
      </c>
      <c r="W220" s="1302"/>
      <c r="X220" s="1303">
        <v>0</v>
      </c>
      <c r="Y220" s="1302"/>
      <c r="Z220" s="1303">
        <v>0</v>
      </c>
      <c r="AA220" s="1302"/>
      <c r="AB220" s="1303">
        <v>0</v>
      </c>
      <c r="AC220" s="1302"/>
      <c r="AD220" s="1303">
        <v>0</v>
      </c>
      <c r="AE220" s="1302"/>
      <c r="AF220" s="1303">
        <v>1166.5899999999999</v>
      </c>
      <c r="AG220" s="1302"/>
      <c r="AH220" s="1303">
        <f t="shared" si="24"/>
        <v>1166.5899999999999</v>
      </c>
      <c r="AI220" s="1304">
        <f t="shared" si="25"/>
        <v>3.4106524592304772E-5</v>
      </c>
      <c r="AJ220" s="12"/>
    </row>
    <row r="221" spans="2:36" s="407" customFormat="1" outlineLevel="1">
      <c r="B221" s="24" t="s">
        <v>397</v>
      </c>
      <c r="D221" s="1298">
        <v>60205</v>
      </c>
      <c r="E221" s="1298" t="s">
        <v>262</v>
      </c>
      <c r="F221" s="1299"/>
      <c r="G221" s="1300"/>
      <c r="H221" s="1301"/>
      <c r="I221" s="1302"/>
      <c r="J221" s="1303">
        <v>0</v>
      </c>
      <c r="K221" s="1302"/>
      <c r="L221" s="1303">
        <v>357.52</v>
      </c>
      <c r="M221" s="1302"/>
      <c r="N221" s="1303">
        <v>0</v>
      </c>
      <c r="O221" s="1302"/>
      <c r="P221" s="1303">
        <v>71.94</v>
      </c>
      <c r="Q221" s="1302"/>
      <c r="R221" s="1303">
        <v>0</v>
      </c>
      <c r="S221" s="1302"/>
      <c r="T221" s="1303">
        <v>0</v>
      </c>
      <c r="U221" s="1302"/>
      <c r="V221" s="1303">
        <v>0</v>
      </c>
      <c r="W221" s="1302"/>
      <c r="X221" s="1303">
        <v>0</v>
      </c>
      <c r="Y221" s="1302"/>
      <c r="Z221" s="1303">
        <v>0</v>
      </c>
      <c r="AA221" s="1302"/>
      <c r="AB221" s="1303">
        <v>85.84</v>
      </c>
      <c r="AC221" s="1302"/>
      <c r="AD221" s="1303">
        <v>0</v>
      </c>
      <c r="AE221" s="1302"/>
      <c r="AF221" s="1303">
        <v>0</v>
      </c>
      <c r="AG221" s="1302"/>
      <c r="AH221" s="1303">
        <f t="shared" si="24"/>
        <v>515.29999999999995</v>
      </c>
      <c r="AI221" s="1304">
        <f t="shared" si="25"/>
        <v>1.5065354685377594E-5</v>
      </c>
      <c r="AJ221" s="12"/>
    </row>
    <row r="222" spans="2:36" s="407" customFormat="1" outlineLevel="1">
      <c r="B222" s="24" t="s">
        <v>397</v>
      </c>
      <c r="D222" s="1298">
        <v>60225</v>
      </c>
      <c r="E222" s="1298" t="s">
        <v>258</v>
      </c>
      <c r="F222" s="1299"/>
      <c r="G222" s="1300"/>
      <c r="H222" s="1301"/>
      <c r="I222" s="1302"/>
      <c r="J222" s="1303">
        <v>300</v>
      </c>
      <c r="K222" s="1302"/>
      <c r="L222" s="1303">
        <v>0</v>
      </c>
      <c r="M222" s="1302"/>
      <c r="N222" s="1303">
        <v>3843.5</v>
      </c>
      <c r="O222" s="1302"/>
      <c r="P222" s="1303">
        <v>900</v>
      </c>
      <c r="Q222" s="1302"/>
      <c r="R222" s="1303">
        <v>150</v>
      </c>
      <c r="S222" s="1302"/>
      <c r="T222" s="1303">
        <v>3543.5</v>
      </c>
      <c r="U222" s="1302"/>
      <c r="V222" s="1303">
        <v>-2887.25</v>
      </c>
      <c r="W222" s="1302"/>
      <c r="X222" s="1303">
        <v>525</v>
      </c>
      <c r="Y222" s="1302"/>
      <c r="Z222" s="1303">
        <v>806.25</v>
      </c>
      <c r="AA222" s="1302"/>
      <c r="AB222" s="1303">
        <v>0</v>
      </c>
      <c r="AC222" s="1302"/>
      <c r="AD222" s="1303">
        <v>300</v>
      </c>
      <c r="AE222" s="1302"/>
      <c r="AF222" s="1303">
        <v>806.25</v>
      </c>
      <c r="AG222" s="1302"/>
      <c r="AH222" s="1303">
        <f t="shared" si="24"/>
        <v>8287.25</v>
      </c>
      <c r="AI222" s="1304">
        <f t="shared" si="25"/>
        <v>2.4228674678128368E-4</v>
      </c>
      <c r="AJ222" s="12"/>
    </row>
    <row r="223" spans="2:36" s="8" customFormat="1" ht="5.0999999999999996" customHeight="1" outlineLevel="1">
      <c r="B223" s="2" t="s">
        <v>194</v>
      </c>
      <c r="D223" s="1299"/>
      <c r="E223" s="1299"/>
      <c r="F223" s="1299"/>
      <c r="G223" s="1299"/>
      <c r="H223" s="1301"/>
      <c r="I223" s="1301"/>
      <c r="J223" s="1311"/>
      <c r="K223" s="1309"/>
      <c r="L223" s="1311"/>
      <c r="M223" s="1309"/>
      <c r="N223" s="1311"/>
      <c r="O223" s="1309"/>
      <c r="P223" s="1311"/>
      <c r="Q223" s="1309"/>
      <c r="R223" s="1311"/>
      <c r="S223" s="1309"/>
      <c r="T223" s="1311"/>
      <c r="U223" s="1309"/>
      <c r="V223" s="1311"/>
      <c r="W223" s="1309"/>
      <c r="X223" s="1311"/>
      <c r="Y223" s="1309"/>
      <c r="Z223" s="1311"/>
      <c r="AA223" s="1309"/>
      <c r="AB223" s="1311"/>
      <c r="AC223" s="1309"/>
      <c r="AD223" s="1311"/>
      <c r="AE223" s="1309"/>
      <c r="AF223" s="1311"/>
      <c r="AG223" s="1309"/>
      <c r="AH223" s="1311"/>
      <c r="AI223" s="1306"/>
      <c r="AJ223" s="15"/>
    </row>
    <row r="224" spans="2:36" s="8" customFormat="1" ht="15">
      <c r="B224" s="2" t="s">
        <v>194</v>
      </c>
      <c r="D224" s="1301"/>
      <c r="E224" s="1301"/>
      <c r="F224" s="1299" t="s">
        <v>259</v>
      </c>
      <c r="G224" s="1301"/>
      <c r="H224" s="1301"/>
      <c r="I224" s="1301"/>
      <c r="J224" s="1308">
        <f>SUM(J212:J223)</f>
        <v>8641.8599999999988</v>
      </c>
      <c r="K224" s="1309"/>
      <c r="L224" s="1308">
        <f>SUM(L212:L223)</f>
        <v>7961.35</v>
      </c>
      <c r="M224" s="1309"/>
      <c r="N224" s="1308">
        <f>SUM(N212:N223)</f>
        <v>10682.87</v>
      </c>
      <c r="O224" s="1309"/>
      <c r="P224" s="1308">
        <f>SUM(P212:P223)</f>
        <v>9279.4500000000007</v>
      </c>
      <c r="Q224" s="1309"/>
      <c r="R224" s="1308">
        <f>SUM(R212:R223)</f>
        <v>6701.1900000000014</v>
      </c>
      <c r="S224" s="1309"/>
      <c r="T224" s="1308">
        <f>SUM(T212:T223)</f>
        <v>11216.74</v>
      </c>
      <c r="U224" s="1309"/>
      <c r="V224" s="1308">
        <f>SUM(V212:V223)</f>
        <v>4106.7900000000009</v>
      </c>
      <c r="W224" s="1309"/>
      <c r="X224" s="1308">
        <f>SUM(X212:X223)</f>
        <v>5897.0300000000007</v>
      </c>
      <c r="Y224" s="1309"/>
      <c r="Z224" s="1308">
        <f>SUM(Z212:Z223)</f>
        <v>8186.1799999999994</v>
      </c>
      <c r="AA224" s="1309"/>
      <c r="AB224" s="1308">
        <f>SUM(AB212:AB223)</f>
        <v>6522.6699999999992</v>
      </c>
      <c r="AC224" s="1309"/>
      <c r="AD224" s="1308">
        <f>SUM(AD212:AD223)</f>
        <v>7619.9400000000005</v>
      </c>
      <c r="AE224" s="1309"/>
      <c r="AF224" s="1308">
        <f>SUM(AF212:AF223)</f>
        <v>9681.9499999999989</v>
      </c>
      <c r="AG224" s="1309"/>
      <c r="AH224" s="1308">
        <f>SUM(AH212:AH223)</f>
        <v>96498.02</v>
      </c>
      <c r="AI224" s="1304">
        <f>IF(AH$65=0,0,AH224/AH$65)</f>
        <v>2.8212243309463634E-3</v>
      </c>
      <c r="AJ224" s="15"/>
    </row>
    <row r="225" spans="2:36" s="8" customFormat="1" ht="15" outlineLevel="1">
      <c r="B225" s="2"/>
      <c r="D225" s="1301"/>
      <c r="E225" s="1301"/>
      <c r="F225" s="1301"/>
      <c r="G225" s="1301"/>
      <c r="H225" s="1301"/>
      <c r="I225" s="1301"/>
      <c r="J225" s="1310"/>
      <c r="K225" s="1309"/>
      <c r="L225" s="1310"/>
      <c r="M225" s="1309"/>
      <c r="N225" s="1310"/>
      <c r="O225" s="1309"/>
      <c r="P225" s="1310"/>
      <c r="Q225" s="1309"/>
      <c r="R225" s="1310"/>
      <c r="S225" s="1309"/>
      <c r="T225" s="1310"/>
      <c r="U225" s="1309"/>
      <c r="V225" s="1310"/>
      <c r="W225" s="1309"/>
      <c r="X225" s="1310"/>
      <c r="Y225" s="1309"/>
      <c r="Z225" s="1310"/>
      <c r="AA225" s="1309"/>
      <c r="AB225" s="1310"/>
      <c r="AC225" s="1309"/>
      <c r="AD225" s="1310"/>
      <c r="AE225" s="1309"/>
      <c r="AF225" s="1310"/>
      <c r="AG225" s="1309"/>
      <c r="AH225" s="1310"/>
      <c r="AI225" s="1306"/>
      <c r="AJ225" s="15"/>
    </row>
    <row r="226" spans="2:36" s="8" customFormat="1" ht="15" outlineLevel="1">
      <c r="B226" s="2" t="s">
        <v>194</v>
      </c>
      <c r="D226" s="1301"/>
      <c r="E226" s="1301"/>
      <c r="F226" s="1301"/>
      <c r="G226" s="1301"/>
      <c r="H226" s="1301"/>
      <c r="I226" s="1301"/>
      <c r="J226" s="1310"/>
      <c r="K226" s="1309"/>
      <c r="L226" s="1310"/>
      <c r="M226" s="1309"/>
      <c r="N226" s="1310"/>
      <c r="O226" s="1309"/>
      <c r="P226" s="1310"/>
      <c r="Q226" s="1309"/>
      <c r="R226" s="1310"/>
      <c r="S226" s="1309"/>
      <c r="T226" s="1310"/>
      <c r="U226" s="1309"/>
      <c r="V226" s="1310"/>
      <c r="W226" s="1309"/>
      <c r="X226" s="1310"/>
      <c r="Y226" s="1309"/>
      <c r="Z226" s="1310"/>
      <c r="AA226" s="1309"/>
      <c r="AB226" s="1310"/>
      <c r="AC226" s="1309"/>
      <c r="AD226" s="1310"/>
      <c r="AE226" s="1309"/>
      <c r="AF226" s="1310"/>
      <c r="AG226" s="1309"/>
      <c r="AH226" s="1310"/>
      <c r="AI226" s="1306"/>
      <c r="AJ226" s="15"/>
    </row>
    <row r="227" spans="2:36" s="407" customFormat="1" outlineLevel="1">
      <c r="B227" s="24" t="s">
        <v>418</v>
      </c>
      <c r="D227" s="1298">
        <v>70010</v>
      </c>
      <c r="E227" s="1298" t="s">
        <v>17</v>
      </c>
      <c r="F227" s="1299"/>
      <c r="G227" s="1300"/>
      <c r="H227" s="1301"/>
      <c r="I227" s="1302"/>
      <c r="J227" s="1303">
        <v>60332.06</v>
      </c>
      <c r="K227" s="1302"/>
      <c r="L227" s="1303">
        <v>56514.59</v>
      </c>
      <c r="M227" s="1302"/>
      <c r="N227" s="1303">
        <v>58385.75</v>
      </c>
      <c r="O227" s="1302"/>
      <c r="P227" s="1303">
        <v>59979.67</v>
      </c>
      <c r="Q227" s="1302"/>
      <c r="R227" s="1303">
        <v>53030.92</v>
      </c>
      <c r="S227" s="1302"/>
      <c r="T227" s="1303">
        <v>59357.83</v>
      </c>
      <c r="U227" s="1302"/>
      <c r="V227" s="1303">
        <v>56964.24</v>
      </c>
      <c r="W227" s="1302"/>
      <c r="X227" s="1303">
        <v>55157.75</v>
      </c>
      <c r="Y227" s="1302"/>
      <c r="Z227" s="1303">
        <v>59979.77</v>
      </c>
      <c r="AA227" s="1302"/>
      <c r="AB227" s="1303">
        <v>53924.94</v>
      </c>
      <c r="AC227" s="1302"/>
      <c r="AD227" s="1303">
        <v>56126.39</v>
      </c>
      <c r="AE227" s="1302"/>
      <c r="AF227" s="1303">
        <v>58410.51</v>
      </c>
      <c r="AG227" s="1302"/>
      <c r="AH227" s="1303">
        <f t="shared" ref="AH227:AH273" si="26">AF227+AD227+AB227+Z227+X227+V227+T227+R227+P227+N227+L227+J227</f>
        <v>688164.41999999993</v>
      </c>
      <c r="AI227" s="1304">
        <f t="shared" ref="AI227:AI273" si="27">IF(AH$65=0,0,AH227/AH$65)</f>
        <v>2.0119233590446643E-2</v>
      </c>
      <c r="AJ227" s="12"/>
    </row>
    <row r="228" spans="2:36" s="407" customFormat="1" outlineLevel="1">
      <c r="B228" s="24" t="s">
        <v>397</v>
      </c>
      <c r="D228" s="1298">
        <v>70020</v>
      </c>
      <c r="E228" s="1298" t="s">
        <v>24</v>
      </c>
      <c r="F228" s="1299"/>
      <c r="G228" s="1300"/>
      <c r="H228" s="1301"/>
      <c r="I228" s="1302"/>
      <c r="J228" s="1303">
        <v>48130.47</v>
      </c>
      <c r="K228" s="1302"/>
      <c r="L228" s="1303">
        <v>46189.32</v>
      </c>
      <c r="M228" s="1302"/>
      <c r="N228" s="1303">
        <v>49987.69</v>
      </c>
      <c r="O228" s="1302"/>
      <c r="P228" s="1303">
        <v>50503.88</v>
      </c>
      <c r="Q228" s="1302"/>
      <c r="R228" s="1303">
        <v>44965.52</v>
      </c>
      <c r="S228" s="1302"/>
      <c r="T228" s="1303">
        <v>46398.65</v>
      </c>
      <c r="U228" s="1302"/>
      <c r="V228" s="1303">
        <v>52055.57</v>
      </c>
      <c r="W228" s="1302"/>
      <c r="X228" s="1303">
        <v>49353.74</v>
      </c>
      <c r="Y228" s="1302"/>
      <c r="Z228" s="1303">
        <v>51031.66</v>
      </c>
      <c r="AA228" s="1302"/>
      <c r="AB228" s="1303">
        <v>33707.339999999997</v>
      </c>
      <c r="AC228" s="1302"/>
      <c r="AD228" s="1303">
        <v>41640.75</v>
      </c>
      <c r="AE228" s="1302"/>
      <c r="AF228" s="1303">
        <v>46993.14</v>
      </c>
      <c r="AG228" s="1302"/>
      <c r="AH228" s="1303">
        <f t="shared" si="26"/>
        <v>560957.7300000001</v>
      </c>
      <c r="AI228" s="1304">
        <f t="shared" si="27"/>
        <v>1.6400207968085157E-2</v>
      </c>
      <c r="AJ228" s="12"/>
    </row>
    <row r="229" spans="2:36" s="407" customFormat="1" outlineLevel="1">
      <c r="B229" s="24" t="s">
        <v>397</v>
      </c>
      <c r="D229" s="1298">
        <v>70025</v>
      </c>
      <c r="E229" s="1298" t="s">
        <v>25</v>
      </c>
      <c r="F229" s="1299"/>
      <c r="G229" s="1300"/>
      <c r="H229" s="1301"/>
      <c r="I229" s="1302"/>
      <c r="J229" s="1303">
        <v>4293.9399999999996</v>
      </c>
      <c r="K229" s="1302"/>
      <c r="L229" s="1303">
        <v>5471.89</v>
      </c>
      <c r="M229" s="1302"/>
      <c r="N229" s="1303">
        <v>3490.29</v>
      </c>
      <c r="O229" s="1302"/>
      <c r="P229" s="1303">
        <v>5095.2</v>
      </c>
      <c r="Q229" s="1302"/>
      <c r="R229" s="1303">
        <v>3501.64</v>
      </c>
      <c r="S229" s="1302"/>
      <c r="T229" s="1303">
        <v>5093.3</v>
      </c>
      <c r="U229" s="1302"/>
      <c r="V229" s="1303">
        <v>5777.66</v>
      </c>
      <c r="W229" s="1302"/>
      <c r="X229" s="1303">
        <v>5909.63</v>
      </c>
      <c r="Y229" s="1302"/>
      <c r="Z229" s="1303">
        <v>2912.17</v>
      </c>
      <c r="AA229" s="1302"/>
      <c r="AB229" s="1303">
        <v>3392.27</v>
      </c>
      <c r="AC229" s="1302"/>
      <c r="AD229" s="1303">
        <v>9180.48</v>
      </c>
      <c r="AE229" s="1302"/>
      <c r="AF229" s="1303">
        <v>6933.81</v>
      </c>
      <c r="AG229" s="1302"/>
      <c r="AH229" s="1303">
        <f t="shared" si="26"/>
        <v>61052.280000000006</v>
      </c>
      <c r="AI229" s="1304">
        <f t="shared" si="27"/>
        <v>1.7849296575800212E-3</v>
      </c>
      <c r="AJ229" s="12"/>
    </row>
    <row r="230" spans="2:36" s="407" customFormat="1" outlineLevel="1">
      <c r="B230" s="24" t="s">
        <v>397</v>
      </c>
      <c r="D230" s="1298">
        <v>70035</v>
      </c>
      <c r="E230" s="1298" t="s">
        <v>26</v>
      </c>
      <c r="F230" s="1299"/>
      <c r="G230" s="1300"/>
      <c r="H230" s="1301"/>
      <c r="I230" s="1302"/>
      <c r="J230" s="1303">
        <v>0</v>
      </c>
      <c r="K230" s="1302"/>
      <c r="L230" s="1303">
        <v>0</v>
      </c>
      <c r="M230" s="1302"/>
      <c r="N230" s="1303">
        <v>500</v>
      </c>
      <c r="O230" s="1302"/>
      <c r="P230" s="1303">
        <v>0</v>
      </c>
      <c r="Q230" s="1302"/>
      <c r="R230" s="1303">
        <v>0</v>
      </c>
      <c r="S230" s="1302"/>
      <c r="T230" s="1303">
        <v>0</v>
      </c>
      <c r="U230" s="1302"/>
      <c r="V230" s="1303">
        <v>0</v>
      </c>
      <c r="W230" s="1302"/>
      <c r="X230" s="1303">
        <v>0</v>
      </c>
      <c r="Y230" s="1302"/>
      <c r="Z230" s="1303">
        <v>0</v>
      </c>
      <c r="AA230" s="1302"/>
      <c r="AB230" s="1303">
        <v>0</v>
      </c>
      <c r="AC230" s="1302"/>
      <c r="AD230" s="1303">
        <v>0</v>
      </c>
      <c r="AE230" s="1302"/>
      <c r="AF230" s="1303">
        <v>0</v>
      </c>
      <c r="AG230" s="1302"/>
      <c r="AH230" s="1303">
        <f t="shared" si="26"/>
        <v>500</v>
      </c>
      <c r="AI230" s="1304">
        <f t="shared" si="27"/>
        <v>1.4618042582357458E-5</v>
      </c>
      <c r="AJ230" s="12"/>
    </row>
    <row r="231" spans="2:36" s="407" customFormat="1" outlineLevel="1">
      <c r="B231" s="24" t="s">
        <v>397</v>
      </c>
      <c r="D231" s="1298">
        <v>70036</v>
      </c>
      <c r="E231" s="1298" t="s">
        <v>228</v>
      </c>
      <c r="F231" s="1299"/>
      <c r="G231" s="1300"/>
      <c r="H231" s="1301"/>
      <c r="I231" s="1302"/>
      <c r="J231" s="1303">
        <v>1355</v>
      </c>
      <c r="K231" s="1302"/>
      <c r="L231" s="1303">
        <v>1289.69</v>
      </c>
      <c r="M231" s="1302"/>
      <c r="N231" s="1303">
        <v>1640</v>
      </c>
      <c r="O231" s="1302"/>
      <c r="P231" s="1303">
        <v>795.73</v>
      </c>
      <c r="Q231" s="1302"/>
      <c r="R231" s="1303">
        <v>1143.95</v>
      </c>
      <c r="S231" s="1302"/>
      <c r="T231" s="1303">
        <v>1495.73</v>
      </c>
      <c r="U231" s="1302"/>
      <c r="V231" s="1303">
        <v>768.58</v>
      </c>
      <c r="W231" s="1302"/>
      <c r="X231" s="1303">
        <v>1028.76</v>
      </c>
      <c r="Y231" s="1302"/>
      <c r="Z231" s="1303">
        <v>1233.6199999999999</v>
      </c>
      <c r="AA231" s="1302"/>
      <c r="AB231" s="1303">
        <v>200</v>
      </c>
      <c r="AC231" s="1302"/>
      <c r="AD231" s="1303">
        <v>1146.33</v>
      </c>
      <c r="AE231" s="1302"/>
      <c r="AF231" s="1303">
        <v>1633.96</v>
      </c>
      <c r="AG231" s="1302"/>
      <c r="AH231" s="1303">
        <f t="shared" si="26"/>
        <v>13731.35</v>
      </c>
      <c r="AI231" s="1304">
        <f t="shared" si="27"/>
        <v>4.0145091802650814E-4</v>
      </c>
      <c r="AJ231" s="12"/>
    </row>
    <row r="232" spans="2:36" s="407" customFormat="1" outlineLevel="1">
      <c r="B232" s="24" t="s">
        <v>397</v>
      </c>
      <c r="D232" s="1298">
        <v>70037</v>
      </c>
      <c r="E232" s="1298" t="s">
        <v>124</v>
      </c>
      <c r="F232" s="1299"/>
      <c r="G232" s="1300"/>
      <c r="H232" s="1301"/>
      <c r="I232" s="1302"/>
      <c r="J232" s="1303">
        <v>6379.19</v>
      </c>
      <c r="K232" s="1302"/>
      <c r="L232" s="1303">
        <v>0</v>
      </c>
      <c r="M232" s="1302"/>
      <c r="N232" s="1303">
        <v>0</v>
      </c>
      <c r="O232" s="1302"/>
      <c r="P232" s="1303">
        <v>0</v>
      </c>
      <c r="Q232" s="1302"/>
      <c r="R232" s="1303">
        <v>0</v>
      </c>
      <c r="S232" s="1302"/>
      <c r="T232" s="1303">
        <v>0</v>
      </c>
      <c r="U232" s="1302"/>
      <c r="V232" s="1303">
        <v>0</v>
      </c>
      <c r="W232" s="1302"/>
      <c r="X232" s="1303">
        <v>0</v>
      </c>
      <c r="Y232" s="1302"/>
      <c r="Z232" s="1303">
        <v>0</v>
      </c>
      <c r="AA232" s="1302"/>
      <c r="AB232" s="1303">
        <v>0</v>
      </c>
      <c r="AC232" s="1302"/>
      <c r="AD232" s="1303">
        <v>0</v>
      </c>
      <c r="AE232" s="1302"/>
      <c r="AF232" s="1303">
        <v>0</v>
      </c>
      <c r="AG232" s="1302"/>
      <c r="AH232" s="1303">
        <f t="shared" si="26"/>
        <v>6379.19</v>
      </c>
      <c r="AI232" s="1304">
        <f t="shared" si="27"/>
        <v>1.8650254212189773E-4</v>
      </c>
      <c r="AJ232" s="12"/>
    </row>
    <row r="233" spans="2:36" s="407" customFormat="1" outlineLevel="1">
      <c r="B233" s="24" t="s">
        <v>397</v>
      </c>
      <c r="D233" s="1298">
        <v>70045</v>
      </c>
      <c r="E233" s="1298" t="s">
        <v>27</v>
      </c>
      <c r="F233" s="1299"/>
      <c r="G233" s="1300"/>
      <c r="H233" s="1301"/>
      <c r="I233" s="1302"/>
      <c r="J233" s="1303">
        <v>508.79</v>
      </c>
      <c r="K233" s="1302"/>
      <c r="L233" s="1303">
        <v>0</v>
      </c>
      <c r="M233" s="1302"/>
      <c r="N233" s="1303">
        <v>0</v>
      </c>
      <c r="O233" s="1302"/>
      <c r="P233" s="1303">
        <v>160</v>
      </c>
      <c r="Q233" s="1302"/>
      <c r="R233" s="1303">
        <v>1321.03</v>
      </c>
      <c r="S233" s="1302"/>
      <c r="T233" s="1303">
        <v>1773.21</v>
      </c>
      <c r="U233" s="1302"/>
      <c r="V233" s="1303">
        <v>1148.55</v>
      </c>
      <c r="W233" s="1302"/>
      <c r="X233" s="1303">
        <v>503.76</v>
      </c>
      <c r="Y233" s="1302"/>
      <c r="Z233" s="1303">
        <v>611.58000000000004</v>
      </c>
      <c r="AA233" s="1302"/>
      <c r="AB233" s="1303">
        <v>0</v>
      </c>
      <c r="AC233" s="1302"/>
      <c r="AD233" s="1303">
        <v>0</v>
      </c>
      <c r="AE233" s="1302"/>
      <c r="AF233" s="1303">
        <v>0</v>
      </c>
      <c r="AG233" s="1302"/>
      <c r="AH233" s="1303">
        <f t="shared" si="26"/>
        <v>6026.92</v>
      </c>
      <c r="AI233" s="1304">
        <f t="shared" si="27"/>
        <v>1.762035464009236E-4</v>
      </c>
      <c r="AJ233" s="12"/>
    </row>
    <row r="234" spans="2:36" s="407" customFormat="1" outlineLevel="1">
      <c r="B234" s="24" t="s">
        <v>397</v>
      </c>
      <c r="D234" s="1298">
        <v>70050</v>
      </c>
      <c r="E234" s="1298" t="s">
        <v>166</v>
      </c>
      <c r="F234" s="1299"/>
      <c r="G234" s="1300"/>
      <c r="H234" s="1301"/>
      <c r="I234" s="1302"/>
      <c r="J234" s="1303">
        <v>7372.31</v>
      </c>
      <c r="K234" s="1302"/>
      <c r="L234" s="1303">
        <v>6657.53</v>
      </c>
      <c r="M234" s="1302"/>
      <c r="N234" s="1303">
        <v>6874.85</v>
      </c>
      <c r="O234" s="1302"/>
      <c r="P234" s="1303">
        <v>7238.62</v>
      </c>
      <c r="Q234" s="1302"/>
      <c r="R234" s="1303">
        <v>6207.75</v>
      </c>
      <c r="S234" s="1302"/>
      <c r="T234" s="1303">
        <v>7255.92</v>
      </c>
      <c r="U234" s="1302"/>
      <c r="V234" s="1303">
        <v>7137.11</v>
      </c>
      <c r="W234" s="1302"/>
      <c r="X234" s="1303">
        <v>7306.4</v>
      </c>
      <c r="Y234" s="1302"/>
      <c r="Z234" s="1303">
        <v>9621.7999999999993</v>
      </c>
      <c r="AA234" s="1302"/>
      <c r="AB234" s="1303">
        <v>6700.18</v>
      </c>
      <c r="AC234" s="1302"/>
      <c r="AD234" s="1303">
        <v>7507.05</v>
      </c>
      <c r="AE234" s="1302"/>
      <c r="AF234" s="1303">
        <v>7079.77</v>
      </c>
      <c r="AG234" s="1302"/>
      <c r="AH234" s="1303">
        <f t="shared" si="26"/>
        <v>86959.29</v>
      </c>
      <c r="AI234" s="1304">
        <f t="shared" si="27"/>
        <v>2.5423492083031418E-3</v>
      </c>
      <c r="AJ234" s="12"/>
    </row>
    <row r="235" spans="2:36" s="407" customFormat="1" outlineLevel="1">
      <c r="B235" s="24" t="s">
        <v>397</v>
      </c>
      <c r="D235" s="1298">
        <v>70060</v>
      </c>
      <c r="E235" s="1298" t="s">
        <v>75</v>
      </c>
      <c r="F235" s="1299"/>
      <c r="G235" s="1300"/>
      <c r="H235" s="1301"/>
      <c r="I235" s="1302"/>
      <c r="J235" s="1303">
        <v>25456.33</v>
      </c>
      <c r="K235" s="1302"/>
      <c r="L235" s="1303">
        <v>26194.71</v>
      </c>
      <c r="M235" s="1302"/>
      <c r="N235" s="1303">
        <v>26052.13</v>
      </c>
      <c r="O235" s="1302"/>
      <c r="P235" s="1303">
        <v>26790.84</v>
      </c>
      <c r="Q235" s="1302"/>
      <c r="R235" s="1303">
        <v>26171.49</v>
      </c>
      <c r="S235" s="1302"/>
      <c r="T235" s="1303">
        <v>22351</v>
      </c>
      <c r="U235" s="1302"/>
      <c r="V235" s="1303">
        <v>27544.66</v>
      </c>
      <c r="W235" s="1302"/>
      <c r="X235" s="1303">
        <v>27733.89</v>
      </c>
      <c r="Y235" s="1302"/>
      <c r="Z235" s="1303">
        <v>26498.880000000001</v>
      </c>
      <c r="AA235" s="1302"/>
      <c r="AB235" s="1303">
        <v>23817.64</v>
      </c>
      <c r="AC235" s="1302"/>
      <c r="AD235" s="1303">
        <v>26676.720000000001</v>
      </c>
      <c r="AE235" s="1302"/>
      <c r="AF235" s="1303">
        <v>26226.12</v>
      </c>
      <c r="AG235" s="1302"/>
      <c r="AH235" s="1303">
        <f t="shared" si="26"/>
        <v>311514.41000000003</v>
      </c>
      <c r="AI235" s="1304">
        <f t="shared" si="27"/>
        <v>9.1074618207959198E-3</v>
      </c>
      <c r="AJ235" s="12"/>
    </row>
    <row r="236" spans="2:36" s="407" customFormat="1" outlineLevel="1">
      <c r="B236" s="24" t="s">
        <v>397</v>
      </c>
      <c r="D236" s="1298">
        <v>70065</v>
      </c>
      <c r="E236" s="1298" t="s">
        <v>21</v>
      </c>
      <c r="F236" s="1299"/>
      <c r="G236" s="1300"/>
      <c r="H236" s="1301"/>
      <c r="I236" s="1302"/>
      <c r="J236" s="1303">
        <v>-1450.14</v>
      </c>
      <c r="K236" s="1302"/>
      <c r="L236" s="1303">
        <v>3052.97</v>
      </c>
      <c r="M236" s="1302"/>
      <c r="N236" s="1303">
        <v>-196.74</v>
      </c>
      <c r="O236" s="1302"/>
      <c r="P236" s="1303">
        <v>-889.06</v>
      </c>
      <c r="Q236" s="1302"/>
      <c r="R236" s="1303">
        <v>1546.32</v>
      </c>
      <c r="S236" s="1302"/>
      <c r="T236" s="1303">
        <v>4908.54</v>
      </c>
      <c r="U236" s="1302"/>
      <c r="V236" s="1303">
        <v>-351.05</v>
      </c>
      <c r="W236" s="1302"/>
      <c r="X236" s="1303">
        <v>-2652.86</v>
      </c>
      <c r="Y236" s="1302"/>
      <c r="Z236" s="1303">
        <v>2670</v>
      </c>
      <c r="AA236" s="1302"/>
      <c r="AB236" s="1303">
        <v>1656.78</v>
      </c>
      <c r="AC236" s="1302"/>
      <c r="AD236" s="1303">
        <v>2060.6</v>
      </c>
      <c r="AE236" s="1302"/>
      <c r="AF236" s="1303">
        <v>1226.1099999999999</v>
      </c>
      <c r="AG236" s="1302"/>
      <c r="AH236" s="1303">
        <f t="shared" si="26"/>
        <v>11581.47</v>
      </c>
      <c r="AI236" s="1304">
        <f t="shared" si="27"/>
        <v>3.3859684325259084E-4</v>
      </c>
      <c r="AJ236" s="12"/>
    </row>
    <row r="237" spans="2:36" s="407" customFormat="1" outlineLevel="1">
      <c r="B237" s="24" t="s">
        <v>397</v>
      </c>
      <c r="D237" s="1298">
        <v>70070</v>
      </c>
      <c r="E237" s="1298" t="s">
        <v>22</v>
      </c>
      <c r="F237" s="1299"/>
      <c r="G237" s="1300"/>
      <c r="H237" s="1301"/>
      <c r="I237" s="1302"/>
      <c r="J237" s="1303">
        <v>1728.29</v>
      </c>
      <c r="K237" s="1302"/>
      <c r="L237" s="1303">
        <v>2479.15</v>
      </c>
      <c r="M237" s="1302"/>
      <c r="N237" s="1303">
        <v>1948.3</v>
      </c>
      <c r="O237" s="1302"/>
      <c r="P237" s="1303">
        <v>2144.17</v>
      </c>
      <c r="Q237" s="1302"/>
      <c r="R237" s="1303">
        <v>1286.71</v>
      </c>
      <c r="S237" s="1302"/>
      <c r="T237" s="1303">
        <v>1967.64</v>
      </c>
      <c r="U237" s="1302"/>
      <c r="V237" s="1303">
        <v>1012.34</v>
      </c>
      <c r="W237" s="1302"/>
      <c r="X237" s="1303">
        <v>1189.55</v>
      </c>
      <c r="Y237" s="1302"/>
      <c r="Z237" s="1303">
        <v>4787</v>
      </c>
      <c r="AA237" s="1302"/>
      <c r="AB237" s="1303">
        <v>2062.71</v>
      </c>
      <c r="AC237" s="1302"/>
      <c r="AD237" s="1303">
        <v>2327.37</v>
      </c>
      <c r="AE237" s="1302"/>
      <c r="AF237" s="1303">
        <v>1724.27</v>
      </c>
      <c r="AG237" s="1302"/>
      <c r="AH237" s="1303">
        <f t="shared" si="26"/>
        <v>24657.500000000004</v>
      </c>
      <c r="AI237" s="1304">
        <f t="shared" si="27"/>
        <v>7.2088876994895815E-4</v>
      </c>
      <c r="AJ237" s="12"/>
    </row>
    <row r="238" spans="2:36" s="407" customFormat="1" outlineLevel="1">
      <c r="B238" s="24" t="s">
        <v>397</v>
      </c>
      <c r="D238" s="1298">
        <v>70086</v>
      </c>
      <c r="E238" s="1298" t="s">
        <v>60</v>
      </c>
      <c r="F238" s="1299"/>
      <c r="G238" s="1300"/>
      <c r="H238" s="1301"/>
      <c r="I238" s="1302"/>
      <c r="J238" s="1303">
        <v>1372.82</v>
      </c>
      <c r="K238" s="1302"/>
      <c r="L238" s="1303">
        <v>1338</v>
      </c>
      <c r="M238" s="1302"/>
      <c r="N238" s="1303">
        <v>1071</v>
      </c>
      <c r="O238" s="1302"/>
      <c r="P238" s="1303">
        <v>0</v>
      </c>
      <c r="Q238" s="1302"/>
      <c r="R238" s="1303">
        <v>1037</v>
      </c>
      <c r="S238" s="1302"/>
      <c r="T238" s="1303">
        <v>990</v>
      </c>
      <c r="U238" s="1302"/>
      <c r="V238" s="1303">
        <v>1912</v>
      </c>
      <c r="W238" s="1302"/>
      <c r="X238" s="1303">
        <v>1167</v>
      </c>
      <c r="Y238" s="1302"/>
      <c r="Z238" s="1303">
        <v>1101</v>
      </c>
      <c r="AA238" s="1302"/>
      <c r="AB238" s="1303">
        <v>1101</v>
      </c>
      <c r="AC238" s="1302"/>
      <c r="AD238" s="1303">
        <v>905.13</v>
      </c>
      <c r="AE238" s="1302"/>
      <c r="AF238" s="1303">
        <v>934.82</v>
      </c>
      <c r="AG238" s="1302"/>
      <c r="AH238" s="1303">
        <f t="shared" si="26"/>
        <v>12929.77</v>
      </c>
      <c r="AI238" s="1304">
        <f t="shared" si="27"/>
        <v>3.7801585688017596E-4</v>
      </c>
      <c r="AJ238" s="12"/>
    </row>
    <row r="239" spans="2:36" s="407" customFormat="1" outlineLevel="1">
      <c r="B239" s="24" t="s">
        <v>397</v>
      </c>
      <c r="D239" s="1298">
        <v>70090</v>
      </c>
      <c r="E239" s="1298" t="s">
        <v>126</v>
      </c>
      <c r="F239" s="1299"/>
      <c r="G239" s="1300"/>
      <c r="H239" s="1301"/>
      <c r="I239" s="1302"/>
      <c r="J239" s="1303">
        <v>344.44</v>
      </c>
      <c r="K239" s="1302"/>
      <c r="L239" s="1303">
        <v>0</v>
      </c>
      <c r="M239" s="1302"/>
      <c r="N239" s="1303">
        <v>0</v>
      </c>
      <c r="O239" s="1302"/>
      <c r="P239" s="1303">
        <v>0</v>
      </c>
      <c r="Q239" s="1302"/>
      <c r="R239" s="1303">
        <v>0</v>
      </c>
      <c r="S239" s="1302"/>
      <c r="T239" s="1303">
        <v>0</v>
      </c>
      <c r="U239" s="1302"/>
      <c r="V239" s="1303">
        <v>0</v>
      </c>
      <c r="W239" s="1302"/>
      <c r="X239" s="1303">
        <v>0</v>
      </c>
      <c r="Y239" s="1302"/>
      <c r="Z239" s="1303">
        <v>0</v>
      </c>
      <c r="AA239" s="1302"/>
      <c r="AB239" s="1303">
        <v>872.62</v>
      </c>
      <c r="AC239" s="1302"/>
      <c r="AD239" s="1303">
        <v>-132.93</v>
      </c>
      <c r="AE239" s="1302"/>
      <c r="AF239" s="1303">
        <v>359.41</v>
      </c>
      <c r="AG239" s="1302"/>
      <c r="AH239" s="1303">
        <f t="shared" si="26"/>
        <v>1443.54</v>
      </c>
      <c r="AI239" s="1304">
        <f t="shared" si="27"/>
        <v>4.2203458378672566E-5</v>
      </c>
      <c r="AJ239" s="12"/>
    </row>
    <row r="240" spans="2:36" s="407" customFormat="1" outlineLevel="1">
      <c r="B240" s="24" t="s">
        <v>397</v>
      </c>
      <c r="D240" s="1298">
        <v>70095</v>
      </c>
      <c r="E240" s="1298" t="s">
        <v>240</v>
      </c>
      <c r="F240" s="1299"/>
      <c r="G240" s="1300"/>
      <c r="H240" s="1301"/>
      <c r="I240" s="1302"/>
      <c r="J240" s="1303">
        <v>3197.73</v>
      </c>
      <c r="K240" s="1302"/>
      <c r="L240" s="1303">
        <v>11566.97</v>
      </c>
      <c r="M240" s="1302"/>
      <c r="N240" s="1303">
        <v>1351.59</v>
      </c>
      <c r="O240" s="1302"/>
      <c r="P240" s="1303">
        <v>7097.5</v>
      </c>
      <c r="Q240" s="1302"/>
      <c r="R240" s="1303">
        <v>26297.21</v>
      </c>
      <c r="S240" s="1302"/>
      <c r="T240" s="1303">
        <v>1905.19</v>
      </c>
      <c r="U240" s="1302"/>
      <c r="V240" s="1303">
        <v>6828.09</v>
      </c>
      <c r="W240" s="1302"/>
      <c r="X240" s="1303">
        <v>7945.92</v>
      </c>
      <c r="Y240" s="1302"/>
      <c r="Z240" s="1303">
        <v>7515.36</v>
      </c>
      <c r="AA240" s="1302"/>
      <c r="AB240" s="1303">
        <v>8224.74</v>
      </c>
      <c r="AC240" s="1302"/>
      <c r="AD240" s="1303">
        <v>8419.26</v>
      </c>
      <c r="AE240" s="1302"/>
      <c r="AF240" s="1303">
        <v>3031.48</v>
      </c>
      <c r="AG240" s="1302"/>
      <c r="AH240" s="1303">
        <f t="shared" si="26"/>
        <v>93381.04</v>
      </c>
      <c r="AI240" s="1304">
        <f t="shared" si="27"/>
        <v>2.7300960382096499E-3</v>
      </c>
      <c r="AJ240" s="12"/>
    </row>
    <row r="241" spans="2:36" s="407" customFormat="1" outlineLevel="1">
      <c r="B241" s="24" t="s">
        <v>397</v>
      </c>
      <c r="D241" s="1298">
        <v>70110</v>
      </c>
      <c r="E241" s="1298" t="s">
        <v>128</v>
      </c>
      <c r="F241" s="1299"/>
      <c r="G241" s="1300"/>
      <c r="H241" s="1301"/>
      <c r="I241" s="1302"/>
      <c r="J241" s="1303">
        <v>350</v>
      </c>
      <c r="K241" s="1302"/>
      <c r="L241" s="1303">
        <v>0</v>
      </c>
      <c r="M241" s="1302"/>
      <c r="N241" s="1303">
        <v>100</v>
      </c>
      <c r="O241" s="1302"/>
      <c r="P241" s="1303">
        <v>0</v>
      </c>
      <c r="Q241" s="1302"/>
      <c r="R241" s="1303">
        <v>0</v>
      </c>
      <c r="S241" s="1302"/>
      <c r="T241" s="1303">
        <v>1083</v>
      </c>
      <c r="U241" s="1302"/>
      <c r="V241" s="1303">
        <v>0</v>
      </c>
      <c r="W241" s="1302"/>
      <c r="X241" s="1303">
        <v>0</v>
      </c>
      <c r="Y241" s="1302"/>
      <c r="Z241" s="1303">
        <v>0</v>
      </c>
      <c r="AA241" s="1302"/>
      <c r="AB241" s="1303">
        <v>0</v>
      </c>
      <c r="AC241" s="1302"/>
      <c r="AD241" s="1303">
        <v>0</v>
      </c>
      <c r="AE241" s="1302"/>
      <c r="AF241" s="1303">
        <v>0</v>
      </c>
      <c r="AG241" s="1302"/>
      <c r="AH241" s="1303">
        <f t="shared" si="26"/>
        <v>1533</v>
      </c>
      <c r="AI241" s="1304">
        <f t="shared" si="27"/>
        <v>4.4818918557507966E-5</v>
      </c>
      <c r="AJ241" s="12"/>
    </row>
    <row r="242" spans="2:36" s="407" customFormat="1" outlineLevel="1">
      <c r="B242" s="24" t="s">
        <v>397</v>
      </c>
      <c r="D242" s="1298">
        <v>70112</v>
      </c>
      <c r="E242" s="1298" t="s">
        <v>419</v>
      </c>
      <c r="F242" s="1299"/>
      <c r="G242" s="1300"/>
      <c r="H242" s="1301"/>
      <c r="I242" s="1302"/>
      <c r="J242" s="1303">
        <v>0</v>
      </c>
      <c r="K242" s="1302"/>
      <c r="L242" s="1303">
        <v>0</v>
      </c>
      <c r="M242" s="1302"/>
      <c r="N242" s="1303">
        <v>0</v>
      </c>
      <c r="O242" s="1302"/>
      <c r="P242" s="1303">
        <v>950</v>
      </c>
      <c r="Q242" s="1302"/>
      <c r="R242" s="1303">
        <v>0</v>
      </c>
      <c r="S242" s="1302"/>
      <c r="T242" s="1303">
        <v>0</v>
      </c>
      <c r="U242" s="1302"/>
      <c r="V242" s="1303">
        <v>0</v>
      </c>
      <c r="W242" s="1302"/>
      <c r="X242" s="1303">
        <v>0</v>
      </c>
      <c r="Y242" s="1302"/>
      <c r="Z242" s="1303">
        <v>0</v>
      </c>
      <c r="AA242" s="1302"/>
      <c r="AB242" s="1303">
        <v>-500</v>
      </c>
      <c r="AC242" s="1302"/>
      <c r="AD242" s="1303">
        <v>0</v>
      </c>
      <c r="AE242" s="1302"/>
      <c r="AF242" s="1303">
        <v>0</v>
      </c>
      <c r="AG242" s="1302"/>
      <c r="AH242" s="1303">
        <f t="shared" si="26"/>
        <v>450</v>
      </c>
      <c r="AI242" s="1304">
        <f t="shared" si="27"/>
        <v>1.3156238324121711E-5</v>
      </c>
      <c r="AJ242" s="12"/>
    </row>
    <row r="243" spans="2:36" s="407" customFormat="1" outlineLevel="1">
      <c r="B243" s="24" t="s">
        <v>397</v>
      </c>
      <c r="D243" s="1298">
        <v>70116</v>
      </c>
      <c r="E243" s="1298" t="s">
        <v>120</v>
      </c>
      <c r="F243" s="1299"/>
      <c r="G243" s="1300"/>
      <c r="H243" s="1301"/>
      <c r="I243" s="1302"/>
      <c r="J243" s="1303">
        <v>2245.54</v>
      </c>
      <c r="K243" s="1302"/>
      <c r="L243" s="1303">
        <v>1535.24</v>
      </c>
      <c r="M243" s="1302"/>
      <c r="N243" s="1303">
        <v>1681.14</v>
      </c>
      <c r="O243" s="1302"/>
      <c r="P243" s="1303">
        <v>1618.85</v>
      </c>
      <c r="Q243" s="1302"/>
      <c r="R243" s="1303">
        <v>2030.62</v>
      </c>
      <c r="S243" s="1302"/>
      <c r="T243" s="1303">
        <v>1518.89</v>
      </c>
      <c r="U243" s="1302"/>
      <c r="V243" s="1303">
        <v>1383.57</v>
      </c>
      <c r="W243" s="1302"/>
      <c r="X243" s="1303">
        <v>1035.44</v>
      </c>
      <c r="Y243" s="1302"/>
      <c r="Z243" s="1303">
        <v>2476.13</v>
      </c>
      <c r="AA243" s="1302"/>
      <c r="AB243" s="1303">
        <v>3548.71</v>
      </c>
      <c r="AC243" s="1302"/>
      <c r="AD243" s="1303">
        <v>3403.75</v>
      </c>
      <c r="AE243" s="1302"/>
      <c r="AF243" s="1303">
        <v>2594.42</v>
      </c>
      <c r="AG243" s="1302"/>
      <c r="AH243" s="1303">
        <f t="shared" si="26"/>
        <v>25072.300000000003</v>
      </c>
      <c r="AI243" s="1304">
        <f t="shared" si="27"/>
        <v>7.3301589807528184E-4</v>
      </c>
      <c r="AJ243" s="12"/>
    </row>
    <row r="244" spans="2:36" s="407" customFormat="1" outlineLevel="1">
      <c r="B244" s="24" t="s">
        <v>397</v>
      </c>
      <c r="D244" s="1298">
        <v>70148</v>
      </c>
      <c r="E244" s="1298" t="s">
        <v>40</v>
      </c>
      <c r="F244" s="1299"/>
      <c r="G244" s="1300"/>
      <c r="H244" s="1301"/>
      <c r="I244" s="1302"/>
      <c r="J244" s="1303">
        <v>12303.49</v>
      </c>
      <c r="K244" s="1302"/>
      <c r="L244" s="1303">
        <v>12553.7</v>
      </c>
      <c r="M244" s="1302"/>
      <c r="N244" s="1303">
        <v>4580.7700000000004</v>
      </c>
      <c r="O244" s="1302"/>
      <c r="P244" s="1303">
        <v>6730.74</v>
      </c>
      <c r="Q244" s="1302"/>
      <c r="R244" s="1303">
        <v>8983.59</v>
      </c>
      <c r="S244" s="1302"/>
      <c r="T244" s="1303">
        <v>6112.09</v>
      </c>
      <c r="U244" s="1302"/>
      <c r="V244" s="1303">
        <v>7000.9</v>
      </c>
      <c r="W244" s="1302"/>
      <c r="X244" s="1303">
        <v>6417.64</v>
      </c>
      <c r="Y244" s="1302"/>
      <c r="Z244" s="1303">
        <v>10816.84</v>
      </c>
      <c r="AA244" s="1302"/>
      <c r="AB244" s="1303">
        <v>7890.44</v>
      </c>
      <c r="AC244" s="1302"/>
      <c r="AD244" s="1303">
        <v>12506.69</v>
      </c>
      <c r="AE244" s="1302"/>
      <c r="AF244" s="1303">
        <v>19087.72</v>
      </c>
      <c r="AG244" s="1302"/>
      <c r="AH244" s="1303">
        <f t="shared" si="26"/>
        <v>114984.61000000002</v>
      </c>
      <c r="AI244" s="1304">
        <f t="shared" si="27"/>
        <v>3.3616998505915305E-3</v>
      </c>
      <c r="AJ244" s="12"/>
    </row>
    <row r="245" spans="2:36" s="407" customFormat="1" outlineLevel="1">
      <c r="B245" s="24" t="s">
        <v>397</v>
      </c>
      <c r="D245" s="1298">
        <v>70150</v>
      </c>
      <c r="E245" s="1298" t="s">
        <v>44</v>
      </c>
      <c r="F245" s="1299"/>
      <c r="G245" s="1300"/>
      <c r="H245" s="1301"/>
      <c r="I245" s="1302"/>
      <c r="J245" s="1303">
        <v>2377.4899999999998</v>
      </c>
      <c r="K245" s="1302"/>
      <c r="L245" s="1303">
        <v>2283.83</v>
      </c>
      <c r="M245" s="1302"/>
      <c r="N245" s="1303">
        <v>2529.61</v>
      </c>
      <c r="O245" s="1302"/>
      <c r="P245" s="1303">
        <v>2282.9299999999998</v>
      </c>
      <c r="Q245" s="1302"/>
      <c r="R245" s="1303">
        <v>2280.86</v>
      </c>
      <c r="S245" s="1302"/>
      <c r="T245" s="1303">
        <v>2410.5</v>
      </c>
      <c r="U245" s="1302"/>
      <c r="V245" s="1303">
        <v>3246.22</v>
      </c>
      <c r="W245" s="1302"/>
      <c r="X245" s="1303">
        <v>3346.74</v>
      </c>
      <c r="Y245" s="1302"/>
      <c r="Z245" s="1303">
        <v>3454.96</v>
      </c>
      <c r="AA245" s="1302"/>
      <c r="AB245" s="1303">
        <v>5194.8500000000004</v>
      </c>
      <c r="AC245" s="1302"/>
      <c r="AD245" s="1303">
        <v>3250.98</v>
      </c>
      <c r="AE245" s="1302"/>
      <c r="AF245" s="1303">
        <v>2484.52</v>
      </c>
      <c r="AG245" s="1302"/>
      <c r="AH245" s="1303">
        <f t="shared" si="26"/>
        <v>35143.490000000005</v>
      </c>
      <c r="AI245" s="1304">
        <f t="shared" si="27"/>
        <v>1.027458066625307E-3</v>
      </c>
      <c r="AJ245" s="12"/>
    </row>
    <row r="246" spans="2:36" s="407" customFormat="1" outlineLevel="1">
      <c r="B246" s="24" t="s">
        <v>397</v>
      </c>
      <c r="D246" s="1298">
        <v>70165</v>
      </c>
      <c r="E246" s="1298" t="s">
        <v>235</v>
      </c>
      <c r="F246" s="1299"/>
      <c r="G246" s="1300"/>
      <c r="H246" s="1301"/>
      <c r="I246" s="1302"/>
      <c r="J246" s="1303">
        <v>1624.4</v>
      </c>
      <c r="K246" s="1302"/>
      <c r="L246" s="1303">
        <v>2786.24</v>
      </c>
      <c r="M246" s="1302"/>
      <c r="N246" s="1303">
        <v>2783.89</v>
      </c>
      <c r="O246" s="1302"/>
      <c r="P246" s="1303">
        <v>3930.67</v>
      </c>
      <c r="Q246" s="1302"/>
      <c r="R246" s="1303">
        <v>2693.15</v>
      </c>
      <c r="S246" s="1302"/>
      <c r="T246" s="1303">
        <v>2905.5</v>
      </c>
      <c r="U246" s="1302"/>
      <c r="V246" s="1303">
        <v>2395.71</v>
      </c>
      <c r="W246" s="1302"/>
      <c r="X246" s="1303">
        <v>2943.96</v>
      </c>
      <c r="Y246" s="1302"/>
      <c r="Z246" s="1303">
        <v>2447.59</v>
      </c>
      <c r="AA246" s="1302"/>
      <c r="AB246" s="1303">
        <v>1741.63</v>
      </c>
      <c r="AC246" s="1302"/>
      <c r="AD246" s="1303">
        <v>1552.35</v>
      </c>
      <c r="AE246" s="1302"/>
      <c r="AF246" s="1303">
        <v>1783.84</v>
      </c>
      <c r="AG246" s="1302"/>
      <c r="AH246" s="1303">
        <f t="shared" si="26"/>
        <v>29588.93</v>
      </c>
      <c r="AI246" s="1304">
        <f t="shared" si="27"/>
        <v>8.6506447741278815E-4</v>
      </c>
      <c r="AJ246" s="12"/>
    </row>
    <row r="247" spans="2:36" s="407" customFormat="1" outlineLevel="1">
      <c r="B247" s="24" t="s">
        <v>397</v>
      </c>
      <c r="D247" s="1298">
        <v>70167</v>
      </c>
      <c r="E247" s="1298" t="s">
        <v>260</v>
      </c>
      <c r="F247" s="1299"/>
      <c r="G247" s="1300"/>
      <c r="H247" s="1301"/>
      <c r="I247" s="1302"/>
      <c r="J247" s="1303">
        <v>250.16</v>
      </c>
      <c r="K247" s="1302"/>
      <c r="L247" s="1303">
        <v>1554.49</v>
      </c>
      <c r="M247" s="1302"/>
      <c r="N247" s="1303">
        <v>842.01</v>
      </c>
      <c r="O247" s="1302"/>
      <c r="P247" s="1303">
        <v>938.2</v>
      </c>
      <c r="Q247" s="1302"/>
      <c r="R247" s="1303">
        <v>843.42</v>
      </c>
      <c r="S247" s="1302"/>
      <c r="T247" s="1303">
        <v>296.47000000000003</v>
      </c>
      <c r="U247" s="1302"/>
      <c r="V247" s="1303">
        <v>893.9</v>
      </c>
      <c r="W247" s="1302"/>
      <c r="X247" s="1303">
        <v>1470.04</v>
      </c>
      <c r="Y247" s="1302"/>
      <c r="Z247" s="1303">
        <v>828</v>
      </c>
      <c r="AA247" s="1302"/>
      <c r="AB247" s="1303">
        <v>943.78</v>
      </c>
      <c r="AC247" s="1302"/>
      <c r="AD247" s="1303">
        <v>860.5</v>
      </c>
      <c r="AE247" s="1302"/>
      <c r="AF247" s="1303">
        <v>818.91</v>
      </c>
      <c r="AG247" s="1302"/>
      <c r="AH247" s="1303">
        <f t="shared" si="26"/>
        <v>10539.88</v>
      </c>
      <c r="AI247" s="1304">
        <f t="shared" si="27"/>
        <v>3.0814482930587543E-4</v>
      </c>
      <c r="AJ247" s="12"/>
    </row>
    <row r="248" spans="2:36" s="407" customFormat="1" outlineLevel="1">
      <c r="B248" s="24" t="s">
        <v>397</v>
      </c>
      <c r="D248" s="1298">
        <v>70175</v>
      </c>
      <c r="E248" s="1298" t="s">
        <v>550</v>
      </c>
      <c r="F248" s="1299"/>
      <c r="G248" s="1300"/>
      <c r="H248" s="1301"/>
      <c r="I248" s="1302"/>
      <c r="J248" s="1303">
        <v>0</v>
      </c>
      <c r="K248" s="1302"/>
      <c r="L248" s="1303">
        <v>0</v>
      </c>
      <c r="M248" s="1302"/>
      <c r="N248" s="1303">
        <v>0</v>
      </c>
      <c r="O248" s="1302"/>
      <c r="P248" s="1303">
        <v>0</v>
      </c>
      <c r="Q248" s="1302"/>
      <c r="R248" s="1303">
        <v>0</v>
      </c>
      <c r="S248" s="1302"/>
      <c r="T248" s="1303">
        <v>0</v>
      </c>
      <c r="U248" s="1302"/>
      <c r="V248" s="1303">
        <v>0</v>
      </c>
      <c r="W248" s="1302"/>
      <c r="X248" s="1303">
        <v>0</v>
      </c>
      <c r="Y248" s="1302"/>
      <c r="Z248" s="1303">
        <v>3656.62</v>
      </c>
      <c r="AA248" s="1302"/>
      <c r="AB248" s="1303">
        <v>3806.55</v>
      </c>
      <c r="AC248" s="1302"/>
      <c r="AD248" s="1303">
        <v>3673.96</v>
      </c>
      <c r="AE248" s="1302"/>
      <c r="AF248" s="1303">
        <v>2819.38</v>
      </c>
      <c r="AG248" s="1302"/>
      <c r="AH248" s="1303">
        <f t="shared" si="26"/>
        <v>13956.509999999998</v>
      </c>
      <c r="AI248" s="1304">
        <f t="shared" si="27"/>
        <v>4.0803371496219532E-4</v>
      </c>
      <c r="AJ248" s="12"/>
    </row>
    <row r="249" spans="2:36" s="407" customFormat="1" outlineLevel="1">
      <c r="B249" s="24" t="s">
        <v>397</v>
      </c>
      <c r="D249" s="1298">
        <v>70185</v>
      </c>
      <c r="E249" s="1298" t="s">
        <v>76</v>
      </c>
      <c r="F249" s="1299"/>
      <c r="G249" s="1300"/>
      <c r="H249" s="1301"/>
      <c r="I249" s="1302"/>
      <c r="J249" s="1303">
        <v>0</v>
      </c>
      <c r="K249" s="1302"/>
      <c r="L249" s="1303">
        <v>2543.52</v>
      </c>
      <c r="M249" s="1302"/>
      <c r="N249" s="1303">
        <v>1143.5</v>
      </c>
      <c r="O249" s="1302"/>
      <c r="P249" s="1303">
        <v>384.77</v>
      </c>
      <c r="Q249" s="1302"/>
      <c r="R249" s="1303">
        <v>159.82</v>
      </c>
      <c r="S249" s="1302"/>
      <c r="T249" s="1303">
        <v>1174.68</v>
      </c>
      <c r="U249" s="1302"/>
      <c r="V249" s="1303">
        <v>1062.29</v>
      </c>
      <c r="W249" s="1302"/>
      <c r="X249" s="1303">
        <v>2025.37</v>
      </c>
      <c r="Y249" s="1302"/>
      <c r="Z249" s="1303">
        <v>1063.51</v>
      </c>
      <c r="AA249" s="1302"/>
      <c r="AB249" s="1303">
        <v>0</v>
      </c>
      <c r="AC249" s="1302"/>
      <c r="AD249" s="1303">
        <v>0</v>
      </c>
      <c r="AE249" s="1302"/>
      <c r="AF249" s="1303">
        <v>1000</v>
      </c>
      <c r="AG249" s="1302"/>
      <c r="AH249" s="1303">
        <f t="shared" si="26"/>
        <v>10557.460000000001</v>
      </c>
      <c r="AI249" s="1304">
        <f t="shared" si="27"/>
        <v>3.0865879968307113E-4</v>
      </c>
      <c r="AJ249" s="12"/>
    </row>
    <row r="250" spans="2:36" s="407" customFormat="1" outlineLevel="1">
      <c r="B250" s="24" t="s">
        <v>397</v>
      </c>
      <c r="D250" s="1298">
        <v>70190</v>
      </c>
      <c r="E250" s="1298" t="s">
        <v>639</v>
      </c>
      <c r="F250" s="1299"/>
      <c r="G250" s="1300"/>
      <c r="H250" s="1301"/>
      <c r="I250" s="1302"/>
      <c r="J250" s="1303">
        <v>0</v>
      </c>
      <c r="K250" s="1302"/>
      <c r="L250" s="1303">
        <v>0</v>
      </c>
      <c r="M250" s="1302"/>
      <c r="N250" s="1303">
        <v>0</v>
      </c>
      <c r="O250" s="1302"/>
      <c r="P250" s="1303">
        <v>0</v>
      </c>
      <c r="Q250" s="1302"/>
      <c r="R250" s="1303">
        <v>0</v>
      </c>
      <c r="S250" s="1302"/>
      <c r="T250" s="1303">
        <v>0</v>
      </c>
      <c r="U250" s="1302"/>
      <c r="V250" s="1303">
        <v>0</v>
      </c>
      <c r="W250" s="1302"/>
      <c r="X250" s="1303">
        <v>0</v>
      </c>
      <c r="Y250" s="1302"/>
      <c r="Z250" s="1303">
        <v>0</v>
      </c>
      <c r="AA250" s="1302"/>
      <c r="AB250" s="1303">
        <v>0</v>
      </c>
      <c r="AC250" s="1302"/>
      <c r="AD250" s="1303">
        <v>0</v>
      </c>
      <c r="AE250" s="1302"/>
      <c r="AF250" s="1303">
        <v>580</v>
      </c>
      <c r="AG250" s="1302"/>
      <c r="AH250" s="1303">
        <f t="shared" si="26"/>
        <v>580</v>
      </c>
      <c r="AI250" s="1304">
        <f t="shared" si="27"/>
        <v>1.6956929395534652E-5</v>
      </c>
      <c r="AJ250" s="12"/>
    </row>
    <row r="251" spans="2:36" s="407" customFormat="1" outlineLevel="1">
      <c r="B251" s="24" t="s">
        <v>397</v>
      </c>
      <c r="D251" s="1298">
        <v>70195</v>
      </c>
      <c r="E251" s="1298" t="s">
        <v>81</v>
      </c>
      <c r="F251" s="1299"/>
      <c r="G251" s="1300"/>
      <c r="H251" s="1301"/>
      <c r="I251" s="1302"/>
      <c r="J251" s="1303">
        <v>2044.75</v>
      </c>
      <c r="K251" s="1302"/>
      <c r="L251" s="1303">
        <v>1584.93</v>
      </c>
      <c r="M251" s="1302"/>
      <c r="N251" s="1303">
        <v>1409.93</v>
      </c>
      <c r="O251" s="1302"/>
      <c r="P251" s="1303">
        <v>909.93</v>
      </c>
      <c r="Q251" s="1302"/>
      <c r="R251" s="1303">
        <v>909.93</v>
      </c>
      <c r="S251" s="1302"/>
      <c r="T251" s="1303">
        <v>1089.93</v>
      </c>
      <c r="U251" s="1302"/>
      <c r="V251" s="1303">
        <v>909.93</v>
      </c>
      <c r="W251" s="1302"/>
      <c r="X251" s="1303">
        <v>2209.9299999999998</v>
      </c>
      <c r="Y251" s="1302"/>
      <c r="Z251" s="1303">
        <v>1308.25</v>
      </c>
      <c r="AA251" s="1302"/>
      <c r="AB251" s="1303">
        <v>1109.6500000000001</v>
      </c>
      <c r="AC251" s="1302"/>
      <c r="AD251" s="1303">
        <v>851.65</v>
      </c>
      <c r="AE251" s="1302"/>
      <c r="AF251" s="1303">
        <v>1821.21</v>
      </c>
      <c r="AG251" s="1302"/>
      <c r="AH251" s="1303">
        <f t="shared" si="26"/>
        <v>16160.020000000002</v>
      </c>
      <c r="AI251" s="1304">
        <f t="shared" si="27"/>
        <v>4.7245572098349636E-4</v>
      </c>
      <c r="AJ251" s="12"/>
    </row>
    <row r="252" spans="2:36" s="407" customFormat="1" outlineLevel="1">
      <c r="B252" s="24" t="s">
        <v>397</v>
      </c>
      <c r="D252" s="1298">
        <v>70200</v>
      </c>
      <c r="E252" s="1298" t="s">
        <v>59</v>
      </c>
      <c r="F252" s="1299"/>
      <c r="G252" s="1300"/>
      <c r="H252" s="1301"/>
      <c r="I252" s="1302"/>
      <c r="J252" s="1303">
        <v>0</v>
      </c>
      <c r="K252" s="1302"/>
      <c r="L252" s="1303">
        <v>0</v>
      </c>
      <c r="M252" s="1302"/>
      <c r="N252" s="1303">
        <v>0</v>
      </c>
      <c r="O252" s="1302"/>
      <c r="P252" s="1303">
        <v>0</v>
      </c>
      <c r="Q252" s="1302"/>
      <c r="R252" s="1303">
        <v>0</v>
      </c>
      <c r="S252" s="1302"/>
      <c r="T252" s="1303">
        <v>0</v>
      </c>
      <c r="U252" s="1302"/>
      <c r="V252" s="1303">
        <v>0</v>
      </c>
      <c r="W252" s="1302"/>
      <c r="X252" s="1303">
        <v>0</v>
      </c>
      <c r="Y252" s="1302"/>
      <c r="Z252" s="1303">
        <v>0</v>
      </c>
      <c r="AA252" s="1302"/>
      <c r="AB252" s="1303">
        <v>1154.32</v>
      </c>
      <c r="AC252" s="1302"/>
      <c r="AD252" s="1303">
        <v>0</v>
      </c>
      <c r="AE252" s="1302"/>
      <c r="AF252" s="1303">
        <v>0</v>
      </c>
      <c r="AG252" s="1302"/>
      <c r="AH252" s="1303">
        <f t="shared" si="26"/>
        <v>1154.32</v>
      </c>
      <c r="AI252" s="1304">
        <f t="shared" si="27"/>
        <v>3.374779782733372E-5</v>
      </c>
      <c r="AJ252" s="12"/>
    </row>
    <row r="253" spans="2:36" s="407" customFormat="1" outlineLevel="1">
      <c r="B253" s="24" t="s">
        <v>397</v>
      </c>
      <c r="D253" s="1298">
        <v>70201</v>
      </c>
      <c r="E253" s="1298" t="s">
        <v>77</v>
      </c>
      <c r="F253" s="1299"/>
      <c r="G253" s="1300"/>
      <c r="H253" s="1301"/>
      <c r="I253" s="1302"/>
      <c r="J253" s="1303">
        <v>292.79000000000002</v>
      </c>
      <c r="K253" s="1302"/>
      <c r="L253" s="1303">
        <v>0</v>
      </c>
      <c r="M253" s="1302"/>
      <c r="N253" s="1303">
        <v>72.64</v>
      </c>
      <c r="O253" s="1302"/>
      <c r="P253" s="1303">
        <v>0</v>
      </c>
      <c r="Q253" s="1302"/>
      <c r="R253" s="1303">
        <v>0</v>
      </c>
      <c r="S253" s="1302"/>
      <c r="T253" s="1303">
        <v>0</v>
      </c>
      <c r="U253" s="1302"/>
      <c r="V253" s="1303">
        <v>0</v>
      </c>
      <c r="W253" s="1302"/>
      <c r="X253" s="1303">
        <v>0</v>
      </c>
      <c r="Y253" s="1302"/>
      <c r="Z253" s="1303">
        <v>0</v>
      </c>
      <c r="AA253" s="1302"/>
      <c r="AB253" s="1303">
        <v>0</v>
      </c>
      <c r="AC253" s="1302"/>
      <c r="AD253" s="1303">
        <v>0</v>
      </c>
      <c r="AE253" s="1302"/>
      <c r="AF253" s="1303">
        <v>0</v>
      </c>
      <c r="AG253" s="1302"/>
      <c r="AH253" s="1303">
        <f t="shared" si="26"/>
        <v>365.43</v>
      </c>
      <c r="AI253" s="1304">
        <f t="shared" si="27"/>
        <v>1.0683742601741771E-5</v>
      </c>
      <c r="AJ253" s="12"/>
    </row>
    <row r="254" spans="2:36" s="407" customFormat="1" outlineLevel="1">
      <c r="B254" s="24" t="s">
        <v>397</v>
      </c>
      <c r="D254" s="1298">
        <v>70202</v>
      </c>
      <c r="E254" s="1298" t="s">
        <v>261</v>
      </c>
      <c r="F254" s="1299"/>
      <c r="G254" s="1300"/>
      <c r="H254" s="1301"/>
      <c r="I254" s="1302"/>
      <c r="J254" s="1303">
        <v>621.1</v>
      </c>
      <c r="K254" s="1302"/>
      <c r="L254" s="1303">
        <v>-499.13</v>
      </c>
      <c r="M254" s="1302"/>
      <c r="N254" s="1303">
        <v>1853.53</v>
      </c>
      <c r="O254" s="1302"/>
      <c r="P254" s="1303">
        <v>0</v>
      </c>
      <c r="Q254" s="1302"/>
      <c r="R254" s="1303">
        <v>978.53</v>
      </c>
      <c r="S254" s="1302"/>
      <c r="T254" s="1303">
        <v>336.23</v>
      </c>
      <c r="U254" s="1302"/>
      <c r="V254" s="1303">
        <v>859.24</v>
      </c>
      <c r="W254" s="1302"/>
      <c r="X254" s="1303">
        <v>0</v>
      </c>
      <c r="Y254" s="1302"/>
      <c r="Z254" s="1303">
        <v>439.55</v>
      </c>
      <c r="AA254" s="1302"/>
      <c r="AB254" s="1303">
        <v>1092.81</v>
      </c>
      <c r="AC254" s="1302"/>
      <c r="AD254" s="1303">
        <v>1181.8699999999999</v>
      </c>
      <c r="AE254" s="1302"/>
      <c r="AF254" s="1303">
        <v>1026.28</v>
      </c>
      <c r="AG254" s="1302"/>
      <c r="AH254" s="1303">
        <f t="shared" si="26"/>
        <v>7890.0099999999993</v>
      </c>
      <c r="AI254" s="1304">
        <f t="shared" si="27"/>
        <v>2.3067300431045231E-4</v>
      </c>
      <c r="AJ254" s="12"/>
    </row>
    <row r="255" spans="2:36" s="407" customFormat="1" outlineLevel="1">
      <c r="B255" s="24" t="s">
        <v>397</v>
      </c>
      <c r="D255" s="1298">
        <v>70203</v>
      </c>
      <c r="E255" s="1298" t="s">
        <v>136</v>
      </c>
      <c r="F255" s="1299"/>
      <c r="G255" s="1300"/>
      <c r="H255" s="1301"/>
      <c r="I255" s="1302"/>
      <c r="J255" s="1303">
        <v>0</v>
      </c>
      <c r="K255" s="1302"/>
      <c r="L255" s="1303">
        <v>496.7</v>
      </c>
      <c r="M255" s="1302"/>
      <c r="N255" s="1303">
        <v>176.49</v>
      </c>
      <c r="O255" s="1302"/>
      <c r="P255" s="1303">
        <v>0</v>
      </c>
      <c r="Q255" s="1302"/>
      <c r="R255" s="1303">
        <v>0</v>
      </c>
      <c r="S255" s="1302"/>
      <c r="T255" s="1303">
        <v>0</v>
      </c>
      <c r="U255" s="1302"/>
      <c r="V255" s="1303">
        <v>0</v>
      </c>
      <c r="W255" s="1302"/>
      <c r="X255" s="1303">
        <v>0</v>
      </c>
      <c r="Y255" s="1302"/>
      <c r="Z255" s="1303">
        <v>0</v>
      </c>
      <c r="AA255" s="1302"/>
      <c r="AB255" s="1303">
        <v>0</v>
      </c>
      <c r="AC255" s="1302"/>
      <c r="AD255" s="1303">
        <v>0</v>
      </c>
      <c r="AE255" s="1302"/>
      <c r="AF255" s="1303">
        <v>0</v>
      </c>
      <c r="AG255" s="1302"/>
      <c r="AH255" s="1303">
        <f t="shared" si="26"/>
        <v>673.19</v>
      </c>
      <c r="AI255" s="1304">
        <f t="shared" si="27"/>
        <v>1.9681440172034435E-5</v>
      </c>
      <c r="AJ255" s="12"/>
    </row>
    <row r="256" spans="2:36" s="407" customFormat="1" outlineLevel="1">
      <c r="B256" s="24" t="s">
        <v>397</v>
      </c>
      <c r="D256" s="1298">
        <v>70205</v>
      </c>
      <c r="E256" s="1298" t="s">
        <v>262</v>
      </c>
      <c r="F256" s="1299"/>
      <c r="G256" s="1300"/>
      <c r="H256" s="1301"/>
      <c r="I256" s="1302"/>
      <c r="J256" s="1303">
        <v>862.09</v>
      </c>
      <c r="K256" s="1302"/>
      <c r="L256" s="1303">
        <v>561.21</v>
      </c>
      <c r="M256" s="1302"/>
      <c r="N256" s="1303">
        <v>210.97</v>
      </c>
      <c r="O256" s="1302"/>
      <c r="P256" s="1303">
        <v>254.79</v>
      </c>
      <c r="Q256" s="1302"/>
      <c r="R256" s="1303">
        <v>292.47000000000003</v>
      </c>
      <c r="S256" s="1302"/>
      <c r="T256" s="1303">
        <v>57.91</v>
      </c>
      <c r="U256" s="1302"/>
      <c r="V256" s="1303">
        <v>416.11</v>
      </c>
      <c r="W256" s="1302"/>
      <c r="X256" s="1303">
        <v>39.29</v>
      </c>
      <c r="Y256" s="1302"/>
      <c r="Z256" s="1303">
        <v>4.6399999999999997</v>
      </c>
      <c r="AA256" s="1302"/>
      <c r="AB256" s="1303">
        <v>96.86</v>
      </c>
      <c r="AC256" s="1302"/>
      <c r="AD256" s="1303">
        <v>254.53</v>
      </c>
      <c r="AE256" s="1302"/>
      <c r="AF256" s="1303">
        <v>32.479999999999997</v>
      </c>
      <c r="AG256" s="1302"/>
      <c r="AH256" s="1303">
        <f t="shared" si="26"/>
        <v>3083.3500000000004</v>
      </c>
      <c r="AI256" s="1304">
        <f t="shared" si="27"/>
        <v>9.0145083192623741E-5</v>
      </c>
      <c r="AJ256" s="12"/>
    </row>
    <row r="257" spans="2:36" s="407" customFormat="1" outlineLevel="1">
      <c r="B257" s="24" t="s">
        <v>397</v>
      </c>
      <c r="D257" s="1298">
        <v>70206</v>
      </c>
      <c r="E257" s="1298" t="s">
        <v>263</v>
      </c>
      <c r="F257" s="1299"/>
      <c r="G257" s="1300"/>
      <c r="H257" s="1301"/>
      <c r="I257" s="1302"/>
      <c r="J257" s="1303">
        <v>0</v>
      </c>
      <c r="K257" s="1302"/>
      <c r="L257" s="1303">
        <v>367.29</v>
      </c>
      <c r="M257" s="1302"/>
      <c r="N257" s="1303">
        <v>35.47</v>
      </c>
      <c r="O257" s="1302"/>
      <c r="P257" s="1303">
        <v>0</v>
      </c>
      <c r="Q257" s="1302"/>
      <c r="R257" s="1303">
        <v>0</v>
      </c>
      <c r="S257" s="1302"/>
      <c r="T257" s="1303">
        <v>193.49</v>
      </c>
      <c r="U257" s="1302"/>
      <c r="V257" s="1303">
        <v>13.33</v>
      </c>
      <c r="W257" s="1302"/>
      <c r="X257" s="1303">
        <v>0</v>
      </c>
      <c r="Y257" s="1302"/>
      <c r="Z257" s="1303">
        <v>0</v>
      </c>
      <c r="AA257" s="1302"/>
      <c r="AB257" s="1303">
        <v>0</v>
      </c>
      <c r="AC257" s="1302"/>
      <c r="AD257" s="1303">
        <v>239.7</v>
      </c>
      <c r="AE257" s="1302"/>
      <c r="AF257" s="1303">
        <v>85</v>
      </c>
      <c r="AG257" s="1302"/>
      <c r="AH257" s="1303">
        <f t="shared" si="26"/>
        <v>934.28</v>
      </c>
      <c r="AI257" s="1304">
        <f t="shared" si="27"/>
        <v>2.731468964768985E-5</v>
      </c>
      <c r="AJ257" s="12"/>
    </row>
    <row r="258" spans="2:36" s="407" customFormat="1" outlineLevel="1">
      <c r="B258" s="24" t="s">
        <v>397</v>
      </c>
      <c r="D258" s="1298">
        <v>70210</v>
      </c>
      <c r="E258" s="1298" t="s">
        <v>264</v>
      </c>
      <c r="F258" s="1299"/>
      <c r="G258" s="1300"/>
      <c r="H258" s="1301"/>
      <c r="I258" s="1302"/>
      <c r="J258" s="1303">
        <v>11875.32</v>
      </c>
      <c r="K258" s="1302"/>
      <c r="L258" s="1303">
        <v>9492.36</v>
      </c>
      <c r="M258" s="1302"/>
      <c r="N258" s="1303">
        <v>8852.41</v>
      </c>
      <c r="O258" s="1302"/>
      <c r="P258" s="1303">
        <v>12096.06</v>
      </c>
      <c r="Q258" s="1302"/>
      <c r="R258" s="1303">
        <v>9903.08</v>
      </c>
      <c r="S258" s="1302"/>
      <c r="T258" s="1303">
        <v>8277.41</v>
      </c>
      <c r="U258" s="1302"/>
      <c r="V258" s="1303">
        <v>8263.51</v>
      </c>
      <c r="W258" s="1302"/>
      <c r="X258" s="1303">
        <v>6757.88</v>
      </c>
      <c r="Y258" s="1302"/>
      <c r="Z258" s="1303">
        <v>8290.23</v>
      </c>
      <c r="AA258" s="1302"/>
      <c r="AB258" s="1303">
        <v>1529.54</v>
      </c>
      <c r="AC258" s="1302"/>
      <c r="AD258" s="1303">
        <v>7684.9</v>
      </c>
      <c r="AE258" s="1302"/>
      <c r="AF258" s="1303">
        <v>7191.4</v>
      </c>
      <c r="AG258" s="1302"/>
      <c r="AH258" s="1303">
        <f t="shared" si="26"/>
        <v>100214.1</v>
      </c>
      <c r="AI258" s="1304">
        <f t="shared" si="27"/>
        <v>2.9298679623052572E-3</v>
      </c>
      <c r="AJ258" s="12"/>
    </row>
    <row r="259" spans="2:36" s="407" customFormat="1" outlineLevel="1">
      <c r="B259" s="24" t="s">
        <v>397</v>
      </c>
      <c r="D259" s="1298">
        <v>70214</v>
      </c>
      <c r="E259" s="1298" t="s">
        <v>105</v>
      </c>
      <c r="F259" s="1299"/>
      <c r="G259" s="1300"/>
      <c r="H259" s="1301"/>
      <c r="I259" s="1302"/>
      <c r="J259" s="1303">
        <v>14750.71</v>
      </c>
      <c r="K259" s="1302"/>
      <c r="L259" s="1303">
        <v>10681.43</v>
      </c>
      <c r="M259" s="1302"/>
      <c r="N259" s="1303">
        <v>12884.44</v>
      </c>
      <c r="O259" s="1302"/>
      <c r="P259" s="1303">
        <v>13089.47</v>
      </c>
      <c r="Q259" s="1302"/>
      <c r="R259" s="1303">
        <v>12635.83</v>
      </c>
      <c r="S259" s="1302"/>
      <c r="T259" s="1303">
        <v>13731.45</v>
      </c>
      <c r="U259" s="1302"/>
      <c r="V259" s="1303">
        <v>14569.32</v>
      </c>
      <c r="W259" s="1302"/>
      <c r="X259" s="1303">
        <v>13912.48</v>
      </c>
      <c r="Y259" s="1302"/>
      <c r="Z259" s="1303">
        <v>14018.62</v>
      </c>
      <c r="AA259" s="1302"/>
      <c r="AB259" s="1303">
        <v>14064.06</v>
      </c>
      <c r="AC259" s="1302"/>
      <c r="AD259" s="1303">
        <v>13890.27</v>
      </c>
      <c r="AE259" s="1302"/>
      <c r="AF259" s="1303">
        <v>15205.26</v>
      </c>
      <c r="AG259" s="1302"/>
      <c r="AH259" s="1303">
        <f t="shared" si="26"/>
        <v>163433.34</v>
      </c>
      <c r="AI259" s="1304">
        <f t="shared" si="27"/>
        <v>4.7781510469938086E-3</v>
      </c>
      <c r="AJ259" s="12"/>
    </row>
    <row r="260" spans="2:36" s="407" customFormat="1" outlineLevel="1">
      <c r="B260" s="24" t="s">
        <v>397</v>
      </c>
      <c r="D260" s="1298">
        <v>70215</v>
      </c>
      <c r="E260" s="1298" t="s">
        <v>106</v>
      </c>
      <c r="F260" s="1299"/>
      <c r="G260" s="1300"/>
      <c r="H260" s="1301"/>
      <c r="I260" s="1302"/>
      <c r="J260" s="1303">
        <v>0</v>
      </c>
      <c r="K260" s="1302"/>
      <c r="L260" s="1303">
        <v>0</v>
      </c>
      <c r="M260" s="1302"/>
      <c r="N260" s="1303">
        <v>0</v>
      </c>
      <c r="O260" s="1302"/>
      <c r="P260" s="1303">
        <v>0</v>
      </c>
      <c r="Q260" s="1302"/>
      <c r="R260" s="1303">
        <v>0</v>
      </c>
      <c r="S260" s="1302"/>
      <c r="T260" s="1303">
        <v>0</v>
      </c>
      <c r="U260" s="1302"/>
      <c r="V260" s="1303">
        <v>0</v>
      </c>
      <c r="W260" s="1302"/>
      <c r="X260" s="1303">
        <v>0</v>
      </c>
      <c r="Y260" s="1302"/>
      <c r="Z260" s="1303">
        <v>0.66</v>
      </c>
      <c r="AA260" s="1302"/>
      <c r="AB260" s="1303">
        <v>0</v>
      </c>
      <c r="AC260" s="1302"/>
      <c r="AD260" s="1303">
        <v>0</v>
      </c>
      <c r="AE260" s="1302"/>
      <c r="AF260" s="1303">
        <v>0</v>
      </c>
      <c r="AG260" s="1302"/>
      <c r="AH260" s="1303">
        <f t="shared" si="26"/>
        <v>0.66</v>
      </c>
      <c r="AI260" s="1304">
        <f t="shared" si="27"/>
        <v>1.9295816208711844E-8</v>
      </c>
      <c r="AJ260" s="12"/>
    </row>
    <row r="261" spans="2:36" s="407" customFormat="1" outlineLevel="1">
      <c r="B261" s="24" t="s">
        <v>397</v>
      </c>
      <c r="D261" s="1298">
        <v>70225</v>
      </c>
      <c r="E261" s="1298" t="s">
        <v>258</v>
      </c>
      <c r="F261" s="1299"/>
      <c r="G261" s="1300"/>
      <c r="H261" s="1301"/>
      <c r="I261" s="1302"/>
      <c r="J261" s="1303">
        <v>212.33</v>
      </c>
      <c r="K261" s="1302"/>
      <c r="L261" s="1303">
        <v>0</v>
      </c>
      <c r="M261" s="1302"/>
      <c r="N261" s="1303">
        <v>0</v>
      </c>
      <c r="O261" s="1302"/>
      <c r="P261" s="1303">
        <v>0</v>
      </c>
      <c r="Q261" s="1302"/>
      <c r="R261" s="1303">
        <v>0</v>
      </c>
      <c r="S261" s="1302"/>
      <c r="T261" s="1303">
        <v>0</v>
      </c>
      <c r="U261" s="1302"/>
      <c r="V261" s="1303">
        <v>0</v>
      </c>
      <c r="W261" s="1302"/>
      <c r="X261" s="1303">
        <v>0</v>
      </c>
      <c r="Y261" s="1302"/>
      <c r="Z261" s="1303">
        <v>0</v>
      </c>
      <c r="AA261" s="1302"/>
      <c r="AB261" s="1303">
        <v>0</v>
      </c>
      <c r="AC261" s="1302"/>
      <c r="AD261" s="1303">
        <v>0</v>
      </c>
      <c r="AE261" s="1302"/>
      <c r="AF261" s="1303">
        <v>0</v>
      </c>
      <c r="AG261" s="1302"/>
      <c r="AH261" s="1303">
        <f t="shared" si="26"/>
        <v>212.33</v>
      </c>
      <c r="AI261" s="1304">
        <f t="shared" si="27"/>
        <v>6.2076979630239179E-6</v>
      </c>
      <c r="AJ261" s="12"/>
    </row>
    <row r="262" spans="2:36" s="407" customFormat="1" outlineLevel="1">
      <c r="B262" s="24" t="s">
        <v>397</v>
      </c>
      <c r="D262" s="1298">
        <v>70231</v>
      </c>
      <c r="E262" s="1298" t="s">
        <v>141</v>
      </c>
      <c r="F262" s="1299"/>
      <c r="G262" s="1300"/>
      <c r="H262" s="1301"/>
      <c r="I262" s="1302"/>
      <c r="J262" s="1303">
        <v>-12.98</v>
      </c>
      <c r="K262" s="1302"/>
      <c r="L262" s="1303">
        <v>0</v>
      </c>
      <c r="M262" s="1302"/>
      <c r="N262" s="1303">
        <v>0</v>
      </c>
      <c r="O262" s="1302"/>
      <c r="P262" s="1303">
        <v>0</v>
      </c>
      <c r="Q262" s="1302"/>
      <c r="R262" s="1303">
        <v>0</v>
      </c>
      <c r="S262" s="1302"/>
      <c r="T262" s="1303">
        <v>0</v>
      </c>
      <c r="U262" s="1302"/>
      <c r="V262" s="1303">
        <v>0</v>
      </c>
      <c r="W262" s="1302"/>
      <c r="X262" s="1303">
        <v>0</v>
      </c>
      <c r="Y262" s="1302"/>
      <c r="Z262" s="1303">
        <v>0</v>
      </c>
      <c r="AA262" s="1302"/>
      <c r="AB262" s="1303">
        <v>0</v>
      </c>
      <c r="AC262" s="1302"/>
      <c r="AD262" s="1303">
        <v>0</v>
      </c>
      <c r="AE262" s="1302"/>
      <c r="AF262" s="1303">
        <v>0</v>
      </c>
      <c r="AG262" s="1302"/>
      <c r="AH262" s="1303">
        <f t="shared" si="26"/>
        <v>-12.98</v>
      </c>
      <c r="AI262" s="1304">
        <f t="shared" si="27"/>
        <v>-3.794843854379996E-7</v>
      </c>
      <c r="AJ262" s="12"/>
    </row>
    <row r="263" spans="2:36" s="407" customFormat="1" outlineLevel="1">
      <c r="B263" s="24" t="s">
        <v>397</v>
      </c>
      <c r="D263" s="1298">
        <v>70235</v>
      </c>
      <c r="E263" s="1298" t="s">
        <v>112</v>
      </c>
      <c r="F263" s="1299"/>
      <c r="G263" s="1300"/>
      <c r="H263" s="1301"/>
      <c r="I263" s="1302"/>
      <c r="J263" s="1303">
        <v>1132.25</v>
      </c>
      <c r="K263" s="1302"/>
      <c r="L263" s="1303">
        <v>6642.61</v>
      </c>
      <c r="M263" s="1302"/>
      <c r="N263" s="1303">
        <v>0</v>
      </c>
      <c r="O263" s="1302"/>
      <c r="P263" s="1303">
        <v>438</v>
      </c>
      <c r="Q263" s="1302"/>
      <c r="R263" s="1303">
        <v>0</v>
      </c>
      <c r="S263" s="1302"/>
      <c r="T263" s="1303">
        <v>0</v>
      </c>
      <c r="U263" s="1302"/>
      <c r="V263" s="1303">
        <v>0</v>
      </c>
      <c r="W263" s="1302"/>
      <c r="X263" s="1303">
        <v>0</v>
      </c>
      <c r="Y263" s="1302"/>
      <c r="Z263" s="1303">
        <v>0</v>
      </c>
      <c r="AA263" s="1302"/>
      <c r="AB263" s="1303">
        <v>0</v>
      </c>
      <c r="AC263" s="1302"/>
      <c r="AD263" s="1303">
        <v>7034.66</v>
      </c>
      <c r="AE263" s="1302"/>
      <c r="AF263" s="1303">
        <v>-582.16</v>
      </c>
      <c r="AG263" s="1302"/>
      <c r="AH263" s="1303">
        <f t="shared" si="26"/>
        <v>14665.36</v>
      </c>
      <c r="AI263" s="1304">
        <f t="shared" si="27"/>
        <v>4.2875771393120353E-4</v>
      </c>
      <c r="AJ263" s="12"/>
    </row>
    <row r="264" spans="2:36" s="407" customFormat="1" outlineLevel="1">
      <c r="B264" s="24" t="s">
        <v>397</v>
      </c>
      <c r="D264" s="1298">
        <v>70255</v>
      </c>
      <c r="E264" s="1298" t="s">
        <v>63</v>
      </c>
      <c r="F264" s="1299"/>
      <c r="G264" s="1300"/>
      <c r="H264" s="1301"/>
      <c r="I264" s="1302"/>
      <c r="J264" s="1303">
        <v>1331.24</v>
      </c>
      <c r="K264" s="1302"/>
      <c r="L264" s="1303">
        <v>793.27</v>
      </c>
      <c r="M264" s="1302"/>
      <c r="N264" s="1303">
        <v>540.67999999999995</v>
      </c>
      <c r="O264" s="1302"/>
      <c r="P264" s="1303">
        <v>359.01</v>
      </c>
      <c r="Q264" s="1302"/>
      <c r="R264" s="1303">
        <v>381.08</v>
      </c>
      <c r="S264" s="1302"/>
      <c r="T264" s="1303">
        <v>291.83999999999997</v>
      </c>
      <c r="U264" s="1302"/>
      <c r="V264" s="1303">
        <v>275</v>
      </c>
      <c r="W264" s="1302"/>
      <c r="X264" s="1303">
        <v>275</v>
      </c>
      <c r="Y264" s="1302"/>
      <c r="Z264" s="1303">
        <v>275</v>
      </c>
      <c r="AA264" s="1302"/>
      <c r="AB264" s="1303">
        <v>275</v>
      </c>
      <c r="AC264" s="1302"/>
      <c r="AD264" s="1303">
        <v>275</v>
      </c>
      <c r="AE264" s="1302"/>
      <c r="AF264" s="1303">
        <v>275</v>
      </c>
      <c r="AG264" s="1302"/>
      <c r="AH264" s="1303">
        <f t="shared" si="26"/>
        <v>5347.12</v>
      </c>
      <c r="AI264" s="1304">
        <f t="shared" si="27"/>
        <v>1.5632885570595042E-4</v>
      </c>
      <c r="AJ264" s="12"/>
    </row>
    <row r="265" spans="2:36" s="407" customFormat="1" outlineLevel="1">
      <c r="B265" s="24" t="s">
        <v>397</v>
      </c>
      <c r="D265" s="1298">
        <v>70300</v>
      </c>
      <c r="E265" s="1298" t="s">
        <v>107</v>
      </c>
      <c r="F265" s="1299"/>
      <c r="G265" s="1300"/>
      <c r="H265" s="1301"/>
      <c r="I265" s="1302"/>
      <c r="J265" s="1303">
        <v>13935.17</v>
      </c>
      <c r="K265" s="1302"/>
      <c r="L265" s="1303">
        <v>13935.17</v>
      </c>
      <c r="M265" s="1302"/>
      <c r="N265" s="1303">
        <v>13935.17</v>
      </c>
      <c r="O265" s="1302"/>
      <c r="P265" s="1303">
        <v>13935.17</v>
      </c>
      <c r="Q265" s="1302"/>
      <c r="R265" s="1303">
        <v>13935.17</v>
      </c>
      <c r="S265" s="1302"/>
      <c r="T265" s="1303">
        <v>13935.17</v>
      </c>
      <c r="U265" s="1302"/>
      <c r="V265" s="1303">
        <v>13935.17</v>
      </c>
      <c r="W265" s="1302"/>
      <c r="X265" s="1303">
        <v>13935.17</v>
      </c>
      <c r="Y265" s="1302"/>
      <c r="Z265" s="1303">
        <v>14072.29</v>
      </c>
      <c r="AA265" s="1302"/>
      <c r="AB265" s="1303">
        <v>14072.29</v>
      </c>
      <c r="AC265" s="1302"/>
      <c r="AD265" s="1303">
        <v>14072.29</v>
      </c>
      <c r="AE265" s="1302"/>
      <c r="AF265" s="1303">
        <v>14072.29</v>
      </c>
      <c r="AG265" s="1302"/>
      <c r="AH265" s="1303">
        <f t="shared" si="26"/>
        <v>167770.52000000002</v>
      </c>
      <c r="AI265" s="1304">
        <f t="shared" si="27"/>
        <v>4.9049532108485071E-3</v>
      </c>
      <c r="AJ265" s="12"/>
    </row>
    <row r="266" spans="2:36" s="407" customFormat="1" outlineLevel="1">
      <c r="B266" s="24" t="s">
        <v>397</v>
      </c>
      <c r="D266" s="1298">
        <v>70302</v>
      </c>
      <c r="E266" s="1298" t="s">
        <v>265</v>
      </c>
      <c r="F266" s="1299"/>
      <c r="G266" s="1300"/>
      <c r="H266" s="1301"/>
      <c r="I266" s="1302"/>
      <c r="J266" s="1303">
        <v>165.11</v>
      </c>
      <c r="K266" s="1302"/>
      <c r="L266" s="1303">
        <v>0</v>
      </c>
      <c r="M266" s="1302"/>
      <c r="N266" s="1303">
        <v>0</v>
      </c>
      <c r="O266" s="1302"/>
      <c r="P266" s="1303">
        <v>0</v>
      </c>
      <c r="Q266" s="1302"/>
      <c r="R266" s="1303">
        <v>0</v>
      </c>
      <c r="S266" s="1302"/>
      <c r="T266" s="1303">
        <v>0</v>
      </c>
      <c r="U266" s="1302"/>
      <c r="V266" s="1303">
        <v>2151.15</v>
      </c>
      <c r="W266" s="1302"/>
      <c r="X266" s="1303">
        <v>467.63</v>
      </c>
      <c r="Y266" s="1302"/>
      <c r="Z266" s="1303">
        <v>66.23</v>
      </c>
      <c r="AA266" s="1302"/>
      <c r="AB266" s="1303">
        <v>0</v>
      </c>
      <c r="AC266" s="1302"/>
      <c r="AD266" s="1303">
        <v>304.95999999999998</v>
      </c>
      <c r="AE266" s="1302"/>
      <c r="AF266" s="1303">
        <v>0</v>
      </c>
      <c r="AG266" s="1302"/>
      <c r="AH266" s="1303">
        <f t="shared" si="26"/>
        <v>3155.0800000000004</v>
      </c>
      <c r="AI266" s="1304">
        <f t="shared" si="27"/>
        <v>9.2242187581488742E-5</v>
      </c>
      <c r="AJ266" s="12"/>
    </row>
    <row r="267" spans="2:36" s="407" customFormat="1" outlineLevel="1">
      <c r="B267" s="24" t="s">
        <v>397</v>
      </c>
      <c r="D267" s="1298">
        <v>70310</v>
      </c>
      <c r="E267" s="1298" t="s">
        <v>121</v>
      </c>
      <c r="F267" s="1299"/>
      <c r="G267" s="1300"/>
      <c r="H267" s="1301"/>
      <c r="I267" s="1302"/>
      <c r="J267" s="1303">
        <v>-1329.67</v>
      </c>
      <c r="K267" s="1302"/>
      <c r="L267" s="1303">
        <v>8604.56</v>
      </c>
      <c r="M267" s="1302"/>
      <c r="N267" s="1303">
        <v>-2135.0700000000002</v>
      </c>
      <c r="O267" s="1302"/>
      <c r="P267" s="1303">
        <v>5658.58</v>
      </c>
      <c r="Q267" s="1302"/>
      <c r="R267" s="1303">
        <v>4913.97</v>
      </c>
      <c r="S267" s="1302"/>
      <c r="T267" s="1303">
        <v>8586.66</v>
      </c>
      <c r="U267" s="1302"/>
      <c r="V267" s="1303">
        <v>6964.68</v>
      </c>
      <c r="W267" s="1302"/>
      <c r="X267" s="1303">
        <v>4721.68</v>
      </c>
      <c r="Y267" s="1302"/>
      <c r="Z267" s="1303">
        <v>5368.69</v>
      </c>
      <c r="AA267" s="1302"/>
      <c r="AB267" s="1303">
        <v>5042.4399999999996</v>
      </c>
      <c r="AC267" s="1302"/>
      <c r="AD267" s="1303">
        <v>-487.41</v>
      </c>
      <c r="AE267" s="1302"/>
      <c r="AF267" s="1303">
        <v>1644.16</v>
      </c>
      <c r="AG267" s="1302"/>
      <c r="AH267" s="1303">
        <f t="shared" si="26"/>
        <v>47553.27</v>
      </c>
      <c r="AI267" s="1304">
        <f t="shared" si="27"/>
        <v>1.3902714515806828E-3</v>
      </c>
      <c r="AJ267" s="12"/>
    </row>
    <row r="268" spans="2:36" s="407" customFormat="1" outlineLevel="1">
      <c r="B268" s="24" t="s">
        <v>397</v>
      </c>
      <c r="D268" s="1298">
        <v>70320</v>
      </c>
      <c r="E268" s="1298" t="s">
        <v>110</v>
      </c>
      <c r="F268" s="1299"/>
      <c r="G268" s="1300"/>
      <c r="H268" s="1301"/>
      <c r="I268" s="1302"/>
      <c r="J268" s="1303">
        <v>4157.45</v>
      </c>
      <c r="K268" s="1302"/>
      <c r="L268" s="1303">
        <v>4461.22</v>
      </c>
      <c r="M268" s="1302"/>
      <c r="N268" s="1303">
        <v>9873.3799999999992</v>
      </c>
      <c r="O268" s="1302"/>
      <c r="P268" s="1303">
        <v>5620.02</v>
      </c>
      <c r="Q268" s="1302"/>
      <c r="R268" s="1303">
        <v>6864.25</v>
      </c>
      <c r="S268" s="1302"/>
      <c r="T268" s="1303">
        <v>6431.7</v>
      </c>
      <c r="U268" s="1302"/>
      <c r="V268" s="1303">
        <v>5620.4</v>
      </c>
      <c r="W268" s="1302"/>
      <c r="X268" s="1303">
        <v>12034.37</v>
      </c>
      <c r="Y268" s="1302"/>
      <c r="Z268" s="1303">
        <v>5675.07</v>
      </c>
      <c r="AA268" s="1302"/>
      <c r="AB268" s="1303">
        <v>9370.66</v>
      </c>
      <c r="AC268" s="1302"/>
      <c r="AD268" s="1303">
        <v>5765.76</v>
      </c>
      <c r="AE268" s="1302"/>
      <c r="AF268" s="1303">
        <v>498.13</v>
      </c>
      <c r="AG268" s="1302"/>
      <c r="AH268" s="1303">
        <f t="shared" si="26"/>
        <v>76372.41</v>
      </c>
      <c r="AI268" s="1304">
        <f t="shared" si="27"/>
        <v>2.2328302829945253E-3</v>
      </c>
      <c r="AJ268" s="12"/>
    </row>
    <row r="269" spans="2:36" s="407" customFormat="1" outlineLevel="1">
      <c r="B269" s="24" t="s">
        <v>397</v>
      </c>
      <c r="D269" s="1298">
        <v>70330</v>
      </c>
      <c r="E269" s="1298" t="s">
        <v>438</v>
      </c>
      <c r="F269" s="1299"/>
      <c r="G269" s="1300"/>
      <c r="H269" s="1301"/>
      <c r="I269" s="1302"/>
      <c r="J269" s="1303">
        <v>6510.71</v>
      </c>
      <c r="K269" s="1302"/>
      <c r="L269" s="1303">
        <v>0</v>
      </c>
      <c r="M269" s="1302"/>
      <c r="N269" s="1303">
        <v>0</v>
      </c>
      <c r="O269" s="1302"/>
      <c r="P269" s="1303">
        <v>1669.52</v>
      </c>
      <c r="Q269" s="1302"/>
      <c r="R269" s="1303">
        <v>0</v>
      </c>
      <c r="S269" s="1302"/>
      <c r="T269" s="1303">
        <v>0</v>
      </c>
      <c r="U269" s="1302"/>
      <c r="V269" s="1303">
        <v>0</v>
      </c>
      <c r="W269" s="1302"/>
      <c r="X269" s="1303">
        <v>0</v>
      </c>
      <c r="Y269" s="1302"/>
      <c r="Z269" s="1303">
        <v>0</v>
      </c>
      <c r="AA269" s="1302"/>
      <c r="AB269" s="1303">
        <v>0</v>
      </c>
      <c r="AC269" s="1302"/>
      <c r="AD269" s="1303">
        <v>0</v>
      </c>
      <c r="AE269" s="1302"/>
      <c r="AF269" s="1303">
        <v>0</v>
      </c>
      <c r="AG269" s="1302"/>
      <c r="AH269" s="1303">
        <f t="shared" si="26"/>
        <v>8180.23</v>
      </c>
      <c r="AI269" s="1304">
        <f t="shared" si="27"/>
        <v>2.3915790094695589E-4</v>
      </c>
      <c r="AJ269" s="12"/>
    </row>
    <row r="270" spans="2:36" s="407" customFormat="1" outlineLevel="1">
      <c r="B270" s="24" t="s">
        <v>397</v>
      </c>
      <c r="D270" s="1298">
        <v>70335</v>
      </c>
      <c r="E270" s="1298" t="s">
        <v>43</v>
      </c>
      <c r="F270" s="1299"/>
      <c r="G270" s="1300"/>
      <c r="H270" s="1301"/>
      <c r="I270" s="1302"/>
      <c r="J270" s="1303">
        <v>0</v>
      </c>
      <c r="K270" s="1302"/>
      <c r="L270" s="1303">
        <v>-4.51</v>
      </c>
      <c r="M270" s="1302"/>
      <c r="N270" s="1303">
        <v>0</v>
      </c>
      <c r="O270" s="1302"/>
      <c r="P270" s="1303">
        <v>294</v>
      </c>
      <c r="Q270" s="1302"/>
      <c r="R270" s="1303">
        <v>-0.2</v>
      </c>
      <c r="S270" s="1302"/>
      <c r="T270" s="1303">
        <v>0</v>
      </c>
      <c r="U270" s="1302"/>
      <c r="V270" s="1303">
        <v>0</v>
      </c>
      <c r="W270" s="1302"/>
      <c r="X270" s="1303">
        <v>0</v>
      </c>
      <c r="Y270" s="1302"/>
      <c r="Z270" s="1303">
        <v>0</v>
      </c>
      <c r="AA270" s="1302"/>
      <c r="AB270" s="1303">
        <v>0</v>
      </c>
      <c r="AC270" s="1302"/>
      <c r="AD270" s="1303">
        <v>38</v>
      </c>
      <c r="AE270" s="1302"/>
      <c r="AF270" s="1303">
        <v>0</v>
      </c>
      <c r="AG270" s="1302"/>
      <c r="AH270" s="1303">
        <f t="shared" si="26"/>
        <v>327.29000000000002</v>
      </c>
      <c r="AI270" s="1304">
        <f t="shared" si="27"/>
        <v>9.5686783135595457E-6</v>
      </c>
      <c r="AJ270" s="12"/>
    </row>
    <row r="271" spans="2:36" s="407" customFormat="1" outlineLevel="1">
      <c r="B271" s="24" t="s">
        <v>397</v>
      </c>
      <c r="D271" s="1298">
        <v>70336</v>
      </c>
      <c r="E271" s="1298" t="s">
        <v>145</v>
      </c>
      <c r="F271" s="1299"/>
      <c r="G271" s="1300"/>
      <c r="H271" s="1301"/>
      <c r="I271" s="1302"/>
      <c r="J271" s="1303">
        <v>0</v>
      </c>
      <c r="K271" s="1302"/>
      <c r="L271" s="1303">
        <v>0</v>
      </c>
      <c r="M271" s="1302"/>
      <c r="N271" s="1303">
        <v>-0.2</v>
      </c>
      <c r="O271" s="1302"/>
      <c r="P271" s="1303">
        <v>0</v>
      </c>
      <c r="Q271" s="1302"/>
      <c r="R271" s="1303">
        <v>0</v>
      </c>
      <c r="S271" s="1302"/>
      <c r="T271" s="1303">
        <v>0</v>
      </c>
      <c r="U271" s="1302"/>
      <c r="V271" s="1303">
        <v>0</v>
      </c>
      <c r="W271" s="1302"/>
      <c r="X271" s="1303">
        <v>0</v>
      </c>
      <c r="Y271" s="1302"/>
      <c r="Z271" s="1303">
        <v>0</v>
      </c>
      <c r="AA271" s="1302"/>
      <c r="AB271" s="1303">
        <v>0</v>
      </c>
      <c r="AC271" s="1302"/>
      <c r="AD271" s="1303">
        <v>0</v>
      </c>
      <c r="AE271" s="1302"/>
      <c r="AF271" s="1303">
        <v>0</v>
      </c>
      <c r="AG271" s="1302"/>
      <c r="AH271" s="1303">
        <f t="shared" si="26"/>
        <v>-0.2</v>
      </c>
      <c r="AI271" s="1304">
        <f t="shared" si="27"/>
        <v>-5.8472170329429831E-9</v>
      </c>
      <c r="AJ271" s="12"/>
    </row>
    <row r="272" spans="2:36" s="407" customFormat="1" outlineLevel="1">
      <c r="B272" s="24" t="s">
        <v>397</v>
      </c>
      <c r="D272" s="1298">
        <v>70345</v>
      </c>
      <c r="E272" s="1298" t="s">
        <v>103</v>
      </c>
      <c r="F272" s="1299"/>
      <c r="G272" s="1300"/>
      <c r="H272" s="1301"/>
      <c r="I272" s="1302"/>
      <c r="J272" s="1303">
        <v>727.63</v>
      </c>
      <c r="K272" s="1302"/>
      <c r="L272" s="1303">
        <v>733.6</v>
      </c>
      <c r="M272" s="1302"/>
      <c r="N272" s="1303">
        <v>856.6</v>
      </c>
      <c r="O272" s="1302"/>
      <c r="P272" s="1303">
        <v>783.6</v>
      </c>
      <c r="Q272" s="1302"/>
      <c r="R272" s="1303">
        <v>699.76</v>
      </c>
      <c r="S272" s="1302"/>
      <c r="T272" s="1303">
        <v>896.56</v>
      </c>
      <c r="U272" s="1302"/>
      <c r="V272" s="1303">
        <v>736.51</v>
      </c>
      <c r="W272" s="1302"/>
      <c r="X272" s="1303">
        <v>789.54</v>
      </c>
      <c r="Y272" s="1302"/>
      <c r="Z272" s="1303">
        <v>924.73</v>
      </c>
      <c r="AA272" s="1302"/>
      <c r="AB272" s="1303">
        <v>708.21</v>
      </c>
      <c r="AC272" s="1302"/>
      <c r="AD272" s="1303">
        <v>753.83</v>
      </c>
      <c r="AE272" s="1302"/>
      <c r="AF272" s="1303">
        <v>938.7</v>
      </c>
      <c r="AG272" s="1302"/>
      <c r="AH272" s="1303">
        <f t="shared" si="26"/>
        <v>9549.27</v>
      </c>
      <c r="AI272" s="1304">
        <f t="shared" si="27"/>
        <v>2.7918327098085723E-4</v>
      </c>
      <c r="AJ272" s="12"/>
    </row>
    <row r="273" spans="1:36" s="407" customFormat="1" outlineLevel="1">
      <c r="B273" s="24" t="s">
        <v>397</v>
      </c>
      <c r="D273" s="1298">
        <v>70902</v>
      </c>
      <c r="E273" s="1298" t="s">
        <v>825</v>
      </c>
      <c r="F273" s="1299"/>
      <c r="G273" s="1300"/>
      <c r="H273" s="1301"/>
      <c r="I273" s="1302"/>
      <c r="J273" s="1303">
        <v>0</v>
      </c>
      <c r="K273" s="1302"/>
      <c r="L273" s="1303">
        <v>0</v>
      </c>
      <c r="M273" s="1302"/>
      <c r="N273" s="1303">
        <v>0</v>
      </c>
      <c r="O273" s="1302"/>
      <c r="P273" s="1303">
        <v>0</v>
      </c>
      <c r="Q273" s="1302"/>
      <c r="R273" s="1303">
        <v>0</v>
      </c>
      <c r="S273" s="1302"/>
      <c r="T273" s="1303">
        <v>0</v>
      </c>
      <c r="U273" s="1302"/>
      <c r="V273" s="1303">
        <v>0</v>
      </c>
      <c r="W273" s="1302"/>
      <c r="X273" s="1303">
        <v>0</v>
      </c>
      <c r="Y273" s="1302"/>
      <c r="Z273" s="1303">
        <v>0</v>
      </c>
      <c r="AA273" s="1302"/>
      <c r="AB273" s="1303">
        <v>0</v>
      </c>
      <c r="AC273" s="1302"/>
      <c r="AD273" s="1303">
        <v>0</v>
      </c>
      <c r="AE273" s="1302"/>
      <c r="AF273" s="1303">
        <v>0</v>
      </c>
      <c r="AG273" s="1302"/>
      <c r="AH273" s="1303">
        <f t="shared" si="26"/>
        <v>0</v>
      </c>
      <c r="AI273" s="1304">
        <f t="shared" si="27"/>
        <v>0</v>
      </c>
      <c r="AJ273" s="12"/>
    </row>
    <row r="274" spans="1:36" s="8" customFormat="1" ht="5.0999999999999996" customHeight="1" outlineLevel="1">
      <c r="B274" s="2" t="s">
        <v>194</v>
      </c>
      <c r="D274" s="1299"/>
      <c r="E274" s="1299"/>
      <c r="F274" s="1299"/>
      <c r="G274" s="1299"/>
      <c r="H274" s="1301"/>
      <c r="I274" s="1301"/>
      <c r="J274" s="1311"/>
      <c r="K274" s="1309"/>
      <c r="L274" s="1311"/>
      <c r="M274" s="1309"/>
      <c r="N274" s="1311"/>
      <c r="O274" s="1309"/>
      <c r="P274" s="1311"/>
      <c r="Q274" s="1309"/>
      <c r="R274" s="1311"/>
      <c r="S274" s="1309"/>
      <c r="T274" s="1311"/>
      <c r="U274" s="1309"/>
      <c r="V274" s="1311"/>
      <c r="W274" s="1309"/>
      <c r="X274" s="1311"/>
      <c r="Y274" s="1309"/>
      <c r="Z274" s="1311"/>
      <c r="AA274" s="1309"/>
      <c r="AB274" s="1311"/>
      <c r="AC274" s="1309"/>
      <c r="AD274" s="1311"/>
      <c r="AE274" s="1309"/>
      <c r="AF274" s="1311"/>
      <c r="AG274" s="1309"/>
      <c r="AH274" s="1311"/>
      <c r="AI274" s="1306"/>
      <c r="AJ274" s="15"/>
    </row>
    <row r="275" spans="1:36" s="8" customFormat="1" ht="15">
      <c r="B275" s="2" t="s">
        <v>194</v>
      </c>
      <c r="D275" s="1301"/>
      <c r="E275" s="1301"/>
      <c r="F275" s="1299" t="s">
        <v>266</v>
      </c>
      <c r="G275" s="1301"/>
      <c r="H275" s="1301"/>
      <c r="I275" s="1301"/>
      <c r="J275" s="1308">
        <f>SUM(J226:J274)</f>
        <v>235448.30999999997</v>
      </c>
      <c r="K275" s="1309"/>
      <c r="L275" s="1308">
        <f>SUM(L226:L274)</f>
        <v>241862.54999999993</v>
      </c>
      <c r="M275" s="1309"/>
      <c r="N275" s="1308">
        <f>SUM(N226:N274)</f>
        <v>213332.22</v>
      </c>
      <c r="O275" s="1309"/>
      <c r="P275" s="1308">
        <f>SUM(P226:P274)</f>
        <v>230860.86</v>
      </c>
      <c r="Q275" s="1309"/>
      <c r="R275" s="1308">
        <f>SUM(R226:R274)</f>
        <v>235014.86999999994</v>
      </c>
      <c r="S275" s="1309"/>
      <c r="T275" s="1308">
        <f>SUM(T226:T274)</f>
        <v>222826.49000000008</v>
      </c>
      <c r="U275" s="1309"/>
      <c r="V275" s="1308">
        <f>SUM(V226:V274)</f>
        <v>231494.68999999997</v>
      </c>
      <c r="W275" s="1309"/>
      <c r="X275" s="1308">
        <f>SUM(X226:X274)</f>
        <v>227025.70000000004</v>
      </c>
      <c r="Y275" s="1309"/>
      <c r="Z275" s="1308">
        <f>SUM(Z226:Z274)</f>
        <v>243150.45</v>
      </c>
      <c r="AA275" s="1309"/>
      <c r="AB275" s="1308">
        <f>SUM(AB226:AB274)</f>
        <v>206802.02</v>
      </c>
      <c r="AC275" s="1309"/>
      <c r="AD275" s="1308">
        <f>SUM(AD226:AD274)</f>
        <v>232965.39</v>
      </c>
      <c r="AE275" s="1309"/>
      <c r="AF275" s="1308">
        <f>SUM(AF226:AF274)</f>
        <v>227929.94000000003</v>
      </c>
      <c r="AG275" s="1309"/>
      <c r="AH275" s="1308">
        <f>SUM(AH226:AH274)</f>
        <v>2748713.4899999998</v>
      </c>
      <c r="AI275" s="1304">
        <f>IF(AH$65=0,0,AH275/AH$65)</f>
        <v>8.0361621687040752E-2</v>
      </c>
      <c r="AJ275" s="15"/>
    </row>
    <row r="276" spans="1:36" s="8" customFormat="1" ht="15" outlineLevel="1">
      <c r="B276" s="2" t="s">
        <v>194</v>
      </c>
      <c r="D276" s="1301"/>
      <c r="E276" s="1301"/>
      <c r="F276" s="1301"/>
      <c r="G276" s="1301"/>
      <c r="H276" s="1301"/>
      <c r="I276" s="1301"/>
      <c r="J276" s="1310"/>
      <c r="K276" s="1309"/>
      <c r="L276" s="1310"/>
      <c r="M276" s="1309"/>
      <c r="N276" s="1310"/>
      <c r="O276" s="1309"/>
      <c r="P276" s="1310"/>
      <c r="Q276" s="1309"/>
      <c r="R276" s="1310"/>
      <c r="S276" s="1309"/>
      <c r="T276" s="1310"/>
      <c r="U276" s="1309"/>
      <c r="V276" s="1310"/>
      <c r="W276" s="1309"/>
      <c r="X276" s="1310"/>
      <c r="Y276" s="1309"/>
      <c r="Z276" s="1310"/>
      <c r="AA276" s="1309"/>
      <c r="AB276" s="1310"/>
      <c r="AC276" s="1309"/>
      <c r="AD276" s="1310"/>
      <c r="AE276" s="1309"/>
      <c r="AF276" s="1310"/>
      <c r="AG276" s="1309"/>
      <c r="AH276" s="1310"/>
      <c r="AI276" s="1306"/>
      <c r="AJ276" s="15"/>
    </row>
    <row r="277" spans="1:36" s="407" customFormat="1" outlineLevel="1">
      <c r="B277" s="24" t="s">
        <v>420</v>
      </c>
      <c r="D277" s="1298">
        <v>70149</v>
      </c>
      <c r="E277" s="1298" t="s">
        <v>267</v>
      </c>
      <c r="F277" s="1299"/>
      <c r="G277" s="1300"/>
      <c r="H277" s="1301"/>
      <c r="I277" s="1302"/>
      <c r="J277" s="1303">
        <v>68479.61</v>
      </c>
      <c r="K277" s="1302"/>
      <c r="L277" s="1303">
        <v>66985</v>
      </c>
      <c r="M277" s="1302"/>
      <c r="N277" s="1303">
        <v>67529.78</v>
      </c>
      <c r="O277" s="1302"/>
      <c r="P277" s="1303">
        <v>68461.679999999993</v>
      </c>
      <c r="Q277" s="1302"/>
      <c r="R277" s="1303">
        <v>65942.37</v>
      </c>
      <c r="S277" s="1302"/>
      <c r="T277" s="1303">
        <v>67607.210000000006</v>
      </c>
      <c r="U277" s="1302"/>
      <c r="V277" s="1303">
        <v>67961.06</v>
      </c>
      <c r="W277" s="1302"/>
      <c r="X277" s="1303">
        <v>67518.990000000005</v>
      </c>
      <c r="Y277" s="1302"/>
      <c r="Z277" s="1303">
        <v>67158.64</v>
      </c>
      <c r="AA277" s="1302"/>
      <c r="AB277" s="1303">
        <v>65188.83</v>
      </c>
      <c r="AC277" s="1302"/>
      <c r="AD277" s="1303">
        <v>66133.87</v>
      </c>
      <c r="AE277" s="1302"/>
      <c r="AF277" s="1303">
        <v>68598.66</v>
      </c>
      <c r="AG277" s="1302"/>
      <c r="AH277" s="1303">
        <f>AF277+AD277+AB277+Z277+X277+V277+T277+R277+P277+N277+L277+J277</f>
        <v>807565.70000000007</v>
      </c>
      <c r="AI277" s="1304">
        <f>IF(AH$65=0,0,AH277/AH$65)</f>
        <v>2.3610059581302616E-2</v>
      </c>
      <c r="AJ277" s="12"/>
    </row>
    <row r="278" spans="1:36" s="8" customFormat="1" ht="5.0999999999999996" customHeight="1" outlineLevel="1">
      <c r="B278" s="2" t="s">
        <v>194</v>
      </c>
      <c r="D278" s="1299"/>
      <c r="E278" s="1299"/>
      <c r="F278" s="1299"/>
      <c r="G278" s="1299"/>
      <c r="H278" s="1301"/>
      <c r="I278" s="1301"/>
      <c r="J278" s="1311"/>
      <c r="K278" s="1309"/>
      <c r="L278" s="1311"/>
      <c r="M278" s="1309"/>
      <c r="N278" s="1311"/>
      <c r="O278" s="1309"/>
      <c r="P278" s="1311"/>
      <c r="Q278" s="1309"/>
      <c r="R278" s="1311"/>
      <c r="S278" s="1309"/>
      <c r="T278" s="1311"/>
      <c r="U278" s="1309"/>
      <c r="V278" s="1311"/>
      <c r="W278" s="1309"/>
      <c r="X278" s="1311"/>
      <c r="Y278" s="1309"/>
      <c r="Z278" s="1311"/>
      <c r="AA278" s="1309"/>
      <c r="AB278" s="1311"/>
      <c r="AC278" s="1309"/>
      <c r="AD278" s="1311"/>
      <c r="AE278" s="1309"/>
      <c r="AF278" s="1311"/>
      <c r="AG278" s="1309"/>
      <c r="AH278" s="1311"/>
      <c r="AI278" s="1306"/>
      <c r="AJ278" s="15"/>
    </row>
    <row r="279" spans="1:36" s="8" customFormat="1" ht="15">
      <c r="B279" s="2" t="s">
        <v>194</v>
      </c>
      <c r="D279" s="1301"/>
      <c r="E279" s="1301"/>
      <c r="F279" s="1298" t="s">
        <v>268</v>
      </c>
      <c r="G279" s="1301"/>
      <c r="H279" s="1301"/>
      <c r="I279" s="1301"/>
      <c r="J279" s="1308">
        <f>SUM(J276:J278)</f>
        <v>68479.61</v>
      </c>
      <c r="K279" s="1309"/>
      <c r="L279" s="1308">
        <f>SUM(L276:L278)</f>
        <v>66985</v>
      </c>
      <c r="M279" s="1309"/>
      <c r="N279" s="1308">
        <f>SUM(N276:N278)</f>
        <v>67529.78</v>
      </c>
      <c r="O279" s="1309"/>
      <c r="P279" s="1308">
        <f>SUM(P276:P278)</f>
        <v>68461.679999999993</v>
      </c>
      <c r="Q279" s="1309"/>
      <c r="R279" s="1308">
        <f>SUM(R276:R278)</f>
        <v>65942.37</v>
      </c>
      <c r="S279" s="1309"/>
      <c r="T279" s="1308">
        <f>SUM(T276:T278)</f>
        <v>67607.210000000006</v>
      </c>
      <c r="U279" s="1309"/>
      <c r="V279" s="1308">
        <f>SUM(V276:V278)</f>
        <v>67961.06</v>
      </c>
      <c r="W279" s="1309"/>
      <c r="X279" s="1308">
        <f>SUM(X276:X278)</f>
        <v>67518.990000000005</v>
      </c>
      <c r="Y279" s="1309"/>
      <c r="Z279" s="1308">
        <f>SUM(Z276:Z278)</f>
        <v>67158.64</v>
      </c>
      <c r="AA279" s="1309"/>
      <c r="AB279" s="1308">
        <f>SUM(AB276:AB278)</f>
        <v>65188.83</v>
      </c>
      <c r="AC279" s="1309"/>
      <c r="AD279" s="1308">
        <f>SUM(AD276:AD278)</f>
        <v>66133.87</v>
      </c>
      <c r="AE279" s="1309"/>
      <c r="AF279" s="1308">
        <f>SUM(AF276:AF278)</f>
        <v>68598.66</v>
      </c>
      <c r="AG279" s="1309"/>
      <c r="AH279" s="1308">
        <f>SUM(AH276:AH278)</f>
        <v>807565.70000000007</v>
      </c>
      <c r="AI279" s="1304">
        <f>IF(AH$65=0,0,AH279/AH$65)</f>
        <v>2.3610059581302616E-2</v>
      </c>
      <c r="AJ279" s="15"/>
    </row>
    <row r="280" spans="1:36" s="8" customFormat="1" ht="7.5" customHeight="1">
      <c r="B280" s="2"/>
      <c r="D280" s="1301"/>
      <c r="E280" s="1301"/>
      <c r="F280" s="1301"/>
      <c r="G280" s="1301"/>
      <c r="H280" s="1301"/>
      <c r="I280" s="1301"/>
      <c r="J280" s="1310"/>
      <c r="K280" s="1309"/>
      <c r="L280" s="1310"/>
      <c r="M280" s="1309"/>
      <c r="N280" s="1310"/>
      <c r="O280" s="1309"/>
      <c r="P280" s="1310"/>
      <c r="Q280" s="1309"/>
      <c r="R280" s="1310"/>
      <c r="S280" s="1309"/>
      <c r="T280" s="1310"/>
      <c r="U280" s="1309"/>
      <c r="V280" s="1310"/>
      <c r="W280" s="1309"/>
      <c r="X280" s="1310"/>
      <c r="Y280" s="1309"/>
      <c r="Z280" s="1310"/>
      <c r="AA280" s="1309"/>
      <c r="AB280" s="1310"/>
      <c r="AC280" s="1309"/>
      <c r="AD280" s="1310"/>
      <c r="AE280" s="1309"/>
      <c r="AF280" s="1310"/>
      <c r="AG280" s="1309"/>
      <c r="AH280" s="1310"/>
      <c r="AI280" s="1306"/>
      <c r="AJ280" s="15"/>
    </row>
    <row r="281" spans="1:36" s="8" customFormat="1" ht="15">
      <c r="B281" s="2"/>
      <c r="D281" s="1301"/>
      <c r="E281" s="1313" t="s">
        <v>269</v>
      </c>
      <c r="F281" s="1301"/>
      <c r="G281" s="1301"/>
      <c r="H281" s="1301"/>
      <c r="I281" s="1301"/>
      <c r="J281" s="1314">
        <f>+J224+J275+J279</f>
        <v>312569.77999999997</v>
      </c>
      <c r="K281" s="1309"/>
      <c r="L281" s="1314">
        <f>+L224+L275+L279</f>
        <v>316808.89999999991</v>
      </c>
      <c r="M281" s="1309"/>
      <c r="N281" s="1314">
        <f>+N224+N275+N279</f>
        <v>291544.87</v>
      </c>
      <c r="O281" s="1309"/>
      <c r="P281" s="1314">
        <f>+P224+P275+P279</f>
        <v>308601.99</v>
      </c>
      <c r="Q281" s="1309"/>
      <c r="R281" s="1314">
        <f>+R224+R275+R279</f>
        <v>307658.42999999993</v>
      </c>
      <c r="S281" s="1309"/>
      <c r="T281" s="1314">
        <f>+T224+T275+T279</f>
        <v>301650.44000000006</v>
      </c>
      <c r="U281" s="1309"/>
      <c r="V281" s="1314">
        <f>+V224+V275+V279</f>
        <v>303562.53999999998</v>
      </c>
      <c r="W281" s="1309"/>
      <c r="X281" s="1314">
        <f>+X224+X275+X279</f>
        <v>300441.72000000003</v>
      </c>
      <c r="Y281" s="1309"/>
      <c r="Z281" s="1314">
        <f>+Z224+Z275+Z279</f>
        <v>318495.27</v>
      </c>
      <c r="AA281" s="1309"/>
      <c r="AB281" s="1314">
        <f>+AB224+AB275+AB279</f>
        <v>278513.52</v>
      </c>
      <c r="AC281" s="1309"/>
      <c r="AD281" s="1314">
        <f>+AD224+AD275+AD279</f>
        <v>306719.2</v>
      </c>
      <c r="AE281" s="1309"/>
      <c r="AF281" s="1314">
        <f>+AF224+AF275+AF279</f>
        <v>306210.55000000005</v>
      </c>
      <c r="AG281" s="1309"/>
      <c r="AH281" s="1314">
        <f>+AH224+AH275+AH279</f>
        <v>3652777.21</v>
      </c>
      <c r="AI281" s="1304">
        <f>IF(AH$65=0,0,AH281/AH$65)</f>
        <v>0.10679290559928974</v>
      </c>
      <c r="AJ281" s="15"/>
    </row>
    <row r="282" spans="1:36" s="8" customFormat="1" ht="7.5" customHeight="1">
      <c r="B282" s="2"/>
      <c r="D282" s="1301"/>
      <c r="E282" s="1301"/>
      <c r="F282" s="1301"/>
      <c r="G282" s="1301"/>
      <c r="H282" s="1301"/>
      <c r="I282" s="1301"/>
      <c r="J282" s="1310"/>
      <c r="K282" s="1309"/>
      <c r="L282" s="1310"/>
      <c r="M282" s="1309"/>
      <c r="N282" s="1310"/>
      <c r="O282" s="1309"/>
      <c r="P282" s="1310"/>
      <c r="Q282" s="1309"/>
      <c r="R282" s="1310"/>
      <c r="S282" s="1309"/>
      <c r="T282" s="1310"/>
      <c r="U282" s="1309"/>
      <c r="V282" s="1310"/>
      <c r="W282" s="1309"/>
      <c r="X282" s="1310"/>
      <c r="Y282" s="1309"/>
      <c r="Z282" s="1310"/>
      <c r="AA282" s="1309"/>
      <c r="AB282" s="1310"/>
      <c r="AC282" s="1309"/>
      <c r="AD282" s="1310"/>
      <c r="AE282" s="1309"/>
      <c r="AF282" s="1310"/>
      <c r="AG282" s="1309"/>
      <c r="AH282" s="1310"/>
      <c r="AI282" s="1306"/>
      <c r="AJ282" s="15"/>
    </row>
    <row r="283" spans="1:36" s="8" customFormat="1" ht="7.5" customHeight="1">
      <c r="B283" s="2" t="s">
        <v>194</v>
      </c>
      <c r="D283" s="1320"/>
      <c r="E283" s="1320"/>
      <c r="F283" s="1320"/>
      <c r="G283" s="1320"/>
      <c r="H283" s="1320"/>
      <c r="I283" s="1320"/>
      <c r="J283" s="1318"/>
      <c r="K283" s="1309"/>
      <c r="L283" s="1318"/>
      <c r="M283" s="1309"/>
      <c r="N283" s="1318"/>
      <c r="O283" s="1309"/>
      <c r="P283" s="1318"/>
      <c r="Q283" s="1309"/>
      <c r="R283" s="1318"/>
      <c r="S283" s="1309"/>
      <c r="T283" s="1318"/>
      <c r="U283" s="1309"/>
      <c r="V283" s="1318"/>
      <c r="W283" s="1309"/>
      <c r="X283" s="1318"/>
      <c r="Y283" s="1309"/>
      <c r="Z283" s="1318"/>
      <c r="AA283" s="1309"/>
      <c r="AB283" s="1318"/>
      <c r="AC283" s="1309"/>
      <c r="AD283" s="1318"/>
      <c r="AE283" s="1309"/>
      <c r="AF283" s="1318"/>
      <c r="AG283" s="1309"/>
      <c r="AH283" s="1318"/>
      <c r="AI283" s="1306"/>
      <c r="AJ283" s="15"/>
    </row>
    <row r="284" spans="1:36" s="8" customFormat="1" ht="15">
      <c r="B284" s="2" t="s">
        <v>194</v>
      </c>
      <c r="D284" s="1301"/>
      <c r="E284" s="1316" t="s">
        <v>270</v>
      </c>
      <c r="F284" s="1301"/>
      <c r="G284" s="1301"/>
      <c r="H284" s="1301"/>
      <c r="I284" s="1301"/>
      <c r="J284" s="1314">
        <f>+J210-J281</f>
        <v>320077.11000000004</v>
      </c>
      <c r="K284" s="1309"/>
      <c r="L284" s="1314">
        <f>+L210-L281</f>
        <v>442693.00000000023</v>
      </c>
      <c r="M284" s="1321"/>
      <c r="N284" s="1314">
        <f>+N210-N281</f>
        <v>404578.51999999967</v>
      </c>
      <c r="O284" s="1321"/>
      <c r="P284" s="1314">
        <f>+P210-P281</f>
        <v>422990.95000000054</v>
      </c>
      <c r="Q284" s="1309"/>
      <c r="R284" s="1314">
        <f>+R210-R281</f>
        <v>472996.24999999977</v>
      </c>
      <c r="S284" s="1321"/>
      <c r="T284" s="1314">
        <f>+T210-T281</f>
        <v>470652.40000000119</v>
      </c>
      <c r="U284" s="1321"/>
      <c r="V284" s="1314">
        <f>+V210-V281</f>
        <v>434065.90999999916</v>
      </c>
      <c r="W284" s="1309"/>
      <c r="X284" s="1314">
        <f>+X210-X281</f>
        <v>518911.01000000053</v>
      </c>
      <c r="Y284" s="1321"/>
      <c r="Z284" s="1314">
        <f>+Z210-Z281</f>
        <v>338521.68000000075</v>
      </c>
      <c r="AA284" s="1321"/>
      <c r="AB284" s="1314">
        <f>+AB210-AB281</f>
        <v>746446.26999999967</v>
      </c>
      <c r="AC284" s="1309"/>
      <c r="AD284" s="1314">
        <f>+AD210-AD281</f>
        <v>569558.72</v>
      </c>
      <c r="AE284" s="1321"/>
      <c r="AF284" s="1314">
        <f>+AF210-AF281</f>
        <v>434543.08000000054</v>
      </c>
      <c r="AG284" s="1321"/>
      <c r="AH284" s="1314">
        <f>+AH210-AH281</f>
        <v>5576034.9000000032</v>
      </c>
      <c r="AI284" s="1304">
        <f>IF(AH$65=0,0,AH284/AH$65)</f>
        <v>0.1630214312178227</v>
      </c>
      <c r="AJ284" s="19"/>
    </row>
    <row r="285" spans="1:36" s="8" customFormat="1" ht="6.75" customHeight="1">
      <c r="A285" s="27"/>
      <c r="B285" s="2" t="s">
        <v>194</v>
      </c>
      <c r="C285" s="2"/>
      <c r="D285" s="1322"/>
      <c r="E285" s="1322"/>
      <c r="F285" s="1322"/>
      <c r="G285" s="1322"/>
      <c r="H285" s="1322"/>
      <c r="I285" s="1322"/>
      <c r="J285" s="1323"/>
      <c r="K285" s="1322"/>
      <c r="L285" s="1323"/>
      <c r="M285" s="1322"/>
      <c r="N285" s="1323"/>
      <c r="O285" s="1322"/>
      <c r="P285" s="1323"/>
      <c r="Q285" s="1322"/>
      <c r="R285" s="1323"/>
      <c r="S285" s="1322"/>
      <c r="T285" s="1323"/>
      <c r="U285" s="1322"/>
      <c r="V285" s="1323"/>
      <c r="W285" s="1322"/>
      <c r="X285" s="1323"/>
      <c r="Y285" s="1322"/>
      <c r="Z285" s="1323"/>
      <c r="AA285" s="1322"/>
      <c r="AB285" s="1323"/>
      <c r="AC285" s="1322"/>
      <c r="AD285" s="1323"/>
      <c r="AE285" s="1322"/>
      <c r="AF285" s="1323"/>
      <c r="AG285" s="1322"/>
      <c r="AH285" s="1323"/>
      <c r="AI285" s="1324"/>
      <c r="AJ285" s="15"/>
    </row>
    <row r="286" spans="1:36" s="8" customFormat="1" ht="15">
      <c r="A286" s="27"/>
      <c r="B286" s="2" t="s">
        <v>194</v>
      </c>
      <c r="C286" s="2"/>
      <c r="D286" s="1301"/>
      <c r="E286" s="1313" t="s">
        <v>271</v>
      </c>
      <c r="F286" s="1301"/>
      <c r="G286" s="1301"/>
      <c r="H286" s="1301"/>
      <c r="I286" s="1301"/>
      <c r="J286" s="1325">
        <f>J284 +J202+SUMIF($D:$D,52141,J:J)+SUMIF($D:$D,52142,J:J)+SUMIF($D:$D,52143,J:J)+SUMIF($D:$D,55142,J:J)+SUMIF($D:$D,56142,J:J)+SUMIF($D:$D,70142,J:J)</f>
        <v>446616.13</v>
      </c>
      <c r="K286" s="1301"/>
      <c r="L286" s="1325">
        <f>L284 +L202+SUMIF($D:$D,52141,L:L)+SUMIF($D:$D,52142,L:L)+SUMIF($D:$D,52143,L:L)+SUMIF($D:$D,55142,L:L)+SUMIF($D:$D,56142,L:L)+SUMIF($D:$D,70142,L:L)</f>
        <v>566397.7000000003</v>
      </c>
      <c r="M286" s="1301"/>
      <c r="N286" s="1325">
        <f>N284 +N202+SUMIF($D:$D,52141,N:N)+SUMIF($D:$D,52142,N:N)+SUMIF($D:$D,52143,N:N)+SUMIF($D:$D,55142,N:N)+SUMIF($D:$D,56142,N:N)+SUMIF($D:$D,70142,N:N)</f>
        <v>550783.76999999967</v>
      </c>
      <c r="O286" s="1301"/>
      <c r="P286" s="1325">
        <f>P284 +P202+SUMIF($D:$D,52141,P:P)+SUMIF($D:$D,52142,P:P)+SUMIF($D:$D,52143,P:P)+SUMIF($D:$D,55142,P:P)+SUMIF($D:$D,56142,P:P)+SUMIF($D:$D,70142,P:P)</f>
        <v>552173.90000000061</v>
      </c>
      <c r="Q286" s="1301"/>
      <c r="R286" s="1325">
        <f>R284 +R202+SUMIF($D:$D,52141,R:R)+SUMIF($D:$D,52142,R:R)+SUMIF($D:$D,52143,R:R)+SUMIF($D:$D,55142,R:R)+SUMIF($D:$D,56142,R:R)+SUMIF($D:$D,70142,R:R)</f>
        <v>591756.62999999977</v>
      </c>
      <c r="S286" s="1301"/>
      <c r="T286" s="1325">
        <f>T284 +T202+SUMIF($D:$D,52141,T:T)+SUMIF($D:$D,52142,T:T)+SUMIF($D:$D,52143,T:T)+SUMIF($D:$D,55142,T:T)+SUMIF($D:$D,56142,T:T)+SUMIF($D:$D,70142,T:T)</f>
        <v>605017.0400000012</v>
      </c>
      <c r="U286" s="1301"/>
      <c r="V286" s="1325">
        <f>V284 +V202+SUMIF($D:$D,52141,V:V)+SUMIF($D:$D,52142,V:V)+SUMIF($D:$D,52143,V:V)+SUMIF($D:$D,55142,V:V)+SUMIF($D:$D,56142,V:V)+SUMIF($D:$D,70142,V:V)</f>
        <v>559540.79999999912</v>
      </c>
      <c r="W286" s="1301"/>
      <c r="X286" s="1325">
        <f>X284 +X202+SUMIF($D:$D,52141,X:X)+SUMIF($D:$D,52142,X:X)+SUMIF($D:$D,52143,X:X)+SUMIF($D:$D,55142,X:X)+SUMIF($D:$D,56142,X:X)+SUMIF($D:$D,70142,X:X)</f>
        <v>649409.2900000005</v>
      </c>
      <c r="Y286" s="1301"/>
      <c r="Z286" s="1325">
        <f>Z284 +Z202+SUMIF($D:$D,52141,Z:Z)+SUMIF($D:$D,52142,Z:Z)+SUMIF($D:$D,52143,Z:Z)+SUMIF($D:$D,55142,Z:Z)+SUMIF($D:$D,56142,Z:Z)+SUMIF($D:$D,70142,Z:Z)</f>
        <v>460636.06000000075</v>
      </c>
      <c r="AA286" s="1301"/>
      <c r="AB286" s="1325">
        <f>AB284 +AB202+SUMIF($D:$D,52141,AB:AB)+SUMIF($D:$D,52142,AB:AB)+SUMIF($D:$D,52143,AB:AB)+SUMIF($D:$D,55142,AB:AB)+SUMIF($D:$D,56142,AB:AB)+SUMIF($D:$D,70142,AB:AB)</f>
        <v>843741.98999999976</v>
      </c>
      <c r="AC286" s="1301"/>
      <c r="AD286" s="1325">
        <f>AD284 +AD202+SUMIF($D:$D,52141,AD:AD)+SUMIF($D:$D,52142,AD:AD)+SUMIF($D:$D,52143,AD:AD)+SUMIF($D:$D,55142,AD:AD)+SUMIF($D:$D,56142,AD:AD)+SUMIF($D:$D,70142,AD:AD)</f>
        <v>691107.12</v>
      </c>
      <c r="AE286" s="1301"/>
      <c r="AF286" s="1325">
        <f>AF284 +AF202+SUMIF($D:$D,52141,AF:AF)+SUMIF($D:$D,52142,AF:AF)+SUMIF($D:$D,52143,AF:AF)+SUMIF($D:$D,55142,AF:AF)+SUMIF($D:$D,56142,AF:AF)+SUMIF($D:$D,70142,AF:AF)</f>
        <v>566439.63000000059</v>
      </c>
      <c r="AG286" s="1301"/>
      <c r="AH286" s="1325">
        <f>AH284 +AH202+SUMIF($D:$D,52141,AH:AH)+SUMIF($D:$D,52142,AH:AH)+SUMIF($D:$D,52143,AH:AH)+SUMIF($D:$D,55142,AH:AH)+SUMIF($D:$D,56142,AH:AH)+SUMIF($D:$D,70142,AH:AH)</f>
        <v>7083620.0600000024</v>
      </c>
      <c r="AI286" s="1304">
        <f>IF(AH$65=0,0,AH286/AH$65)</f>
        <v>0.20709731934864303</v>
      </c>
      <c r="AJ286" s="19"/>
    </row>
    <row r="287" spans="1:36" s="8" customFormat="1" ht="6.75" customHeight="1">
      <c r="A287" s="13"/>
      <c r="B287" s="2" t="s">
        <v>194</v>
      </c>
      <c r="C287" s="2"/>
      <c r="D287" s="1301"/>
      <c r="E287" s="1301"/>
      <c r="F287" s="1301"/>
      <c r="G287" s="1301"/>
      <c r="H287" s="1301"/>
      <c r="I287" s="1301"/>
      <c r="J287" s="1310"/>
      <c r="K287" s="1310"/>
      <c r="L287" s="1310"/>
      <c r="M287" s="1310"/>
      <c r="N287" s="1310"/>
      <c r="O287" s="1310"/>
      <c r="P287" s="1310"/>
      <c r="Q287" s="1310"/>
      <c r="R287" s="1310"/>
      <c r="S287" s="1310"/>
      <c r="T287" s="1310"/>
      <c r="U287" s="1310"/>
      <c r="V287" s="1310"/>
      <c r="W287" s="1310"/>
      <c r="X287" s="1310"/>
      <c r="Y287" s="1310"/>
      <c r="Z287" s="1310"/>
      <c r="AA287" s="1310"/>
      <c r="AB287" s="1310"/>
      <c r="AC287" s="1310"/>
      <c r="AD287" s="1310"/>
      <c r="AE287" s="1310"/>
      <c r="AF287" s="1310"/>
      <c r="AG287" s="1310"/>
      <c r="AH287" s="1310"/>
      <c r="AI287" s="1324"/>
      <c r="AJ287" s="15"/>
    </row>
    <row r="288" spans="1:36" s="407" customFormat="1" outlineLevel="1">
      <c r="B288" s="24" t="s">
        <v>421</v>
      </c>
      <c r="D288" s="1298">
        <v>51260</v>
      </c>
      <c r="E288" s="1298" t="s">
        <v>272</v>
      </c>
      <c r="F288" s="1299"/>
      <c r="G288" s="1300"/>
      <c r="H288" s="1301"/>
      <c r="I288" s="1302"/>
      <c r="J288" s="1303">
        <v>76295.37</v>
      </c>
      <c r="K288" s="1302"/>
      <c r="L288" s="1303">
        <v>76288.800000000003</v>
      </c>
      <c r="M288" s="1302"/>
      <c r="N288" s="1303">
        <v>78512.2</v>
      </c>
      <c r="O288" s="1302"/>
      <c r="P288" s="1303">
        <v>81339.56</v>
      </c>
      <c r="Q288" s="1302"/>
      <c r="R288" s="1303">
        <v>86145.46</v>
      </c>
      <c r="S288" s="1302"/>
      <c r="T288" s="1303">
        <v>97947.14</v>
      </c>
      <c r="U288" s="1302"/>
      <c r="V288" s="1303">
        <v>94382.83</v>
      </c>
      <c r="W288" s="1302"/>
      <c r="X288" s="1303">
        <v>99293.05</v>
      </c>
      <c r="Y288" s="1302"/>
      <c r="Z288" s="1303">
        <v>99293.11</v>
      </c>
      <c r="AA288" s="1302"/>
      <c r="AB288" s="1303">
        <v>99293.01</v>
      </c>
      <c r="AC288" s="1302"/>
      <c r="AD288" s="1303">
        <v>99627.44</v>
      </c>
      <c r="AE288" s="1302"/>
      <c r="AF288" s="1303">
        <v>99627.26</v>
      </c>
      <c r="AG288" s="1302"/>
      <c r="AH288" s="1303">
        <f t="shared" ref="AH288:AH291" si="28">AF288+AD288+AB288+Z288+X288+V288+T288+R288+P288+N288+L288+J288</f>
        <v>1088045.23</v>
      </c>
      <c r="AI288" s="1304">
        <f t="shared" ref="AI288:AI291" si="29">IF(AH$65=0,0,AH288/AH$65)</f>
        <v>3.1810183007341827E-2</v>
      </c>
      <c r="AJ288" s="12"/>
    </row>
    <row r="289" spans="1:36" s="407" customFormat="1" outlineLevel="1">
      <c r="B289" s="24" t="s">
        <v>397</v>
      </c>
      <c r="D289" s="1298">
        <v>54260</v>
      </c>
      <c r="E289" s="1298" t="s">
        <v>272</v>
      </c>
      <c r="F289" s="1299"/>
      <c r="G289" s="1300"/>
      <c r="H289" s="1301"/>
      <c r="I289" s="1302"/>
      <c r="J289" s="1303">
        <v>34755.980000000003</v>
      </c>
      <c r="K289" s="1302"/>
      <c r="L289" s="1303">
        <v>39606.82</v>
      </c>
      <c r="M289" s="1302"/>
      <c r="N289" s="1303">
        <v>36671.769999999997</v>
      </c>
      <c r="O289" s="1302"/>
      <c r="P289" s="1303">
        <v>38736.21</v>
      </c>
      <c r="Q289" s="1302"/>
      <c r="R289" s="1303">
        <v>38339.449999999997</v>
      </c>
      <c r="S289" s="1302"/>
      <c r="T289" s="1303">
        <v>39526.71</v>
      </c>
      <c r="U289" s="1302"/>
      <c r="V289" s="1303">
        <v>38371.839999999997</v>
      </c>
      <c r="W289" s="1302"/>
      <c r="X289" s="1303">
        <v>41247.129999999997</v>
      </c>
      <c r="Y289" s="1302"/>
      <c r="Z289" s="1303">
        <v>39399.769999999997</v>
      </c>
      <c r="AA289" s="1302"/>
      <c r="AB289" s="1303">
        <v>41455.29</v>
      </c>
      <c r="AC289" s="1302"/>
      <c r="AD289" s="1303">
        <v>41419.65</v>
      </c>
      <c r="AE289" s="1302"/>
      <c r="AF289" s="1303">
        <v>41123.660000000003</v>
      </c>
      <c r="AG289" s="1302"/>
      <c r="AH289" s="1303">
        <f t="shared" si="28"/>
        <v>470654.28</v>
      </c>
      <c r="AI289" s="1304">
        <f t="shared" si="29"/>
        <v>1.3760088613217581E-2</v>
      </c>
      <c r="AJ289" s="12"/>
    </row>
    <row r="290" spans="1:36" s="407" customFormat="1" outlineLevel="1">
      <c r="B290" s="24" t="s">
        <v>397</v>
      </c>
      <c r="D290" s="1298">
        <v>57260</v>
      </c>
      <c r="E290" s="1298" t="s">
        <v>272</v>
      </c>
      <c r="F290" s="1299"/>
      <c r="G290" s="1300"/>
      <c r="H290" s="1301"/>
      <c r="I290" s="1302"/>
      <c r="J290" s="1303">
        <v>14793.33</v>
      </c>
      <c r="K290" s="1302"/>
      <c r="L290" s="1303">
        <v>14793.35</v>
      </c>
      <c r="M290" s="1302"/>
      <c r="N290" s="1303">
        <v>14793.32</v>
      </c>
      <c r="O290" s="1302"/>
      <c r="P290" s="1303">
        <v>14793.33</v>
      </c>
      <c r="Q290" s="1302"/>
      <c r="R290" s="1303">
        <v>14793.32</v>
      </c>
      <c r="S290" s="1302"/>
      <c r="T290" s="1303">
        <v>14793.29</v>
      </c>
      <c r="U290" s="1302"/>
      <c r="V290" s="1303">
        <v>14793.32</v>
      </c>
      <c r="W290" s="1302"/>
      <c r="X290" s="1303">
        <v>14793.33</v>
      </c>
      <c r="Y290" s="1302"/>
      <c r="Z290" s="1303">
        <v>14793.33</v>
      </c>
      <c r="AA290" s="1302"/>
      <c r="AB290" s="1303">
        <v>14793.32</v>
      </c>
      <c r="AC290" s="1302"/>
      <c r="AD290" s="1303">
        <v>14793.33</v>
      </c>
      <c r="AE290" s="1302"/>
      <c r="AF290" s="1303">
        <v>14793.28</v>
      </c>
      <c r="AG290" s="1302"/>
      <c r="AH290" s="1303">
        <f t="shared" si="28"/>
        <v>177519.85</v>
      </c>
      <c r="AI290" s="1304">
        <f t="shared" si="29"/>
        <v>5.1899854530274171E-3</v>
      </c>
      <c r="AJ290" s="12"/>
    </row>
    <row r="291" spans="1:36" s="407" customFormat="1" outlineLevel="1">
      <c r="B291" s="24" t="s">
        <v>397</v>
      </c>
      <c r="D291" s="1298">
        <v>70260</v>
      </c>
      <c r="E291" s="1298" t="s">
        <v>272</v>
      </c>
      <c r="F291" s="1299"/>
      <c r="G291" s="1300"/>
      <c r="H291" s="1301"/>
      <c r="I291" s="1302"/>
      <c r="J291" s="1303">
        <v>349.21</v>
      </c>
      <c r="K291" s="1302"/>
      <c r="L291" s="1303">
        <v>349.23</v>
      </c>
      <c r="M291" s="1302"/>
      <c r="N291" s="1303">
        <v>349.2</v>
      </c>
      <c r="O291" s="1302"/>
      <c r="P291" s="1303">
        <v>245.47</v>
      </c>
      <c r="Q291" s="1302"/>
      <c r="R291" s="1303">
        <v>245.49</v>
      </c>
      <c r="S291" s="1302"/>
      <c r="T291" s="1303">
        <v>245.47</v>
      </c>
      <c r="U291" s="1302"/>
      <c r="V291" s="1303">
        <v>245.47</v>
      </c>
      <c r="W291" s="1302"/>
      <c r="X291" s="1303">
        <v>215.25</v>
      </c>
      <c r="Y291" s="1302"/>
      <c r="Z291" s="1303">
        <v>215.28</v>
      </c>
      <c r="AA291" s="1302"/>
      <c r="AB291" s="1303">
        <v>258.47000000000003</v>
      </c>
      <c r="AC291" s="1302"/>
      <c r="AD291" s="1303">
        <v>267.35000000000002</v>
      </c>
      <c r="AE291" s="1302"/>
      <c r="AF291" s="1303">
        <v>267.36</v>
      </c>
      <c r="AG291" s="1302"/>
      <c r="AH291" s="1303">
        <f t="shared" si="28"/>
        <v>3253.25</v>
      </c>
      <c r="AI291" s="1304">
        <f t="shared" si="29"/>
        <v>9.511229406210879E-5</v>
      </c>
      <c r="AJ291" s="12"/>
    </row>
    <row r="292" spans="1:36" s="8" customFormat="1" ht="5.0999999999999996" customHeight="1" outlineLevel="1">
      <c r="A292" s="13"/>
      <c r="B292" s="2" t="s">
        <v>194</v>
      </c>
      <c r="C292" s="2"/>
      <c r="D292" s="1299"/>
      <c r="E292" s="1299"/>
      <c r="F292" s="1299"/>
      <c r="G292" s="1299"/>
      <c r="H292" s="1301"/>
      <c r="I292" s="1301"/>
      <c r="J292" s="1311"/>
      <c r="K292" s="1310"/>
      <c r="L292" s="1311"/>
      <c r="M292" s="1310"/>
      <c r="N292" s="1311"/>
      <c r="O292" s="1310"/>
      <c r="P292" s="1311"/>
      <c r="Q292" s="1310"/>
      <c r="R292" s="1311"/>
      <c r="S292" s="1310"/>
      <c r="T292" s="1311"/>
      <c r="U292" s="1310"/>
      <c r="V292" s="1311"/>
      <c r="W292" s="1310"/>
      <c r="X292" s="1311"/>
      <c r="Y292" s="1310"/>
      <c r="Z292" s="1311"/>
      <c r="AA292" s="1310"/>
      <c r="AB292" s="1311"/>
      <c r="AC292" s="1310"/>
      <c r="AD292" s="1311"/>
      <c r="AE292" s="1310"/>
      <c r="AF292" s="1311"/>
      <c r="AG292" s="1310"/>
      <c r="AH292" s="1311"/>
      <c r="AI292" s="1324"/>
      <c r="AJ292" s="15"/>
    </row>
    <row r="293" spans="1:36" s="8" customFormat="1" ht="15">
      <c r="A293" s="13"/>
      <c r="B293" s="2" t="s">
        <v>194</v>
      </c>
      <c r="C293" s="2"/>
      <c r="D293" s="1301"/>
      <c r="E293" s="1301"/>
      <c r="F293" s="1299" t="s">
        <v>272</v>
      </c>
      <c r="G293" s="1301"/>
      <c r="H293" s="1301"/>
      <c r="I293" s="1301"/>
      <c r="J293" s="1308">
        <f>SUM(J288:J292)</f>
        <v>126193.89000000001</v>
      </c>
      <c r="K293" s="1310"/>
      <c r="L293" s="1308">
        <f>SUM(L288:L292)</f>
        <v>131038.2</v>
      </c>
      <c r="M293" s="1310"/>
      <c r="N293" s="1308">
        <f>SUM(N288:N292)</f>
        <v>130326.49</v>
      </c>
      <c r="O293" s="1326">
        <f>IF(N$59=0,0,N293/N$59)</f>
        <v>0</v>
      </c>
      <c r="P293" s="1308">
        <f>SUM(P288:P292)</f>
        <v>135114.56999999998</v>
      </c>
      <c r="Q293" s="1310"/>
      <c r="R293" s="1308">
        <f>SUM(R288:R292)</f>
        <v>139523.72</v>
      </c>
      <c r="S293" s="1310"/>
      <c r="T293" s="1308">
        <f>SUM(T288:T292)</f>
        <v>152512.61000000002</v>
      </c>
      <c r="U293" s="1326">
        <f>IF(T$59=0,0,T293/T$59)</f>
        <v>0</v>
      </c>
      <c r="V293" s="1308">
        <f>SUM(V288:V292)</f>
        <v>147793.46</v>
      </c>
      <c r="W293" s="1310"/>
      <c r="X293" s="1308">
        <f>SUM(X288:X292)</f>
        <v>155548.75999999998</v>
      </c>
      <c r="Y293" s="1310"/>
      <c r="Z293" s="1308">
        <f>SUM(Z288:Z292)</f>
        <v>153701.49</v>
      </c>
      <c r="AA293" s="1326">
        <f>IF(Z$59=0,0,Z293/Z$59)</f>
        <v>0</v>
      </c>
      <c r="AB293" s="1308">
        <f>SUM(AB288:AB292)</f>
        <v>155800.09</v>
      </c>
      <c r="AC293" s="1310"/>
      <c r="AD293" s="1308">
        <f>SUM(AD288:AD292)</f>
        <v>156107.76999999999</v>
      </c>
      <c r="AE293" s="1310"/>
      <c r="AF293" s="1308">
        <f>SUM(AF288:AF292)</f>
        <v>155811.55999999997</v>
      </c>
      <c r="AG293" s="1326">
        <f>IF(AF$59=0,0,AF293/AF$59)</f>
        <v>0</v>
      </c>
      <c r="AH293" s="1308">
        <f>SUM(J293,L293,N293,P293,R293,T293,V293,X293,Z293,AB293,AD293,AF293)</f>
        <v>1739472.61</v>
      </c>
      <c r="AI293" s="1304">
        <f>IF(AH$65=0,0,AH293/AH$65)</f>
        <v>5.0855369367648937E-2</v>
      </c>
      <c r="AJ293" s="15"/>
    </row>
    <row r="294" spans="1:36" s="8" customFormat="1" ht="15" outlineLevel="1">
      <c r="A294" s="13"/>
      <c r="B294" s="2" t="s">
        <v>194</v>
      </c>
      <c r="C294" s="2"/>
      <c r="D294" s="1301"/>
      <c r="E294" s="1301"/>
      <c r="F294" s="1299"/>
      <c r="G294" s="1301"/>
      <c r="H294" s="1301"/>
      <c r="I294" s="1301"/>
      <c r="J294" s="1310"/>
      <c r="K294" s="1310"/>
      <c r="L294" s="1310"/>
      <c r="M294" s="1310"/>
      <c r="N294" s="1310"/>
      <c r="O294" s="1324"/>
      <c r="P294" s="1310"/>
      <c r="Q294" s="1310"/>
      <c r="R294" s="1310"/>
      <c r="S294" s="1310"/>
      <c r="T294" s="1310"/>
      <c r="U294" s="1324"/>
      <c r="V294" s="1310"/>
      <c r="W294" s="1310"/>
      <c r="X294" s="1310"/>
      <c r="Y294" s="1310"/>
      <c r="Z294" s="1310"/>
      <c r="AA294" s="1324"/>
      <c r="AB294" s="1310"/>
      <c r="AC294" s="1310"/>
      <c r="AD294" s="1310"/>
      <c r="AE294" s="1310"/>
      <c r="AF294" s="1310"/>
      <c r="AG294" s="1324"/>
      <c r="AH294" s="1310"/>
      <c r="AI294" s="1324"/>
      <c r="AJ294" s="15"/>
    </row>
    <row r="295" spans="1:36" s="407" customFormat="1" outlineLevel="1">
      <c r="B295" s="24" t="s">
        <v>422</v>
      </c>
      <c r="D295" s="1298"/>
      <c r="E295" s="1298"/>
      <c r="F295" s="1299"/>
      <c r="G295" s="1300"/>
      <c r="H295" s="1301"/>
      <c r="I295" s="1302"/>
      <c r="J295" s="1303"/>
      <c r="K295" s="1302"/>
      <c r="L295" s="1303"/>
      <c r="M295" s="1302"/>
      <c r="N295" s="1303"/>
      <c r="O295" s="1302"/>
      <c r="P295" s="1303"/>
      <c r="Q295" s="1302"/>
      <c r="R295" s="1303"/>
      <c r="S295" s="1302"/>
      <c r="T295" s="1303"/>
      <c r="U295" s="1302"/>
      <c r="V295" s="1303"/>
      <c r="W295" s="1302"/>
      <c r="X295" s="1303"/>
      <c r="Y295" s="1302"/>
      <c r="Z295" s="1303"/>
      <c r="AA295" s="1302"/>
      <c r="AB295" s="1303"/>
      <c r="AC295" s="1302"/>
      <c r="AD295" s="1303"/>
      <c r="AE295" s="1302"/>
      <c r="AF295" s="1303"/>
      <c r="AG295" s="1302"/>
      <c r="AH295" s="1303">
        <f>AF295+AD295+AB295+Z295+X295+V295+T295+R295+P295+N295+L295+J295</f>
        <v>0</v>
      </c>
      <c r="AI295" s="1304">
        <f>IF(AH$65=0,0,AH295/AH$65)</f>
        <v>0</v>
      </c>
      <c r="AJ295" s="12"/>
    </row>
    <row r="296" spans="1:36" s="8" customFormat="1" ht="5.0999999999999996" customHeight="1" outlineLevel="1">
      <c r="A296" s="13"/>
      <c r="B296" s="2" t="s">
        <v>194</v>
      </c>
      <c r="C296" s="2"/>
      <c r="D296" s="1299"/>
      <c r="E296" s="1299"/>
      <c r="F296" s="1299"/>
      <c r="G296" s="1299"/>
      <c r="H296" s="1301"/>
      <c r="I296" s="1301"/>
      <c r="J296" s="1311"/>
      <c r="K296" s="1310"/>
      <c r="L296" s="1311"/>
      <c r="M296" s="1310"/>
      <c r="N296" s="1311"/>
      <c r="O296" s="1324"/>
      <c r="P296" s="1311"/>
      <c r="Q296" s="1310"/>
      <c r="R296" s="1311"/>
      <c r="S296" s="1310"/>
      <c r="T296" s="1311"/>
      <c r="U296" s="1324"/>
      <c r="V296" s="1311"/>
      <c r="W296" s="1310"/>
      <c r="X296" s="1311"/>
      <c r="Y296" s="1310"/>
      <c r="Z296" s="1311"/>
      <c r="AA296" s="1324"/>
      <c r="AB296" s="1311"/>
      <c r="AC296" s="1310"/>
      <c r="AD296" s="1311"/>
      <c r="AE296" s="1310"/>
      <c r="AF296" s="1311"/>
      <c r="AG296" s="1324"/>
      <c r="AH296" s="1311"/>
      <c r="AI296" s="1324"/>
      <c r="AJ296" s="15"/>
    </row>
    <row r="297" spans="1:36" s="8" customFormat="1" ht="15">
      <c r="A297" s="13"/>
      <c r="B297" s="2" t="s">
        <v>194</v>
      </c>
      <c r="C297" s="2"/>
      <c r="D297" s="1301"/>
      <c r="E297" s="1301"/>
      <c r="F297" s="1298" t="s">
        <v>273</v>
      </c>
      <c r="G297" s="1301"/>
      <c r="H297" s="1301"/>
      <c r="I297" s="1301"/>
      <c r="J297" s="1308">
        <f>SUM(J295:J296)</f>
        <v>0</v>
      </c>
      <c r="K297" s="1310"/>
      <c r="L297" s="1308">
        <f>SUM(L295:L296)</f>
        <v>0</v>
      </c>
      <c r="M297" s="1310"/>
      <c r="N297" s="1308">
        <f>SUM(N295:N296)</f>
        <v>0</v>
      </c>
      <c r="O297" s="1326">
        <f>IF(N$59=0,0,N297/N$59)</f>
        <v>0</v>
      </c>
      <c r="P297" s="1308">
        <f>SUM(P295:P296)</f>
        <v>0</v>
      </c>
      <c r="Q297" s="1310"/>
      <c r="R297" s="1308">
        <f>SUM(R295:R296)</f>
        <v>0</v>
      </c>
      <c r="S297" s="1310"/>
      <c r="T297" s="1308">
        <f>SUM(T295:T296)</f>
        <v>0</v>
      </c>
      <c r="U297" s="1326">
        <f>IF(T$59=0,0,T297/T$59)</f>
        <v>0</v>
      </c>
      <c r="V297" s="1308">
        <f>SUM(V295:V296)</f>
        <v>0</v>
      </c>
      <c r="W297" s="1310"/>
      <c r="X297" s="1308">
        <f>SUM(X295:X296)</f>
        <v>0</v>
      </c>
      <c r="Y297" s="1310"/>
      <c r="Z297" s="1308">
        <f>SUM(Z295:Z296)</f>
        <v>0</v>
      </c>
      <c r="AA297" s="1326">
        <f>IF(Z$59=0,0,Z297/Z$59)</f>
        <v>0</v>
      </c>
      <c r="AB297" s="1308">
        <f>SUM(AB295:AB296)</f>
        <v>0</v>
      </c>
      <c r="AC297" s="1310"/>
      <c r="AD297" s="1308">
        <f>SUM(AD295:AD296)</f>
        <v>0</v>
      </c>
      <c r="AE297" s="1310"/>
      <c r="AF297" s="1308">
        <f>SUM(AF295:AF296)</f>
        <v>0</v>
      </c>
      <c r="AG297" s="1326">
        <f>IF(AF$59=0,0,AF297/AF$59)</f>
        <v>0</v>
      </c>
      <c r="AH297" s="1308">
        <f>SUM(J297,L297,N297)</f>
        <v>0</v>
      </c>
      <c r="AI297" s="1304">
        <f>IF(AH$65=0,0,AH297/AH$65)</f>
        <v>0</v>
      </c>
      <c r="AJ297" s="15"/>
    </row>
    <row r="298" spans="1:36" s="8" customFormat="1" ht="15" outlineLevel="1">
      <c r="A298" s="13"/>
      <c r="B298" s="2" t="s">
        <v>194</v>
      </c>
      <c r="C298" s="2"/>
      <c r="D298" s="1301"/>
      <c r="E298" s="1301"/>
      <c r="F298" s="1301"/>
      <c r="G298" s="1301"/>
      <c r="H298" s="1301"/>
      <c r="I298" s="1301"/>
      <c r="J298" s="1310"/>
      <c r="K298" s="1310"/>
      <c r="L298" s="1310"/>
      <c r="M298" s="1310"/>
      <c r="N298" s="1310"/>
      <c r="O298" s="1324"/>
      <c r="P298" s="1310"/>
      <c r="Q298" s="1310"/>
      <c r="R298" s="1310"/>
      <c r="S298" s="1310"/>
      <c r="T298" s="1310"/>
      <c r="U298" s="1324"/>
      <c r="V298" s="1310"/>
      <c r="W298" s="1310"/>
      <c r="X298" s="1310"/>
      <c r="Y298" s="1310"/>
      <c r="Z298" s="1310"/>
      <c r="AA298" s="1324"/>
      <c r="AB298" s="1310"/>
      <c r="AC298" s="1310"/>
      <c r="AD298" s="1310"/>
      <c r="AE298" s="1310"/>
      <c r="AF298" s="1310"/>
      <c r="AG298" s="1324"/>
      <c r="AH298" s="1310"/>
      <c r="AI298" s="1324"/>
      <c r="AJ298" s="15"/>
    </row>
    <row r="299" spans="1:36" s="407" customFormat="1" outlineLevel="1">
      <c r="B299" s="24" t="s">
        <v>423</v>
      </c>
      <c r="D299" s="1298">
        <v>70264</v>
      </c>
      <c r="E299" s="1298" t="s">
        <v>156</v>
      </c>
      <c r="F299" s="1299"/>
      <c r="G299" s="1300"/>
      <c r="H299" s="1301"/>
      <c r="I299" s="1302"/>
      <c r="J299" s="1303">
        <v>8421.2900000000009</v>
      </c>
      <c r="K299" s="1302"/>
      <c r="L299" s="1303">
        <v>8421.2900000000009</v>
      </c>
      <c r="M299" s="1302"/>
      <c r="N299" s="1303">
        <v>8421.2900000000009</v>
      </c>
      <c r="O299" s="1302"/>
      <c r="P299" s="1303">
        <v>8421.2999999999993</v>
      </c>
      <c r="Q299" s="1302"/>
      <c r="R299" s="1303">
        <v>8421.2900000000009</v>
      </c>
      <c r="S299" s="1302"/>
      <c r="T299" s="1303">
        <v>8421.27</v>
      </c>
      <c r="U299" s="1302"/>
      <c r="V299" s="1303">
        <v>0</v>
      </c>
      <c r="W299" s="1302"/>
      <c r="X299" s="1303">
        <v>0</v>
      </c>
      <c r="Y299" s="1302"/>
      <c r="Z299" s="1303">
        <v>0</v>
      </c>
      <c r="AA299" s="1302"/>
      <c r="AB299" s="1303">
        <v>0</v>
      </c>
      <c r="AC299" s="1302"/>
      <c r="AD299" s="1303">
        <v>0</v>
      </c>
      <c r="AE299" s="1302"/>
      <c r="AF299" s="1303">
        <v>0</v>
      </c>
      <c r="AG299" s="1302"/>
      <c r="AH299" s="1303">
        <f>AF299+AD299+AB299+Z299+X299+V299+T299+R299+P299+N299+L299+J299</f>
        <v>50527.73</v>
      </c>
      <c r="AI299" s="1304">
        <f>IF(AH$65=0,0,AH299/AH$65)</f>
        <v>1.4772330174597208E-3</v>
      </c>
      <c r="AJ299" s="12"/>
    </row>
    <row r="300" spans="1:36" s="8" customFormat="1" ht="5.0999999999999996" customHeight="1" outlineLevel="1">
      <c r="A300" s="13"/>
      <c r="B300" s="16" t="s">
        <v>194</v>
      </c>
      <c r="C300" s="16"/>
      <c r="D300" s="1299"/>
      <c r="E300" s="1299"/>
      <c r="F300" s="1299"/>
      <c r="G300" s="1299"/>
      <c r="H300" s="1301"/>
      <c r="I300" s="1301"/>
      <c r="J300" s="1311"/>
      <c r="K300" s="1310"/>
      <c r="L300" s="1311"/>
      <c r="M300" s="1310"/>
      <c r="N300" s="1311"/>
      <c r="O300" s="1324"/>
      <c r="P300" s="1311"/>
      <c r="Q300" s="1310"/>
      <c r="R300" s="1311"/>
      <c r="S300" s="1310"/>
      <c r="T300" s="1311"/>
      <c r="U300" s="1324"/>
      <c r="V300" s="1311"/>
      <c r="W300" s="1310"/>
      <c r="X300" s="1311"/>
      <c r="Y300" s="1310"/>
      <c r="Z300" s="1311"/>
      <c r="AA300" s="1324"/>
      <c r="AB300" s="1311"/>
      <c r="AC300" s="1310"/>
      <c r="AD300" s="1311"/>
      <c r="AE300" s="1310"/>
      <c r="AF300" s="1311"/>
      <c r="AG300" s="1324"/>
      <c r="AH300" s="1311"/>
      <c r="AI300" s="1324"/>
      <c r="AJ300" s="15"/>
    </row>
    <row r="301" spans="1:36" s="8" customFormat="1" ht="15">
      <c r="A301" s="13"/>
      <c r="B301" s="16" t="s">
        <v>194</v>
      </c>
      <c r="C301" s="16"/>
      <c r="D301" s="1301"/>
      <c r="E301" s="1301"/>
      <c r="F301" s="1299" t="s">
        <v>274</v>
      </c>
      <c r="G301" s="1301"/>
      <c r="H301" s="1301"/>
      <c r="I301" s="1301"/>
      <c r="J301" s="1308">
        <f>SUM(J299:J300)</f>
        <v>8421.2900000000009</v>
      </c>
      <c r="K301" s="1310"/>
      <c r="L301" s="1308">
        <f>SUM(L299:L300)</f>
        <v>8421.2900000000009</v>
      </c>
      <c r="M301" s="1310"/>
      <c r="N301" s="1308">
        <f>SUM(N299:N300)</f>
        <v>8421.2900000000009</v>
      </c>
      <c r="O301" s="1326">
        <f>IF(N$59=0,0,N301/N$59)</f>
        <v>0</v>
      </c>
      <c r="P301" s="1308">
        <f>SUM(P299:P300)</f>
        <v>8421.2999999999993</v>
      </c>
      <c r="Q301" s="1310"/>
      <c r="R301" s="1308">
        <f>SUM(R299:R300)</f>
        <v>8421.2900000000009</v>
      </c>
      <c r="S301" s="1310"/>
      <c r="T301" s="1308">
        <f>SUM(T299:T300)</f>
        <v>8421.27</v>
      </c>
      <c r="U301" s="1326">
        <f>IF(T$59=0,0,T301/T$59)</f>
        <v>0</v>
      </c>
      <c r="V301" s="1308">
        <f>SUM(V299:V300)</f>
        <v>0</v>
      </c>
      <c r="W301" s="1310"/>
      <c r="X301" s="1308">
        <f>SUM(X299:X300)</f>
        <v>0</v>
      </c>
      <c r="Y301" s="1310"/>
      <c r="Z301" s="1308">
        <f>SUM(Z299:Z300)</f>
        <v>0</v>
      </c>
      <c r="AA301" s="1326">
        <f>IF(Z$59=0,0,Z301/Z$59)</f>
        <v>0</v>
      </c>
      <c r="AB301" s="1308">
        <f>SUM(AB299:AB300)</f>
        <v>0</v>
      </c>
      <c r="AC301" s="1310"/>
      <c r="AD301" s="1308">
        <f>SUM(AD299:AD300)</f>
        <v>0</v>
      </c>
      <c r="AE301" s="1310"/>
      <c r="AF301" s="1308">
        <f>SUM(AF299:AF300)</f>
        <v>0</v>
      </c>
      <c r="AG301" s="1326">
        <f>IF(AF$59=0,0,AF301/AF$59)</f>
        <v>0</v>
      </c>
      <c r="AH301" s="1308">
        <f>SUM(J301,L301,N301,P301,R301,T301,V301,X301,Z301,AB301,AD301,AF301)</f>
        <v>50527.729999999996</v>
      </c>
      <c r="AI301" s="1304">
        <f>IF(AH$65=0,0,AH301/AH$65)</f>
        <v>1.4772330174597206E-3</v>
      </c>
      <c r="AJ301" s="15"/>
    </row>
    <row r="302" spans="1:36" s="8" customFormat="1" ht="6.75" customHeight="1">
      <c r="A302" s="13"/>
      <c r="B302" s="16" t="s">
        <v>194</v>
      </c>
      <c r="C302" s="16"/>
      <c r="D302" s="1301"/>
      <c r="E302" s="1301"/>
      <c r="F302" s="1301"/>
      <c r="G302" s="1301"/>
      <c r="H302" s="1301"/>
      <c r="I302" s="1301"/>
      <c r="J302" s="1310"/>
      <c r="K302" s="1310"/>
      <c r="L302" s="1310"/>
      <c r="M302" s="1310"/>
      <c r="N302" s="1310"/>
      <c r="O302" s="1324"/>
      <c r="P302" s="1310"/>
      <c r="Q302" s="1310"/>
      <c r="R302" s="1310"/>
      <c r="S302" s="1310"/>
      <c r="T302" s="1310"/>
      <c r="U302" s="1324"/>
      <c r="V302" s="1310"/>
      <c r="W302" s="1310"/>
      <c r="X302" s="1310"/>
      <c r="Y302" s="1310"/>
      <c r="Z302" s="1310"/>
      <c r="AA302" s="1324"/>
      <c r="AB302" s="1310"/>
      <c r="AC302" s="1310"/>
      <c r="AD302" s="1310"/>
      <c r="AE302" s="1310"/>
      <c r="AF302" s="1310"/>
      <c r="AG302" s="1324"/>
      <c r="AH302" s="1310"/>
      <c r="AI302" s="1324"/>
      <c r="AJ302" s="15"/>
    </row>
    <row r="303" spans="1:36" s="8" customFormat="1" ht="15">
      <c r="A303" s="13"/>
      <c r="B303" s="16" t="s">
        <v>194</v>
      </c>
      <c r="C303" s="16"/>
      <c r="D303" s="1301"/>
      <c r="E303" s="1313" t="s">
        <v>275</v>
      </c>
      <c r="F303" s="1301"/>
      <c r="G303" s="1301"/>
      <c r="H303" s="1301"/>
      <c r="I303" s="1301"/>
      <c r="J303" s="1314">
        <f>+J293+J297+J301</f>
        <v>134615.18000000002</v>
      </c>
      <c r="K303" s="1310"/>
      <c r="L303" s="1314">
        <f>+L293+L297+L301</f>
        <v>139459.49</v>
      </c>
      <c r="M303" s="1310"/>
      <c r="N303" s="1314">
        <f>+N293+N297+N301</f>
        <v>138747.78</v>
      </c>
      <c r="O303" s="1326">
        <f>IF(N$59=0,0,N303/N$59)</f>
        <v>0</v>
      </c>
      <c r="P303" s="1314">
        <f>+P293+P297+P301</f>
        <v>143535.86999999997</v>
      </c>
      <c r="Q303" s="1310"/>
      <c r="R303" s="1314">
        <f>+R293+R297+R301</f>
        <v>147945.01</v>
      </c>
      <c r="S303" s="1310"/>
      <c r="T303" s="1314">
        <f>+T293+T297+T301</f>
        <v>160933.88</v>
      </c>
      <c r="U303" s="1326">
        <f>IF(T$59=0,0,T303/T$59)</f>
        <v>0</v>
      </c>
      <c r="V303" s="1314">
        <f>+V293+V297+V301</f>
        <v>147793.46</v>
      </c>
      <c r="W303" s="1310"/>
      <c r="X303" s="1314">
        <f>+X293+X297+X301</f>
        <v>155548.75999999998</v>
      </c>
      <c r="Y303" s="1310"/>
      <c r="Z303" s="1314">
        <f>+Z293+Z297+Z301</f>
        <v>153701.49</v>
      </c>
      <c r="AA303" s="1326">
        <f>IF(Z$59=0,0,Z303/Z$59)</f>
        <v>0</v>
      </c>
      <c r="AB303" s="1314">
        <f>+AB293+AB297+AB301</f>
        <v>155800.09</v>
      </c>
      <c r="AC303" s="1310"/>
      <c r="AD303" s="1314">
        <f>+AD293+AD297+AD301</f>
        <v>156107.76999999999</v>
      </c>
      <c r="AE303" s="1310"/>
      <c r="AF303" s="1314">
        <f>+AF293+AF297+AF301</f>
        <v>155811.55999999997</v>
      </c>
      <c r="AG303" s="1326">
        <f>IF(AF$59=0,0,AF303/AF$59)</f>
        <v>0</v>
      </c>
      <c r="AH303" s="1314">
        <f>+AH293+AH297+AH301</f>
        <v>1790000.34</v>
      </c>
      <c r="AI303" s="1304">
        <f>IF(AH$65=0,0,AH303/AH$65)</f>
        <v>5.2332602385108659E-2</v>
      </c>
      <c r="AJ303" s="15"/>
    </row>
    <row r="304" spans="1:36" s="8" customFormat="1" ht="6.75" customHeight="1">
      <c r="A304" s="13"/>
      <c r="B304" s="16" t="s">
        <v>194</v>
      </c>
      <c r="C304" s="16"/>
      <c r="D304" s="1301"/>
      <c r="E304" s="1301"/>
      <c r="F304" s="1301"/>
      <c r="G304" s="1301"/>
      <c r="H304" s="1301"/>
      <c r="I304" s="1301"/>
      <c r="J304" s="1310"/>
      <c r="K304" s="1310"/>
      <c r="L304" s="1310"/>
      <c r="M304" s="1310"/>
      <c r="N304" s="1310"/>
      <c r="O304" s="1324"/>
      <c r="P304" s="1310"/>
      <c r="Q304" s="1310"/>
      <c r="R304" s="1310"/>
      <c r="S304" s="1310"/>
      <c r="T304" s="1310"/>
      <c r="U304" s="1324"/>
      <c r="V304" s="1310"/>
      <c r="W304" s="1310"/>
      <c r="X304" s="1310"/>
      <c r="Y304" s="1310"/>
      <c r="Z304" s="1310"/>
      <c r="AA304" s="1324"/>
      <c r="AB304" s="1310"/>
      <c r="AC304" s="1310"/>
      <c r="AD304" s="1310"/>
      <c r="AE304" s="1310"/>
      <c r="AF304" s="1310"/>
      <c r="AG304" s="1324"/>
      <c r="AH304" s="1310"/>
      <c r="AI304" s="1324"/>
      <c r="AJ304" s="15"/>
    </row>
    <row r="305" spans="1:36" s="8" customFormat="1" ht="15">
      <c r="A305" s="13"/>
      <c r="B305" s="16" t="s">
        <v>194</v>
      </c>
      <c r="C305" s="16"/>
      <c r="D305" s="1301"/>
      <c r="E305" s="1316" t="s">
        <v>276</v>
      </c>
      <c r="F305" s="1301"/>
      <c r="G305" s="1301"/>
      <c r="H305" s="1301"/>
      <c r="I305" s="1301"/>
      <c r="J305" s="1314">
        <f>+J284-J303</f>
        <v>185461.93000000002</v>
      </c>
      <c r="K305" s="1310"/>
      <c r="L305" s="1314">
        <f>+L284-L303</f>
        <v>303233.51000000024</v>
      </c>
      <c r="M305" s="1310"/>
      <c r="N305" s="1314">
        <f>+N284-N303</f>
        <v>265830.73999999964</v>
      </c>
      <c r="O305" s="1326">
        <f>IF(N$59=0,0,N305/N$59)</f>
        <v>0</v>
      </c>
      <c r="P305" s="1314">
        <f>+P284-P303</f>
        <v>279455.08000000054</v>
      </c>
      <c r="Q305" s="1310"/>
      <c r="R305" s="1314">
        <f>+R284-R303</f>
        <v>325051.23999999976</v>
      </c>
      <c r="S305" s="1310"/>
      <c r="T305" s="1314">
        <f>+T284-T303</f>
        <v>309718.52000000118</v>
      </c>
      <c r="U305" s="1326">
        <f>IF(T$59=0,0,T305/T$59)</f>
        <v>0</v>
      </c>
      <c r="V305" s="1314">
        <f>+V284-V303</f>
        <v>286272.44999999914</v>
      </c>
      <c r="W305" s="1310"/>
      <c r="X305" s="1314">
        <f>+X284-X303</f>
        <v>363362.25000000058</v>
      </c>
      <c r="Y305" s="1310"/>
      <c r="Z305" s="1314">
        <f>+Z284-Z303</f>
        <v>184820.19000000076</v>
      </c>
      <c r="AA305" s="1326">
        <f>IF(Z$59=0,0,Z305/Z$59)</f>
        <v>0</v>
      </c>
      <c r="AB305" s="1314">
        <f>+AB284-AB303</f>
        <v>590646.1799999997</v>
      </c>
      <c r="AC305" s="1310"/>
      <c r="AD305" s="1314">
        <f>+AD284-AD303</f>
        <v>413450.94999999995</v>
      </c>
      <c r="AE305" s="1310"/>
      <c r="AF305" s="1314">
        <f>+AF284-AF303</f>
        <v>278731.5200000006</v>
      </c>
      <c r="AG305" s="1326">
        <f>IF(AF$59=0,0,AF305/AF$59)</f>
        <v>0</v>
      </c>
      <c r="AH305" s="1314">
        <f>+AH284-AH303</f>
        <v>3786034.5600000033</v>
      </c>
      <c r="AI305" s="1304">
        <f>IF(AH$65=0,0,AH305/AH$65)</f>
        <v>0.11068882883271405</v>
      </c>
      <c r="AJ305" s="15"/>
    </row>
    <row r="306" spans="1:36" s="8" customFormat="1" ht="6.75" customHeight="1">
      <c r="A306" s="13"/>
      <c r="B306" s="16" t="s">
        <v>194</v>
      </c>
      <c r="C306" s="16"/>
      <c r="D306" s="1301"/>
      <c r="E306" s="1301"/>
      <c r="F306" s="1301"/>
      <c r="G306" s="1301"/>
      <c r="H306" s="1301"/>
      <c r="I306" s="1301"/>
      <c r="J306" s="1310"/>
      <c r="K306" s="1310"/>
      <c r="L306" s="1310"/>
      <c r="M306" s="1310"/>
      <c r="N306" s="1310"/>
      <c r="O306" s="1324"/>
      <c r="P306" s="1310"/>
      <c r="Q306" s="1310"/>
      <c r="R306" s="1310"/>
      <c r="S306" s="1310"/>
      <c r="T306" s="1310"/>
      <c r="U306" s="1324"/>
      <c r="V306" s="1310"/>
      <c r="W306" s="1310"/>
      <c r="X306" s="1310"/>
      <c r="Y306" s="1310"/>
      <c r="Z306" s="1310"/>
      <c r="AA306" s="1324"/>
      <c r="AB306" s="1310"/>
      <c r="AC306" s="1310"/>
      <c r="AD306" s="1310"/>
      <c r="AE306" s="1310"/>
      <c r="AF306" s="1310"/>
      <c r="AG306" s="1324"/>
      <c r="AH306" s="1310"/>
      <c r="AI306" s="1324"/>
      <c r="AJ306" s="15"/>
    </row>
    <row r="307" spans="1:36" s="407" customFormat="1" outlineLevel="1">
      <c r="B307" s="24" t="s">
        <v>424</v>
      </c>
      <c r="D307" s="1298"/>
      <c r="E307" s="1298"/>
      <c r="F307" s="1299"/>
      <c r="G307" s="1300"/>
      <c r="H307" s="1301"/>
      <c r="I307" s="1302"/>
      <c r="J307" s="1303"/>
      <c r="K307" s="1302"/>
      <c r="L307" s="1303"/>
      <c r="M307" s="1302"/>
      <c r="N307" s="1303"/>
      <c r="O307" s="1302"/>
      <c r="P307" s="1303"/>
      <c r="Q307" s="1302"/>
      <c r="R307" s="1303"/>
      <c r="S307" s="1302"/>
      <c r="T307" s="1303"/>
      <c r="U307" s="1302"/>
      <c r="V307" s="1303"/>
      <c r="W307" s="1302"/>
      <c r="X307" s="1303"/>
      <c r="Y307" s="1302"/>
      <c r="Z307" s="1303"/>
      <c r="AA307" s="1302"/>
      <c r="AB307" s="1303"/>
      <c r="AC307" s="1302"/>
      <c r="AD307" s="1303"/>
      <c r="AE307" s="1302"/>
      <c r="AF307" s="1303"/>
      <c r="AG307" s="1302"/>
      <c r="AH307" s="1303">
        <f>AF307+AD307+AB307+Z307+X307+V307+T307+R307+P307+N307+L307+J307</f>
        <v>0</v>
      </c>
      <c r="AI307" s="1304">
        <f>IF(AH$65=0,0,AH307/AH$65)</f>
        <v>0</v>
      </c>
      <c r="AJ307" s="12"/>
    </row>
    <row r="308" spans="1:36" s="8" customFormat="1" ht="5.0999999999999996" customHeight="1" outlineLevel="1">
      <c r="A308" s="13"/>
      <c r="B308" s="16" t="s">
        <v>194</v>
      </c>
      <c r="C308" s="16"/>
      <c r="D308" s="1299"/>
      <c r="E308" s="1299"/>
      <c r="F308" s="1299"/>
      <c r="G308" s="1299"/>
      <c r="H308" s="1301"/>
      <c r="I308" s="1301"/>
      <c r="J308" s="1311"/>
      <c r="K308" s="1310"/>
      <c r="L308" s="1311"/>
      <c r="M308" s="1310"/>
      <c r="N308" s="1311"/>
      <c r="O308" s="1324"/>
      <c r="P308" s="1311"/>
      <c r="Q308" s="1310"/>
      <c r="R308" s="1311"/>
      <c r="S308" s="1310"/>
      <c r="T308" s="1311"/>
      <c r="U308" s="1324"/>
      <c r="V308" s="1311"/>
      <c r="W308" s="1310"/>
      <c r="X308" s="1311"/>
      <c r="Y308" s="1310"/>
      <c r="Z308" s="1311"/>
      <c r="AA308" s="1324"/>
      <c r="AB308" s="1311"/>
      <c r="AC308" s="1310"/>
      <c r="AD308" s="1311"/>
      <c r="AE308" s="1310"/>
      <c r="AF308" s="1311"/>
      <c r="AG308" s="1324"/>
      <c r="AH308" s="1311"/>
      <c r="AI308" s="1324"/>
      <c r="AJ308" s="15"/>
    </row>
    <row r="309" spans="1:36" s="8" customFormat="1" ht="15">
      <c r="A309" s="13"/>
      <c r="B309" s="16" t="s">
        <v>194</v>
      </c>
      <c r="C309" s="16"/>
      <c r="D309" s="1301"/>
      <c r="E309" s="1301"/>
      <c r="F309" s="1299" t="s">
        <v>277</v>
      </c>
      <c r="G309" s="1301"/>
      <c r="H309" s="1301"/>
      <c r="I309" s="1301"/>
      <c r="J309" s="1308">
        <f>SUM(J307:J308)</f>
        <v>0</v>
      </c>
      <c r="K309" s="1310"/>
      <c r="L309" s="1308">
        <f>SUM(L307:L308)</f>
        <v>0</v>
      </c>
      <c r="M309" s="1310"/>
      <c r="N309" s="1308">
        <f>SUM(N307:N308)</f>
        <v>0</v>
      </c>
      <c r="O309" s="1326">
        <f>IF(N$59=0,0,N309/N$59)</f>
        <v>0</v>
      </c>
      <c r="P309" s="1308">
        <f>SUM(P307:P308)</f>
        <v>0</v>
      </c>
      <c r="Q309" s="1310"/>
      <c r="R309" s="1308">
        <f>SUM(R307:R308)</f>
        <v>0</v>
      </c>
      <c r="S309" s="1310"/>
      <c r="T309" s="1308">
        <f>SUM(T307:T308)</f>
        <v>0</v>
      </c>
      <c r="U309" s="1326">
        <f>IF(T$59=0,0,T309/T$59)</f>
        <v>0</v>
      </c>
      <c r="V309" s="1308">
        <f>SUM(V307:V308)</f>
        <v>0</v>
      </c>
      <c r="W309" s="1310"/>
      <c r="X309" s="1308">
        <f>SUM(X307:X308)</f>
        <v>0</v>
      </c>
      <c r="Y309" s="1310"/>
      <c r="Z309" s="1308">
        <f>SUM(Z307:Z308)</f>
        <v>0</v>
      </c>
      <c r="AA309" s="1326">
        <f>IF(Z$59=0,0,Z309/Z$59)</f>
        <v>0</v>
      </c>
      <c r="AB309" s="1308">
        <f>SUM(AB307:AB308)</f>
        <v>0</v>
      </c>
      <c r="AC309" s="1310"/>
      <c r="AD309" s="1308">
        <f>SUM(AD307:AD308)</f>
        <v>0</v>
      </c>
      <c r="AE309" s="1310"/>
      <c r="AF309" s="1308">
        <f>SUM(AF307:AF308)</f>
        <v>0</v>
      </c>
      <c r="AG309" s="1326">
        <f>IF(AF$59=0,0,AF309/AF$59)</f>
        <v>0</v>
      </c>
      <c r="AH309" s="1308">
        <f>SUM(AH307:AH308)</f>
        <v>0</v>
      </c>
      <c r="AI309" s="1304">
        <f>IF(AH$65=0,0,AH309/AH$65)</f>
        <v>0</v>
      </c>
      <c r="AJ309" s="15"/>
    </row>
    <row r="310" spans="1:36" s="8" customFormat="1" ht="15" outlineLevel="1">
      <c r="A310" s="13"/>
      <c r="B310" s="16" t="s">
        <v>194</v>
      </c>
      <c r="C310" s="16"/>
      <c r="D310" s="1301"/>
      <c r="E310" s="1301"/>
      <c r="F310" s="1301"/>
      <c r="G310" s="1301"/>
      <c r="H310" s="1301"/>
      <c r="I310" s="1301"/>
      <c r="J310" s="1310"/>
      <c r="K310" s="1310"/>
      <c r="L310" s="1310"/>
      <c r="M310" s="1310"/>
      <c r="N310" s="1310"/>
      <c r="O310" s="1324"/>
      <c r="P310" s="1310"/>
      <c r="Q310" s="1310"/>
      <c r="R310" s="1310"/>
      <c r="S310" s="1310"/>
      <c r="T310" s="1310"/>
      <c r="U310" s="1324"/>
      <c r="V310" s="1310"/>
      <c r="W310" s="1310"/>
      <c r="X310" s="1310"/>
      <c r="Y310" s="1310"/>
      <c r="Z310" s="1310"/>
      <c r="AA310" s="1324"/>
      <c r="AB310" s="1310"/>
      <c r="AC310" s="1310"/>
      <c r="AD310" s="1310"/>
      <c r="AE310" s="1310"/>
      <c r="AF310" s="1310"/>
      <c r="AG310" s="1324"/>
      <c r="AH310" s="1310"/>
      <c r="AI310" s="1324"/>
      <c r="AJ310" s="15"/>
    </row>
    <row r="311" spans="1:36" s="407" customFormat="1" outlineLevel="1">
      <c r="B311" s="24" t="s">
        <v>425</v>
      </c>
      <c r="D311" s="1298"/>
      <c r="E311" s="1298"/>
      <c r="F311" s="1299"/>
      <c r="G311" s="1300"/>
      <c r="H311" s="1301"/>
      <c r="I311" s="1302"/>
      <c r="J311" s="1303"/>
      <c r="K311" s="1302"/>
      <c r="L311" s="1303"/>
      <c r="M311" s="1302"/>
      <c r="N311" s="1303"/>
      <c r="O311" s="1302"/>
      <c r="P311" s="1303"/>
      <c r="Q311" s="1302"/>
      <c r="R311" s="1303"/>
      <c r="S311" s="1302"/>
      <c r="T311" s="1303"/>
      <c r="U311" s="1302"/>
      <c r="V311" s="1303"/>
      <c r="W311" s="1302"/>
      <c r="X311" s="1303"/>
      <c r="Y311" s="1302"/>
      <c r="Z311" s="1303"/>
      <c r="AA311" s="1302"/>
      <c r="AB311" s="1303"/>
      <c r="AC311" s="1302"/>
      <c r="AD311" s="1303"/>
      <c r="AE311" s="1302"/>
      <c r="AF311" s="1303"/>
      <c r="AG311" s="1302"/>
      <c r="AH311" s="1303">
        <f>AF311+AD311+AB311+Z311+X311+V311+T311+R311+P311+N311+L311+J311</f>
        <v>0</v>
      </c>
      <c r="AI311" s="1304">
        <f>IF(AH$65=0,0,AH311/AH$65)</f>
        <v>0</v>
      </c>
      <c r="AJ311" s="12"/>
    </row>
    <row r="312" spans="1:36" s="8" customFormat="1" ht="5.0999999999999996" customHeight="1" outlineLevel="1">
      <c r="A312" s="13"/>
      <c r="B312" s="16" t="s">
        <v>194</v>
      </c>
      <c r="C312" s="16"/>
      <c r="D312" s="1299"/>
      <c r="E312" s="1299"/>
      <c r="F312" s="1299"/>
      <c r="G312" s="1299"/>
      <c r="H312" s="1301"/>
      <c r="I312" s="1301"/>
      <c r="J312" s="1311"/>
      <c r="K312" s="1310"/>
      <c r="L312" s="1311"/>
      <c r="M312" s="1310"/>
      <c r="N312" s="1311"/>
      <c r="O312" s="1324"/>
      <c r="P312" s="1311"/>
      <c r="Q312" s="1310"/>
      <c r="R312" s="1311"/>
      <c r="S312" s="1310"/>
      <c r="T312" s="1311"/>
      <c r="U312" s="1324"/>
      <c r="V312" s="1311"/>
      <c r="W312" s="1310"/>
      <c r="X312" s="1311"/>
      <c r="Y312" s="1310"/>
      <c r="Z312" s="1311"/>
      <c r="AA312" s="1324"/>
      <c r="AB312" s="1311"/>
      <c r="AC312" s="1310"/>
      <c r="AD312" s="1311"/>
      <c r="AE312" s="1310"/>
      <c r="AF312" s="1311"/>
      <c r="AG312" s="1324"/>
      <c r="AH312" s="1311"/>
      <c r="AI312" s="1324"/>
      <c r="AJ312" s="15"/>
    </row>
    <row r="313" spans="1:36" s="8" customFormat="1" ht="15">
      <c r="A313" s="13"/>
      <c r="B313" s="16" t="s">
        <v>194</v>
      </c>
      <c r="C313" s="16"/>
      <c r="D313" s="1301"/>
      <c r="E313" s="1301"/>
      <c r="F313" s="1298" t="s">
        <v>278</v>
      </c>
      <c r="G313" s="1301"/>
      <c r="H313" s="1301"/>
      <c r="I313" s="1301"/>
      <c r="J313" s="1308">
        <f>SUM(J311:J312)</f>
        <v>0</v>
      </c>
      <c r="K313" s="1310"/>
      <c r="L313" s="1308">
        <f>SUM(L311:L312)</f>
        <v>0</v>
      </c>
      <c r="M313" s="1310"/>
      <c r="N313" s="1308">
        <f>SUM(N311:N312)</f>
        <v>0</v>
      </c>
      <c r="O313" s="1326">
        <f>IF(N$59=0,0,N313/N$59)</f>
        <v>0</v>
      </c>
      <c r="P313" s="1308">
        <f>SUM(P311:P312)</f>
        <v>0</v>
      </c>
      <c r="Q313" s="1310"/>
      <c r="R313" s="1308">
        <f>SUM(R311:R312)</f>
        <v>0</v>
      </c>
      <c r="S313" s="1310"/>
      <c r="T313" s="1308">
        <f>SUM(T311:T312)</f>
        <v>0</v>
      </c>
      <c r="U313" s="1326">
        <f>IF(T$59=0,0,T313/T$59)</f>
        <v>0</v>
      </c>
      <c r="V313" s="1308">
        <f>SUM(V311:V312)</f>
        <v>0</v>
      </c>
      <c r="W313" s="1310"/>
      <c r="X313" s="1308">
        <f>SUM(X311:X312)</f>
        <v>0</v>
      </c>
      <c r="Y313" s="1310"/>
      <c r="Z313" s="1308">
        <f>SUM(Z311:Z312)</f>
        <v>0</v>
      </c>
      <c r="AA313" s="1326">
        <f>IF(Z$59=0,0,Z313/Z$59)</f>
        <v>0</v>
      </c>
      <c r="AB313" s="1308">
        <f>SUM(AB311:AB312)</f>
        <v>0</v>
      </c>
      <c r="AC313" s="1310"/>
      <c r="AD313" s="1308">
        <f>SUM(AD311:AD312)</f>
        <v>0</v>
      </c>
      <c r="AE313" s="1310"/>
      <c r="AF313" s="1308">
        <f>SUM(AF311:AF312)</f>
        <v>0</v>
      </c>
      <c r="AG313" s="1326">
        <f>IF(AF$59=0,0,AF313/AF$59)</f>
        <v>0</v>
      </c>
      <c r="AH313" s="1308">
        <f>SUM(AH311:AH312)</f>
        <v>0</v>
      </c>
      <c r="AI313" s="1304">
        <f>IF(AH$65=0,0,AH313/AH$65)</f>
        <v>0</v>
      </c>
      <c r="AJ313" s="15"/>
    </row>
    <row r="314" spans="1:36" s="8" customFormat="1" ht="15" outlineLevel="1">
      <c r="A314" s="13"/>
      <c r="B314" s="16" t="s">
        <v>194</v>
      </c>
      <c r="C314" s="16"/>
      <c r="D314" s="1301"/>
      <c r="E314" s="1301"/>
      <c r="F314" s="1301"/>
      <c r="G314" s="1301"/>
      <c r="H314" s="1301"/>
      <c r="I314" s="1301"/>
      <c r="J314" s="1310"/>
      <c r="K314" s="1310"/>
      <c r="L314" s="1310"/>
      <c r="M314" s="1310"/>
      <c r="N314" s="1310"/>
      <c r="O314" s="1324"/>
      <c r="P314" s="1310"/>
      <c r="Q314" s="1310"/>
      <c r="R314" s="1310"/>
      <c r="S314" s="1310"/>
      <c r="T314" s="1310"/>
      <c r="U314" s="1324"/>
      <c r="V314" s="1310"/>
      <c r="W314" s="1310"/>
      <c r="X314" s="1310"/>
      <c r="Y314" s="1310"/>
      <c r="Z314" s="1310"/>
      <c r="AA314" s="1324"/>
      <c r="AB314" s="1310"/>
      <c r="AC314" s="1310"/>
      <c r="AD314" s="1310"/>
      <c r="AE314" s="1310"/>
      <c r="AF314" s="1310"/>
      <c r="AG314" s="1324"/>
      <c r="AH314" s="1310"/>
      <c r="AI314" s="1324"/>
      <c r="AJ314" s="15"/>
    </row>
    <row r="315" spans="1:36" s="407" customFormat="1" outlineLevel="1">
      <c r="B315" s="24" t="s">
        <v>426</v>
      </c>
      <c r="D315" s="1298"/>
      <c r="E315" s="1298"/>
      <c r="F315" s="1299"/>
      <c r="G315" s="1300"/>
      <c r="H315" s="1301"/>
      <c r="I315" s="1302"/>
      <c r="J315" s="1303"/>
      <c r="K315" s="1302"/>
      <c r="L315" s="1303"/>
      <c r="M315" s="1302"/>
      <c r="N315" s="1303"/>
      <c r="O315" s="1302"/>
      <c r="P315" s="1303"/>
      <c r="Q315" s="1302"/>
      <c r="R315" s="1303"/>
      <c r="S315" s="1302"/>
      <c r="T315" s="1303"/>
      <c r="U315" s="1302"/>
      <c r="V315" s="1303"/>
      <c r="W315" s="1302"/>
      <c r="X315" s="1303"/>
      <c r="Y315" s="1302"/>
      <c r="Z315" s="1303"/>
      <c r="AA315" s="1302"/>
      <c r="AB315" s="1303"/>
      <c r="AC315" s="1302"/>
      <c r="AD315" s="1303"/>
      <c r="AE315" s="1302"/>
      <c r="AF315" s="1303"/>
      <c r="AG315" s="1302"/>
      <c r="AH315" s="1303">
        <f>AF315+AD315+AB315+Z315+X315+V315+T315+R315+P315+N315+L315+J315</f>
        <v>0</v>
      </c>
      <c r="AI315" s="1304">
        <f>IF(AH$65=0,0,AH315/AH$65)</f>
        <v>0</v>
      </c>
      <c r="AJ315" s="12"/>
    </row>
    <row r="316" spans="1:36" s="8" customFormat="1" ht="5.0999999999999996" customHeight="1" outlineLevel="1">
      <c r="A316" s="13"/>
      <c r="B316" s="16" t="s">
        <v>194</v>
      </c>
      <c r="C316" s="16"/>
      <c r="D316" s="1299"/>
      <c r="E316" s="1299"/>
      <c r="F316" s="1299"/>
      <c r="G316" s="1299"/>
      <c r="H316" s="1301"/>
      <c r="I316" s="1301"/>
      <c r="J316" s="1311"/>
      <c r="K316" s="1310"/>
      <c r="L316" s="1311"/>
      <c r="M316" s="1310"/>
      <c r="N316" s="1311"/>
      <c r="O316" s="1324"/>
      <c r="P316" s="1311"/>
      <c r="Q316" s="1310"/>
      <c r="R316" s="1311"/>
      <c r="S316" s="1310"/>
      <c r="T316" s="1311"/>
      <c r="U316" s="1324"/>
      <c r="V316" s="1311"/>
      <c r="W316" s="1310"/>
      <c r="X316" s="1311"/>
      <c r="Y316" s="1310"/>
      <c r="Z316" s="1311"/>
      <c r="AA316" s="1324"/>
      <c r="AB316" s="1311"/>
      <c r="AC316" s="1310"/>
      <c r="AD316" s="1311"/>
      <c r="AE316" s="1310"/>
      <c r="AF316" s="1311"/>
      <c r="AG316" s="1324"/>
      <c r="AH316" s="1311"/>
      <c r="AI316" s="1324"/>
      <c r="AJ316" s="15"/>
    </row>
    <row r="317" spans="1:36" s="8" customFormat="1" ht="15">
      <c r="A317" s="13"/>
      <c r="B317" s="16" t="s">
        <v>194</v>
      </c>
      <c r="C317" s="16"/>
      <c r="D317" s="1301"/>
      <c r="E317" s="1301"/>
      <c r="F317" s="1299" t="s">
        <v>279</v>
      </c>
      <c r="G317" s="1301"/>
      <c r="H317" s="1301"/>
      <c r="I317" s="1301"/>
      <c r="J317" s="1308">
        <f>SUM(J315:J316)</f>
        <v>0</v>
      </c>
      <c r="K317" s="1310"/>
      <c r="L317" s="1308">
        <f>SUM(L315:L316)</f>
        <v>0</v>
      </c>
      <c r="M317" s="1310"/>
      <c r="N317" s="1308">
        <f>SUM(N315:N316)</f>
        <v>0</v>
      </c>
      <c r="O317" s="1326">
        <f>IF(N$59=0,0,N317/N$59)</f>
        <v>0</v>
      </c>
      <c r="P317" s="1308">
        <f>SUM(P315:P316)</f>
        <v>0</v>
      </c>
      <c r="Q317" s="1310"/>
      <c r="R317" s="1308">
        <f>SUM(R315:R316)</f>
        <v>0</v>
      </c>
      <c r="S317" s="1310"/>
      <c r="T317" s="1308">
        <f>SUM(T315:T316)</f>
        <v>0</v>
      </c>
      <c r="U317" s="1326">
        <f>IF(T$59=0,0,T317/T$59)</f>
        <v>0</v>
      </c>
      <c r="V317" s="1308">
        <f>SUM(V315:V316)</f>
        <v>0</v>
      </c>
      <c r="W317" s="1310"/>
      <c r="X317" s="1308">
        <f>SUM(X315:X316)</f>
        <v>0</v>
      </c>
      <c r="Y317" s="1310"/>
      <c r="Z317" s="1308">
        <f>SUM(Z315:Z316)</f>
        <v>0</v>
      </c>
      <c r="AA317" s="1326">
        <f>IF(Z$59=0,0,Z317/Z$59)</f>
        <v>0</v>
      </c>
      <c r="AB317" s="1308">
        <f>SUM(AB315:AB316)</f>
        <v>0</v>
      </c>
      <c r="AC317" s="1310"/>
      <c r="AD317" s="1308">
        <f>SUM(AD315:AD316)</f>
        <v>0</v>
      </c>
      <c r="AE317" s="1310"/>
      <c r="AF317" s="1308">
        <f>SUM(AF315:AF316)</f>
        <v>0</v>
      </c>
      <c r="AG317" s="1326">
        <f>IF(AF$59=0,0,AF317/AF$59)</f>
        <v>0</v>
      </c>
      <c r="AH317" s="1308">
        <f>SUM(AH315:AH316)</f>
        <v>0</v>
      </c>
      <c r="AI317" s="1304">
        <f>IF(AH$65=0,0,AH317/AH$65)</f>
        <v>0</v>
      </c>
      <c r="AJ317" s="15"/>
    </row>
    <row r="318" spans="1:36" s="8" customFormat="1" ht="6.75" customHeight="1">
      <c r="A318" s="13"/>
      <c r="B318" s="2" t="s">
        <v>194</v>
      </c>
      <c r="C318" s="2"/>
      <c r="D318" s="1301"/>
      <c r="E318" s="1301"/>
      <c r="F318" s="1301"/>
      <c r="G318" s="1301"/>
      <c r="H318" s="1301"/>
      <c r="I318" s="1301"/>
      <c r="J318" s="1310"/>
      <c r="K318" s="1310"/>
      <c r="L318" s="1310"/>
      <c r="M318" s="1310"/>
      <c r="N318" s="1310"/>
      <c r="O318" s="1324"/>
      <c r="P318" s="1310"/>
      <c r="Q318" s="1310"/>
      <c r="R318" s="1310"/>
      <c r="S318" s="1310"/>
      <c r="T318" s="1310"/>
      <c r="U318" s="1324"/>
      <c r="V318" s="1310"/>
      <c r="W318" s="1310"/>
      <c r="X318" s="1310"/>
      <c r="Y318" s="1310"/>
      <c r="Z318" s="1310"/>
      <c r="AA318" s="1324"/>
      <c r="AB318" s="1310"/>
      <c r="AC318" s="1310"/>
      <c r="AD318" s="1310"/>
      <c r="AE318" s="1310"/>
      <c r="AF318" s="1310"/>
      <c r="AG318" s="1324"/>
      <c r="AH318" s="1310"/>
      <c r="AI318" s="1324"/>
      <c r="AJ318" s="15"/>
    </row>
    <row r="319" spans="1:36" s="8" customFormat="1" ht="15">
      <c r="A319" s="13"/>
      <c r="B319" s="2" t="s">
        <v>194</v>
      </c>
      <c r="C319" s="2"/>
      <c r="D319" s="1301"/>
      <c r="E319" s="1313" t="s">
        <v>280</v>
      </c>
      <c r="F319" s="1301"/>
      <c r="G319" s="1301"/>
      <c r="H319" s="1301"/>
      <c r="I319" s="1301"/>
      <c r="J319" s="1314">
        <f>+J305-J309-J313-J317</f>
        <v>185461.93000000002</v>
      </c>
      <c r="K319" s="1310"/>
      <c r="L319" s="1314">
        <f>+L305-L309-L313-L317</f>
        <v>303233.51000000024</v>
      </c>
      <c r="M319" s="1310"/>
      <c r="N319" s="1314">
        <f>+N305-N309-N313-N317</f>
        <v>265830.73999999964</v>
      </c>
      <c r="O319" s="1326">
        <f>IF(N$59=0,0,N319/N$59)</f>
        <v>0</v>
      </c>
      <c r="P319" s="1314">
        <f>+P305-P309-P313-P317</f>
        <v>279455.08000000054</v>
      </c>
      <c r="Q319" s="1310"/>
      <c r="R319" s="1314">
        <f>+R305-R309-R313-R317</f>
        <v>325051.23999999976</v>
      </c>
      <c r="S319" s="1310"/>
      <c r="T319" s="1314">
        <f>+T305-T309-T313-T317</f>
        <v>309718.52000000118</v>
      </c>
      <c r="U319" s="1326">
        <f>IF(T$59=0,0,T319/T$59)</f>
        <v>0</v>
      </c>
      <c r="V319" s="1314">
        <f>+V305-V309-V313-V317</f>
        <v>286272.44999999914</v>
      </c>
      <c r="W319" s="1310"/>
      <c r="X319" s="1314">
        <f>+X305-X309-X313-X317</f>
        <v>363362.25000000058</v>
      </c>
      <c r="Y319" s="1310"/>
      <c r="Z319" s="1314">
        <f>+Z305-Z309-Z313-Z317</f>
        <v>184820.19000000076</v>
      </c>
      <c r="AA319" s="1326">
        <f>IF(Z$59=0,0,Z319/Z$59)</f>
        <v>0</v>
      </c>
      <c r="AB319" s="1314">
        <f>+AB305-AB309-AB313-AB317</f>
        <v>590646.1799999997</v>
      </c>
      <c r="AC319" s="1310"/>
      <c r="AD319" s="1314">
        <f>+AD305-AD309-AD313-AD317</f>
        <v>413450.94999999995</v>
      </c>
      <c r="AE319" s="1310"/>
      <c r="AF319" s="1314">
        <f>+AF305-AF309-AF313-AF317</f>
        <v>278731.5200000006</v>
      </c>
      <c r="AG319" s="1326">
        <f>IF(AF$59=0,0,AF319/AF$59)</f>
        <v>0</v>
      </c>
      <c r="AH319" s="1314">
        <f>+AH305-AH309-AH313-AH317</f>
        <v>3786034.5600000033</v>
      </c>
      <c r="AI319" s="1304">
        <f>IF(AH$65=0,0,AH319/AH$65)</f>
        <v>0.11068882883271405</v>
      </c>
      <c r="AJ319" s="15"/>
    </row>
    <row r="320" spans="1:36" s="8" customFormat="1" ht="6.75" customHeight="1">
      <c r="A320" s="13"/>
      <c r="B320" s="2" t="s">
        <v>194</v>
      </c>
      <c r="C320" s="2"/>
      <c r="D320" s="1301"/>
      <c r="E320" s="1301"/>
      <c r="F320" s="1301"/>
      <c r="G320" s="1301"/>
      <c r="H320" s="1301"/>
      <c r="I320" s="1301"/>
      <c r="J320" s="1310"/>
      <c r="K320" s="1310"/>
      <c r="L320" s="1310"/>
      <c r="M320" s="1310"/>
      <c r="N320" s="1310"/>
      <c r="O320" s="1324"/>
      <c r="P320" s="1310"/>
      <c r="Q320" s="1310"/>
      <c r="R320" s="1310"/>
      <c r="S320" s="1310"/>
      <c r="T320" s="1310"/>
      <c r="U320" s="1324"/>
      <c r="V320" s="1310"/>
      <c r="W320" s="1310"/>
      <c r="X320" s="1310"/>
      <c r="Y320" s="1310"/>
      <c r="Z320" s="1310"/>
      <c r="AA320" s="1324"/>
      <c r="AB320" s="1310"/>
      <c r="AC320" s="1310"/>
      <c r="AD320" s="1310"/>
      <c r="AE320" s="1310"/>
      <c r="AF320" s="1310"/>
      <c r="AG320" s="1324"/>
      <c r="AH320" s="1310"/>
      <c r="AI320" s="1324"/>
      <c r="AJ320" s="15"/>
    </row>
    <row r="321" spans="1:36" s="407" customFormat="1" outlineLevel="1">
      <c r="B321" s="24" t="s">
        <v>427</v>
      </c>
      <c r="D321" s="1298"/>
      <c r="E321" s="1298"/>
      <c r="F321" s="1299"/>
      <c r="G321" s="1300"/>
      <c r="H321" s="1301"/>
      <c r="I321" s="1302"/>
      <c r="J321" s="1303"/>
      <c r="K321" s="1302"/>
      <c r="L321" s="1303"/>
      <c r="M321" s="1302"/>
      <c r="N321" s="1303"/>
      <c r="O321" s="1302"/>
      <c r="P321" s="1303"/>
      <c r="Q321" s="1302"/>
      <c r="R321" s="1303"/>
      <c r="S321" s="1302"/>
      <c r="T321" s="1303"/>
      <c r="U321" s="1302"/>
      <c r="V321" s="1303"/>
      <c r="W321" s="1302"/>
      <c r="X321" s="1303"/>
      <c r="Y321" s="1302"/>
      <c r="Z321" s="1303"/>
      <c r="AA321" s="1302"/>
      <c r="AB321" s="1303"/>
      <c r="AC321" s="1302"/>
      <c r="AD321" s="1303"/>
      <c r="AE321" s="1302"/>
      <c r="AF321" s="1303"/>
      <c r="AG321" s="1302"/>
      <c r="AH321" s="1303">
        <f>AF321+AD321+AB321+Z321+X321+V321+T321+R321+P321+N321+L321+J321</f>
        <v>0</v>
      </c>
      <c r="AI321" s="1304">
        <f>IF(AH$65=0,0,AH321/AH$65)</f>
        <v>0</v>
      </c>
      <c r="AJ321" s="12"/>
    </row>
    <row r="322" spans="1:36" s="8" customFormat="1" ht="5.0999999999999996" customHeight="1" outlineLevel="1">
      <c r="A322" s="13"/>
      <c r="B322" s="16" t="s">
        <v>194</v>
      </c>
      <c r="C322" s="16"/>
      <c r="D322" s="1299"/>
      <c r="E322" s="1299"/>
      <c r="F322" s="1299"/>
      <c r="G322" s="1299"/>
      <c r="H322" s="1301"/>
      <c r="I322" s="1301"/>
      <c r="J322" s="1311"/>
      <c r="K322" s="1310"/>
      <c r="L322" s="1311"/>
      <c r="M322" s="1310"/>
      <c r="N322" s="1311"/>
      <c r="O322" s="1324"/>
      <c r="P322" s="1311"/>
      <c r="Q322" s="1310"/>
      <c r="R322" s="1311"/>
      <c r="S322" s="1310"/>
      <c r="T322" s="1311"/>
      <c r="U322" s="1324"/>
      <c r="V322" s="1311"/>
      <c r="W322" s="1310"/>
      <c r="X322" s="1311"/>
      <c r="Y322" s="1310"/>
      <c r="Z322" s="1311"/>
      <c r="AA322" s="1324"/>
      <c r="AB322" s="1311"/>
      <c r="AC322" s="1310"/>
      <c r="AD322" s="1311"/>
      <c r="AE322" s="1310"/>
      <c r="AF322" s="1311"/>
      <c r="AG322" s="1324"/>
      <c r="AH322" s="1311"/>
      <c r="AI322" s="1324"/>
      <c r="AJ322" s="15"/>
    </row>
    <row r="323" spans="1:36" s="8" customFormat="1" ht="15">
      <c r="A323" s="13"/>
      <c r="B323" s="16" t="s">
        <v>194</v>
      </c>
      <c r="C323" s="16"/>
      <c r="D323" s="1301"/>
      <c r="E323" s="1301"/>
      <c r="F323" s="1298" t="s">
        <v>281</v>
      </c>
      <c r="G323" s="1301"/>
      <c r="H323" s="1301"/>
      <c r="I323" s="1301"/>
      <c r="J323" s="1308">
        <f>SUM(J321:J322)</f>
        <v>0</v>
      </c>
      <c r="K323" s="1310"/>
      <c r="L323" s="1308">
        <f>SUM(L321:L322)</f>
        <v>0</v>
      </c>
      <c r="M323" s="1310"/>
      <c r="N323" s="1308">
        <f>SUM(N321:N322)</f>
        <v>0</v>
      </c>
      <c r="O323" s="1326">
        <f>IF(N$59=0,0,N323/N$59)</f>
        <v>0</v>
      </c>
      <c r="P323" s="1308">
        <f>SUM(P321:P322)</f>
        <v>0</v>
      </c>
      <c r="Q323" s="1310"/>
      <c r="R323" s="1308">
        <f>SUM(R321:R322)</f>
        <v>0</v>
      </c>
      <c r="S323" s="1310"/>
      <c r="T323" s="1308">
        <f>SUM(T321:T322)</f>
        <v>0</v>
      </c>
      <c r="U323" s="1326">
        <f>IF(T$59=0,0,T323/T$59)</f>
        <v>0</v>
      </c>
      <c r="V323" s="1308">
        <f>SUM(V321:V322)</f>
        <v>0</v>
      </c>
      <c r="W323" s="1310"/>
      <c r="X323" s="1308">
        <f>SUM(X321:X322)</f>
        <v>0</v>
      </c>
      <c r="Y323" s="1310"/>
      <c r="Z323" s="1308">
        <f>SUM(Z321:Z322)</f>
        <v>0</v>
      </c>
      <c r="AA323" s="1326">
        <f>IF(Z$59=0,0,Z323/Z$59)</f>
        <v>0</v>
      </c>
      <c r="AB323" s="1308">
        <f>SUM(AB321:AB322)</f>
        <v>0</v>
      </c>
      <c r="AC323" s="1310"/>
      <c r="AD323" s="1308">
        <f>SUM(AD321:AD322)</f>
        <v>0</v>
      </c>
      <c r="AE323" s="1310"/>
      <c r="AF323" s="1308">
        <f>SUM(AF321:AF322)</f>
        <v>0</v>
      </c>
      <c r="AG323" s="1326">
        <f>IF(AF$59=0,0,AF323/AF$59)</f>
        <v>0</v>
      </c>
      <c r="AH323" s="1308">
        <f>SUM(AH321:AH322)</f>
        <v>0</v>
      </c>
      <c r="AI323" s="1304">
        <f>IF(AH$65=0,0,AH323/AH$65)</f>
        <v>0</v>
      </c>
      <c r="AJ323" s="15"/>
    </row>
    <row r="324" spans="1:36" s="8" customFormat="1" ht="6.75" customHeight="1">
      <c r="A324" s="13"/>
      <c r="B324" s="2" t="s">
        <v>194</v>
      </c>
      <c r="C324" s="2"/>
      <c r="D324" s="1301"/>
      <c r="E324" s="1301"/>
      <c r="F324" s="1301"/>
      <c r="G324" s="1301"/>
      <c r="H324" s="1301"/>
      <c r="I324" s="1301"/>
      <c r="J324" s="1310"/>
      <c r="K324" s="1310"/>
      <c r="L324" s="1310"/>
      <c r="M324" s="1310"/>
      <c r="N324" s="1310"/>
      <c r="O324" s="1324"/>
      <c r="P324" s="1310"/>
      <c r="Q324" s="1310"/>
      <c r="R324" s="1310"/>
      <c r="S324" s="1310"/>
      <c r="T324" s="1310"/>
      <c r="U324" s="1324"/>
      <c r="V324" s="1310"/>
      <c r="W324" s="1310"/>
      <c r="X324" s="1310"/>
      <c r="Y324" s="1310"/>
      <c r="Z324" s="1310"/>
      <c r="AA324" s="1324"/>
      <c r="AB324" s="1310"/>
      <c r="AC324" s="1310"/>
      <c r="AD324" s="1310"/>
      <c r="AE324" s="1310"/>
      <c r="AF324" s="1310"/>
      <c r="AG324" s="1324"/>
      <c r="AH324" s="1310"/>
      <c r="AI324" s="1324"/>
      <c r="AJ324" s="15"/>
    </row>
    <row r="325" spans="1:36" s="8" customFormat="1" ht="15">
      <c r="A325" s="13"/>
      <c r="B325" s="16" t="s">
        <v>194</v>
      </c>
      <c r="C325" s="16"/>
      <c r="D325" s="1301"/>
      <c r="E325" s="1313" t="s">
        <v>282</v>
      </c>
      <c r="F325" s="1301"/>
      <c r="G325" s="1301"/>
      <c r="H325" s="1301"/>
      <c r="I325" s="1301"/>
      <c r="J325" s="1314">
        <f>+J319-J323</f>
        <v>185461.93000000002</v>
      </c>
      <c r="K325" s="1310"/>
      <c r="L325" s="1314">
        <f>+L319-L323</f>
        <v>303233.51000000024</v>
      </c>
      <c r="M325" s="1310"/>
      <c r="N325" s="1314">
        <f>+N319-N323</f>
        <v>265830.73999999964</v>
      </c>
      <c r="O325" s="1326">
        <f>IF(N$59=0,0,N325/N$59)</f>
        <v>0</v>
      </c>
      <c r="P325" s="1314">
        <f>+P319-P323</f>
        <v>279455.08000000054</v>
      </c>
      <c r="Q325" s="1310"/>
      <c r="R325" s="1314">
        <f>+R319-R323</f>
        <v>325051.23999999976</v>
      </c>
      <c r="S325" s="1310"/>
      <c r="T325" s="1314">
        <f>+T319-T323</f>
        <v>309718.52000000118</v>
      </c>
      <c r="U325" s="1326">
        <f>IF(T$59=0,0,T325/T$59)</f>
        <v>0</v>
      </c>
      <c r="V325" s="1314">
        <f>+V319-V323</f>
        <v>286272.44999999914</v>
      </c>
      <c r="W325" s="1310"/>
      <c r="X325" s="1314">
        <f>+X319-X323</f>
        <v>363362.25000000058</v>
      </c>
      <c r="Y325" s="1310"/>
      <c r="Z325" s="1314">
        <f>+Z319-Z323</f>
        <v>184820.19000000076</v>
      </c>
      <c r="AA325" s="1326">
        <f>IF(Z$59=0,0,Z325/Z$59)</f>
        <v>0</v>
      </c>
      <c r="AB325" s="1314">
        <f>+AB319-AB323</f>
        <v>590646.1799999997</v>
      </c>
      <c r="AC325" s="1310"/>
      <c r="AD325" s="1314">
        <f>+AD319-AD323</f>
        <v>413450.94999999995</v>
      </c>
      <c r="AE325" s="1310"/>
      <c r="AF325" s="1314">
        <f>+AF319-AF323</f>
        <v>278731.5200000006</v>
      </c>
      <c r="AG325" s="1326">
        <f>IF(AF$59=0,0,AF325/AF$59)</f>
        <v>0</v>
      </c>
      <c r="AH325" s="1314">
        <f>+AH319-AH323</f>
        <v>3786034.5600000033</v>
      </c>
      <c r="AI325" s="1304">
        <f>IF(AH$65=0,0,AH325/AH$65)</f>
        <v>0.11068882883271405</v>
      </c>
      <c r="AJ325" s="15"/>
    </row>
    <row r="326" spans="1:36" ht="6.75" customHeight="1">
      <c r="A326" s="13"/>
      <c r="B326" s="2" t="s">
        <v>194</v>
      </c>
      <c r="D326" s="1327"/>
      <c r="E326" s="1327"/>
      <c r="F326" s="1327"/>
      <c r="G326" s="1327"/>
      <c r="H326" s="1327"/>
      <c r="I326" s="1327"/>
      <c r="J326" s="1318"/>
      <c r="K326" s="1318"/>
      <c r="L326" s="1318"/>
      <c r="M326" s="1318"/>
      <c r="N326" s="1318"/>
      <c r="O326" s="1324"/>
      <c r="P326" s="1318"/>
      <c r="Q326" s="1318"/>
      <c r="R326" s="1318"/>
      <c r="S326" s="1318"/>
      <c r="T326" s="1318"/>
      <c r="U326" s="1324"/>
      <c r="V326" s="1318"/>
      <c r="W326" s="1318"/>
      <c r="X326" s="1318"/>
      <c r="Y326" s="1318"/>
      <c r="Z326" s="1318"/>
      <c r="AA326" s="1324"/>
      <c r="AB326" s="1318"/>
      <c r="AC326" s="1318"/>
      <c r="AD326" s="1318"/>
      <c r="AE326" s="1318"/>
      <c r="AF326" s="1318"/>
      <c r="AG326" s="1324"/>
      <c r="AH326" s="1318"/>
      <c r="AI326" s="1324"/>
      <c r="AJ326" s="15"/>
    </row>
    <row r="327" spans="1:36" s="407" customFormat="1" outlineLevel="1">
      <c r="B327" s="24" t="s">
        <v>428</v>
      </c>
      <c r="D327" s="1298"/>
      <c r="E327" s="1298"/>
      <c r="F327" s="1299"/>
      <c r="G327" s="1300"/>
      <c r="H327" s="1301"/>
      <c r="I327" s="1302"/>
      <c r="J327" s="1303"/>
      <c r="K327" s="1302"/>
      <c r="L327" s="1303"/>
      <c r="M327" s="1302"/>
      <c r="N327" s="1303"/>
      <c r="O327" s="1302"/>
      <c r="P327" s="1303"/>
      <c r="Q327" s="1302"/>
      <c r="R327" s="1303"/>
      <c r="S327" s="1302"/>
      <c r="T327" s="1303"/>
      <c r="U327" s="1302"/>
      <c r="V327" s="1303"/>
      <c r="W327" s="1302"/>
      <c r="X327" s="1303"/>
      <c r="Y327" s="1302"/>
      <c r="Z327" s="1303"/>
      <c r="AA327" s="1302"/>
      <c r="AB327" s="1303"/>
      <c r="AC327" s="1302"/>
      <c r="AD327" s="1303"/>
      <c r="AE327" s="1302"/>
      <c r="AF327" s="1303"/>
      <c r="AG327" s="1302"/>
      <c r="AH327" s="1303">
        <f>AF327+AD327+AB327+Z327+X327+V327+T327+R327+P327+N327+L327+J327</f>
        <v>0</v>
      </c>
      <c r="AI327" s="1304">
        <f>IF(AH$65=0,0,AH327/AH$65)</f>
        <v>0</v>
      </c>
      <c r="AJ327" s="12"/>
    </row>
    <row r="328" spans="1:36" s="8" customFormat="1" ht="5.0999999999999996" customHeight="1" outlineLevel="1">
      <c r="A328" s="13"/>
      <c r="B328" s="16" t="s">
        <v>194</v>
      </c>
      <c r="C328" s="16"/>
      <c r="D328" s="1299"/>
      <c r="E328" s="1299"/>
      <c r="F328" s="1299"/>
      <c r="G328" s="1299"/>
      <c r="H328" s="1301"/>
      <c r="I328" s="1301"/>
      <c r="J328" s="1311"/>
      <c r="K328" s="1310"/>
      <c r="L328" s="1311"/>
      <c r="M328" s="1310"/>
      <c r="N328" s="1311"/>
      <c r="O328" s="1324"/>
      <c r="P328" s="1311"/>
      <c r="Q328" s="1310"/>
      <c r="R328" s="1311"/>
      <c r="S328" s="1310"/>
      <c r="T328" s="1311"/>
      <c r="U328" s="1324"/>
      <c r="V328" s="1311"/>
      <c r="W328" s="1310"/>
      <c r="X328" s="1311"/>
      <c r="Y328" s="1310"/>
      <c r="Z328" s="1311"/>
      <c r="AA328" s="1324"/>
      <c r="AB328" s="1311"/>
      <c r="AC328" s="1310"/>
      <c r="AD328" s="1311"/>
      <c r="AE328" s="1310"/>
      <c r="AF328" s="1311"/>
      <c r="AG328" s="1324"/>
      <c r="AH328" s="1311"/>
      <c r="AI328" s="1324"/>
      <c r="AJ328" s="15"/>
    </row>
    <row r="329" spans="1:36" s="8" customFormat="1" ht="15">
      <c r="A329" s="2"/>
      <c r="B329" s="16"/>
      <c r="C329" s="16"/>
      <c r="D329" s="1301"/>
      <c r="E329" s="1301"/>
      <c r="F329" s="1298" t="s">
        <v>283</v>
      </c>
      <c r="G329" s="1301"/>
      <c r="H329" s="1301"/>
      <c r="I329" s="1301"/>
      <c r="J329" s="1308">
        <f>SUM(J327:J328)</f>
        <v>0</v>
      </c>
      <c r="K329" s="1310"/>
      <c r="L329" s="1308">
        <f>SUM(L327:L328)</f>
        <v>0</v>
      </c>
      <c r="M329" s="1310"/>
      <c r="N329" s="1308">
        <f>SUM(N327:N328)</f>
        <v>0</v>
      </c>
      <c r="O329" s="1326">
        <f>IF(N$59=0,0,N329/N$59)</f>
        <v>0</v>
      </c>
      <c r="P329" s="1308">
        <f>SUM(P327:P328)</f>
        <v>0</v>
      </c>
      <c r="Q329" s="1310"/>
      <c r="R329" s="1308">
        <f>SUM(R327:R328)</f>
        <v>0</v>
      </c>
      <c r="S329" s="1310"/>
      <c r="T329" s="1308">
        <f>SUM(T327:T328)</f>
        <v>0</v>
      </c>
      <c r="U329" s="1326">
        <f>IF(T$59=0,0,T329/T$59)</f>
        <v>0</v>
      </c>
      <c r="V329" s="1308">
        <f>SUM(V327:V328)</f>
        <v>0</v>
      </c>
      <c r="W329" s="1310"/>
      <c r="X329" s="1308">
        <f>SUM(X327:X328)</f>
        <v>0</v>
      </c>
      <c r="Y329" s="1310"/>
      <c r="Z329" s="1308">
        <f>SUM(Z327:Z328)</f>
        <v>0</v>
      </c>
      <c r="AA329" s="1326">
        <f>IF(Z$59=0,0,Z329/Z$59)</f>
        <v>0</v>
      </c>
      <c r="AB329" s="1308">
        <f>SUM(AB327:AB328)</f>
        <v>0</v>
      </c>
      <c r="AC329" s="1310"/>
      <c r="AD329" s="1308">
        <f>SUM(AD327:AD328)</f>
        <v>0</v>
      </c>
      <c r="AE329" s="1310"/>
      <c r="AF329" s="1308">
        <f>SUM(AF327:AF328)</f>
        <v>0</v>
      </c>
      <c r="AG329" s="1326">
        <f>IF(AF$59=0,0,AF329/AF$59)</f>
        <v>0</v>
      </c>
      <c r="AH329" s="1308">
        <f>SUM(AH327:AH328)</f>
        <v>0</v>
      </c>
      <c r="AI329" s="1304">
        <f>IF(AH$65=0,0,AH329/AH$65)</f>
        <v>0</v>
      </c>
      <c r="AJ329" s="15"/>
    </row>
    <row r="330" spans="1:36" s="8" customFormat="1" ht="6.75" customHeight="1">
      <c r="A330" s="2"/>
      <c r="B330" s="16"/>
      <c r="C330" s="16"/>
      <c r="D330" s="1301"/>
      <c r="E330" s="1301"/>
      <c r="F330" s="1301"/>
      <c r="G330" s="1301"/>
      <c r="H330" s="1301"/>
      <c r="I330" s="1301"/>
      <c r="J330" s="1310"/>
      <c r="K330" s="1310"/>
      <c r="L330" s="1310"/>
      <c r="M330" s="1310"/>
      <c r="N330" s="1310"/>
      <c r="O330" s="1324"/>
      <c r="P330" s="1310"/>
      <c r="Q330" s="1310"/>
      <c r="R330" s="1310"/>
      <c r="S330" s="1310"/>
      <c r="T330" s="1310"/>
      <c r="U330" s="1324"/>
      <c r="V330" s="1310"/>
      <c r="W330" s="1310"/>
      <c r="X330" s="1310"/>
      <c r="Y330" s="1310"/>
      <c r="Z330" s="1310"/>
      <c r="AA330" s="1324"/>
      <c r="AB330" s="1310"/>
      <c r="AC330" s="1310"/>
      <c r="AD330" s="1310"/>
      <c r="AE330" s="1310"/>
      <c r="AF330" s="1310"/>
      <c r="AG330" s="1324"/>
      <c r="AH330" s="1310"/>
      <c r="AI330" s="1324"/>
      <c r="AJ330" s="15"/>
    </row>
    <row r="331" spans="1:36" s="8" customFormat="1" ht="15">
      <c r="A331" s="2"/>
      <c r="B331" s="2"/>
      <c r="C331" s="2"/>
      <c r="D331" s="1301"/>
      <c r="E331" s="1313" t="s">
        <v>284</v>
      </c>
      <c r="F331" s="1301"/>
      <c r="G331" s="1301"/>
      <c r="H331" s="1301"/>
      <c r="I331" s="1301"/>
      <c r="J331" s="1314">
        <f>+J325-J329</f>
        <v>185461.93000000002</v>
      </c>
      <c r="K331" s="1310"/>
      <c r="L331" s="1314">
        <f>+L325-L329</f>
        <v>303233.51000000024</v>
      </c>
      <c r="M331" s="1310"/>
      <c r="N331" s="1314">
        <f>+N325-N329</f>
        <v>265830.73999999964</v>
      </c>
      <c r="O331" s="1326">
        <f>IF(N$59=0,0,N331/N$59)</f>
        <v>0</v>
      </c>
      <c r="P331" s="1314">
        <f>+P325-P329</f>
        <v>279455.08000000054</v>
      </c>
      <c r="Q331" s="1310"/>
      <c r="R331" s="1314">
        <f>+R325-R329</f>
        <v>325051.23999999976</v>
      </c>
      <c r="S331" s="1310"/>
      <c r="T331" s="1314">
        <f>+T325-T329</f>
        <v>309718.52000000118</v>
      </c>
      <c r="U331" s="1326">
        <f>IF(T$59=0,0,T331/T$59)</f>
        <v>0</v>
      </c>
      <c r="V331" s="1314">
        <f>+V325-V329</f>
        <v>286272.44999999914</v>
      </c>
      <c r="W331" s="1310"/>
      <c r="X331" s="1314">
        <f>+X325-X329</f>
        <v>363362.25000000058</v>
      </c>
      <c r="Y331" s="1310"/>
      <c r="Z331" s="1314">
        <f>+Z325-Z329</f>
        <v>184820.19000000076</v>
      </c>
      <c r="AA331" s="1326">
        <f>IF(Z$59=0,0,Z331/Z$59)</f>
        <v>0</v>
      </c>
      <c r="AB331" s="1314">
        <f>+AB325-AB329</f>
        <v>590646.1799999997</v>
      </c>
      <c r="AC331" s="1310"/>
      <c r="AD331" s="1314">
        <f>+AD325-AD329</f>
        <v>413450.94999999995</v>
      </c>
      <c r="AE331" s="1310"/>
      <c r="AF331" s="1314">
        <f>+AF325-AF329</f>
        <v>278731.5200000006</v>
      </c>
      <c r="AG331" s="1326">
        <f>IF(AF$59=0,0,AF331/AF$59)</f>
        <v>0</v>
      </c>
      <c r="AH331" s="1314">
        <f>+AH325-AH329</f>
        <v>3786034.5600000033</v>
      </c>
      <c r="AI331" s="1304">
        <f>IF(AH$65=0,0,AH331/AH$65)</f>
        <v>0.11068882883271405</v>
      </c>
      <c r="AJ331" s="15"/>
    </row>
    <row r="332" spans="1:36" s="8" customFormat="1" ht="6.75" customHeight="1">
      <c r="A332" s="2"/>
      <c r="B332" s="16"/>
      <c r="C332" s="16"/>
      <c r="D332" s="1301"/>
      <c r="E332" s="1301"/>
      <c r="F332" s="1301"/>
      <c r="G332" s="1301"/>
      <c r="H332" s="1301"/>
      <c r="I332" s="1301"/>
      <c r="J332" s="1310"/>
      <c r="K332" s="1310"/>
      <c r="L332" s="1310"/>
      <c r="M332" s="1310"/>
      <c r="N332" s="1310"/>
      <c r="O332" s="1324"/>
      <c r="P332" s="1310"/>
      <c r="Q332" s="1310"/>
      <c r="R332" s="1310"/>
      <c r="S332" s="1310"/>
      <c r="T332" s="1310"/>
      <c r="U332" s="1324"/>
      <c r="V332" s="1310"/>
      <c r="W332" s="1310"/>
      <c r="X332" s="1310"/>
      <c r="Y332" s="1310"/>
      <c r="Z332" s="1310"/>
      <c r="AA332" s="1324"/>
      <c r="AB332" s="1310"/>
      <c r="AC332" s="1310"/>
      <c r="AD332" s="1310"/>
      <c r="AE332" s="1310"/>
      <c r="AF332" s="1310"/>
      <c r="AG332" s="1324"/>
      <c r="AH332" s="1310"/>
      <c r="AI332" s="1324"/>
      <c r="AJ332" s="15"/>
    </row>
    <row r="333" spans="1:36" s="407" customFormat="1" outlineLevel="1">
      <c r="B333" s="24" t="s">
        <v>429</v>
      </c>
      <c r="D333" s="1298"/>
      <c r="E333" s="1298"/>
      <c r="F333" s="1299"/>
      <c r="G333" s="1300"/>
      <c r="H333" s="1301"/>
      <c r="I333" s="1302"/>
      <c r="J333" s="1303"/>
      <c r="K333" s="1302"/>
      <c r="L333" s="1303"/>
      <c r="M333" s="1302"/>
      <c r="N333" s="1303"/>
      <c r="O333" s="1302"/>
      <c r="P333" s="1303"/>
      <c r="Q333" s="1302"/>
      <c r="R333" s="1303"/>
      <c r="S333" s="1302"/>
      <c r="T333" s="1303"/>
      <c r="U333" s="1302"/>
      <c r="V333" s="1303"/>
      <c r="W333" s="1302"/>
      <c r="X333" s="1303"/>
      <c r="Y333" s="1302"/>
      <c r="Z333" s="1303"/>
      <c r="AA333" s="1302"/>
      <c r="AB333" s="1303"/>
      <c r="AC333" s="1302"/>
      <c r="AD333" s="1303"/>
      <c r="AE333" s="1302"/>
      <c r="AF333" s="1303"/>
      <c r="AG333" s="1302"/>
      <c r="AH333" s="1303">
        <f>AF333+AD333+AB333+Z333+X333+V333+T333+R333+P333+N333+L333+J333</f>
        <v>0</v>
      </c>
      <c r="AI333" s="1304">
        <f>IF(AH$65=0,0,AH333/AH$65)</f>
        <v>0</v>
      </c>
      <c r="AJ333" s="12"/>
    </row>
    <row r="334" spans="1:36" s="8" customFormat="1" ht="5.0999999999999996" customHeight="1" outlineLevel="1">
      <c r="A334" s="13"/>
      <c r="B334" s="16" t="s">
        <v>194</v>
      </c>
      <c r="C334" s="16"/>
      <c r="D334" s="1299"/>
      <c r="E334" s="1299"/>
      <c r="F334" s="1299"/>
      <c r="G334" s="1299"/>
      <c r="H334" s="1301"/>
      <c r="I334" s="1301"/>
      <c r="J334" s="1311"/>
      <c r="K334" s="1310"/>
      <c r="L334" s="1311"/>
      <c r="M334" s="1310"/>
      <c r="N334" s="1311"/>
      <c r="O334" s="1324"/>
      <c r="P334" s="1311"/>
      <c r="Q334" s="1310"/>
      <c r="R334" s="1311"/>
      <c r="S334" s="1310"/>
      <c r="T334" s="1311"/>
      <c r="U334" s="1324"/>
      <c r="V334" s="1311"/>
      <c r="W334" s="1310"/>
      <c r="X334" s="1311"/>
      <c r="Y334" s="1310"/>
      <c r="Z334" s="1311"/>
      <c r="AA334" s="1324"/>
      <c r="AB334" s="1311"/>
      <c r="AC334" s="1310"/>
      <c r="AD334" s="1311"/>
      <c r="AE334" s="1310"/>
      <c r="AF334" s="1311"/>
      <c r="AG334" s="1324"/>
      <c r="AH334" s="1311"/>
      <c r="AI334" s="1324"/>
      <c r="AJ334" s="15"/>
    </row>
    <row r="335" spans="1:36" s="8" customFormat="1" ht="15">
      <c r="A335" s="13"/>
      <c r="B335" s="16" t="s">
        <v>194</v>
      </c>
      <c r="C335" s="16"/>
      <c r="D335" s="1301"/>
      <c r="E335" s="1301"/>
      <c r="F335" s="1298" t="s">
        <v>285</v>
      </c>
      <c r="G335" s="1301"/>
      <c r="H335" s="1301"/>
      <c r="I335" s="1301"/>
      <c r="J335" s="1308">
        <f>SUM(J333:J334)</f>
        <v>0</v>
      </c>
      <c r="K335" s="1310"/>
      <c r="L335" s="1308">
        <f>SUM(L333:L334)</f>
        <v>0</v>
      </c>
      <c r="M335" s="1310"/>
      <c r="N335" s="1308">
        <f>SUM(N333:N334)</f>
        <v>0</v>
      </c>
      <c r="O335" s="1326">
        <f>IF(N$59=0,0,N335/N$59)</f>
        <v>0</v>
      </c>
      <c r="P335" s="1308">
        <f>SUM(P333:P334)</f>
        <v>0</v>
      </c>
      <c r="Q335" s="1310"/>
      <c r="R335" s="1308">
        <f>SUM(R333:R334)</f>
        <v>0</v>
      </c>
      <c r="S335" s="1310"/>
      <c r="T335" s="1308">
        <f>SUM(T333:T334)</f>
        <v>0</v>
      </c>
      <c r="U335" s="1326">
        <f>IF(T$59=0,0,T335/T$59)</f>
        <v>0</v>
      </c>
      <c r="V335" s="1308">
        <f>SUM(V333:V334)</f>
        <v>0</v>
      </c>
      <c r="W335" s="1310"/>
      <c r="X335" s="1308">
        <f>SUM(X333:X334)</f>
        <v>0</v>
      </c>
      <c r="Y335" s="1310"/>
      <c r="Z335" s="1308">
        <f>SUM(Z333:Z334)</f>
        <v>0</v>
      </c>
      <c r="AA335" s="1326">
        <f>IF(Z$59=0,0,Z335/Z$59)</f>
        <v>0</v>
      </c>
      <c r="AB335" s="1308">
        <f>SUM(AB333:AB334)</f>
        <v>0</v>
      </c>
      <c r="AC335" s="1310"/>
      <c r="AD335" s="1308">
        <f>SUM(AD333:AD334)</f>
        <v>0</v>
      </c>
      <c r="AE335" s="1310"/>
      <c r="AF335" s="1308">
        <f>SUM(AF333:AF334)</f>
        <v>0</v>
      </c>
      <c r="AG335" s="1326">
        <f>IF(AF$59=0,0,AF335/AF$59)</f>
        <v>0</v>
      </c>
      <c r="AH335" s="1308">
        <f>SUM(AH333:AH334)</f>
        <v>0</v>
      </c>
      <c r="AI335" s="1304">
        <f>IF(AH$65=0,0,AH335/AH$65)</f>
        <v>0</v>
      </c>
      <c r="AJ335" s="15"/>
    </row>
    <row r="336" spans="1:36" s="8" customFormat="1" ht="6.75" customHeight="1">
      <c r="A336" s="2"/>
      <c r="B336" s="16"/>
      <c r="C336" s="16"/>
      <c r="D336" s="1301"/>
      <c r="E336" s="1301"/>
      <c r="F336" s="1301"/>
      <c r="G336" s="1301"/>
      <c r="H336" s="1301"/>
      <c r="I336" s="1301"/>
      <c r="J336" s="1310"/>
      <c r="K336" s="1310"/>
      <c r="L336" s="1310"/>
      <c r="M336" s="1310"/>
      <c r="N336" s="1310"/>
      <c r="O336" s="1324"/>
      <c r="P336" s="1310"/>
      <c r="Q336" s="1310"/>
      <c r="R336" s="1310"/>
      <c r="S336" s="1310"/>
      <c r="T336" s="1310"/>
      <c r="U336" s="1324"/>
      <c r="V336" s="1310"/>
      <c r="W336" s="1310"/>
      <c r="X336" s="1310"/>
      <c r="Y336" s="1310"/>
      <c r="Z336" s="1310"/>
      <c r="AA336" s="1324"/>
      <c r="AB336" s="1310"/>
      <c r="AC336" s="1310"/>
      <c r="AD336" s="1310"/>
      <c r="AE336" s="1310"/>
      <c r="AF336" s="1310"/>
      <c r="AG336" s="1324"/>
      <c r="AH336" s="1310"/>
      <c r="AI336" s="1324"/>
      <c r="AJ336" s="15"/>
    </row>
    <row r="337" spans="1:36" s="8" customFormat="1" ht="15.75" thickBot="1">
      <c r="A337" s="2"/>
      <c r="B337" s="2"/>
      <c r="C337" s="2"/>
      <c r="D337" s="1301"/>
      <c r="E337" s="1313" t="s">
        <v>286</v>
      </c>
      <c r="F337" s="1301"/>
      <c r="G337" s="1301"/>
      <c r="H337" s="1301"/>
      <c r="I337" s="1301"/>
      <c r="J337" s="1328">
        <f>+J331-J335</f>
        <v>185461.93000000002</v>
      </c>
      <c r="K337" s="1310"/>
      <c r="L337" s="1328">
        <f>+L331-L335</f>
        <v>303233.51000000024</v>
      </c>
      <c r="M337" s="1310"/>
      <c r="N337" s="1328">
        <f>+N331-N335</f>
        <v>265830.73999999964</v>
      </c>
      <c r="O337" s="1326">
        <f>IF(N$59=0,0,N337/N$59)</f>
        <v>0</v>
      </c>
      <c r="P337" s="1328">
        <f>+P331-P335</f>
        <v>279455.08000000054</v>
      </c>
      <c r="Q337" s="1310"/>
      <c r="R337" s="1328">
        <f>+R331-R335</f>
        <v>325051.23999999976</v>
      </c>
      <c r="S337" s="1310"/>
      <c r="T337" s="1328">
        <f>+T331-T335</f>
        <v>309718.52000000118</v>
      </c>
      <c r="U337" s="1326">
        <f>IF(T$59=0,0,T337/T$59)</f>
        <v>0</v>
      </c>
      <c r="V337" s="1328">
        <f>+V331-V335</f>
        <v>286272.44999999914</v>
      </c>
      <c r="W337" s="1310"/>
      <c r="X337" s="1328">
        <f>+X331-X335</f>
        <v>363362.25000000058</v>
      </c>
      <c r="Y337" s="1310"/>
      <c r="Z337" s="1328">
        <f>+Z331-Z335</f>
        <v>184820.19000000076</v>
      </c>
      <c r="AA337" s="1326">
        <f>IF(Z$59=0,0,Z337/Z$59)</f>
        <v>0</v>
      </c>
      <c r="AB337" s="1328">
        <f>+AB331-AB335</f>
        <v>590646.1799999997</v>
      </c>
      <c r="AC337" s="1310"/>
      <c r="AD337" s="1328">
        <f>+AD331-AD335</f>
        <v>413450.94999999995</v>
      </c>
      <c r="AE337" s="1310"/>
      <c r="AF337" s="1328">
        <f>+AF331-AF335</f>
        <v>278731.5200000006</v>
      </c>
      <c r="AG337" s="1326">
        <f>IF(AF$59=0,0,AF337/AF$59)</f>
        <v>0</v>
      </c>
      <c r="AH337" s="1328">
        <f>+AH331-AH335</f>
        <v>3786034.5600000033</v>
      </c>
      <c r="AI337" s="1304">
        <f>IF(AH$65=0,0,AH337/AH$65)</f>
        <v>0.11068882883271405</v>
      </c>
      <c r="AJ337" s="15"/>
    </row>
    <row r="338" spans="1:36" s="20" customFormat="1" ht="15.75" thickTop="1">
      <c r="A338" s="13"/>
      <c r="B338" s="16"/>
      <c r="C338" s="16"/>
      <c r="D338" s="1301"/>
      <c r="E338" s="1301"/>
      <c r="F338" s="1298"/>
      <c r="G338" s="1301"/>
      <c r="H338" s="1327"/>
      <c r="I338" s="1327"/>
      <c r="J338" s="1329"/>
      <c r="K338" s="1327"/>
      <c r="L338" s="1329"/>
      <c r="M338" s="1281"/>
      <c r="N338" s="1329"/>
      <c r="O338" s="1281"/>
      <c r="P338" s="1329"/>
      <c r="Q338" s="1327"/>
      <c r="R338" s="1329"/>
      <c r="S338" s="1281"/>
      <c r="T338" s="1329"/>
      <c r="U338" s="1281"/>
      <c r="V338" s="1329"/>
      <c r="W338" s="1327"/>
      <c r="X338" s="1329"/>
      <c r="Y338" s="1281"/>
      <c r="Z338" s="1329"/>
      <c r="AA338" s="1281"/>
      <c r="AB338" s="1329"/>
      <c r="AC338" s="1327"/>
      <c r="AD338" s="1329"/>
      <c r="AE338" s="1281"/>
      <c r="AF338" s="1329"/>
      <c r="AG338" s="1281"/>
      <c r="AH338" s="1329"/>
      <c r="AI338" s="1329"/>
      <c r="AJ338" s="2"/>
    </row>
    <row r="339" spans="1:36" customFormat="1" ht="15" outlineLevel="1">
      <c r="B339" t="s">
        <v>430</v>
      </c>
      <c r="D339" s="1330"/>
      <c r="E339" s="1330"/>
      <c r="F339" s="1330"/>
      <c r="G339" s="1330"/>
      <c r="H339" s="1330"/>
      <c r="I339" s="1330"/>
      <c r="J339" s="1330"/>
      <c r="K339" s="1330"/>
      <c r="L339" s="1330"/>
      <c r="M339" s="1330"/>
      <c r="N339" s="1330"/>
      <c r="O339" s="1330"/>
      <c r="P339" s="1330"/>
      <c r="Q339" s="1330"/>
      <c r="R339" s="1330"/>
      <c r="S339" s="1330"/>
      <c r="T339" s="1330"/>
      <c r="U339" s="1330"/>
      <c r="V339" s="1330"/>
      <c r="W339" s="1330"/>
      <c r="X339" s="1330"/>
      <c r="Y339" s="1330"/>
      <c r="Z339" s="1330"/>
      <c r="AA339" s="1330"/>
      <c r="AB339" s="1330"/>
      <c r="AC339" s="1330"/>
      <c r="AD339" s="1330"/>
      <c r="AE339" s="1330"/>
      <c r="AF339" s="1330"/>
      <c r="AG339" s="1330"/>
      <c r="AH339" s="1330"/>
      <c r="AI339" s="1330"/>
    </row>
    <row r="340" spans="1:36" ht="6" customHeight="1" outlineLevel="1">
      <c r="A340" s="13"/>
      <c r="D340" s="1327"/>
      <c r="E340" s="1327"/>
      <c r="F340" s="1327"/>
      <c r="G340" s="1327"/>
      <c r="H340" s="1327"/>
      <c r="I340" s="1327"/>
      <c r="J340" s="1311"/>
      <c r="K340" s="1310"/>
      <c r="L340" s="1311"/>
      <c r="M340" s="1310"/>
      <c r="N340" s="1311"/>
      <c r="O340" s="1324"/>
      <c r="P340" s="1311"/>
      <c r="Q340" s="1310"/>
      <c r="R340" s="1311"/>
      <c r="S340" s="1310"/>
      <c r="T340" s="1311"/>
      <c r="U340" s="1324"/>
      <c r="V340" s="1311"/>
      <c r="W340" s="1310"/>
      <c r="X340" s="1311"/>
      <c r="Y340" s="1310"/>
      <c r="Z340" s="1311"/>
      <c r="AA340" s="1324"/>
      <c r="AB340" s="1311"/>
      <c r="AC340" s="1310"/>
      <c r="AD340" s="1311"/>
      <c r="AE340" s="1310"/>
      <c r="AF340" s="1311"/>
      <c r="AG340" s="1324"/>
      <c r="AH340" s="1311"/>
      <c r="AI340" s="1327"/>
    </row>
    <row r="341" spans="1:36" s="5" customFormat="1">
      <c r="A341" s="28"/>
      <c r="D341" s="1318"/>
      <c r="E341" s="1318" t="s">
        <v>287</v>
      </c>
      <c r="F341" s="1318"/>
      <c r="G341" s="1318"/>
      <c r="H341" s="1318"/>
      <c r="I341" s="1318"/>
      <c r="J341" s="1308">
        <f>SUM(J339:J340)</f>
        <v>0</v>
      </c>
      <c r="K341" s="1310"/>
      <c r="L341" s="1308">
        <f>SUM(L339:L340)</f>
        <v>0</v>
      </c>
      <c r="M341" s="1310"/>
      <c r="N341" s="1308">
        <f>SUM(N339:N340)</f>
        <v>0</v>
      </c>
      <c r="O341" s="1326"/>
      <c r="P341" s="1308">
        <f>SUM(P339:P340)</f>
        <v>0</v>
      </c>
      <c r="Q341" s="1310"/>
      <c r="R341" s="1308">
        <f>SUM(R339:R340)</f>
        <v>0</v>
      </c>
      <c r="S341" s="1310"/>
      <c r="T341" s="1308">
        <f>SUM(T339:T340)</f>
        <v>0</v>
      </c>
      <c r="U341" s="1326"/>
      <c r="V341" s="1308">
        <f>SUM(V339:V340)</f>
        <v>0</v>
      </c>
      <c r="W341" s="1310"/>
      <c r="X341" s="1308">
        <f>SUM(X339:X340)</f>
        <v>0</v>
      </c>
      <c r="Y341" s="1310"/>
      <c r="Z341" s="1308">
        <f>SUM(Z339:Z340)</f>
        <v>0</v>
      </c>
      <c r="AA341" s="1326"/>
      <c r="AB341" s="1308">
        <f>SUM(AB339:AB340)</f>
        <v>0</v>
      </c>
      <c r="AC341" s="1310"/>
      <c r="AD341" s="1308">
        <f>SUM(AD339:AD340)</f>
        <v>0</v>
      </c>
      <c r="AE341" s="1310"/>
      <c r="AF341" s="1308">
        <f>SUM(AF339:AF340)</f>
        <v>0</v>
      </c>
      <c r="AG341" s="1326"/>
      <c r="AH341" s="1308">
        <f>SUM(AH339:AH340)</f>
        <v>0</v>
      </c>
      <c r="AI341" s="1318"/>
    </row>
    <row r="342" spans="1:36">
      <c r="A342" s="13"/>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row>
    <row r="343" spans="1:36" ht="15">
      <c r="A343" s="13"/>
      <c r="B343" s="16"/>
      <c r="C343" s="16"/>
      <c r="D343" s="7"/>
      <c r="E343" s="7"/>
      <c r="F343" s="7"/>
      <c r="G343" s="7"/>
      <c r="M343" s="15"/>
      <c r="O343" s="15"/>
      <c r="S343" s="15"/>
      <c r="U343" s="15"/>
      <c r="Y343" s="15"/>
      <c r="AA343" s="15"/>
      <c r="AE343" s="15"/>
      <c r="AG343" s="15"/>
    </row>
    <row r="344" spans="1:36" ht="15.75">
      <c r="A344" s="13"/>
      <c r="B344" s="16"/>
      <c r="C344" s="16"/>
      <c r="D344" s="8"/>
      <c r="E344" s="8"/>
      <c r="F344" s="7"/>
      <c r="G344" s="8"/>
      <c r="M344" s="15"/>
      <c r="O344" s="15"/>
      <c r="S344" s="15"/>
      <c r="U344" s="15"/>
      <c r="Y344" s="15"/>
      <c r="AA344" s="15"/>
      <c r="AE344" s="15"/>
      <c r="AF344" s="21"/>
      <c r="AG344" s="22"/>
      <c r="AH344" s="23"/>
    </row>
    <row r="345" spans="1:36" s="20" customFormat="1" ht="15">
      <c r="A345" s="13"/>
      <c r="B345" s="16"/>
      <c r="C345" s="16"/>
      <c r="D345" s="8"/>
      <c r="E345" s="8"/>
      <c r="F345" s="8"/>
      <c r="G345" s="8"/>
      <c r="H345" s="2"/>
      <c r="I345" s="2"/>
      <c r="K345" s="2"/>
      <c r="M345" s="15"/>
      <c r="O345" s="15"/>
      <c r="Q345" s="2"/>
      <c r="S345" s="15"/>
      <c r="U345" s="15"/>
      <c r="W345" s="2"/>
      <c r="Y345" s="15"/>
      <c r="AA345" s="15"/>
      <c r="AC345" s="2"/>
      <c r="AE345" s="15"/>
      <c r="AG345" s="15"/>
      <c r="AI345" s="2"/>
      <c r="AJ345" s="2"/>
    </row>
    <row r="346" spans="1:36" s="20" customFormat="1" ht="15">
      <c r="A346" s="18"/>
      <c r="B346" s="18"/>
      <c r="C346" s="18"/>
      <c r="D346" s="18"/>
      <c r="E346" s="18"/>
      <c r="F346" s="18"/>
      <c r="G346" s="18"/>
      <c r="H346" s="2"/>
      <c r="I346" s="2"/>
      <c r="K346" s="2"/>
      <c r="M346" s="15"/>
      <c r="O346" s="15"/>
      <c r="Q346" s="2"/>
      <c r="S346" s="15"/>
      <c r="U346" s="15"/>
      <c r="Y346" s="15"/>
      <c r="AA346" s="15"/>
      <c r="AC346" s="2"/>
      <c r="AE346" s="15"/>
      <c r="AG346" s="15"/>
      <c r="AJ346" s="2"/>
    </row>
    <row r="347" spans="1:36" s="20" customFormat="1" ht="15">
      <c r="A347" s="13"/>
      <c r="B347" s="16"/>
      <c r="C347" s="16"/>
      <c r="D347" s="7"/>
      <c r="E347" s="7"/>
      <c r="F347" s="7"/>
      <c r="G347" s="7"/>
      <c r="H347" s="2"/>
      <c r="I347" s="2"/>
      <c r="K347" s="2"/>
      <c r="M347" s="15"/>
      <c r="O347" s="15"/>
      <c r="Q347" s="2"/>
      <c r="S347" s="15"/>
      <c r="U347" s="15"/>
      <c r="V347" s="29"/>
      <c r="W347" s="29"/>
      <c r="X347" s="29"/>
      <c r="Y347" s="15"/>
      <c r="Z347" s="29"/>
      <c r="AA347" s="15"/>
      <c r="AB347" s="29"/>
      <c r="AC347" s="2"/>
      <c r="AD347" s="29"/>
      <c r="AE347" s="15"/>
      <c r="AF347" s="29"/>
      <c r="AG347" s="15"/>
      <c r="AH347" s="29"/>
      <c r="AJ347" s="2"/>
    </row>
    <row r="348" spans="1:36" s="20" customFormat="1" ht="15">
      <c r="A348" s="13"/>
      <c r="B348" s="16"/>
      <c r="C348" s="16"/>
      <c r="D348" s="8"/>
      <c r="E348" s="8"/>
      <c r="F348" s="6"/>
      <c r="G348" s="8"/>
      <c r="H348" s="2"/>
      <c r="I348" s="2"/>
      <c r="K348" s="2"/>
      <c r="M348" s="15"/>
      <c r="O348" s="15"/>
      <c r="Q348" s="2"/>
      <c r="S348" s="15"/>
      <c r="U348" s="15"/>
      <c r="W348" s="2"/>
      <c r="Y348" s="15"/>
      <c r="AA348" s="15"/>
      <c r="AC348" s="2"/>
      <c r="AE348" s="15"/>
      <c r="AG348" s="15"/>
      <c r="AJ348" s="2"/>
    </row>
    <row r="349" spans="1:36" s="20" customFormat="1" ht="15">
      <c r="A349" s="13"/>
      <c r="B349" s="16"/>
      <c r="C349" s="16"/>
      <c r="D349" s="8"/>
      <c r="E349" s="8"/>
      <c r="F349" s="8"/>
      <c r="G349" s="8"/>
      <c r="H349" s="2"/>
      <c r="I349" s="2"/>
      <c r="K349" s="2"/>
      <c r="M349" s="15"/>
      <c r="O349" s="15"/>
      <c r="Q349" s="2"/>
      <c r="S349" s="15"/>
      <c r="U349" s="15"/>
      <c r="W349" s="2"/>
      <c r="Y349" s="15"/>
      <c r="AA349" s="15"/>
      <c r="AC349" s="2"/>
      <c r="AE349" s="15"/>
      <c r="AG349" s="15"/>
      <c r="AJ349" s="2"/>
    </row>
    <row r="350" spans="1:36" s="20" customFormat="1" ht="15">
      <c r="A350" s="18"/>
      <c r="B350" s="18"/>
      <c r="C350" s="18"/>
      <c r="D350" s="18"/>
      <c r="E350" s="18"/>
      <c r="F350" s="18"/>
      <c r="G350" s="18"/>
      <c r="H350" s="2"/>
      <c r="I350" s="2"/>
      <c r="K350" s="2"/>
      <c r="M350" s="15"/>
      <c r="O350" s="15"/>
      <c r="Q350" s="2"/>
      <c r="S350" s="15"/>
      <c r="U350" s="15"/>
      <c r="W350" s="2"/>
      <c r="Y350" s="15"/>
      <c r="AA350" s="15"/>
      <c r="AC350" s="2"/>
      <c r="AE350" s="15"/>
      <c r="AG350" s="15"/>
      <c r="AJ350" s="2"/>
    </row>
    <row r="351" spans="1:36" s="20" customFormat="1" ht="15">
      <c r="A351" s="13"/>
      <c r="B351" s="16"/>
      <c r="C351" s="16"/>
      <c r="D351" s="7"/>
      <c r="E351" s="7"/>
      <c r="F351" s="7"/>
      <c r="G351" s="7"/>
      <c r="H351" s="2"/>
      <c r="I351" s="2"/>
      <c r="K351" s="2"/>
      <c r="M351" s="15"/>
      <c r="O351" s="15"/>
      <c r="Q351" s="2"/>
      <c r="S351" s="15"/>
      <c r="U351" s="15"/>
      <c r="W351" s="2"/>
      <c r="Y351" s="15"/>
      <c r="AA351" s="15"/>
      <c r="AC351" s="2"/>
      <c r="AE351" s="15"/>
      <c r="AG351" s="15"/>
      <c r="AJ351" s="2"/>
    </row>
    <row r="352" spans="1:36" s="20" customFormat="1" ht="15">
      <c r="A352" s="13"/>
      <c r="B352" s="16"/>
      <c r="C352" s="16"/>
      <c r="D352" s="8"/>
      <c r="E352" s="8"/>
      <c r="F352" s="7"/>
      <c r="G352" s="8"/>
      <c r="H352" s="2"/>
      <c r="I352" s="2"/>
      <c r="K352" s="2"/>
      <c r="M352" s="15"/>
      <c r="O352" s="15"/>
      <c r="Q352" s="2"/>
      <c r="S352" s="15"/>
      <c r="U352" s="15"/>
      <c r="W352" s="2"/>
      <c r="Y352" s="15"/>
      <c r="AA352" s="15"/>
      <c r="AC352" s="2"/>
      <c r="AE352" s="15"/>
      <c r="AG352" s="15"/>
      <c r="AJ352" s="2"/>
    </row>
    <row r="353" spans="1:36" s="20" customFormat="1" ht="15">
      <c r="A353" s="13"/>
      <c r="B353" s="2"/>
      <c r="C353" s="2"/>
      <c r="D353" s="8"/>
      <c r="E353" s="8"/>
      <c r="F353" s="8"/>
      <c r="G353" s="8"/>
      <c r="H353" s="2"/>
      <c r="I353" s="2"/>
      <c r="K353" s="2"/>
      <c r="M353" s="15"/>
      <c r="O353" s="15"/>
      <c r="Q353" s="2"/>
      <c r="S353" s="15"/>
      <c r="U353" s="15"/>
      <c r="W353" s="2"/>
      <c r="Y353" s="15"/>
      <c r="AA353" s="15"/>
      <c r="AC353" s="2"/>
      <c r="AE353" s="15"/>
      <c r="AG353" s="15"/>
      <c r="AJ353" s="2"/>
    </row>
    <row r="354" spans="1:36" s="20" customFormat="1" ht="15">
      <c r="A354" s="13"/>
      <c r="B354" s="2"/>
      <c r="C354" s="2"/>
      <c r="D354" s="8"/>
      <c r="E354" s="17"/>
      <c r="F354" s="8"/>
      <c r="G354" s="8"/>
      <c r="H354" s="2"/>
      <c r="I354" s="2"/>
      <c r="K354" s="2"/>
      <c r="M354" s="15"/>
      <c r="O354" s="15"/>
      <c r="Q354" s="2"/>
      <c r="S354" s="15"/>
      <c r="U354" s="15"/>
      <c r="W354" s="2"/>
      <c r="Y354" s="15"/>
      <c r="AA354" s="15"/>
      <c r="AC354" s="2"/>
      <c r="AE354" s="15"/>
      <c r="AG354" s="15"/>
      <c r="AJ354" s="2"/>
    </row>
    <row r="355" spans="1:36" s="20" customFormat="1" ht="15">
      <c r="A355" s="13"/>
      <c r="B355" s="2"/>
      <c r="C355" s="2"/>
      <c r="D355" s="8"/>
      <c r="E355" s="8"/>
      <c r="F355" s="8"/>
      <c r="G355" s="8"/>
      <c r="H355" s="2"/>
      <c r="I355" s="2"/>
      <c r="K355" s="2"/>
      <c r="M355" s="15"/>
      <c r="O355" s="15"/>
      <c r="Q355" s="2"/>
      <c r="S355" s="15"/>
      <c r="U355" s="15"/>
      <c r="W355" s="2"/>
      <c r="Y355" s="15"/>
      <c r="AA355" s="15"/>
      <c r="AC355" s="2"/>
      <c r="AE355" s="15"/>
      <c r="AG355" s="15"/>
      <c r="AJ355" s="2"/>
    </row>
    <row r="356" spans="1:36" s="20" customFormat="1" ht="15">
      <c r="A356" s="18"/>
      <c r="B356" s="18"/>
      <c r="C356" s="18"/>
      <c r="D356" s="18"/>
      <c r="E356" s="18"/>
      <c r="F356" s="18"/>
      <c r="G356" s="18"/>
      <c r="H356" s="2"/>
      <c r="I356" s="2"/>
      <c r="K356" s="2"/>
      <c r="M356" s="15"/>
      <c r="O356" s="15"/>
      <c r="Q356" s="2"/>
      <c r="S356" s="15"/>
      <c r="U356" s="15"/>
      <c r="W356" s="2"/>
      <c r="Y356" s="15"/>
      <c r="AA356" s="15"/>
      <c r="AC356" s="2"/>
      <c r="AE356" s="15"/>
      <c r="AG356" s="15"/>
      <c r="AJ356" s="2"/>
    </row>
    <row r="357" spans="1:36" s="20" customFormat="1" ht="15">
      <c r="A357" s="13"/>
      <c r="B357" s="16"/>
      <c r="C357" s="16"/>
      <c r="D357" s="7"/>
      <c r="E357" s="7"/>
      <c r="F357" s="7"/>
      <c r="G357" s="7"/>
      <c r="H357" s="2"/>
      <c r="I357" s="2"/>
      <c r="K357" s="2"/>
      <c r="M357" s="15"/>
      <c r="O357" s="15"/>
      <c r="Q357" s="2"/>
      <c r="S357" s="15"/>
      <c r="U357" s="15"/>
      <c r="W357" s="2"/>
      <c r="Y357" s="15"/>
      <c r="AA357" s="15"/>
      <c r="AC357" s="2"/>
      <c r="AE357" s="15"/>
      <c r="AG357" s="15"/>
      <c r="AJ357" s="2"/>
    </row>
    <row r="358" spans="1:36" s="20" customFormat="1" ht="15">
      <c r="A358" s="13"/>
      <c r="B358" s="16"/>
      <c r="C358" s="16"/>
      <c r="D358" s="8"/>
      <c r="E358" s="8"/>
      <c r="F358" s="6"/>
      <c r="G358" s="8"/>
      <c r="H358" s="2"/>
      <c r="I358" s="2"/>
      <c r="K358" s="2"/>
      <c r="M358" s="15"/>
      <c r="O358" s="15"/>
      <c r="Q358" s="2"/>
      <c r="S358" s="15"/>
      <c r="U358" s="15"/>
      <c r="W358" s="2"/>
      <c r="Y358" s="15"/>
      <c r="AA358" s="15"/>
      <c r="AC358" s="2"/>
      <c r="AE358" s="15"/>
      <c r="AG358" s="15"/>
      <c r="AJ358" s="2"/>
    </row>
    <row r="359" spans="1:36" s="20" customFormat="1" ht="15">
      <c r="A359" s="13"/>
      <c r="B359" s="2"/>
      <c r="C359" s="2"/>
      <c r="D359" s="8"/>
      <c r="E359" s="8"/>
      <c r="F359" s="8"/>
      <c r="G359" s="8"/>
      <c r="H359" s="2"/>
      <c r="I359" s="2"/>
      <c r="K359" s="2"/>
      <c r="M359" s="15"/>
      <c r="O359" s="15"/>
      <c r="Q359" s="2"/>
      <c r="S359" s="15"/>
      <c r="U359" s="15"/>
      <c r="W359" s="2"/>
      <c r="Y359" s="15"/>
      <c r="AA359" s="15"/>
      <c r="AC359" s="2"/>
      <c r="AE359" s="15"/>
      <c r="AG359" s="15"/>
      <c r="AJ359" s="2"/>
    </row>
    <row r="360" spans="1:36" s="20" customFormat="1" ht="15">
      <c r="A360" s="13"/>
      <c r="B360" s="16"/>
      <c r="C360" s="16"/>
      <c r="D360" s="8"/>
      <c r="E360" s="17"/>
      <c r="F360" s="8"/>
      <c r="G360" s="8"/>
      <c r="H360" s="2"/>
      <c r="I360" s="2"/>
      <c r="K360" s="2"/>
      <c r="M360" s="15"/>
      <c r="O360" s="15"/>
      <c r="Q360" s="2"/>
      <c r="S360" s="15"/>
      <c r="U360" s="15"/>
      <c r="W360" s="2"/>
      <c r="Y360" s="15"/>
      <c r="AA360" s="15"/>
      <c r="AC360" s="2"/>
      <c r="AE360" s="15"/>
      <c r="AG360" s="15"/>
      <c r="AJ360" s="2"/>
    </row>
    <row r="361" spans="1:36" s="20" customFormat="1" ht="15">
      <c r="A361" s="13"/>
      <c r="B361" s="2"/>
      <c r="C361" s="2"/>
      <c r="D361" s="2"/>
      <c r="E361" s="2"/>
      <c r="F361" s="2"/>
      <c r="G361" s="2"/>
      <c r="H361" s="2"/>
      <c r="I361" s="2"/>
      <c r="K361" s="2"/>
      <c r="M361" s="15"/>
      <c r="O361" s="15"/>
      <c r="Q361" s="2"/>
      <c r="S361" s="15"/>
      <c r="U361" s="15"/>
      <c r="W361" s="2"/>
      <c r="Y361" s="15"/>
      <c r="AA361" s="15"/>
      <c r="AC361" s="2"/>
      <c r="AE361" s="15"/>
      <c r="AG361" s="15"/>
      <c r="AJ361" s="2"/>
    </row>
    <row r="362" spans="1:36" s="20" customFormat="1" ht="15">
      <c r="A362" s="18"/>
      <c r="B362" s="18"/>
      <c r="C362" s="18"/>
      <c r="D362" s="18"/>
      <c r="E362" s="18"/>
      <c r="F362" s="18"/>
      <c r="G362" s="18"/>
      <c r="H362" s="2"/>
      <c r="I362" s="2"/>
      <c r="K362" s="2"/>
      <c r="M362" s="15"/>
      <c r="O362" s="15"/>
      <c r="Q362" s="2"/>
      <c r="S362" s="15"/>
      <c r="U362" s="15"/>
      <c r="W362" s="2"/>
      <c r="Y362" s="15"/>
      <c r="AA362" s="15"/>
      <c r="AC362" s="2"/>
      <c r="AE362" s="15"/>
      <c r="AG362" s="15"/>
      <c r="AJ362" s="2"/>
    </row>
    <row r="363" spans="1:36" s="20" customFormat="1" ht="15">
      <c r="A363" s="13"/>
      <c r="B363" s="16"/>
      <c r="C363" s="16"/>
      <c r="D363" s="7"/>
      <c r="E363" s="7"/>
      <c r="F363" s="7"/>
      <c r="G363" s="7"/>
      <c r="H363" s="2"/>
      <c r="I363" s="2"/>
      <c r="K363" s="2"/>
      <c r="M363" s="15"/>
      <c r="O363" s="15"/>
      <c r="Q363" s="2"/>
      <c r="S363" s="15"/>
      <c r="U363" s="15"/>
      <c r="W363" s="2"/>
      <c r="Y363" s="15"/>
      <c r="AA363" s="15"/>
      <c r="AC363" s="2"/>
      <c r="AE363" s="15"/>
      <c r="AG363" s="15"/>
      <c r="AJ363" s="2"/>
    </row>
    <row r="364" spans="1:36" s="20" customFormat="1" ht="15">
      <c r="A364" s="2"/>
      <c r="B364" s="16"/>
      <c r="C364" s="16"/>
      <c r="D364" s="8"/>
      <c r="E364" s="8"/>
      <c r="F364" s="6"/>
      <c r="G364" s="8"/>
      <c r="H364" s="2"/>
      <c r="I364" s="2"/>
      <c r="K364" s="2"/>
      <c r="M364" s="15"/>
      <c r="O364" s="15"/>
      <c r="Q364" s="2"/>
      <c r="S364" s="15"/>
      <c r="U364" s="15"/>
      <c r="W364" s="2"/>
      <c r="Y364" s="15"/>
      <c r="AA364" s="15"/>
      <c r="AC364" s="2"/>
      <c r="AE364" s="15"/>
      <c r="AG364" s="15"/>
      <c r="AJ364" s="2"/>
    </row>
    <row r="365" spans="1:36" s="20" customFormat="1" ht="15">
      <c r="A365" s="2"/>
      <c r="B365" s="16"/>
      <c r="C365" s="16"/>
      <c r="D365" s="8"/>
      <c r="E365" s="8"/>
      <c r="F365" s="8"/>
      <c r="G365" s="8"/>
      <c r="H365" s="2"/>
      <c r="I365" s="2"/>
      <c r="K365" s="2"/>
      <c r="M365" s="15"/>
      <c r="O365" s="15"/>
      <c r="Q365" s="2"/>
      <c r="S365" s="15"/>
      <c r="U365" s="15"/>
      <c r="W365" s="2"/>
      <c r="Y365" s="15"/>
      <c r="AA365" s="15"/>
      <c r="AC365" s="2"/>
      <c r="AE365" s="15"/>
      <c r="AG365" s="15"/>
      <c r="AJ365" s="2"/>
    </row>
    <row r="366" spans="1:36" s="20" customFormat="1" ht="15">
      <c r="A366" s="2"/>
      <c r="B366" s="2"/>
      <c r="C366" s="2"/>
      <c r="D366" s="8"/>
      <c r="E366" s="17"/>
      <c r="F366" s="8"/>
      <c r="G366" s="8"/>
      <c r="H366" s="2"/>
      <c r="I366" s="2"/>
      <c r="K366" s="2"/>
      <c r="M366" s="15"/>
      <c r="O366" s="15"/>
      <c r="Q366" s="2"/>
      <c r="S366" s="15"/>
      <c r="U366" s="15"/>
      <c r="W366" s="2"/>
      <c r="Y366" s="15"/>
      <c r="AA366" s="15"/>
      <c r="AC366" s="2"/>
      <c r="AE366" s="15"/>
      <c r="AG366" s="15"/>
      <c r="AJ366" s="2"/>
    </row>
    <row r="367" spans="1:36" s="20" customFormat="1" ht="15">
      <c r="A367" s="2"/>
      <c r="B367" s="16"/>
      <c r="C367" s="16"/>
      <c r="D367" s="8"/>
      <c r="E367" s="8"/>
      <c r="F367" s="8"/>
      <c r="G367" s="8"/>
      <c r="H367" s="2"/>
      <c r="I367" s="2"/>
      <c r="K367" s="2"/>
      <c r="M367" s="15"/>
      <c r="O367" s="15"/>
      <c r="Q367" s="2"/>
      <c r="S367" s="15"/>
      <c r="U367" s="15"/>
      <c r="W367" s="2"/>
      <c r="Y367" s="15"/>
      <c r="AA367" s="15"/>
      <c r="AC367" s="2"/>
      <c r="AE367" s="15"/>
      <c r="AG367" s="15"/>
      <c r="AJ367" s="2"/>
    </row>
    <row r="368" spans="1:36" s="20" customFormat="1" ht="15">
      <c r="A368" s="13"/>
      <c r="B368" s="30"/>
      <c r="C368" s="13"/>
      <c r="D368" s="13"/>
      <c r="E368" s="13"/>
      <c r="F368" s="13"/>
      <c r="G368" s="13"/>
      <c r="H368" s="2"/>
      <c r="I368" s="2"/>
      <c r="K368" s="2"/>
      <c r="M368" s="15"/>
      <c r="O368" s="15"/>
      <c r="Q368" s="2"/>
      <c r="S368" s="15"/>
      <c r="U368" s="15"/>
      <c r="W368" s="2"/>
      <c r="Y368" s="15"/>
      <c r="AA368" s="15"/>
      <c r="AC368" s="2"/>
      <c r="AE368" s="15"/>
      <c r="AG368" s="15"/>
      <c r="AJ368" s="2"/>
    </row>
    <row r="369" spans="1:36" s="20" customFormat="1" ht="15">
      <c r="A369" s="13"/>
      <c r="B369" s="16"/>
      <c r="C369" s="16"/>
      <c r="D369" s="7"/>
      <c r="E369" s="7"/>
      <c r="F369" s="7"/>
      <c r="G369" s="7"/>
      <c r="H369" s="2"/>
      <c r="I369" s="2"/>
      <c r="K369" s="2"/>
      <c r="M369" s="15"/>
      <c r="O369" s="15"/>
      <c r="Q369" s="2"/>
      <c r="S369" s="15"/>
      <c r="U369" s="15"/>
      <c r="W369" s="2"/>
      <c r="Y369" s="15"/>
      <c r="AA369" s="15"/>
      <c r="AC369" s="2"/>
      <c r="AE369" s="15"/>
      <c r="AG369" s="15"/>
      <c r="AJ369" s="2"/>
    </row>
    <row r="370" spans="1:36" s="20" customFormat="1" ht="15">
      <c r="A370" s="13"/>
      <c r="B370" s="16"/>
      <c r="C370" s="16"/>
      <c r="D370" s="8"/>
      <c r="E370" s="8"/>
      <c r="F370" s="6"/>
      <c r="G370" s="8"/>
      <c r="H370" s="2"/>
      <c r="I370" s="2"/>
      <c r="K370" s="2"/>
      <c r="M370" s="15"/>
      <c r="O370" s="15"/>
      <c r="Q370" s="2"/>
      <c r="S370" s="15"/>
      <c r="U370" s="15"/>
      <c r="W370" s="2"/>
      <c r="Y370" s="15"/>
      <c r="AA370" s="15"/>
      <c r="AC370" s="2"/>
      <c r="AE370" s="15"/>
      <c r="AG370" s="15"/>
      <c r="AJ370" s="2"/>
    </row>
    <row r="371" spans="1:36" s="20" customFormat="1" ht="15">
      <c r="A371" s="2"/>
      <c r="B371" s="16"/>
      <c r="C371" s="16"/>
      <c r="D371" s="8"/>
      <c r="E371" s="8"/>
      <c r="F371" s="8"/>
      <c r="G371" s="8"/>
      <c r="H371" s="2"/>
      <c r="I371" s="2"/>
      <c r="K371" s="2"/>
      <c r="M371" s="15"/>
      <c r="O371" s="15"/>
      <c r="Q371" s="2"/>
      <c r="S371" s="15"/>
      <c r="U371" s="15"/>
      <c r="W371" s="2"/>
      <c r="Y371" s="15"/>
      <c r="AA371" s="15"/>
      <c r="AC371" s="2"/>
      <c r="AE371" s="15"/>
      <c r="AG371" s="15"/>
      <c r="AJ371" s="2"/>
    </row>
    <row r="372" spans="1:36" s="20" customFormat="1" ht="15">
      <c r="A372" s="2"/>
      <c r="B372" s="2"/>
      <c r="C372" s="2"/>
      <c r="D372" s="8"/>
      <c r="E372" s="17"/>
      <c r="F372" s="8"/>
      <c r="G372" s="8"/>
      <c r="H372" s="2"/>
      <c r="I372" s="2"/>
      <c r="K372" s="2"/>
      <c r="M372" s="15"/>
      <c r="O372" s="15"/>
      <c r="Q372" s="2"/>
      <c r="S372" s="15"/>
      <c r="U372" s="15"/>
      <c r="W372" s="2"/>
      <c r="Y372" s="15"/>
      <c r="AA372" s="15"/>
      <c r="AC372" s="2"/>
      <c r="AE372" s="15"/>
      <c r="AG372" s="15"/>
      <c r="AJ372" s="2"/>
    </row>
    <row r="373" spans="1:36" s="20" customFormat="1" ht="15">
      <c r="A373" s="2"/>
      <c r="B373" s="2"/>
      <c r="C373" s="2"/>
      <c r="D373" s="2"/>
      <c r="E373" s="2"/>
      <c r="F373" s="2"/>
      <c r="G373" s="2"/>
      <c r="H373" s="2"/>
      <c r="I373" s="2"/>
      <c r="K373" s="2"/>
      <c r="M373" s="15"/>
      <c r="O373" s="15"/>
      <c r="Q373" s="2"/>
      <c r="S373" s="15"/>
      <c r="U373" s="15"/>
      <c r="W373" s="2"/>
      <c r="Y373" s="15"/>
      <c r="AA373" s="15"/>
      <c r="AC373" s="2"/>
      <c r="AE373" s="15"/>
      <c r="AG373" s="15"/>
      <c r="AJ373" s="2"/>
    </row>
    <row r="374" spans="1:36" s="20" customFormat="1" ht="15">
      <c r="B374" s="2"/>
      <c r="D374" s="2"/>
      <c r="E374" s="2"/>
      <c r="F374" s="2"/>
      <c r="G374" s="2"/>
      <c r="H374" s="2"/>
      <c r="I374" s="2"/>
      <c r="K374" s="2"/>
      <c r="M374" s="15"/>
      <c r="O374" s="15"/>
      <c r="Q374" s="2"/>
      <c r="S374" s="15"/>
      <c r="U374" s="15"/>
      <c r="W374" s="2"/>
      <c r="Y374" s="15"/>
      <c r="AA374" s="15"/>
      <c r="AC374" s="2"/>
      <c r="AE374" s="15"/>
      <c r="AG374" s="15"/>
      <c r="AJ374" s="2"/>
    </row>
    <row r="375" spans="1:36" s="20" customFormat="1" ht="15">
      <c r="B375" s="2"/>
      <c r="D375" s="2"/>
      <c r="E375" s="2"/>
      <c r="F375" s="2"/>
      <c r="G375" s="2"/>
      <c r="H375" s="2"/>
      <c r="I375" s="2"/>
      <c r="K375" s="2"/>
      <c r="M375" s="15"/>
      <c r="O375" s="15"/>
      <c r="Q375" s="2"/>
      <c r="S375" s="15"/>
      <c r="U375" s="15"/>
      <c r="W375" s="2"/>
      <c r="Y375" s="15"/>
      <c r="AA375" s="15"/>
      <c r="AC375" s="2"/>
      <c r="AE375" s="15"/>
      <c r="AG375" s="15"/>
      <c r="AJ375" s="2"/>
    </row>
    <row r="376" spans="1:36" s="20" customFormat="1" ht="15">
      <c r="B376" s="2"/>
      <c r="D376" s="2"/>
      <c r="E376" s="2"/>
      <c r="F376" s="2"/>
      <c r="G376" s="2"/>
      <c r="H376" s="2"/>
      <c r="I376" s="2"/>
      <c r="K376" s="2"/>
      <c r="M376" s="15"/>
      <c r="O376" s="15"/>
      <c r="Q376" s="2"/>
      <c r="S376" s="15"/>
      <c r="U376" s="15"/>
      <c r="W376" s="2"/>
      <c r="Y376" s="15"/>
      <c r="AA376" s="15"/>
      <c r="AC376" s="2"/>
      <c r="AE376" s="15"/>
      <c r="AG376" s="15"/>
      <c r="AJ376" s="2"/>
    </row>
    <row r="377" spans="1:36" s="20" customFormat="1" ht="15">
      <c r="B377" s="2"/>
      <c r="D377" s="2"/>
      <c r="E377" s="2"/>
      <c r="F377" s="2"/>
      <c r="G377" s="2"/>
      <c r="H377" s="2"/>
      <c r="I377" s="2"/>
      <c r="K377" s="2"/>
      <c r="M377" s="15"/>
      <c r="O377" s="15"/>
      <c r="Q377" s="2"/>
      <c r="S377" s="15"/>
      <c r="U377" s="15"/>
      <c r="W377" s="2"/>
      <c r="Y377" s="15"/>
      <c r="AA377" s="15"/>
      <c r="AC377" s="2"/>
      <c r="AE377" s="15"/>
      <c r="AG377" s="15"/>
      <c r="AJ377" s="2"/>
    </row>
    <row r="378" spans="1:36" s="20" customFormat="1" ht="15">
      <c r="B378" s="2"/>
      <c r="D378" s="2"/>
      <c r="E378" s="2"/>
      <c r="F378" s="2"/>
      <c r="G378" s="2"/>
      <c r="H378" s="2"/>
      <c r="I378" s="2"/>
      <c r="K378" s="2"/>
      <c r="M378" s="15"/>
      <c r="O378" s="15"/>
      <c r="Q378" s="2"/>
      <c r="S378" s="15"/>
      <c r="U378" s="15"/>
      <c r="W378" s="2"/>
      <c r="Y378" s="15"/>
      <c r="AA378" s="15"/>
      <c r="AC378" s="2"/>
      <c r="AE378" s="15"/>
      <c r="AG378" s="15"/>
      <c r="AJ378" s="2"/>
    </row>
    <row r="379" spans="1:36" s="20" customFormat="1" ht="15">
      <c r="B379" s="2"/>
      <c r="D379" s="2"/>
      <c r="E379" s="2"/>
      <c r="F379" s="2"/>
      <c r="G379" s="2"/>
      <c r="H379" s="2"/>
      <c r="I379" s="2"/>
      <c r="K379" s="2"/>
      <c r="M379" s="15"/>
      <c r="O379" s="15"/>
      <c r="Q379" s="2"/>
      <c r="S379" s="15"/>
      <c r="U379" s="15"/>
      <c r="W379" s="2"/>
      <c r="Y379" s="15"/>
      <c r="AA379" s="15"/>
      <c r="AC379" s="2"/>
      <c r="AE379" s="15"/>
      <c r="AG379" s="15"/>
      <c r="AJ379" s="2"/>
    </row>
    <row r="380" spans="1:36" s="20" customFormat="1" ht="15">
      <c r="B380" s="2"/>
      <c r="D380" s="2"/>
      <c r="E380" s="2"/>
      <c r="F380" s="2"/>
      <c r="G380" s="2"/>
      <c r="H380" s="2"/>
      <c r="I380" s="2"/>
      <c r="K380" s="2"/>
      <c r="M380" s="15"/>
      <c r="O380" s="15"/>
      <c r="Q380" s="2"/>
      <c r="S380" s="15"/>
      <c r="U380" s="15"/>
      <c r="W380" s="2"/>
      <c r="Y380" s="15"/>
      <c r="AA380" s="15"/>
      <c r="AC380" s="2"/>
      <c r="AE380" s="15"/>
      <c r="AG380" s="15"/>
      <c r="AJ380" s="2"/>
    </row>
    <row r="381" spans="1:36" s="20" customFormat="1" ht="15">
      <c r="D381" s="2"/>
      <c r="E381" s="2"/>
      <c r="F381" s="2"/>
      <c r="G381" s="2"/>
      <c r="H381" s="2"/>
      <c r="I381" s="2"/>
      <c r="K381" s="2"/>
      <c r="M381" s="15"/>
      <c r="O381" s="15"/>
      <c r="Q381" s="2"/>
      <c r="S381" s="15"/>
      <c r="U381" s="15"/>
      <c r="W381" s="2"/>
      <c r="Y381" s="15"/>
      <c r="AA381" s="15"/>
      <c r="AC381" s="2"/>
      <c r="AE381" s="15"/>
      <c r="AG381" s="15"/>
      <c r="AJ381" s="2"/>
    </row>
    <row r="382" spans="1:36" s="20" customFormat="1" ht="15">
      <c r="D382" s="2"/>
      <c r="E382" s="2"/>
      <c r="F382" s="2"/>
      <c r="G382" s="2"/>
      <c r="H382" s="2"/>
      <c r="I382" s="2"/>
      <c r="K382" s="2"/>
      <c r="M382" s="15"/>
      <c r="O382" s="15"/>
      <c r="Q382" s="2"/>
      <c r="S382" s="15"/>
      <c r="U382" s="15"/>
      <c r="W382" s="2"/>
      <c r="Y382" s="15"/>
      <c r="AA382" s="15"/>
      <c r="AC382" s="2"/>
      <c r="AE382" s="15"/>
      <c r="AG382" s="15"/>
      <c r="AJ382" s="2"/>
    </row>
    <row r="383" spans="1:36" s="20" customFormat="1" ht="15">
      <c r="D383" s="2"/>
      <c r="E383" s="2"/>
      <c r="F383" s="2"/>
      <c r="G383" s="2"/>
      <c r="H383" s="2"/>
      <c r="I383" s="2"/>
      <c r="K383" s="2"/>
      <c r="M383" s="15"/>
      <c r="O383" s="15"/>
      <c r="Q383" s="2"/>
      <c r="S383" s="15"/>
      <c r="U383" s="15"/>
      <c r="W383" s="2"/>
      <c r="Y383" s="15"/>
      <c r="AA383" s="15"/>
      <c r="AC383" s="2"/>
      <c r="AE383" s="15"/>
      <c r="AG383" s="15"/>
      <c r="AJ383" s="2"/>
    </row>
    <row r="384" spans="1:36" s="20" customFormat="1" ht="15">
      <c r="D384" s="2"/>
      <c r="E384" s="2"/>
      <c r="F384" s="2"/>
      <c r="G384" s="2"/>
      <c r="H384" s="2"/>
      <c r="I384" s="2"/>
      <c r="K384" s="2"/>
      <c r="M384" s="15"/>
      <c r="O384" s="15"/>
      <c r="Q384" s="2"/>
      <c r="S384" s="15"/>
      <c r="U384" s="15"/>
      <c r="W384" s="2"/>
      <c r="Y384" s="15"/>
      <c r="AA384" s="15"/>
      <c r="AC384" s="2"/>
      <c r="AE384" s="15"/>
      <c r="AG384" s="15"/>
      <c r="AJ384" s="2"/>
    </row>
    <row r="385" spans="4:36" s="20" customFormat="1" ht="15">
      <c r="D385" s="2"/>
      <c r="E385" s="2"/>
      <c r="F385" s="2"/>
      <c r="G385" s="2"/>
      <c r="H385" s="2"/>
      <c r="I385" s="2"/>
      <c r="K385" s="2"/>
      <c r="M385" s="15"/>
      <c r="O385" s="15"/>
      <c r="Q385" s="2"/>
      <c r="S385" s="15"/>
      <c r="U385" s="15"/>
      <c r="W385" s="2"/>
      <c r="Y385" s="15"/>
      <c r="AA385" s="15"/>
      <c r="AC385" s="2"/>
      <c r="AE385" s="15"/>
      <c r="AG385" s="15"/>
      <c r="AJ385" s="2"/>
    </row>
    <row r="386" spans="4:36" s="20" customFormat="1" ht="15">
      <c r="D386" s="2"/>
      <c r="E386" s="2"/>
      <c r="F386" s="2"/>
      <c r="G386" s="2"/>
      <c r="H386" s="2"/>
      <c r="I386" s="2"/>
      <c r="K386" s="2"/>
      <c r="M386" s="15"/>
      <c r="O386" s="15"/>
      <c r="Q386" s="2"/>
      <c r="S386" s="15"/>
      <c r="U386" s="15"/>
      <c r="W386" s="2"/>
      <c r="Y386" s="15"/>
      <c r="AA386" s="15"/>
      <c r="AC386" s="2"/>
      <c r="AE386" s="15"/>
      <c r="AG386" s="15"/>
      <c r="AJ386" s="2"/>
    </row>
    <row r="387" spans="4:36" s="20" customFormat="1" ht="15">
      <c r="D387" s="2"/>
      <c r="E387" s="2"/>
      <c r="F387" s="2"/>
      <c r="G387" s="2"/>
      <c r="H387" s="2"/>
      <c r="I387" s="2"/>
      <c r="K387" s="2"/>
      <c r="M387" s="15"/>
      <c r="O387" s="15"/>
      <c r="Q387" s="2"/>
      <c r="S387" s="15"/>
      <c r="U387" s="15"/>
      <c r="W387" s="2"/>
      <c r="Y387" s="15"/>
      <c r="AA387" s="15"/>
      <c r="AC387" s="2"/>
      <c r="AE387" s="15"/>
      <c r="AG387" s="15"/>
      <c r="AJ387" s="2"/>
    </row>
    <row r="388" spans="4:36" s="20" customFormat="1" ht="15">
      <c r="D388" s="2"/>
      <c r="E388" s="2"/>
      <c r="F388" s="2"/>
      <c r="G388" s="2"/>
      <c r="H388" s="2"/>
      <c r="I388" s="2"/>
      <c r="K388" s="2"/>
      <c r="M388" s="15"/>
      <c r="O388" s="15"/>
      <c r="Q388" s="2"/>
      <c r="S388" s="15"/>
      <c r="U388" s="15"/>
      <c r="W388" s="2"/>
      <c r="Y388" s="15"/>
      <c r="AA388" s="15"/>
      <c r="AC388" s="2"/>
      <c r="AE388" s="15"/>
      <c r="AG388" s="15"/>
      <c r="AJ388" s="2"/>
    </row>
    <row r="389" spans="4:36" s="20" customFormat="1" ht="15">
      <c r="D389" s="2"/>
      <c r="E389" s="2"/>
      <c r="F389" s="2"/>
      <c r="G389" s="2"/>
      <c r="H389" s="2"/>
      <c r="I389" s="2"/>
      <c r="K389" s="2"/>
      <c r="M389" s="15"/>
      <c r="O389" s="15"/>
      <c r="Q389" s="2"/>
      <c r="S389" s="15"/>
      <c r="U389" s="15"/>
      <c r="W389" s="2"/>
      <c r="Y389" s="15"/>
      <c r="AA389" s="15"/>
      <c r="AC389" s="2"/>
      <c r="AE389" s="15"/>
      <c r="AG389" s="15"/>
      <c r="AJ389" s="2"/>
    </row>
    <row r="390" spans="4:36" s="20" customFormat="1" ht="15">
      <c r="D390" s="2"/>
      <c r="E390" s="2"/>
      <c r="F390" s="2"/>
      <c r="G390" s="2"/>
      <c r="H390" s="2"/>
      <c r="I390" s="2"/>
      <c r="K390" s="2"/>
      <c r="M390" s="15"/>
      <c r="O390" s="15"/>
      <c r="Q390" s="2"/>
      <c r="S390" s="15"/>
      <c r="U390" s="15"/>
      <c r="W390" s="2"/>
      <c r="Y390" s="15"/>
      <c r="AA390" s="15"/>
      <c r="AC390" s="2"/>
      <c r="AE390" s="15"/>
      <c r="AG390" s="15"/>
      <c r="AJ390" s="2"/>
    </row>
    <row r="391" spans="4:36" s="20" customFormat="1" ht="15">
      <c r="D391" s="2"/>
      <c r="E391" s="2"/>
      <c r="F391" s="2"/>
      <c r="G391" s="2"/>
      <c r="H391" s="2"/>
      <c r="I391" s="2"/>
      <c r="K391" s="2"/>
      <c r="M391" s="15"/>
      <c r="O391" s="15"/>
      <c r="Q391" s="2"/>
      <c r="S391" s="15"/>
      <c r="U391" s="15"/>
      <c r="W391" s="2"/>
      <c r="Y391" s="15"/>
      <c r="AA391" s="15"/>
      <c r="AC391" s="2"/>
      <c r="AE391" s="15"/>
      <c r="AG391" s="15"/>
      <c r="AJ391" s="2"/>
    </row>
    <row r="392" spans="4:36" s="20" customFormat="1" ht="15">
      <c r="D392" s="2"/>
      <c r="E392" s="2"/>
      <c r="F392" s="2"/>
      <c r="G392" s="2"/>
      <c r="H392" s="2"/>
      <c r="I392" s="2"/>
      <c r="K392" s="2"/>
      <c r="M392" s="15"/>
      <c r="O392" s="15"/>
      <c r="Q392" s="2"/>
      <c r="S392" s="15"/>
      <c r="U392" s="15"/>
      <c r="W392" s="2"/>
      <c r="Y392" s="15"/>
      <c r="AA392" s="15"/>
      <c r="AC392" s="2"/>
      <c r="AE392" s="15"/>
      <c r="AG392" s="15"/>
      <c r="AJ392" s="2"/>
    </row>
    <row r="393" spans="4:36" s="20" customFormat="1" ht="15">
      <c r="D393" s="2"/>
      <c r="E393" s="2"/>
      <c r="F393" s="2"/>
      <c r="G393" s="2"/>
      <c r="H393" s="2"/>
      <c r="I393" s="2"/>
      <c r="K393" s="2"/>
      <c r="M393" s="15"/>
      <c r="O393" s="15"/>
      <c r="Q393" s="2"/>
      <c r="S393" s="15"/>
      <c r="U393" s="15"/>
      <c r="W393" s="2"/>
      <c r="Y393" s="15"/>
      <c r="AA393" s="15"/>
      <c r="AC393" s="2"/>
      <c r="AE393" s="15"/>
      <c r="AG393" s="15"/>
      <c r="AJ393" s="2"/>
    </row>
    <row r="394" spans="4:36" s="20" customFormat="1" ht="15">
      <c r="D394" s="2"/>
      <c r="E394" s="2"/>
      <c r="F394" s="2"/>
      <c r="G394" s="2"/>
      <c r="H394" s="2"/>
      <c r="I394" s="2"/>
      <c r="K394" s="2"/>
      <c r="M394" s="15"/>
      <c r="O394" s="15"/>
      <c r="Q394" s="2"/>
      <c r="S394" s="15"/>
      <c r="U394" s="15"/>
      <c r="W394" s="2"/>
      <c r="Y394" s="15"/>
      <c r="AA394" s="15"/>
      <c r="AC394" s="2"/>
      <c r="AE394" s="15"/>
      <c r="AG394" s="15"/>
      <c r="AJ394" s="2"/>
    </row>
    <row r="395" spans="4:36" s="20" customFormat="1" ht="15">
      <c r="D395" s="2"/>
      <c r="E395" s="2"/>
      <c r="F395" s="2"/>
      <c r="G395" s="2"/>
      <c r="H395" s="2"/>
      <c r="I395" s="2"/>
      <c r="K395" s="2"/>
      <c r="M395" s="15"/>
      <c r="O395" s="15"/>
      <c r="Q395" s="2"/>
      <c r="S395" s="15"/>
      <c r="U395" s="15"/>
      <c r="W395" s="2"/>
      <c r="Y395" s="15"/>
      <c r="AA395" s="15"/>
      <c r="AC395" s="2"/>
      <c r="AE395" s="15"/>
      <c r="AG395" s="15"/>
      <c r="AJ395" s="2"/>
    </row>
    <row r="396" spans="4:36" s="20" customFormat="1" ht="15">
      <c r="D396" s="2"/>
      <c r="E396" s="2"/>
      <c r="F396" s="2"/>
      <c r="G396" s="2"/>
      <c r="H396" s="2"/>
      <c r="I396" s="2"/>
      <c r="K396" s="2"/>
      <c r="M396" s="15"/>
      <c r="O396" s="15"/>
      <c r="Q396" s="2"/>
      <c r="S396" s="15"/>
      <c r="U396" s="15"/>
      <c r="W396" s="2"/>
      <c r="Y396" s="15"/>
      <c r="AA396" s="15"/>
      <c r="AC396" s="2"/>
      <c r="AE396" s="15"/>
      <c r="AG396" s="15"/>
      <c r="AJ396" s="2"/>
    </row>
    <row r="397" spans="4:36" s="20" customFormat="1" ht="15">
      <c r="D397" s="2"/>
      <c r="E397" s="2"/>
      <c r="F397" s="2"/>
      <c r="G397" s="2"/>
      <c r="H397" s="2"/>
      <c r="I397" s="2"/>
      <c r="K397" s="2"/>
      <c r="M397" s="15"/>
      <c r="O397" s="15"/>
      <c r="Q397" s="2"/>
      <c r="S397" s="15"/>
      <c r="U397" s="15"/>
      <c r="W397" s="2"/>
      <c r="Y397" s="15"/>
      <c r="AA397" s="15"/>
      <c r="AC397" s="2"/>
      <c r="AE397" s="15"/>
      <c r="AG397" s="15"/>
      <c r="AJ397" s="2"/>
    </row>
    <row r="398" spans="4:36" s="20" customFormat="1" ht="15">
      <c r="D398" s="2"/>
      <c r="E398" s="2"/>
      <c r="F398" s="2"/>
      <c r="G398" s="2"/>
      <c r="H398" s="2"/>
      <c r="I398" s="2"/>
      <c r="K398" s="2"/>
      <c r="M398" s="15"/>
      <c r="O398" s="15"/>
      <c r="Q398" s="2"/>
      <c r="S398" s="15"/>
      <c r="U398" s="15"/>
      <c r="W398" s="2"/>
      <c r="Y398" s="15"/>
      <c r="AA398" s="15"/>
      <c r="AC398" s="2"/>
      <c r="AE398" s="15"/>
      <c r="AG398" s="15"/>
      <c r="AJ398" s="2"/>
    </row>
    <row r="399" spans="4:36" s="20" customFormat="1" ht="15">
      <c r="D399" s="2"/>
      <c r="E399" s="2"/>
      <c r="F399" s="2"/>
      <c r="G399" s="2"/>
      <c r="H399" s="2"/>
      <c r="I399" s="2"/>
      <c r="K399" s="2"/>
      <c r="M399" s="15"/>
      <c r="O399" s="15"/>
      <c r="Q399" s="2"/>
      <c r="S399" s="15"/>
      <c r="U399" s="15"/>
      <c r="W399" s="2"/>
      <c r="Y399" s="15"/>
      <c r="AA399" s="15"/>
      <c r="AC399" s="2"/>
      <c r="AE399" s="15"/>
      <c r="AG399" s="15"/>
      <c r="AJ399" s="2"/>
    </row>
    <row r="400" spans="4:36" s="20" customFormat="1" ht="15">
      <c r="D400" s="2"/>
      <c r="E400" s="2"/>
      <c r="F400" s="2"/>
      <c r="G400" s="2"/>
      <c r="H400" s="2"/>
      <c r="I400" s="2"/>
      <c r="K400" s="2"/>
      <c r="M400" s="15"/>
      <c r="O400" s="15"/>
      <c r="Q400" s="2"/>
      <c r="S400" s="15"/>
      <c r="U400" s="15"/>
      <c r="W400" s="2"/>
      <c r="Y400" s="15"/>
      <c r="AA400" s="15"/>
      <c r="AC400" s="2"/>
      <c r="AE400" s="15"/>
      <c r="AG400" s="15"/>
      <c r="AJ400" s="2"/>
    </row>
    <row r="401" spans="4:36" s="20" customFormat="1" ht="15">
      <c r="D401" s="2"/>
      <c r="E401" s="2"/>
      <c r="F401" s="2"/>
      <c r="G401" s="2"/>
      <c r="H401" s="2"/>
      <c r="I401" s="2"/>
      <c r="K401" s="2"/>
      <c r="M401" s="15"/>
      <c r="O401" s="15"/>
      <c r="Q401" s="2"/>
      <c r="S401" s="15"/>
      <c r="U401" s="15"/>
      <c r="W401" s="2"/>
      <c r="Y401" s="15"/>
      <c r="AA401" s="15"/>
      <c r="AC401" s="2"/>
      <c r="AE401" s="15"/>
      <c r="AG401" s="15"/>
      <c r="AJ401" s="2"/>
    </row>
    <row r="402" spans="4:36" s="20" customFormat="1" ht="15">
      <c r="D402" s="2"/>
      <c r="E402" s="2"/>
      <c r="F402" s="2"/>
      <c r="G402" s="2"/>
      <c r="H402" s="2"/>
      <c r="I402" s="2"/>
      <c r="K402" s="2"/>
      <c r="M402" s="15"/>
      <c r="O402" s="15"/>
      <c r="Q402" s="2"/>
      <c r="S402" s="15"/>
      <c r="U402" s="15"/>
      <c r="W402" s="2"/>
      <c r="Y402" s="15"/>
      <c r="AA402" s="15"/>
      <c r="AC402" s="2"/>
      <c r="AE402" s="15"/>
      <c r="AG402" s="15"/>
      <c r="AJ402" s="2"/>
    </row>
    <row r="403" spans="4:36" s="20" customFormat="1" ht="15">
      <c r="D403" s="2"/>
      <c r="E403" s="2"/>
      <c r="F403" s="2"/>
      <c r="G403" s="2"/>
      <c r="H403" s="2"/>
      <c r="I403" s="2"/>
      <c r="K403" s="2"/>
      <c r="M403" s="15"/>
      <c r="O403" s="15"/>
      <c r="Q403" s="2"/>
      <c r="S403" s="15"/>
      <c r="U403" s="15"/>
      <c r="W403" s="2"/>
      <c r="Y403" s="15"/>
      <c r="AA403" s="15"/>
      <c r="AC403" s="2"/>
      <c r="AE403" s="15"/>
      <c r="AG403" s="15"/>
      <c r="AJ403" s="2"/>
    </row>
    <row r="404" spans="4:36" s="20" customFormat="1" ht="15">
      <c r="D404" s="2"/>
      <c r="E404" s="2"/>
      <c r="F404" s="2"/>
      <c r="G404" s="2"/>
      <c r="H404" s="2"/>
      <c r="I404" s="2"/>
      <c r="K404" s="2"/>
      <c r="M404" s="15"/>
      <c r="O404" s="15"/>
      <c r="Q404" s="2"/>
      <c r="S404" s="15"/>
      <c r="U404" s="15"/>
      <c r="W404" s="2"/>
      <c r="Y404" s="15"/>
      <c r="AA404" s="15"/>
      <c r="AC404" s="2"/>
      <c r="AE404" s="15"/>
      <c r="AG404" s="15"/>
      <c r="AJ404" s="2"/>
    </row>
    <row r="405" spans="4:36" s="20" customFormat="1" ht="15">
      <c r="D405" s="2"/>
      <c r="E405" s="2"/>
      <c r="F405" s="2"/>
      <c r="G405" s="2"/>
      <c r="H405" s="2"/>
      <c r="I405" s="2"/>
      <c r="K405" s="2"/>
      <c r="M405" s="15"/>
      <c r="O405" s="15"/>
      <c r="Q405" s="2"/>
      <c r="S405" s="15"/>
      <c r="U405" s="15"/>
      <c r="W405" s="2"/>
      <c r="Y405" s="15"/>
      <c r="AA405" s="15"/>
      <c r="AC405" s="2"/>
      <c r="AE405" s="15"/>
      <c r="AG405" s="15"/>
      <c r="AJ405" s="2"/>
    </row>
    <row r="406" spans="4:36" s="20" customFormat="1" ht="15">
      <c r="D406" s="2"/>
      <c r="E406" s="2"/>
      <c r="F406" s="2"/>
      <c r="G406" s="2"/>
      <c r="H406" s="2"/>
      <c r="I406" s="2"/>
      <c r="K406" s="2"/>
      <c r="M406" s="15"/>
      <c r="O406" s="15"/>
      <c r="Q406" s="2"/>
      <c r="S406" s="15"/>
      <c r="U406" s="15"/>
      <c r="W406" s="2"/>
      <c r="Y406" s="15"/>
      <c r="AA406" s="15"/>
      <c r="AC406" s="2"/>
      <c r="AE406" s="15"/>
      <c r="AG406" s="15"/>
      <c r="AJ406" s="2"/>
    </row>
    <row r="407" spans="4:36" s="20" customFormat="1" ht="15">
      <c r="D407" s="2"/>
      <c r="E407" s="2"/>
      <c r="F407" s="2"/>
      <c r="G407" s="2"/>
      <c r="H407" s="2"/>
      <c r="I407" s="2"/>
      <c r="K407" s="2"/>
      <c r="M407" s="15"/>
      <c r="O407" s="15"/>
      <c r="Q407" s="2"/>
      <c r="S407" s="15"/>
      <c r="U407" s="15"/>
      <c r="W407" s="2"/>
      <c r="Y407" s="15"/>
      <c r="AA407" s="15"/>
      <c r="AC407" s="2"/>
      <c r="AE407" s="15"/>
      <c r="AG407" s="15"/>
      <c r="AJ407" s="2"/>
    </row>
    <row r="408" spans="4:36" s="20" customFormat="1" ht="15">
      <c r="D408" s="2"/>
      <c r="E408" s="2"/>
      <c r="F408" s="2"/>
      <c r="G408" s="2"/>
      <c r="H408" s="2"/>
      <c r="I408" s="2"/>
      <c r="K408" s="2"/>
      <c r="M408" s="15"/>
      <c r="O408" s="15"/>
      <c r="Q408" s="2"/>
      <c r="S408" s="15"/>
      <c r="U408" s="15"/>
      <c r="W408" s="2"/>
      <c r="Y408" s="15"/>
      <c r="AA408" s="15"/>
      <c r="AC408" s="2"/>
      <c r="AE408" s="15"/>
      <c r="AG408" s="15"/>
      <c r="AJ408" s="2"/>
    </row>
    <row r="409" spans="4:36" s="20" customFormat="1" ht="15">
      <c r="D409" s="2"/>
      <c r="E409" s="2"/>
      <c r="F409" s="2"/>
      <c r="G409" s="2"/>
      <c r="H409" s="2"/>
      <c r="I409" s="2"/>
      <c r="K409" s="2"/>
      <c r="M409" s="15"/>
      <c r="O409" s="15"/>
      <c r="Q409" s="2"/>
      <c r="S409" s="15"/>
      <c r="U409" s="15"/>
      <c r="W409" s="2"/>
      <c r="Y409" s="15"/>
      <c r="AA409" s="15"/>
      <c r="AC409" s="2"/>
      <c r="AE409" s="15"/>
      <c r="AG409" s="15"/>
      <c r="AJ409" s="2"/>
    </row>
    <row r="410" spans="4:36" s="20" customFormat="1" ht="15">
      <c r="D410" s="2"/>
      <c r="E410" s="2"/>
      <c r="F410" s="2"/>
      <c r="G410" s="2"/>
      <c r="H410" s="2"/>
      <c r="I410" s="2"/>
      <c r="K410" s="2"/>
      <c r="M410" s="15"/>
      <c r="O410" s="15"/>
      <c r="Q410" s="2"/>
      <c r="S410" s="15"/>
      <c r="U410" s="15"/>
      <c r="W410" s="2"/>
      <c r="Y410" s="15"/>
      <c r="AA410" s="15"/>
      <c r="AC410" s="2"/>
      <c r="AE410" s="15"/>
      <c r="AG410" s="15"/>
      <c r="AJ410" s="2"/>
    </row>
    <row r="411" spans="4:36" s="20" customFormat="1" ht="15">
      <c r="D411" s="2"/>
      <c r="E411" s="2"/>
      <c r="F411" s="2"/>
      <c r="G411" s="2"/>
      <c r="H411" s="2"/>
      <c r="I411" s="2"/>
      <c r="K411" s="2"/>
      <c r="M411" s="15"/>
      <c r="O411" s="15"/>
      <c r="Q411" s="2"/>
      <c r="S411" s="15"/>
      <c r="U411" s="15"/>
      <c r="W411" s="2"/>
      <c r="Y411" s="15"/>
      <c r="AA411" s="15"/>
      <c r="AC411" s="2"/>
      <c r="AE411" s="15"/>
      <c r="AG411" s="15"/>
      <c r="AJ411" s="2"/>
    </row>
    <row r="412" spans="4:36" s="20" customFormat="1" ht="15">
      <c r="D412" s="2"/>
      <c r="E412" s="2"/>
      <c r="F412" s="2"/>
      <c r="G412" s="2"/>
      <c r="H412" s="2"/>
      <c r="I412" s="2"/>
      <c r="K412" s="2"/>
      <c r="M412" s="15"/>
      <c r="O412" s="15"/>
      <c r="Q412" s="2"/>
      <c r="S412" s="15"/>
      <c r="U412" s="15"/>
      <c r="W412" s="2"/>
      <c r="Y412" s="15"/>
      <c r="AA412" s="15"/>
      <c r="AC412" s="2"/>
      <c r="AE412" s="15"/>
      <c r="AG412" s="15"/>
      <c r="AJ412" s="2"/>
    </row>
    <row r="413" spans="4:36" s="20" customFormat="1" ht="15">
      <c r="D413" s="2"/>
      <c r="E413" s="2"/>
      <c r="F413" s="2"/>
      <c r="G413" s="2"/>
      <c r="H413" s="2"/>
      <c r="I413" s="2"/>
      <c r="K413" s="2"/>
      <c r="M413" s="15"/>
      <c r="O413" s="15"/>
      <c r="Q413" s="2"/>
      <c r="S413" s="15"/>
      <c r="U413" s="15"/>
      <c r="W413" s="2"/>
      <c r="Y413" s="15"/>
      <c r="AA413" s="15"/>
      <c r="AC413" s="2"/>
      <c r="AE413" s="15"/>
      <c r="AG413" s="15"/>
      <c r="AJ413" s="2"/>
    </row>
    <row r="414" spans="4:36" s="20" customFormat="1" ht="15">
      <c r="D414" s="2"/>
      <c r="E414" s="2"/>
      <c r="F414" s="2"/>
      <c r="G414" s="2"/>
      <c r="H414" s="2"/>
      <c r="I414" s="2"/>
      <c r="K414" s="2"/>
      <c r="M414" s="15"/>
      <c r="O414" s="15"/>
      <c r="Q414" s="2"/>
      <c r="S414" s="15"/>
      <c r="U414" s="15"/>
      <c r="W414" s="2"/>
      <c r="Y414" s="15"/>
      <c r="AA414" s="15"/>
      <c r="AC414" s="2"/>
      <c r="AE414" s="15"/>
      <c r="AG414" s="15"/>
      <c r="AJ414" s="2"/>
    </row>
    <row r="415" spans="4:36" s="20" customFormat="1" ht="15">
      <c r="D415" s="2"/>
      <c r="E415" s="2"/>
      <c r="F415" s="2"/>
      <c r="G415" s="2"/>
      <c r="H415" s="2"/>
      <c r="I415" s="2"/>
      <c r="K415" s="2"/>
      <c r="M415" s="15"/>
      <c r="O415" s="15"/>
      <c r="Q415" s="2"/>
      <c r="S415" s="15"/>
      <c r="U415" s="15"/>
      <c r="W415" s="2"/>
      <c r="Y415" s="15"/>
      <c r="AA415" s="15"/>
      <c r="AC415" s="2"/>
      <c r="AE415" s="15"/>
      <c r="AG415" s="15"/>
      <c r="AJ415" s="2"/>
    </row>
    <row r="416" spans="4:36" s="20" customFormat="1" ht="15">
      <c r="D416" s="2"/>
      <c r="E416" s="2"/>
      <c r="F416" s="2"/>
      <c r="G416" s="2"/>
      <c r="H416" s="2"/>
      <c r="I416" s="2"/>
      <c r="K416" s="2"/>
      <c r="M416" s="15"/>
      <c r="O416" s="15"/>
      <c r="Q416" s="2"/>
      <c r="S416" s="15"/>
      <c r="U416" s="15"/>
      <c r="W416" s="2"/>
      <c r="Y416" s="15"/>
      <c r="AA416" s="15"/>
      <c r="AC416" s="2"/>
      <c r="AE416" s="15"/>
      <c r="AG416" s="15"/>
      <c r="AJ416" s="2"/>
    </row>
    <row r="417" spans="4:36" s="20" customFormat="1" ht="15">
      <c r="D417" s="2"/>
      <c r="E417" s="2"/>
      <c r="F417" s="2"/>
      <c r="G417" s="2"/>
      <c r="H417" s="2"/>
      <c r="I417" s="2"/>
      <c r="K417" s="2"/>
      <c r="M417" s="15"/>
      <c r="O417" s="15"/>
      <c r="Q417" s="2"/>
      <c r="S417" s="15"/>
      <c r="U417" s="15"/>
      <c r="W417" s="2"/>
      <c r="Y417" s="15"/>
      <c r="AA417" s="15"/>
      <c r="AC417" s="2"/>
      <c r="AE417" s="15"/>
      <c r="AG417" s="15"/>
      <c r="AJ417" s="2"/>
    </row>
    <row r="418" spans="4:36" s="20" customFormat="1" ht="15">
      <c r="D418" s="2"/>
      <c r="E418" s="2"/>
      <c r="F418" s="2"/>
      <c r="G418" s="2"/>
      <c r="H418" s="2"/>
      <c r="I418" s="2"/>
      <c r="K418" s="2"/>
      <c r="M418" s="15"/>
      <c r="O418" s="15"/>
      <c r="Q418" s="2"/>
      <c r="S418" s="15"/>
      <c r="U418" s="15"/>
      <c r="W418" s="2"/>
      <c r="Y418" s="15"/>
      <c r="AA418" s="15"/>
      <c r="AC418" s="2"/>
      <c r="AE418" s="15"/>
      <c r="AG418" s="15"/>
      <c r="AJ418" s="2"/>
    </row>
    <row r="419" spans="4:36" s="20" customFormat="1" ht="15">
      <c r="D419" s="2"/>
      <c r="E419" s="2"/>
      <c r="F419" s="2"/>
      <c r="G419" s="2"/>
      <c r="H419" s="2"/>
      <c r="I419" s="2"/>
      <c r="K419" s="2"/>
      <c r="M419" s="15"/>
      <c r="O419" s="15"/>
      <c r="Q419" s="2"/>
      <c r="S419" s="15"/>
      <c r="U419" s="15"/>
      <c r="W419" s="2"/>
      <c r="Y419" s="15"/>
      <c r="AA419" s="15"/>
      <c r="AC419" s="2"/>
      <c r="AE419" s="15"/>
      <c r="AG419" s="15"/>
      <c r="AJ419" s="2"/>
    </row>
    <row r="420" spans="4:36" s="20" customFormat="1" ht="15">
      <c r="D420" s="2"/>
      <c r="E420" s="2"/>
      <c r="F420" s="2"/>
      <c r="G420" s="2"/>
      <c r="H420" s="2"/>
      <c r="I420" s="2"/>
      <c r="K420" s="2"/>
      <c r="M420" s="15"/>
      <c r="O420" s="15"/>
      <c r="Q420" s="2"/>
      <c r="S420" s="15"/>
      <c r="U420" s="15"/>
      <c r="W420" s="2"/>
      <c r="Y420" s="15"/>
      <c r="AA420" s="15"/>
      <c r="AC420" s="2"/>
      <c r="AE420" s="15"/>
      <c r="AG420" s="15"/>
      <c r="AJ420" s="2"/>
    </row>
    <row r="421" spans="4:36" s="20" customFormat="1" ht="15">
      <c r="D421" s="2"/>
      <c r="E421" s="2"/>
      <c r="F421" s="2"/>
      <c r="G421" s="2"/>
      <c r="H421" s="2"/>
      <c r="I421" s="2"/>
      <c r="K421" s="2"/>
      <c r="M421" s="15"/>
      <c r="O421" s="15"/>
      <c r="Q421" s="2"/>
      <c r="S421" s="15"/>
      <c r="U421" s="15"/>
      <c r="W421" s="2"/>
      <c r="Y421" s="15"/>
      <c r="AA421" s="15"/>
      <c r="AC421" s="2"/>
      <c r="AE421" s="15"/>
      <c r="AG421" s="15"/>
      <c r="AJ421" s="2"/>
    </row>
    <row r="422" spans="4:36" s="20" customFormat="1" ht="15">
      <c r="D422" s="2"/>
      <c r="E422" s="2"/>
      <c r="F422" s="2"/>
      <c r="G422" s="2"/>
      <c r="H422" s="2"/>
      <c r="I422" s="2"/>
      <c r="K422" s="2"/>
      <c r="M422" s="15"/>
      <c r="O422" s="15"/>
      <c r="Q422" s="2"/>
      <c r="S422" s="15"/>
      <c r="U422" s="15"/>
      <c r="W422" s="2"/>
      <c r="Y422" s="15"/>
      <c r="AA422" s="15"/>
      <c r="AC422" s="2"/>
      <c r="AE422" s="15"/>
      <c r="AG422" s="15"/>
      <c r="AJ422" s="2"/>
    </row>
    <row r="423" spans="4:36" s="20" customFormat="1" ht="15">
      <c r="D423" s="2"/>
      <c r="E423" s="2"/>
      <c r="F423" s="2"/>
      <c r="G423" s="2"/>
      <c r="H423" s="2"/>
      <c r="I423" s="2"/>
      <c r="K423" s="2"/>
      <c r="M423" s="15"/>
      <c r="O423" s="15"/>
      <c r="Q423" s="2"/>
      <c r="S423" s="15"/>
      <c r="U423" s="15"/>
      <c r="W423" s="2"/>
      <c r="Y423" s="15"/>
      <c r="AA423" s="15"/>
      <c r="AC423" s="2"/>
      <c r="AE423" s="15"/>
      <c r="AG423" s="15"/>
      <c r="AJ423" s="2"/>
    </row>
    <row r="424" spans="4:36" s="20" customFormat="1" ht="15">
      <c r="D424" s="2"/>
      <c r="E424" s="2"/>
      <c r="F424" s="2"/>
      <c r="G424" s="2"/>
      <c r="H424" s="2"/>
      <c r="I424" s="2"/>
      <c r="K424" s="2"/>
      <c r="M424" s="15"/>
      <c r="O424" s="15"/>
      <c r="Q424" s="2"/>
      <c r="S424" s="15"/>
      <c r="U424" s="15"/>
      <c r="W424" s="2"/>
      <c r="Y424" s="15"/>
      <c r="AA424" s="15"/>
      <c r="AC424" s="2"/>
      <c r="AE424" s="15"/>
      <c r="AG424" s="15"/>
      <c r="AJ424" s="2"/>
    </row>
    <row r="425" spans="4:36" s="20" customFormat="1" ht="15">
      <c r="D425" s="2"/>
      <c r="E425" s="2"/>
      <c r="F425" s="2"/>
      <c r="G425" s="2"/>
      <c r="H425" s="2"/>
      <c r="I425" s="2"/>
      <c r="K425" s="2"/>
      <c r="M425" s="15"/>
      <c r="O425" s="15"/>
      <c r="Q425" s="2"/>
      <c r="S425" s="15"/>
      <c r="U425" s="15"/>
      <c r="W425" s="2"/>
      <c r="Y425" s="15"/>
      <c r="AA425" s="15"/>
      <c r="AC425" s="2"/>
      <c r="AE425" s="15"/>
      <c r="AG425" s="15"/>
      <c r="AJ425" s="2"/>
    </row>
    <row r="426" spans="4:36" s="20" customFormat="1" ht="15">
      <c r="D426" s="2"/>
      <c r="E426" s="2"/>
      <c r="F426" s="2"/>
      <c r="G426" s="2"/>
      <c r="H426" s="2"/>
      <c r="I426" s="2"/>
      <c r="K426" s="2"/>
      <c r="M426" s="15"/>
      <c r="O426" s="15"/>
      <c r="Q426" s="2"/>
      <c r="S426" s="15"/>
      <c r="U426" s="15"/>
      <c r="W426" s="2"/>
      <c r="Y426" s="15"/>
      <c r="AA426" s="15"/>
      <c r="AC426" s="2"/>
      <c r="AE426" s="15"/>
      <c r="AG426" s="15"/>
      <c r="AJ426" s="2"/>
    </row>
    <row r="427" spans="4:36" s="20" customFormat="1" ht="15">
      <c r="D427" s="2"/>
      <c r="E427" s="2"/>
      <c r="F427" s="2"/>
      <c r="G427" s="2"/>
      <c r="H427" s="2"/>
      <c r="I427" s="2"/>
      <c r="K427" s="2"/>
      <c r="M427" s="15"/>
      <c r="O427" s="15"/>
      <c r="Q427" s="2"/>
      <c r="S427" s="15"/>
      <c r="U427" s="15"/>
      <c r="W427" s="2"/>
      <c r="Y427" s="15"/>
      <c r="AA427" s="15"/>
      <c r="AC427" s="2"/>
      <c r="AE427" s="15"/>
      <c r="AG427" s="15"/>
      <c r="AJ427" s="2"/>
    </row>
    <row r="428" spans="4:36" s="20" customFormat="1" ht="15">
      <c r="D428" s="2"/>
      <c r="E428" s="2"/>
      <c r="F428" s="2"/>
      <c r="G428" s="2"/>
      <c r="H428" s="2"/>
      <c r="I428" s="2"/>
      <c r="K428" s="2"/>
      <c r="M428" s="15"/>
      <c r="O428" s="15"/>
      <c r="Q428" s="2"/>
      <c r="S428" s="15"/>
      <c r="U428" s="15"/>
      <c r="W428" s="2"/>
      <c r="Y428" s="15"/>
      <c r="AA428" s="15"/>
      <c r="AC428" s="2"/>
      <c r="AE428" s="15"/>
      <c r="AG428" s="15"/>
      <c r="AJ428" s="2"/>
    </row>
    <row r="429" spans="4:36" s="20" customFormat="1" ht="15">
      <c r="D429" s="2"/>
      <c r="E429" s="2"/>
      <c r="F429" s="2"/>
      <c r="G429" s="2"/>
      <c r="H429" s="2"/>
      <c r="I429" s="2"/>
      <c r="K429" s="2"/>
      <c r="M429" s="15"/>
      <c r="O429" s="15"/>
      <c r="Q429" s="2"/>
      <c r="S429" s="15"/>
      <c r="U429" s="15"/>
      <c r="W429" s="2"/>
      <c r="Y429" s="15"/>
      <c r="AA429" s="15"/>
      <c r="AC429" s="2"/>
      <c r="AE429" s="15"/>
      <c r="AG429" s="15"/>
      <c r="AJ429" s="2"/>
    </row>
    <row r="430" spans="4:36" s="20" customFormat="1" ht="15">
      <c r="D430" s="2"/>
      <c r="E430" s="2"/>
      <c r="F430" s="2"/>
      <c r="G430" s="2"/>
      <c r="H430" s="2"/>
      <c r="I430" s="2"/>
      <c r="K430" s="2"/>
      <c r="M430" s="15"/>
      <c r="O430" s="15"/>
      <c r="Q430" s="2"/>
      <c r="S430" s="15"/>
      <c r="U430" s="15"/>
      <c r="W430" s="2"/>
      <c r="Y430" s="15"/>
      <c r="AA430" s="15"/>
      <c r="AC430" s="2"/>
      <c r="AE430" s="15"/>
      <c r="AG430" s="15"/>
      <c r="AJ430" s="2"/>
    </row>
    <row r="431" spans="4:36" s="20" customFormat="1" ht="15">
      <c r="D431" s="2"/>
      <c r="E431" s="2"/>
      <c r="F431" s="2"/>
      <c r="G431" s="2"/>
      <c r="H431" s="2"/>
      <c r="I431" s="2"/>
      <c r="K431" s="2"/>
      <c r="M431" s="15"/>
      <c r="O431" s="15"/>
      <c r="Q431" s="2"/>
      <c r="S431" s="15"/>
      <c r="U431" s="15"/>
      <c r="W431" s="2"/>
      <c r="Y431" s="15"/>
      <c r="AA431" s="15"/>
      <c r="AC431" s="2"/>
      <c r="AE431" s="15"/>
      <c r="AG431" s="15"/>
      <c r="AJ431" s="2"/>
    </row>
    <row r="432" spans="4:36" s="20" customFormat="1" ht="15">
      <c r="D432" s="2"/>
      <c r="E432" s="2"/>
      <c r="F432" s="2"/>
      <c r="G432" s="2"/>
      <c r="H432" s="2"/>
      <c r="I432" s="2"/>
      <c r="K432" s="2"/>
      <c r="M432" s="15"/>
      <c r="O432" s="15"/>
      <c r="Q432" s="2"/>
      <c r="S432" s="15"/>
      <c r="U432" s="15"/>
      <c r="W432" s="2"/>
      <c r="Y432" s="15"/>
      <c r="AA432" s="15"/>
      <c r="AC432" s="2"/>
      <c r="AE432" s="15"/>
      <c r="AG432" s="15"/>
      <c r="AJ432" s="2"/>
    </row>
    <row r="433" spans="4:36" s="20" customFormat="1" ht="15">
      <c r="D433" s="2"/>
      <c r="E433" s="2"/>
      <c r="F433" s="2"/>
      <c r="G433" s="2"/>
      <c r="H433" s="2"/>
      <c r="I433" s="2"/>
      <c r="K433" s="2"/>
      <c r="M433" s="15"/>
      <c r="O433" s="15"/>
      <c r="Q433" s="2"/>
      <c r="S433" s="15"/>
      <c r="U433" s="15"/>
      <c r="W433" s="2"/>
      <c r="Y433" s="15"/>
      <c r="AA433" s="15"/>
      <c r="AC433" s="2"/>
      <c r="AE433" s="15"/>
      <c r="AG433" s="15"/>
      <c r="AJ433" s="2"/>
    </row>
    <row r="434" spans="4:36" s="20" customFormat="1" ht="15">
      <c r="D434" s="2"/>
      <c r="E434" s="2"/>
      <c r="F434" s="2"/>
      <c r="G434" s="2"/>
      <c r="H434" s="2"/>
      <c r="I434" s="2"/>
      <c r="K434" s="2"/>
      <c r="M434" s="15"/>
      <c r="O434" s="15"/>
      <c r="Q434" s="2"/>
      <c r="S434" s="15"/>
      <c r="U434" s="15"/>
      <c r="W434" s="2"/>
      <c r="Y434" s="15"/>
      <c r="AA434" s="15"/>
      <c r="AC434" s="2"/>
      <c r="AE434" s="15"/>
      <c r="AG434" s="15"/>
      <c r="AJ434" s="2"/>
    </row>
    <row r="435" spans="4:36" s="20" customFormat="1" ht="15">
      <c r="D435" s="2"/>
      <c r="E435" s="2"/>
      <c r="F435" s="2"/>
      <c r="G435" s="2"/>
      <c r="H435" s="2"/>
      <c r="I435" s="2"/>
      <c r="K435" s="2"/>
      <c r="M435" s="15"/>
      <c r="O435" s="15"/>
      <c r="Q435" s="2"/>
      <c r="S435" s="15"/>
      <c r="U435" s="15"/>
      <c r="W435" s="2"/>
      <c r="Y435" s="15"/>
      <c r="AA435" s="15"/>
      <c r="AC435" s="2"/>
      <c r="AE435" s="15"/>
      <c r="AG435" s="15"/>
      <c r="AJ435" s="2"/>
    </row>
    <row r="436" spans="4:36" s="20" customFormat="1" ht="15">
      <c r="D436" s="2"/>
      <c r="E436" s="2"/>
      <c r="F436" s="2"/>
      <c r="G436" s="2"/>
      <c r="H436" s="2"/>
      <c r="I436" s="2"/>
      <c r="K436" s="2"/>
      <c r="M436" s="15"/>
      <c r="O436" s="15"/>
      <c r="Q436" s="2"/>
      <c r="S436" s="15"/>
      <c r="U436" s="15"/>
      <c r="W436" s="2"/>
      <c r="Y436" s="15"/>
      <c r="AA436" s="15"/>
      <c r="AC436" s="2"/>
      <c r="AE436" s="15"/>
      <c r="AG436" s="15"/>
      <c r="AJ436" s="2"/>
    </row>
    <row r="437" spans="4:36" s="20" customFormat="1" ht="15">
      <c r="D437" s="2"/>
      <c r="E437" s="2"/>
      <c r="F437" s="2"/>
      <c r="G437" s="2"/>
      <c r="H437" s="2"/>
      <c r="I437" s="2"/>
      <c r="K437" s="2"/>
      <c r="M437" s="15"/>
      <c r="O437" s="15"/>
      <c r="Q437" s="2"/>
      <c r="S437" s="15"/>
      <c r="U437" s="15"/>
      <c r="W437" s="2"/>
      <c r="Y437" s="15"/>
      <c r="AA437" s="15"/>
      <c r="AC437" s="2"/>
      <c r="AE437" s="15"/>
      <c r="AG437" s="15"/>
      <c r="AJ437" s="2"/>
    </row>
    <row r="438" spans="4:36" s="20" customFormat="1" ht="15">
      <c r="D438" s="2"/>
      <c r="E438" s="2"/>
      <c r="F438" s="2"/>
      <c r="G438" s="2"/>
      <c r="H438" s="2"/>
      <c r="I438" s="2"/>
      <c r="K438" s="2"/>
      <c r="M438" s="15"/>
      <c r="O438" s="15"/>
      <c r="Q438" s="2"/>
      <c r="S438" s="15"/>
      <c r="U438" s="15"/>
      <c r="W438" s="2"/>
      <c r="Y438" s="15"/>
      <c r="AA438" s="15"/>
      <c r="AC438" s="2"/>
      <c r="AE438" s="15"/>
      <c r="AG438" s="15"/>
      <c r="AJ438" s="2"/>
    </row>
    <row r="439" spans="4:36" s="20" customFormat="1" ht="15">
      <c r="D439" s="2"/>
      <c r="E439" s="2"/>
      <c r="F439" s="2"/>
      <c r="G439" s="2"/>
      <c r="H439" s="2"/>
      <c r="I439" s="2"/>
      <c r="K439" s="2"/>
      <c r="M439" s="15"/>
      <c r="O439" s="15"/>
      <c r="Q439" s="2"/>
      <c r="S439" s="15"/>
      <c r="U439" s="15"/>
      <c r="W439" s="2"/>
      <c r="Y439" s="15"/>
      <c r="AA439" s="15"/>
      <c r="AC439" s="2"/>
      <c r="AE439" s="15"/>
      <c r="AG439" s="15"/>
      <c r="AJ439" s="2"/>
    </row>
    <row r="440" spans="4:36" s="20" customFormat="1" ht="15">
      <c r="D440" s="2"/>
      <c r="E440" s="2"/>
      <c r="F440" s="2"/>
      <c r="G440" s="2"/>
      <c r="H440" s="2"/>
      <c r="I440" s="2"/>
      <c r="K440" s="2"/>
      <c r="M440" s="15"/>
      <c r="O440" s="15"/>
      <c r="Q440" s="2"/>
      <c r="S440" s="15"/>
      <c r="U440" s="15"/>
      <c r="W440" s="2"/>
      <c r="Y440" s="15"/>
      <c r="AA440" s="15"/>
      <c r="AC440" s="2"/>
      <c r="AE440" s="15"/>
      <c r="AG440" s="15"/>
      <c r="AJ440" s="2"/>
    </row>
    <row r="441" spans="4:36" s="20" customFormat="1" ht="15">
      <c r="D441" s="2"/>
      <c r="E441" s="2"/>
      <c r="F441" s="2"/>
      <c r="G441" s="2"/>
      <c r="H441" s="2"/>
      <c r="I441" s="2"/>
      <c r="K441" s="2"/>
      <c r="M441" s="15"/>
      <c r="O441" s="15"/>
      <c r="Q441" s="2"/>
      <c r="S441" s="15"/>
      <c r="U441" s="15"/>
      <c r="W441" s="2"/>
      <c r="Y441" s="15"/>
      <c r="AA441" s="15"/>
      <c r="AC441" s="2"/>
      <c r="AE441" s="15"/>
      <c r="AG441" s="15"/>
      <c r="AJ441" s="2"/>
    </row>
    <row r="442" spans="4:36" s="20" customFormat="1" ht="15">
      <c r="D442" s="2"/>
      <c r="E442" s="2"/>
      <c r="F442" s="2"/>
      <c r="G442" s="2"/>
      <c r="H442" s="2"/>
      <c r="I442" s="2"/>
      <c r="K442" s="2"/>
      <c r="M442" s="15"/>
      <c r="O442" s="15"/>
      <c r="Q442" s="2"/>
      <c r="S442" s="15"/>
      <c r="U442" s="15"/>
      <c r="W442" s="2"/>
      <c r="Y442" s="15"/>
      <c r="AA442" s="15"/>
      <c r="AC442" s="2"/>
      <c r="AE442" s="15"/>
      <c r="AG442" s="15"/>
      <c r="AJ442" s="2"/>
    </row>
    <row r="443" spans="4:36" s="20" customFormat="1" ht="15">
      <c r="D443" s="2"/>
      <c r="E443" s="2"/>
      <c r="F443" s="2"/>
      <c r="G443" s="2"/>
      <c r="H443" s="2"/>
      <c r="I443" s="2"/>
      <c r="K443" s="2"/>
      <c r="M443" s="15"/>
      <c r="O443" s="15"/>
      <c r="Q443" s="2"/>
      <c r="S443" s="15"/>
      <c r="U443" s="15"/>
      <c r="W443" s="2"/>
      <c r="Y443" s="15"/>
      <c r="AA443" s="15"/>
      <c r="AC443" s="2"/>
      <c r="AE443" s="15"/>
      <c r="AG443" s="15"/>
      <c r="AJ443" s="2"/>
    </row>
    <row r="444" spans="4:36" s="20" customFormat="1" ht="15">
      <c r="D444" s="2"/>
      <c r="E444" s="2"/>
      <c r="F444" s="2"/>
      <c r="G444" s="2"/>
      <c r="H444" s="2"/>
      <c r="I444" s="2"/>
      <c r="K444" s="2"/>
      <c r="M444" s="15"/>
      <c r="O444" s="15"/>
      <c r="Q444" s="2"/>
      <c r="S444" s="15"/>
      <c r="U444" s="15"/>
      <c r="W444" s="2"/>
      <c r="Y444" s="15"/>
      <c r="AA444" s="15"/>
      <c r="AC444" s="2"/>
      <c r="AE444" s="15"/>
      <c r="AG444" s="15"/>
      <c r="AJ444" s="2"/>
    </row>
    <row r="445" spans="4:36" s="20" customFormat="1" ht="15">
      <c r="D445" s="2"/>
      <c r="E445" s="2"/>
      <c r="F445" s="2"/>
      <c r="G445" s="2"/>
      <c r="H445" s="2"/>
      <c r="I445" s="2"/>
      <c r="K445" s="2"/>
      <c r="M445" s="15"/>
      <c r="O445" s="15"/>
      <c r="Q445" s="2"/>
      <c r="S445" s="15"/>
      <c r="U445" s="15"/>
      <c r="W445" s="2"/>
      <c r="Y445" s="15"/>
      <c r="AA445" s="15"/>
      <c r="AC445" s="2"/>
      <c r="AE445" s="15"/>
      <c r="AG445" s="15"/>
      <c r="AJ445" s="2"/>
    </row>
    <row r="446" spans="4:36" s="20" customFormat="1" ht="15">
      <c r="D446" s="2"/>
      <c r="E446" s="2"/>
      <c r="F446" s="2"/>
      <c r="G446" s="2"/>
      <c r="H446" s="2"/>
      <c r="I446" s="2"/>
      <c r="K446" s="2"/>
      <c r="M446" s="15"/>
      <c r="O446" s="15"/>
      <c r="Q446" s="2"/>
      <c r="S446" s="15"/>
      <c r="U446" s="15"/>
      <c r="W446" s="2"/>
      <c r="Y446" s="15"/>
      <c r="AA446" s="15"/>
      <c r="AC446" s="2"/>
      <c r="AE446" s="15"/>
      <c r="AG446" s="15"/>
      <c r="AJ446" s="2"/>
    </row>
    <row r="447" spans="4:36" s="20" customFormat="1" ht="15">
      <c r="D447" s="2"/>
      <c r="E447" s="2"/>
      <c r="F447" s="2"/>
      <c r="G447" s="2"/>
      <c r="H447" s="2"/>
      <c r="I447" s="2"/>
      <c r="K447" s="2"/>
      <c r="M447" s="15"/>
      <c r="O447" s="15"/>
      <c r="Q447" s="2"/>
      <c r="S447" s="15"/>
      <c r="U447" s="15"/>
      <c r="W447" s="2"/>
      <c r="Y447" s="15"/>
      <c r="AA447" s="15"/>
      <c r="AC447" s="2"/>
      <c r="AE447" s="15"/>
      <c r="AG447" s="15"/>
      <c r="AJ447" s="2"/>
    </row>
    <row r="448" spans="4:36" s="20" customFormat="1" ht="15">
      <c r="D448" s="2"/>
      <c r="E448" s="2"/>
      <c r="F448" s="2"/>
      <c r="G448" s="2"/>
      <c r="H448" s="2"/>
      <c r="I448" s="2"/>
      <c r="K448" s="2"/>
      <c r="M448" s="15"/>
      <c r="O448" s="15"/>
      <c r="Q448" s="2"/>
      <c r="S448" s="15"/>
      <c r="U448" s="15"/>
      <c r="W448" s="2"/>
      <c r="Y448" s="15"/>
      <c r="AA448" s="15"/>
      <c r="AC448" s="2"/>
      <c r="AE448" s="15"/>
      <c r="AG448" s="15"/>
      <c r="AJ448" s="2"/>
    </row>
    <row r="449" spans="4:36" s="20" customFormat="1" ht="15">
      <c r="D449" s="2"/>
      <c r="E449" s="2"/>
      <c r="F449" s="2"/>
      <c r="G449" s="2"/>
      <c r="H449" s="2"/>
      <c r="I449" s="2"/>
      <c r="K449" s="2"/>
      <c r="M449" s="15"/>
      <c r="O449" s="15"/>
      <c r="Q449" s="2"/>
      <c r="S449" s="15"/>
      <c r="U449" s="15"/>
      <c r="W449" s="2"/>
      <c r="Y449" s="15"/>
      <c r="AA449" s="15"/>
      <c r="AC449" s="2"/>
      <c r="AE449" s="15"/>
      <c r="AG449" s="15"/>
      <c r="AJ449" s="2"/>
    </row>
    <row r="450" spans="4:36" s="20" customFormat="1" ht="15">
      <c r="D450" s="2"/>
      <c r="E450" s="2"/>
      <c r="F450" s="2"/>
      <c r="G450" s="2"/>
      <c r="H450" s="2"/>
      <c r="I450" s="2"/>
      <c r="K450" s="2"/>
      <c r="M450" s="15"/>
      <c r="O450" s="15"/>
      <c r="Q450" s="2"/>
      <c r="S450" s="15"/>
      <c r="U450" s="15"/>
      <c r="W450" s="2"/>
      <c r="Y450" s="15"/>
      <c r="AA450" s="15"/>
      <c r="AC450" s="2"/>
      <c r="AE450" s="15"/>
      <c r="AG450" s="15"/>
      <c r="AJ450" s="2"/>
    </row>
    <row r="451" spans="4:36" s="20" customFormat="1" ht="15">
      <c r="D451" s="2"/>
      <c r="E451" s="2"/>
      <c r="F451" s="2"/>
      <c r="G451" s="2"/>
      <c r="H451" s="2"/>
      <c r="I451" s="2"/>
      <c r="K451" s="2"/>
      <c r="M451" s="15"/>
      <c r="O451" s="15"/>
      <c r="Q451" s="2"/>
      <c r="S451" s="15"/>
      <c r="U451" s="15"/>
      <c r="W451" s="2"/>
      <c r="Y451" s="15"/>
      <c r="AA451" s="15"/>
      <c r="AC451" s="2"/>
      <c r="AE451" s="15"/>
      <c r="AG451" s="15"/>
      <c r="AJ451" s="2"/>
    </row>
    <row r="452" spans="4:36" s="20" customFormat="1" ht="15">
      <c r="D452" s="2"/>
      <c r="E452" s="2"/>
      <c r="F452" s="2"/>
      <c r="G452" s="2"/>
      <c r="H452" s="2"/>
      <c r="I452" s="2"/>
      <c r="K452" s="2"/>
      <c r="M452" s="15"/>
      <c r="O452" s="15"/>
      <c r="Q452" s="2"/>
      <c r="S452" s="15"/>
      <c r="U452" s="15"/>
      <c r="W452" s="2"/>
      <c r="Y452" s="15"/>
      <c r="AA452" s="15"/>
      <c r="AC452" s="2"/>
      <c r="AE452" s="15"/>
      <c r="AG452" s="15"/>
      <c r="AJ452" s="2"/>
    </row>
    <row r="453" spans="4:36" s="20" customFormat="1" ht="15">
      <c r="D453" s="2"/>
      <c r="E453" s="2"/>
      <c r="F453" s="2"/>
      <c r="G453" s="2"/>
      <c r="H453" s="2"/>
      <c r="I453" s="2"/>
      <c r="K453" s="2"/>
      <c r="M453" s="15"/>
      <c r="O453" s="15"/>
      <c r="Q453" s="2"/>
      <c r="S453" s="15"/>
      <c r="U453" s="15"/>
      <c r="W453" s="2"/>
      <c r="Y453" s="15"/>
      <c r="AA453" s="15"/>
      <c r="AC453" s="2"/>
      <c r="AE453" s="15"/>
      <c r="AG453" s="15"/>
      <c r="AJ453" s="2"/>
    </row>
    <row r="454" spans="4:36" s="20" customFormat="1" ht="15">
      <c r="D454" s="2"/>
      <c r="E454" s="2"/>
      <c r="F454" s="2"/>
      <c r="G454" s="2"/>
      <c r="H454" s="2"/>
      <c r="I454" s="2"/>
      <c r="K454" s="2"/>
      <c r="M454" s="15"/>
      <c r="O454" s="15"/>
      <c r="Q454" s="2"/>
      <c r="S454" s="15"/>
      <c r="U454" s="15"/>
      <c r="W454" s="2"/>
      <c r="Y454" s="15"/>
      <c r="AA454" s="15"/>
      <c r="AC454" s="2"/>
      <c r="AE454" s="15"/>
      <c r="AG454" s="15"/>
      <c r="AJ454" s="2"/>
    </row>
    <row r="455" spans="4:36" s="20" customFormat="1" ht="15">
      <c r="D455" s="2"/>
      <c r="E455" s="2"/>
      <c r="F455" s="2"/>
      <c r="G455" s="2"/>
      <c r="H455" s="2"/>
      <c r="I455" s="2"/>
      <c r="K455" s="2"/>
      <c r="M455" s="15"/>
      <c r="O455" s="15"/>
      <c r="Q455" s="2"/>
      <c r="S455" s="15"/>
      <c r="U455" s="15"/>
      <c r="W455" s="2"/>
      <c r="Y455" s="15"/>
      <c r="AA455" s="15"/>
      <c r="AC455" s="2"/>
      <c r="AE455" s="15"/>
      <c r="AG455" s="15"/>
      <c r="AJ455" s="2"/>
    </row>
    <row r="456" spans="4:36" s="20" customFormat="1" ht="15">
      <c r="D456" s="2"/>
      <c r="E456" s="2"/>
      <c r="F456" s="2"/>
      <c r="G456" s="2"/>
      <c r="H456" s="2"/>
      <c r="I456" s="2"/>
      <c r="K456" s="2"/>
      <c r="M456" s="15"/>
      <c r="O456" s="15"/>
      <c r="Q456" s="2"/>
      <c r="S456" s="15"/>
      <c r="U456" s="15"/>
      <c r="W456" s="2"/>
      <c r="Y456" s="15"/>
      <c r="AA456" s="15"/>
      <c r="AC456" s="2"/>
      <c r="AE456" s="15"/>
      <c r="AG456" s="15"/>
      <c r="AJ456" s="2"/>
    </row>
    <row r="457" spans="4:36" s="20" customFormat="1" ht="15">
      <c r="D457" s="2"/>
      <c r="E457" s="2"/>
      <c r="F457" s="2"/>
      <c r="G457" s="2"/>
      <c r="H457" s="2"/>
      <c r="I457" s="2"/>
      <c r="K457" s="2"/>
      <c r="M457" s="15"/>
      <c r="O457" s="15"/>
      <c r="Q457" s="2"/>
      <c r="S457" s="15"/>
      <c r="U457" s="15"/>
      <c r="W457" s="2"/>
      <c r="Y457" s="15"/>
      <c r="AA457" s="15"/>
      <c r="AC457" s="2"/>
      <c r="AE457" s="15"/>
      <c r="AG457" s="15"/>
      <c r="AJ457" s="2"/>
    </row>
    <row r="458" spans="4:36" s="20" customFormat="1" ht="15">
      <c r="D458" s="2"/>
      <c r="E458" s="2"/>
      <c r="F458" s="2"/>
      <c r="G458" s="2"/>
      <c r="H458" s="2"/>
      <c r="I458" s="2"/>
      <c r="K458" s="2"/>
      <c r="M458" s="15"/>
      <c r="O458" s="15"/>
      <c r="Q458" s="2"/>
      <c r="S458" s="15"/>
      <c r="U458" s="15"/>
      <c r="W458" s="2"/>
      <c r="Y458" s="15"/>
      <c r="AA458" s="15"/>
      <c r="AC458" s="2"/>
      <c r="AE458" s="15"/>
      <c r="AG458" s="15"/>
      <c r="AJ458" s="2"/>
    </row>
    <row r="459" spans="4:36" s="20" customFormat="1" ht="15">
      <c r="D459" s="2"/>
      <c r="E459" s="2"/>
      <c r="F459" s="2"/>
      <c r="G459" s="2"/>
      <c r="H459" s="2"/>
      <c r="I459" s="2"/>
      <c r="K459" s="2"/>
      <c r="M459" s="15"/>
      <c r="O459" s="15"/>
      <c r="Q459" s="2"/>
      <c r="S459" s="15"/>
      <c r="U459" s="15"/>
      <c r="W459" s="2"/>
      <c r="Y459" s="15"/>
      <c r="AA459" s="15"/>
      <c r="AC459" s="2"/>
      <c r="AE459" s="15"/>
      <c r="AG459" s="15"/>
      <c r="AJ459" s="2"/>
    </row>
    <row r="460" spans="4:36" s="20" customFormat="1" ht="15">
      <c r="D460" s="2"/>
      <c r="E460" s="2"/>
      <c r="F460" s="2"/>
      <c r="G460" s="2"/>
      <c r="H460" s="2"/>
      <c r="I460" s="2"/>
      <c r="K460" s="2"/>
      <c r="M460" s="15"/>
      <c r="O460" s="15"/>
      <c r="Q460" s="2"/>
      <c r="S460" s="15"/>
      <c r="U460" s="15"/>
      <c r="W460" s="2"/>
      <c r="Y460" s="15"/>
      <c r="AA460" s="15"/>
      <c r="AC460" s="2"/>
      <c r="AE460" s="15"/>
      <c r="AG460" s="15"/>
      <c r="AJ460" s="2"/>
    </row>
    <row r="461" spans="4:36" s="20" customFormat="1" ht="15">
      <c r="D461" s="2"/>
      <c r="E461" s="2"/>
      <c r="F461" s="2"/>
      <c r="G461" s="2"/>
      <c r="H461" s="2"/>
      <c r="I461" s="2"/>
      <c r="K461" s="2"/>
      <c r="M461" s="15"/>
      <c r="O461" s="15"/>
      <c r="Q461" s="2"/>
      <c r="S461" s="15"/>
      <c r="U461" s="15"/>
      <c r="W461" s="2"/>
      <c r="Y461" s="15"/>
      <c r="AA461" s="15"/>
      <c r="AC461" s="2"/>
      <c r="AE461" s="15"/>
      <c r="AG461" s="15"/>
      <c r="AJ461" s="2"/>
    </row>
    <row r="462" spans="4:36" s="20" customFormat="1" ht="15">
      <c r="D462" s="2"/>
      <c r="E462" s="2"/>
      <c r="F462" s="2"/>
      <c r="G462" s="2"/>
      <c r="H462" s="2"/>
      <c r="I462" s="2"/>
      <c r="K462" s="2"/>
      <c r="M462" s="15"/>
      <c r="O462" s="15"/>
      <c r="Q462" s="2"/>
      <c r="S462" s="15"/>
      <c r="U462" s="15"/>
      <c r="W462" s="2"/>
      <c r="Y462" s="15"/>
      <c r="AA462" s="15"/>
      <c r="AC462" s="2"/>
      <c r="AE462" s="15"/>
      <c r="AG462" s="15"/>
      <c r="AJ462" s="2"/>
    </row>
    <row r="463" spans="4:36" s="20" customFormat="1" ht="15">
      <c r="D463" s="2"/>
      <c r="E463" s="2"/>
      <c r="F463" s="2"/>
      <c r="G463" s="2"/>
      <c r="H463" s="2"/>
      <c r="I463" s="2"/>
      <c r="K463" s="2"/>
      <c r="M463" s="15"/>
      <c r="O463" s="15"/>
      <c r="Q463" s="2"/>
      <c r="S463" s="15"/>
      <c r="U463" s="15"/>
      <c r="W463" s="2"/>
      <c r="Y463" s="15"/>
      <c r="AA463" s="15"/>
      <c r="AC463" s="2"/>
      <c r="AE463" s="15"/>
      <c r="AG463" s="15"/>
      <c r="AJ463" s="2"/>
    </row>
    <row r="464" spans="4:36" s="20" customFormat="1" ht="15">
      <c r="D464" s="2"/>
      <c r="E464" s="2"/>
      <c r="F464" s="2"/>
      <c r="G464" s="2"/>
      <c r="H464" s="2"/>
      <c r="I464" s="2"/>
      <c r="K464" s="2"/>
      <c r="M464" s="15"/>
      <c r="O464" s="15"/>
      <c r="Q464" s="2"/>
      <c r="S464" s="15"/>
      <c r="U464" s="15"/>
      <c r="W464" s="2"/>
      <c r="Y464" s="15"/>
      <c r="AA464" s="15"/>
      <c r="AC464" s="2"/>
      <c r="AE464" s="15"/>
      <c r="AG464" s="15"/>
      <c r="AJ464" s="2"/>
    </row>
    <row r="465" spans="4:36" s="20" customFormat="1" ht="15">
      <c r="D465" s="2"/>
      <c r="E465" s="2"/>
      <c r="F465" s="2"/>
      <c r="G465" s="2"/>
      <c r="H465" s="2"/>
      <c r="I465" s="2"/>
      <c r="K465" s="2"/>
      <c r="M465" s="15"/>
      <c r="O465" s="15"/>
      <c r="Q465" s="2"/>
      <c r="S465" s="15"/>
      <c r="U465" s="15"/>
      <c r="W465" s="2"/>
      <c r="Y465" s="15"/>
      <c r="AA465" s="15"/>
      <c r="AC465" s="2"/>
      <c r="AE465" s="15"/>
      <c r="AG465" s="15"/>
      <c r="AJ465" s="2"/>
    </row>
    <row r="466" spans="4:36" s="20" customFormat="1" ht="15">
      <c r="D466" s="2"/>
      <c r="E466" s="2"/>
      <c r="F466" s="2"/>
      <c r="G466" s="2"/>
      <c r="H466" s="2"/>
      <c r="I466" s="2"/>
      <c r="K466" s="2"/>
      <c r="M466" s="15"/>
      <c r="O466" s="15"/>
      <c r="Q466" s="2"/>
      <c r="S466" s="15"/>
      <c r="U466" s="15"/>
      <c r="W466" s="2"/>
      <c r="Y466" s="15"/>
      <c r="AA466" s="15"/>
      <c r="AC466" s="2"/>
      <c r="AE466" s="15"/>
      <c r="AG466" s="15"/>
      <c r="AJ466" s="2"/>
    </row>
    <row r="467" spans="4:36" s="20" customFormat="1" ht="15">
      <c r="D467" s="2"/>
      <c r="E467" s="2"/>
      <c r="F467" s="2"/>
      <c r="G467" s="2"/>
      <c r="H467" s="2"/>
      <c r="I467" s="2"/>
      <c r="K467" s="2"/>
      <c r="M467" s="15"/>
      <c r="O467" s="15"/>
      <c r="Q467" s="2"/>
      <c r="S467" s="15"/>
      <c r="U467" s="15"/>
      <c r="W467" s="2"/>
      <c r="Y467" s="15"/>
      <c r="AA467" s="15"/>
      <c r="AC467" s="2"/>
      <c r="AE467" s="15"/>
      <c r="AG467" s="15"/>
      <c r="AJ467" s="2"/>
    </row>
    <row r="468" spans="4:36" s="20" customFormat="1" ht="15">
      <c r="D468" s="2"/>
      <c r="E468" s="2"/>
      <c r="F468" s="2"/>
      <c r="G468" s="2"/>
      <c r="H468" s="2"/>
      <c r="I468" s="2"/>
      <c r="K468" s="2"/>
      <c r="M468" s="15"/>
      <c r="O468" s="15"/>
      <c r="Q468" s="2"/>
      <c r="S468" s="15"/>
      <c r="U468" s="15"/>
      <c r="W468" s="2"/>
      <c r="Y468" s="15"/>
      <c r="AA468" s="15"/>
      <c r="AC468" s="2"/>
      <c r="AE468" s="15"/>
      <c r="AG468" s="15"/>
      <c r="AJ468" s="2"/>
    </row>
    <row r="469" spans="4:36" s="20" customFormat="1" ht="15">
      <c r="D469" s="2"/>
      <c r="E469" s="2"/>
      <c r="F469" s="2"/>
      <c r="G469" s="2"/>
      <c r="H469" s="2"/>
      <c r="I469" s="2"/>
      <c r="K469" s="2"/>
      <c r="M469" s="15"/>
      <c r="O469" s="15"/>
      <c r="Q469" s="2"/>
      <c r="S469" s="15"/>
      <c r="U469" s="15"/>
      <c r="W469" s="2"/>
      <c r="Y469" s="15"/>
      <c r="AA469" s="15"/>
      <c r="AC469" s="2"/>
      <c r="AE469" s="15"/>
      <c r="AG469" s="15"/>
      <c r="AJ469" s="2"/>
    </row>
    <row r="470" spans="4:36" s="20" customFormat="1" ht="15">
      <c r="D470" s="2"/>
      <c r="E470" s="2"/>
      <c r="F470" s="2"/>
      <c r="G470" s="2"/>
      <c r="H470" s="2"/>
      <c r="I470" s="2"/>
      <c r="K470" s="2"/>
      <c r="M470" s="15"/>
      <c r="O470" s="15"/>
      <c r="Q470" s="2"/>
      <c r="S470" s="15"/>
      <c r="U470" s="15"/>
      <c r="W470" s="2"/>
      <c r="Y470" s="15"/>
      <c r="AA470" s="15"/>
      <c r="AC470" s="2"/>
      <c r="AE470" s="15"/>
      <c r="AG470" s="15"/>
      <c r="AJ470" s="2"/>
    </row>
    <row r="471" spans="4:36" s="20" customFormat="1" ht="15">
      <c r="D471" s="2"/>
      <c r="E471" s="2"/>
      <c r="F471" s="2"/>
      <c r="G471" s="2"/>
      <c r="H471" s="2"/>
      <c r="I471" s="2"/>
      <c r="K471" s="2"/>
      <c r="M471" s="15"/>
      <c r="O471" s="15"/>
      <c r="Q471" s="2"/>
      <c r="S471" s="15"/>
      <c r="U471" s="15"/>
      <c r="W471" s="2"/>
      <c r="Y471" s="15"/>
      <c r="AA471" s="15"/>
      <c r="AC471" s="2"/>
      <c r="AE471" s="15"/>
      <c r="AG471" s="15"/>
      <c r="AJ471" s="2"/>
    </row>
    <row r="472" spans="4:36" s="20" customFormat="1" ht="15">
      <c r="D472" s="2"/>
      <c r="E472" s="2"/>
      <c r="F472" s="2"/>
      <c r="G472" s="2"/>
      <c r="H472" s="2"/>
      <c r="I472" s="2"/>
      <c r="K472" s="2"/>
      <c r="M472" s="15"/>
      <c r="O472" s="15"/>
      <c r="Q472" s="2"/>
      <c r="S472" s="15"/>
      <c r="U472" s="15"/>
      <c r="W472" s="2"/>
      <c r="Y472" s="15"/>
      <c r="AA472" s="15"/>
      <c r="AC472" s="2"/>
      <c r="AE472" s="15"/>
      <c r="AG472" s="15"/>
      <c r="AJ472" s="2"/>
    </row>
    <row r="473" spans="4:36" s="20" customFormat="1" ht="15">
      <c r="D473" s="2"/>
      <c r="E473" s="2"/>
      <c r="F473" s="2"/>
      <c r="G473" s="2"/>
      <c r="H473" s="2"/>
      <c r="I473" s="2"/>
      <c r="K473" s="2"/>
      <c r="M473" s="15"/>
      <c r="O473" s="15"/>
      <c r="Q473" s="2"/>
      <c r="S473" s="15"/>
      <c r="U473" s="15"/>
      <c r="W473" s="2"/>
      <c r="Y473" s="15"/>
      <c r="AA473" s="15"/>
      <c r="AC473" s="2"/>
      <c r="AE473" s="15"/>
      <c r="AG473" s="15"/>
      <c r="AJ473" s="2"/>
    </row>
    <row r="474" spans="4:36" s="20" customFormat="1" ht="15">
      <c r="D474" s="2"/>
      <c r="E474" s="2"/>
      <c r="F474" s="2"/>
      <c r="G474" s="2"/>
      <c r="H474" s="2"/>
      <c r="I474" s="2"/>
      <c r="K474" s="2"/>
      <c r="M474" s="15"/>
      <c r="O474" s="15"/>
      <c r="Q474" s="2"/>
      <c r="S474" s="15"/>
      <c r="U474" s="15"/>
      <c r="W474" s="2"/>
      <c r="Y474" s="15"/>
      <c r="AA474" s="15"/>
      <c r="AC474" s="2"/>
      <c r="AE474" s="15"/>
      <c r="AG474" s="15"/>
      <c r="AJ474" s="2"/>
    </row>
    <row r="475" spans="4:36" s="20" customFormat="1" ht="15">
      <c r="D475" s="2"/>
      <c r="E475" s="2"/>
      <c r="F475" s="2"/>
      <c r="G475" s="2"/>
      <c r="H475" s="2"/>
      <c r="I475" s="2"/>
      <c r="K475" s="2"/>
      <c r="M475" s="15"/>
      <c r="O475" s="15"/>
      <c r="Q475" s="2"/>
      <c r="S475" s="15"/>
      <c r="U475" s="15"/>
      <c r="W475" s="2"/>
      <c r="Y475" s="15"/>
      <c r="AA475" s="15"/>
      <c r="AC475" s="2"/>
      <c r="AE475" s="15"/>
      <c r="AG475" s="15"/>
      <c r="AJ475" s="2"/>
    </row>
    <row r="476" spans="4:36" s="20" customFormat="1" ht="15">
      <c r="D476" s="2"/>
      <c r="E476" s="2"/>
      <c r="F476" s="2"/>
      <c r="G476" s="2"/>
      <c r="H476" s="2"/>
      <c r="I476" s="2"/>
      <c r="K476" s="2"/>
      <c r="M476" s="15"/>
      <c r="O476" s="15"/>
      <c r="Q476" s="2"/>
      <c r="S476" s="15"/>
      <c r="U476" s="15"/>
      <c r="W476" s="2"/>
      <c r="Y476" s="15"/>
      <c r="AA476" s="15"/>
      <c r="AC476" s="2"/>
      <c r="AE476" s="15"/>
      <c r="AG476" s="15"/>
      <c r="AJ476" s="2"/>
    </row>
    <row r="477" spans="4:36" s="20" customFormat="1" ht="15">
      <c r="D477" s="2"/>
      <c r="E477" s="2"/>
      <c r="F477" s="2"/>
      <c r="G477" s="2"/>
      <c r="H477" s="2"/>
      <c r="I477" s="2"/>
      <c r="K477" s="2"/>
      <c r="M477" s="15"/>
      <c r="O477" s="15"/>
      <c r="Q477" s="2"/>
      <c r="S477" s="15"/>
      <c r="U477" s="15"/>
      <c r="W477" s="2"/>
      <c r="Y477" s="15"/>
      <c r="AA477" s="15"/>
      <c r="AC477" s="2"/>
      <c r="AE477" s="15"/>
      <c r="AG477" s="15"/>
      <c r="AJ477" s="2"/>
    </row>
    <row r="478" spans="4:36" s="20" customFormat="1" ht="15">
      <c r="D478" s="2"/>
      <c r="E478" s="2"/>
      <c r="F478" s="2"/>
      <c r="G478" s="2"/>
      <c r="H478" s="2"/>
      <c r="I478" s="2"/>
      <c r="K478" s="2"/>
      <c r="M478" s="15"/>
      <c r="O478" s="15"/>
      <c r="Q478" s="2"/>
      <c r="S478" s="15"/>
      <c r="U478" s="15"/>
      <c r="W478" s="2"/>
      <c r="Y478" s="15"/>
      <c r="AA478" s="15"/>
      <c r="AC478" s="2"/>
      <c r="AE478" s="15"/>
      <c r="AG478" s="15"/>
      <c r="AJ478" s="2"/>
    </row>
    <row r="479" spans="4:36" s="20" customFormat="1" ht="15">
      <c r="D479" s="2"/>
      <c r="E479" s="2"/>
      <c r="F479" s="2"/>
      <c r="G479" s="2"/>
      <c r="H479" s="2"/>
      <c r="I479" s="2"/>
      <c r="K479" s="2"/>
      <c r="M479" s="15"/>
      <c r="O479" s="15"/>
      <c r="Q479" s="2"/>
      <c r="S479" s="15"/>
      <c r="U479" s="15"/>
      <c r="W479" s="2"/>
      <c r="Y479" s="15"/>
      <c r="AA479" s="15"/>
      <c r="AC479" s="2"/>
      <c r="AE479" s="15"/>
      <c r="AG479" s="15"/>
      <c r="AJ479" s="2"/>
    </row>
    <row r="480" spans="4:36" s="20" customFormat="1" ht="15">
      <c r="D480" s="2"/>
      <c r="E480" s="2"/>
      <c r="F480" s="2"/>
      <c r="G480" s="2"/>
      <c r="H480" s="2"/>
      <c r="I480" s="2"/>
      <c r="K480" s="2"/>
      <c r="M480" s="15"/>
      <c r="O480" s="15"/>
      <c r="Q480" s="2"/>
      <c r="S480" s="15"/>
      <c r="U480" s="15"/>
      <c r="W480" s="2"/>
      <c r="Y480" s="15"/>
      <c r="AA480" s="15"/>
      <c r="AC480" s="2"/>
      <c r="AE480" s="15"/>
      <c r="AG480" s="15"/>
      <c r="AJ480" s="2"/>
    </row>
    <row r="481" spans="4:36" s="20" customFormat="1" ht="15">
      <c r="D481" s="2"/>
      <c r="E481" s="2"/>
      <c r="F481" s="2"/>
      <c r="G481" s="2"/>
      <c r="H481" s="2"/>
      <c r="I481" s="2"/>
      <c r="K481" s="2"/>
      <c r="M481" s="15"/>
      <c r="O481" s="15"/>
      <c r="Q481" s="2"/>
      <c r="S481" s="15"/>
      <c r="U481" s="15"/>
      <c r="W481" s="2"/>
      <c r="Y481" s="15"/>
      <c r="AA481" s="15"/>
      <c r="AC481" s="2"/>
      <c r="AE481" s="15"/>
      <c r="AG481" s="15"/>
      <c r="AJ481" s="2"/>
    </row>
    <row r="482" spans="4:36" s="20" customFormat="1" ht="15">
      <c r="D482" s="2"/>
      <c r="E482" s="2"/>
      <c r="F482" s="2"/>
      <c r="G482" s="2"/>
      <c r="H482" s="2"/>
      <c r="I482" s="2"/>
      <c r="K482" s="2"/>
      <c r="M482" s="15"/>
      <c r="O482" s="15"/>
      <c r="Q482" s="2"/>
      <c r="S482" s="15"/>
      <c r="U482" s="15"/>
      <c r="W482" s="2"/>
      <c r="Y482" s="15"/>
      <c r="AA482" s="15"/>
      <c r="AC482" s="2"/>
      <c r="AE482" s="15"/>
      <c r="AG482" s="15"/>
      <c r="AJ482" s="2"/>
    </row>
    <row r="483" spans="4:36" s="20" customFormat="1" ht="15">
      <c r="D483" s="2"/>
      <c r="E483" s="2"/>
      <c r="F483" s="2"/>
      <c r="G483" s="2"/>
      <c r="H483" s="2"/>
      <c r="I483" s="2"/>
      <c r="K483" s="2"/>
      <c r="M483" s="15"/>
      <c r="O483" s="15"/>
      <c r="Q483" s="2"/>
      <c r="S483" s="15"/>
      <c r="U483" s="15"/>
      <c r="W483" s="2"/>
      <c r="Y483" s="15"/>
      <c r="AA483" s="15"/>
      <c r="AC483" s="2"/>
      <c r="AE483" s="15"/>
      <c r="AG483" s="15"/>
      <c r="AJ483" s="2"/>
    </row>
    <row r="484" spans="4:36" s="20" customFormat="1" ht="15">
      <c r="D484" s="2"/>
      <c r="E484" s="2"/>
      <c r="F484" s="2"/>
      <c r="G484" s="2"/>
      <c r="H484" s="2"/>
      <c r="I484" s="2"/>
      <c r="K484" s="2"/>
      <c r="M484" s="15"/>
      <c r="O484" s="15"/>
      <c r="Q484" s="2"/>
      <c r="S484" s="15"/>
      <c r="U484" s="15"/>
      <c r="W484" s="2"/>
      <c r="Y484" s="15"/>
      <c r="AA484" s="15"/>
      <c r="AC484" s="2"/>
      <c r="AE484" s="15"/>
      <c r="AG484" s="15"/>
      <c r="AJ484" s="2"/>
    </row>
    <row r="485" spans="4:36" s="20" customFormat="1" ht="15">
      <c r="D485" s="2"/>
      <c r="E485" s="2"/>
      <c r="F485" s="2"/>
      <c r="G485" s="2"/>
      <c r="H485" s="2"/>
      <c r="I485" s="2"/>
      <c r="K485" s="2"/>
      <c r="M485" s="15"/>
      <c r="O485" s="15"/>
      <c r="Q485" s="2"/>
      <c r="S485" s="15"/>
      <c r="U485" s="15"/>
      <c r="W485" s="2"/>
      <c r="Y485" s="15"/>
      <c r="AA485" s="15"/>
      <c r="AC485" s="2"/>
      <c r="AE485" s="15"/>
      <c r="AG485" s="15"/>
      <c r="AJ485" s="2"/>
    </row>
    <row r="486" spans="4:36" s="20" customFormat="1" ht="15">
      <c r="D486" s="2"/>
      <c r="E486" s="2"/>
      <c r="F486" s="2"/>
      <c r="G486" s="2"/>
      <c r="H486" s="2"/>
      <c r="I486" s="2"/>
      <c r="K486" s="2"/>
      <c r="M486" s="15"/>
      <c r="O486" s="15"/>
      <c r="Q486" s="2"/>
      <c r="S486" s="15"/>
      <c r="U486" s="15"/>
      <c r="W486" s="2"/>
      <c r="Y486" s="15"/>
      <c r="AA486" s="15"/>
      <c r="AC486" s="2"/>
      <c r="AE486" s="15"/>
      <c r="AG486" s="15"/>
      <c r="AJ486" s="2"/>
    </row>
    <row r="487" spans="4:36" s="20" customFormat="1" ht="15">
      <c r="D487" s="2"/>
      <c r="E487" s="2"/>
      <c r="F487" s="2"/>
      <c r="G487" s="2"/>
      <c r="H487" s="2"/>
      <c r="I487" s="2"/>
      <c r="K487" s="2"/>
      <c r="M487" s="15"/>
      <c r="O487" s="15"/>
      <c r="Q487" s="2"/>
      <c r="S487" s="15"/>
      <c r="U487" s="15"/>
      <c r="W487" s="2"/>
      <c r="Y487" s="15"/>
      <c r="AA487" s="15"/>
      <c r="AC487" s="2"/>
      <c r="AE487" s="15"/>
      <c r="AG487" s="15"/>
      <c r="AJ487" s="2"/>
    </row>
    <row r="488" spans="4:36" s="20" customFormat="1" ht="15">
      <c r="D488" s="2"/>
      <c r="E488" s="2"/>
      <c r="F488" s="2"/>
      <c r="G488" s="2"/>
      <c r="H488" s="2"/>
      <c r="I488" s="2"/>
      <c r="K488" s="2"/>
      <c r="M488" s="15"/>
      <c r="O488" s="15"/>
      <c r="Q488" s="2"/>
      <c r="S488" s="15"/>
      <c r="U488" s="15"/>
      <c r="W488" s="2"/>
      <c r="Y488" s="15"/>
      <c r="AA488" s="15"/>
      <c r="AC488" s="2"/>
      <c r="AE488" s="15"/>
      <c r="AG488" s="15"/>
      <c r="AJ488" s="2"/>
    </row>
    <row r="489" spans="4:36" s="20" customFormat="1" ht="15">
      <c r="D489" s="2"/>
      <c r="E489" s="2"/>
      <c r="F489" s="2"/>
      <c r="G489" s="2"/>
      <c r="H489" s="2"/>
      <c r="I489" s="2"/>
      <c r="K489" s="2"/>
      <c r="M489" s="15"/>
      <c r="O489" s="15"/>
      <c r="Q489" s="2"/>
      <c r="S489" s="15"/>
      <c r="U489" s="15"/>
      <c r="W489" s="2"/>
      <c r="Y489" s="15"/>
      <c r="AA489" s="15"/>
      <c r="AC489" s="2"/>
      <c r="AE489" s="15"/>
      <c r="AG489" s="15"/>
      <c r="AJ489" s="2"/>
    </row>
    <row r="490" spans="4:36" s="20" customFormat="1" ht="15">
      <c r="D490" s="2"/>
      <c r="E490" s="2"/>
      <c r="F490" s="2"/>
      <c r="G490" s="2"/>
      <c r="H490" s="2"/>
      <c r="I490" s="2"/>
      <c r="K490" s="2"/>
      <c r="M490" s="15"/>
      <c r="O490" s="15"/>
      <c r="Q490" s="2"/>
      <c r="S490" s="15"/>
      <c r="U490" s="15"/>
      <c r="W490" s="2"/>
      <c r="Y490" s="15"/>
      <c r="AA490" s="15"/>
      <c r="AC490" s="2"/>
      <c r="AE490" s="15"/>
      <c r="AG490" s="15"/>
      <c r="AJ490" s="2"/>
    </row>
    <row r="491" spans="4:36" s="20" customFormat="1" ht="15">
      <c r="D491" s="2"/>
      <c r="E491" s="2"/>
      <c r="F491" s="2"/>
      <c r="G491" s="2"/>
      <c r="H491" s="2"/>
      <c r="I491" s="2"/>
      <c r="K491" s="2"/>
      <c r="M491" s="15"/>
      <c r="O491" s="15"/>
      <c r="Q491" s="2"/>
      <c r="S491" s="15"/>
      <c r="U491" s="15"/>
      <c r="W491" s="2"/>
      <c r="Y491" s="15"/>
      <c r="AA491" s="15"/>
      <c r="AC491" s="2"/>
      <c r="AE491" s="15"/>
      <c r="AG491" s="15"/>
      <c r="AJ491" s="2"/>
    </row>
    <row r="492" spans="4:36" s="20" customFormat="1" ht="15">
      <c r="D492" s="2"/>
      <c r="E492" s="2"/>
      <c r="F492" s="2"/>
      <c r="G492" s="2"/>
      <c r="H492" s="2"/>
      <c r="I492" s="2"/>
      <c r="K492" s="2"/>
      <c r="M492" s="15"/>
      <c r="O492" s="15"/>
      <c r="Q492" s="2"/>
      <c r="S492" s="15"/>
      <c r="U492" s="15"/>
      <c r="W492" s="2"/>
      <c r="Y492" s="15"/>
      <c r="AA492" s="15"/>
      <c r="AC492" s="2"/>
      <c r="AE492" s="15"/>
      <c r="AG492" s="15"/>
      <c r="AJ492" s="2"/>
    </row>
    <row r="493" spans="4:36" s="20" customFormat="1" ht="15">
      <c r="D493" s="2"/>
      <c r="E493" s="2"/>
      <c r="F493" s="2"/>
      <c r="G493" s="2"/>
      <c r="H493" s="2"/>
      <c r="I493" s="2"/>
      <c r="K493" s="2"/>
      <c r="M493" s="15"/>
      <c r="O493" s="15"/>
      <c r="Q493" s="2"/>
      <c r="S493" s="15"/>
      <c r="U493" s="15"/>
      <c r="W493" s="2"/>
      <c r="Y493" s="15"/>
      <c r="AA493" s="15"/>
      <c r="AC493" s="2"/>
      <c r="AE493" s="15"/>
      <c r="AG493" s="15"/>
      <c r="AJ493" s="2"/>
    </row>
    <row r="494" spans="4:36" s="20" customFormat="1" ht="15">
      <c r="D494" s="2"/>
      <c r="E494" s="2"/>
      <c r="F494" s="2"/>
      <c r="G494" s="2"/>
      <c r="H494" s="2"/>
      <c r="I494" s="2"/>
      <c r="K494" s="2"/>
      <c r="M494" s="15"/>
      <c r="O494" s="15"/>
      <c r="Q494" s="2"/>
      <c r="S494" s="15"/>
      <c r="U494" s="15"/>
      <c r="W494" s="2"/>
      <c r="Y494" s="15"/>
      <c r="AA494" s="15"/>
      <c r="AC494" s="2"/>
      <c r="AE494" s="15"/>
      <c r="AG494" s="15"/>
      <c r="AJ494" s="2"/>
    </row>
    <row r="495" spans="4:36" s="20" customFormat="1" ht="15">
      <c r="D495" s="2"/>
      <c r="E495" s="2"/>
      <c r="F495" s="2"/>
      <c r="G495" s="2"/>
      <c r="H495" s="2"/>
      <c r="I495" s="2"/>
      <c r="K495" s="2"/>
      <c r="M495" s="15"/>
      <c r="O495" s="15"/>
      <c r="Q495" s="2"/>
      <c r="S495" s="15"/>
      <c r="U495" s="15"/>
      <c r="W495" s="2"/>
      <c r="Y495" s="15"/>
      <c r="AA495" s="15"/>
      <c r="AC495" s="2"/>
      <c r="AE495" s="15"/>
      <c r="AG495" s="15"/>
      <c r="AJ495" s="2"/>
    </row>
    <row r="496" spans="4:36" s="20" customFormat="1" ht="15">
      <c r="D496" s="2"/>
      <c r="E496" s="2"/>
      <c r="F496" s="2"/>
      <c r="G496" s="2"/>
      <c r="H496" s="2"/>
      <c r="I496" s="2"/>
      <c r="K496" s="2"/>
      <c r="M496" s="15"/>
      <c r="O496" s="15"/>
      <c r="Q496" s="2"/>
      <c r="S496" s="15"/>
      <c r="U496" s="15"/>
      <c r="W496" s="2"/>
      <c r="Y496" s="15"/>
      <c r="AA496" s="15"/>
      <c r="AC496" s="2"/>
      <c r="AE496" s="15"/>
      <c r="AG496" s="15"/>
      <c r="AJ496" s="2"/>
    </row>
    <row r="497" spans="4:36" s="20" customFormat="1" ht="15">
      <c r="D497" s="2"/>
      <c r="E497" s="2"/>
      <c r="F497" s="2"/>
      <c r="G497" s="2"/>
      <c r="H497" s="2"/>
      <c r="I497" s="2"/>
      <c r="K497" s="2"/>
      <c r="M497" s="15"/>
      <c r="O497" s="15"/>
      <c r="Q497" s="2"/>
      <c r="S497" s="15"/>
      <c r="U497" s="15"/>
      <c r="W497" s="2"/>
      <c r="Y497" s="15"/>
      <c r="AA497" s="15"/>
      <c r="AC497" s="2"/>
      <c r="AE497" s="15"/>
      <c r="AG497" s="15"/>
      <c r="AJ497" s="2"/>
    </row>
    <row r="498" spans="4:36" s="20" customFormat="1" ht="15">
      <c r="D498" s="2"/>
      <c r="E498" s="2"/>
      <c r="F498" s="2"/>
      <c r="G498" s="2"/>
      <c r="H498" s="2"/>
      <c r="I498" s="2"/>
      <c r="K498" s="2"/>
      <c r="M498" s="15"/>
      <c r="O498" s="15"/>
      <c r="Q498" s="2"/>
      <c r="S498" s="15"/>
      <c r="U498" s="15"/>
      <c r="W498" s="2"/>
      <c r="Y498" s="15"/>
      <c r="AA498" s="15"/>
      <c r="AC498" s="2"/>
      <c r="AE498" s="15"/>
      <c r="AG498" s="15"/>
      <c r="AJ498" s="2"/>
    </row>
    <row r="499" spans="4:36" s="20" customFormat="1" ht="15">
      <c r="D499" s="2"/>
      <c r="E499" s="2"/>
      <c r="F499" s="2"/>
      <c r="G499" s="2"/>
      <c r="H499" s="2"/>
      <c r="I499" s="2"/>
      <c r="K499" s="2"/>
      <c r="M499" s="15"/>
      <c r="O499" s="15"/>
      <c r="Q499" s="2"/>
      <c r="S499" s="15"/>
      <c r="U499" s="15"/>
      <c r="W499" s="2"/>
      <c r="Y499" s="15"/>
      <c r="AA499" s="15"/>
      <c r="AC499" s="2"/>
      <c r="AE499" s="15"/>
      <c r="AG499" s="15"/>
      <c r="AJ499" s="2"/>
    </row>
    <row r="500" spans="4:36" s="20" customFormat="1" ht="15">
      <c r="D500" s="2"/>
      <c r="E500" s="2"/>
      <c r="F500" s="2"/>
      <c r="G500" s="2"/>
      <c r="H500" s="2"/>
      <c r="I500" s="2"/>
      <c r="K500" s="2"/>
      <c r="M500" s="15"/>
      <c r="O500" s="15"/>
      <c r="Q500" s="2"/>
      <c r="S500" s="15"/>
      <c r="U500" s="15"/>
      <c r="W500" s="2"/>
      <c r="Y500" s="15"/>
      <c r="AA500" s="15"/>
      <c r="AC500" s="2"/>
      <c r="AE500" s="15"/>
      <c r="AG500" s="15"/>
      <c r="AJ500" s="2"/>
    </row>
    <row r="501" spans="4:36" s="20" customFormat="1" ht="15">
      <c r="D501" s="2"/>
      <c r="E501" s="2"/>
      <c r="F501" s="2"/>
      <c r="G501" s="2"/>
      <c r="H501" s="2"/>
      <c r="I501" s="2"/>
      <c r="K501" s="2"/>
      <c r="M501" s="15"/>
      <c r="O501" s="15"/>
      <c r="Q501" s="2"/>
      <c r="S501" s="15"/>
      <c r="U501" s="15"/>
      <c r="W501" s="2"/>
      <c r="Y501" s="15"/>
      <c r="AA501" s="15"/>
      <c r="AC501" s="2"/>
      <c r="AE501" s="15"/>
      <c r="AG501" s="15"/>
      <c r="AJ501" s="2"/>
    </row>
    <row r="502" spans="4:36" s="20" customFormat="1" ht="15">
      <c r="D502" s="2"/>
      <c r="E502" s="2"/>
      <c r="F502" s="2"/>
      <c r="G502" s="2"/>
      <c r="H502" s="2"/>
      <c r="I502" s="2"/>
      <c r="K502" s="2"/>
      <c r="M502" s="15"/>
      <c r="O502" s="15"/>
      <c r="Q502" s="2"/>
      <c r="S502" s="15"/>
      <c r="U502" s="15"/>
      <c r="W502" s="2"/>
      <c r="Y502" s="15"/>
      <c r="AA502" s="15"/>
      <c r="AC502" s="2"/>
      <c r="AE502" s="15"/>
      <c r="AG502" s="15"/>
      <c r="AJ502" s="2"/>
    </row>
    <row r="503" spans="4:36" s="20" customFormat="1" ht="15">
      <c r="D503" s="2"/>
      <c r="E503" s="2"/>
      <c r="F503" s="2"/>
      <c r="G503" s="2"/>
      <c r="H503" s="2"/>
      <c r="I503" s="2"/>
      <c r="K503" s="2"/>
      <c r="M503" s="15"/>
      <c r="O503" s="15"/>
      <c r="Q503" s="2"/>
      <c r="S503" s="15"/>
      <c r="U503" s="15"/>
      <c r="W503" s="2"/>
      <c r="Y503" s="15"/>
      <c r="AA503" s="15"/>
      <c r="AC503" s="2"/>
      <c r="AE503" s="15"/>
      <c r="AG503" s="15"/>
      <c r="AJ503" s="2"/>
    </row>
    <row r="504" spans="4:36" s="20" customFormat="1" ht="15">
      <c r="D504" s="2"/>
      <c r="E504" s="2"/>
      <c r="F504" s="2"/>
      <c r="G504" s="2"/>
      <c r="H504" s="2"/>
      <c r="I504" s="2"/>
      <c r="K504" s="2"/>
      <c r="M504" s="15"/>
      <c r="O504" s="15"/>
      <c r="Q504" s="2"/>
      <c r="S504" s="15"/>
      <c r="U504" s="15"/>
      <c r="W504" s="2"/>
      <c r="Y504" s="15"/>
      <c r="AA504" s="15"/>
      <c r="AC504" s="2"/>
      <c r="AE504" s="15"/>
      <c r="AG504" s="15"/>
      <c r="AJ504" s="2"/>
    </row>
    <row r="505" spans="4:36" s="20" customFormat="1" ht="15">
      <c r="D505" s="2"/>
      <c r="E505" s="2"/>
      <c r="F505" s="2"/>
      <c r="G505" s="2"/>
      <c r="H505" s="2"/>
      <c r="I505" s="2"/>
      <c r="K505" s="2"/>
      <c r="M505" s="15"/>
      <c r="O505" s="15"/>
      <c r="Q505" s="2"/>
      <c r="S505" s="15"/>
      <c r="U505" s="15"/>
      <c r="W505" s="2"/>
      <c r="Y505" s="15"/>
      <c r="AA505" s="15"/>
      <c r="AC505" s="2"/>
      <c r="AE505" s="15"/>
      <c r="AG505" s="15"/>
      <c r="AJ505" s="2"/>
    </row>
    <row r="506" spans="4:36" s="20" customFormat="1" ht="15">
      <c r="D506" s="2"/>
      <c r="E506" s="2"/>
      <c r="F506" s="2"/>
      <c r="G506" s="2"/>
      <c r="H506" s="2"/>
      <c r="I506" s="2"/>
      <c r="K506" s="2"/>
      <c r="M506" s="15"/>
      <c r="O506" s="15"/>
      <c r="Q506" s="2"/>
      <c r="S506" s="15"/>
      <c r="U506" s="15"/>
      <c r="W506" s="2"/>
      <c r="Y506" s="15"/>
      <c r="AA506" s="15"/>
      <c r="AC506" s="2"/>
      <c r="AE506" s="15"/>
      <c r="AG506" s="15"/>
      <c r="AJ506" s="2"/>
    </row>
    <row r="507" spans="4:36" s="20" customFormat="1" ht="15">
      <c r="D507" s="2"/>
      <c r="E507" s="2"/>
      <c r="F507" s="2"/>
      <c r="G507" s="2"/>
      <c r="H507" s="2"/>
      <c r="I507" s="2"/>
      <c r="K507" s="2"/>
      <c r="M507" s="15"/>
      <c r="O507" s="15"/>
      <c r="Q507" s="2"/>
      <c r="S507" s="15"/>
      <c r="U507" s="15"/>
      <c r="W507" s="2"/>
      <c r="Y507" s="15"/>
      <c r="AA507" s="15"/>
      <c r="AC507" s="2"/>
      <c r="AE507" s="15"/>
      <c r="AG507" s="15"/>
      <c r="AJ507" s="2"/>
    </row>
    <row r="508" spans="4:36" s="20" customFormat="1" ht="15">
      <c r="D508" s="2"/>
      <c r="E508" s="2"/>
      <c r="F508" s="2"/>
      <c r="G508" s="2"/>
      <c r="H508" s="2"/>
      <c r="I508" s="2"/>
      <c r="K508" s="2"/>
      <c r="M508" s="15"/>
      <c r="O508" s="15"/>
      <c r="Q508" s="2"/>
      <c r="S508" s="15"/>
      <c r="U508" s="15"/>
      <c r="W508" s="2"/>
      <c r="Y508" s="15"/>
      <c r="AA508" s="15"/>
      <c r="AC508" s="2"/>
      <c r="AE508" s="15"/>
      <c r="AG508" s="15"/>
      <c r="AJ508" s="2"/>
    </row>
    <row r="509" spans="4:36" s="20" customFormat="1" ht="15">
      <c r="D509" s="2"/>
      <c r="E509" s="2"/>
      <c r="F509" s="2"/>
      <c r="G509" s="2"/>
      <c r="H509" s="2"/>
      <c r="I509" s="2"/>
      <c r="K509" s="2"/>
      <c r="M509" s="15"/>
      <c r="O509" s="15"/>
      <c r="Q509" s="2"/>
      <c r="S509" s="15"/>
      <c r="U509" s="15"/>
      <c r="W509" s="2"/>
      <c r="Y509" s="15"/>
      <c r="AA509" s="15"/>
      <c r="AC509" s="2"/>
      <c r="AE509" s="15"/>
      <c r="AG509" s="15"/>
      <c r="AJ509" s="2"/>
    </row>
    <row r="510" spans="4:36" s="20" customFormat="1" ht="15">
      <c r="D510" s="2"/>
      <c r="E510" s="2"/>
      <c r="F510" s="2"/>
      <c r="G510" s="2"/>
      <c r="H510" s="2"/>
      <c r="I510" s="2"/>
      <c r="K510" s="2"/>
      <c r="M510" s="15"/>
      <c r="O510" s="15"/>
      <c r="Q510" s="2"/>
      <c r="S510" s="15"/>
      <c r="U510" s="15"/>
      <c r="W510" s="2"/>
      <c r="Y510" s="15"/>
      <c r="AA510" s="15"/>
      <c r="AC510" s="2"/>
      <c r="AE510" s="15"/>
      <c r="AG510" s="15"/>
      <c r="AJ510" s="2"/>
    </row>
    <row r="511" spans="4:36" s="20" customFormat="1" ht="15">
      <c r="D511" s="2"/>
      <c r="E511" s="2"/>
      <c r="F511" s="2"/>
      <c r="G511" s="2"/>
      <c r="H511" s="2"/>
      <c r="I511" s="2"/>
      <c r="K511" s="2"/>
      <c r="M511" s="15"/>
      <c r="O511" s="15"/>
      <c r="Q511" s="2"/>
      <c r="S511" s="15"/>
      <c r="U511" s="15"/>
      <c r="W511" s="2"/>
      <c r="Y511" s="15"/>
      <c r="AA511" s="15"/>
      <c r="AC511" s="2"/>
      <c r="AE511" s="15"/>
      <c r="AG511" s="15"/>
      <c r="AJ511" s="2"/>
    </row>
    <row r="512" spans="4:36" s="20" customFormat="1" ht="15">
      <c r="D512" s="2"/>
      <c r="E512" s="2"/>
      <c r="F512" s="2"/>
      <c r="G512" s="2"/>
      <c r="H512" s="2"/>
      <c r="I512" s="2"/>
      <c r="K512" s="2"/>
      <c r="M512" s="15"/>
      <c r="O512" s="15"/>
      <c r="Q512" s="2"/>
      <c r="S512" s="15"/>
      <c r="U512" s="15"/>
      <c r="W512" s="2"/>
      <c r="Y512" s="15"/>
      <c r="AA512" s="15"/>
      <c r="AC512" s="2"/>
      <c r="AE512" s="15"/>
      <c r="AG512" s="15"/>
      <c r="AJ512" s="2"/>
    </row>
    <row r="513" spans="4:36" s="20" customFormat="1" ht="15">
      <c r="D513" s="2"/>
      <c r="E513" s="2"/>
      <c r="F513" s="2"/>
      <c r="G513" s="2"/>
      <c r="H513" s="2"/>
      <c r="I513" s="2"/>
      <c r="K513" s="2"/>
      <c r="M513" s="15"/>
      <c r="O513" s="15"/>
      <c r="Q513" s="2"/>
      <c r="S513" s="15"/>
      <c r="U513" s="15"/>
      <c r="W513" s="2"/>
      <c r="Y513" s="15"/>
      <c r="AA513" s="15"/>
      <c r="AC513" s="2"/>
      <c r="AE513" s="15"/>
      <c r="AG513" s="15"/>
      <c r="AJ513" s="2"/>
    </row>
    <row r="514" spans="4:36" s="20" customFormat="1" ht="15">
      <c r="D514" s="2"/>
      <c r="E514" s="2"/>
      <c r="F514" s="2"/>
      <c r="G514" s="2"/>
      <c r="H514" s="2"/>
      <c r="I514" s="2"/>
      <c r="K514" s="2"/>
      <c r="M514" s="15"/>
      <c r="O514" s="15"/>
      <c r="Q514" s="2"/>
      <c r="S514" s="15"/>
      <c r="U514" s="15"/>
      <c r="W514" s="2"/>
      <c r="Y514" s="15"/>
      <c r="AA514" s="15"/>
      <c r="AC514" s="2"/>
      <c r="AE514" s="15"/>
      <c r="AG514" s="15"/>
      <c r="AJ514" s="2"/>
    </row>
    <row r="515" spans="4:36" s="20" customFormat="1" ht="15">
      <c r="D515" s="2"/>
      <c r="E515" s="2"/>
      <c r="F515" s="2"/>
      <c r="G515" s="2"/>
      <c r="H515" s="2"/>
      <c r="I515" s="2"/>
      <c r="K515" s="2"/>
      <c r="M515" s="15"/>
      <c r="O515" s="15"/>
      <c r="Q515" s="2"/>
      <c r="S515" s="15"/>
      <c r="U515" s="15"/>
      <c r="W515" s="2"/>
      <c r="Y515" s="15"/>
      <c r="AA515" s="15"/>
      <c r="AC515" s="2"/>
      <c r="AE515" s="15"/>
      <c r="AG515" s="15"/>
      <c r="AJ515" s="2"/>
    </row>
    <row r="516" spans="4:36" s="20" customFormat="1" ht="15">
      <c r="D516" s="2"/>
      <c r="E516" s="2"/>
      <c r="F516" s="2"/>
      <c r="G516" s="2"/>
      <c r="H516" s="2"/>
      <c r="I516" s="2"/>
      <c r="K516" s="2"/>
      <c r="M516" s="15"/>
      <c r="O516" s="15"/>
      <c r="Q516" s="2"/>
      <c r="S516" s="15"/>
      <c r="U516" s="15"/>
      <c r="W516" s="2"/>
      <c r="Y516" s="15"/>
      <c r="AA516" s="15"/>
      <c r="AC516" s="2"/>
      <c r="AE516" s="15"/>
      <c r="AG516" s="15"/>
      <c r="AJ516" s="2"/>
    </row>
    <row r="517" spans="4:36" s="20" customFormat="1" ht="15">
      <c r="D517" s="2"/>
      <c r="E517" s="2"/>
      <c r="F517" s="2"/>
      <c r="G517" s="2"/>
      <c r="H517" s="2"/>
      <c r="I517" s="2"/>
      <c r="K517" s="2"/>
      <c r="M517" s="15"/>
      <c r="O517" s="15"/>
      <c r="Q517" s="2"/>
      <c r="S517" s="15"/>
      <c r="U517" s="15"/>
      <c r="W517" s="2"/>
      <c r="Y517" s="15"/>
      <c r="AA517" s="15"/>
      <c r="AC517" s="2"/>
      <c r="AE517" s="15"/>
      <c r="AG517" s="15"/>
      <c r="AJ517" s="2"/>
    </row>
    <row r="518" spans="4:36" s="20" customFormat="1" ht="15">
      <c r="D518" s="2"/>
      <c r="E518" s="2"/>
      <c r="F518" s="2"/>
      <c r="G518" s="2"/>
      <c r="H518" s="2"/>
      <c r="I518" s="2"/>
      <c r="K518" s="2"/>
      <c r="M518" s="15"/>
      <c r="O518" s="15"/>
      <c r="Q518" s="2"/>
      <c r="S518" s="15"/>
      <c r="U518" s="15"/>
      <c r="W518" s="2"/>
      <c r="Y518" s="15"/>
      <c r="AA518" s="15"/>
      <c r="AC518" s="2"/>
      <c r="AE518" s="15"/>
      <c r="AG518" s="15"/>
      <c r="AJ518" s="2"/>
    </row>
    <row r="519" spans="4:36" s="20" customFormat="1" ht="15">
      <c r="D519" s="2"/>
      <c r="E519" s="2"/>
      <c r="F519" s="2"/>
      <c r="G519" s="2"/>
      <c r="H519" s="2"/>
      <c r="I519" s="2"/>
      <c r="K519" s="2"/>
      <c r="M519" s="15"/>
      <c r="O519" s="15"/>
      <c r="Q519" s="2"/>
      <c r="S519" s="15"/>
      <c r="U519" s="15"/>
      <c r="W519" s="2"/>
      <c r="Y519" s="15"/>
      <c r="AA519" s="15"/>
      <c r="AC519" s="2"/>
      <c r="AE519" s="15"/>
      <c r="AG519" s="15"/>
      <c r="AJ519" s="2"/>
    </row>
    <row r="520" spans="4:36" s="20" customFormat="1" ht="15">
      <c r="D520" s="2"/>
      <c r="E520" s="2"/>
      <c r="F520" s="2"/>
      <c r="G520" s="2"/>
      <c r="H520" s="2"/>
      <c r="I520" s="2"/>
      <c r="K520" s="2"/>
      <c r="M520" s="15"/>
      <c r="O520" s="15"/>
      <c r="Q520" s="2"/>
      <c r="S520" s="15"/>
      <c r="U520" s="15"/>
      <c r="W520" s="2"/>
      <c r="Y520" s="15"/>
      <c r="AA520" s="15"/>
      <c r="AC520" s="2"/>
      <c r="AE520" s="15"/>
      <c r="AG520" s="15"/>
      <c r="AJ520" s="2"/>
    </row>
    <row r="521" spans="4:36" s="20" customFormat="1" ht="15">
      <c r="D521" s="2"/>
      <c r="E521" s="2"/>
      <c r="F521" s="2"/>
      <c r="G521" s="2"/>
      <c r="H521" s="2"/>
      <c r="I521" s="2"/>
      <c r="K521" s="2"/>
      <c r="M521" s="15"/>
      <c r="O521" s="15"/>
      <c r="Q521" s="2"/>
      <c r="S521" s="15"/>
      <c r="U521" s="15"/>
      <c r="W521" s="2"/>
      <c r="Y521" s="15"/>
      <c r="AA521" s="15"/>
      <c r="AC521" s="2"/>
      <c r="AE521" s="15"/>
      <c r="AG521" s="15"/>
      <c r="AJ521" s="2"/>
    </row>
    <row r="522" spans="4:36" s="20" customFormat="1" ht="15">
      <c r="D522" s="2"/>
      <c r="E522" s="2"/>
      <c r="F522" s="2"/>
      <c r="G522" s="2"/>
      <c r="H522" s="2"/>
      <c r="I522" s="2"/>
      <c r="K522" s="2"/>
      <c r="M522" s="15"/>
      <c r="O522" s="15"/>
      <c r="Q522" s="2"/>
      <c r="S522" s="15"/>
      <c r="U522" s="15"/>
      <c r="W522" s="2"/>
      <c r="Y522" s="15"/>
      <c r="AA522" s="15"/>
      <c r="AC522" s="2"/>
      <c r="AE522" s="15"/>
      <c r="AG522" s="15"/>
      <c r="AJ522" s="2"/>
    </row>
    <row r="523" spans="4:36" s="20" customFormat="1" ht="15">
      <c r="D523" s="2"/>
      <c r="E523" s="2"/>
      <c r="F523" s="2"/>
      <c r="G523" s="2"/>
      <c r="H523" s="2"/>
      <c r="I523" s="2"/>
      <c r="K523" s="2"/>
      <c r="M523" s="15"/>
      <c r="O523" s="15"/>
      <c r="Q523" s="2"/>
      <c r="S523" s="15"/>
      <c r="U523" s="15"/>
      <c r="W523" s="2"/>
      <c r="Y523" s="15"/>
      <c r="AA523" s="15"/>
      <c r="AC523" s="2"/>
      <c r="AE523" s="15"/>
      <c r="AG523" s="15"/>
      <c r="AJ523" s="2"/>
    </row>
    <row r="524" spans="4:36" s="20" customFormat="1" ht="15">
      <c r="D524" s="2"/>
      <c r="E524" s="2"/>
      <c r="F524" s="2"/>
      <c r="G524" s="2"/>
      <c r="H524" s="2"/>
      <c r="I524" s="2"/>
      <c r="K524" s="2"/>
      <c r="M524" s="15"/>
      <c r="O524" s="15"/>
      <c r="Q524" s="2"/>
      <c r="S524" s="15"/>
      <c r="U524" s="15"/>
      <c r="W524" s="2"/>
      <c r="Y524" s="15"/>
      <c r="AA524" s="15"/>
      <c r="AC524" s="2"/>
      <c r="AE524" s="15"/>
      <c r="AG524" s="15"/>
      <c r="AJ524" s="2"/>
    </row>
    <row r="525" spans="4:36" s="20" customFormat="1" ht="15">
      <c r="D525" s="2"/>
      <c r="E525" s="2"/>
      <c r="F525" s="2"/>
      <c r="G525" s="2"/>
      <c r="H525" s="2"/>
      <c r="I525" s="2"/>
      <c r="K525" s="2"/>
      <c r="M525" s="15"/>
      <c r="O525" s="15"/>
      <c r="Q525" s="2"/>
      <c r="S525" s="15"/>
      <c r="U525" s="15"/>
      <c r="W525" s="2"/>
      <c r="Y525" s="15"/>
      <c r="AA525" s="15"/>
      <c r="AC525" s="2"/>
      <c r="AE525" s="15"/>
      <c r="AG525" s="15"/>
      <c r="AJ525" s="2"/>
    </row>
    <row r="526" spans="4:36" s="20" customFormat="1" ht="15">
      <c r="D526" s="2"/>
      <c r="E526" s="2"/>
      <c r="F526" s="2"/>
      <c r="G526" s="2"/>
      <c r="H526" s="2"/>
      <c r="I526" s="2"/>
      <c r="K526" s="2"/>
      <c r="M526" s="15"/>
      <c r="O526" s="15"/>
      <c r="Q526" s="2"/>
      <c r="S526" s="15"/>
      <c r="U526" s="15"/>
      <c r="W526" s="2"/>
      <c r="Y526" s="15"/>
      <c r="AA526" s="15"/>
      <c r="AC526" s="2"/>
      <c r="AE526" s="15"/>
      <c r="AG526" s="15"/>
      <c r="AJ526" s="2"/>
    </row>
    <row r="527" spans="4:36" s="20" customFormat="1" ht="15">
      <c r="D527" s="2"/>
      <c r="E527" s="2"/>
      <c r="F527" s="2"/>
      <c r="G527" s="2"/>
      <c r="H527" s="2"/>
      <c r="I527" s="2"/>
      <c r="K527" s="2"/>
      <c r="M527" s="15"/>
      <c r="O527" s="15"/>
      <c r="Q527" s="2"/>
      <c r="S527" s="15"/>
      <c r="U527" s="15"/>
      <c r="W527" s="2"/>
      <c r="Y527" s="15"/>
      <c r="AA527" s="15"/>
      <c r="AC527" s="2"/>
      <c r="AE527" s="15"/>
      <c r="AG527" s="15"/>
      <c r="AJ527" s="2"/>
    </row>
    <row r="528" spans="4:36" s="20" customFormat="1" ht="15">
      <c r="D528" s="2"/>
      <c r="E528" s="2"/>
      <c r="F528" s="2"/>
      <c r="G528" s="2"/>
      <c r="H528" s="2"/>
      <c r="I528" s="2"/>
      <c r="K528" s="2"/>
      <c r="M528" s="15"/>
      <c r="O528" s="15"/>
      <c r="Q528" s="2"/>
      <c r="S528" s="15"/>
      <c r="U528" s="15"/>
      <c r="W528" s="2"/>
      <c r="Y528" s="15"/>
      <c r="AA528" s="15"/>
      <c r="AC528" s="2"/>
      <c r="AE528" s="15"/>
      <c r="AG528" s="15"/>
      <c r="AJ528" s="2"/>
    </row>
    <row r="529" spans="1:36" s="20" customFormat="1" ht="15">
      <c r="D529" s="2"/>
      <c r="E529" s="2"/>
      <c r="F529" s="2"/>
      <c r="G529" s="2"/>
      <c r="H529" s="2"/>
      <c r="I529" s="2"/>
      <c r="K529" s="2"/>
      <c r="M529" s="15"/>
      <c r="O529" s="15"/>
      <c r="Q529" s="2"/>
      <c r="S529" s="15"/>
      <c r="U529" s="15"/>
      <c r="W529" s="2"/>
      <c r="Y529" s="15"/>
      <c r="AA529" s="15"/>
      <c r="AC529" s="2"/>
      <c r="AE529" s="15"/>
      <c r="AG529" s="15"/>
      <c r="AJ529" s="2"/>
    </row>
    <row r="530" spans="1:36" s="20" customFormat="1" ht="15">
      <c r="D530" s="2"/>
      <c r="E530" s="2"/>
      <c r="F530" s="2"/>
      <c r="G530" s="2"/>
      <c r="H530" s="2"/>
      <c r="I530" s="2"/>
      <c r="K530" s="2"/>
      <c r="M530" s="15"/>
      <c r="O530" s="15"/>
      <c r="Q530" s="2"/>
      <c r="S530" s="15"/>
      <c r="U530" s="15"/>
      <c r="W530" s="2"/>
      <c r="Y530" s="15"/>
      <c r="AA530" s="15"/>
      <c r="AC530" s="2"/>
      <c r="AE530" s="15"/>
      <c r="AG530" s="15"/>
      <c r="AJ530" s="2"/>
    </row>
    <row r="531" spans="1:36" s="20" customFormat="1" ht="15">
      <c r="D531" s="2"/>
      <c r="E531" s="2"/>
      <c r="F531" s="2"/>
      <c r="G531" s="2"/>
      <c r="H531" s="2"/>
      <c r="I531" s="2"/>
      <c r="K531" s="2"/>
      <c r="M531" s="15"/>
      <c r="O531" s="15"/>
      <c r="Q531" s="2"/>
      <c r="S531" s="15"/>
      <c r="U531" s="15"/>
      <c r="W531" s="2"/>
      <c r="Y531" s="15"/>
      <c r="AA531" s="15"/>
      <c r="AC531" s="2"/>
      <c r="AE531" s="15"/>
      <c r="AG531" s="15"/>
      <c r="AJ531" s="2"/>
    </row>
    <row r="532" spans="1:36" s="20" customFormat="1" ht="15">
      <c r="D532" s="2"/>
      <c r="E532" s="2"/>
      <c r="F532" s="2"/>
      <c r="G532" s="2"/>
      <c r="H532" s="2"/>
      <c r="I532" s="2"/>
      <c r="K532" s="2"/>
      <c r="M532" s="15"/>
      <c r="O532" s="15"/>
      <c r="Q532" s="2"/>
      <c r="S532" s="15"/>
      <c r="U532" s="15"/>
      <c r="W532" s="2"/>
      <c r="Y532" s="15"/>
      <c r="AA532" s="15"/>
      <c r="AC532" s="2"/>
      <c r="AE532" s="15"/>
      <c r="AG532" s="15"/>
      <c r="AJ532" s="2"/>
    </row>
    <row r="533" spans="1:36" s="20" customFormat="1" ht="15">
      <c r="D533" s="2"/>
      <c r="E533" s="2"/>
      <c r="F533" s="2"/>
      <c r="G533" s="2"/>
      <c r="H533" s="2"/>
      <c r="I533" s="2"/>
      <c r="K533" s="2"/>
      <c r="M533" s="15"/>
      <c r="O533" s="15"/>
      <c r="Q533" s="2"/>
      <c r="S533" s="15"/>
      <c r="U533" s="15"/>
      <c r="W533" s="2"/>
      <c r="Y533" s="15"/>
      <c r="AA533" s="15"/>
      <c r="AC533" s="2"/>
      <c r="AE533" s="15"/>
      <c r="AG533" s="15"/>
      <c r="AJ533" s="2"/>
    </row>
    <row r="534" spans="1:36" s="20" customFormat="1" ht="15">
      <c r="D534" s="2"/>
      <c r="E534" s="2"/>
      <c r="F534" s="2"/>
      <c r="G534" s="2"/>
      <c r="H534" s="2"/>
      <c r="I534" s="2"/>
      <c r="K534" s="2"/>
      <c r="M534" s="15"/>
      <c r="O534" s="15"/>
      <c r="Q534" s="2"/>
      <c r="S534" s="15"/>
      <c r="U534" s="15"/>
      <c r="W534" s="2"/>
      <c r="Y534" s="15"/>
      <c r="AA534" s="15"/>
      <c r="AC534" s="2"/>
      <c r="AE534" s="15"/>
      <c r="AG534" s="15"/>
      <c r="AJ534" s="2"/>
    </row>
    <row r="535" spans="1:36" s="20" customFormat="1" ht="15">
      <c r="D535" s="2"/>
      <c r="E535" s="2"/>
      <c r="F535" s="2"/>
      <c r="G535" s="2"/>
      <c r="H535" s="2"/>
      <c r="I535" s="2"/>
      <c r="K535" s="2"/>
      <c r="M535" s="15"/>
      <c r="O535" s="15"/>
      <c r="Q535" s="2"/>
      <c r="S535" s="15"/>
      <c r="U535" s="15"/>
      <c r="W535" s="2"/>
      <c r="Y535" s="15"/>
      <c r="AA535" s="15"/>
      <c r="AC535" s="2"/>
      <c r="AE535" s="15"/>
      <c r="AG535" s="15"/>
      <c r="AJ535" s="2"/>
    </row>
    <row r="536" spans="1:36" s="20" customFormat="1" ht="15">
      <c r="D536" s="2"/>
      <c r="E536" s="2"/>
      <c r="F536" s="2"/>
      <c r="G536" s="2"/>
      <c r="H536" s="2"/>
      <c r="I536" s="2"/>
      <c r="K536" s="2"/>
      <c r="M536" s="15"/>
      <c r="O536" s="15"/>
      <c r="Q536" s="2"/>
      <c r="S536" s="15"/>
      <c r="U536" s="15"/>
      <c r="W536" s="2"/>
      <c r="Y536" s="15"/>
      <c r="AA536" s="15"/>
      <c r="AC536" s="2"/>
      <c r="AE536" s="15"/>
      <c r="AG536" s="15"/>
      <c r="AJ536" s="2"/>
    </row>
    <row r="537" spans="1:36" s="20" customFormat="1" ht="15">
      <c r="D537" s="2"/>
      <c r="E537" s="2"/>
      <c r="F537" s="2"/>
      <c r="G537" s="2"/>
      <c r="H537" s="2"/>
      <c r="I537" s="2"/>
      <c r="K537" s="2"/>
      <c r="M537" s="15"/>
      <c r="O537" s="15"/>
      <c r="Q537" s="2"/>
      <c r="S537" s="15"/>
      <c r="U537" s="15"/>
      <c r="W537" s="2"/>
      <c r="Y537" s="15"/>
      <c r="AA537" s="15"/>
      <c r="AC537" s="2"/>
      <c r="AE537" s="15"/>
      <c r="AG537" s="15"/>
      <c r="AJ537" s="2"/>
    </row>
    <row r="538" spans="1:36" s="20" customFormat="1">
      <c r="A538" s="2"/>
      <c r="C538" s="2"/>
      <c r="D538" s="2"/>
      <c r="E538" s="2"/>
      <c r="F538" s="2"/>
      <c r="G538" s="2"/>
      <c r="H538" s="2"/>
      <c r="I538" s="2"/>
      <c r="K538" s="2"/>
      <c r="M538" s="2"/>
      <c r="O538" s="2"/>
      <c r="Q538" s="2"/>
      <c r="S538" s="2"/>
      <c r="U538" s="2"/>
      <c r="W538" s="2"/>
      <c r="Y538" s="2"/>
      <c r="AA538" s="2"/>
      <c r="AC538" s="2"/>
      <c r="AE538" s="2"/>
      <c r="AG538" s="2"/>
      <c r="AI538" s="2"/>
      <c r="AJ538" s="2"/>
    </row>
    <row r="539" spans="1:36" s="20" customFormat="1">
      <c r="A539" s="2"/>
      <c r="C539" s="2"/>
      <c r="D539" s="2"/>
      <c r="E539" s="2"/>
      <c r="F539" s="2"/>
      <c r="G539" s="2"/>
      <c r="H539" s="2"/>
      <c r="I539" s="2"/>
      <c r="K539" s="2"/>
      <c r="M539" s="2"/>
      <c r="O539" s="2"/>
      <c r="Q539" s="2"/>
      <c r="S539" s="2"/>
      <c r="U539" s="2"/>
      <c r="W539" s="2"/>
      <c r="Y539" s="2"/>
      <c r="AA539" s="2"/>
      <c r="AC539" s="2"/>
      <c r="AE539" s="2"/>
      <c r="AG539" s="2"/>
      <c r="AI539" s="2"/>
      <c r="AJ539" s="2"/>
    </row>
    <row r="540" spans="1:36" s="20" customFormat="1">
      <c r="A540" s="2"/>
      <c r="C540" s="2"/>
      <c r="D540" s="2"/>
      <c r="E540" s="2"/>
      <c r="F540" s="2"/>
      <c r="G540" s="2"/>
      <c r="H540" s="2"/>
      <c r="I540" s="2"/>
      <c r="K540" s="2"/>
      <c r="M540" s="2"/>
      <c r="O540" s="2"/>
      <c r="Q540" s="2"/>
      <c r="S540" s="2"/>
      <c r="U540" s="2"/>
      <c r="W540" s="2"/>
      <c r="Y540" s="2"/>
      <c r="AA540" s="2"/>
      <c r="AC540" s="2"/>
      <c r="AE540" s="2"/>
      <c r="AG540" s="2"/>
      <c r="AI540" s="2"/>
      <c r="AJ540" s="2"/>
    </row>
    <row r="541" spans="1:36" s="20" customFormat="1">
      <c r="A541" s="2"/>
      <c r="C541" s="2"/>
      <c r="D541" s="2"/>
      <c r="E541" s="2"/>
      <c r="F541" s="2"/>
      <c r="G541" s="2"/>
      <c r="H541" s="2"/>
      <c r="I541" s="2"/>
      <c r="K541" s="2"/>
      <c r="M541" s="2"/>
      <c r="O541" s="2"/>
      <c r="Q541" s="2"/>
      <c r="S541" s="2"/>
      <c r="U541" s="2"/>
      <c r="W541" s="2"/>
      <c r="Y541" s="2"/>
      <c r="AA541" s="2"/>
      <c r="AC541" s="2"/>
      <c r="AE541" s="2"/>
      <c r="AG541" s="2"/>
      <c r="AI541" s="2"/>
      <c r="AJ541" s="2"/>
    </row>
    <row r="542" spans="1:36" s="20" customFormat="1">
      <c r="A542" s="2"/>
      <c r="C542" s="2"/>
      <c r="D542" s="2"/>
      <c r="E542" s="2"/>
      <c r="F542" s="2"/>
      <c r="G542" s="2"/>
      <c r="H542" s="2"/>
      <c r="I542" s="2"/>
      <c r="K542" s="2"/>
      <c r="M542" s="2"/>
      <c r="O542" s="2"/>
      <c r="Q542" s="2"/>
      <c r="S542" s="2"/>
      <c r="U542" s="2"/>
      <c r="W542" s="2"/>
      <c r="Y542" s="2"/>
      <c r="AA542" s="2"/>
      <c r="AC542" s="2"/>
      <c r="AE542" s="2"/>
      <c r="AG542" s="2"/>
      <c r="AI542" s="2"/>
      <c r="AJ542" s="2"/>
    </row>
    <row r="543" spans="1:36" s="20" customFormat="1">
      <c r="A543" s="2"/>
      <c r="C543" s="2"/>
      <c r="D543" s="2"/>
      <c r="E543" s="2"/>
      <c r="F543" s="2"/>
      <c r="G543" s="2"/>
      <c r="H543" s="2"/>
      <c r="I543" s="2"/>
      <c r="K543" s="2"/>
      <c r="M543" s="2"/>
      <c r="O543" s="2"/>
      <c r="Q543" s="2"/>
      <c r="S543" s="2"/>
      <c r="U543" s="2"/>
      <c r="W543" s="2"/>
      <c r="Y543" s="2"/>
      <c r="AA543" s="2"/>
      <c r="AC543" s="2"/>
      <c r="AE543" s="2"/>
      <c r="AG543" s="2"/>
      <c r="AI543" s="2"/>
      <c r="AJ543" s="2"/>
    </row>
    <row r="544" spans="1:36" s="20" customFormat="1">
      <c r="A544" s="2"/>
      <c r="C544" s="2"/>
      <c r="D544" s="2"/>
      <c r="E544" s="2"/>
      <c r="F544" s="2"/>
      <c r="G544" s="2"/>
      <c r="H544" s="2"/>
      <c r="I544" s="2"/>
      <c r="K544" s="2"/>
      <c r="M544" s="2"/>
      <c r="O544" s="2"/>
      <c r="Q544" s="2"/>
      <c r="S544" s="2"/>
      <c r="U544" s="2"/>
      <c r="W544" s="2"/>
      <c r="Y544" s="2"/>
      <c r="AA544" s="2"/>
      <c r="AC544" s="2"/>
      <c r="AE544" s="2"/>
      <c r="AG544" s="2"/>
      <c r="AI544" s="2"/>
      <c r="AJ544" s="2"/>
    </row>
    <row r="545" spans="1:36" s="20" customFormat="1">
      <c r="A545" s="2"/>
      <c r="C545" s="2"/>
      <c r="D545" s="2"/>
      <c r="E545" s="2"/>
      <c r="F545" s="2"/>
      <c r="G545" s="2"/>
      <c r="H545" s="2"/>
      <c r="I545" s="2"/>
      <c r="K545" s="2"/>
      <c r="M545" s="2"/>
      <c r="O545" s="2"/>
      <c r="Q545" s="2"/>
      <c r="S545" s="2"/>
      <c r="U545" s="2"/>
      <c r="W545" s="2"/>
      <c r="Y545" s="2"/>
      <c r="AA545" s="2"/>
      <c r="AC545" s="2"/>
      <c r="AE545" s="2"/>
      <c r="AG545" s="2"/>
      <c r="AI545" s="2"/>
      <c r="AJ545" s="2"/>
    </row>
    <row r="546" spans="1:36" s="20" customFormat="1">
      <c r="A546" s="2"/>
      <c r="C546" s="2"/>
      <c r="D546" s="2"/>
      <c r="E546" s="2"/>
      <c r="F546" s="2"/>
      <c r="G546" s="2"/>
      <c r="H546" s="2"/>
      <c r="I546" s="2"/>
      <c r="K546" s="2"/>
      <c r="M546" s="2"/>
      <c r="O546" s="2"/>
      <c r="Q546" s="2"/>
      <c r="S546" s="2"/>
      <c r="U546" s="2"/>
      <c r="W546" s="2"/>
      <c r="Y546" s="2"/>
      <c r="AA546" s="2"/>
      <c r="AC546" s="2"/>
      <c r="AE546" s="2"/>
      <c r="AG546" s="2"/>
      <c r="AI546" s="2"/>
      <c r="AJ546" s="2"/>
    </row>
    <row r="547" spans="1:36" s="20" customFormat="1">
      <c r="A547" s="2"/>
      <c r="C547" s="2"/>
      <c r="D547" s="2"/>
      <c r="E547" s="2"/>
      <c r="F547" s="2"/>
      <c r="G547" s="2"/>
      <c r="H547" s="2"/>
      <c r="I547" s="2"/>
      <c r="K547" s="2"/>
      <c r="M547" s="2"/>
      <c r="O547" s="2"/>
      <c r="Q547" s="2"/>
      <c r="S547" s="2"/>
      <c r="U547" s="2"/>
      <c r="W547" s="2"/>
      <c r="Y547" s="2"/>
      <c r="AA547" s="2"/>
      <c r="AC547" s="2"/>
      <c r="AE547" s="2"/>
      <c r="AG547" s="2"/>
      <c r="AI547" s="2"/>
      <c r="AJ547" s="2"/>
    </row>
    <row r="548" spans="1:36" s="20" customFormat="1">
      <c r="A548" s="2"/>
      <c r="C548" s="2"/>
      <c r="D548" s="2"/>
      <c r="E548" s="2"/>
      <c r="F548" s="2"/>
      <c r="G548" s="2"/>
      <c r="H548" s="2"/>
      <c r="I548" s="2"/>
      <c r="K548" s="2"/>
      <c r="M548" s="2"/>
      <c r="O548" s="2"/>
      <c r="Q548" s="2"/>
      <c r="S548" s="2"/>
      <c r="U548" s="2"/>
      <c r="W548" s="2"/>
      <c r="Y548" s="2"/>
      <c r="AA548" s="2"/>
      <c r="AC548" s="2"/>
      <c r="AE548" s="2"/>
      <c r="AG548" s="2"/>
      <c r="AI548" s="2"/>
      <c r="AJ548" s="2"/>
    </row>
    <row r="549" spans="1:36" s="20" customFormat="1">
      <c r="A549" s="2"/>
      <c r="C549" s="2"/>
      <c r="D549" s="2"/>
      <c r="E549" s="2"/>
      <c r="F549" s="2"/>
      <c r="G549" s="2"/>
      <c r="H549" s="2"/>
      <c r="I549" s="2"/>
      <c r="K549" s="2"/>
      <c r="M549" s="2"/>
      <c r="O549" s="2"/>
      <c r="Q549" s="2"/>
      <c r="S549" s="2"/>
      <c r="U549" s="2"/>
      <c r="W549" s="2"/>
      <c r="Y549" s="2"/>
      <c r="AA549" s="2"/>
      <c r="AC549" s="2"/>
      <c r="AE549" s="2"/>
      <c r="AG549" s="2"/>
      <c r="AI549" s="2"/>
      <c r="AJ549" s="2"/>
    </row>
    <row r="550" spans="1:36" s="20" customFormat="1">
      <c r="A550" s="2"/>
      <c r="C550" s="2"/>
      <c r="D550" s="2"/>
      <c r="E550" s="2"/>
      <c r="F550" s="2"/>
      <c r="G550" s="2"/>
      <c r="H550" s="2"/>
      <c r="I550" s="2"/>
      <c r="K550" s="2"/>
      <c r="M550" s="2"/>
      <c r="O550" s="2"/>
      <c r="Q550" s="2"/>
      <c r="S550" s="2"/>
      <c r="U550" s="2"/>
      <c r="W550" s="2"/>
      <c r="Y550" s="2"/>
      <c r="AA550" s="2"/>
      <c r="AC550" s="2"/>
      <c r="AE550" s="2"/>
      <c r="AG550" s="2"/>
      <c r="AI550" s="2"/>
      <c r="AJ550" s="2"/>
    </row>
    <row r="551" spans="1:36" s="20" customFormat="1">
      <c r="A551" s="2"/>
      <c r="C551" s="2"/>
      <c r="D551" s="2"/>
      <c r="E551" s="2"/>
      <c r="F551" s="2"/>
      <c r="G551" s="2"/>
      <c r="H551" s="2"/>
      <c r="I551" s="2"/>
      <c r="K551" s="2"/>
      <c r="M551" s="2"/>
      <c r="O551" s="2"/>
      <c r="Q551" s="2"/>
      <c r="S551" s="2"/>
      <c r="U551" s="2"/>
      <c r="W551" s="2"/>
      <c r="Y551" s="2"/>
      <c r="AA551" s="2"/>
      <c r="AC551" s="2"/>
      <c r="AE551" s="2"/>
      <c r="AG551" s="2"/>
      <c r="AI551" s="2"/>
      <c r="AJ551" s="2"/>
    </row>
    <row r="552" spans="1:36" s="20" customFormat="1">
      <c r="A552" s="2"/>
      <c r="C552" s="2"/>
      <c r="D552" s="2"/>
      <c r="E552" s="2"/>
      <c r="F552" s="2"/>
      <c r="G552" s="2"/>
      <c r="H552" s="2"/>
      <c r="I552" s="2"/>
      <c r="K552" s="2"/>
      <c r="M552" s="2"/>
      <c r="O552" s="2"/>
      <c r="Q552" s="2"/>
      <c r="S552" s="2"/>
      <c r="U552" s="2"/>
      <c r="W552" s="2"/>
      <c r="Y552" s="2"/>
      <c r="AA552" s="2"/>
      <c r="AC552" s="2"/>
      <c r="AE552" s="2"/>
      <c r="AG552" s="2"/>
      <c r="AI552" s="2"/>
      <c r="AJ552" s="2"/>
    </row>
    <row r="553" spans="1:36">
      <c r="B553" s="20"/>
    </row>
    <row r="554" spans="1:36">
      <c r="B554" s="20"/>
    </row>
    <row r="555" spans="1:36">
      <c r="B555" s="20"/>
    </row>
    <row r="556" spans="1:36">
      <c r="B556" s="20"/>
    </row>
    <row r="557" spans="1:36">
      <c r="B557" s="20"/>
    </row>
    <row r="558" spans="1:36">
      <c r="B558" s="20"/>
    </row>
    <row r="559" spans="1:36">
      <c r="B559" s="20"/>
    </row>
    <row r="560" spans="1:36">
      <c r="B560" s="20"/>
    </row>
    <row r="561" spans="2:2">
      <c r="B561" s="20"/>
    </row>
    <row r="562" spans="2:2">
      <c r="B562" s="20"/>
    </row>
    <row r="563" spans="2:2">
      <c r="B563" s="20"/>
    </row>
    <row r="564" spans="2:2">
      <c r="B564" s="20"/>
    </row>
    <row r="565" spans="2:2">
      <c r="B565" s="20"/>
    </row>
    <row r="566" spans="2:2">
      <c r="B566" s="20"/>
    </row>
    <row r="567" spans="2:2">
      <c r="B567" s="20"/>
    </row>
    <row r="568" spans="2:2">
      <c r="B568" s="20"/>
    </row>
    <row r="569" spans="2:2">
      <c r="B569" s="20"/>
    </row>
    <row r="570" spans="2:2">
      <c r="B570" s="20"/>
    </row>
    <row r="571" spans="2:2">
      <c r="B571" s="20"/>
    </row>
    <row r="572" spans="2:2">
      <c r="B572" s="20"/>
    </row>
  </sheetData>
  <pageMargins left="0.25" right="0.25" top="0.35" bottom="0.4" header="0.18" footer="0.25"/>
  <pageSetup scale="48" fitToHeight="4" orientation="landscape" errors="blank" horizontalDpi="4294967292" r:id="rId1"/>
  <headerFooter alignWithMargins="0">
    <oddHeader>&amp;CDESIGNATED INFORMATION IS CONFIDENTIAL PER WAC 480-07-160</oddHeader>
    <oddFooter>&amp;L&amp;F - &amp;A&amp;CPrinted &amp;D - &amp;T&amp;RPage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147"/>
  <sheetViews>
    <sheetView showGridLines="0" tabSelected="1" view="pageBreakPreview" zoomScale="60" zoomScaleNormal="100" workbookViewId="0">
      <selection activeCell="AR41" sqref="AR41"/>
    </sheetView>
  </sheetViews>
  <sheetFormatPr defaultRowHeight="12.75"/>
  <cols>
    <col min="1" max="1" width="3.85546875" style="106" customWidth="1"/>
    <col min="2" max="2" width="13.7109375" style="106" customWidth="1"/>
    <col min="3" max="3" width="13" style="106" customWidth="1"/>
    <col min="4" max="4" width="14" style="106" customWidth="1"/>
    <col min="5" max="5" width="11.85546875" style="106" customWidth="1"/>
    <col min="6" max="6" width="15.7109375" style="106" customWidth="1"/>
    <col min="7" max="7" width="13" style="106" customWidth="1"/>
    <col min="8" max="11" width="0.5703125" style="106" customWidth="1"/>
    <col min="12" max="12" width="2" style="106" customWidth="1"/>
    <col min="13" max="256" width="9.140625" style="106"/>
    <col min="257" max="257" width="3.85546875" style="106" customWidth="1"/>
    <col min="258" max="258" width="18.42578125" style="106" customWidth="1"/>
    <col min="259" max="259" width="13" style="106" customWidth="1"/>
    <col min="260" max="260" width="14" style="106" customWidth="1"/>
    <col min="261" max="261" width="11.85546875" style="106" customWidth="1"/>
    <col min="262" max="262" width="15.7109375" style="106" customWidth="1"/>
    <col min="263" max="263" width="13" style="106" customWidth="1"/>
    <col min="264" max="264" width="10.85546875" style="106" customWidth="1"/>
    <col min="265" max="265" width="13.140625" style="106" customWidth="1"/>
    <col min="266" max="266" width="1.7109375" style="106" customWidth="1"/>
    <col min="267" max="267" width="15.7109375" style="106" customWidth="1"/>
    <col min="268" max="268" width="12.85546875" style="106" customWidth="1"/>
    <col min="269" max="512" width="9.140625" style="106"/>
    <col min="513" max="513" width="3.85546875" style="106" customWidth="1"/>
    <col min="514" max="514" width="18.42578125" style="106" customWidth="1"/>
    <col min="515" max="515" width="13" style="106" customWidth="1"/>
    <col min="516" max="516" width="14" style="106" customWidth="1"/>
    <col min="517" max="517" width="11.85546875" style="106" customWidth="1"/>
    <col min="518" max="518" width="15.7109375" style="106" customWidth="1"/>
    <col min="519" max="519" width="13" style="106" customWidth="1"/>
    <col min="520" max="520" width="10.85546875" style="106" customWidth="1"/>
    <col min="521" max="521" width="13.140625" style="106" customWidth="1"/>
    <col min="522" max="522" width="1.7109375" style="106" customWidth="1"/>
    <col min="523" max="523" width="15.7109375" style="106" customWidth="1"/>
    <col min="524" max="524" width="12.85546875" style="106" customWidth="1"/>
    <col min="525" max="768" width="9.140625" style="106"/>
    <col min="769" max="769" width="3.85546875" style="106" customWidth="1"/>
    <col min="770" max="770" width="18.42578125" style="106" customWidth="1"/>
    <col min="771" max="771" width="13" style="106" customWidth="1"/>
    <col min="772" max="772" width="14" style="106" customWidth="1"/>
    <col min="773" max="773" width="11.85546875" style="106" customWidth="1"/>
    <col min="774" max="774" width="15.7109375" style="106" customWidth="1"/>
    <col min="775" max="775" width="13" style="106" customWidth="1"/>
    <col min="776" max="776" width="10.85546875" style="106" customWidth="1"/>
    <col min="777" max="777" width="13.140625" style="106" customWidth="1"/>
    <col min="778" max="778" width="1.7109375" style="106" customWidth="1"/>
    <col min="779" max="779" width="15.7109375" style="106" customWidth="1"/>
    <col min="780" max="780" width="12.85546875" style="106" customWidth="1"/>
    <col min="781" max="1024" width="9.140625" style="106"/>
    <col min="1025" max="1025" width="3.85546875" style="106" customWidth="1"/>
    <col min="1026" max="1026" width="18.42578125" style="106" customWidth="1"/>
    <col min="1027" max="1027" width="13" style="106" customWidth="1"/>
    <col min="1028" max="1028" width="14" style="106" customWidth="1"/>
    <col min="1029" max="1029" width="11.85546875" style="106" customWidth="1"/>
    <col min="1030" max="1030" width="15.7109375" style="106" customWidth="1"/>
    <col min="1031" max="1031" width="13" style="106" customWidth="1"/>
    <col min="1032" max="1032" width="10.85546875" style="106" customWidth="1"/>
    <col min="1033" max="1033" width="13.140625" style="106" customWidth="1"/>
    <col min="1034" max="1034" width="1.7109375" style="106" customWidth="1"/>
    <col min="1035" max="1035" width="15.7109375" style="106" customWidth="1"/>
    <col min="1036" max="1036" width="12.85546875" style="106" customWidth="1"/>
    <col min="1037" max="1280" width="9.140625" style="106"/>
    <col min="1281" max="1281" width="3.85546875" style="106" customWidth="1"/>
    <col min="1282" max="1282" width="18.42578125" style="106" customWidth="1"/>
    <col min="1283" max="1283" width="13" style="106" customWidth="1"/>
    <col min="1284" max="1284" width="14" style="106" customWidth="1"/>
    <col min="1285" max="1285" width="11.85546875" style="106" customWidth="1"/>
    <col min="1286" max="1286" width="15.7109375" style="106" customWidth="1"/>
    <col min="1287" max="1287" width="13" style="106" customWidth="1"/>
    <col min="1288" max="1288" width="10.85546875" style="106" customWidth="1"/>
    <col min="1289" max="1289" width="13.140625" style="106" customWidth="1"/>
    <col min="1290" max="1290" width="1.7109375" style="106" customWidth="1"/>
    <col min="1291" max="1291" width="15.7109375" style="106" customWidth="1"/>
    <col min="1292" max="1292" width="12.85546875" style="106" customWidth="1"/>
    <col min="1293" max="1536" width="9.140625" style="106"/>
    <col min="1537" max="1537" width="3.85546875" style="106" customWidth="1"/>
    <col min="1538" max="1538" width="18.42578125" style="106" customWidth="1"/>
    <col min="1539" max="1539" width="13" style="106" customWidth="1"/>
    <col min="1540" max="1540" width="14" style="106" customWidth="1"/>
    <col min="1541" max="1541" width="11.85546875" style="106" customWidth="1"/>
    <col min="1542" max="1542" width="15.7109375" style="106" customWidth="1"/>
    <col min="1543" max="1543" width="13" style="106" customWidth="1"/>
    <col min="1544" max="1544" width="10.85546875" style="106" customWidth="1"/>
    <col min="1545" max="1545" width="13.140625" style="106" customWidth="1"/>
    <col min="1546" max="1546" width="1.7109375" style="106" customWidth="1"/>
    <col min="1547" max="1547" width="15.7109375" style="106" customWidth="1"/>
    <col min="1548" max="1548" width="12.85546875" style="106" customWidth="1"/>
    <col min="1549" max="1792" width="9.140625" style="106"/>
    <col min="1793" max="1793" width="3.85546875" style="106" customWidth="1"/>
    <col min="1794" max="1794" width="18.42578125" style="106" customWidth="1"/>
    <col min="1795" max="1795" width="13" style="106" customWidth="1"/>
    <col min="1796" max="1796" width="14" style="106" customWidth="1"/>
    <col min="1797" max="1797" width="11.85546875" style="106" customWidth="1"/>
    <col min="1798" max="1798" width="15.7109375" style="106" customWidth="1"/>
    <col min="1799" max="1799" width="13" style="106" customWidth="1"/>
    <col min="1800" max="1800" width="10.85546875" style="106" customWidth="1"/>
    <col min="1801" max="1801" width="13.140625" style="106" customWidth="1"/>
    <col min="1802" max="1802" width="1.7109375" style="106" customWidth="1"/>
    <col min="1803" max="1803" width="15.7109375" style="106" customWidth="1"/>
    <col min="1804" max="1804" width="12.85546875" style="106" customWidth="1"/>
    <col min="1805" max="2048" width="9.140625" style="106"/>
    <col min="2049" max="2049" width="3.85546875" style="106" customWidth="1"/>
    <col min="2050" max="2050" width="18.42578125" style="106" customWidth="1"/>
    <col min="2051" max="2051" width="13" style="106" customWidth="1"/>
    <col min="2052" max="2052" width="14" style="106" customWidth="1"/>
    <col min="2053" max="2053" width="11.85546875" style="106" customWidth="1"/>
    <col min="2054" max="2054" width="15.7109375" style="106" customWidth="1"/>
    <col min="2055" max="2055" width="13" style="106" customWidth="1"/>
    <col min="2056" max="2056" width="10.85546875" style="106" customWidth="1"/>
    <col min="2057" max="2057" width="13.140625" style="106" customWidth="1"/>
    <col min="2058" max="2058" width="1.7109375" style="106" customWidth="1"/>
    <col min="2059" max="2059" width="15.7109375" style="106" customWidth="1"/>
    <col min="2060" max="2060" width="12.85546875" style="106" customWidth="1"/>
    <col min="2061" max="2304" width="9.140625" style="106"/>
    <col min="2305" max="2305" width="3.85546875" style="106" customWidth="1"/>
    <col min="2306" max="2306" width="18.42578125" style="106" customWidth="1"/>
    <col min="2307" max="2307" width="13" style="106" customWidth="1"/>
    <col min="2308" max="2308" width="14" style="106" customWidth="1"/>
    <col min="2309" max="2309" width="11.85546875" style="106" customWidth="1"/>
    <col min="2310" max="2310" width="15.7109375" style="106" customWidth="1"/>
    <col min="2311" max="2311" width="13" style="106" customWidth="1"/>
    <col min="2312" max="2312" width="10.85546875" style="106" customWidth="1"/>
    <col min="2313" max="2313" width="13.140625" style="106" customWidth="1"/>
    <col min="2314" max="2314" width="1.7109375" style="106" customWidth="1"/>
    <col min="2315" max="2315" width="15.7109375" style="106" customWidth="1"/>
    <col min="2316" max="2316" width="12.85546875" style="106" customWidth="1"/>
    <col min="2317" max="2560" width="9.140625" style="106"/>
    <col min="2561" max="2561" width="3.85546875" style="106" customWidth="1"/>
    <col min="2562" max="2562" width="18.42578125" style="106" customWidth="1"/>
    <col min="2563" max="2563" width="13" style="106" customWidth="1"/>
    <col min="2564" max="2564" width="14" style="106" customWidth="1"/>
    <col min="2565" max="2565" width="11.85546875" style="106" customWidth="1"/>
    <col min="2566" max="2566" width="15.7109375" style="106" customWidth="1"/>
    <col min="2567" max="2567" width="13" style="106" customWidth="1"/>
    <col min="2568" max="2568" width="10.85546875" style="106" customWidth="1"/>
    <col min="2569" max="2569" width="13.140625" style="106" customWidth="1"/>
    <col min="2570" max="2570" width="1.7109375" style="106" customWidth="1"/>
    <col min="2571" max="2571" width="15.7109375" style="106" customWidth="1"/>
    <col min="2572" max="2572" width="12.85546875" style="106" customWidth="1"/>
    <col min="2573" max="2816" width="9.140625" style="106"/>
    <col min="2817" max="2817" width="3.85546875" style="106" customWidth="1"/>
    <col min="2818" max="2818" width="18.42578125" style="106" customWidth="1"/>
    <col min="2819" max="2819" width="13" style="106" customWidth="1"/>
    <col min="2820" max="2820" width="14" style="106" customWidth="1"/>
    <col min="2821" max="2821" width="11.85546875" style="106" customWidth="1"/>
    <col min="2822" max="2822" width="15.7109375" style="106" customWidth="1"/>
    <col min="2823" max="2823" width="13" style="106" customWidth="1"/>
    <col min="2824" max="2824" width="10.85546875" style="106" customWidth="1"/>
    <col min="2825" max="2825" width="13.140625" style="106" customWidth="1"/>
    <col min="2826" max="2826" width="1.7109375" style="106" customWidth="1"/>
    <col min="2827" max="2827" width="15.7109375" style="106" customWidth="1"/>
    <col min="2828" max="2828" width="12.85546875" style="106" customWidth="1"/>
    <col min="2829" max="3072" width="9.140625" style="106"/>
    <col min="3073" max="3073" width="3.85546875" style="106" customWidth="1"/>
    <col min="3074" max="3074" width="18.42578125" style="106" customWidth="1"/>
    <col min="3075" max="3075" width="13" style="106" customWidth="1"/>
    <col min="3076" max="3076" width="14" style="106" customWidth="1"/>
    <col min="3077" max="3077" width="11.85546875" style="106" customWidth="1"/>
    <col min="3078" max="3078" width="15.7109375" style="106" customWidth="1"/>
    <col min="3079" max="3079" width="13" style="106" customWidth="1"/>
    <col min="3080" max="3080" width="10.85546875" style="106" customWidth="1"/>
    <col min="3081" max="3081" width="13.140625" style="106" customWidth="1"/>
    <col min="3082" max="3082" width="1.7109375" style="106" customWidth="1"/>
    <col min="3083" max="3083" width="15.7109375" style="106" customWidth="1"/>
    <col min="3084" max="3084" width="12.85546875" style="106" customWidth="1"/>
    <col min="3085" max="3328" width="9.140625" style="106"/>
    <col min="3329" max="3329" width="3.85546875" style="106" customWidth="1"/>
    <col min="3330" max="3330" width="18.42578125" style="106" customWidth="1"/>
    <col min="3331" max="3331" width="13" style="106" customWidth="1"/>
    <col min="3332" max="3332" width="14" style="106" customWidth="1"/>
    <col min="3333" max="3333" width="11.85546875" style="106" customWidth="1"/>
    <col min="3334" max="3334" width="15.7109375" style="106" customWidth="1"/>
    <col min="3335" max="3335" width="13" style="106" customWidth="1"/>
    <col min="3336" max="3336" width="10.85546875" style="106" customWidth="1"/>
    <col min="3337" max="3337" width="13.140625" style="106" customWidth="1"/>
    <col min="3338" max="3338" width="1.7109375" style="106" customWidth="1"/>
    <col min="3339" max="3339" width="15.7109375" style="106" customWidth="1"/>
    <col min="3340" max="3340" width="12.85546875" style="106" customWidth="1"/>
    <col min="3341" max="3584" width="9.140625" style="106"/>
    <col min="3585" max="3585" width="3.85546875" style="106" customWidth="1"/>
    <col min="3586" max="3586" width="18.42578125" style="106" customWidth="1"/>
    <col min="3587" max="3587" width="13" style="106" customWidth="1"/>
    <col min="3588" max="3588" width="14" style="106" customWidth="1"/>
    <col min="3589" max="3589" width="11.85546875" style="106" customWidth="1"/>
    <col min="3590" max="3590" width="15.7109375" style="106" customWidth="1"/>
    <col min="3591" max="3591" width="13" style="106" customWidth="1"/>
    <col min="3592" max="3592" width="10.85546875" style="106" customWidth="1"/>
    <col min="3593" max="3593" width="13.140625" style="106" customWidth="1"/>
    <col min="3594" max="3594" width="1.7109375" style="106" customWidth="1"/>
    <col min="3595" max="3595" width="15.7109375" style="106" customWidth="1"/>
    <col min="3596" max="3596" width="12.85546875" style="106" customWidth="1"/>
    <col min="3597" max="3840" width="9.140625" style="106"/>
    <col min="3841" max="3841" width="3.85546875" style="106" customWidth="1"/>
    <col min="3842" max="3842" width="18.42578125" style="106" customWidth="1"/>
    <col min="3843" max="3843" width="13" style="106" customWidth="1"/>
    <col min="3844" max="3844" width="14" style="106" customWidth="1"/>
    <col min="3845" max="3845" width="11.85546875" style="106" customWidth="1"/>
    <col min="3846" max="3846" width="15.7109375" style="106" customWidth="1"/>
    <col min="3847" max="3847" width="13" style="106" customWidth="1"/>
    <col min="3848" max="3848" width="10.85546875" style="106" customWidth="1"/>
    <col min="3849" max="3849" width="13.140625" style="106" customWidth="1"/>
    <col min="3850" max="3850" width="1.7109375" style="106" customWidth="1"/>
    <col min="3851" max="3851" width="15.7109375" style="106" customWidth="1"/>
    <col min="3852" max="3852" width="12.85546875" style="106" customWidth="1"/>
    <col min="3853" max="4096" width="9.140625" style="106"/>
    <col min="4097" max="4097" width="3.85546875" style="106" customWidth="1"/>
    <col min="4098" max="4098" width="18.42578125" style="106" customWidth="1"/>
    <col min="4099" max="4099" width="13" style="106" customWidth="1"/>
    <col min="4100" max="4100" width="14" style="106" customWidth="1"/>
    <col min="4101" max="4101" width="11.85546875" style="106" customWidth="1"/>
    <col min="4102" max="4102" width="15.7109375" style="106" customWidth="1"/>
    <col min="4103" max="4103" width="13" style="106" customWidth="1"/>
    <col min="4104" max="4104" width="10.85546875" style="106" customWidth="1"/>
    <col min="4105" max="4105" width="13.140625" style="106" customWidth="1"/>
    <col min="4106" max="4106" width="1.7109375" style="106" customWidth="1"/>
    <col min="4107" max="4107" width="15.7109375" style="106" customWidth="1"/>
    <col min="4108" max="4108" width="12.85546875" style="106" customWidth="1"/>
    <col min="4109" max="4352" width="9.140625" style="106"/>
    <col min="4353" max="4353" width="3.85546875" style="106" customWidth="1"/>
    <col min="4354" max="4354" width="18.42578125" style="106" customWidth="1"/>
    <col min="4355" max="4355" width="13" style="106" customWidth="1"/>
    <col min="4356" max="4356" width="14" style="106" customWidth="1"/>
    <col min="4357" max="4357" width="11.85546875" style="106" customWidth="1"/>
    <col min="4358" max="4358" width="15.7109375" style="106" customWidth="1"/>
    <col min="4359" max="4359" width="13" style="106" customWidth="1"/>
    <col min="4360" max="4360" width="10.85546875" style="106" customWidth="1"/>
    <col min="4361" max="4361" width="13.140625" style="106" customWidth="1"/>
    <col min="4362" max="4362" width="1.7109375" style="106" customWidth="1"/>
    <col min="4363" max="4363" width="15.7109375" style="106" customWidth="1"/>
    <col min="4364" max="4364" width="12.85546875" style="106" customWidth="1"/>
    <col min="4365" max="4608" width="9.140625" style="106"/>
    <col min="4609" max="4609" width="3.85546875" style="106" customWidth="1"/>
    <col min="4610" max="4610" width="18.42578125" style="106" customWidth="1"/>
    <col min="4611" max="4611" width="13" style="106" customWidth="1"/>
    <col min="4612" max="4612" width="14" style="106" customWidth="1"/>
    <col min="4613" max="4613" width="11.85546875" style="106" customWidth="1"/>
    <col min="4614" max="4614" width="15.7109375" style="106" customWidth="1"/>
    <col min="4615" max="4615" width="13" style="106" customWidth="1"/>
    <col min="4616" max="4616" width="10.85546875" style="106" customWidth="1"/>
    <col min="4617" max="4617" width="13.140625" style="106" customWidth="1"/>
    <col min="4618" max="4618" width="1.7109375" style="106" customWidth="1"/>
    <col min="4619" max="4619" width="15.7109375" style="106" customWidth="1"/>
    <col min="4620" max="4620" width="12.85546875" style="106" customWidth="1"/>
    <col min="4621" max="4864" width="9.140625" style="106"/>
    <col min="4865" max="4865" width="3.85546875" style="106" customWidth="1"/>
    <col min="4866" max="4866" width="18.42578125" style="106" customWidth="1"/>
    <col min="4867" max="4867" width="13" style="106" customWidth="1"/>
    <col min="4868" max="4868" width="14" style="106" customWidth="1"/>
    <col min="4869" max="4869" width="11.85546875" style="106" customWidth="1"/>
    <col min="4870" max="4870" width="15.7109375" style="106" customWidth="1"/>
    <col min="4871" max="4871" width="13" style="106" customWidth="1"/>
    <col min="4872" max="4872" width="10.85546875" style="106" customWidth="1"/>
    <col min="4873" max="4873" width="13.140625" style="106" customWidth="1"/>
    <col min="4874" max="4874" width="1.7109375" style="106" customWidth="1"/>
    <col min="4875" max="4875" width="15.7109375" style="106" customWidth="1"/>
    <col min="4876" max="4876" width="12.85546875" style="106" customWidth="1"/>
    <col min="4877" max="5120" width="9.140625" style="106"/>
    <col min="5121" max="5121" width="3.85546875" style="106" customWidth="1"/>
    <col min="5122" max="5122" width="18.42578125" style="106" customWidth="1"/>
    <col min="5123" max="5123" width="13" style="106" customWidth="1"/>
    <col min="5124" max="5124" width="14" style="106" customWidth="1"/>
    <col min="5125" max="5125" width="11.85546875" style="106" customWidth="1"/>
    <col min="5126" max="5126" width="15.7109375" style="106" customWidth="1"/>
    <col min="5127" max="5127" width="13" style="106" customWidth="1"/>
    <col min="5128" max="5128" width="10.85546875" style="106" customWidth="1"/>
    <col min="5129" max="5129" width="13.140625" style="106" customWidth="1"/>
    <col min="5130" max="5130" width="1.7109375" style="106" customWidth="1"/>
    <col min="5131" max="5131" width="15.7109375" style="106" customWidth="1"/>
    <col min="5132" max="5132" width="12.85546875" style="106" customWidth="1"/>
    <col min="5133" max="5376" width="9.140625" style="106"/>
    <col min="5377" max="5377" width="3.85546875" style="106" customWidth="1"/>
    <col min="5378" max="5378" width="18.42578125" style="106" customWidth="1"/>
    <col min="5379" max="5379" width="13" style="106" customWidth="1"/>
    <col min="5380" max="5380" width="14" style="106" customWidth="1"/>
    <col min="5381" max="5381" width="11.85546875" style="106" customWidth="1"/>
    <col min="5382" max="5382" width="15.7109375" style="106" customWidth="1"/>
    <col min="5383" max="5383" width="13" style="106" customWidth="1"/>
    <col min="5384" max="5384" width="10.85546875" style="106" customWidth="1"/>
    <col min="5385" max="5385" width="13.140625" style="106" customWidth="1"/>
    <col min="5386" max="5386" width="1.7109375" style="106" customWidth="1"/>
    <col min="5387" max="5387" width="15.7109375" style="106" customWidth="1"/>
    <col min="5388" max="5388" width="12.85546875" style="106" customWidth="1"/>
    <col min="5389" max="5632" width="9.140625" style="106"/>
    <col min="5633" max="5633" width="3.85546875" style="106" customWidth="1"/>
    <col min="5634" max="5634" width="18.42578125" style="106" customWidth="1"/>
    <col min="5635" max="5635" width="13" style="106" customWidth="1"/>
    <col min="5636" max="5636" width="14" style="106" customWidth="1"/>
    <col min="5637" max="5637" width="11.85546875" style="106" customWidth="1"/>
    <col min="5638" max="5638" width="15.7109375" style="106" customWidth="1"/>
    <col min="5639" max="5639" width="13" style="106" customWidth="1"/>
    <col min="5640" max="5640" width="10.85546875" style="106" customWidth="1"/>
    <col min="5641" max="5641" width="13.140625" style="106" customWidth="1"/>
    <col min="5642" max="5642" width="1.7109375" style="106" customWidth="1"/>
    <col min="5643" max="5643" width="15.7109375" style="106" customWidth="1"/>
    <col min="5644" max="5644" width="12.85546875" style="106" customWidth="1"/>
    <col min="5645" max="5888" width="9.140625" style="106"/>
    <col min="5889" max="5889" width="3.85546875" style="106" customWidth="1"/>
    <col min="5890" max="5890" width="18.42578125" style="106" customWidth="1"/>
    <col min="5891" max="5891" width="13" style="106" customWidth="1"/>
    <col min="5892" max="5892" width="14" style="106" customWidth="1"/>
    <col min="5893" max="5893" width="11.85546875" style="106" customWidth="1"/>
    <col min="5894" max="5894" width="15.7109375" style="106" customWidth="1"/>
    <col min="5895" max="5895" width="13" style="106" customWidth="1"/>
    <col min="5896" max="5896" width="10.85546875" style="106" customWidth="1"/>
    <col min="5897" max="5897" width="13.140625" style="106" customWidth="1"/>
    <col min="5898" max="5898" width="1.7109375" style="106" customWidth="1"/>
    <col min="5899" max="5899" width="15.7109375" style="106" customWidth="1"/>
    <col min="5900" max="5900" width="12.85546875" style="106" customWidth="1"/>
    <col min="5901" max="6144" width="9.140625" style="106"/>
    <col min="6145" max="6145" width="3.85546875" style="106" customWidth="1"/>
    <col min="6146" max="6146" width="18.42578125" style="106" customWidth="1"/>
    <col min="6147" max="6147" width="13" style="106" customWidth="1"/>
    <col min="6148" max="6148" width="14" style="106" customWidth="1"/>
    <col min="6149" max="6149" width="11.85546875" style="106" customWidth="1"/>
    <col min="6150" max="6150" width="15.7109375" style="106" customWidth="1"/>
    <col min="6151" max="6151" width="13" style="106" customWidth="1"/>
    <col min="6152" max="6152" width="10.85546875" style="106" customWidth="1"/>
    <col min="6153" max="6153" width="13.140625" style="106" customWidth="1"/>
    <col min="6154" max="6154" width="1.7109375" style="106" customWidth="1"/>
    <col min="6155" max="6155" width="15.7109375" style="106" customWidth="1"/>
    <col min="6156" max="6156" width="12.85546875" style="106" customWidth="1"/>
    <col min="6157" max="6400" width="9.140625" style="106"/>
    <col min="6401" max="6401" width="3.85546875" style="106" customWidth="1"/>
    <col min="6402" max="6402" width="18.42578125" style="106" customWidth="1"/>
    <col min="6403" max="6403" width="13" style="106" customWidth="1"/>
    <col min="6404" max="6404" width="14" style="106" customWidth="1"/>
    <col min="6405" max="6405" width="11.85546875" style="106" customWidth="1"/>
    <col min="6406" max="6406" width="15.7109375" style="106" customWidth="1"/>
    <col min="6407" max="6407" width="13" style="106" customWidth="1"/>
    <col min="6408" max="6408" width="10.85546875" style="106" customWidth="1"/>
    <col min="6409" max="6409" width="13.140625" style="106" customWidth="1"/>
    <col min="6410" max="6410" width="1.7109375" style="106" customWidth="1"/>
    <col min="6411" max="6411" width="15.7109375" style="106" customWidth="1"/>
    <col min="6412" max="6412" width="12.85546875" style="106" customWidth="1"/>
    <col min="6413" max="6656" width="9.140625" style="106"/>
    <col min="6657" max="6657" width="3.85546875" style="106" customWidth="1"/>
    <col min="6658" max="6658" width="18.42578125" style="106" customWidth="1"/>
    <col min="6659" max="6659" width="13" style="106" customWidth="1"/>
    <col min="6660" max="6660" width="14" style="106" customWidth="1"/>
    <col min="6661" max="6661" width="11.85546875" style="106" customWidth="1"/>
    <col min="6662" max="6662" width="15.7109375" style="106" customWidth="1"/>
    <col min="6663" max="6663" width="13" style="106" customWidth="1"/>
    <col min="6664" max="6664" width="10.85546875" style="106" customWidth="1"/>
    <col min="6665" max="6665" width="13.140625" style="106" customWidth="1"/>
    <col min="6666" max="6666" width="1.7109375" style="106" customWidth="1"/>
    <col min="6667" max="6667" width="15.7109375" style="106" customWidth="1"/>
    <col min="6668" max="6668" width="12.85546875" style="106" customWidth="1"/>
    <col min="6669" max="6912" width="9.140625" style="106"/>
    <col min="6913" max="6913" width="3.85546875" style="106" customWidth="1"/>
    <col min="6914" max="6914" width="18.42578125" style="106" customWidth="1"/>
    <col min="6915" max="6915" width="13" style="106" customWidth="1"/>
    <col min="6916" max="6916" width="14" style="106" customWidth="1"/>
    <col min="6917" max="6917" width="11.85546875" style="106" customWidth="1"/>
    <col min="6918" max="6918" width="15.7109375" style="106" customWidth="1"/>
    <col min="6919" max="6919" width="13" style="106" customWidth="1"/>
    <col min="6920" max="6920" width="10.85546875" style="106" customWidth="1"/>
    <col min="6921" max="6921" width="13.140625" style="106" customWidth="1"/>
    <col min="6922" max="6922" width="1.7109375" style="106" customWidth="1"/>
    <col min="6923" max="6923" width="15.7109375" style="106" customWidth="1"/>
    <col min="6924" max="6924" width="12.85546875" style="106" customWidth="1"/>
    <col min="6925" max="7168" width="9.140625" style="106"/>
    <col min="7169" max="7169" width="3.85546875" style="106" customWidth="1"/>
    <col min="7170" max="7170" width="18.42578125" style="106" customWidth="1"/>
    <col min="7171" max="7171" width="13" style="106" customWidth="1"/>
    <col min="7172" max="7172" width="14" style="106" customWidth="1"/>
    <col min="7173" max="7173" width="11.85546875" style="106" customWidth="1"/>
    <col min="7174" max="7174" width="15.7109375" style="106" customWidth="1"/>
    <col min="7175" max="7175" width="13" style="106" customWidth="1"/>
    <col min="7176" max="7176" width="10.85546875" style="106" customWidth="1"/>
    <col min="7177" max="7177" width="13.140625" style="106" customWidth="1"/>
    <col min="7178" max="7178" width="1.7109375" style="106" customWidth="1"/>
    <col min="7179" max="7179" width="15.7109375" style="106" customWidth="1"/>
    <col min="7180" max="7180" width="12.85546875" style="106" customWidth="1"/>
    <col min="7181" max="7424" width="9.140625" style="106"/>
    <col min="7425" max="7425" width="3.85546875" style="106" customWidth="1"/>
    <col min="7426" max="7426" width="18.42578125" style="106" customWidth="1"/>
    <col min="7427" max="7427" width="13" style="106" customWidth="1"/>
    <col min="7428" max="7428" width="14" style="106" customWidth="1"/>
    <col min="7429" max="7429" width="11.85546875" style="106" customWidth="1"/>
    <col min="7430" max="7430" width="15.7109375" style="106" customWidth="1"/>
    <col min="7431" max="7431" width="13" style="106" customWidth="1"/>
    <col min="7432" max="7432" width="10.85546875" style="106" customWidth="1"/>
    <col min="7433" max="7433" width="13.140625" style="106" customWidth="1"/>
    <col min="7434" max="7434" width="1.7109375" style="106" customWidth="1"/>
    <col min="7435" max="7435" width="15.7109375" style="106" customWidth="1"/>
    <col min="7436" max="7436" width="12.85546875" style="106" customWidth="1"/>
    <col min="7437" max="7680" width="9.140625" style="106"/>
    <col min="7681" max="7681" width="3.85546875" style="106" customWidth="1"/>
    <col min="7682" max="7682" width="18.42578125" style="106" customWidth="1"/>
    <col min="7683" max="7683" width="13" style="106" customWidth="1"/>
    <col min="7684" max="7684" width="14" style="106" customWidth="1"/>
    <col min="7685" max="7685" width="11.85546875" style="106" customWidth="1"/>
    <col min="7686" max="7686" width="15.7109375" style="106" customWidth="1"/>
    <col min="7687" max="7687" width="13" style="106" customWidth="1"/>
    <col min="7688" max="7688" width="10.85546875" style="106" customWidth="1"/>
    <col min="7689" max="7689" width="13.140625" style="106" customWidth="1"/>
    <col min="7690" max="7690" width="1.7109375" style="106" customWidth="1"/>
    <col min="7691" max="7691" width="15.7109375" style="106" customWidth="1"/>
    <col min="7692" max="7692" width="12.85546875" style="106" customWidth="1"/>
    <col min="7693" max="7936" width="9.140625" style="106"/>
    <col min="7937" max="7937" width="3.85546875" style="106" customWidth="1"/>
    <col min="7938" max="7938" width="18.42578125" style="106" customWidth="1"/>
    <col min="7939" max="7939" width="13" style="106" customWidth="1"/>
    <col min="7940" max="7940" width="14" style="106" customWidth="1"/>
    <col min="7941" max="7941" width="11.85546875" style="106" customWidth="1"/>
    <col min="7942" max="7942" width="15.7109375" style="106" customWidth="1"/>
    <col min="7943" max="7943" width="13" style="106" customWidth="1"/>
    <col min="7944" max="7944" width="10.85546875" style="106" customWidth="1"/>
    <col min="7945" max="7945" width="13.140625" style="106" customWidth="1"/>
    <col min="7946" max="7946" width="1.7109375" style="106" customWidth="1"/>
    <col min="7947" max="7947" width="15.7109375" style="106" customWidth="1"/>
    <col min="7948" max="7948" width="12.85546875" style="106" customWidth="1"/>
    <col min="7949" max="8192" width="9.140625" style="106"/>
    <col min="8193" max="8193" width="3.85546875" style="106" customWidth="1"/>
    <col min="8194" max="8194" width="18.42578125" style="106" customWidth="1"/>
    <col min="8195" max="8195" width="13" style="106" customWidth="1"/>
    <col min="8196" max="8196" width="14" style="106" customWidth="1"/>
    <col min="8197" max="8197" width="11.85546875" style="106" customWidth="1"/>
    <col min="8198" max="8198" width="15.7109375" style="106" customWidth="1"/>
    <col min="8199" max="8199" width="13" style="106" customWidth="1"/>
    <col min="8200" max="8200" width="10.85546875" style="106" customWidth="1"/>
    <col min="8201" max="8201" width="13.140625" style="106" customWidth="1"/>
    <col min="8202" max="8202" width="1.7109375" style="106" customWidth="1"/>
    <col min="8203" max="8203" width="15.7109375" style="106" customWidth="1"/>
    <col min="8204" max="8204" width="12.85546875" style="106" customWidth="1"/>
    <col min="8205" max="8448" width="9.140625" style="106"/>
    <col min="8449" max="8449" width="3.85546875" style="106" customWidth="1"/>
    <col min="8450" max="8450" width="18.42578125" style="106" customWidth="1"/>
    <col min="8451" max="8451" width="13" style="106" customWidth="1"/>
    <col min="8452" max="8452" width="14" style="106" customWidth="1"/>
    <col min="8453" max="8453" width="11.85546875" style="106" customWidth="1"/>
    <col min="8454" max="8454" width="15.7109375" style="106" customWidth="1"/>
    <col min="8455" max="8455" width="13" style="106" customWidth="1"/>
    <col min="8456" max="8456" width="10.85546875" style="106" customWidth="1"/>
    <col min="8457" max="8457" width="13.140625" style="106" customWidth="1"/>
    <col min="8458" max="8458" width="1.7109375" style="106" customWidth="1"/>
    <col min="8459" max="8459" width="15.7109375" style="106" customWidth="1"/>
    <col min="8460" max="8460" width="12.85546875" style="106" customWidth="1"/>
    <col min="8461" max="8704" width="9.140625" style="106"/>
    <col min="8705" max="8705" width="3.85546875" style="106" customWidth="1"/>
    <col min="8706" max="8706" width="18.42578125" style="106" customWidth="1"/>
    <col min="8707" max="8707" width="13" style="106" customWidth="1"/>
    <col min="8708" max="8708" width="14" style="106" customWidth="1"/>
    <col min="8709" max="8709" width="11.85546875" style="106" customWidth="1"/>
    <col min="8710" max="8710" width="15.7109375" style="106" customWidth="1"/>
    <col min="8711" max="8711" width="13" style="106" customWidth="1"/>
    <col min="8712" max="8712" width="10.85546875" style="106" customWidth="1"/>
    <col min="8713" max="8713" width="13.140625" style="106" customWidth="1"/>
    <col min="8714" max="8714" width="1.7109375" style="106" customWidth="1"/>
    <col min="8715" max="8715" width="15.7109375" style="106" customWidth="1"/>
    <col min="8716" max="8716" width="12.85546875" style="106" customWidth="1"/>
    <col min="8717" max="8960" width="9.140625" style="106"/>
    <col min="8961" max="8961" width="3.85546875" style="106" customWidth="1"/>
    <col min="8962" max="8962" width="18.42578125" style="106" customWidth="1"/>
    <col min="8963" max="8963" width="13" style="106" customWidth="1"/>
    <col min="8964" max="8964" width="14" style="106" customWidth="1"/>
    <col min="8965" max="8965" width="11.85546875" style="106" customWidth="1"/>
    <col min="8966" max="8966" width="15.7109375" style="106" customWidth="1"/>
    <col min="8967" max="8967" width="13" style="106" customWidth="1"/>
    <col min="8968" max="8968" width="10.85546875" style="106" customWidth="1"/>
    <col min="8969" max="8969" width="13.140625" style="106" customWidth="1"/>
    <col min="8970" max="8970" width="1.7109375" style="106" customWidth="1"/>
    <col min="8971" max="8971" width="15.7109375" style="106" customWidth="1"/>
    <col min="8972" max="8972" width="12.85546875" style="106" customWidth="1"/>
    <col min="8973" max="9216" width="9.140625" style="106"/>
    <col min="9217" max="9217" width="3.85546875" style="106" customWidth="1"/>
    <col min="9218" max="9218" width="18.42578125" style="106" customWidth="1"/>
    <col min="9219" max="9219" width="13" style="106" customWidth="1"/>
    <col min="9220" max="9220" width="14" style="106" customWidth="1"/>
    <col min="9221" max="9221" width="11.85546875" style="106" customWidth="1"/>
    <col min="9222" max="9222" width="15.7109375" style="106" customWidth="1"/>
    <col min="9223" max="9223" width="13" style="106" customWidth="1"/>
    <col min="9224" max="9224" width="10.85546875" style="106" customWidth="1"/>
    <col min="9225" max="9225" width="13.140625" style="106" customWidth="1"/>
    <col min="9226" max="9226" width="1.7109375" style="106" customWidth="1"/>
    <col min="9227" max="9227" width="15.7109375" style="106" customWidth="1"/>
    <col min="9228" max="9228" width="12.85546875" style="106" customWidth="1"/>
    <col min="9229" max="9472" width="9.140625" style="106"/>
    <col min="9473" max="9473" width="3.85546875" style="106" customWidth="1"/>
    <col min="9474" max="9474" width="18.42578125" style="106" customWidth="1"/>
    <col min="9475" max="9475" width="13" style="106" customWidth="1"/>
    <col min="9476" max="9476" width="14" style="106" customWidth="1"/>
    <col min="9477" max="9477" width="11.85546875" style="106" customWidth="1"/>
    <col min="9478" max="9478" width="15.7109375" style="106" customWidth="1"/>
    <col min="9479" max="9479" width="13" style="106" customWidth="1"/>
    <col min="9480" max="9480" width="10.85546875" style="106" customWidth="1"/>
    <col min="9481" max="9481" width="13.140625" style="106" customWidth="1"/>
    <col min="9482" max="9482" width="1.7109375" style="106" customWidth="1"/>
    <col min="9483" max="9483" width="15.7109375" style="106" customWidth="1"/>
    <col min="9484" max="9484" width="12.85546875" style="106" customWidth="1"/>
    <col min="9485" max="9728" width="9.140625" style="106"/>
    <col min="9729" max="9729" width="3.85546875" style="106" customWidth="1"/>
    <col min="9730" max="9730" width="18.42578125" style="106" customWidth="1"/>
    <col min="9731" max="9731" width="13" style="106" customWidth="1"/>
    <col min="9732" max="9732" width="14" style="106" customWidth="1"/>
    <col min="9733" max="9733" width="11.85546875" style="106" customWidth="1"/>
    <col min="9734" max="9734" width="15.7109375" style="106" customWidth="1"/>
    <col min="9735" max="9735" width="13" style="106" customWidth="1"/>
    <col min="9736" max="9736" width="10.85546875" style="106" customWidth="1"/>
    <col min="9737" max="9737" width="13.140625" style="106" customWidth="1"/>
    <col min="9738" max="9738" width="1.7109375" style="106" customWidth="1"/>
    <col min="9739" max="9739" width="15.7109375" style="106" customWidth="1"/>
    <col min="9740" max="9740" width="12.85546875" style="106" customWidth="1"/>
    <col min="9741" max="9984" width="9.140625" style="106"/>
    <col min="9985" max="9985" width="3.85546875" style="106" customWidth="1"/>
    <col min="9986" max="9986" width="18.42578125" style="106" customWidth="1"/>
    <col min="9987" max="9987" width="13" style="106" customWidth="1"/>
    <col min="9988" max="9988" width="14" style="106" customWidth="1"/>
    <col min="9989" max="9989" width="11.85546875" style="106" customWidth="1"/>
    <col min="9990" max="9990" width="15.7109375" style="106" customWidth="1"/>
    <col min="9991" max="9991" width="13" style="106" customWidth="1"/>
    <col min="9992" max="9992" width="10.85546875" style="106" customWidth="1"/>
    <col min="9993" max="9993" width="13.140625" style="106" customWidth="1"/>
    <col min="9994" max="9994" width="1.7109375" style="106" customWidth="1"/>
    <col min="9995" max="9995" width="15.7109375" style="106" customWidth="1"/>
    <col min="9996" max="9996" width="12.85546875" style="106" customWidth="1"/>
    <col min="9997" max="10240" width="9.140625" style="106"/>
    <col min="10241" max="10241" width="3.85546875" style="106" customWidth="1"/>
    <col min="10242" max="10242" width="18.42578125" style="106" customWidth="1"/>
    <col min="10243" max="10243" width="13" style="106" customWidth="1"/>
    <col min="10244" max="10244" width="14" style="106" customWidth="1"/>
    <col min="10245" max="10245" width="11.85546875" style="106" customWidth="1"/>
    <col min="10246" max="10246" width="15.7109375" style="106" customWidth="1"/>
    <col min="10247" max="10247" width="13" style="106" customWidth="1"/>
    <col min="10248" max="10248" width="10.85546875" style="106" customWidth="1"/>
    <col min="10249" max="10249" width="13.140625" style="106" customWidth="1"/>
    <col min="10250" max="10250" width="1.7109375" style="106" customWidth="1"/>
    <col min="10251" max="10251" width="15.7109375" style="106" customWidth="1"/>
    <col min="10252" max="10252" width="12.85546875" style="106" customWidth="1"/>
    <col min="10253" max="10496" width="9.140625" style="106"/>
    <col min="10497" max="10497" width="3.85546875" style="106" customWidth="1"/>
    <col min="10498" max="10498" width="18.42578125" style="106" customWidth="1"/>
    <col min="10499" max="10499" width="13" style="106" customWidth="1"/>
    <col min="10500" max="10500" width="14" style="106" customWidth="1"/>
    <col min="10501" max="10501" width="11.85546875" style="106" customWidth="1"/>
    <col min="10502" max="10502" width="15.7109375" style="106" customWidth="1"/>
    <col min="10503" max="10503" width="13" style="106" customWidth="1"/>
    <col min="10504" max="10504" width="10.85546875" style="106" customWidth="1"/>
    <col min="10505" max="10505" width="13.140625" style="106" customWidth="1"/>
    <col min="10506" max="10506" width="1.7109375" style="106" customWidth="1"/>
    <col min="10507" max="10507" width="15.7109375" style="106" customWidth="1"/>
    <col min="10508" max="10508" width="12.85546875" style="106" customWidth="1"/>
    <col min="10509" max="10752" width="9.140625" style="106"/>
    <col min="10753" max="10753" width="3.85546875" style="106" customWidth="1"/>
    <col min="10754" max="10754" width="18.42578125" style="106" customWidth="1"/>
    <col min="10755" max="10755" width="13" style="106" customWidth="1"/>
    <col min="10756" max="10756" width="14" style="106" customWidth="1"/>
    <col min="10757" max="10757" width="11.85546875" style="106" customWidth="1"/>
    <col min="10758" max="10758" width="15.7109375" style="106" customWidth="1"/>
    <col min="10759" max="10759" width="13" style="106" customWidth="1"/>
    <col min="10760" max="10760" width="10.85546875" style="106" customWidth="1"/>
    <col min="10761" max="10761" width="13.140625" style="106" customWidth="1"/>
    <col min="10762" max="10762" width="1.7109375" style="106" customWidth="1"/>
    <col min="10763" max="10763" width="15.7109375" style="106" customWidth="1"/>
    <col min="10764" max="10764" width="12.85546875" style="106" customWidth="1"/>
    <col min="10765" max="11008" width="9.140625" style="106"/>
    <col min="11009" max="11009" width="3.85546875" style="106" customWidth="1"/>
    <col min="11010" max="11010" width="18.42578125" style="106" customWidth="1"/>
    <col min="11011" max="11011" width="13" style="106" customWidth="1"/>
    <col min="11012" max="11012" width="14" style="106" customWidth="1"/>
    <col min="11013" max="11013" width="11.85546875" style="106" customWidth="1"/>
    <col min="11014" max="11014" width="15.7109375" style="106" customWidth="1"/>
    <col min="11015" max="11015" width="13" style="106" customWidth="1"/>
    <col min="11016" max="11016" width="10.85546875" style="106" customWidth="1"/>
    <col min="11017" max="11017" width="13.140625" style="106" customWidth="1"/>
    <col min="11018" max="11018" width="1.7109375" style="106" customWidth="1"/>
    <col min="11019" max="11019" width="15.7109375" style="106" customWidth="1"/>
    <col min="11020" max="11020" width="12.85546875" style="106" customWidth="1"/>
    <col min="11021" max="11264" width="9.140625" style="106"/>
    <col min="11265" max="11265" width="3.85546875" style="106" customWidth="1"/>
    <col min="11266" max="11266" width="18.42578125" style="106" customWidth="1"/>
    <col min="11267" max="11267" width="13" style="106" customWidth="1"/>
    <col min="11268" max="11268" width="14" style="106" customWidth="1"/>
    <col min="11269" max="11269" width="11.85546875" style="106" customWidth="1"/>
    <col min="11270" max="11270" width="15.7109375" style="106" customWidth="1"/>
    <col min="11271" max="11271" width="13" style="106" customWidth="1"/>
    <col min="11272" max="11272" width="10.85546875" style="106" customWidth="1"/>
    <col min="11273" max="11273" width="13.140625" style="106" customWidth="1"/>
    <col min="11274" max="11274" width="1.7109375" style="106" customWidth="1"/>
    <col min="11275" max="11275" width="15.7109375" style="106" customWidth="1"/>
    <col min="11276" max="11276" width="12.85546875" style="106" customWidth="1"/>
    <col min="11277" max="11520" width="9.140625" style="106"/>
    <col min="11521" max="11521" width="3.85546875" style="106" customWidth="1"/>
    <col min="11522" max="11522" width="18.42578125" style="106" customWidth="1"/>
    <col min="11523" max="11523" width="13" style="106" customWidth="1"/>
    <col min="11524" max="11524" width="14" style="106" customWidth="1"/>
    <col min="11525" max="11525" width="11.85546875" style="106" customWidth="1"/>
    <col min="11526" max="11526" width="15.7109375" style="106" customWidth="1"/>
    <col min="11527" max="11527" width="13" style="106" customWidth="1"/>
    <col min="11528" max="11528" width="10.85546875" style="106" customWidth="1"/>
    <col min="11529" max="11529" width="13.140625" style="106" customWidth="1"/>
    <col min="11530" max="11530" width="1.7109375" style="106" customWidth="1"/>
    <col min="11531" max="11531" width="15.7109375" style="106" customWidth="1"/>
    <col min="11532" max="11532" width="12.85546875" style="106" customWidth="1"/>
    <col min="11533" max="11776" width="9.140625" style="106"/>
    <col min="11777" max="11777" width="3.85546875" style="106" customWidth="1"/>
    <col min="11778" max="11778" width="18.42578125" style="106" customWidth="1"/>
    <col min="11779" max="11779" width="13" style="106" customWidth="1"/>
    <col min="11780" max="11780" width="14" style="106" customWidth="1"/>
    <col min="11781" max="11781" width="11.85546875" style="106" customWidth="1"/>
    <col min="11782" max="11782" width="15.7109375" style="106" customWidth="1"/>
    <col min="11783" max="11783" width="13" style="106" customWidth="1"/>
    <col min="11784" max="11784" width="10.85546875" style="106" customWidth="1"/>
    <col min="11785" max="11785" width="13.140625" style="106" customWidth="1"/>
    <col min="11786" max="11786" width="1.7109375" style="106" customWidth="1"/>
    <col min="11787" max="11787" width="15.7109375" style="106" customWidth="1"/>
    <col min="11788" max="11788" width="12.85546875" style="106" customWidth="1"/>
    <col min="11789" max="12032" width="9.140625" style="106"/>
    <col min="12033" max="12033" width="3.85546875" style="106" customWidth="1"/>
    <col min="12034" max="12034" width="18.42578125" style="106" customWidth="1"/>
    <col min="12035" max="12035" width="13" style="106" customWidth="1"/>
    <col min="12036" max="12036" width="14" style="106" customWidth="1"/>
    <col min="12037" max="12037" width="11.85546875" style="106" customWidth="1"/>
    <col min="12038" max="12038" width="15.7109375" style="106" customWidth="1"/>
    <col min="12039" max="12039" width="13" style="106" customWidth="1"/>
    <col min="12040" max="12040" width="10.85546875" style="106" customWidth="1"/>
    <col min="12041" max="12041" width="13.140625" style="106" customWidth="1"/>
    <col min="12042" max="12042" width="1.7109375" style="106" customWidth="1"/>
    <col min="12043" max="12043" width="15.7109375" style="106" customWidth="1"/>
    <col min="12044" max="12044" width="12.85546875" style="106" customWidth="1"/>
    <col min="12045" max="12288" width="9.140625" style="106"/>
    <col min="12289" max="12289" width="3.85546875" style="106" customWidth="1"/>
    <col min="12290" max="12290" width="18.42578125" style="106" customWidth="1"/>
    <col min="12291" max="12291" width="13" style="106" customWidth="1"/>
    <col min="12292" max="12292" width="14" style="106" customWidth="1"/>
    <col min="12293" max="12293" width="11.85546875" style="106" customWidth="1"/>
    <col min="12294" max="12294" width="15.7109375" style="106" customWidth="1"/>
    <col min="12295" max="12295" width="13" style="106" customWidth="1"/>
    <col min="12296" max="12296" width="10.85546875" style="106" customWidth="1"/>
    <col min="12297" max="12297" width="13.140625" style="106" customWidth="1"/>
    <col min="12298" max="12298" width="1.7109375" style="106" customWidth="1"/>
    <col min="12299" max="12299" width="15.7109375" style="106" customWidth="1"/>
    <col min="12300" max="12300" width="12.85546875" style="106" customWidth="1"/>
    <col min="12301" max="12544" width="9.140625" style="106"/>
    <col min="12545" max="12545" width="3.85546875" style="106" customWidth="1"/>
    <col min="12546" max="12546" width="18.42578125" style="106" customWidth="1"/>
    <col min="12547" max="12547" width="13" style="106" customWidth="1"/>
    <col min="12548" max="12548" width="14" style="106" customWidth="1"/>
    <col min="12549" max="12549" width="11.85546875" style="106" customWidth="1"/>
    <col min="12550" max="12550" width="15.7109375" style="106" customWidth="1"/>
    <col min="12551" max="12551" width="13" style="106" customWidth="1"/>
    <col min="12552" max="12552" width="10.85546875" style="106" customWidth="1"/>
    <col min="12553" max="12553" width="13.140625" style="106" customWidth="1"/>
    <col min="12554" max="12554" width="1.7109375" style="106" customWidth="1"/>
    <col min="12555" max="12555" width="15.7109375" style="106" customWidth="1"/>
    <col min="12556" max="12556" width="12.85546875" style="106" customWidth="1"/>
    <col min="12557" max="12800" width="9.140625" style="106"/>
    <col min="12801" max="12801" width="3.85546875" style="106" customWidth="1"/>
    <col min="12802" max="12802" width="18.42578125" style="106" customWidth="1"/>
    <col min="12803" max="12803" width="13" style="106" customWidth="1"/>
    <col min="12804" max="12804" width="14" style="106" customWidth="1"/>
    <col min="12805" max="12805" width="11.85546875" style="106" customWidth="1"/>
    <col min="12806" max="12806" width="15.7109375" style="106" customWidth="1"/>
    <col min="12807" max="12807" width="13" style="106" customWidth="1"/>
    <col min="12808" max="12808" width="10.85546875" style="106" customWidth="1"/>
    <col min="12809" max="12809" width="13.140625" style="106" customWidth="1"/>
    <col min="12810" max="12810" width="1.7109375" style="106" customWidth="1"/>
    <col min="12811" max="12811" width="15.7109375" style="106" customWidth="1"/>
    <col min="12812" max="12812" width="12.85546875" style="106" customWidth="1"/>
    <col min="12813" max="13056" width="9.140625" style="106"/>
    <col min="13057" max="13057" width="3.85546875" style="106" customWidth="1"/>
    <col min="13058" max="13058" width="18.42578125" style="106" customWidth="1"/>
    <col min="13059" max="13059" width="13" style="106" customWidth="1"/>
    <col min="13060" max="13060" width="14" style="106" customWidth="1"/>
    <col min="13061" max="13061" width="11.85546875" style="106" customWidth="1"/>
    <col min="13062" max="13062" width="15.7109375" style="106" customWidth="1"/>
    <col min="13063" max="13063" width="13" style="106" customWidth="1"/>
    <col min="13064" max="13064" width="10.85546875" style="106" customWidth="1"/>
    <col min="13065" max="13065" width="13.140625" style="106" customWidth="1"/>
    <col min="13066" max="13066" width="1.7109375" style="106" customWidth="1"/>
    <col min="13067" max="13067" width="15.7109375" style="106" customWidth="1"/>
    <col min="13068" max="13068" width="12.85546875" style="106" customWidth="1"/>
    <col min="13069" max="13312" width="9.140625" style="106"/>
    <col min="13313" max="13313" width="3.85546875" style="106" customWidth="1"/>
    <col min="13314" max="13314" width="18.42578125" style="106" customWidth="1"/>
    <col min="13315" max="13315" width="13" style="106" customWidth="1"/>
    <col min="13316" max="13316" width="14" style="106" customWidth="1"/>
    <col min="13317" max="13317" width="11.85546875" style="106" customWidth="1"/>
    <col min="13318" max="13318" width="15.7109375" style="106" customWidth="1"/>
    <col min="13319" max="13319" width="13" style="106" customWidth="1"/>
    <col min="13320" max="13320" width="10.85546875" style="106" customWidth="1"/>
    <col min="13321" max="13321" width="13.140625" style="106" customWidth="1"/>
    <col min="13322" max="13322" width="1.7109375" style="106" customWidth="1"/>
    <col min="13323" max="13323" width="15.7109375" style="106" customWidth="1"/>
    <col min="13324" max="13324" width="12.85546875" style="106" customWidth="1"/>
    <col min="13325" max="13568" width="9.140625" style="106"/>
    <col min="13569" max="13569" width="3.85546875" style="106" customWidth="1"/>
    <col min="13570" max="13570" width="18.42578125" style="106" customWidth="1"/>
    <col min="13571" max="13571" width="13" style="106" customWidth="1"/>
    <col min="13572" max="13572" width="14" style="106" customWidth="1"/>
    <col min="13573" max="13573" width="11.85546875" style="106" customWidth="1"/>
    <col min="13574" max="13574" width="15.7109375" style="106" customWidth="1"/>
    <col min="13575" max="13575" width="13" style="106" customWidth="1"/>
    <col min="13576" max="13576" width="10.85546875" style="106" customWidth="1"/>
    <col min="13577" max="13577" width="13.140625" style="106" customWidth="1"/>
    <col min="13578" max="13578" width="1.7109375" style="106" customWidth="1"/>
    <col min="13579" max="13579" width="15.7109375" style="106" customWidth="1"/>
    <col min="13580" max="13580" width="12.85546875" style="106" customWidth="1"/>
    <col min="13581" max="13824" width="9.140625" style="106"/>
    <col min="13825" max="13825" width="3.85546875" style="106" customWidth="1"/>
    <col min="13826" max="13826" width="18.42578125" style="106" customWidth="1"/>
    <col min="13827" max="13827" width="13" style="106" customWidth="1"/>
    <col min="13828" max="13828" width="14" style="106" customWidth="1"/>
    <col min="13829" max="13829" width="11.85546875" style="106" customWidth="1"/>
    <col min="13830" max="13830" width="15.7109375" style="106" customWidth="1"/>
    <col min="13831" max="13831" width="13" style="106" customWidth="1"/>
    <col min="13832" max="13832" width="10.85546875" style="106" customWidth="1"/>
    <col min="13833" max="13833" width="13.140625" style="106" customWidth="1"/>
    <col min="13834" max="13834" width="1.7109375" style="106" customWidth="1"/>
    <col min="13835" max="13835" width="15.7109375" style="106" customWidth="1"/>
    <col min="13836" max="13836" width="12.85546875" style="106" customWidth="1"/>
    <col min="13837" max="14080" width="9.140625" style="106"/>
    <col min="14081" max="14081" width="3.85546875" style="106" customWidth="1"/>
    <col min="14082" max="14082" width="18.42578125" style="106" customWidth="1"/>
    <col min="14083" max="14083" width="13" style="106" customWidth="1"/>
    <col min="14084" max="14084" width="14" style="106" customWidth="1"/>
    <col min="14085" max="14085" width="11.85546875" style="106" customWidth="1"/>
    <col min="14086" max="14086" width="15.7109375" style="106" customWidth="1"/>
    <col min="14087" max="14087" width="13" style="106" customWidth="1"/>
    <col min="14088" max="14088" width="10.85546875" style="106" customWidth="1"/>
    <col min="14089" max="14089" width="13.140625" style="106" customWidth="1"/>
    <col min="14090" max="14090" width="1.7109375" style="106" customWidth="1"/>
    <col min="14091" max="14091" width="15.7109375" style="106" customWidth="1"/>
    <col min="14092" max="14092" width="12.85546875" style="106" customWidth="1"/>
    <col min="14093" max="14336" width="9.140625" style="106"/>
    <col min="14337" max="14337" width="3.85546875" style="106" customWidth="1"/>
    <col min="14338" max="14338" width="18.42578125" style="106" customWidth="1"/>
    <col min="14339" max="14339" width="13" style="106" customWidth="1"/>
    <col min="14340" max="14340" width="14" style="106" customWidth="1"/>
    <col min="14341" max="14341" width="11.85546875" style="106" customWidth="1"/>
    <col min="14342" max="14342" width="15.7109375" style="106" customWidth="1"/>
    <col min="14343" max="14343" width="13" style="106" customWidth="1"/>
    <col min="14344" max="14344" width="10.85546875" style="106" customWidth="1"/>
    <col min="14345" max="14345" width="13.140625" style="106" customWidth="1"/>
    <col min="14346" max="14346" width="1.7109375" style="106" customWidth="1"/>
    <col min="14347" max="14347" width="15.7109375" style="106" customWidth="1"/>
    <col min="14348" max="14348" width="12.85546875" style="106" customWidth="1"/>
    <col min="14349" max="14592" width="9.140625" style="106"/>
    <col min="14593" max="14593" width="3.85546875" style="106" customWidth="1"/>
    <col min="14594" max="14594" width="18.42578125" style="106" customWidth="1"/>
    <col min="14595" max="14595" width="13" style="106" customWidth="1"/>
    <col min="14596" max="14596" width="14" style="106" customWidth="1"/>
    <col min="14597" max="14597" width="11.85546875" style="106" customWidth="1"/>
    <col min="14598" max="14598" width="15.7109375" style="106" customWidth="1"/>
    <col min="14599" max="14599" width="13" style="106" customWidth="1"/>
    <col min="14600" max="14600" width="10.85546875" style="106" customWidth="1"/>
    <col min="14601" max="14601" width="13.140625" style="106" customWidth="1"/>
    <col min="14602" max="14602" width="1.7109375" style="106" customWidth="1"/>
    <col min="14603" max="14603" width="15.7109375" style="106" customWidth="1"/>
    <col min="14604" max="14604" width="12.85546875" style="106" customWidth="1"/>
    <col min="14605" max="14848" width="9.140625" style="106"/>
    <col min="14849" max="14849" width="3.85546875" style="106" customWidth="1"/>
    <col min="14850" max="14850" width="18.42578125" style="106" customWidth="1"/>
    <col min="14851" max="14851" width="13" style="106" customWidth="1"/>
    <col min="14852" max="14852" width="14" style="106" customWidth="1"/>
    <col min="14853" max="14853" width="11.85546875" style="106" customWidth="1"/>
    <col min="14854" max="14854" width="15.7109375" style="106" customWidth="1"/>
    <col min="14855" max="14855" width="13" style="106" customWidth="1"/>
    <col min="14856" max="14856" width="10.85546875" style="106" customWidth="1"/>
    <col min="14857" max="14857" width="13.140625" style="106" customWidth="1"/>
    <col min="14858" max="14858" width="1.7109375" style="106" customWidth="1"/>
    <col min="14859" max="14859" width="15.7109375" style="106" customWidth="1"/>
    <col min="14860" max="14860" width="12.85546875" style="106" customWidth="1"/>
    <col min="14861" max="15104" width="9.140625" style="106"/>
    <col min="15105" max="15105" width="3.85546875" style="106" customWidth="1"/>
    <col min="15106" max="15106" width="18.42578125" style="106" customWidth="1"/>
    <col min="15107" max="15107" width="13" style="106" customWidth="1"/>
    <col min="15108" max="15108" width="14" style="106" customWidth="1"/>
    <col min="15109" max="15109" width="11.85546875" style="106" customWidth="1"/>
    <col min="15110" max="15110" width="15.7109375" style="106" customWidth="1"/>
    <col min="15111" max="15111" width="13" style="106" customWidth="1"/>
    <col min="15112" max="15112" width="10.85546875" style="106" customWidth="1"/>
    <col min="15113" max="15113" width="13.140625" style="106" customWidth="1"/>
    <col min="15114" max="15114" width="1.7109375" style="106" customWidth="1"/>
    <col min="15115" max="15115" width="15.7109375" style="106" customWidth="1"/>
    <col min="15116" max="15116" width="12.85546875" style="106" customWidth="1"/>
    <col min="15117" max="15360" width="9.140625" style="106"/>
    <col min="15361" max="15361" width="3.85546875" style="106" customWidth="1"/>
    <col min="15362" max="15362" width="18.42578125" style="106" customWidth="1"/>
    <col min="15363" max="15363" width="13" style="106" customWidth="1"/>
    <col min="15364" max="15364" width="14" style="106" customWidth="1"/>
    <col min="15365" max="15365" width="11.85546875" style="106" customWidth="1"/>
    <col min="15366" max="15366" width="15.7109375" style="106" customWidth="1"/>
    <col min="15367" max="15367" width="13" style="106" customWidth="1"/>
    <col min="15368" max="15368" width="10.85546875" style="106" customWidth="1"/>
    <col min="15369" max="15369" width="13.140625" style="106" customWidth="1"/>
    <col min="15370" max="15370" width="1.7109375" style="106" customWidth="1"/>
    <col min="15371" max="15371" width="15.7109375" style="106" customWidth="1"/>
    <col min="15372" max="15372" width="12.85546875" style="106" customWidth="1"/>
    <col min="15373" max="15616" width="9.140625" style="106"/>
    <col min="15617" max="15617" width="3.85546875" style="106" customWidth="1"/>
    <col min="15618" max="15618" width="18.42578125" style="106" customWidth="1"/>
    <col min="15619" max="15619" width="13" style="106" customWidth="1"/>
    <col min="15620" max="15620" width="14" style="106" customWidth="1"/>
    <col min="15621" max="15621" width="11.85546875" style="106" customWidth="1"/>
    <col min="15622" max="15622" width="15.7109375" style="106" customWidth="1"/>
    <col min="15623" max="15623" width="13" style="106" customWidth="1"/>
    <col min="15624" max="15624" width="10.85546875" style="106" customWidth="1"/>
    <col min="15625" max="15625" width="13.140625" style="106" customWidth="1"/>
    <col min="15626" max="15626" width="1.7109375" style="106" customWidth="1"/>
    <col min="15627" max="15627" width="15.7109375" style="106" customWidth="1"/>
    <col min="15628" max="15628" width="12.85546875" style="106" customWidth="1"/>
    <col min="15629" max="15872" width="9.140625" style="106"/>
    <col min="15873" max="15873" width="3.85546875" style="106" customWidth="1"/>
    <col min="15874" max="15874" width="18.42578125" style="106" customWidth="1"/>
    <col min="15875" max="15875" width="13" style="106" customWidth="1"/>
    <col min="15876" max="15876" width="14" style="106" customWidth="1"/>
    <col min="15877" max="15877" width="11.85546875" style="106" customWidth="1"/>
    <col min="15878" max="15878" width="15.7109375" style="106" customWidth="1"/>
    <col min="15879" max="15879" width="13" style="106" customWidth="1"/>
    <col min="15880" max="15880" width="10.85546875" style="106" customWidth="1"/>
    <col min="15881" max="15881" width="13.140625" style="106" customWidth="1"/>
    <col min="15882" max="15882" width="1.7109375" style="106" customWidth="1"/>
    <col min="15883" max="15883" width="15.7109375" style="106" customWidth="1"/>
    <col min="15884" max="15884" width="12.85546875" style="106" customWidth="1"/>
    <col min="15885" max="16128" width="9.140625" style="106"/>
    <col min="16129" max="16129" width="3.85546875" style="106" customWidth="1"/>
    <col min="16130" max="16130" width="18.42578125" style="106" customWidth="1"/>
    <col min="16131" max="16131" width="13" style="106" customWidth="1"/>
    <col min="16132" max="16132" width="14" style="106" customWidth="1"/>
    <col min="16133" max="16133" width="11.85546875" style="106" customWidth="1"/>
    <col min="16134" max="16134" width="15.7109375" style="106" customWidth="1"/>
    <col min="16135" max="16135" width="13" style="106" customWidth="1"/>
    <col min="16136" max="16136" width="10.85546875" style="106" customWidth="1"/>
    <col min="16137" max="16137" width="13.140625" style="106" customWidth="1"/>
    <col min="16138" max="16138" width="1.7109375" style="106" customWidth="1"/>
    <col min="16139" max="16139" width="15.7109375" style="106" customWidth="1"/>
    <col min="16140" max="16140" width="12.85546875" style="106" customWidth="1"/>
    <col min="16141" max="16384" width="9.140625" style="106"/>
  </cols>
  <sheetData>
    <row r="1" spans="1:12">
      <c r="A1" s="1237" t="str">
        <f>'Consolidated IS '!A2</f>
        <v>LeMay Enterprises - Pacific/Rural Disposal</v>
      </c>
    </row>
    <row r="2" spans="1:12">
      <c r="A2" s="105" t="s">
        <v>2963</v>
      </c>
    </row>
    <row r="3" spans="1:12" s="753" customFormat="1">
      <c r="A3" s="105"/>
    </row>
    <row r="4" spans="1:12">
      <c r="A4" s="375"/>
      <c r="B4" s="361"/>
      <c r="C4" s="360" t="s">
        <v>13</v>
      </c>
      <c r="D4" s="360"/>
      <c r="E4" s="360"/>
      <c r="F4" s="361"/>
      <c r="G4" s="362"/>
      <c r="H4" s="371"/>
      <c r="I4" s="371"/>
      <c r="J4" s="371"/>
      <c r="K4" s="371"/>
      <c r="L4" s="372"/>
    </row>
    <row r="5" spans="1:12">
      <c r="A5" s="363" t="s">
        <v>564</v>
      </c>
      <c r="B5" s="87"/>
      <c r="C5" s="89" t="s">
        <v>853</v>
      </c>
      <c r="D5" s="89" t="s">
        <v>1928</v>
      </c>
      <c r="E5" s="89" t="s">
        <v>1929</v>
      </c>
      <c r="F5" s="89" t="s">
        <v>625</v>
      </c>
      <c r="G5" s="89"/>
      <c r="H5" s="89"/>
      <c r="I5" s="373"/>
      <c r="J5" s="373"/>
      <c r="K5" s="373"/>
      <c r="L5" s="374"/>
    </row>
    <row r="6" spans="1:12">
      <c r="A6" s="365"/>
      <c r="G6" s="107"/>
      <c r="L6" s="366"/>
    </row>
    <row r="7" spans="1:12">
      <c r="A7" s="365"/>
      <c r="B7" s="64" t="s">
        <v>2</v>
      </c>
      <c r="C7" s="100">
        <f>+'2183-2184-2185 Ratios'!C7</f>
        <v>55323.193292979129</v>
      </c>
      <c r="D7" s="100">
        <f>+C7</f>
        <v>55323.193292979129</v>
      </c>
      <c r="E7" s="81"/>
      <c r="F7" s="81"/>
      <c r="G7" s="86"/>
      <c r="H7" s="86"/>
      <c r="I7" s="86"/>
      <c r="J7" s="81"/>
      <c r="L7" s="366"/>
    </row>
    <row r="8" spans="1:12">
      <c r="A8" s="365"/>
      <c r="B8" s="64" t="s">
        <v>313</v>
      </c>
      <c r="C8" s="100">
        <f>+'2183-2184-2185 Ratios'!C8</f>
        <v>5435.9588615484618</v>
      </c>
      <c r="D8" s="100">
        <f>+C8</f>
        <v>5435.9588615484618</v>
      </c>
      <c r="E8" s="81"/>
      <c r="F8" s="81"/>
      <c r="G8" s="86"/>
      <c r="H8" s="86"/>
      <c r="I8" s="86"/>
      <c r="J8" s="81"/>
      <c r="L8" s="366"/>
    </row>
    <row r="9" spans="1:12">
      <c r="A9" s="365"/>
      <c r="B9" s="64" t="s">
        <v>6</v>
      </c>
      <c r="C9" s="100">
        <f>+'2183-2184-2185 Ratios'!C9</f>
        <v>228.83715308922152</v>
      </c>
      <c r="D9" s="100">
        <f>+C9</f>
        <v>228.83715308922152</v>
      </c>
      <c r="E9" s="100"/>
      <c r="F9" s="81"/>
      <c r="G9" s="86"/>
      <c r="H9" s="86"/>
      <c r="I9" s="86"/>
      <c r="J9" s="81"/>
      <c r="L9" s="366"/>
    </row>
    <row r="10" spans="1:12">
      <c r="A10" s="365"/>
      <c r="B10" s="64" t="s">
        <v>3</v>
      </c>
      <c r="C10" s="100">
        <f>+'2183-2184-2185 Ratios'!C10</f>
        <v>55498.411302035769</v>
      </c>
      <c r="D10" s="100"/>
      <c r="E10" s="81">
        <f>+C10</f>
        <v>55498.411302035769</v>
      </c>
      <c r="F10" s="81"/>
      <c r="G10" s="86"/>
      <c r="H10" s="86"/>
      <c r="I10" s="86"/>
      <c r="J10" s="81"/>
      <c r="L10" s="366"/>
    </row>
    <row r="11" spans="1:12">
      <c r="A11" s="365"/>
      <c r="B11" s="64" t="s">
        <v>4</v>
      </c>
      <c r="C11" s="100">
        <f>+'2183-2184-2185 Ratios'!C11</f>
        <v>20160.670458474753</v>
      </c>
      <c r="D11" s="100"/>
      <c r="E11" s="81"/>
      <c r="F11" s="81">
        <f>+C11</f>
        <v>20160.670458474753</v>
      </c>
      <c r="G11" s="81"/>
      <c r="H11" s="81"/>
      <c r="I11" s="86"/>
      <c r="J11" s="81"/>
      <c r="L11" s="366"/>
    </row>
    <row r="12" spans="1:12">
      <c r="A12" s="365"/>
      <c r="B12" s="64" t="s">
        <v>308</v>
      </c>
      <c r="C12" s="100">
        <f>+'2183-2184-2185 Ratios'!C12</f>
        <v>11078.172446017497</v>
      </c>
      <c r="D12" s="100"/>
      <c r="E12" s="81">
        <f>+C12</f>
        <v>11078.172446017497</v>
      </c>
      <c r="F12" s="86"/>
      <c r="G12" s="86"/>
      <c r="H12" s="86"/>
      <c r="I12" s="86"/>
      <c r="J12" s="81"/>
      <c r="L12" s="366"/>
    </row>
    <row r="13" spans="1:12">
      <c r="A13" s="365"/>
      <c r="B13" s="64"/>
      <c r="C13" s="100"/>
      <c r="D13" s="100"/>
      <c r="E13" s="81"/>
      <c r="F13" s="81"/>
      <c r="G13" s="86"/>
      <c r="H13" s="86"/>
      <c r="I13" s="86"/>
      <c r="J13" s="81"/>
      <c r="L13" s="366"/>
    </row>
    <row r="14" spans="1:12">
      <c r="A14" s="365"/>
      <c r="B14" s="64"/>
      <c r="C14" s="100"/>
      <c r="D14" s="100"/>
      <c r="E14" s="81"/>
      <c r="F14" s="81"/>
      <c r="G14" s="86"/>
      <c r="H14" s="86"/>
      <c r="I14" s="86"/>
      <c r="J14" s="81"/>
      <c r="L14" s="366"/>
    </row>
    <row r="15" spans="1:12">
      <c r="A15" s="365"/>
      <c r="B15" s="64"/>
      <c r="C15" s="100"/>
      <c r="D15" s="100"/>
      <c r="E15" s="83"/>
      <c r="F15" s="81"/>
      <c r="G15" s="81"/>
      <c r="H15" s="81"/>
      <c r="I15" s="81"/>
      <c r="J15" s="81"/>
      <c r="L15" s="366"/>
    </row>
    <row r="16" spans="1:12" ht="13.5" thickBot="1">
      <c r="A16" s="365"/>
      <c r="B16" s="112" t="s">
        <v>340</v>
      </c>
      <c r="C16" s="376">
        <f>SUM(C7:C15)</f>
        <v>147725.24351414482</v>
      </c>
      <c r="D16" s="376">
        <f>SUM(D7:D15)</f>
        <v>60987.989307616808</v>
      </c>
      <c r="E16" s="376">
        <f>SUM(E7:E15)</f>
        <v>66576.583748053265</v>
      </c>
      <c r="F16" s="376">
        <f>SUM(F7:F15)</f>
        <v>20160.670458474753</v>
      </c>
      <c r="G16" s="85"/>
      <c r="H16" s="85"/>
      <c r="I16" s="83"/>
      <c r="J16" s="83"/>
      <c r="L16" s="366"/>
    </row>
    <row r="17" spans="1:13" ht="13.5" thickTop="1">
      <c r="A17" s="365"/>
      <c r="B17" s="114"/>
      <c r="C17" s="100"/>
      <c r="D17" s="100"/>
      <c r="E17" s="100"/>
      <c r="F17" s="100"/>
      <c r="G17" s="100"/>
      <c r="H17" s="100"/>
      <c r="I17" s="83"/>
      <c r="J17" s="83"/>
      <c r="L17" s="366"/>
    </row>
    <row r="18" spans="1:13">
      <c r="A18" s="365"/>
      <c r="B18" s="112" t="s">
        <v>341</v>
      </c>
      <c r="C18" s="115"/>
      <c r="D18" s="115">
        <f>+D16/$C$16</f>
        <v>0.41284744473463775</v>
      </c>
      <c r="E18" s="115">
        <f>+E16/$C$16</f>
        <v>0.45067844983229627</v>
      </c>
      <c r="F18" s="115">
        <f>+F16/$C$16</f>
        <v>0.13647410543306601</v>
      </c>
      <c r="G18" s="100"/>
      <c r="H18" s="100"/>
      <c r="I18" s="83"/>
      <c r="J18" s="83"/>
      <c r="L18" s="366"/>
    </row>
    <row r="19" spans="1:13">
      <c r="A19" s="753"/>
      <c r="B19" s="112" t="s">
        <v>1930</v>
      </c>
      <c r="C19" s="110" t="s">
        <v>312</v>
      </c>
      <c r="D19" s="115">
        <f>+SUM(D8:D9)/SUM($C$8:$C$9)</f>
        <v>1</v>
      </c>
      <c r="E19" s="115">
        <f>+SUM(E8:E9)/SUM($C$8:$C$9)</f>
        <v>0</v>
      </c>
      <c r="F19" s="115">
        <f>+SUM(F8:F9)/SUM($C$8:$C$9)</f>
        <v>0</v>
      </c>
      <c r="G19" s="83"/>
      <c r="H19" s="83"/>
      <c r="I19" s="83"/>
      <c r="J19" s="83"/>
      <c r="K19" s="753"/>
      <c r="L19" s="366"/>
    </row>
    <row r="20" spans="1:13" s="753" customFormat="1">
      <c r="A20" s="367"/>
      <c r="B20" s="1076" t="s">
        <v>2698</v>
      </c>
      <c r="C20" s="368"/>
      <c r="D20" s="1077">
        <f>D7/($D$7+$E$10+$F$11)</f>
        <v>0.42237160158034071</v>
      </c>
      <c r="E20" s="1077">
        <f>E10/($D$7+$E$10+$F$11)</f>
        <v>0.42370932463473937</v>
      </c>
      <c r="F20" s="1077">
        <f>F11/($D$7+$E$10+$F$11)</f>
        <v>0.15391907378491995</v>
      </c>
      <c r="G20" s="369"/>
      <c r="H20" s="369"/>
      <c r="I20" s="369"/>
      <c r="J20" s="369"/>
      <c r="K20" s="384"/>
      <c r="L20" s="385"/>
    </row>
    <row r="21" spans="1:13">
      <c r="B21" s="114"/>
      <c r="C21" s="110"/>
      <c r="D21" s="110"/>
      <c r="E21" s="110"/>
      <c r="F21" s="83"/>
      <c r="G21" s="83"/>
      <c r="H21" s="83"/>
      <c r="I21" s="83"/>
      <c r="J21" s="83"/>
    </row>
    <row r="22" spans="1:13">
      <c r="B22" s="114"/>
      <c r="C22" s="110"/>
      <c r="D22" s="110"/>
      <c r="E22" s="110"/>
      <c r="F22" s="83"/>
      <c r="G22" s="83"/>
      <c r="H22" s="83"/>
      <c r="I22" s="83"/>
      <c r="J22" s="83"/>
    </row>
    <row r="23" spans="1:13">
      <c r="A23" s="370"/>
      <c r="B23" s="377"/>
      <c r="C23" s="360" t="s">
        <v>13</v>
      </c>
      <c r="D23" s="360"/>
      <c r="E23" s="360"/>
      <c r="F23" s="361"/>
      <c r="G23" s="362"/>
      <c r="H23" s="361"/>
      <c r="I23" s="361"/>
      <c r="J23" s="361"/>
      <c r="K23" s="362"/>
      <c r="L23" s="372"/>
    </row>
    <row r="24" spans="1:13">
      <c r="A24" s="363" t="s">
        <v>563</v>
      </c>
      <c r="B24" s="386"/>
      <c r="C24" s="89" t="s">
        <v>853</v>
      </c>
      <c r="D24" s="89" t="s">
        <v>1928</v>
      </c>
      <c r="E24" s="89" t="s">
        <v>1929</v>
      </c>
      <c r="F24" s="89" t="s">
        <v>625</v>
      </c>
      <c r="G24" s="89"/>
      <c r="H24" s="89"/>
      <c r="I24" s="87"/>
      <c r="J24" s="87"/>
      <c r="K24" s="88"/>
      <c r="L24" s="388"/>
    </row>
    <row r="25" spans="1:13">
      <c r="A25" s="365"/>
      <c r="B25" s="117"/>
      <c r="C25" s="108"/>
      <c r="D25" s="108"/>
      <c r="E25" s="108"/>
      <c r="F25" s="109"/>
      <c r="G25" s="108"/>
      <c r="H25" s="108"/>
      <c r="I25" s="83"/>
      <c r="J25" s="83"/>
      <c r="K25" s="49"/>
      <c r="L25" s="378"/>
    </row>
    <row r="26" spans="1:13">
      <c r="A26" s="365"/>
      <c r="B26" s="64" t="s">
        <v>317</v>
      </c>
      <c r="C26" s="118">
        <f>+'2183-2184-2185 Ratios'!C43</f>
        <v>1089.3218724999999</v>
      </c>
      <c r="D26" s="118">
        <f>+C26</f>
        <v>1089.3218724999999</v>
      </c>
      <c r="E26" s="118"/>
      <c r="F26" s="119"/>
      <c r="G26" s="86"/>
      <c r="H26" s="86"/>
      <c r="I26" s="86"/>
      <c r="J26" s="86"/>
      <c r="K26" s="82"/>
      <c r="L26" s="379"/>
      <c r="M26" s="753"/>
    </row>
    <row r="27" spans="1:13">
      <c r="A27" s="365"/>
      <c r="B27" s="64"/>
      <c r="C27" s="118"/>
      <c r="D27" s="118"/>
      <c r="E27" s="118"/>
      <c r="F27" s="120"/>
      <c r="G27" s="81"/>
      <c r="H27" s="121"/>
      <c r="I27" s="86"/>
      <c r="J27" s="86"/>
      <c r="K27" s="49"/>
      <c r="L27" s="380"/>
    </row>
    <row r="28" spans="1:13">
      <c r="A28" s="365"/>
      <c r="B28" s="64" t="s">
        <v>318</v>
      </c>
      <c r="C28" s="118">
        <f>+'2183-2184-2185 Ratios'!C45</f>
        <v>214.86992100000015</v>
      </c>
      <c r="D28" s="118">
        <f>+C28</f>
        <v>214.86992100000015</v>
      </c>
      <c r="E28" s="118"/>
      <c r="F28" s="119"/>
      <c r="G28" s="86"/>
      <c r="H28" s="86"/>
      <c r="I28" s="86"/>
      <c r="J28" s="86"/>
      <c r="K28" s="82"/>
      <c r="L28" s="379"/>
    </row>
    <row r="29" spans="1:13">
      <c r="A29" s="365"/>
      <c r="B29" s="64" t="s">
        <v>3</v>
      </c>
      <c r="C29" s="118">
        <f>+'2183-2184-2185 Ratios'!C46</f>
        <v>515.16882499999997</v>
      </c>
      <c r="D29" s="118"/>
      <c r="E29" s="118">
        <f>+C29</f>
        <v>515.16882499999997</v>
      </c>
      <c r="F29" s="122"/>
      <c r="G29" s="81"/>
      <c r="H29" s="81"/>
      <c r="I29" s="86"/>
      <c r="J29" s="86"/>
      <c r="K29" s="49"/>
      <c r="L29" s="380"/>
    </row>
    <row r="30" spans="1:13">
      <c r="A30" s="365"/>
      <c r="B30" s="64" t="s">
        <v>4</v>
      </c>
      <c r="C30" s="118">
        <f>+'2183-2184-2185 Ratios'!C47</f>
        <v>149.98251750000003</v>
      </c>
      <c r="D30" s="118"/>
      <c r="E30" s="118"/>
      <c r="F30" s="122">
        <f>+C30</f>
        <v>149.98251750000003</v>
      </c>
      <c r="G30" s="86"/>
      <c r="H30" s="86"/>
      <c r="I30" s="86"/>
      <c r="J30" s="86"/>
      <c r="K30" s="82"/>
      <c r="L30" s="379"/>
    </row>
    <row r="31" spans="1:13">
      <c r="A31" s="365"/>
      <c r="B31" s="64" t="s">
        <v>308</v>
      </c>
      <c r="C31" s="118">
        <f>+'2183-2184-2185 Ratios'!C48</f>
        <v>66.737814613861758</v>
      </c>
      <c r="D31" s="118"/>
      <c r="E31" s="118">
        <f>+C31</f>
        <v>66.737814613861758</v>
      </c>
      <c r="F31" s="122"/>
      <c r="G31" s="81"/>
      <c r="H31" s="121"/>
      <c r="I31" s="86"/>
      <c r="J31" s="86"/>
      <c r="K31" s="49"/>
      <c r="L31" s="380"/>
    </row>
    <row r="32" spans="1:13">
      <c r="A32" s="365"/>
      <c r="B32" s="116"/>
      <c r="C32" s="118"/>
      <c r="D32" s="118"/>
      <c r="E32" s="118"/>
      <c r="F32" s="122"/>
      <c r="G32" s="81"/>
      <c r="H32" s="81"/>
      <c r="I32" s="86"/>
      <c r="J32" s="86"/>
      <c r="K32" s="82"/>
      <c r="L32" s="381"/>
    </row>
    <row r="33" spans="1:12" ht="13.5" thickBot="1">
      <c r="A33" s="365"/>
      <c r="B33" s="123" t="s">
        <v>343</v>
      </c>
      <c r="C33" s="389">
        <f>SUM(C26:C32)</f>
        <v>2036.0809506138619</v>
      </c>
      <c r="D33" s="389">
        <f>SUM(D26:D32)</f>
        <v>1304.1917935000001</v>
      </c>
      <c r="E33" s="389">
        <f>SUM(E26:E32)</f>
        <v>581.90663961386167</v>
      </c>
      <c r="F33" s="389">
        <f>SUM(F26:F32)</f>
        <v>149.98251750000003</v>
      </c>
      <c r="G33" s="124"/>
      <c r="H33" s="125"/>
      <c r="I33" s="83"/>
      <c r="J33" s="83"/>
      <c r="L33" s="366"/>
    </row>
    <row r="34" spans="1:12" ht="13.5" thickTop="1">
      <c r="A34" s="365"/>
      <c r="B34" s="111"/>
      <c r="C34" s="126"/>
      <c r="D34" s="126"/>
      <c r="E34" s="126"/>
      <c r="F34" s="126"/>
      <c r="G34" s="83"/>
      <c r="H34" s="83"/>
      <c r="I34" s="83"/>
      <c r="J34" s="83"/>
      <c r="L34" s="366"/>
    </row>
    <row r="35" spans="1:12">
      <c r="A35" s="365"/>
      <c r="B35" s="123" t="s">
        <v>344</v>
      </c>
      <c r="C35" s="115"/>
      <c r="D35" s="115">
        <f>+D33/$C$33</f>
        <v>0.64054024625435291</v>
      </c>
      <c r="E35" s="115">
        <f>+E33/$C$33</f>
        <v>0.28579739888948008</v>
      </c>
      <c r="F35" s="115">
        <f>+F33/$C$33</f>
        <v>7.3662354856166956E-2</v>
      </c>
      <c r="G35" s="113"/>
      <c r="H35" s="113"/>
      <c r="I35" s="86"/>
      <c r="J35" s="83"/>
      <c r="L35" s="366"/>
    </row>
    <row r="36" spans="1:12">
      <c r="A36" s="365"/>
      <c r="B36" s="123" t="s">
        <v>345</v>
      </c>
      <c r="C36" s="110"/>
      <c r="D36" s="110"/>
      <c r="E36" s="83"/>
      <c r="F36" s="83"/>
      <c r="G36" s="113"/>
      <c r="H36" s="113"/>
      <c r="I36" s="83"/>
      <c r="J36" s="83"/>
      <c r="L36" s="366"/>
    </row>
    <row r="37" spans="1:12">
      <c r="A37" s="367"/>
      <c r="B37" s="382"/>
      <c r="C37" s="383"/>
      <c r="D37" s="382"/>
      <c r="E37" s="369"/>
      <c r="F37" s="369"/>
      <c r="G37" s="369"/>
      <c r="H37" s="369"/>
      <c r="I37" s="369"/>
      <c r="J37" s="369"/>
      <c r="K37" s="384"/>
      <c r="L37" s="385"/>
    </row>
    <row r="38" spans="1:12">
      <c r="B38" s="116"/>
      <c r="C38" s="116"/>
      <c r="D38" s="116"/>
      <c r="E38" s="83"/>
      <c r="F38" s="108"/>
      <c r="G38" s="108"/>
      <c r="H38" s="108"/>
      <c r="I38" s="108"/>
      <c r="J38" s="83"/>
    </row>
    <row r="39" spans="1:12">
      <c r="B39" s="127"/>
      <c r="C39" s="100"/>
      <c r="D39" s="100"/>
      <c r="E39" s="83"/>
      <c r="F39" s="83"/>
      <c r="G39" s="83"/>
      <c r="H39" s="83"/>
      <c r="I39" s="83"/>
      <c r="J39" s="83"/>
    </row>
    <row r="40" spans="1:12">
      <c r="A40" s="370"/>
      <c r="B40" s="396"/>
      <c r="C40" s="360" t="s">
        <v>13</v>
      </c>
      <c r="D40" s="360"/>
      <c r="E40" s="360"/>
      <c r="F40" s="361"/>
      <c r="G40" s="397"/>
      <c r="H40" s="397"/>
      <c r="I40" s="397"/>
      <c r="J40" s="361"/>
      <c r="K40" s="371"/>
      <c r="L40" s="372"/>
    </row>
    <row r="41" spans="1:12">
      <c r="A41" s="363" t="s">
        <v>272</v>
      </c>
      <c r="B41" s="387"/>
      <c r="C41" s="89" t="s">
        <v>853</v>
      </c>
      <c r="D41" s="89" t="s">
        <v>1928</v>
      </c>
      <c r="E41" s="89" t="s">
        <v>1929</v>
      </c>
      <c r="F41" s="89" t="s">
        <v>625</v>
      </c>
      <c r="G41" s="398"/>
      <c r="H41" s="398"/>
      <c r="I41" s="398"/>
      <c r="J41" s="87"/>
      <c r="K41" s="373"/>
      <c r="L41" s="374"/>
    </row>
    <row r="42" spans="1:12">
      <c r="A42" s="365"/>
      <c r="B42" s="100"/>
      <c r="C42" s="100"/>
      <c r="D42" s="100"/>
      <c r="E42" s="81"/>
      <c r="F42" s="83"/>
      <c r="G42" s="83"/>
      <c r="H42" s="83"/>
      <c r="I42" s="108"/>
      <c r="J42" s="83"/>
      <c r="L42" s="366"/>
    </row>
    <row r="43" spans="1:12">
      <c r="A43" s="365"/>
      <c r="B43" s="91" t="s">
        <v>324</v>
      </c>
      <c r="C43" s="95"/>
      <c r="D43" s="95"/>
      <c r="E43" s="95"/>
      <c r="F43" s="96"/>
      <c r="G43" s="96"/>
      <c r="H43" s="96"/>
      <c r="I43" s="96"/>
      <c r="J43" s="81"/>
      <c r="L43" s="366"/>
    </row>
    <row r="44" spans="1:12">
      <c r="A44" s="365"/>
      <c r="B44" s="64" t="s">
        <v>325</v>
      </c>
      <c r="C44" s="150">
        <f>+'2183-2184-2185 Ratios'!C76</f>
        <v>930269.66717559285</v>
      </c>
      <c r="D44" s="150">
        <f>+C44</f>
        <v>930269.66717559285</v>
      </c>
      <c r="E44" s="150"/>
      <c r="F44" s="80"/>
      <c r="G44" s="80"/>
      <c r="H44" s="80"/>
      <c r="I44" s="96"/>
      <c r="J44" s="81"/>
      <c r="L44" s="366"/>
    </row>
    <row r="45" spans="1:12">
      <c r="A45" s="365"/>
      <c r="B45" s="64" t="s">
        <v>327</v>
      </c>
      <c r="C45" s="150">
        <f>+'2183-2184-2185 Ratios'!C77</f>
        <v>134334.8591418126</v>
      </c>
      <c r="D45" s="150">
        <f>+C45</f>
        <v>134334.8591418126</v>
      </c>
      <c r="E45" s="150"/>
      <c r="F45" s="58"/>
      <c r="G45" s="58"/>
      <c r="H45" s="58"/>
      <c r="I45" s="96"/>
      <c r="J45" s="81"/>
      <c r="L45" s="366"/>
    </row>
    <row r="46" spans="1:12">
      <c r="A46" s="365"/>
      <c r="B46" s="64" t="s">
        <v>3</v>
      </c>
      <c r="C46" s="150">
        <f>+'2183-2184-2185 Ratios'!C78</f>
        <v>395759.83090297331</v>
      </c>
      <c r="D46" s="150"/>
      <c r="E46" s="150">
        <f>+C46</f>
        <v>395759.83090297331</v>
      </c>
      <c r="F46" s="58"/>
      <c r="G46" s="58"/>
      <c r="H46" s="58"/>
      <c r="I46" s="96"/>
      <c r="J46" s="81"/>
      <c r="L46" s="366"/>
    </row>
    <row r="47" spans="1:12">
      <c r="A47" s="365"/>
      <c r="B47" s="64" t="s">
        <v>4</v>
      </c>
      <c r="C47" s="150">
        <f>+'2183-2184-2185 Ratios'!C79</f>
        <v>131518.997666902</v>
      </c>
      <c r="D47" s="150"/>
      <c r="E47" s="150"/>
      <c r="F47" s="58">
        <f>+C47</f>
        <v>131518.997666902</v>
      </c>
      <c r="G47" s="58"/>
      <c r="H47" s="58"/>
      <c r="I47" s="96"/>
      <c r="J47" s="81"/>
      <c r="L47" s="366"/>
    </row>
    <row r="48" spans="1:12">
      <c r="A48" s="365"/>
      <c r="B48" s="64"/>
      <c r="C48" s="477">
        <f>SUM(C44:C47)</f>
        <v>1591883.3548872806</v>
      </c>
      <c r="D48" s="477">
        <f>SUM(D43:D47)</f>
        <v>1064604.5263174055</v>
      </c>
      <c r="E48" s="477">
        <f>SUM(E43:E47)</f>
        <v>395759.83090297331</v>
      </c>
      <c r="F48" s="477">
        <f>SUM(F43:F47)</f>
        <v>131518.997666902</v>
      </c>
      <c r="G48" s="58"/>
      <c r="H48" s="58"/>
      <c r="I48" s="98"/>
      <c r="J48" s="81"/>
      <c r="L48" s="366"/>
    </row>
    <row r="49" spans="1:12">
      <c r="A49" s="365"/>
      <c r="B49" s="64"/>
      <c r="C49" s="58"/>
      <c r="D49" s="58"/>
      <c r="E49" s="58"/>
      <c r="F49" s="58"/>
      <c r="G49" s="58"/>
      <c r="H49" s="58"/>
      <c r="I49" s="93"/>
      <c r="J49" s="81"/>
      <c r="L49" s="366"/>
    </row>
    <row r="50" spans="1:12">
      <c r="A50" s="365"/>
      <c r="B50" s="91" t="s">
        <v>328</v>
      </c>
      <c r="C50" s="58"/>
      <c r="D50" s="58"/>
      <c r="E50" s="58"/>
      <c r="F50" s="58"/>
      <c r="G50" s="58"/>
      <c r="H50" s="58"/>
      <c r="I50" s="93"/>
      <c r="J50" s="81"/>
      <c r="L50" s="366"/>
    </row>
    <row r="51" spans="1:12">
      <c r="A51" s="365"/>
      <c r="B51" s="64" t="s">
        <v>329</v>
      </c>
      <c r="C51" s="150">
        <f>+'2183-2184-2185 Ratios'!C83</f>
        <v>274220.69771629258</v>
      </c>
      <c r="D51" s="37">
        <f>+C51</f>
        <v>274220.69771629258</v>
      </c>
      <c r="E51" s="37"/>
      <c r="F51" s="58"/>
      <c r="G51" s="58"/>
      <c r="H51" s="58"/>
      <c r="I51" s="96"/>
      <c r="J51" s="81"/>
      <c r="L51" s="366"/>
    </row>
    <row r="52" spans="1:12">
      <c r="A52" s="365"/>
      <c r="B52" s="64" t="s">
        <v>6</v>
      </c>
      <c r="C52" s="150">
        <f>+'2183-2184-2185 Ratios'!C84</f>
        <v>41859.769957004668</v>
      </c>
      <c r="D52" s="37">
        <f>+C52</f>
        <v>41859.769957004668</v>
      </c>
      <c r="E52" s="37"/>
      <c r="F52" s="58"/>
      <c r="G52" s="58"/>
      <c r="H52" s="58"/>
      <c r="I52" s="96"/>
      <c r="J52" s="81"/>
      <c r="L52" s="366"/>
    </row>
    <row r="53" spans="1:12">
      <c r="A53" s="365"/>
      <c r="B53" s="64" t="s">
        <v>3</v>
      </c>
      <c r="C53" s="150">
        <f>+'2183-2184-2185 Ratios'!C85</f>
        <v>115880.48029200301</v>
      </c>
      <c r="D53" s="37"/>
      <c r="E53" s="37">
        <f>+C53</f>
        <v>115880.48029200301</v>
      </c>
      <c r="F53" s="58"/>
      <c r="G53" s="58"/>
      <c r="H53" s="58"/>
      <c r="I53" s="96"/>
      <c r="J53" s="81"/>
      <c r="L53" s="366"/>
    </row>
    <row r="54" spans="1:12">
      <c r="A54" s="365"/>
      <c r="B54" s="64" t="s">
        <v>4</v>
      </c>
      <c r="C54" s="150">
        <f>+'2183-2184-2185 Ratios'!C86</f>
        <v>64873.279125187037</v>
      </c>
      <c r="D54" s="37"/>
      <c r="E54" s="37"/>
      <c r="F54" s="58">
        <f>+C54</f>
        <v>64873.279125187037</v>
      </c>
      <c r="G54" s="58"/>
      <c r="H54" s="58"/>
      <c r="I54" s="96"/>
      <c r="J54" s="81"/>
      <c r="L54" s="366"/>
    </row>
    <row r="55" spans="1:12">
      <c r="A55" s="365"/>
      <c r="B55" s="64"/>
      <c r="C55" s="477">
        <f>SUM(C51:C54)</f>
        <v>496834.22709048731</v>
      </c>
      <c r="D55" s="477">
        <f>SUM(D51:D54)</f>
        <v>316080.46767329727</v>
      </c>
      <c r="E55" s="477">
        <f>SUM(E51:E54)</f>
        <v>115880.48029200301</v>
      </c>
      <c r="F55" s="477">
        <f>SUM(F51:F54)</f>
        <v>64873.279125187037</v>
      </c>
      <c r="G55" s="58"/>
      <c r="H55" s="58"/>
      <c r="I55" s="93"/>
      <c r="J55" s="81"/>
      <c r="L55" s="366"/>
    </row>
    <row r="56" spans="1:12">
      <c r="A56" s="365"/>
      <c r="B56" s="64"/>
      <c r="C56" s="58"/>
      <c r="D56" s="58"/>
      <c r="E56" s="58"/>
      <c r="F56" s="58"/>
      <c r="G56" s="58"/>
      <c r="H56" s="58"/>
      <c r="I56" s="93"/>
      <c r="J56" s="81"/>
      <c r="L56" s="366"/>
    </row>
    <row r="57" spans="1:12">
      <c r="A57" s="365"/>
      <c r="B57" s="64" t="s">
        <v>330</v>
      </c>
      <c r="C57" s="150">
        <f>+'2183-2184-2185 Ratios'!C89</f>
        <v>17055.751164479869</v>
      </c>
      <c r="D57" s="37">
        <f t="shared" ref="D57:F58" si="0">+$C57*D$35</f>
        <v>10924.895050948902</v>
      </c>
      <c r="E57" s="37">
        <f t="shared" si="0"/>
        <v>4874.4893189145678</v>
      </c>
      <c r="F57" s="37">
        <f t="shared" si="0"/>
        <v>1256.3667946163989</v>
      </c>
      <c r="G57" s="58" t="s">
        <v>337</v>
      </c>
      <c r="H57" s="58"/>
      <c r="I57" s="478"/>
      <c r="J57" s="81"/>
      <c r="L57" s="366"/>
    </row>
    <row r="58" spans="1:12">
      <c r="A58" s="365"/>
      <c r="B58" s="64" t="s">
        <v>331</v>
      </c>
      <c r="C58" s="150">
        <f>+'2183-2184-2185 Ratios'!C90</f>
        <v>19012.007566398941</v>
      </c>
      <c r="D58" s="37">
        <f t="shared" si="0"/>
        <v>12177.956008370798</v>
      </c>
      <c r="E58" s="37">
        <f t="shared" si="0"/>
        <v>5433.5823101439319</v>
      </c>
      <c r="F58" s="37">
        <f t="shared" si="0"/>
        <v>1400.4692478842098</v>
      </c>
      <c r="G58" s="58" t="s">
        <v>337</v>
      </c>
      <c r="H58" s="58"/>
      <c r="I58" s="478"/>
      <c r="J58" s="99"/>
      <c r="L58" s="366"/>
    </row>
    <row r="59" spans="1:12">
      <c r="A59" s="365"/>
      <c r="B59" s="64" t="s">
        <v>332</v>
      </c>
      <c r="C59" s="150">
        <f>+'2183-2184-2185 Ratios'!C91</f>
        <v>1655.9837426653694</v>
      </c>
      <c r="D59" s="37">
        <f>+$C59*D$18</f>
        <v>683.66865668149967</v>
      </c>
      <c r="E59" s="37">
        <f>+$C59*E$18</f>
        <v>746.31618609191287</v>
      </c>
      <c r="F59" s="37">
        <f>+$C59*F$18</f>
        <v>225.99889989195688</v>
      </c>
      <c r="G59" s="58" t="s">
        <v>341</v>
      </c>
      <c r="H59" s="58"/>
      <c r="I59" s="478"/>
      <c r="J59" s="81"/>
      <c r="L59" s="366"/>
    </row>
    <row r="60" spans="1:12">
      <c r="A60" s="365"/>
      <c r="B60" s="64" t="s">
        <v>78</v>
      </c>
      <c r="C60" s="150">
        <f>+'2183-2184-2185 Ratios'!C92</f>
        <v>0</v>
      </c>
      <c r="D60" s="37">
        <v>0</v>
      </c>
      <c r="E60" s="37">
        <v>0</v>
      </c>
      <c r="F60" s="58">
        <v>0</v>
      </c>
      <c r="G60" s="58" t="s">
        <v>348</v>
      </c>
      <c r="H60" s="58"/>
      <c r="I60" s="478"/>
      <c r="J60" s="81"/>
      <c r="L60" s="366"/>
    </row>
    <row r="61" spans="1:12">
      <c r="A61" s="365"/>
      <c r="B61" s="64"/>
      <c r="C61" s="58"/>
      <c r="D61" s="58"/>
      <c r="E61" s="58"/>
      <c r="F61" s="58"/>
      <c r="G61" s="58"/>
      <c r="H61" s="58"/>
      <c r="I61" s="93"/>
      <c r="J61" s="81"/>
      <c r="L61" s="366"/>
    </row>
    <row r="62" spans="1:12">
      <c r="A62" s="365"/>
      <c r="B62" s="64" t="s">
        <v>333</v>
      </c>
      <c r="C62" s="150">
        <f>+'2183-2184-2185 Ratios'!C94</f>
        <v>0</v>
      </c>
      <c r="D62" s="58">
        <v>0</v>
      </c>
      <c r="E62" s="58">
        <v>0</v>
      </c>
      <c r="F62" s="58">
        <v>0</v>
      </c>
      <c r="G62" s="58" t="s">
        <v>348</v>
      </c>
      <c r="H62" s="58"/>
      <c r="I62" s="96"/>
      <c r="J62" s="83"/>
      <c r="L62" s="366"/>
    </row>
    <row r="63" spans="1:12">
      <c r="A63" s="365"/>
      <c r="B63" s="64" t="s">
        <v>334</v>
      </c>
      <c r="C63" s="150">
        <f>+'2183-2184-2185 Ratios'!C95</f>
        <v>62669.65092603027</v>
      </c>
      <c r="D63" s="37">
        <f t="shared" ref="D63:F64" si="1">+$C63*D$18</f>
        <v>25873.005247223322</v>
      </c>
      <c r="E63" s="37">
        <f t="shared" si="1"/>
        <v>28243.861130874451</v>
      </c>
      <c r="F63" s="37">
        <f t="shared" si="1"/>
        <v>8552.7845479324988</v>
      </c>
      <c r="G63" s="58" t="s">
        <v>341</v>
      </c>
      <c r="H63" s="58"/>
      <c r="I63" s="96"/>
      <c r="J63" s="81"/>
      <c r="L63" s="366"/>
    </row>
    <row r="64" spans="1:12">
      <c r="A64" s="365"/>
      <c r="B64" s="64" t="s">
        <v>336</v>
      </c>
      <c r="C64" s="150">
        <f>+'2183-2184-2185 Ratios'!C96</f>
        <v>23347.217283790007</v>
      </c>
      <c r="D64" s="37">
        <f t="shared" si="1"/>
        <v>9638.8389972770747</v>
      </c>
      <c r="E64" s="37">
        <f t="shared" si="1"/>
        <v>10522.087693356276</v>
      </c>
      <c r="F64" s="37">
        <f t="shared" si="1"/>
        <v>3186.2905931566584</v>
      </c>
      <c r="G64" s="58" t="s">
        <v>341</v>
      </c>
      <c r="H64" s="58"/>
      <c r="I64" s="96"/>
      <c r="J64" s="81"/>
      <c r="L64" s="366"/>
    </row>
    <row r="65" spans="1:12" s="753" customFormat="1">
      <c r="A65" s="365"/>
      <c r="B65" s="64" t="s">
        <v>931</v>
      </c>
      <c r="C65" s="150">
        <f>+'2183-2184-2185 Ratios'!C97</f>
        <v>11754.910576334936</v>
      </c>
      <c r="D65" s="37">
        <v>0</v>
      </c>
      <c r="E65" s="37">
        <f>+C65</f>
        <v>11754.910576334936</v>
      </c>
      <c r="F65" s="58">
        <v>0</v>
      </c>
      <c r="G65" s="58" t="s">
        <v>933</v>
      </c>
      <c r="H65" s="58"/>
      <c r="I65" s="96"/>
      <c r="J65" s="81"/>
      <c r="L65" s="366"/>
    </row>
    <row r="66" spans="1:12" s="753" customFormat="1">
      <c r="A66" s="365"/>
      <c r="B66" s="64"/>
      <c r="C66" s="477">
        <f t="shared" ref="C66:F66" si="2">SUM(C57:C65)</f>
        <v>135495.52125969937</v>
      </c>
      <c r="D66" s="477">
        <f t="shared" si="2"/>
        <v>59298.3639605016</v>
      </c>
      <c r="E66" s="477">
        <f t="shared" si="2"/>
        <v>61575.247215716074</v>
      </c>
      <c r="F66" s="477">
        <f t="shared" si="2"/>
        <v>14621.910083481724</v>
      </c>
      <c r="G66" s="58"/>
      <c r="H66" s="58"/>
      <c r="I66" s="93"/>
      <c r="J66" s="81"/>
      <c r="L66" s="366"/>
    </row>
    <row r="67" spans="1:12" s="753" customFormat="1">
      <c r="A67" s="365"/>
      <c r="B67" s="64"/>
      <c r="C67" s="51"/>
      <c r="D67" s="51"/>
      <c r="E67" s="51"/>
      <c r="F67" s="58"/>
      <c r="G67" s="58"/>
      <c r="H67" s="58"/>
      <c r="I67" s="93"/>
      <c r="J67" s="81"/>
      <c r="L67" s="366"/>
    </row>
    <row r="68" spans="1:12" s="753" customFormat="1" ht="13.5" thickBot="1">
      <c r="A68" s="365"/>
      <c r="B68" s="91" t="s">
        <v>13</v>
      </c>
      <c r="C68" s="364">
        <f>C48+C55+C66</f>
        <v>2224213.1032374674</v>
      </c>
      <c r="D68" s="364">
        <f>D48+D55+D66</f>
        <v>1439983.3579512043</v>
      </c>
      <c r="E68" s="364">
        <f>E48+E55+E66</f>
        <v>573215.55841069238</v>
      </c>
      <c r="F68" s="364">
        <f>F48+F55+F66</f>
        <v>211014.18687557077</v>
      </c>
      <c r="G68" s="58"/>
      <c r="H68" s="58"/>
      <c r="I68" s="93"/>
      <c r="J68" s="81"/>
      <c r="L68" s="366"/>
    </row>
    <row r="69" spans="1:12" ht="13.5" thickTop="1">
      <c r="A69" s="365"/>
      <c r="B69" s="64"/>
      <c r="C69" s="51"/>
      <c r="D69" s="51"/>
      <c r="E69" s="51"/>
      <c r="F69" s="58"/>
      <c r="G69" s="58"/>
      <c r="H69" s="58"/>
      <c r="I69" s="64"/>
      <c r="J69" s="83"/>
      <c r="L69" s="366"/>
    </row>
    <row r="70" spans="1:12">
      <c r="A70" s="367"/>
      <c r="B70" s="390"/>
      <c r="C70" s="391"/>
      <c r="D70" s="391"/>
      <c r="E70" s="391"/>
      <c r="F70" s="391"/>
      <c r="G70" s="391"/>
      <c r="H70" s="391"/>
      <c r="I70" s="391"/>
      <c r="J70" s="392"/>
      <c r="K70" s="384"/>
      <c r="L70" s="385"/>
    </row>
    <row r="71" spans="1:12">
      <c r="B71" s="116"/>
      <c r="C71" s="116"/>
      <c r="D71" s="129"/>
      <c r="E71" s="119"/>
      <c r="F71" s="83"/>
      <c r="G71" s="83"/>
      <c r="H71" s="83"/>
      <c r="I71" s="83"/>
      <c r="J71" s="83"/>
    </row>
    <row r="72" spans="1:12">
      <c r="A72" s="370"/>
      <c r="B72" s="396"/>
      <c r="C72" s="360" t="s">
        <v>13</v>
      </c>
      <c r="D72" s="360"/>
      <c r="E72" s="360"/>
      <c r="F72" s="361"/>
      <c r="G72" s="361"/>
      <c r="H72" s="361"/>
      <c r="I72" s="361"/>
      <c r="J72" s="361"/>
      <c r="K72" s="371"/>
      <c r="L72" s="372"/>
    </row>
    <row r="73" spans="1:12">
      <c r="A73" s="363" t="s">
        <v>338</v>
      </c>
      <c r="B73" s="88"/>
      <c r="C73" s="89" t="s">
        <v>853</v>
      </c>
      <c r="D73" s="89" t="s">
        <v>1928</v>
      </c>
      <c r="E73" s="89" t="s">
        <v>1929</v>
      </c>
      <c r="F73" s="89" t="s">
        <v>625</v>
      </c>
      <c r="G73" s="90"/>
      <c r="H73" s="90"/>
      <c r="I73" s="90"/>
      <c r="J73" s="90"/>
      <c r="K73" s="373"/>
      <c r="L73" s="374"/>
    </row>
    <row r="74" spans="1:12">
      <c r="A74" s="365"/>
      <c r="B74" s="91" t="s">
        <v>324</v>
      </c>
      <c r="C74" s="95"/>
      <c r="D74" s="95"/>
      <c r="E74" s="95"/>
      <c r="F74" s="96"/>
      <c r="G74" s="81"/>
      <c r="H74" s="81"/>
      <c r="I74" s="81"/>
      <c r="J74" s="81"/>
      <c r="L74" s="366"/>
    </row>
    <row r="75" spans="1:12">
      <c r="A75" s="365"/>
      <c r="B75" s="64" t="s">
        <v>325</v>
      </c>
      <c r="C75" s="150">
        <f>+'2183-2184-2185 Ratios'!C111</f>
        <v>6747307.6935512163</v>
      </c>
      <c r="D75" s="150">
        <f>+C75</f>
        <v>6747307.6935512163</v>
      </c>
      <c r="E75" s="150"/>
      <c r="F75" s="150"/>
      <c r="G75" s="81"/>
      <c r="H75" s="81"/>
      <c r="I75" s="83"/>
      <c r="J75" s="81"/>
      <c r="L75" s="366"/>
    </row>
    <row r="76" spans="1:12">
      <c r="A76" s="365"/>
      <c r="B76" s="64" t="s">
        <v>327</v>
      </c>
      <c r="C76" s="150">
        <f>+'2183-2184-2185 Ratios'!C112</f>
        <v>655069.70684407407</v>
      </c>
      <c r="D76" s="150">
        <f>+C76</f>
        <v>655069.70684407407</v>
      </c>
      <c r="E76" s="150"/>
      <c r="F76" s="150"/>
      <c r="G76" s="81"/>
      <c r="H76" s="81"/>
      <c r="I76" s="83"/>
      <c r="J76" s="99"/>
      <c r="L76" s="366"/>
    </row>
    <row r="77" spans="1:12">
      <c r="A77" s="365"/>
      <c r="B77" s="64" t="s">
        <v>3</v>
      </c>
      <c r="C77" s="150">
        <f>+'2183-2184-2185 Ratios'!C113</f>
        <v>1669242.5035621021</v>
      </c>
      <c r="D77" s="150"/>
      <c r="E77" s="150">
        <f>+C77</f>
        <v>1669242.5035621021</v>
      </c>
      <c r="F77" s="150"/>
      <c r="G77" s="81"/>
      <c r="H77" s="81"/>
      <c r="I77" s="81"/>
      <c r="J77" s="81"/>
      <c r="L77" s="366"/>
    </row>
    <row r="78" spans="1:12">
      <c r="A78" s="365"/>
      <c r="B78" s="64" t="s">
        <v>4</v>
      </c>
      <c r="C78" s="150">
        <f>+'2183-2184-2185 Ratios'!C114</f>
        <v>297517.60613647953</v>
      </c>
      <c r="D78" s="150"/>
      <c r="E78" s="150"/>
      <c r="F78" s="150">
        <f>+C78</f>
        <v>297517.60613647953</v>
      </c>
      <c r="G78" s="81"/>
      <c r="H78" s="81"/>
      <c r="I78" s="83"/>
      <c r="J78" s="99"/>
      <c r="L78" s="366"/>
    </row>
    <row r="79" spans="1:12">
      <c r="A79" s="365"/>
      <c r="B79" s="64"/>
      <c r="C79" s="477">
        <f>SUM(C74:C78)</f>
        <v>9369137.5100938734</v>
      </c>
      <c r="D79" s="477">
        <f>SUM(D74:D78)</f>
        <v>7402377.40039529</v>
      </c>
      <c r="E79" s="477">
        <f>SUM(E74:E78)</f>
        <v>1669242.5035621021</v>
      </c>
      <c r="F79" s="477">
        <f>SUM(F74:F78)</f>
        <v>297517.60613647953</v>
      </c>
      <c r="G79" s="81"/>
      <c r="H79" s="113"/>
      <c r="I79" s="113"/>
      <c r="J79" s="99"/>
      <c r="L79" s="366"/>
    </row>
    <row r="80" spans="1:12">
      <c r="A80" s="365"/>
      <c r="B80" s="64"/>
      <c r="C80" s="58"/>
      <c r="D80" s="58"/>
      <c r="E80" s="58"/>
      <c r="F80" s="58"/>
      <c r="G80" s="81"/>
      <c r="H80" s="81"/>
      <c r="I80" s="83"/>
      <c r="J80" s="83"/>
      <c r="L80" s="366"/>
    </row>
    <row r="81" spans="1:12">
      <c r="A81" s="365"/>
      <c r="B81" s="91" t="s">
        <v>328</v>
      </c>
      <c r="C81" s="58"/>
      <c r="D81" s="58"/>
      <c r="E81" s="58"/>
      <c r="F81" s="58"/>
      <c r="G81" s="81"/>
      <c r="H81" s="81"/>
      <c r="I81" s="83"/>
      <c r="J81" s="83"/>
      <c r="L81" s="366"/>
    </row>
    <row r="82" spans="1:12">
      <c r="A82" s="365"/>
      <c r="B82" s="64" t="s">
        <v>329</v>
      </c>
      <c r="C82" s="150">
        <f>+'2183-2184-2185 Ratios'!C118</f>
        <v>1233568.9114510373</v>
      </c>
      <c r="D82" s="37">
        <f>+C82</f>
        <v>1233568.9114510373</v>
      </c>
      <c r="E82" s="37"/>
      <c r="F82" s="37"/>
      <c r="G82" s="81"/>
      <c r="H82" s="81"/>
      <c r="I82" s="83"/>
      <c r="J82" s="83"/>
      <c r="L82" s="366"/>
    </row>
    <row r="83" spans="1:12">
      <c r="A83" s="365"/>
      <c r="B83" s="64" t="s">
        <v>6</v>
      </c>
      <c r="C83" s="150">
        <f>+'2183-2184-2185 Ratios'!C119</f>
        <v>312751.60590833571</v>
      </c>
      <c r="D83" s="37">
        <f>+C83</f>
        <v>312751.60590833571</v>
      </c>
      <c r="E83" s="37"/>
      <c r="F83" s="37"/>
      <c r="G83" s="81"/>
      <c r="H83" s="83"/>
      <c r="I83" s="83"/>
      <c r="J83" s="83"/>
      <c r="L83" s="366"/>
    </row>
    <row r="84" spans="1:12">
      <c r="A84" s="365"/>
      <c r="B84" s="64" t="s">
        <v>3</v>
      </c>
      <c r="C84" s="150">
        <f>+'2183-2184-2185 Ratios'!C120</f>
        <v>477115.81503270473</v>
      </c>
      <c r="D84" s="37"/>
      <c r="E84" s="37">
        <f>+C84</f>
        <v>477115.81503270473</v>
      </c>
      <c r="F84" s="37"/>
      <c r="G84" s="81"/>
      <c r="H84" s="83"/>
      <c r="I84" s="81"/>
      <c r="J84" s="83"/>
      <c r="L84" s="366"/>
    </row>
    <row r="85" spans="1:12">
      <c r="A85" s="365"/>
      <c r="B85" s="64" t="s">
        <v>4</v>
      </c>
      <c r="C85" s="150">
        <f>+'2183-2184-2185 Ratios'!C121</f>
        <v>300912.55577024113</v>
      </c>
      <c r="D85" s="37"/>
      <c r="E85" s="37"/>
      <c r="F85" s="37">
        <f>+C85</f>
        <v>300912.55577024113</v>
      </c>
      <c r="G85" s="81"/>
      <c r="H85" s="99"/>
      <c r="I85" s="99"/>
      <c r="J85" s="99"/>
      <c r="L85" s="366"/>
    </row>
    <row r="86" spans="1:12">
      <c r="A86" s="365"/>
      <c r="B86" s="64"/>
      <c r="C86" s="477">
        <f>SUM(C82:C85)</f>
        <v>2324348.8881623186</v>
      </c>
      <c r="D86" s="477">
        <f>SUM(D82:D85)</f>
        <v>1546320.5173593729</v>
      </c>
      <c r="E86" s="477">
        <f>SUM(E82:E85)</f>
        <v>477115.81503270473</v>
      </c>
      <c r="F86" s="477">
        <f>SUM(F82:F85)</f>
        <v>300912.55577024113</v>
      </c>
      <c r="G86" s="81"/>
      <c r="H86" s="83"/>
      <c r="I86" s="83"/>
      <c r="J86" s="83"/>
      <c r="L86" s="366"/>
    </row>
    <row r="87" spans="1:12">
      <c r="A87" s="365"/>
      <c r="B87" s="64"/>
      <c r="C87" s="58"/>
      <c r="D87" s="58"/>
      <c r="E87" s="58"/>
      <c r="F87" s="58"/>
      <c r="G87" s="81"/>
      <c r="H87" s="83"/>
      <c r="I87" s="83"/>
      <c r="J87" s="83"/>
      <c r="L87" s="366"/>
    </row>
    <row r="88" spans="1:12">
      <c r="A88" s="365"/>
      <c r="B88" s="64" t="s">
        <v>330</v>
      </c>
      <c r="C88" s="150">
        <f>+'2183-2184-2185 Ratios'!C124</f>
        <v>41269.448113481434</v>
      </c>
      <c r="D88" s="37">
        <f t="shared" ref="D88:F89" si="3">+$C88*D$35</f>
        <v>26434.742457390639</v>
      </c>
      <c r="E88" s="37">
        <f t="shared" si="3"/>
        <v>11794.700924437355</v>
      </c>
      <c r="F88" s="37">
        <f t="shared" si="3"/>
        <v>3040.0047316534392</v>
      </c>
      <c r="G88" s="58" t="s">
        <v>337</v>
      </c>
      <c r="H88" s="99"/>
      <c r="I88" s="99"/>
      <c r="J88" s="99"/>
      <c r="L88" s="366"/>
    </row>
    <row r="89" spans="1:12">
      <c r="A89" s="365"/>
      <c r="B89" s="64" t="s">
        <v>331</v>
      </c>
      <c r="C89" s="150">
        <f>+'2183-2184-2185 Ratios'!C125</f>
        <v>69205.12770161769</v>
      </c>
      <c r="D89" s="37">
        <f t="shared" si="3"/>
        <v>44328.669540058137</v>
      </c>
      <c r="E89" s="37">
        <f t="shared" si="3"/>
        <v>19778.645486936639</v>
      </c>
      <c r="F89" s="37">
        <f t="shared" si="3"/>
        <v>5097.8126746229118</v>
      </c>
      <c r="G89" s="58" t="s">
        <v>337</v>
      </c>
      <c r="H89" s="83"/>
      <c r="I89" s="83"/>
      <c r="J89" s="83"/>
      <c r="L89" s="366"/>
    </row>
    <row r="90" spans="1:12">
      <c r="A90" s="365"/>
      <c r="B90" s="64" t="s">
        <v>332</v>
      </c>
      <c r="C90" s="150">
        <f>+'2183-2184-2185 Ratios'!C126</f>
        <v>4162.875247344241</v>
      </c>
      <c r="D90" s="37">
        <f>+$C90*D$18</f>
        <v>1718.632408615143</v>
      </c>
      <c r="E90" s="37">
        <f>+$C90*E$18</f>
        <v>1876.1181633183394</v>
      </c>
      <c r="F90" s="37">
        <f>+$C90*F$18</f>
        <v>568.12467541075864</v>
      </c>
      <c r="G90" s="58" t="s">
        <v>341</v>
      </c>
      <c r="H90" s="83"/>
      <c r="I90" s="83"/>
      <c r="J90" s="83"/>
      <c r="L90" s="366"/>
    </row>
    <row r="91" spans="1:12">
      <c r="A91" s="365"/>
      <c r="B91" s="64" t="s">
        <v>78</v>
      </c>
      <c r="C91" s="150">
        <f>+'2183-2184-2185 Ratios'!C127</f>
        <v>0</v>
      </c>
      <c r="D91" s="37">
        <v>0</v>
      </c>
      <c r="E91" s="37">
        <v>0</v>
      </c>
      <c r="F91" s="58">
        <v>0</v>
      </c>
      <c r="G91" s="58" t="s">
        <v>348</v>
      </c>
      <c r="H91" s="83"/>
      <c r="I91" s="83"/>
      <c r="J91" s="83"/>
      <c r="L91" s="366"/>
    </row>
    <row r="92" spans="1:12">
      <c r="A92" s="365"/>
      <c r="B92" s="64"/>
      <c r="C92" s="58"/>
      <c r="D92" s="58"/>
      <c r="E92" s="58"/>
      <c r="F92" s="58"/>
      <c r="G92" s="58"/>
      <c r="H92" s="83"/>
      <c r="I92" s="83"/>
      <c r="J92" s="83"/>
      <c r="L92" s="366"/>
    </row>
    <row r="93" spans="1:12">
      <c r="A93" s="365"/>
      <c r="B93" s="64" t="s">
        <v>333</v>
      </c>
      <c r="C93" s="150">
        <f>+'2183-2184-2185 Ratios'!C129</f>
        <v>0</v>
      </c>
      <c r="D93" s="58">
        <v>0</v>
      </c>
      <c r="E93" s="58">
        <v>0</v>
      </c>
      <c r="F93" s="58">
        <v>0</v>
      </c>
      <c r="G93" s="58" t="s">
        <v>348</v>
      </c>
      <c r="H93" s="128"/>
      <c r="I93" s="128"/>
      <c r="J93" s="83"/>
      <c r="L93" s="366"/>
    </row>
    <row r="94" spans="1:12">
      <c r="A94" s="365"/>
      <c r="B94" s="64" t="s">
        <v>334</v>
      </c>
      <c r="C94" s="150">
        <f>+'2183-2184-2185 Ratios'!C130</f>
        <v>155544.34863542279</v>
      </c>
      <c r="D94" s="37">
        <f t="shared" ref="D94:F95" si="4">+$C94*D$18</f>
        <v>64216.086877047936</v>
      </c>
      <c r="E94" s="37">
        <f t="shared" si="4"/>
        <v>70100.485923186585</v>
      </c>
      <c r="F94" s="37">
        <f t="shared" si="4"/>
        <v>21227.775835188269</v>
      </c>
      <c r="G94" s="58" t="s">
        <v>341</v>
      </c>
      <c r="H94" s="83"/>
      <c r="I94" s="108"/>
      <c r="J94" s="83"/>
      <c r="L94" s="366"/>
    </row>
    <row r="95" spans="1:12">
      <c r="A95" s="365"/>
      <c r="B95" s="64" t="s">
        <v>336</v>
      </c>
      <c r="C95" s="150">
        <f>+'2183-2184-2185 Ratios'!C131</f>
        <v>468848.83074309077</v>
      </c>
      <c r="D95" s="37">
        <f t="shared" si="4"/>
        <v>193563.04173910769</v>
      </c>
      <c r="E95" s="37">
        <f t="shared" si="4"/>
        <v>211300.06424498081</v>
      </c>
      <c r="F95" s="37">
        <f t="shared" si="4"/>
        <v>63985.724759002289</v>
      </c>
      <c r="G95" s="58" t="s">
        <v>341</v>
      </c>
      <c r="H95" s="81"/>
      <c r="I95" s="81"/>
      <c r="J95" s="81"/>
      <c r="L95" s="366"/>
    </row>
    <row r="96" spans="1:12">
      <c r="A96" s="365"/>
      <c r="B96" s="64" t="s">
        <v>931</v>
      </c>
      <c r="C96" s="150">
        <f>+'2183-2184-2185 Ratios'!C132</f>
        <v>235098.21152669869</v>
      </c>
      <c r="D96" s="37">
        <v>0</v>
      </c>
      <c r="E96" s="37">
        <f>+C96</f>
        <v>235098.21152669869</v>
      </c>
      <c r="F96" s="58">
        <v>0</v>
      </c>
      <c r="G96" s="58" t="s">
        <v>933</v>
      </c>
      <c r="H96" s="113"/>
      <c r="I96" s="81"/>
      <c r="J96" s="81"/>
      <c r="L96" s="366"/>
    </row>
    <row r="97" spans="1:12">
      <c r="A97" s="365"/>
      <c r="B97" s="64" t="s">
        <v>339</v>
      </c>
      <c r="C97" s="150">
        <f>+'2183-2184-2185 Ratios'!C133</f>
        <v>884436.48900964286</v>
      </c>
      <c r="D97" s="37">
        <f>+$C97*D$35</f>
        <v>566517.16646657197</v>
      </c>
      <c r="E97" s="37">
        <f>+$C97*E$35</f>
        <v>252769.64804190016</v>
      </c>
      <c r="F97" s="37">
        <f>+$C97*F$35</f>
        <v>65149.674501170717</v>
      </c>
      <c r="G97" s="58" t="s">
        <v>337</v>
      </c>
      <c r="H97" s="81"/>
      <c r="I97" s="81"/>
      <c r="J97" s="81"/>
      <c r="L97" s="366"/>
    </row>
    <row r="98" spans="1:12">
      <c r="A98" s="365"/>
      <c r="B98" s="64"/>
      <c r="C98" s="477">
        <f t="shared" ref="C98:F98" si="5">SUM(C88:C97)</f>
        <v>1858565.3309772983</v>
      </c>
      <c r="D98" s="477">
        <f t="shared" si="5"/>
        <v>896778.33948879153</v>
      </c>
      <c r="E98" s="477">
        <f t="shared" si="5"/>
        <v>802717.87431145855</v>
      </c>
      <c r="F98" s="477">
        <f t="shared" si="5"/>
        <v>159069.11717704838</v>
      </c>
      <c r="G98" s="81"/>
      <c r="H98" s="81"/>
      <c r="I98" s="81"/>
      <c r="J98" s="81"/>
      <c r="L98" s="366"/>
    </row>
    <row r="99" spans="1:12">
      <c r="A99" s="365"/>
      <c r="B99" s="64"/>
      <c r="C99" s="51"/>
      <c r="D99" s="51"/>
      <c r="E99" s="51"/>
      <c r="F99" s="51"/>
      <c r="G99" s="81"/>
      <c r="H99" s="81"/>
      <c r="I99" s="81"/>
      <c r="J99" s="81"/>
      <c r="L99" s="366"/>
    </row>
    <row r="100" spans="1:12" ht="13.5" thickBot="1">
      <c r="A100" s="365"/>
      <c r="B100" s="91" t="s">
        <v>13</v>
      </c>
      <c r="C100" s="364">
        <f>C79+C86+C98</f>
        <v>13552051.72923349</v>
      </c>
      <c r="D100" s="364">
        <f>D79+D86+D98</f>
        <v>9845476.2572434545</v>
      </c>
      <c r="E100" s="364">
        <f>E79+E86+E98</f>
        <v>2949076.1929062651</v>
      </c>
      <c r="F100" s="364">
        <f>F79+F86+F98</f>
        <v>757499.27908376895</v>
      </c>
      <c r="G100" s="81"/>
      <c r="H100" s="81"/>
      <c r="I100" s="81"/>
      <c r="J100" s="81"/>
      <c r="L100" s="366"/>
    </row>
    <row r="101" spans="1:12" ht="13.5" thickTop="1">
      <c r="A101" s="365"/>
      <c r="B101" s="81"/>
      <c r="C101" s="81"/>
      <c r="D101" s="81"/>
      <c r="E101" s="81"/>
      <c r="F101" s="81"/>
      <c r="G101" s="81"/>
      <c r="H101" s="81"/>
      <c r="I101" s="81"/>
      <c r="J101" s="81"/>
      <c r="L101" s="366"/>
    </row>
    <row r="102" spans="1:12">
      <c r="A102" s="367"/>
      <c r="B102" s="393"/>
      <c r="C102" s="394"/>
      <c r="D102" s="394"/>
      <c r="E102" s="395"/>
      <c r="F102" s="395"/>
      <c r="G102" s="395"/>
      <c r="H102" s="395"/>
      <c r="I102" s="395"/>
      <c r="J102" s="395"/>
      <c r="K102" s="384"/>
      <c r="L102" s="385"/>
    </row>
    <row r="103" spans="1:12">
      <c r="B103" s="84"/>
      <c r="C103" s="100"/>
      <c r="D103" s="81"/>
      <c r="E103" s="81"/>
      <c r="F103" s="81"/>
      <c r="G103" s="81"/>
      <c r="H103" s="81"/>
      <c r="I103" s="81"/>
      <c r="J103" s="81"/>
    </row>
    <row r="104" spans="1:12">
      <c r="B104" s="130"/>
      <c r="C104" s="100"/>
      <c r="D104" s="100"/>
      <c r="E104" s="81"/>
      <c r="F104" s="81"/>
      <c r="G104" s="81"/>
      <c r="H104" s="81"/>
      <c r="I104" s="81"/>
      <c r="J104" s="81"/>
    </row>
    <row r="105" spans="1:12">
      <c r="B105" s="130"/>
      <c r="C105" s="81"/>
      <c r="D105" s="100"/>
      <c r="E105" s="81"/>
      <c r="F105" s="81"/>
      <c r="G105" s="81"/>
      <c r="H105" s="81"/>
      <c r="I105" s="81"/>
      <c r="J105" s="81"/>
    </row>
    <row r="106" spans="1:12">
      <c r="B106" s="84"/>
      <c r="C106" s="81"/>
      <c r="D106" s="100"/>
      <c r="E106" s="81"/>
      <c r="F106" s="81"/>
      <c r="G106" s="81"/>
      <c r="H106" s="81"/>
      <c r="I106" s="83"/>
      <c r="J106" s="81"/>
    </row>
    <row r="107" spans="1:12">
      <c r="B107" s="84"/>
      <c r="C107" s="81"/>
      <c r="D107" s="100"/>
      <c r="E107" s="81"/>
      <c r="F107" s="81"/>
      <c r="G107" s="81"/>
      <c r="H107" s="81"/>
      <c r="I107" s="83"/>
      <c r="J107" s="99"/>
    </row>
    <row r="108" spans="1:12">
      <c r="B108" s="84"/>
      <c r="C108" s="81"/>
      <c r="D108" s="100"/>
      <c r="E108" s="81"/>
      <c r="F108" s="81"/>
      <c r="G108" s="81"/>
      <c r="H108" s="81"/>
      <c r="I108" s="81"/>
      <c r="J108" s="81"/>
    </row>
    <row r="109" spans="1:12">
      <c r="B109" s="130"/>
      <c r="C109" s="81"/>
      <c r="D109" s="100"/>
      <c r="E109" s="81"/>
      <c r="F109" s="81"/>
      <c r="G109" s="81"/>
      <c r="H109" s="81"/>
      <c r="I109" s="81"/>
      <c r="J109" s="81"/>
    </row>
    <row r="110" spans="1:12">
      <c r="B110" s="130"/>
      <c r="C110" s="81"/>
      <c r="D110" s="81"/>
      <c r="E110" s="81"/>
      <c r="F110" s="81"/>
      <c r="G110" s="81"/>
      <c r="H110" s="81"/>
      <c r="I110" s="83"/>
      <c r="J110" s="99"/>
    </row>
    <row r="111" spans="1:12">
      <c r="B111" s="131"/>
      <c r="C111" s="113"/>
      <c r="D111" s="113"/>
      <c r="E111" s="113"/>
      <c r="F111" s="113"/>
      <c r="G111" s="113"/>
      <c r="H111" s="113"/>
      <c r="I111" s="113"/>
      <c r="J111" s="99"/>
    </row>
    <row r="112" spans="1:12">
      <c r="B112" s="84"/>
      <c r="C112" s="81"/>
      <c r="D112" s="81"/>
      <c r="E112" s="81"/>
      <c r="F112" s="81"/>
      <c r="G112" s="81"/>
      <c r="H112" s="81"/>
      <c r="I112" s="83"/>
      <c r="J112" s="83"/>
    </row>
    <row r="113" spans="2:10">
      <c r="B113" s="84"/>
      <c r="C113" s="81"/>
      <c r="D113" s="100"/>
      <c r="E113" s="81"/>
      <c r="F113" s="81"/>
      <c r="G113" s="81"/>
      <c r="H113" s="81"/>
      <c r="I113" s="83"/>
      <c r="J113" s="83"/>
    </row>
    <row r="114" spans="2:10">
      <c r="B114" s="84"/>
      <c r="C114" s="81"/>
      <c r="D114" s="81"/>
      <c r="E114" s="81"/>
      <c r="F114" s="81"/>
      <c r="G114" s="81"/>
      <c r="H114" s="81"/>
      <c r="I114" s="83"/>
      <c r="J114" s="83"/>
    </row>
    <row r="115" spans="2:10">
      <c r="B115" s="81"/>
      <c r="C115" s="81"/>
      <c r="D115" s="81"/>
      <c r="E115" s="83"/>
      <c r="F115" s="83"/>
      <c r="G115" s="83"/>
      <c r="H115" s="83"/>
      <c r="I115" s="83"/>
      <c r="J115" s="83"/>
    </row>
    <row r="116" spans="2:10">
      <c r="B116" s="81"/>
      <c r="C116" s="99"/>
      <c r="D116" s="100"/>
      <c r="E116" s="83"/>
      <c r="F116" s="83"/>
      <c r="G116" s="83"/>
      <c r="H116" s="83"/>
      <c r="I116" s="81"/>
      <c r="J116" s="83"/>
    </row>
    <row r="117" spans="2:10">
      <c r="B117" s="81"/>
      <c r="C117" s="99"/>
      <c r="D117" s="99"/>
      <c r="E117" s="99"/>
      <c r="F117" s="99"/>
      <c r="G117" s="99"/>
      <c r="H117" s="99"/>
      <c r="I117" s="99"/>
      <c r="J117" s="99"/>
    </row>
    <row r="118" spans="2:10">
      <c r="B118" s="81"/>
      <c r="C118" s="81"/>
      <c r="D118" s="99"/>
      <c r="E118" s="81"/>
      <c r="F118" s="81"/>
      <c r="G118" s="81"/>
      <c r="H118" s="81"/>
      <c r="I118" s="99"/>
      <c r="J118" s="83"/>
    </row>
    <row r="119" spans="2:10">
      <c r="B119" s="81"/>
      <c r="C119" s="81"/>
      <c r="D119" s="81"/>
      <c r="E119" s="83"/>
      <c r="F119" s="83"/>
      <c r="G119" s="83"/>
      <c r="H119" s="83"/>
      <c r="I119" s="83"/>
      <c r="J119" s="83"/>
    </row>
    <row r="120" spans="2:10">
      <c r="B120" s="81"/>
      <c r="C120" s="99"/>
      <c r="D120" s="99"/>
      <c r="E120" s="99"/>
      <c r="F120" s="99"/>
      <c r="G120" s="99"/>
      <c r="H120" s="99"/>
      <c r="I120" s="99"/>
      <c r="J120" s="99"/>
    </row>
    <row r="121" spans="2:10">
      <c r="B121" s="81"/>
      <c r="C121" s="81"/>
      <c r="D121" s="81"/>
      <c r="E121" s="83"/>
      <c r="F121" s="83"/>
      <c r="G121" s="83"/>
      <c r="H121" s="83"/>
      <c r="I121" s="83"/>
      <c r="J121" s="83"/>
    </row>
    <row r="122" spans="2:10">
      <c r="B122" s="81"/>
      <c r="C122" s="81"/>
      <c r="D122" s="81"/>
      <c r="E122" s="83"/>
      <c r="F122" s="81"/>
      <c r="G122" s="81"/>
      <c r="H122" s="81"/>
      <c r="I122" s="81"/>
      <c r="J122" s="83"/>
    </row>
    <row r="123" spans="2:10">
      <c r="B123" s="81"/>
      <c r="C123" s="81"/>
      <c r="D123" s="81"/>
      <c r="E123" s="83"/>
      <c r="F123" s="83"/>
      <c r="G123" s="83"/>
      <c r="H123" s="83"/>
      <c r="I123" s="83"/>
      <c r="J123" s="83"/>
    </row>
    <row r="124" spans="2:10">
      <c r="B124" s="81"/>
      <c r="C124" s="81"/>
      <c r="D124" s="81"/>
      <c r="E124" s="83"/>
      <c r="F124" s="83"/>
      <c r="G124" s="83"/>
      <c r="H124" s="83"/>
      <c r="I124" s="83"/>
      <c r="J124" s="83"/>
    </row>
    <row r="125" spans="2:10">
      <c r="B125" s="81"/>
      <c r="C125" s="81"/>
      <c r="D125" s="81"/>
      <c r="E125" s="83"/>
      <c r="F125" s="83"/>
      <c r="G125" s="83"/>
      <c r="H125" s="83"/>
      <c r="I125" s="83"/>
      <c r="J125" s="83"/>
    </row>
    <row r="126" spans="2:10">
      <c r="B126" s="99"/>
      <c r="C126" s="99"/>
      <c r="D126" s="81"/>
      <c r="E126" s="83"/>
      <c r="F126" s="83"/>
      <c r="G126" s="83"/>
      <c r="H126" s="83"/>
      <c r="I126" s="83"/>
      <c r="J126" s="83"/>
    </row>
    <row r="127" spans="2:10">
      <c r="B127" s="99"/>
      <c r="C127" s="99"/>
      <c r="D127" s="81"/>
      <c r="E127" s="83"/>
      <c r="F127" s="83"/>
      <c r="G127" s="83"/>
      <c r="H127" s="83"/>
      <c r="I127" s="83"/>
      <c r="J127" s="83"/>
    </row>
    <row r="128" spans="2:10">
      <c r="B128" s="99"/>
      <c r="C128" s="99"/>
      <c r="D128" s="81"/>
      <c r="E128" s="83"/>
      <c r="F128" s="83"/>
      <c r="G128" s="83"/>
      <c r="H128" s="83"/>
      <c r="I128" s="83"/>
      <c r="J128" s="83"/>
    </row>
    <row r="129" spans="2:10">
      <c r="B129" s="81"/>
      <c r="C129" s="81"/>
      <c r="D129" s="81"/>
      <c r="E129" s="83"/>
      <c r="F129" s="83"/>
      <c r="G129" s="83"/>
      <c r="H129" s="83"/>
      <c r="I129" s="83"/>
      <c r="J129" s="83"/>
    </row>
    <row r="130" spans="2:10">
      <c r="B130" s="99"/>
      <c r="C130" s="99"/>
      <c r="D130" s="107"/>
      <c r="E130" s="81"/>
      <c r="F130" s="83"/>
      <c r="G130" s="83"/>
      <c r="H130" s="83"/>
      <c r="I130" s="83"/>
      <c r="J130" s="83"/>
    </row>
    <row r="131" spans="2:10">
      <c r="B131" s="83"/>
      <c r="C131" s="83"/>
      <c r="D131" s="83"/>
      <c r="E131" s="83"/>
      <c r="F131" s="83"/>
      <c r="G131" s="83"/>
      <c r="H131" s="83"/>
      <c r="I131" s="83"/>
      <c r="J131" s="83"/>
    </row>
    <row r="132" spans="2:10">
      <c r="B132" s="83"/>
      <c r="C132" s="83"/>
      <c r="D132" s="83"/>
      <c r="E132" s="83"/>
      <c r="F132" s="83"/>
      <c r="G132" s="83"/>
      <c r="H132" s="83"/>
      <c r="I132" s="83"/>
      <c r="J132" s="83"/>
    </row>
    <row r="133" spans="2:10" s="132" customFormat="1">
      <c r="B133" s="99"/>
      <c r="C133" s="99"/>
      <c r="D133" s="99"/>
      <c r="E133" s="83"/>
      <c r="F133" s="83"/>
      <c r="G133" s="83"/>
      <c r="H133" s="83"/>
      <c r="I133" s="83"/>
      <c r="J133" s="83"/>
    </row>
    <row r="134" spans="2:10">
      <c r="B134" s="83"/>
      <c r="C134" s="83"/>
      <c r="D134" s="83"/>
      <c r="E134" s="83"/>
      <c r="F134" s="83"/>
      <c r="G134" s="83"/>
      <c r="H134" s="83"/>
      <c r="I134" s="83"/>
      <c r="J134" s="83"/>
    </row>
    <row r="135" spans="2:10">
      <c r="B135" s="83"/>
      <c r="C135" s="83"/>
      <c r="D135" s="83"/>
      <c r="E135" s="83"/>
      <c r="F135" s="83"/>
      <c r="G135" s="83"/>
      <c r="H135" s="83"/>
      <c r="I135" s="83"/>
      <c r="J135" s="83"/>
    </row>
    <row r="136" spans="2:10">
      <c r="B136" s="83"/>
      <c r="C136" s="83"/>
      <c r="D136" s="83"/>
      <c r="E136" s="83"/>
      <c r="F136" s="83"/>
      <c r="G136" s="83"/>
      <c r="H136" s="83"/>
      <c r="I136" s="83"/>
      <c r="J136" s="83"/>
    </row>
    <row r="137" spans="2:10">
      <c r="B137" s="83"/>
      <c r="C137" s="83"/>
      <c r="D137" s="83"/>
      <c r="E137" s="83"/>
      <c r="F137" s="83"/>
      <c r="G137" s="83"/>
      <c r="H137" s="83"/>
      <c r="I137" s="83"/>
      <c r="J137" s="83"/>
    </row>
    <row r="138" spans="2:10">
      <c r="B138" s="83"/>
      <c r="C138" s="83"/>
      <c r="D138" s="83"/>
      <c r="E138" s="83"/>
      <c r="F138" s="83"/>
      <c r="G138" s="83"/>
      <c r="H138" s="83"/>
      <c r="I138" s="83"/>
      <c r="J138" s="83"/>
    </row>
    <row r="139" spans="2:10">
      <c r="B139" s="83"/>
      <c r="C139" s="83"/>
      <c r="D139" s="83"/>
      <c r="E139" s="83"/>
      <c r="F139" s="83"/>
      <c r="G139" s="83"/>
      <c r="H139" s="83"/>
      <c r="I139" s="83"/>
      <c r="J139" s="83"/>
    </row>
    <row r="140" spans="2:10">
      <c r="B140" s="83"/>
      <c r="C140" s="83"/>
      <c r="D140" s="83"/>
      <c r="E140" s="83"/>
      <c r="F140" s="83"/>
      <c r="G140" s="83"/>
      <c r="H140" s="83"/>
      <c r="I140" s="83"/>
      <c r="J140" s="83"/>
    </row>
    <row r="141" spans="2:10">
      <c r="B141" s="83"/>
      <c r="C141" s="83"/>
      <c r="D141" s="83"/>
      <c r="E141" s="83"/>
      <c r="F141" s="83"/>
      <c r="G141" s="83"/>
      <c r="H141" s="83"/>
      <c r="I141" s="83"/>
      <c r="J141" s="83"/>
    </row>
    <row r="142" spans="2:10">
      <c r="B142" s="83"/>
      <c r="C142" s="83"/>
      <c r="D142" s="83"/>
      <c r="E142" s="83"/>
      <c r="F142" s="83"/>
      <c r="G142" s="83"/>
      <c r="H142" s="83"/>
      <c r="I142" s="83"/>
      <c r="J142" s="83"/>
    </row>
    <row r="143" spans="2:10">
      <c r="B143" s="83"/>
      <c r="C143" s="83"/>
      <c r="D143" s="83"/>
      <c r="E143" s="83"/>
      <c r="F143" s="83"/>
      <c r="G143" s="83"/>
      <c r="H143" s="83"/>
      <c r="I143" s="83"/>
      <c r="J143" s="83"/>
    </row>
    <row r="144" spans="2:10">
      <c r="B144" s="83"/>
      <c r="C144" s="83"/>
      <c r="D144" s="83"/>
      <c r="E144" s="83"/>
      <c r="F144" s="83"/>
      <c r="G144" s="83"/>
      <c r="H144" s="83"/>
      <c r="I144" s="83"/>
      <c r="J144" s="83"/>
    </row>
    <row r="145" spans="2:10">
      <c r="B145" s="83"/>
      <c r="C145" s="83"/>
      <c r="D145" s="83"/>
      <c r="E145" s="83"/>
      <c r="F145" s="83"/>
      <c r="G145" s="83"/>
      <c r="H145" s="83"/>
      <c r="I145" s="83"/>
      <c r="J145" s="83"/>
    </row>
    <row r="146" spans="2:10">
      <c r="B146" s="83"/>
      <c r="C146" s="83"/>
      <c r="D146" s="83"/>
      <c r="E146" s="83"/>
      <c r="F146" s="83"/>
      <c r="G146" s="83"/>
      <c r="H146" s="83"/>
      <c r="I146" s="83"/>
      <c r="J146" s="83"/>
    </row>
    <row r="147" spans="2:10">
      <c r="B147" s="83"/>
      <c r="C147" s="83"/>
      <c r="D147" s="83"/>
      <c r="E147" s="83"/>
      <c r="F147" s="83"/>
      <c r="G147" s="83"/>
      <c r="H147" s="83"/>
      <c r="I147" s="83"/>
      <c r="J147" s="83"/>
    </row>
  </sheetData>
  <pageMargins left="0.75" right="0.75" top="1" bottom="1" header="0.5" footer="0.5"/>
  <pageSetup scale="88" fitToHeight="2" orientation="portrait" r:id="rId1"/>
  <headerFooter alignWithMargins="0"/>
  <rowBreaks count="1" manualBreakCount="1">
    <brk id="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249977111117893"/>
  </sheetPr>
  <dimension ref="A1:L76"/>
  <sheetViews>
    <sheetView showGridLines="0" tabSelected="1" view="pageLayout" zoomScaleNormal="100" workbookViewId="0">
      <selection activeCell="AR41" sqref="AR41"/>
    </sheetView>
  </sheetViews>
  <sheetFormatPr defaultRowHeight="12.75"/>
  <cols>
    <col min="1" max="1" width="3.85546875" style="753" customWidth="1"/>
    <col min="2" max="2" width="14.85546875" style="753" customWidth="1"/>
    <col min="3" max="3" width="10.5703125" style="753" customWidth="1"/>
    <col min="4" max="4" width="14" style="753" customWidth="1"/>
    <col min="5" max="5" width="11.85546875" style="753" customWidth="1"/>
    <col min="6" max="6" width="8" style="753" customWidth="1"/>
    <col min="7" max="7" width="13" style="753" customWidth="1"/>
    <col min="8" max="8" width="10.85546875" style="753" customWidth="1"/>
    <col min="9" max="9" width="5" style="753" customWidth="1"/>
    <col min="10" max="10" width="1.7109375" style="753" customWidth="1"/>
    <col min="11" max="11" width="1" style="753" customWidth="1"/>
    <col min="12" max="12" width="0.85546875" style="753" customWidth="1"/>
    <col min="13" max="256" width="9.140625" style="753"/>
    <col min="257" max="257" width="3.85546875" style="753" customWidth="1"/>
    <col min="258" max="258" width="18.42578125" style="753" customWidth="1"/>
    <col min="259" max="259" width="13" style="753" customWidth="1"/>
    <col min="260" max="260" width="14" style="753" customWidth="1"/>
    <col min="261" max="261" width="11.85546875" style="753" customWidth="1"/>
    <col min="262" max="262" width="15.7109375" style="753" customWidth="1"/>
    <col min="263" max="263" width="13" style="753" customWidth="1"/>
    <col min="264" max="264" width="10.85546875" style="753" customWidth="1"/>
    <col min="265" max="265" width="13.140625" style="753" customWidth="1"/>
    <col min="266" max="266" width="1.7109375" style="753" customWidth="1"/>
    <col min="267" max="267" width="15.7109375" style="753" customWidth="1"/>
    <col min="268" max="268" width="12.85546875" style="753" customWidth="1"/>
    <col min="269" max="512" width="9.140625" style="753"/>
    <col min="513" max="513" width="3.85546875" style="753" customWidth="1"/>
    <col min="514" max="514" width="18.42578125" style="753" customWidth="1"/>
    <col min="515" max="515" width="13" style="753" customWidth="1"/>
    <col min="516" max="516" width="14" style="753" customWidth="1"/>
    <col min="517" max="517" width="11.85546875" style="753" customWidth="1"/>
    <col min="518" max="518" width="15.7109375" style="753" customWidth="1"/>
    <col min="519" max="519" width="13" style="753" customWidth="1"/>
    <col min="520" max="520" width="10.85546875" style="753" customWidth="1"/>
    <col min="521" max="521" width="13.140625" style="753" customWidth="1"/>
    <col min="522" max="522" width="1.7109375" style="753" customWidth="1"/>
    <col min="523" max="523" width="15.7109375" style="753" customWidth="1"/>
    <col min="524" max="524" width="12.85546875" style="753" customWidth="1"/>
    <col min="525" max="768" width="9.140625" style="753"/>
    <col min="769" max="769" width="3.85546875" style="753" customWidth="1"/>
    <col min="770" max="770" width="18.42578125" style="753" customWidth="1"/>
    <col min="771" max="771" width="13" style="753" customWidth="1"/>
    <col min="772" max="772" width="14" style="753" customWidth="1"/>
    <col min="773" max="773" width="11.85546875" style="753" customWidth="1"/>
    <col min="774" max="774" width="15.7109375" style="753" customWidth="1"/>
    <col min="775" max="775" width="13" style="753" customWidth="1"/>
    <col min="776" max="776" width="10.85546875" style="753" customWidth="1"/>
    <col min="777" max="777" width="13.140625" style="753" customWidth="1"/>
    <col min="778" max="778" width="1.7109375" style="753" customWidth="1"/>
    <col min="779" max="779" width="15.7109375" style="753" customWidth="1"/>
    <col min="780" max="780" width="12.85546875" style="753" customWidth="1"/>
    <col min="781" max="1024" width="9.140625" style="753"/>
    <col min="1025" max="1025" width="3.85546875" style="753" customWidth="1"/>
    <col min="1026" max="1026" width="18.42578125" style="753" customWidth="1"/>
    <col min="1027" max="1027" width="13" style="753" customWidth="1"/>
    <col min="1028" max="1028" width="14" style="753" customWidth="1"/>
    <col min="1029" max="1029" width="11.85546875" style="753" customWidth="1"/>
    <col min="1030" max="1030" width="15.7109375" style="753" customWidth="1"/>
    <col min="1031" max="1031" width="13" style="753" customWidth="1"/>
    <col min="1032" max="1032" width="10.85546875" style="753" customWidth="1"/>
    <col min="1033" max="1033" width="13.140625" style="753" customWidth="1"/>
    <col min="1034" max="1034" width="1.7109375" style="753" customWidth="1"/>
    <col min="1035" max="1035" width="15.7109375" style="753" customWidth="1"/>
    <col min="1036" max="1036" width="12.85546875" style="753" customWidth="1"/>
    <col min="1037" max="1280" width="9.140625" style="753"/>
    <col min="1281" max="1281" width="3.85546875" style="753" customWidth="1"/>
    <col min="1282" max="1282" width="18.42578125" style="753" customWidth="1"/>
    <col min="1283" max="1283" width="13" style="753" customWidth="1"/>
    <col min="1284" max="1284" width="14" style="753" customWidth="1"/>
    <col min="1285" max="1285" width="11.85546875" style="753" customWidth="1"/>
    <col min="1286" max="1286" width="15.7109375" style="753" customWidth="1"/>
    <col min="1287" max="1287" width="13" style="753" customWidth="1"/>
    <col min="1288" max="1288" width="10.85546875" style="753" customWidth="1"/>
    <col min="1289" max="1289" width="13.140625" style="753" customWidth="1"/>
    <col min="1290" max="1290" width="1.7109375" style="753" customWidth="1"/>
    <col min="1291" max="1291" width="15.7109375" style="753" customWidth="1"/>
    <col min="1292" max="1292" width="12.85546875" style="753" customWidth="1"/>
    <col min="1293" max="1536" width="9.140625" style="753"/>
    <col min="1537" max="1537" width="3.85546875" style="753" customWidth="1"/>
    <col min="1538" max="1538" width="18.42578125" style="753" customWidth="1"/>
    <col min="1539" max="1539" width="13" style="753" customWidth="1"/>
    <col min="1540" max="1540" width="14" style="753" customWidth="1"/>
    <col min="1541" max="1541" width="11.85546875" style="753" customWidth="1"/>
    <col min="1542" max="1542" width="15.7109375" style="753" customWidth="1"/>
    <col min="1543" max="1543" width="13" style="753" customWidth="1"/>
    <col min="1544" max="1544" width="10.85546875" style="753" customWidth="1"/>
    <col min="1545" max="1545" width="13.140625" style="753" customWidth="1"/>
    <col min="1546" max="1546" width="1.7109375" style="753" customWidth="1"/>
    <col min="1547" max="1547" width="15.7109375" style="753" customWidth="1"/>
    <col min="1548" max="1548" width="12.85546875" style="753" customWidth="1"/>
    <col min="1549" max="1792" width="9.140625" style="753"/>
    <col min="1793" max="1793" width="3.85546875" style="753" customWidth="1"/>
    <col min="1794" max="1794" width="18.42578125" style="753" customWidth="1"/>
    <col min="1795" max="1795" width="13" style="753" customWidth="1"/>
    <col min="1796" max="1796" width="14" style="753" customWidth="1"/>
    <col min="1797" max="1797" width="11.85546875" style="753" customWidth="1"/>
    <col min="1798" max="1798" width="15.7109375" style="753" customWidth="1"/>
    <col min="1799" max="1799" width="13" style="753" customWidth="1"/>
    <col min="1800" max="1800" width="10.85546875" style="753" customWidth="1"/>
    <col min="1801" max="1801" width="13.140625" style="753" customWidth="1"/>
    <col min="1802" max="1802" width="1.7109375" style="753" customWidth="1"/>
    <col min="1803" max="1803" width="15.7109375" style="753" customWidth="1"/>
    <col min="1804" max="1804" width="12.85546875" style="753" customWidth="1"/>
    <col min="1805" max="2048" width="9.140625" style="753"/>
    <col min="2049" max="2049" width="3.85546875" style="753" customWidth="1"/>
    <col min="2050" max="2050" width="18.42578125" style="753" customWidth="1"/>
    <col min="2051" max="2051" width="13" style="753" customWidth="1"/>
    <col min="2052" max="2052" width="14" style="753" customWidth="1"/>
    <col min="2053" max="2053" width="11.85546875" style="753" customWidth="1"/>
    <col min="2054" max="2054" width="15.7109375" style="753" customWidth="1"/>
    <col min="2055" max="2055" width="13" style="753" customWidth="1"/>
    <col min="2056" max="2056" width="10.85546875" style="753" customWidth="1"/>
    <col min="2057" max="2057" width="13.140625" style="753" customWidth="1"/>
    <col min="2058" max="2058" width="1.7109375" style="753" customWidth="1"/>
    <col min="2059" max="2059" width="15.7109375" style="753" customWidth="1"/>
    <col min="2060" max="2060" width="12.85546875" style="753" customWidth="1"/>
    <col min="2061" max="2304" width="9.140625" style="753"/>
    <col min="2305" max="2305" width="3.85546875" style="753" customWidth="1"/>
    <col min="2306" max="2306" width="18.42578125" style="753" customWidth="1"/>
    <col min="2307" max="2307" width="13" style="753" customWidth="1"/>
    <col min="2308" max="2308" width="14" style="753" customWidth="1"/>
    <col min="2309" max="2309" width="11.85546875" style="753" customWidth="1"/>
    <col min="2310" max="2310" width="15.7109375" style="753" customWidth="1"/>
    <col min="2311" max="2311" width="13" style="753" customWidth="1"/>
    <col min="2312" max="2312" width="10.85546875" style="753" customWidth="1"/>
    <col min="2313" max="2313" width="13.140625" style="753" customWidth="1"/>
    <col min="2314" max="2314" width="1.7109375" style="753" customWidth="1"/>
    <col min="2315" max="2315" width="15.7109375" style="753" customWidth="1"/>
    <col min="2316" max="2316" width="12.85546875" style="753" customWidth="1"/>
    <col min="2317" max="2560" width="9.140625" style="753"/>
    <col min="2561" max="2561" width="3.85546875" style="753" customWidth="1"/>
    <col min="2562" max="2562" width="18.42578125" style="753" customWidth="1"/>
    <col min="2563" max="2563" width="13" style="753" customWidth="1"/>
    <col min="2564" max="2564" width="14" style="753" customWidth="1"/>
    <col min="2565" max="2565" width="11.85546875" style="753" customWidth="1"/>
    <col min="2566" max="2566" width="15.7109375" style="753" customWidth="1"/>
    <col min="2567" max="2567" width="13" style="753" customWidth="1"/>
    <col min="2568" max="2568" width="10.85546875" style="753" customWidth="1"/>
    <col min="2569" max="2569" width="13.140625" style="753" customWidth="1"/>
    <col min="2570" max="2570" width="1.7109375" style="753" customWidth="1"/>
    <col min="2571" max="2571" width="15.7109375" style="753" customWidth="1"/>
    <col min="2572" max="2572" width="12.85546875" style="753" customWidth="1"/>
    <col min="2573" max="2816" width="9.140625" style="753"/>
    <col min="2817" max="2817" width="3.85546875" style="753" customWidth="1"/>
    <col min="2818" max="2818" width="18.42578125" style="753" customWidth="1"/>
    <col min="2819" max="2819" width="13" style="753" customWidth="1"/>
    <col min="2820" max="2820" width="14" style="753" customWidth="1"/>
    <col min="2821" max="2821" width="11.85546875" style="753" customWidth="1"/>
    <col min="2822" max="2822" width="15.7109375" style="753" customWidth="1"/>
    <col min="2823" max="2823" width="13" style="753" customWidth="1"/>
    <col min="2824" max="2824" width="10.85546875" style="753" customWidth="1"/>
    <col min="2825" max="2825" width="13.140625" style="753" customWidth="1"/>
    <col min="2826" max="2826" width="1.7109375" style="753" customWidth="1"/>
    <col min="2827" max="2827" width="15.7109375" style="753" customWidth="1"/>
    <col min="2828" max="2828" width="12.85546875" style="753" customWidth="1"/>
    <col min="2829" max="3072" width="9.140625" style="753"/>
    <col min="3073" max="3073" width="3.85546875" style="753" customWidth="1"/>
    <col min="3074" max="3074" width="18.42578125" style="753" customWidth="1"/>
    <col min="3075" max="3075" width="13" style="753" customWidth="1"/>
    <col min="3076" max="3076" width="14" style="753" customWidth="1"/>
    <col min="3077" max="3077" width="11.85546875" style="753" customWidth="1"/>
    <col min="3078" max="3078" width="15.7109375" style="753" customWidth="1"/>
    <col min="3079" max="3079" width="13" style="753" customWidth="1"/>
    <col min="3080" max="3080" width="10.85546875" style="753" customWidth="1"/>
    <col min="3081" max="3081" width="13.140625" style="753" customWidth="1"/>
    <col min="3082" max="3082" width="1.7109375" style="753" customWidth="1"/>
    <col min="3083" max="3083" width="15.7109375" style="753" customWidth="1"/>
    <col min="3084" max="3084" width="12.85546875" style="753" customWidth="1"/>
    <col min="3085" max="3328" width="9.140625" style="753"/>
    <col min="3329" max="3329" width="3.85546875" style="753" customWidth="1"/>
    <col min="3330" max="3330" width="18.42578125" style="753" customWidth="1"/>
    <col min="3331" max="3331" width="13" style="753" customWidth="1"/>
    <col min="3332" max="3332" width="14" style="753" customWidth="1"/>
    <col min="3333" max="3333" width="11.85546875" style="753" customWidth="1"/>
    <col min="3334" max="3334" width="15.7109375" style="753" customWidth="1"/>
    <col min="3335" max="3335" width="13" style="753" customWidth="1"/>
    <col min="3336" max="3336" width="10.85546875" style="753" customWidth="1"/>
    <col min="3337" max="3337" width="13.140625" style="753" customWidth="1"/>
    <col min="3338" max="3338" width="1.7109375" style="753" customWidth="1"/>
    <col min="3339" max="3339" width="15.7109375" style="753" customWidth="1"/>
    <col min="3340" max="3340" width="12.85546875" style="753" customWidth="1"/>
    <col min="3341" max="3584" width="9.140625" style="753"/>
    <col min="3585" max="3585" width="3.85546875" style="753" customWidth="1"/>
    <col min="3586" max="3586" width="18.42578125" style="753" customWidth="1"/>
    <col min="3587" max="3587" width="13" style="753" customWidth="1"/>
    <col min="3588" max="3588" width="14" style="753" customWidth="1"/>
    <col min="3589" max="3589" width="11.85546875" style="753" customWidth="1"/>
    <col min="3590" max="3590" width="15.7109375" style="753" customWidth="1"/>
    <col min="3591" max="3591" width="13" style="753" customWidth="1"/>
    <col min="3592" max="3592" width="10.85546875" style="753" customWidth="1"/>
    <col min="3593" max="3593" width="13.140625" style="753" customWidth="1"/>
    <col min="3594" max="3594" width="1.7109375" style="753" customWidth="1"/>
    <col min="3595" max="3595" width="15.7109375" style="753" customWidth="1"/>
    <col min="3596" max="3596" width="12.85546875" style="753" customWidth="1"/>
    <col min="3597" max="3840" width="9.140625" style="753"/>
    <col min="3841" max="3841" width="3.85546875" style="753" customWidth="1"/>
    <col min="3842" max="3842" width="18.42578125" style="753" customWidth="1"/>
    <col min="3843" max="3843" width="13" style="753" customWidth="1"/>
    <col min="3844" max="3844" width="14" style="753" customWidth="1"/>
    <col min="3845" max="3845" width="11.85546875" style="753" customWidth="1"/>
    <col min="3846" max="3846" width="15.7109375" style="753" customWidth="1"/>
    <col min="3847" max="3847" width="13" style="753" customWidth="1"/>
    <col min="3848" max="3848" width="10.85546875" style="753" customWidth="1"/>
    <col min="3849" max="3849" width="13.140625" style="753" customWidth="1"/>
    <col min="3850" max="3850" width="1.7109375" style="753" customWidth="1"/>
    <col min="3851" max="3851" width="15.7109375" style="753" customWidth="1"/>
    <col min="3852" max="3852" width="12.85546875" style="753" customWidth="1"/>
    <col min="3853" max="4096" width="9.140625" style="753"/>
    <col min="4097" max="4097" width="3.85546875" style="753" customWidth="1"/>
    <col min="4098" max="4098" width="18.42578125" style="753" customWidth="1"/>
    <col min="4099" max="4099" width="13" style="753" customWidth="1"/>
    <col min="4100" max="4100" width="14" style="753" customWidth="1"/>
    <col min="4101" max="4101" width="11.85546875" style="753" customWidth="1"/>
    <col min="4102" max="4102" width="15.7109375" style="753" customWidth="1"/>
    <col min="4103" max="4103" width="13" style="753" customWidth="1"/>
    <col min="4104" max="4104" width="10.85546875" style="753" customWidth="1"/>
    <col min="4105" max="4105" width="13.140625" style="753" customWidth="1"/>
    <col min="4106" max="4106" width="1.7109375" style="753" customWidth="1"/>
    <col min="4107" max="4107" width="15.7109375" style="753" customWidth="1"/>
    <col min="4108" max="4108" width="12.85546875" style="753" customWidth="1"/>
    <col min="4109" max="4352" width="9.140625" style="753"/>
    <col min="4353" max="4353" width="3.85546875" style="753" customWidth="1"/>
    <col min="4354" max="4354" width="18.42578125" style="753" customWidth="1"/>
    <col min="4355" max="4355" width="13" style="753" customWidth="1"/>
    <col min="4356" max="4356" width="14" style="753" customWidth="1"/>
    <col min="4357" max="4357" width="11.85546875" style="753" customWidth="1"/>
    <col min="4358" max="4358" width="15.7109375" style="753" customWidth="1"/>
    <col min="4359" max="4359" width="13" style="753" customWidth="1"/>
    <col min="4360" max="4360" width="10.85546875" style="753" customWidth="1"/>
    <col min="4361" max="4361" width="13.140625" style="753" customWidth="1"/>
    <col min="4362" max="4362" width="1.7109375" style="753" customWidth="1"/>
    <col min="4363" max="4363" width="15.7109375" style="753" customWidth="1"/>
    <col min="4364" max="4364" width="12.85546875" style="753" customWidth="1"/>
    <col min="4365" max="4608" width="9.140625" style="753"/>
    <col min="4609" max="4609" width="3.85546875" style="753" customWidth="1"/>
    <col min="4610" max="4610" width="18.42578125" style="753" customWidth="1"/>
    <col min="4611" max="4611" width="13" style="753" customWidth="1"/>
    <col min="4612" max="4612" width="14" style="753" customWidth="1"/>
    <col min="4613" max="4613" width="11.85546875" style="753" customWidth="1"/>
    <col min="4614" max="4614" width="15.7109375" style="753" customWidth="1"/>
    <col min="4615" max="4615" width="13" style="753" customWidth="1"/>
    <col min="4616" max="4616" width="10.85546875" style="753" customWidth="1"/>
    <col min="4617" max="4617" width="13.140625" style="753" customWidth="1"/>
    <col min="4618" max="4618" width="1.7109375" style="753" customWidth="1"/>
    <col min="4619" max="4619" width="15.7109375" style="753" customWidth="1"/>
    <col min="4620" max="4620" width="12.85546875" style="753" customWidth="1"/>
    <col min="4621" max="4864" width="9.140625" style="753"/>
    <col min="4865" max="4865" width="3.85546875" style="753" customWidth="1"/>
    <col min="4866" max="4866" width="18.42578125" style="753" customWidth="1"/>
    <col min="4867" max="4867" width="13" style="753" customWidth="1"/>
    <col min="4868" max="4868" width="14" style="753" customWidth="1"/>
    <col min="4869" max="4869" width="11.85546875" style="753" customWidth="1"/>
    <col min="4870" max="4870" width="15.7109375" style="753" customWidth="1"/>
    <col min="4871" max="4871" width="13" style="753" customWidth="1"/>
    <col min="4872" max="4872" width="10.85546875" style="753" customWidth="1"/>
    <col min="4873" max="4873" width="13.140625" style="753" customWidth="1"/>
    <col min="4874" max="4874" width="1.7109375" style="753" customWidth="1"/>
    <col min="4875" max="4875" width="15.7109375" style="753" customWidth="1"/>
    <col min="4876" max="4876" width="12.85546875" style="753" customWidth="1"/>
    <col min="4877" max="5120" width="9.140625" style="753"/>
    <col min="5121" max="5121" width="3.85546875" style="753" customWidth="1"/>
    <col min="5122" max="5122" width="18.42578125" style="753" customWidth="1"/>
    <col min="5123" max="5123" width="13" style="753" customWidth="1"/>
    <col min="5124" max="5124" width="14" style="753" customWidth="1"/>
    <col min="5125" max="5125" width="11.85546875" style="753" customWidth="1"/>
    <col min="5126" max="5126" width="15.7109375" style="753" customWidth="1"/>
    <col min="5127" max="5127" width="13" style="753" customWidth="1"/>
    <col min="5128" max="5128" width="10.85546875" style="753" customWidth="1"/>
    <col min="5129" max="5129" width="13.140625" style="753" customWidth="1"/>
    <col min="5130" max="5130" width="1.7109375" style="753" customWidth="1"/>
    <col min="5131" max="5131" width="15.7109375" style="753" customWidth="1"/>
    <col min="5132" max="5132" width="12.85546875" style="753" customWidth="1"/>
    <col min="5133" max="5376" width="9.140625" style="753"/>
    <col min="5377" max="5377" width="3.85546875" style="753" customWidth="1"/>
    <col min="5378" max="5378" width="18.42578125" style="753" customWidth="1"/>
    <col min="5379" max="5379" width="13" style="753" customWidth="1"/>
    <col min="5380" max="5380" width="14" style="753" customWidth="1"/>
    <col min="5381" max="5381" width="11.85546875" style="753" customWidth="1"/>
    <col min="5382" max="5382" width="15.7109375" style="753" customWidth="1"/>
    <col min="5383" max="5383" width="13" style="753" customWidth="1"/>
    <col min="5384" max="5384" width="10.85546875" style="753" customWidth="1"/>
    <col min="5385" max="5385" width="13.140625" style="753" customWidth="1"/>
    <col min="5386" max="5386" width="1.7109375" style="753" customWidth="1"/>
    <col min="5387" max="5387" width="15.7109375" style="753" customWidth="1"/>
    <col min="5388" max="5388" width="12.85546875" style="753" customWidth="1"/>
    <col min="5389" max="5632" width="9.140625" style="753"/>
    <col min="5633" max="5633" width="3.85546875" style="753" customWidth="1"/>
    <col min="5634" max="5634" width="18.42578125" style="753" customWidth="1"/>
    <col min="5635" max="5635" width="13" style="753" customWidth="1"/>
    <col min="5636" max="5636" width="14" style="753" customWidth="1"/>
    <col min="5637" max="5637" width="11.85546875" style="753" customWidth="1"/>
    <col min="5638" max="5638" width="15.7109375" style="753" customWidth="1"/>
    <col min="5639" max="5639" width="13" style="753" customWidth="1"/>
    <col min="5640" max="5640" width="10.85546875" style="753" customWidth="1"/>
    <col min="5641" max="5641" width="13.140625" style="753" customWidth="1"/>
    <col min="5642" max="5642" width="1.7109375" style="753" customWidth="1"/>
    <col min="5643" max="5643" width="15.7109375" style="753" customWidth="1"/>
    <col min="5644" max="5644" width="12.85546875" style="753" customWidth="1"/>
    <col min="5645" max="5888" width="9.140625" style="753"/>
    <col min="5889" max="5889" width="3.85546875" style="753" customWidth="1"/>
    <col min="5890" max="5890" width="18.42578125" style="753" customWidth="1"/>
    <col min="5891" max="5891" width="13" style="753" customWidth="1"/>
    <col min="5892" max="5892" width="14" style="753" customWidth="1"/>
    <col min="5893" max="5893" width="11.85546875" style="753" customWidth="1"/>
    <col min="5894" max="5894" width="15.7109375" style="753" customWidth="1"/>
    <col min="5895" max="5895" width="13" style="753" customWidth="1"/>
    <col min="5896" max="5896" width="10.85546875" style="753" customWidth="1"/>
    <col min="5897" max="5897" width="13.140625" style="753" customWidth="1"/>
    <col min="5898" max="5898" width="1.7109375" style="753" customWidth="1"/>
    <col min="5899" max="5899" width="15.7109375" style="753" customWidth="1"/>
    <col min="5900" max="5900" width="12.85546875" style="753" customWidth="1"/>
    <col min="5901" max="6144" width="9.140625" style="753"/>
    <col min="6145" max="6145" width="3.85546875" style="753" customWidth="1"/>
    <col min="6146" max="6146" width="18.42578125" style="753" customWidth="1"/>
    <col min="6147" max="6147" width="13" style="753" customWidth="1"/>
    <col min="6148" max="6148" width="14" style="753" customWidth="1"/>
    <col min="6149" max="6149" width="11.85546875" style="753" customWidth="1"/>
    <col min="6150" max="6150" width="15.7109375" style="753" customWidth="1"/>
    <col min="6151" max="6151" width="13" style="753" customWidth="1"/>
    <col min="6152" max="6152" width="10.85546875" style="753" customWidth="1"/>
    <col min="6153" max="6153" width="13.140625" style="753" customWidth="1"/>
    <col min="6154" max="6154" width="1.7109375" style="753" customWidth="1"/>
    <col min="6155" max="6155" width="15.7109375" style="753" customWidth="1"/>
    <col min="6156" max="6156" width="12.85546875" style="753" customWidth="1"/>
    <col min="6157" max="6400" width="9.140625" style="753"/>
    <col min="6401" max="6401" width="3.85546875" style="753" customWidth="1"/>
    <col min="6402" max="6402" width="18.42578125" style="753" customWidth="1"/>
    <col min="6403" max="6403" width="13" style="753" customWidth="1"/>
    <col min="6404" max="6404" width="14" style="753" customWidth="1"/>
    <col min="6405" max="6405" width="11.85546875" style="753" customWidth="1"/>
    <col min="6406" max="6406" width="15.7109375" style="753" customWidth="1"/>
    <col min="6407" max="6407" width="13" style="753" customWidth="1"/>
    <col min="6408" max="6408" width="10.85546875" style="753" customWidth="1"/>
    <col min="6409" max="6409" width="13.140625" style="753" customWidth="1"/>
    <col min="6410" max="6410" width="1.7109375" style="753" customWidth="1"/>
    <col min="6411" max="6411" width="15.7109375" style="753" customWidth="1"/>
    <col min="6412" max="6412" width="12.85546875" style="753" customWidth="1"/>
    <col min="6413" max="6656" width="9.140625" style="753"/>
    <col min="6657" max="6657" width="3.85546875" style="753" customWidth="1"/>
    <col min="6658" max="6658" width="18.42578125" style="753" customWidth="1"/>
    <col min="6659" max="6659" width="13" style="753" customWidth="1"/>
    <col min="6660" max="6660" width="14" style="753" customWidth="1"/>
    <col min="6661" max="6661" width="11.85546875" style="753" customWidth="1"/>
    <col min="6662" max="6662" width="15.7109375" style="753" customWidth="1"/>
    <col min="6663" max="6663" width="13" style="753" customWidth="1"/>
    <col min="6664" max="6664" width="10.85546875" style="753" customWidth="1"/>
    <col min="6665" max="6665" width="13.140625" style="753" customWidth="1"/>
    <col min="6666" max="6666" width="1.7109375" style="753" customWidth="1"/>
    <col min="6667" max="6667" width="15.7109375" style="753" customWidth="1"/>
    <col min="6668" max="6668" width="12.85546875" style="753" customWidth="1"/>
    <col min="6669" max="6912" width="9.140625" style="753"/>
    <col min="6913" max="6913" width="3.85546875" style="753" customWidth="1"/>
    <col min="6914" max="6914" width="18.42578125" style="753" customWidth="1"/>
    <col min="6915" max="6915" width="13" style="753" customWidth="1"/>
    <col min="6916" max="6916" width="14" style="753" customWidth="1"/>
    <col min="6917" max="6917" width="11.85546875" style="753" customWidth="1"/>
    <col min="6918" max="6918" width="15.7109375" style="753" customWidth="1"/>
    <col min="6919" max="6919" width="13" style="753" customWidth="1"/>
    <col min="6920" max="6920" width="10.85546875" style="753" customWidth="1"/>
    <col min="6921" max="6921" width="13.140625" style="753" customWidth="1"/>
    <col min="6922" max="6922" width="1.7109375" style="753" customWidth="1"/>
    <col min="6923" max="6923" width="15.7109375" style="753" customWidth="1"/>
    <col min="6924" max="6924" width="12.85546875" style="753" customWidth="1"/>
    <col min="6925" max="7168" width="9.140625" style="753"/>
    <col min="7169" max="7169" width="3.85546875" style="753" customWidth="1"/>
    <col min="7170" max="7170" width="18.42578125" style="753" customWidth="1"/>
    <col min="7171" max="7171" width="13" style="753" customWidth="1"/>
    <col min="7172" max="7172" width="14" style="753" customWidth="1"/>
    <col min="7173" max="7173" width="11.85546875" style="753" customWidth="1"/>
    <col min="7174" max="7174" width="15.7109375" style="753" customWidth="1"/>
    <col min="7175" max="7175" width="13" style="753" customWidth="1"/>
    <col min="7176" max="7176" width="10.85546875" style="753" customWidth="1"/>
    <col min="7177" max="7177" width="13.140625" style="753" customWidth="1"/>
    <col min="7178" max="7178" width="1.7109375" style="753" customWidth="1"/>
    <col min="7179" max="7179" width="15.7109375" style="753" customWidth="1"/>
    <col min="7180" max="7180" width="12.85546875" style="753" customWidth="1"/>
    <col min="7181" max="7424" width="9.140625" style="753"/>
    <col min="7425" max="7425" width="3.85546875" style="753" customWidth="1"/>
    <col min="7426" max="7426" width="18.42578125" style="753" customWidth="1"/>
    <col min="7427" max="7427" width="13" style="753" customWidth="1"/>
    <col min="7428" max="7428" width="14" style="753" customWidth="1"/>
    <col min="7429" max="7429" width="11.85546875" style="753" customWidth="1"/>
    <col min="7430" max="7430" width="15.7109375" style="753" customWidth="1"/>
    <col min="7431" max="7431" width="13" style="753" customWidth="1"/>
    <col min="7432" max="7432" width="10.85546875" style="753" customWidth="1"/>
    <col min="7433" max="7433" width="13.140625" style="753" customWidth="1"/>
    <col min="7434" max="7434" width="1.7109375" style="753" customWidth="1"/>
    <col min="7435" max="7435" width="15.7109375" style="753" customWidth="1"/>
    <col min="7436" max="7436" width="12.85546875" style="753" customWidth="1"/>
    <col min="7437" max="7680" width="9.140625" style="753"/>
    <col min="7681" max="7681" width="3.85546875" style="753" customWidth="1"/>
    <col min="7682" max="7682" width="18.42578125" style="753" customWidth="1"/>
    <col min="7683" max="7683" width="13" style="753" customWidth="1"/>
    <col min="7684" max="7684" width="14" style="753" customWidth="1"/>
    <col min="7685" max="7685" width="11.85546875" style="753" customWidth="1"/>
    <col min="7686" max="7686" width="15.7109375" style="753" customWidth="1"/>
    <col min="7687" max="7687" width="13" style="753" customWidth="1"/>
    <col min="7688" max="7688" width="10.85546875" style="753" customWidth="1"/>
    <col min="7689" max="7689" width="13.140625" style="753" customWidth="1"/>
    <col min="7690" max="7690" width="1.7109375" style="753" customWidth="1"/>
    <col min="7691" max="7691" width="15.7109375" style="753" customWidth="1"/>
    <col min="7692" max="7692" width="12.85546875" style="753" customWidth="1"/>
    <col min="7693" max="7936" width="9.140625" style="753"/>
    <col min="7937" max="7937" width="3.85546875" style="753" customWidth="1"/>
    <col min="7938" max="7938" width="18.42578125" style="753" customWidth="1"/>
    <col min="7939" max="7939" width="13" style="753" customWidth="1"/>
    <col min="7940" max="7940" width="14" style="753" customWidth="1"/>
    <col min="7941" max="7941" width="11.85546875" style="753" customWidth="1"/>
    <col min="7942" max="7942" width="15.7109375" style="753" customWidth="1"/>
    <col min="7943" max="7943" width="13" style="753" customWidth="1"/>
    <col min="7944" max="7944" width="10.85546875" style="753" customWidth="1"/>
    <col min="7945" max="7945" width="13.140625" style="753" customWidth="1"/>
    <col min="7946" max="7946" width="1.7109375" style="753" customWidth="1"/>
    <col min="7947" max="7947" width="15.7109375" style="753" customWidth="1"/>
    <col min="7948" max="7948" width="12.85546875" style="753" customWidth="1"/>
    <col min="7949" max="8192" width="9.140625" style="753"/>
    <col min="8193" max="8193" width="3.85546875" style="753" customWidth="1"/>
    <col min="8194" max="8194" width="18.42578125" style="753" customWidth="1"/>
    <col min="8195" max="8195" width="13" style="753" customWidth="1"/>
    <col min="8196" max="8196" width="14" style="753" customWidth="1"/>
    <col min="8197" max="8197" width="11.85546875" style="753" customWidth="1"/>
    <col min="8198" max="8198" width="15.7109375" style="753" customWidth="1"/>
    <col min="8199" max="8199" width="13" style="753" customWidth="1"/>
    <col min="8200" max="8200" width="10.85546875" style="753" customWidth="1"/>
    <col min="8201" max="8201" width="13.140625" style="753" customWidth="1"/>
    <col min="8202" max="8202" width="1.7109375" style="753" customWidth="1"/>
    <col min="8203" max="8203" width="15.7109375" style="753" customWidth="1"/>
    <col min="8204" max="8204" width="12.85546875" style="753" customWidth="1"/>
    <col min="8205" max="8448" width="9.140625" style="753"/>
    <col min="8449" max="8449" width="3.85546875" style="753" customWidth="1"/>
    <col min="8450" max="8450" width="18.42578125" style="753" customWidth="1"/>
    <col min="8451" max="8451" width="13" style="753" customWidth="1"/>
    <col min="8452" max="8452" width="14" style="753" customWidth="1"/>
    <col min="8453" max="8453" width="11.85546875" style="753" customWidth="1"/>
    <col min="8454" max="8454" width="15.7109375" style="753" customWidth="1"/>
    <col min="8455" max="8455" width="13" style="753" customWidth="1"/>
    <col min="8456" max="8456" width="10.85546875" style="753" customWidth="1"/>
    <col min="8457" max="8457" width="13.140625" style="753" customWidth="1"/>
    <col min="8458" max="8458" width="1.7109375" style="753" customWidth="1"/>
    <col min="8459" max="8459" width="15.7109375" style="753" customWidth="1"/>
    <col min="8460" max="8460" width="12.85546875" style="753" customWidth="1"/>
    <col min="8461" max="8704" width="9.140625" style="753"/>
    <col min="8705" max="8705" width="3.85546875" style="753" customWidth="1"/>
    <col min="8706" max="8706" width="18.42578125" style="753" customWidth="1"/>
    <col min="8707" max="8707" width="13" style="753" customWidth="1"/>
    <col min="8708" max="8708" width="14" style="753" customWidth="1"/>
    <col min="8709" max="8709" width="11.85546875" style="753" customWidth="1"/>
    <col min="8710" max="8710" width="15.7109375" style="753" customWidth="1"/>
    <col min="8711" max="8711" width="13" style="753" customWidth="1"/>
    <col min="8712" max="8712" width="10.85546875" style="753" customWidth="1"/>
    <col min="8713" max="8713" width="13.140625" style="753" customWidth="1"/>
    <col min="8714" max="8714" width="1.7109375" style="753" customWidth="1"/>
    <col min="8715" max="8715" width="15.7109375" style="753" customWidth="1"/>
    <col min="8716" max="8716" width="12.85546875" style="753" customWidth="1"/>
    <col min="8717" max="8960" width="9.140625" style="753"/>
    <col min="8961" max="8961" width="3.85546875" style="753" customWidth="1"/>
    <col min="8962" max="8962" width="18.42578125" style="753" customWidth="1"/>
    <col min="8963" max="8963" width="13" style="753" customWidth="1"/>
    <col min="8964" max="8964" width="14" style="753" customWidth="1"/>
    <col min="8965" max="8965" width="11.85546875" style="753" customWidth="1"/>
    <col min="8966" max="8966" width="15.7109375" style="753" customWidth="1"/>
    <col min="8967" max="8967" width="13" style="753" customWidth="1"/>
    <col min="8968" max="8968" width="10.85546875" style="753" customWidth="1"/>
    <col min="8969" max="8969" width="13.140625" style="753" customWidth="1"/>
    <col min="8970" max="8970" width="1.7109375" style="753" customWidth="1"/>
    <col min="8971" max="8971" width="15.7109375" style="753" customWidth="1"/>
    <col min="8972" max="8972" width="12.85546875" style="753" customWidth="1"/>
    <col min="8973" max="9216" width="9.140625" style="753"/>
    <col min="9217" max="9217" width="3.85546875" style="753" customWidth="1"/>
    <col min="9218" max="9218" width="18.42578125" style="753" customWidth="1"/>
    <col min="9219" max="9219" width="13" style="753" customWidth="1"/>
    <col min="9220" max="9220" width="14" style="753" customWidth="1"/>
    <col min="9221" max="9221" width="11.85546875" style="753" customWidth="1"/>
    <col min="9222" max="9222" width="15.7109375" style="753" customWidth="1"/>
    <col min="9223" max="9223" width="13" style="753" customWidth="1"/>
    <col min="9224" max="9224" width="10.85546875" style="753" customWidth="1"/>
    <col min="9225" max="9225" width="13.140625" style="753" customWidth="1"/>
    <col min="9226" max="9226" width="1.7109375" style="753" customWidth="1"/>
    <col min="9227" max="9227" width="15.7109375" style="753" customWidth="1"/>
    <col min="9228" max="9228" width="12.85546875" style="753" customWidth="1"/>
    <col min="9229" max="9472" width="9.140625" style="753"/>
    <col min="9473" max="9473" width="3.85546875" style="753" customWidth="1"/>
    <col min="9474" max="9474" width="18.42578125" style="753" customWidth="1"/>
    <col min="9475" max="9475" width="13" style="753" customWidth="1"/>
    <col min="9476" max="9476" width="14" style="753" customWidth="1"/>
    <col min="9477" max="9477" width="11.85546875" style="753" customWidth="1"/>
    <col min="9478" max="9478" width="15.7109375" style="753" customWidth="1"/>
    <col min="9479" max="9479" width="13" style="753" customWidth="1"/>
    <col min="9480" max="9480" width="10.85546875" style="753" customWidth="1"/>
    <col min="9481" max="9481" width="13.140625" style="753" customWidth="1"/>
    <col min="9482" max="9482" width="1.7109375" style="753" customWidth="1"/>
    <col min="9483" max="9483" width="15.7109375" style="753" customWidth="1"/>
    <col min="9484" max="9484" width="12.85546875" style="753" customWidth="1"/>
    <col min="9485" max="9728" width="9.140625" style="753"/>
    <col min="9729" max="9729" width="3.85546875" style="753" customWidth="1"/>
    <col min="9730" max="9730" width="18.42578125" style="753" customWidth="1"/>
    <col min="9731" max="9731" width="13" style="753" customWidth="1"/>
    <col min="9732" max="9732" width="14" style="753" customWidth="1"/>
    <col min="9733" max="9733" width="11.85546875" style="753" customWidth="1"/>
    <col min="9734" max="9734" width="15.7109375" style="753" customWidth="1"/>
    <col min="9735" max="9735" width="13" style="753" customWidth="1"/>
    <col min="9736" max="9736" width="10.85546875" style="753" customWidth="1"/>
    <col min="9737" max="9737" width="13.140625" style="753" customWidth="1"/>
    <col min="9738" max="9738" width="1.7109375" style="753" customWidth="1"/>
    <col min="9739" max="9739" width="15.7109375" style="753" customWidth="1"/>
    <col min="9740" max="9740" width="12.85546875" style="753" customWidth="1"/>
    <col min="9741" max="9984" width="9.140625" style="753"/>
    <col min="9985" max="9985" width="3.85546875" style="753" customWidth="1"/>
    <col min="9986" max="9986" width="18.42578125" style="753" customWidth="1"/>
    <col min="9987" max="9987" width="13" style="753" customWidth="1"/>
    <col min="9988" max="9988" width="14" style="753" customWidth="1"/>
    <col min="9989" max="9989" width="11.85546875" style="753" customWidth="1"/>
    <col min="9990" max="9990" width="15.7109375" style="753" customWidth="1"/>
    <col min="9991" max="9991" width="13" style="753" customWidth="1"/>
    <col min="9992" max="9992" width="10.85546875" style="753" customWidth="1"/>
    <col min="9993" max="9993" width="13.140625" style="753" customWidth="1"/>
    <col min="9994" max="9994" width="1.7109375" style="753" customWidth="1"/>
    <col min="9995" max="9995" width="15.7109375" style="753" customWidth="1"/>
    <col min="9996" max="9996" width="12.85546875" style="753" customWidth="1"/>
    <col min="9997" max="10240" width="9.140625" style="753"/>
    <col min="10241" max="10241" width="3.85546875" style="753" customWidth="1"/>
    <col min="10242" max="10242" width="18.42578125" style="753" customWidth="1"/>
    <col min="10243" max="10243" width="13" style="753" customWidth="1"/>
    <col min="10244" max="10244" width="14" style="753" customWidth="1"/>
    <col min="10245" max="10245" width="11.85546875" style="753" customWidth="1"/>
    <col min="10246" max="10246" width="15.7109375" style="753" customWidth="1"/>
    <col min="10247" max="10247" width="13" style="753" customWidth="1"/>
    <col min="10248" max="10248" width="10.85546875" style="753" customWidth="1"/>
    <col min="10249" max="10249" width="13.140625" style="753" customWidth="1"/>
    <col min="10250" max="10250" width="1.7109375" style="753" customWidth="1"/>
    <col min="10251" max="10251" width="15.7109375" style="753" customWidth="1"/>
    <col min="10252" max="10252" width="12.85546875" style="753" customWidth="1"/>
    <col min="10253" max="10496" width="9.140625" style="753"/>
    <col min="10497" max="10497" width="3.85546875" style="753" customWidth="1"/>
    <col min="10498" max="10498" width="18.42578125" style="753" customWidth="1"/>
    <col min="10499" max="10499" width="13" style="753" customWidth="1"/>
    <col min="10500" max="10500" width="14" style="753" customWidth="1"/>
    <col min="10501" max="10501" width="11.85546875" style="753" customWidth="1"/>
    <col min="10502" max="10502" width="15.7109375" style="753" customWidth="1"/>
    <col min="10503" max="10503" width="13" style="753" customWidth="1"/>
    <col min="10504" max="10504" width="10.85546875" style="753" customWidth="1"/>
    <col min="10505" max="10505" width="13.140625" style="753" customWidth="1"/>
    <col min="10506" max="10506" width="1.7109375" style="753" customWidth="1"/>
    <col min="10507" max="10507" width="15.7109375" style="753" customWidth="1"/>
    <col min="10508" max="10508" width="12.85546875" style="753" customWidth="1"/>
    <col min="10509" max="10752" width="9.140625" style="753"/>
    <col min="10753" max="10753" width="3.85546875" style="753" customWidth="1"/>
    <col min="10754" max="10754" width="18.42578125" style="753" customWidth="1"/>
    <col min="10755" max="10755" width="13" style="753" customWidth="1"/>
    <col min="10756" max="10756" width="14" style="753" customWidth="1"/>
    <col min="10757" max="10757" width="11.85546875" style="753" customWidth="1"/>
    <col min="10758" max="10758" width="15.7109375" style="753" customWidth="1"/>
    <col min="10759" max="10759" width="13" style="753" customWidth="1"/>
    <col min="10760" max="10760" width="10.85546875" style="753" customWidth="1"/>
    <col min="10761" max="10761" width="13.140625" style="753" customWidth="1"/>
    <col min="10762" max="10762" width="1.7109375" style="753" customWidth="1"/>
    <col min="10763" max="10763" width="15.7109375" style="753" customWidth="1"/>
    <col min="10764" max="10764" width="12.85546875" style="753" customWidth="1"/>
    <col min="10765" max="11008" width="9.140625" style="753"/>
    <col min="11009" max="11009" width="3.85546875" style="753" customWidth="1"/>
    <col min="11010" max="11010" width="18.42578125" style="753" customWidth="1"/>
    <col min="11011" max="11011" width="13" style="753" customWidth="1"/>
    <col min="11012" max="11012" width="14" style="753" customWidth="1"/>
    <col min="11013" max="11013" width="11.85546875" style="753" customWidth="1"/>
    <col min="11014" max="11014" width="15.7109375" style="753" customWidth="1"/>
    <col min="11015" max="11015" width="13" style="753" customWidth="1"/>
    <col min="11016" max="11016" width="10.85546875" style="753" customWidth="1"/>
    <col min="11017" max="11017" width="13.140625" style="753" customWidth="1"/>
    <col min="11018" max="11018" width="1.7109375" style="753" customWidth="1"/>
    <col min="11019" max="11019" width="15.7109375" style="753" customWidth="1"/>
    <col min="11020" max="11020" width="12.85546875" style="753" customWidth="1"/>
    <col min="11021" max="11264" width="9.140625" style="753"/>
    <col min="11265" max="11265" width="3.85546875" style="753" customWidth="1"/>
    <col min="11266" max="11266" width="18.42578125" style="753" customWidth="1"/>
    <col min="11267" max="11267" width="13" style="753" customWidth="1"/>
    <col min="11268" max="11268" width="14" style="753" customWidth="1"/>
    <col min="11269" max="11269" width="11.85546875" style="753" customWidth="1"/>
    <col min="11270" max="11270" width="15.7109375" style="753" customWidth="1"/>
    <col min="11271" max="11271" width="13" style="753" customWidth="1"/>
    <col min="11272" max="11272" width="10.85546875" style="753" customWidth="1"/>
    <col min="11273" max="11273" width="13.140625" style="753" customWidth="1"/>
    <col min="11274" max="11274" width="1.7109375" style="753" customWidth="1"/>
    <col min="11275" max="11275" width="15.7109375" style="753" customWidth="1"/>
    <col min="11276" max="11276" width="12.85546875" style="753" customWidth="1"/>
    <col min="11277" max="11520" width="9.140625" style="753"/>
    <col min="11521" max="11521" width="3.85546875" style="753" customWidth="1"/>
    <col min="11522" max="11522" width="18.42578125" style="753" customWidth="1"/>
    <col min="11523" max="11523" width="13" style="753" customWidth="1"/>
    <col min="11524" max="11524" width="14" style="753" customWidth="1"/>
    <col min="11525" max="11525" width="11.85546875" style="753" customWidth="1"/>
    <col min="11526" max="11526" width="15.7109375" style="753" customWidth="1"/>
    <col min="11527" max="11527" width="13" style="753" customWidth="1"/>
    <col min="11528" max="11528" width="10.85546875" style="753" customWidth="1"/>
    <col min="11529" max="11529" width="13.140625" style="753" customWidth="1"/>
    <col min="11530" max="11530" width="1.7109375" style="753" customWidth="1"/>
    <col min="11531" max="11531" width="15.7109375" style="753" customWidth="1"/>
    <col min="11532" max="11532" width="12.85546875" style="753" customWidth="1"/>
    <col min="11533" max="11776" width="9.140625" style="753"/>
    <col min="11777" max="11777" width="3.85546875" style="753" customWidth="1"/>
    <col min="11778" max="11778" width="18.42578125" style="753" customWidth="1"/>
    <col min="11779" max="11779" width="13" style="753" customWidth="1"/>
    <col min="11780" max="11780" width="14" style="753" customWidth="1"/>
    <col min="11781" max="11781" width="11.85546875" style="753" customWidth="1"/>
    <col min="11782" max="11782" width="15.7109375" style="753" customWidth="1"/>
    <col min="11783" max="11783" width="13" style="753" customWidth="1"/>
    <col min="11784" max="11784" width="10.85546875" style="753" customWidth="1"/>
    <col min="11785" max="11785" width="13.140625" style="753" customWidth="1"/>
    <col min="11786" max="11786" width="1.7109375" style="753" customWidth="1"/>
    <col min="11787" max="11787" width="15.7109375" style="753" customWidth="1"/>
    <col min="11788" max="11788" width="12.85546875" style="753" customWidth="1"/>
    <col min="11789" max="12032" width="9.140625" style="753"/>
    <col min="12033" max="12033" width="3.85546875" style="753" customWidth="1"/>
    <col min="12034" max="12034" width="18.42578125" style="753" customWidth="1"/>
    <col min="12035" max="12035" width="13" style="753" customWidth="1"/>
    <col min="12036" max="12036" width="14" style="753" customWidth="1"/>
    <col min="12037" max="12037" width="11.85546875" style="753" customWidth="1"/>
    <col min="12038" max="12038" width="15.7109375" style="753" customWidth="1"/>
    <col min="12039" max="12039" width="13" style="753" customWidth="1"/>
    <col min="12040" max="12040" width="10.85546875" style="753" customWidth="1"/>
    <col min="12041" max="12041" width="13.140625" style="753" customWidth="1"/>
    <col min="12042" max="12042" width="1.7109375" style="753" customWidth="1"/>
    <col min="12043" max="12043" width="15.7109375" style="753" customWidth="1"/>
    <col min="12044" max="12044" width="12.85546875" style="753" customWidth="1"/>
    <col min="12045" max="12288" width="9.140625" style="753"/>
    <col min="12289" max="12289" width="3.85546875" style="753" customWidth="1"/>
    <col min="12290" max="12290" width="18.42578125" style="753" customWidth="1"/>
    <col min="12291" max="12291" width="13" style="753" customWidth="1"/>
    <col min="12292" max="12292" width="14" style="753" customWidth="1"/>
    <col min="12293" max="12293" width="11.85546875" style="753" customWidth="1"/>
    <col min="12294" max="12294" width="15.7109375" style="753" customWidth="1"/>
    <col min="12295" max="12295" width="13" style="753" customWidth="1"/>
    <col min="12296" max="12296" width="10.85546875" style="753" customWidth="1"/>
    <col min="12297" max="12297" width="13.140625" style="753" customWidth="1"/>
    <col min="12298" max="12298" width="1.7109375" style="753" customWidth="1"/>
    <col min="12299" max="12299" width="15.7109375" style="753" customWidth="1"/>
    <col min="12300" max="12300" width="12.85546875" style="753" customWidth="1"/>
    <col min="12301" max="12544" width="9.140625" style="753"/>
    <col min="12545" max="12545" width="3.85546875" style="753" customWidth="1"/>
    <col min="12546" max="12546" width="18.42578125" style="753" customWidth="1"/>
    <col min="12547" max="12547" width="13" style="753" customWidth="1"/>
    <col min="12548" max="12548" width="14" style="753" customWidth="1"/>
    <col min="12549" max="12549" width="11.85546875" style="753" customWidth="1"/>
    <col min="12550" max="12550" width="15.7109375" style="753" customWidth="1"/>
    <col min="12551" max="12551" width="13" style="753" customWidth="1"/>
    <col min="12552" max="12552" width="10.85546875" style="753" customWidth="1"/>
    <col min="12553" max="12553" width="13.140625" style="753" customWidth="1"/>
    <col min="12554" max="12554" width="1.7109375" style="753" customWidth="1"/>
    <col min="12555" max="12555" width="15.7109375" style="753" customWidth="1"/>
    <col min="12556" max="12556" width="12.85546875" style="753" customWidth="1"/>
    <col min="12557" max="12800" width="9.140625" style="753"/>
    <col min="12801" max="12801" width="3.85546875" style="753" customWidth="1"/>
    <col min="12802" max="12802" width="18.42578125" style="753" customWidth="1"/>
    <col min="12803" max="12803" width="13" style="753" customWidth="1"/>
    <col min="12804" max="12804" width="14" style="753" customWidth="1"/>
    <col min="12805" max="12805" width="11.85546875" style="753" customWidth="1"/>
    <col min="12806" max="12806" width="15.7109375" style="753" customWidth="1"/>
    <col min="12807" max="12807" width="13" style="753" customWidth="1"/>
    <col min="12808" max="12808" width="10.85546875" style="753" customWidth="1"/>
    <col min="12809" max="12809" width="13.140625" style="753" customWidth="1"/>
    <col min="12810" max="12810" width="1.7109375" style="753" customWidth="1"/>
    <col min="12811" max="12811" width="15.7109375" style="753" customWidth="1"/>
    <col min="12812" max="12812" width="12.85546875" style="753" customWidth="1"/>
    <col min="12813" max="13056" width="9.140625" style="753"/>
    <col min="13057" max="13057" width="3.85546875" style="753" customWidth="1"/>
    <col min="13058" max="13058" width="18.42578125" style="753" customWidth="1"/>
    <col min="13059" max="13059" width="13" style="753" customWidth="1"/>
    <col min="13060" max="13060" width="14" style="753" customWidth="1"/>
    <col min="13061" max="13061" width="11.85546875" style="753" customWidth="1"/>
    <col min="13062" max="13062" width="15.7109375" style="753" customWidth="1"/>
    <col min="13063" max="13063" width="13" style="753" customWidth="1"/>
    <col min="13064" max="13064" width="10.85546875" style="753" customWidth="1"/>
    <col min="13065" max="13065" width="13.140625" style="753" customWidth="1"/>
    <col min="13066" max="13066" width="1.7109375" style="753" customWidth="1"/>
    <col min="13067" max="13067" width="15.7109375" style="753" customWidth="1"/>
    <col min="13068" max="13068" width="12.85546875" style="753" customWidth="1"/>
    <col min="13069" max="13312" width="9.140625" style="753"/>
    <col min="13313" max="13313" width="3.85546875" style="753" customWidth="1"/>
    <col min="13314" max="13314" width="18.42578125" style="753" customWidth="1"/>
    <col min="13315" max="13315" width="13" style="753" customWidth="1"/>
    <col min="13316" max="13316" width="14" style="753" customWidth="1"/>
    <col min="13317" max="13317" width="11.85546875" style="753" customWidth="1"/>
    <col min="13318" max="13318" width="15.7109375" style="753" customWidth="1"/>
    <col min="13319" max="13319" width="13" style="753" customWidth="1"/>
    <col min="13320" max="13320" width="10.85546875" style="753" customWidth="1"/>
    <col min="13321" max="13321" width="13.140625" style="753" customWidth="1"/>
    <col min="13322" max="13322" width="1.7109375" style="753" customWidth="1"/>
    <col min="13323" max="13323" width="15.7109375" style="753" customWidth="1"/>
    <col min="13324" max="13324" width="12.85546875" style="753" customWidth="1"/>
    <col min="13325" max="13568" width="9.140625" style="753"/>
    <col min="13569" max="13569" width="3.85546875" style="753" customWidth="1"/>
    <col min="13570" max="13570" width="18.42578125" style="753" customWidth="1"/>
    <col min="13571" max="13571" width="13" style="753" customWidth="1"/>
    <col min="13572" max="13572" width="14" style="753" customWidth="1"/>
    <col min="13573" max="13573" width="11.85546875" style="753" customWidth="1"/>
    <col min="13574" max="13574" width="15.7109375" style="753" customWidth="1"/>
    <col min="13575" max="13575" width="13" style="753" customWidth="1"/>
    <col min="13576" max="13576" width="10.85546875" style="753" customWidth="1"/>
    <col min="13577" max="13577" width="13.140625" style="753" customWidth="1"/>
    <col min="13578" max="13578" width="1.7109375" style="753" customWidth="1"/>
    <col min="13579" max="13579" width="15.7109375" style="753" customWidth="1"/>
    <col min="13580" max="13580" width="12.85546875" style="753" customWidth="1"/>
    <col min="13581" max="13824" width="9.140625" style="753"/>
    <col min="13825" max="13825" width="3.85546875" style="753" customWidth="1"/>
    <col min="13826" max="13826" width="18.42578125" style="753" customWidth="1"/>
    <col min="13827" max="13827" width="13" style="753" customWidth="1"/>
    <col min="13828" max="13828" width="14" style="753" customWidth="1"/>
    <col min="13829" max="13829" width="11.85546875" style="753" customWidth="1"/>
    <col min="13830" max="13830" width="15.7109375" style="753" customWidth="1"/>
    <col min="13831" max="13831" width="13" style="753" customWidth="1"/>
    <col min="13832" max="13832" width="10.85546875" style="753" customWidth="1"/>
    <col min="13833" max="13833" width="13.140625" style="753" customWidth="1"/>
    <col min="13834" max="13834" width="1.7109375" style="753" customWidth="1"/>
    <col min="13835" max="13835" width="15.7109375" style="753" customWidth="1"/>
    <col min="13836" max="13836" width="12.85546875" style="753" customWidth="1"/>
    <col min="13837" max="14080" width="9.140625" style="753"/>
    <col min="14081" max="14081" width="3.85546875" style="753" customWidth="1"/>
    <col min="14082" max="14082" width="18.42578125" style="753" customWidth="1"/>
    <col min="14083" max="14083" width="13" style="753" customWidth="1"/>
    <col min="14084" max="14084" width="14" style="753" customWidth="1"/>
    <col min="14085" max="14085" width="11.85546875" style="753" customWidth="1"/>
    <col min="14086" max="14086" width="15.7109375" style="753" customWidth="1"/>
    <col min="14087" max="14087" width="13" style="753" customWidth="1"/>
    <col min="14088" max="14088" width="10.85546875" style="753" customWidth="1"/>
    <col min="14089" max="14089" width="13.140625" style="753" customWidth="1"/>
    <col min="14090" max="14090" width="1.7109375" style="753" customWidth="1"/>
    <col min="14091" max="14091" width="15.7109375" style="753" customWidth="1"/>
    <col min="14092" max="14092" width="12.85546875" style="753" customWidth="1"/>
    <col min="14093" max="14336" width="9.140625" style="753"/>
    <col min="14337" max="14337" width="3.85546875" style="753" customWidth="1"/>
    <col min="14338" max="14338" width="18.42578125" style="753" customWidth="1"/>
    <col min="14339" max="14339" width="13" style="753" customWidth="1"/>
    <col min="14340" max="14340" width="14" style="753" customWidth="1"/>
    <col min="14341" max="14341" width="11.85546875" style="753" customWidth="1"/>
    <col min="14342" max="14342" width="15.7109375" style="753" customWidth="1"/>
    <col min="14343" max="14343" width="13" style="753" customWidth="1"/>
    <col min="14344" max="14344" width="10.85546875" style="753" customWidth="1"/>
    <col min="14345" max="14345" width="13.140625" style="753" customWidth="1"/>
    <col min="14346" max="14346" width="1.7109375" style="753" customWidth="1"/>
    <col min="14347" max="14347" width="15.7109375" style="753" customWidth="1"/>
    <col min="14348" max="14348" width="12.85546875" style="753" customWidth="1"/>
    <col min="14349" max="14592" width="9.140625" style="753"/>
    <col min="14593" max="14593" width="3.85546875" style="753" customWidth="1"/>
    <col min="14594" max="14594" width="18.42578125" style="753" customWidth="1"/>
    <col min="14595" max="14595" width="13" style="753" customWidth="1"/>
    <col min="14596" max="14596" width="14" style="753" customWidth="1"/>
    <col min="14597" max="14597" width="11.85546875" style="753" customWidth="1"/>
    <col min="14598" max="14598" width="15.7109375" style="753" customWidth="1"/>
    <col min="14599" max="14599" width="13" style="753" customWidth="1"/>
    <col min="14600" max="14600" width="10.85546875" style="753" customWidth="1"/>
    <col min="14601" max="14601" width="13.140625" style="753" customWidth="1"/>
    <col min="14602" max="14602" width="1.7109375" style="753" customWidth="1"/>
    <col min="14603" max="14603" width="15.7109375" style="753" customWidth="1"/>
    <col min="14604" max="14604" width="12.85546875" style="753" customWidth="1"/>
    <col min="14605" max="14848" width="9.140625" style="753"/>
    <col min="14849" max="14849" width="3.85546875" style="753" customWidth="1"/>
    <col min="14850" max="14850" width="18.42578125" style="753" customWidth="1"/>
    <col min="14851" max="14851" width="13" style="753" customWidth="1"/>
    <col min="14852" max="14852" width="14" style="753" customWidth="1"/>
    <col min="14853" max="14853" width="11.85546875" style="753" customWidth="1"/>
    <col min="14854" max="14854" width="15.7109375" style="753" customWidth="1"/>
    <col min="14855" max="14855" width="13" style="753" customWidth="1"/>
    <col min="14856" max="14856" width="10.85546875" style="753" customWidth="1"/>
    <col min="14857" max="14857" width="13.140625" style="753" customWidth="1"/>
    <col min="14858" max="14858" width="1.7109375" style="753" customWidth="1"/>
    <col min="14859" max="14859" width="15.7109375" style="753" customWidth="1"/>
    <col min="14860" max="14860" width="12.85546875" style="753" customWidth="1"/>
    <col min="14861" max="15104" width="9.140625" style="753"/>
    <col min="15105" max="15105" width="3.85546875" style="753" customWidth="1"/>
    <col min="15106" max="15106" width="18.42578125" style="753" customWidth="1"/>
    <col min="15107" max="15107" width="13" style="753" customWidth="1"/>
    <col min="15108" max="15108" width="14" style="753" customWidth="1"/>
    <col min="15109" max="15109" width="11.85546875" style="753" customWidth="1"/>
    <col min="15110" max="15110" width="15.7109375" style="753" customWidth="1"/>
    <col min="15111" max="15111" width="13" style="753" customWidth="1"/>
    <col min="15112" max="15112" width="10.85546875" style="753" customWidth="1"/>
    <col min="15113" max="15113" width="13.140625" style="753" customWidth="1"/>
    <col min="15114" max="15114" width="1.7109375" style="753" customWidth="1"/>
    <col min="15115" max="15115" width="15.7109375" style="753" customWidth="1"/>
    <col min="15116" max="15116" width="12.85546875" style="753" customWidth="1"/>
    <col min="15117" max="15360" width="9.140625" style="753"/>
    <col min="15361" max="15361" width="3.85546875" style="753" customWidth="1"/>
    <col min="15362" max="15362" width="18.42578125" style="753" customWidth="1"/>
    <col min="15363" max="15363" width="13" style="753" customWidth="1"/>
    <col min="15364" max="15364" width="14" style="753" customWidth="1"/>
    <col min="15365" max="15365" width="11.85546875" style="753" customWidth="1"/>
    <col min="15366" max="15366" width="15.7109375" style="753" customWidth="1"/>
    <col min="15367" max="15367" width="13" style="753" customWidth="1"/>
    <col min="15368" max="15368" width="10.85546875" style="753" customWidth="1"/>
    <col min="15369" max="15369" width="13.140625" style="753" customWidth="1"/>
    <col min="15370" max="15370" width="1.7109375" style="753" customWidth="1"/>
    <col min="15371" max="15371" width="15.7109375" style="753" customWidth="1"/>
    <col min="15372" max="15372" width="12.85546875" style="753" customWidth="1"/>
    <col min="15373" max="15616" width="9.140625" style="753"/>
    <col min="15617" max="15617" width="3.85546875" style="753" customWidth="1"/>
    <col min="15618" max="15618" width="18.42578125" style="753" customWidth="1"/>
    <col min="15619" max="15619" width="13" style="753" customWidth="1"/>
    <col min="15620" max="15620" width="14" style="753" customWidth="1"/>
    <col min="15621" max="15621" width="11.85546875" style="753" customWidth="1"/>
    <col min="15622" max="15622" width="15.7109375" style="753" customWidth="1"/>
    <col min="15623" max="15623" width="13" style="753" customWidth="1"/>
    <col min="15624" max="15624" width="10.85546875" style="753" customWidth="1"/>
    <col min="15625" max="15625" width="13.140625" style="753" customWidth="1"/>
    <col min="15626" max="15626" width="1.7109375" style="753" customWidth="1"/>
    <col min="15627" max="15627" width="15.7109375" style="753" customWidth="1"/>
    <col min="15628" max="15628" width="12.85546875" style="753" customWidth="1"/>
    <col min="15629" max="15872" width="9.140625" style="753"/>
    <col min="15873" max="15873" width="3.85546875" style="753" customWidth="1"/>
    <col min="15874" max="15874" width="18.42578125" style="753" customWidth="1"/>
    <col min="15875" max="15875" width="13" style="753" customWidth="1"/>
    <col min="15876" max="15876" width="14" style="753" customWidth="1"/>
    <col min="15877" max="15877" width="11.85546875" style="753" customWidth="1"/>
    <col min="15878" max="15878" width="15.7109375" style="753" customWidth="1"/>
    <col min="15879" max="15879" width="13" style="753" customWidth="1"/>
    <col min="15880" max="15880" width="10.85546875" style="753" customWidth="1"/>
    <col min="15881" max="15881" width="13.140625" style="753" customWidth="1"/>
    <col min="15882" max="15882" width="1.7109375" style="753" customWidth="1"/>
    <col min="15883" max="15883" width="15.7109375" style="753" customWidth="1"/>
    <col min="15884" max="15884" width="12.85546875" style="753" customWidth="1"/>
    <col min="15885" max="16128" width="9.140625" style="753"/>
    <col min="16129" max="16129" width="3.85546875" style="753" customWidth="1"/>
    <col min="16130" max="16130" width="18.42578125" style="753" customWidth="1"/>
    <col min="16131" max="16131" width="13" style="753" customWidth="1"/>
    <col min="16132" max="16132" width="14" style="753" customWidth="1"/>
    <col min="16133" max="16133" width="11.85546875" style="753" customWidth="1"/>
    <col min="16134" max="16134" width="15.7109375" style="753" customWidth="1"/>
    <col min="16135" max="16135" width="13" style="753" customWidth="1"/>
    <col min="16136" max="16136" width="10.85546875" style="753" customWidth="1"/>
    <col min="16137" max="16137" width="13.140625" style="753" customWidth="1"/>
    <col min="16138" max="16138" width="1.7109375" style="753" customWidth="1"/>
    <col min="16139" max="16139" width="15.7109375" style="753" customWidth="1"/>
    <col min="16140" max="16140" width="12.85546875" style="753" customWidth="1"/>
    <col min="16141" max="16384" width="9.140625" style="753"/>
  </cols>
  <sheetData>
    <row r="1" spans="1:12">
      <c r="A1" s="1237" t="str">
        <f>'Consolidated IS '!A2</f>
        <v>LeMay Enterprises - Pacific/Rural Disposal</v>
      </c>
    </row>
    <row r="2" spans="1:12">
      <c r="A2" s="105" t="s">
        <v>1927</v>
      </c>
    </row>
    <row r="3" spans="1:12">
      <c r="B3" s="114"/>
      <c r="C3" s="110"/>
      <c r="D3" s="110"/>
      <c r="E3" s="110"/>
      <c r="F3" s="83"/>
      <c r="G3" s="83"/>
      <c r="H3" s="83"/>
      <c r="I3" s="83"/>
      <c r="J3" s="83"/>
    </row>
    <row r="4" spans="1:12">
      <c r="A4" s="1494"/>
      <c r="B4" s="1495"/>
      <c r="C4" s="1496"/>
      <c r="D4" s="1496"/>
      <c r="E4" s="1496"/>
      <c r="F4" s="1455"/>
      <c r="G4" s="1455"/>
      <c r="H4" s="1455"/>
      <c r="I4" s="1455"/>
      <c r="J4" s="1455"/>
      <c r="K4" s="1497"/>
      <c r="L4" s="1498"/>
    </row>
    <row r="5" spans="1:12">
      <c r="A5" s="1458" t="s">
        <v>1921</v>
      </c>
      <c r="B5" s="1499"/>
      <c r="C5" s="1482" t="s">
        <v>13</v>
      </c>
      <c r="D5" s="1481" t="s">
        <v>1914</v>
      </c>
      <c r="E5" s="1481" t="s">
        <v>1915</v>
      </c>
      <c r="F5" s="1481"/>
      <c r="G5" s="1472" t="s">
        <v>1916</v>
      </c>
      <c r="H5" s="1472" t="s">
        <v>307</v>
      </c>
      <c r="I5" s="1379"/>
      <c r="J5" s="1379"/>
      <c r="K5" s="1500"/>
      <c r="L5" s="1501"/>
    </row>
    <row r="6" spans="1:12">
      <c r="A6" s="1502"/>
      <c r="B6" s="1503"/>
      <c r="C6" s="1504"/>
      <c r="D6" s="1504"/>
      <c r="E6" s="1504"/>
      <c r="F6" s="1379"/>
      <c r="G6" s="1379"/>
      <c r="H6" s="1379"/>
      <c r="I6" s="1379"/>
      <c r="J6" s="1379"/>
      <c r="K6" s="1500"/>
      <c r="L6" s="1501"/>
    </row>
    <row r="7" spans="1:12">
      <c r="A7" s="1502"/>
      <c r="B7" s="1379" t="s">
        <v>1921</v>
      </c>
      <c r="C7" s="1379">
        <f>+SUM(D7:E7)</f>
        <v>21</v>
      </c>
      <c r="D7" s="1379">
        <v>11</v>
      </c>
      <c r="E7" s="1379">
        <v>10</v>
      </c>
      <c r="F7" s="1379" t="s">
        <v>348</v>
      </c>
      <c r="G7" s="1341">
        <f>+$E7*G40</f>
        <v>6.238936999516012</v>
      </c>
      <c r="H7" s="1341">
        <f>+$E7*H40</f>
        <v>3.7610630004839884</v>
      </c>
      <c r="I7" s="1379" t="s">
        <v>351</v>
      </c>
      <c r="J7" s="1379"/>
      <c r="K7" s="1500"/>
      <c r="L7" s="1501"/>
    </row>
    <row r="8" spans="1:12">
      <c r="A8" s="1502"/>
      <c r="B8" s="1379"/>
      <c r="C8" s="1379"/>
      <c r="D8" s="1380">
        <f>+D7/$C$7</f>
        <v>0.52380952380952384</v>
      </c>
      <c r="E8" s="1380">
        <f>+E7/$C$7</f>
        <v>0.47619047619047616</v>
      </c>
      <c r="F8" s="1459"/>
      <c r="G8" s="1380">
        <f>+G7/$E$7</f>
        <v>0.62389369995160116</v>
      </c>
      <c r="H8" s="1380">
        <f>+H7/$E$7</f>
        <v>0.37610630004839884</v>
      </c>
      <c r="I8" s="1379"/>
      <c r="J8" s="1379"/>
      <c r="K8" s="1500"/>
      <c r="L8" s="1501"/>
    </row>
    <row r="9" spans="1:12">
      <c r="A9" s="1505"/>
      <c r="B9" s="1506"/>
      <c r="C9" s="1507"/>
      <c r="D9" s="1507"/>
      <c r="E9" s="1507"/>
      <c r="F9" s="1451"/>
      <c r="G9" s="1451"/>
      <c r="H9" s="1451"/>
      <c r="I9" s="1451"/>
      <c r="J9" s="1451"/>
      <c r="K9" s="1508"/>
      <c r="L9" s="1509"/>
    </row>
    <row r="10" spans="1:12">
      <c r="A10" s="1500"/>
      <c r="B10" s="1499"/>
      <c r="C10" s="1504"/>
      <c r="D10" s="1504"/>
      <c r="E10" s="1504"/>
      <c r="F10" s="1379"/>
      <c r="G10" s="1379"/>
      <c r="H10" s="1379"/>
      <c r="I10" s="1379"/>
      <c r="J10" s="1379"/>
      <c r="K10" s="1500"/>
      <c r="L10" s="1500"/>
    </row>
    <row r="11" spans="1:12">
      <c r="A11" s="1494"/>
      <c r="B11" s="1495"/>
      <c r="C11" s="1510"/>
      <c r="D11" s="1510"/>
      <c r="E11" s="1510"/>
      <c r="F11" s="1455"/>
      <c r="G11" s="1511"/>
      <c r="H11" s="1455"/>
      <c r="I11" s="1455"/>
      <c r="J11" s="1455"/>
      <c r="K11" s="1511"/>
      <c r="L11" s="1498"/>
    </row>
    <row r="12" spans="1:12">
      <c r="A12" s="1458" t="s">
        <v>2512</v>
      </c>
      <c r="B12" s="1512"/>
      <c r="C12" s="1482" t="s">
        <v>13</v>
      </c>
      <c r="D12" s="1481" t="s">
        <v>1914</v>
      </c>
      <c r="E12" s="1481" t="s">
        <v>1915</v>
      </c>
      <c r="F12" s="1481"/>
      <c r="G12" s="1472"/>
      <c r="H12" s="1472"/>
      <c r="I12" s="1379"/>
      <c r="J12" s="1379"/>
      <c r="K12" s="1459"/>
      <c r="L12" s="1513"/>
    </row>
    <row r="13" spans="1:12">
      <c r="A13" s="1502"/>
      <c r="B13" s="1514"/>
      <c r="C13" s="1443"/>
      <c r="D13" s="1443"/>
      <c r="E13" s="1443"/>
      <c r="F13" s="1515"/>
      <c r="G13" s="1443"/>
      <c r="H13" s="1443"/>
      <c r="I13" s="1379"/>
      <c r="J13" s="1379"/>
      <c r="K13" s="1379"/>
      <c r="L13" s="1516"/>
    </row>
    <row r="14" spans="1:12">
      <c r="A14" s="1502"/>
      <c r="B14" s="1517" t="s">
        <v>342</v>
      </c>
      <c r="C14" s="1518">
        <f>+'[45]PR Pivot'!$J$8+'[45]PR Pivot'!$J$9</f>
        <v>45546.383296</v>
      </c>
      <c r="D14" s="1518">
        <f>+'[45]PR Pivot'!$J$9</f>
        <v>31379.433315999999</v>
      </c>
      <c r="E14" s="1518">
        <f>+'[45]PR Pivot'!$J$8</f>
        <v>14166.949980000001</v>
      </c>
      <c r="F14" s="1519" t="s">
        <v>348</v>
      </c>
      <c r="G14" s="1448"/>
      <c r="H14" s="1448"/>
      <c r="I14" s="1448"/>
      <c r="J14" s="1448"/>
      <c r="K14" s="1448"/>
      <c r="L14" s="1520"/>
    </row>
    <row r="15" spans="1:12">
      <c r="A15" s="1502"/>
      <c r="B15" s="1521" t="s">
        <v>344</v>
      </c>
      <c r="C15" s="1522"/>
      <c r="D15" s="1522">
        <f>+D14/$C$14</f>
        <v>0.68895554477002396</v>
      </c>
      <c r="E15" s="1522">
        <f>+E14/$C$14</f>
        <v>0.31104445522997604</v>
      </c>
      <c r="F15" s="1504"/>
      <c r="G15" s="1523"/>
      <c r="H15" s="1523"/>
      <c r="I15" s="1448"/>
      <c r="J15" s="1379"/>
      <c r="K15" s="1500"/>
      <c r="L15" s="1501"/>
    </row>
    <row r="16" spans="1:12">
      <c r="A16" s="1502"/>
      <c r="B16" s="1521"/>
      <c r="C16" s="1504"/>
      <c r="D16" s="1504"/>
      <c r="E16" s="1379"/>
      <c r="F16" s="1379"/>
      <c r="G16" s="1523"/>
      <c r="H16" s="1523"/>
      <c r="I16" s="1379"/>
      <c r="J16" s="1379"/>
      <c r="K16" s="1500"/>
      <c r="L16" s="1501"/>
    </row>
    <row r="17" spans="1:12">
      <c r="A17" s="1505"/>
      <c r="B17" s="1524"/>
      <c r="C17" s="1525"/>
      <c r="D17" s="1524"/>
      <c r="E17" s="1451"/>
      <c r="F17" s="1451"/>
      <c r="G17" s="1451"/>
      <c r="H17" s="1451"/>
      <c r="I17" s="1451"/>
      <c r="J17" s="1451"/>
      <c r="K17" s="1508"/>
      <c r="L17" s="1509"/>
    </row>
    <row r="18" spans="1:12">
      <c r="A18" s="1500"/>
      <c r="B18" s="1526"/>
      <c r="C18" s="1526"/>
      <c r="D18" s="1526"/>
      <c r="E18" s="1379"/>
      <c r="F18" s="1443"/>
      <c r="G18" s="1443"/>
      <c r="H18" s="1443"/>
      <c r="I18" s="1443"/>
      <c r="J18" s="1379"/>
      <c r="K18" s="1500"/>
      <c r="L18" s="1500"/>
    </row>
    <row r="19" spans="1:12">
      <c r="A19" s="1500"/>
      <c r="B19" s="1527"/>
      <c r="C19" s="1468"/>
      <c r="D19" s="1468"/>
      <c r="E19" s="1379"/>
      <c r="F19" s="1379"/>
      <c r="G19" s="1379"/>
      <c r="H19" s="1379"/>
      <c r="I19" s="1379"/>
      <c r="J19" s="1379"/>
      <c r="K19" s="1500"/>
      <c r="L19" s="1500"/>
    </row>
    <row r="20" spans="1:12">
      <c r="A20" s="1494"/>
      <c r="B20" s="1528"/>
      <c r="C20" s="1529" t="s">
        <v>565</v>
      </c>
      <c r="D20" s="1530"/>
      <c r="E20" s="1531"/>
      <c r="F20" s="1531"/>
      <c r="G20" s="1531"/>
      <c r="H20" s="1531"/>
      <c r="I20" s="1531"/>
      <c r="J20" s="1455"/>
      <c r="K20" s="1497"/>
      <c r="L20" s="1498"/>
    </row>
    <row r="21" spans="1:12">
      <c r="A21" s="1458" t="s">
        <v>272</v>
      </c>
      <c r="B21" s="1526"/>
      <c r="C21" s="1482" t="s">
        <v>13</v>
      </c>
      <c r="D21" s="1481" t="s">
        <v>1914</v>
      </c>
      <c r="E21" s="1481" t="s">
        <v>1915</v>
      </c>
      <c r="F21" s="1532"/>
      <c r="G21" s="1532"/>
      <c r="H21" s="1532"/>
      <c r="I21" s="1532"/>
      <c r="J21" s="1379"/>
      <c r="K21" s="1500"/>
      <c r="L21" s="1501"/>
    </row>
    <row r="22" spans="1:12">
      <c r="A22" s="1502"/>
      <c r="B22" s="1468"/>
      <c r="C22" s="1468"/>
      <c r="D22" s="1468"/>
      <c r="E22" s="1474"/>
      <c r="F22" s="1379"/>
      <c r="G22" s="1379"/>
      <c r="H22" s="1379"/>
      <c r="I22" s="1443"/>
      <c r="J22" s="1379"/>
      <c r="K22" s="1500"/>
      <c r="L22" s="1501"/>
    </row>
    <row r="23" spans="1:12">
      <c r="A23" s="1502"/>
      <c r="B23" s="1533" t="s">
        <v>1925</v>
      </c>
      <c r="C23" s="1389">
        <f>+'2184 Pro Forma-Bale Fee'!C259</f>
        <v>112376.77000000002</v>
      </c>
      <c r="D23" s="1389">
        <f>+C23-E23</f>
        <v>20003.096333333349</v>
      </c>
      <c r="E23" s="1353">
        <f>+[50]Pivot!$C$4</f>
        <v>92373.673666666669</v>
      </c>
      <c r="F23" s="1534" t="s">
        <v>348</v>
      </c>
      <c r="G23" s="1474"/>
      <c r="H23" s="1474"/>
      <c r="I23" s="1474"/>
      <c r="J23" s="1474"/>
      <c r="K23" s="1500"/>
      <c r="L23" s="1501"/>
    </row>
    <row r="24" spans="1:12">
      <c r="A24" s="1505"/>
      <c r="B24" s="1535"/>
      <c r="C24" s="1536"/>
      <c r="D24" s="1536"/>
      <c r="E24" s="1536"/>
      <c r="F24" s="1536"/>
      <c r="G24" s="1536"/>
      <c r="H24" s="1536"/>
      <c r="I24" s="1536"/>
      <c r="J24" s="1537"/>
      <c r="K24" s="1508"/>
      <c r="L24" s="1509"/>
    </row>
    <row r="25" spans="1:12">
      <c r="A25" s="1500"/>
      <c r="B25" s="1526"/>
      <c r="C25" s="1526"/>
      <c r="D25" s="1538"/>
      <c r="E25" s="1519"/>
      <c r="F25" s="1379"/>
      <c r="G25" s="1379"/>
      <c r="H25" s="1379"/>
      <c r="I25" s="1379"/>
      <c r="J25" s="1379"/>
      <c r="K25" s="1500"/>
      <c r="L25" s="1500"/>
    </row>
    <row r="26" spans="1:12">
      <c r="A26" s="1500"/>
      <c r="B26" s="1539"/>
      <c r="C26" s="1468"/>
      <c r="D26" s="1474"/>
      <c r="E26" s="1474"/>
      <c r="F26" s="1474"/>
      <c r="G26" s="1474"/>
      <c r="H26" s="1474"/>
      <c r="I26" s="1474"/>
      <c r="J26" s="1474"/>
      <c r="K26" s="1500"/>
      <c r="L26" s="1500"/>
    </row>
    <row r="27" spans="1:12">
      <c r="A27" s="1494"/>
      <c r="B27" s="1540"/>
      <c r="C27" s="1530"/>
      <c r="D27" s="1541"/>
      <c r="E27" s="1541"/>
      <c r="F27" s="1541"/>
      <c r="G27" s="1541"/>
      <c r="H27" s="1541"/>
      <c r="I27" s="1541"/>
      <c r="J27" s="1541"/>
      <c r="K27" s="1497"/>
      <c r="L27" s="1498"/>
    </row>
    <row r="28" spans="1:12">
      <c r="A28" s="1458" t="s">
        <v>2514</v>
      </c>
      <c r="B28" s="1482"/>
      <c r="C28" s="1482" t="s">
        <v>13</v>
      </c>
      <c r="D28" s="1481" t="s">
        <v>1914</v>
      </c>
      <c r="E28" s="1481" t="s">
        <v>1915</v>
      </c>
      <c r="F28" s="1481"/>
      <c r="G28" s="1472" t="s">
        <v>1916</v>
      </c>
      <c r="H28" s="1472" t="s">
        <v>307</v>
      </c>
      <c r="I28" s="1474"/>
      <c r="J28" s="1474"/>
      <c r="K28" s="1500"/>
      <c r="L28" s="1501"/>
    </row>
    <row r="29" spans="1:12">
      <c r="A29" s="1502"/>
      <c r="B29" s="1542" t="s">
        <v>1917</v>
      </c>
      <c r="C29" s="1341">
        <f>+'2184 Pro Forma-Bale Fee'!C28</f>
        <v>87555.08</v>
      </c>
      <c r="D29" s="1468">
        <f>+C29*'[37]57147'!$M$365</f>
        <v>55872.507555933851</v>
      </c>
      <c r="E29" s="1468">
        <f>+C29*'[37]57147'!$M$364</f>
        <v>31682.572444066154</v>
      </c>
      <c r="F29" s="1474"/>
      <c r="G29" s="1474">
        <f>+$E29*G$40</f>
        <v>19766.557346113077</v>
      </c>
      <c r="H29" s="1474">
        <f>+$E29*H$40</f>
        <v>11916.015097953079</v>
      </c>
      <c r="I29" s="1459" t="s">
        <v>351</v>
      </c>
      <c r="J29" s="1474"/>
      <c r="K29" s="1500"/>
      <c r="L29" s="1501"/>
    </row>
    <row r="30" spans="1:12">
      <c r="A30" s="1502"/>
      <c r="B30" s="1542" t="s">
        <v>1923</v>
      </c>
      <c r="C30" s="1341">
        <f>+'2184 Pro Forma-Bale Fee'!C49</f>
        <v>115755.37999999999</v>
      </c>
      <c r="D30" s="1468">
        <f>+$C30*'[37]52135'!$K$866</f>
        <v>89750.53511340516</v>
      </c>
      <c r="E30" s="1468">
        <f>+$C30*'[37]52135'!$L$866</f>
        <v>26004.84488659483</v>
      </c>
      <c r="F30" s="1474"/>
      <c r="G30" s="1474">
        <f>+$E30*G$40</f>
        <v>16224.258892965125</v>
      </c>
      <c r="H30" s="1474">
        <f>+$E30*H$40</f>
        <v>9780.5859936297056</v>
      </c>
      <c r="I30" s="1459" t="s">
        <v>351</v>
      </c>
      <c r="J30" s="1474"/>
      <c r="K30" s="1500"/>
      <c r="L30" s="1501"/>
    </row>
    <row r="31" spans="1:12">
      <c r="A31" s="1502"/>
      <c r="B31" s="1539"/>
      <c r="C31" s="1341"/>
      <c r="D31" s="1468"/>
      <c r="E31" s="1468"/>
      <c r="F31" s="1474"/>
      <c r="G31" s="1474"/>
      <c r="H31" s="1379"/>
      <c r="I31" s="1379"/>
      <c r="J31" s="1379"/>
      <c r="K31" s="1500"/>
      <c r="L31" s="1501"/>
    </row>
    <row r="32" spans="1:12">
      <c r="A32" s="1502"/>
      <c r="B32" s="1543"/>
      <c r="C32" s="1544">
        <f>SUM(C29:C31)</f>
        <v>203310.46</v>
      </c>
      <c r="D32" s="1544">
        <f>SUM(D29:D31)</f>
        <v>145623.04266933902</v>
      </c>
      <c r="E32" s="1544">
        <f>SUM(E29:E31)</f>
        <v>57687.417330660988</v>
      </c>
      <c r="F32" s="1474"/>
      <c r="G32" s="1544">
        <f t="shared" ref="G32:H32" si="0">SUM(G29:G31)</f>
        <v>35990.816239078202</v>
      </c>
      <c r="H32" s="1544">
        <f t="shared" si="0"/>
        <v>21696.601091582786</v>
      </c>
      <c r="I32" s="1379"/>
      <c r="J32" s="1474"/>
      <c r="K32" s="1500"/>
      <c r="L32" s="1501"/>
    </row>
    <row r="33" spans="1:12">
      <c r="A33" s="1502"/>
      <c r="B33" s="1543"/>
      <c r="C33" s="1500"/>
      <c r="D33" s="1545">
        <f>+D32/$C$32</f>
        <v>0.71625947169338466</v>
      </c>
      <c r="E33" s="1545">
        <f>+E32/$C$32</f>
        <v>0.28374052830661534</v>
      </c>
      <c r="F33" s="1474"/>
      <c r="G33" s="1380">
        <f>+G32/$E$32</f>
        <v>0.62389369995160116</v>
      </c>
      <c r="H33" s="1380">
        <f>+H32/$E$32</f>
        <v>0.37610630004839884</v>
      </c>
      <c r="I33" s="1379"/>
      <c r="J33" s="1474"/>
      <c r="K33" s="1500"/>
      <c r="L33" s="1501"/>
    </row>
    <row r="34" spans="1:12">
      <c r="A34" s="1502"/>
      <c r="B34" s="1468"/>
      <c r="C34" s="1500"/>
      <c r="D34" s="1546"/>
      <c r="E34" s="1468"/>
      <c r="F34" s="1379"/>
      <c r="G34" s="1379"/>
      <c r="H34" s="1379"/>
      <c r="I34" s="1379"/>
      <c r="J34" s="1379"/>
      <c r="K34" s="1500"/>
      <c r="L34" s="1501"/>
    </row>
    <row r="35" spans="1:12">
      <c r="A35" s="1505"/>
      <c r="B35" s="1535"/>
      <c r="C35" s="1536"/>
      <c r="D35" s="1536"/>
      <c r="E35" s="1536"/>
      <c r="F35" s="1536"/>
      <c r="G35" s="1536"/>
      <c r="H35" s="1536"/>
      <c r="I35" s="1536"/>
      <c r="J35" s="1537"/>
      <c r="K35" s="1508"/>
      <c r="L35" s="1509"/>
    </row>
    <row r="36" spans="1:12">
      <c r="A36" s="1500"/>
      <c r="B36" s="1526"/>
      <c r="C36" s="1526"/>
      <c r="D36" s="1538"/>
      <c r="E36" s="1519"/>
      <c r="F36" s="1379"/>
      <c r="G36" s="1379"/>
      <c r="H36" s="1379"/>
      <c r="I36" s="1379"/>
      <c r="J36" s="1379"/>
      <c r="K36" s="1500"/>
      <c r="L36" s="1500"/>
    </row>
    <row r="37" spans="1:12">
      <c r="A37" s="1494"/>
      <c r="B37" s="1540"/>
      <c r="C37" s="1530"/>
      <c r="D37" s="1541"/>
      <c r="E37" s="1541"/>
      <c r="F37" s="1541"/>
      <c r="G37" s="1541"/>
      <c r="H37" s="1541"/>
      <c r="I37" s="1541"/>
      <c r="J37" s="1541"/>
      <c r="K37" s="1497"/>
      <c r="L37" s="1498"/>
    </row>
    <row r="38" spans="1:12">
      <c r="A38" s="1458" t="s">
        <v>1918</v>
      </c>
      <c r="B38" s="1482"/>
      <c r="C38" s="1482" t="s">
        <v>13</v>
      </c>
      <c r="D38" s="1481" t="s">
        <v>1914</v>
      </c>
      <c r="E38" s="1481" t="s">
        <v>1915</v>
      </c>
      <c r="F38" s="1481"/>
      <c r="G38" s="1472" t="s">
        <v>1916</v>
      </c>
      <c r="H38" s="1472" t="s">
        <v>307</v>
      </c>
      <c r="I38" s="1474"/>
      <c r="J38" s="1474"/>
      <c r="K38" s="1500"/>
      <c r="L38" s="1501"/>
    </row>
    <row r="39" spans="1:12">
      <c r="A39" s="1502"/>
      <c r="B39" s="1547" t="s">
        <v>1919</v>
      </c>
      <c r="C39" s="1490">
        <f>+[48]Pivot!$C$9</f>
        <v>39897.630000000005</v>
      </c>
      <c r="D39" s="1548">
        <v>0</v>
      </c>
      <c r="E39" s="1468">
        <f>+C39</f>
        <v>39897.630000000005</v>
      </c>
      <c r="F39" s="1472" t="s">
        <v>348</v>
      </c>
      <c r="G39" s="1474">
        <f>+E39-H39</f>
        <v>24891.880000000005</v>
      </c>
      <c r="H39" s="1474">
        <f>+[48]Pivot!$C$14</f>
        <v>15005.75</v>
      </c>
      <c r="I39" s="1459" t="s">
        <v>348</v>
      </c>
      <c r="J39" s="1474"/>
      <c r="K39" s="1500"/>
      <c r="L39" s="1501"/>
    </row>
    <row r="40" spans="1:12">
      <c r="A40" s="1502"/>
      <c r="B40" s="1539"/>
      <c r="C40" s="1379"/>
      <c r="D40" s="1380">
        <f>+D39/$C$39</f>
        <v>0</v>
      </c>
      <c r="E40" s="1380">
        <f>+E39/$C$39</f>
        <v>1</v>
      </c>
      <c r="F40" s="1472"/>
      <c r="G40" s="1380">
        <f>+G39/$C$39</f>
        <v>0.62389369995160116</v>
      </c>
      <c r="H40" s="1380">
        <f>+H39/$C$39</f>
        <v>0.37610630004839884</v>
      </c>
      <c r="I40" s="1379"/>
      <c r="J40" s="1379"/>
      <c r="K40" s="1500"/>
      <c r="L40" s="1501"/>
    </row>
    <row r="41" spans="1:12">
      <c r="A41" s="1505"/>
      <c r="B41" s="1535"/>
      <c r="C41" s="1536"/>
      <c r="D41" s="1536"/>
      <c r="E41" s="1536"/>
      <c r="F41" s="1536"/>
      <c r="G41" s="1536"/>
      <c r="H41" s="1536"/>
      <c r="I41" s="1536"/>
      <c r="J41" s="1537"/>
      <c r="K41" s="1508"/>
      <c r="L41" s="1509"/>
    </row>
    <row r="42" spans="1:12">
      <c r="B42" s="84"/>
      <c r="C42" s="81"/>
      <c r="D42" s="100"/>
      <c r="E42" s="81"/>
      <c r="F42" s="81"/>
      <c r="G42" s="81"/>
      <c r="H42" s="81"/>
      <c r="I42" s="83"/>
      <c r="J42" s="83"/>
    </row>
    <row r="43" spans="1:12">
      <c r="B43" s="84"/>
      <c r="C43" s="81"/>
      <c r="D43" s="81"/>
      <c r="E43" s="81"/>
      <c r="F43" s="81"/>
      <c r="G43" s="81"/>
      <c r="H43" s="81"/>
      <c r="I43" s="83"/>
      <c r="J43" s="83"/>
    </row>
    <row r="44" spans="1:12">
      <c r="B44" s="81"/>
      <c r="C44" s="81"/>
      <c r="D44" s="81"/>
      <c r="E44" s="83"/>
      <c r="F44" s="83"/>
      <c r="G44" s="83"/>
      <c r="H44" s="83"/>
      <c r="I44" s="83"/>
      <c r="J44" s="83"/>
    </row>
    <row r="45" spans="1:12">
      <c r="B45" s="81"/>
      <c r="C45" s="99"/>
      <c r="D45" s="100"/>
      <c r="E45" s="83"/>
      <c r="F45" s="83"/>
      <c r="G45" s="83"/>
      <c r="H45" s="83"/>
      <c r="I45" s="81"/>
      <c r="J45" s="83"/>
    </row>
    <row r="46" spans="1:12">
      <c r="B46" s="81"/>
      <c r="C46" s="99"/>
      <c r="D46" s="99"/>
      <c r="E46" s="99"/>
      <c r="F46" s="99"/>
      <c r="G46" s="99"/>
      <c r="H46" s="99"/>
      <c r="I46" s="99"/>
      <c r="J46" s="99"/>
    </row>
    <row r="47" spans="1:12">
      <c r="B47" s="81"/>
      <c r="C47" s="81"/>
      <c r="D47" s="99"/>
      <c r="E47" s="81"/>
      <c r="F47" s="81"/>
      <c r="G47" s="81"/>
      <c r="H47" s="81"/>
      <c r="I47" s="99"/>
      <c r="J47" s="83"/>
    </row>
    <row r="48" spans="1:12">
      <c r="B48" s="81"/>
      <c r="C48" s="81"/>
      <c r="D48" s="81"/>
      <c r="E48" s="83"/>
      <c r="F48" s="83"/>
      <c r="G48" s="83"/>
      <c r="H48" s="83"/>
      <c r="I48" s="83"/>
      <c r="J48" s="83"/>
    </row>
    <row r="49" spans="2:10">
      <c r="B49" s="81"/>
      <c r="C49" s="99"/>
      <c r="D49" s="99"/>
      <c r="E49" s="99"/>
      <c r="F49" s="99"/>
      <c r="G49" s="99"/>
      <c r="H49" s="99"/>
      <c r="I49" s="99"/>
      <c r="J49" s="99"/>
    </row>
    <row r="50" spans="2:10">
      <c r="B50" s="81"/>
      <c r="C50" s="81"/>
      <c r="D50" s="81"/>
      <c r="E50" s="83"/>
      <c r="F50" s="83"/>
      <c r="G50" s="83"/>
      <c r="H50" s="83"/>
      <c r="I50" s="83"/>
      <c r="J50" s="83"/>
    </row>
    <row r="51" spans="2:10">
      <c r="B51" s="81"/>
      <c r="C51" s="81"/>
      <c r="D51" s="81"/>
      <c r="E51" s="83"/>
      <c r="F51" s="81"/>
      <c r="G51" s="81"/>
      <c r="H51" s="81"/>
      <c r="I51" s="81"/>
      <c r="J51" s="83"/>
    </row>
    <row r="52" spans="2:10">
      <c r="B52" s="81"/>
      <c r="C52" s="81"/>
      <c r="D52" s="81"/>
      <c r="E52" s="83"/>
      <c r="F52" s="83"/>
      <c r="G52" s="83"/>
      <c r="H52" s="83"/>
      <c r="I52" s="83"/>
      <c r="J52" s="83"/>
    </row>
    <row r="53" spans="2:10">
      <c r="B53" s="81"/>
      <c r="C53" s="81"/>
      <c r="D53" s="81"/>
      <c r="E53" s="83"/>
      <c r="F53" s="83"/>
      <c r="G53" s="83"/>
      <c r="H53" s="83"/>
      <c r="I53" s="83"/>
      <c r="J53" s="83"/>
    </row>
    <row r="54" spans="2:10">
      <c r="B54" s="81"/>
      <c r="C54" s="81"/>
      <c r="D54" s="81"/>
      <c r="E54" s="83"/>
      <c r="F54" s="83"/>
      <c r="G54" s="83"/>
      <c r="H54" s="83"/>
      <c r="I54" s="83"/>
      <c r="J54" s="83"/>
    </row>
    <row r="55" spans="2:10">
      <c r="B55" s="99"/>
      <c r="C55" s="99"/>
      <c r="D55" s="81"/>
      <c r="E55" s="83"/>
      <c r="F55" s="83"/>
      <c r="G55" s="83"/>
      <c r="H55" s="83"/>
      <c r="I55" s="83"/>
      <c r="J55" s="83"/>
    </row>
    <row r="56" spans="2:10">
      <c r="B56" s="99"/>
      <c r="C56" s="99"/>
      <c r="D56" s="81"/>
      <c r="E56" s="83"/>
      <c r="F56" s="83"/>
      <c r="G56" s="83"/>
      <c r="H56" s="83"/>
      <c r="I56" s="83"/>
      <c r="J56" s="83"/>
    </row>
    <row r="57" spans="2:10">
      <c r="B57" s="99"/>
      <c r="C57" s="99"/>
      <c r="D57" s="81"/>
      <c r="E57" s="83"/>
      <c r="F57" s="83"/>
      <c r="G57" s="83"/>
      <c r="H57" s="83"/>
      <c r="I57" s="83"/>
      <c r="J57" s="83"/>
    </row>
    <row r="58" spans="2:10">
      <c r="B58" s="81"/>
      <c r="C58" s="81"/>
      <c r="D58" s="81"/>
      <c r="E58" s="83"/>
      <c r="F58" s="83"/>
      <c r="G58" s="83"/>
      <c r="H58" s="83"/>
      <c r="I58" s="83"/>
      <c r="J58" s="83"/>
    </row>
    <row r="59" spans="2:10">
      <c r="B59" s="99"/>
      <c r="C59" s="99"/>
      <c r="D59" s="107"/>
      <c r="E59" s="81"/>
      <c r="F59" s="83"/>
      <c r="G59" s="83"/>
      <c r="H59" s="83"/>
      <c r="I59" s="83"/>
      <c r="J59" s="83"/>
    </row>
    <row r="60" spans="2:10">
      <c r="B60" s="83"/>
      <c r="C60" s="83"/>
      <c r="D60" s="83"/>
      <c r="E60" s="83"/>
      <c r="F60" s="83"/>
      <c r="G60" s="83"/>
      <c r="H60" s="83"/>
      <c r="I60" s="83"/>
      <c r="J60" s="83"/>
    </row>
    <row r="61" spans="2:10">
      <c r="B61" s="83"/>
      <c r="C61" s="83"/>
      <c r="D61" s="83"/>
      <c r="E61" s="83"/>
      <c r="F61" s="83"/>
      <c r="G61" s="83"/>
      <c r="H61" s="83"/>
      <c r="I61" s="83"/>
      <c r="J61" s="83"/>
    </row>
    <row r="62" spans="2:10" s="132" customFormat="1">
      <c r="B62" s="99"/>
      <c r="C62" s="99"/>
      <c r="D62" s="99"/>
      <c r="E62" s="83"/>
      <c r="F62" s="83"/>
      <c r="G62" s="83"/>
      <c r="H62" s="83"/>
      <c r="I62" s="83"/>
      <c r="J62" s="83"/>
    </row>
    <row r="63" spans="2:10">
      <c r="B63" s="83"/>
      <c r="C63" s="83"/>
      <c r="D63" s="83"/>
      <c r="E63" s="83"/>
      <c r="F63" s="83"/>
      <c r="G63" s="83"/>
      <c r="H63" s="83"/>
      <c r="I63" s="83"/>
      <c r="J63" s="83"/>
    </row>
    <row r="64" spans="2:10">
      <c r="B64" s="83"/>
      <c r="C64" s="83"/>
      <c r="D64" s="83"/>
      <c r="E64" s="83"/>
      <c r="F64" s="83"/>
      <c r="G64" s="83"/>
      <c r="H64" s="83"/>
      <c r="I64" s="83"/>
      <c r="J64" s="83"/>
    </row>
    <row r="65" spans="2:10">
      <c r="B65" s="83"/>
      <c r="C65" s="83"/>
      <c r="D65" s="83"/>
      <c r="E65" s="83"/>
      <c r="F65" s="83"/>
      <c r="G65" s="83"/>
      <c r="H65" s="83"/>
      <c r="I65" s="83"/>
      <c r="J65" s="83"/>
    </row>
    <row r="66" spans="2:10">
      <c r="B66" s="83"/>
      <c r="C66" s="83"/>
      <c r="D66" s="83"/>
      <c r="E66" s="83"/>
      <c r="F66" s="83"/>
      <c r="G66" s="83"/>
      <c r="H66" s="83"/>
      <c r="I66" s="83"/>
      <c r="J66" s="83"/>
    </row>
    <row r="67" spans="2:10">
      <c r="B67" s="83"/>
      <c r="C67" s="83"/>
      <c r="D67" s="83"/>
      <c r="E67" s="83"/>
      <c r="F67" s="83"/>
      <c r="G67" s="83"/>
      <c r="H67" s="83"/>
      <c r="I67" s="83"/>
      <c r="J67" s="83"/>
    </row>
    <row r="68" spans="2:10">
      <c r="B68" s="83"/>
      <c r="C68" s="83"/>
      <c r="D68" s="83"/>
      <c r="E68" s="83"/>
      <c r="F68" s="83"/>
      <c r="G68" s="83"/>
      <c r="H68" s="83"/>
      <c r="I68" s="83"/>
      <c r="J68" s="83"/>
    </row>
    <row r="69" spans="2:10">
      <c r="B69" s="83"/>
      <c r="C69" s="83"/>
      <c r="D69" s="83"/>
      <c r="E69" s="83"/>
      <c r="F69" s="83"/>
      <c r="G69" s="83"/>
      <c r="H69" s="83"/>
      <c r="I69" s="83"/>
      <c r="J69" s="83"/>
    </row>
    <row r="70" spans="2:10">
      <c r="B70" s="83"/>
      <c r="C70" s="83"/>
      <c r="D70" s="83"/>
      <c r="E70" s="83"/>
      <c r="F70" s="83"/>
      <c r="G70" s="83"/>
      <c r="H70" s="83"/>
      <c r="I70" s="83"/>
      <c r="J70" s="83"/>
    </row>
    <row r="71" spans="2:10">
      <c r="B71" s="83"/>
      <c r="C71" s="83"/>
      <c r="D71" s="83"/>
      <c r="E71" s="83"/>
      <c r="F71" s="83"/>
      <c r="G71" s="83"/>
      <c r="H71" s="83"/>
      <c r="I71" s="83"/>
      <c r="J71" s="83"/>
    </row>
    <row r="72" spans="2:10">
      <c r="B72" s="83"/>
      <c r="C72" s="83"/>
      <c r="D72" s="83"/>
      <c r="E72" s="83"/>
      <c r="F72" s="83"/>
      <c r="G72" s="83"/>
      <c r="H72" s="83"/>
      <c r="I72" s="83"/>
      <c r="J72" s="83"/>
    </row>
    <row r="73" spans="2:10">
      <c r="B73" s="83"/>
      <c r="C73" s="83"/>
      <c r="D73" s="83"/>
      <c r="E73" s="83"/>
      <c r="F73" s="83"/>
      <c r="G73" s="83"/>
      <c r="H73" s="83"/>
      <c r="I73" s="83"/>
      <c r="J73" s="83"/>
    </row>
    <row r="74" spans="2:10">
      <c r="B74" s="83"/>
      <c r="C74" s="83"/>
      <c r="D74" s="83"/>
      <c r="E74" s="83"/>
      <c r="F74" s="83"/>
      <c r="G74" s="83"/>
      <c r="H74" s="83"/>
      <c r="I74" s="83"/>
      <c r="J74" s="83"/>
    </row>
    <row r="75" spans="2:10">
      <c r="B75" s="83"/>
      <c r="C75" s="83"/>
      <c r="D75" s="83"/>
      <c r="E75" s="83"/>
      <c r="F75" s="83"/>
      <c r="G75" s="83"/>
      <c r="H75" s="83"/>
      <c r="I75" s="83"/>
      <c r="J75" s="83"/>
    </row>
    <row r="76" spans="2:10">
      <c r="B76" s="83"/>
      <c r="C76" s="83"/>
      <c r="D76" s="83"/>
      <c r="E76" s="83"/>
      <c r="F76" s="83"/>
      <c r="G76" s="83"/>
      <c r="H76" s="83"/>
      <c r="I76" s="83"/>
      <c r="J76" s="83"/>
    </row>
  </sheetData>
  <pageMargins left="0.75" right="0.75" top="1" bottom="1" header="0.5" footer="0.5"/>
  <pageSetup scale="93" orientation="portrait" r:id="rId1"/>
  <headerFooter alignWithMargins="0">
    <oddHeader>&amp;CDESIGNATED INFORMATION IS CONFIDENTIAL PER WAC 480-07-160</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316"/>
  <sheetViews>
    <sheetView showGridLines="0" tabSelected="1" view="pageBreakPreview" topLeftCell="D1" zoomScale="70" zoomScaleNormal="85" zoomScaleSheetLayoutView="70" workbookViewId="0">
      <selection activeCell="AR41" sqref="AR41"/>
    </sheetView>
  </sheetViews>
  <sheetFormatPr defaultColWidth="10.28515625" defaultRowHeight="15" outlineLevelCol="1"/>
  <cols>
    <col min="1" max="1" width="12.28515625" style="841" hidden="1" customWidth="1"/>
    <col min="2" max="2" width="4.28515625" style="841" customWidth="1"/>
    <col min="3" max="3" width="27.7109375" style="840" customWidth="1"/>
    <col min="4" max="4" width="27.5703125" style="840" bestFit="1" customWidth="1"/>
    <col min="5" max="5" width="7.42578125" style="840" customWidth="1"/>
    <col min="6" max="6" width="11.28515625" style="840" customWidth="1"/>
    <col min="7" max="7" width="3.42578125" style="840" customWidth="1"/>
    <col min="8" max="8" width="16.85546875" style="840" bestFit="1" customWidth="1"/>
    <col min="9" max="9" width="16.42578125" style="840" bestFit="1" customWidth="1"/>
    <col min="10" max="10" width="16.7109375" style="840" bestFit="1" customWidth="1"/>
    <col min="11" max="11" width="16.42578125" style="841" bestFit="1" customWidth="1"/>
    <col min="12" max="12" width="16.7109375" style="841" bestFit="1" customWidth="1"/>
    <col min="13" max="13" width="16.85546875" style="841" bestFit="1" customWidth="1"/>
    <col min="14" max="14" width="15.85546875" style="841" bestFit="1" customWidth="1"/>
    <col min="15" max="15" width="16.85546875" style="841" bestFit="1" customWidth="1"/>
    <col min="16" max="16" width="17.140625" style="841" bestFit="1" customWidth="1"/>
    <col min="17" max="17" width="16.85546875" style="841" bestFit="1" customWidth="1"/>
    <col min="18" max="18" width="16" style="841" bestFit="1" customWidth="1"/>
    <col min="19" max="19" width="16.7109375" style="841" bestFit="1" customWidth="1"/>
    <col min="20" max="20" width="19.28515625" style="841" bestFit="1" customWidth="1"/>
    <col min="21" max="21" width="6.42578125" style="841" bestFit="1" customWidth="1"/>
    <col min="22" max="25" width="14.140625" style="841" bestFit="1" customWidth="1" outlineLevel="1"/>
    <col min="26" max="26" width="13.7109375" style="841" bestFit="1" customWidth="1" outlineLevel="1"/>
    <col min="27" max="27" width="14.140625" style="841" bestFit="1" customWidth="1" outlineLevel="1"/>
    <col min="28" max="28" width="13.7109375" style="841" bestFit="1" customWidth="1" outlineLevel="1"/>
    <col min="29" max="32" width="14.140625" style="841" bestFit="1" customWidth="1" outlineLevel="1"/>
    <col min="33" max="33" width="13.42578125" style="841" bestFit="1" customWidth="1" outlineLevel="1"/>
    <col min="34" max="34" width="13.7109375" style="841" bestFit="1" customWidth="1" outlineLevel="1"/>
    <col min="35" max="35" width="4.140625" style="841" customWidth="1"/>
    <col min="36" max="36" width="4.5703125" style="704" customWidth="1"/>
    <col min="37" max="37" width="10.28515625" style="841"/>
    <col min="38" max="38" width="15.28515625" style="841" bestFit="1" customWidth="1"/>
    <col min="39" max="39" width="13.5703125" style="841" bestFit="1" customWidth="1"/>
    <col min="40" max="40" width="15.28515625" style="841" bestFit="1" customWidth="1"/>
    <col min="41" max="41" width="15" style="841" bestFit="1" customWidth="1"/>
    <col min="42" max="42" width="14.42578125" style="841" bestFit="1" customWidth="1"/>
    <col min="43" max="43" width="16.42578125" style="841" bestFit="1" customWidth="1"/>
    <col min="44" max="44" width="10.28515625" style="841"/>
    <col min="45" max="45" width="10.28515625" style="937"/>
    <col min="46" max="16384" width="10.28515625" style="841"/>
  </cols>
  <sheetData>
    <row r="1" spans="1:46">
      <c r="A1" s="838" t="s">
        <v>305</v>
      </c>
      <c r="B1" s="839"/>
      <c r="C1" s="839" t="s">
        <v>1948</v>
      </c>
      <c r="E1" s="1238" t="s">
        <v>2964</v>
      </c>
      <c r="AK1" s="842" t="s">
        <v>379</v>
      </c>
      <c r="AL1" s="935">
        <f ca="1">+'LG Public 2018 V5.0c MSW'!K20</f>
        <v>2.4137122572350976E-2</v>
      </c>
      <c r="AM1" s="1083">
        <v>3.5000000000000001E-3</v>
      </c>
      <c r="AN1" s="935">
        <f ca="1">AL1+AM1</f>
        <v>2.7637122572350976E-2</v>
      </c>
    </row>
    <row r="2" spans="1:46">
      <c r="C2" s="839" t="s">
        <v>1949</v>
      </c>
      <c r="AA2" s="843"/>
      <c r="AK2" s="842" t="s">
        <v>3</v>
      </c>
      <c r="AL2" s="935">
        <f ca="1">+'LG Public 2018 V5.0c Rec'!K20</f>
        <v>6.8920343416327731E-2</v>
      </c>
    </row>
    <row r="3" spans="1:46">
      <c r="C3" s="839" t="s">
        <v>1950</v>
      </c>
      <c r="K3" s="844"/>
      <c r="AK3" s="842" t="s">
        <v>625</v>
      </c>
      <c r="AL3" s="935">
        <f ca="1">+'LG Public 2018 V5.0c YW'!K20</f>
        <v>1.3254212315121099E-2</v>
      </c>
      <c r="AP3" s="1265" t="s">
        <v>2506</v>
      </c>
      <c r="AQ3" s="1265"/>
    </row>
    <row r="4" spans="1:46" s="1069" customFormat="1">
      <c r="D4" s="840"/>
      <c r="E4" s="840"/>
      <c r="F4" s="840"/>
      <c r="G4" s="840"/>
      <c r="H4" s="840"/>
      <c r="I4" s="840"/>
      <c r="J4" s="840"/>
      <c r="K4" s="844"/>
      <c r="AJ4" s="1068"/>
      <c r="AK4" s="842"/>
      <c r="AL4" s="935"/>
      <c r="AP4" s="962"/>
      <c r="AQ4" s="962"/>
      <c r="AS4" s="937"/>
    </row>
    <row r="5" spans="1:46" ht="24.75">
      <c r="D5" s="845"/>
      <c r="E5" s="1279" t="s">
        <v>1951</v>
      </c>
      <c r="F5" s="847">
        <v>43282</v>
      </c>
      <c r="H5" s="848">
        <v>43221</v>
      </c>
      <c r="I5" s="848">
        <f t="shared" ref="I5:S5" si="0">EDATE(H5,1)</f>
        <v>43252</v>
      </c>
      <c r="J5" s="848">
        <f t="shared" si="0"/>
        <v>43282</v>
      </c>
      <c r="K5" s="848">
        <f t="shared" si="0"/>
        <v>43313</v>
      </c>
      <c r="L5" s="848">
        <f t="shared" si="0"/>
        <v>43344</v>
      </c>
      <c r="M5" s="848">
        <f t="shared" si="0"/>
        <v>43374</v>
      </c>
      <c r="N5" s="848">
        <f t="shared" si="0"/>
        <v>43405</v>
      </c>
      <c r="O5" s="848">
        <f t="shared" si="0"/>
        <v>43435</v>
      </c>
      <c r="P5" s="848">
        <f t="shared" si="0"/>
        <v>43466</v>
      </c>
      <c r="Q5" s="848">
        <f t="shared" si="0"/>
        <v>43497</v>
      </c>
      <c r="R5" s="848">
        <f t="shared" si="0"/>
        <v>43525</v>
      </c>
      <c r="S5" s="848">
        <f t="shared" si="0"/>
        <v>43556</v>
      </c>
      <c r="T5" s="845" t="s">
        <v>13</v>
      </c>
      <c r="V5" s="849">
        <f t="shared" ref="V5:AG5" si="1">+H5</f>
        <v>43221</v>
      </c>
      <c r="W5" s="849">
        <f t="shared" si="1"/>
        <v>43252</v>
      </c>
      <c r="X5" s="849">
        <f t="shared" si="1"/>
        <v>43282</v>
      </c>
      <c r="Y5" s="849">
        <f t="shared" si="1"/>
        <v>43313</v>
      </c>
      <c r="Z5" s="849">
        <f t="shared" si="1"/>
        <v>43344</v>
      </c>
      <c r="AA5" s="849">
        <f t="shared" si="1"/>
        <v>43374</v>
      </c>
      <c r="AB5" s="849">
        <f t="shared" si="1"/>
        <v>43405</v>
      </c>
      <c r="AC5" s="849">
        <f t="shared" si="1"/>
        <v>43435</v>
      </c>
      <c r="AD5" s="849">
        <f t="shared" si="1"/>
        <v>43466</v>
      </c>
      <c r="AE5" s="849">
        <f t="shared" si="1"/>
        <v>43497</v>
      </c>
      <c r="AF5" s="849">
        <f t="shared" si="1"/>
        <v>43525</v>
      </c>
      <c r="AG5" s="849">
        <f t="shared" si="1"/>
        <v>43556</v>
      </c>
      <c r="AH5" s="849"/>
      <c r="AK5" s="850" t="s">
        <v>1952</v>
      </c>
      <c r="AL5" s="850" t="s">
        <v>1953</v>
      </c>
      <c r="AM5" s="850" t="s">
        <v>1954</v>
      </c>
      <c r="AN5" s="850" t="s">
        <v>1955</v>
      </c>
      <c r="AO5" s="850" t="s">
        <v>1956</v>
      </c>
      <c r="AP5" s="850" t="s">
        <v>1952</v>
      </c>
      <c r="AQ5" s="850" t="s">
        <v>1956</v>
      </c>
      <c r="AS5" s="1266" t="s">
        <v>306</v>
      </c>
      <c r="AT5" s="1266"/>
    </row>
    <row r="6" spans="1:46">
      <c r="C6" s="851" t="s">
        <v>1957</v>
      </c>
      <c r="D6" s="845" t="s">
        <v>1958</v>
      </c>
      <c r="E6" s="852" t="s">
        <v>1773</v>
      </c>
      <c r="F6" s="852" t="s">
        <v>1959</v>
      </c>
      <c r="G6" s="845"/>
      <c r="H6" s="853" t="s">
        <v>174</v>
      </c>
      <c r="I6" s="853" t="s">
        <v>174</v>
      </c>
      <c r="J6" s="853" t="s">
        <v>174</v>
      </c>
      <c r="K6" s="853" t="s">
        <v>174</v>
      </c>
      <c r="L6" s="853" t="s">
        <v>174</v>
      </c>
      <c r="M6" s="853" t="s">
        <v>174</v>
      </c>
      <c r="N6" s="853" t="s">
        <v>174</v>
      </c>
      <c r="O6" s="853" t="s">
        <v>174</v>
      </c>
      <c r="P6" s="853" t="s">
        <v>174</v>
      </c>
      <c r="Q6" s="853" t="s">
        <v>174</v>
      </c>
      <c r="R6" s="853" t="s">
        <v>174</v>
      </c>
      <c r="S6" s="853" t="s">
        <v>174</v>
      </c>
      <c r="T6" s="845" t="s">
        <v>174</v>
      </c>
      <c r="V6" s="854" t="s">
        <v>1960</v>
      </c>
      <c r="W6" s="854" t="s">
        <v>1960</v>
      </c>
      <c r="X6" s="854" t="s">
        <v>1960</v>
      </c>
      <c r="Y6" s="854" t="s">
        <v>1960</v>
      </c>
      <c r="Z6" s="854" t="s">
        <v>1960</v>
      </c>
      <c r="AA6" s="854" t="s">
        <v>1960</v>
      </c>
      <c r="AB6" s="854" t="s">
        <v>1960</v>
      </c>
      <c r="AC6" s="854" t="s">
        <v>1960</v>
      </c>
      <c r="AD6" s="854" t="s">
        <v>1960</v>
      </c>
      <c r="AE6" s="854" t="s">
        <v>1960</v>
      </c>
      <c r="AF6" s="854" t="s">
        <v>1960</v>
      </c>
      <c r="AG6" s="854" t="s">
        <v>1960</v>
      </c>
      <c r="AH6" s="854" t="s">
        <v>371</v>
      </c>
      <c r="AK6" s="850" t="s">
        <v>1961</v>
      </c>
      <c r="AL6" s="850" t="s">
        <v>1960</v>
      </c>
      <c r="AM6" s="850" t="s">
        <v>1960</v>
      </c>
      <c r="AN6" s="850" t="s">
        <v>1960</v>
      </c>
      <c r="AO6" s="850" t="s">
        <v>1961</v>
      </c>
      <c r="AP6" s="850" t="s">
        <v>533</v>
      </c>
      <c r="AQ6" s="850" t="s">
        <v>174</v>
      </c>
      <c r="AS6" s="938" t="s">
        <v>2507</v>
      </c>
      <c r="AT6" s="842" t="s">
        <v>486</v>
      </c>
    </row>
    <row r="8" spans="1:46">
      <c r="C8" s="855" t="s">
        <v>1962</v>
      </c>
      <c r="D8" s="855" t="s">
        <v>1962</v>
      </c>
      <c r="E8" s="855"/>
      <c r="F8" s="855"/>
      <c r="G8" s="856"/>
      <c r="H8" s="856"/>
    </row>
    <row r="9" spans="1:46">
      <c r="C9" s="855"/>
      <c r="D9" s="857"/>
      <c r="E9" s="857"/>
      <c r="F9" s="857"/>
      <c r="G9" s="856"/>
      <c r="H9" s="856"/>
    </row>
    <row r="10" spans="1:46">
      <c r="A10" s="842" t="s">
        <v>1963</v>
      </c>
      <c r="B10" s="842" t="s">
        <v>1964</v>
      </c>
      <c r="C10" s="858" t="s">
        <v>1965</v>
      </c>
      <c r="D10" s="858" t="s">
        <v>1965</v>
      </c>
      <c r="E10" s="858"/>
      <c r="F10" s="858"/>
      <c r="G10" s="856"/>
      <c r="H10" s="856"/>
    </row>
    <row r="11" spans="1:46" s="840" customFormat="1">
      <c r="A11" s="840" t="str">
        <f t="shared" ref="A11:A45" si="2">$A$1&amp;"Residential"&amp;C11</f>
        <v>PacificResidentialRL020.0G1W001</v>
      </c>
      <c r="B11" s="840">
        <f t="shared" ref="B11:B45" si="3">COUNTIF(C:C,C11)</f>
        <v>1</v>
      </c>
      <c r="C11" s="859" t="s">
        <v>1966</v>
      </c>
      <c r="D11" s="859" t="s">
        <v>1967</v>
      </c>
      <c r="E11" s="859">
        <v>9.32</v>
      </c>
      <c r="F11" s="859"/>
      <c r="G11" s="860"/>
      <c r="H11" s="861">
        <v>876.08</v>
      </c>
      <c r="I11" s="861">
        <v>876.08</v>
      </c>
      <c r="J11" s="861">
        <v>865.20500000000015</v>
      </c>
      <c r="K11" s="861">
        <v>845.53</v>
      </c>
      <c r="L11" s="861">
        <v>827.54000000000008</v>
      </c>
      <c r="M11" s="861">
        <v>814.59499999999991</v>
      </c>
      <c r="N11" s="861">
        <v>796.86000000000013</v>
      </c>
      <c r="O11" s="861">
        <v>782.1099999999999</v>
      </c>
      <c r="P11" s="861">
        <v>775.8900000000001</v>
      </c>
      <c r="Q11" s="861">
        <v>760.745</v>
      </c>
      <c r="R11" s="861">
        <v>751.42500000000007</v>
      </c>
      <c r="S11" s="861">
        <v>742.495</v>
      </c>
      <c r="T11" s="861">
        <f t="shared" ref="T11:T45" si="4">SUM(H11:S11)</f>
        <v>9714.5550000000021</v>
      </c>
      <c r="U11" s="861"/>
      <c r="V11" s="861">
        <f t="shared" ref="V11:AG32" si="5">IFERROR(H11/$E11,0)</f>
        <v>94</v>
      </c>
      <c r="W11" s="861">
        <f t="shared" si="5"/>
        <v>94</v>
      </c>
      <c r="X11" s="861">
        <f t="shared" si="5"/>
        <v>92.833154506437779</v>
      </c>
      <c r="Y11" s="861">
        <f t="shared" si="5"/>
        <v>90.722103004291839</v>
      </c>
      <c r="Z11" s="861">
        <f t="shared" si="5"/>
        <v>88.791845493562235</v>
      </c>
      <c r="AA11" s="861">
        <f t="shared" si="5"/>
        <v>87.402896995708147</v>
      </c>
      <c r="AB11" s="861">
        <f t="shared" si="5"/>
        <v>85.500000000000014</v>
      </c>
      <c r="AC11" s="861">
        <f t="shared" si="5"/>
        <v>83.917381974248912</v>
      </c>
      <c r="AD11" s="861">
        <f t="shared" si="5"/>
        <v>83.250000000000014</v>
      </c>
      <c r="AE11" s="861">
        <f t="shared" si="5"/>
        <v>81.625</v>
      </c>
      <c r="AF11" s="861">
        <f t="shared" si="5"/>
        <v>80.625</v>
      </c>
      <c r="AG11" s="861">
        <f t="shared" si="5"/>
        <v>79.666845493562235</v>
      </c>
      <c r="AH11" s="861">
        <f t="shared" ref="AH11:AH45" si="6">AVERAGE(V11:AG11)</f>
        <v>86.861185622317592</v>
      </c>
      <c r="AJ11" s="709"/>
      <c r="AK11" s="936">
        <f ca="1">+E11*$AN$1</f>
        <v>0.25757798237431112</v>
      </c>
      <c r="AL11" s="861">
        <f t="shared" ref="AL11:AL45" si="7">+AH11*12</f>
        <v>1042.3342274678112</v>
      </c>
      <c r="AM11" s="861">
        <v>131.99999999999997</v>
      </c>
      <c r="AN11" s="863">
        <f t="shared" ref="AN11:AN45" si="8">+AL11+AM11</f>
        <v>1174.3342274678112</v>
      </c>
      <c r="AO11" s="936">
        <f t="shared" ref="AO11:AO45" ca="1" si="9">+AN11*AK11</f>
        <v>302.48264094425411</v>
      </c>
      <c r="AP11" s="936">
        <f t="shared" ref="AP11:AP45" ca="1" si="10">+E11+AK11</f>
        <v>9.5775779823743115</v>
      </c>
      <c r="AQ11" s="936">
        <f t="shared" ref="AQ11:AQ45" ca="1" si="11">+AP11*12*AH11</f>
        <v>9983.0373472708452</v>
      </c>
      <c r="AS11" s="936">
        <f>+IFERROR(VLOOKUP(C11,'Rural - Price Out '!$C:$F,3,FALSE),0)</f>
        <v>9.76</v>
      </c>
      <c r="AT11" s="909">
        <f t="shared" ref="AT11:AT45" ca="1" si="12">+AP11-AS11</f>
        <v>-0.18242201762568833</v>
      </c>
    </row>
    <row r="12" spans="1:46" s="840" customFormat="1">
      <c r="A12" s="840" t="str">
        <f t="shared" si="2"/>
        <v>PacificResidentialRL032.0G1M001</v>
      </c>
      <c r="B12" s="840">
        <f t="shared" si="3"/>
        <v>1</v>
      </c>
      <c r="C12" s="859" t="s">
        <v>1968</v>
      </c>
      <c r="D12" s="859" t="s">
        <v>1969</v>
      </c>
      <c r="E12" s="859">
        <v>6.45</v>
      </c>
      <c r="F12" s="859"/>
      <c r="G12" s="860"/>
      <c r="H12" s="861">
        <v>122.55000000000001</v>
      </c>
      <c r="I12" s="861">
        <v>122.55000000000001</v>
      </c>
      <c r="J12" s="861">
        <v>122.55000000000001</v>
      </c>
      <c r="K12" s="861">
        <v>122.55000000000001</v>
      </c>
      <c r="L12" s="861">
        <v>122.55000000000001</v>
      </c>
      <c r="M12" s="861">
        <v>122.55000000000001</v>
      </c>
      <c r="N12" s="861">
        <v>116.10000000000001</v>
      </c>
      <c r="O12" s="861">
        <v>116.10000000000002</v>
      </c>
      <c r="P12" s="861">
        <v>106.42500000000001</v>
      </c>
      <c r="Q12" s="861">
        <v>112.87500000000001</v>
      </c>
      <c r="R12" s="861">
        <v>109.65</v>
      </c>
      <c r="S12" s="861">
        <v>109.65000000000002</v>
      </c>
      <c r="T12" s="861">
        <f t="shared" si="4"/>
        <v>1406.1000000000001</v>
      </c>
      <c r="U12" s="861"/>
      <c r="V12" s="861">
        <f t="shared" si="5"/>
        <v>19</v>
      </c>
      <c r="W12" s="861">
        <f t="shared" si="5"/>
        <v>19</v>
      </c>
      <c r="X12" s="861">
        <f t="shared" si="5"/>
        <v>19</v>
      </c>
      <c r="Y12" s="861">
        <f t="shared" si="5"/>
        <v>19</v>
      </c>
      <c r="Z12" s="861">
        <f t="shared" si="5"/>
        <v>19</v>
      </c>
      <c r="AA12" s="861">
        <f t="shared" si="5"/>
        <v>19</v>
      </c>
      <c r="AB12" s="861">
        <f t="shared" si="5"/>
        <v>18</v>
      </c>
      <c r="AC12" s="861">
        <f t="shared" si="5"/>
        <v>18.000000000000004</v>
      </c>
      <c r="AD12" s="861">
        <f t="shared" si="5"/>
        <v>16.5</v>
      </c>
      <c r="AE12" s="861">
        <f t="shared" si="5"/>
        <v>17.5</v>
      </c>
      <c r="AF12" s="861">
        <f t="shared" si="5"/>
        <v>17</v>
      </c>
      <c r="AG12" s="861">
        <f t="shared" si="5"/>
        <v>17.000000000000004</v>
      </c>
      <c r="AH12" s="861">
        <f t="shared" si="6"/>
        <v>18.166666666666668</v>
      </c>
      <c r="AJ12" s="709"/>
      <c r="AK12" s="936">
        <f t="shared" ref="AK12:AK45" ca="1" si="13">+E12*$AN$1</f>
        <v>0.17825944059166379</v>
      </c>
      <c r="AL12" s="861">
        <f t="shared" si="7"/>
        <v>218</v>
      </c>
      <c r="AM12" s="861">
        <v>12</v>
      </c>
      <c r="AN12" s="863">
        <f t="shared" si="8"/>
        <v>230</v>
      </c>
      <c r="AO12" s="936">
        <f t="shared" ca="1" si="9"/>
        <v>40.99967133608267</v>
      </c>
      <c r="AP12" s="936">
        <f t="shared" ca="1" si="10"/>
        <v>6.6282594405916644</v>
      </c>
      <c r="AQ12" s="936">
        <f t="shared" ca="1" si="11"/>
        <v>1444.9605580489831</v>
      </c>
      <c r="AS12" s="936">
        <f>+IFERROR(VLOOKUP(C12,'Rural - Price Out '!$C:$F,3,FALSE),0)</f>
        <v>6.6</v>
      </c>
      <c r="AT12" s="909">
        <f t="shared" ca="1" si="12"/>
        <v>2.8259440591664742E-2</v>
      </c>
    </row>
    <row r="13" spans="1:46" s="840" customFormat="1" ht="12">
      <c r="A13" s="840" t="str">
        <f t="shared" si="2"/>
        <v>PacificResidentialRL032.0G1W001</v>
      </c>
      <c r="B13" s="840">
        <f t="shared" si="3"/>
        <v>1</v>
      </c>
      <c r="C13" s="859" t="s">
        <v>1970</v>
      </c>
      <c r="D13" s="859" t="s">
        <v>1971</v>
      </c>
      <c r="E13" s="859">
        <v>13.22</v>
      </c>
      <c r="F13" s="859"/>
      <c r="G13" s="860"/>
      <c r="H13" s="861">
        <v>5317.93</v>
      </c>
      <c r="I13" s="861">
        <v>5323.0650000000005</v>
      </c>
      <c r="J13" s="861">
        <v>5236.585</v>
      </c>
      <c r="K13" s="861">
        <v>5224.835</v>
      </c>
      <c r="L13" s="861">
        <v>5162.9199999999992</v>
      </c>
      <c r="M13" s="861">
        <v>5108.835</v>
      </c>
      <c r="N13" s="861">
        <v>4728.8899999999994</v>
      </c>
      <c r="O13" s="861">
        <v>4966.3200000000006</v>
      </c>
      <c r="P13" s="861">
        <v>4865.7</v>
      </c>
      <c r="Q13" s="861">
        <v>4809.7049999999999</v>
      </c>
      <c r="R13" s="861">
        <v>4750.7550000000001</v>
      </c>
      <c r="S13" s="861">
        <v>4709.8099999999995</v>
      </c>
      <c r="T13" s="861">
        <f t="shared" si="4"/>
        <v>60205.349999999991</v>
      </c>
      <c r="U13" s="861"/>
      <c r="V13" s="861">
        <f t="shared" si="5"/>
        <v>402.26399394856281</v>
      </c>
      <c r="W13" s="861">
        <f t="shared" si="5"/>
        <v>402.65242057488655</v>
      </c>
      <c r="X13" s="861">
        <f t="shared" si="5"/>
        <v>396.11081694402418</v>
      </c>
      <c r="Y13" s="861">
        <f t="shared" si="5"/>
        <v>395.22201210287443</v>
      </c>
      <c r="Z13" s="861">
        <f t="shared" si="5"/>
        <v>390.53857791225408</v>
      </c>
      <c r="AA13" s="861">
        <f t="shared" si="5"/>
        <v>386.44742813918305</v>
      </c>
      <c r="AB13" s="861">
        <f t="shared" si="5"/>
        <v>357.70726172465953</v>
      </c>
      <c r="AC13" s="861">
        <f t="shared" si="5"/>
        <v>375.66717095310139</v>
      </c>
      <c r="AD13" s="861">
        <f t="shared" si="5"/>
        <v>368.05597579425108</v>
      </c>
      <c r="AE13" s="861">
        <f t="shared" si="5"/>
        <v>363.82034795763991</v>
      </c>
      <c r="AF13" s="861">
        <f t="shared" si="5"/>
        <v>359.36119515885019</v>
      </c>
      <c r="AG13" s="861">
        <f t="shared" si="5"/>
        <v>356.2639939485627</v>
      </c>
      <c r="AH13" s="861">
        <f t="shared" si="6"/>
        <v>379.50926626323752</v>
      </c>
      <c r="AK13" s="936">
        <f t="shared" ca="1" si="13"/>
        <v>0.36536276040647991</v>
      </c>
      <c r="AL13" s="861">
        <f t="shared" si="7"/>
        <v>4554.11119515885</v>
      </c>
      <c r="AM13" s="861">
        <v>813.70861937452332</v>
      </c>
      <c r="AN13" s="863">
        <f t="shared" si="8"/>
        <v>5367.8198145333736</v>
      </c>
      <c r="AO13" s="936">
        <f t="shared" ca="1" si="9"/>
        <v>1961.2014648025124</v>
      </c>
      <c r="AP13" s="936">
        <f t="shared" ca="1" si="10"/>
        <v>13.585362760406481</v>
      </c>
      <c r="AQ13" s="936">
        <f t="shared" ca="1" si="11"/>
        <v>61869.252637461293</v>
      </c>
      <c r="AS13" s="936">
        <f>+IFERROR(VLOOKUP(C13,'Rural - Price Out '!$C:$F,3,FALSE),0)</f>
        <v>13.11</v>
      </c>
      <c r="AT13" s="909">
        <f t="shared" ca="1" si="12"/>
        <v>0.4753627604064814</v>
      </c>
    </row>
    <row r="14" spans="1:46" s="840" customFormat="1" ht="12">
      <c r="A14" s="840" t="str">
        <f t="shared" si="2"/>
        <v>PacificResidentialRL032.0G1W001LL</v>
      </c>
      <c r="B14" s="840">
        <f t="shared" si="3"/>
        <v>1</v>
      </c>
      <c r="C14" s="859" t="s">
        <v>1972</v>
      </c>
      <c r="D14" s="859" t="s">
        <v>1973</v>
      </c>
      <c r="E14" s="859">
        <v>6.99</v>
      </c>
      <c r="F14" s="859"/>
      <c r="G14" s="860"/>
      <c r="H14" s="861">
        <v>6.99</v>
      </c>
      <c r="I14" s="861">
        <v>6.99</v>
      </c>
      <c r="J14" s="861">
        <v>6.99</v>
      </c>
      <c r="K14" s="861">
        <v>6.99</v>
      </c>
      <c r="L14" s="861">
        <v>6.99</v>
      </c>
      <c r="M14" s="861">
        <v>6.99</v>
      </c>
      <c r="N14" s="861">
        <v>6.99</v>
      </c>
      <c r="O14" s="861">
        <v>6.99</v>
      </c>
      <c r="P14" s="861">
        <v>6.99</v>
      </c>
      <c r="Q14" s="861">
        <v>6.99</v>
      </c>
      <c r="R14" s="861">
        <v>6.99</v>
      </c>
      <c r="S14" s="861">
        <v>6.99</v>
      </c>
      <c r="T14" s="861">
        <f t="shared" si="4"/>
        <v>83.88</v>
      </c>
      <c r="U14" s="861"/>
      <c r="V14" s="861">
        <f t="shared" si="5"/>
        <v>1</v>
      </c>
      <c r="W14" s="861">
        <f t="shared" si="5"/>
        <v>1</v>
      </c>
      <c r="X14" s="861">
        <f t="shared" si="5"/>
        <v>1</v>
      </c>
      <c r="Y14" s="861">
        <f t="shared" si="5"/>
        <v>1</v>
      </c>
      <c r="Z14" s="861">
        <f t="shared" si="5"/>
        <v>1</v>
      </c>
      <c r="AA14" s="861">
        <f t="shared" si="5"/>
        <v>1</v>
      </c>
      <c r="AB14" s="861">
        <f t="shared" si="5"/>
        <v>1</v>
      </c>
      <c r="AC14" s="861">
        <f t="shared" si="5"/>
        <v>1</v>
      </c>
      <c r="AD14" s="861">
        <f t="shared" si="5"/>
        <v>1</v>
      </c>
      <c r="AE14" s="861">
        <f t="shared" si="5"/>
        <v>1</v>
      </c>
      <c r="AF14" s="861">
        <f t="shared" si="5"/>
        <v>1</v>
      </c>
      <c r="AG14" s="861">
        <f t="shared" si="5"/>
        <v>1</v>
      </c>
      <c r="AH14" s="861">
        <f t="shared" si="6"/>
        <v>1</v>
      </c>
      <c r="AK14" s="936">
        <f t="shared" ca="1" si="13"/>
        <v>0.19318348678073333</v>
      </c>
      <c r="AL14" s="861">
        <f t="shared" si="7"/>
        <v>12</v>
      </c>
      <c r="AM14" s="861">
        <v>0</v>
      </c>
      <c r="AN14" s="863">
        <f t="shared" si="8"/>
        <v>12</v>
      </c>
      <c r="AO14" s="936">
        <f t="shared" ca="1" si="9"/>
        <v>2.3182018413687997</v>
      </c>
      <c r="AP14" s="936">
        <f t="shared" ca="1" si="10"/>
        <v>7.1831834867807336</v>
      </c>
      <c r="AQ14" s="936">
        <f t="shared" ca="1" si="11"/>
        <v>86.1982018413688</v>
      </c>
      <c r="AS14" s="936">
        <f>+IFERROR(VLOOKUP(C14,'Rural - Price Out '!$C:$F,3,FALSE),0)</f>
        <v>0</v>
      </c>
      <c r="AT14" s="909">
        <f t="shared" ca="1" si="12"/>
        <v>7.1831834867807336</v>
      </c>
    </row>
    <row r="15" spans="1:46" s="840" customFormat="1" ht="12">
      <c r="A15" s="840" t="str">
        <f t="shared" si="2"/>
        <v>PacificResidentialRL032.0G1W002</v>
      </c>
      <c r="B15" s="840">
        <f t="shared" si="3"/>
        <v>1</v>
      </c>
      <c r="C15" s="859" t="s">
        <v>1974</v>
      </c>
      <c r="D15" s="859" t="s">
        <v>1975</v>
      </c>
      <c r="E15" s="859">
        <v>20.21</v>
      </c>
      <c r="F15" s="859"/>
      <c r="G15" s="860"/>
      <c r="H15" s="861">
        <v>545.66999999999996</v>
      </c>
      <c r="I15" s="861">
        <v>545.67000000000007</v>
      </c>
      <c r="J15" s="861">
        <v>545.66999999999996</v>
      </c>
      <c r="K15" s="861">
        <v>538.93500000000006</v>
      </c>
      <c r="L15" s="861">
        <v>518.72499999999991</v>
      </c>
      <c r="M15" s="861">
        <v>518.72500000000002</v>
      </c>
      <c r="N15" s="861">
        <v>478.30500000000001</v>
      </c>
      <c r="O15" s="861">
        <v>485.03999999999996</v>
      </c>
      <c r="P15" s="861">
        <v>485.04</v>
      </c>
      <c r="Q15" s="861">
        <v>485.03999999999996</v>
      </c>
      <c r="R15" s="861">
        <v>485.04</v>
      </c>
      <c r="S15" s="861">
        <v>469.31999999999994</v>
      </c>
      <c r="T15" s="861">
        <f t="shared" si="4"/>
        <v>6101.1799999999994</v>
      </c>
      <c r="U15" s="861"/>
      <c r="V15" s="861">
        <f t="shared" si="5"/>
        <v>26.999999999999996</v>
      </c>
      <c r="W15" s="861">
        <f t="shared" si="5"/>
        <v>27.000000000000004</v>
      </c>
      <c r="X15" s="861">
        <f t="shared" si="5"/>
        <v>26.999999999999996</v>
      </c>
      <c r="Y15" s="861">
        <f t="shared" si="5"/>
        <v>26.666749134092036</v>
      </c>
      <c r="Z15" s="861">
        <f t="shared" si="5"/>
        <v>25.666749134092029</v>
      </c>
      <c r="AA15" s="861">
        <f t="shared" si="5"/>
        <v>25.666749134092033</v>
      </c>
      <c r="AB15" s="861">
        <f t="shared" si="5"/>
        <v>23.666749134092033</v>
      </c>
      <c r="AC15" s="861">
        <f t="shared" si="5"/>
        <v>23.999999999999996</v>
      </c>
      <c r="AD15" s="861">
        <f t="shared" si="5"/>
        <v>24</v>
      </c>
      <c r="AE15" s="861">
        <f t="shared" si="5"/>
        <v>23.999999999999996</v>
      </c>
      <c r="AF15" s="861">
        <f t="shared" si="5"/>
        <v>24</v>
      </c>
      <c r="AG15" s="861">
        <f t="shared" si="5"/>
        <v>23.222167243938639</v>
      </c>
      <c r="AH15" s="861">
        <f t="shared" si="6"/>
        <v>25.157430315025568</v>
      </c>
      <c r="AK15" s="936">
        <f t="shared" ca="1" si="13"/>
        <v>0.55854624718721324</v>
      </c>
      <c r="AL15" s="861">
        <f t="shared" si="7"/>
        <v>301.88916378030683</v>
      </c>
      <c r="AM15" s="861">
        <v>48</v>
      </c>
      <c r="AN15" s="863">
        <f t="shared" si="8"/>
        <v>349.88916378030683</v>
      </c>
      <c r="AO15" s="936">
        <f t="shared" ca="1" si="9"/>
        <v>195.4292793609626</v>
      </c>
      <c r="AP15" s="936">
        <f t="shared" ca="1" si="10"/>
        <v>20.768546247187214</v>
      </c>
      <c r="AQ15" s="936">
        <f t="shared" ca="1" si="11"/>
        <v>6269.7990594959765</v>
      </c>
      <c r="AS15" s="936">
        <f>+IFERROR(VLOOKUP(C15,'Rural - Price Out '!$C:$F,3,FALSE),0)</f>
        <v>20.399999999999999</v>
      </c>
      <c r="AT15" s="909">
        <f t="shared" ca="1" si="12"/>
        <v>0.36854624718721496</v>
      </c>
    </row>
    <row r="16" spans="1:46" s="840" customFormat="1">
      <c r="A16" s="840" t="str">
        <f t="shared" si="2"/>
        <v>PacificResidentialRL032.0G1W003</v>
      </c>
      <c r="B16" s="840">
        <f t="shared" si="3"/>
        <v>1</v>
      </c>
      <c r="C16" s="859" t="s">
        <v>1976</v>
      </c>
      <c r="D16" s="859" t="s">
        <v>1977</v>
      </c>
      <c r="E16" s="859">
        <v>28.47</v>
      </c>
      <c r="F16" s="859"/>
      <c r="G16" s="860"/>
      <c r="H16" s="861">
        <v>85.41</v>
      </c>
      <c r="I16" s="861">
        <v>85.41</v>
      </c>
      <c r="J16" s="861">
        <v>85.41</v>
      </c>
      <c r="K16" s="861">
        <v>85.41</v>
      </c>
      <c r="L16" s="861">
        <v>85.41</v>
      </c>
      <c r="M16" s="861">
        <v>85.41</v>
      </c>
      <c r="N16" s="861">
        <v>85.41</v>
      </c>
      <c r="O16" s="861">
        <v>85.41</v>
      </c>
      <c r="P16" s="861">
        <v>85.41</v>
      </c>
      <c r="Q16" s="861">
        <v>85.41</v>
      </c>
      <c r="R16" s="861">
        <v>85.41</v>
      </c>
      <c r="S16" s="861">
        <v>85.41</v>
      </c>
      <c r="T16" s="861">
        <f t="shared" si="4"/>
        <v>1024.9199999999998</v>
      </c>
      <c r="U16" s="861"/>
      <c r="V16" s="861">
        <f t="shared" si="5"/>
        <v>3</v>
      </c>
      <c r="W16" s="861">
        <f t="shared" si="5"/>
        <v>3</v>
      </c>
      <c r="X16" s="861">
        <f t="shared" si="5"/>
        <v>3</v>
      </c>
      <c r="Y16" s="861">
        <f t="shared" si="5"/>
        <v>3</v>
      </c>
      <c r="Z16" s="861">
        <f t="shared" si="5"/>
        <v>3</v>
      </c>
      <c r="AA16" s="861">
        <f t="shared" si="5"/>
        <v>3</v>
      </c>
      <c r="AB16" s="861">
        <f t="shared" si="5"/>
        <v>3</v>
      </c>
      <c r="AC16" s="861">
        <f t="shared" si="5"/>
        <v>3</v>
      </c>
      <c r="AD16" s="861">
        <f t="shared" si="5"/>
        <v>3</v>
      </c>
      <c r="AE16" s="861">
        <f t="shared" si="5"/>
        <v>3</v>
      </c>
      <c r="AF16" s="861">
        <f t="shared" si="5"/>
        <v>3</v>
      </c>
      <c r="AG16" s="861">
        <f t="shared" si="5"/>
        <v>3</v>
      </c>
      <c r="AH16" s="861">
        <f t="shared" si="6"/>
        <v>3</v>
      </c>
      <c r="AJ16" s="709"/>
      <c r="AK16" s="936">
        <f t="shared" ca="1" si="13"/>
        <v>0.78682887963483228</v>
      </c>
      <c r="AL16" s="861">
        <f t="shared" si="7"/>
        <v>36</v>
      </c>
      <c r="AM16" s="861">
        <v>22</v>
      </c>
      <c r="AN16" s="863">
        <f t="shared" si="8"/>
        <v>58</v>
      </c>
      <c r="AO16" s="936">
        <f t="shared" ca="1" si="9"/>
        <v>45.636075018820272</v>
      </c>
      <c r="AP16" s="936">
        <f t="shared" ca="1" si="10"/>
        <v>29.256828879634831</v>
      </c>
      <c r="AQ16" s="936">
        <f t="shared" ca="1" si="11"/>
        <v>1053.245839666854</v>
      </c>
      <c r="AS16" s="936">
        <f>+IFERROR(VLOOKUP(C16,'Rural - Price Out '!$C:$F,3,FALSE),0)</f>
        <v>28.38</v>
      </c>
      <c r="AT16" s="909">
        <f t="shared" ca="1" si="12"/>
        <v>0.87682887963483225</v>
      </c>
    </row>
    <row r="17" spans="1:46" s="840" customFormat="1">
      <c r="A17" s="840" t="str">
        <f t="shared" si="2"/>
        <v>PacificResidentialSL020.0G1W001</v>
      </c>
      <c r="B17" s="840">
        <f t="shared" si="3"/>
        <v>1</v>
      </c>
      <c r="C17" s="859" t="s">
        <v>1978</v>
      </c>
      <c r="D17" s="859" t="s">
        <v>1967</v>
      </c>
      <c r="E17" s="859">
        <v>9.32</v>
      </c>
      <c r="F17" s="859"/>
      <c r="G17" s="860"/>
      <c r="H17" s="861">
        <v>30695.504999999994</v>
      </c>
      <c r="I17" s="861">
        <v>30993.339999999997</v>
      </c>
      <c r="J17" s="861">
        <v>31095.49</v>
      </c>
      <c r="K17" s="861">
        <v>31014.55</v>
      </c>
      <c r="L17" s="861">
        <v>30885.339999999997</v>
      </c>
      <c r="M17" s="861">
        <v>30933.695000000003</v>
      </c>
      <c r="N17" s="861">
        <v>30578.874999999996</v>
      </c>
      <c r="O17" s="861">
        <v>30750.174999999999</v>
      </c>
      <c r="P17" s="861">
        <v>30629.659999999996</v>
      </c>
      <c r="Q17" s="861">
        <v>30697.4</v>
      </c>
      <c r="R17" s="861">
        <v>31068.294999999995</v>
      </c>
      <c r="S17" s="861">
        <v>31115.975000000002</v>
      </c>
      <c r="T17" s="861">
        <f t="shared" si="4"/>
        <v>370458.29999999993</v>
      </c>
      <c r="U17" s="861"/>
      <c r="V17" s="861">
        <f t="shared" si="5"/>
        <v>3293.5091201716732</v>
      </c>
      <c r="W17" s="861">
        <f t="shared" si="5"/>
        <v>3325.4656652360509</v>
      </c>
      <c r="X17" s="861">
        <f t="shared" si="5"/>
        <v>3336.4259656652362</v>
      </c>
      <c r="Y17" s="861">
        <f t="shared" si="5"/>
        <v>3327.7414163090125</v>
      </c>
      <c r="Z17" s="861">
        <f t="shared" si="5"/>
        <v>3313.877682403433</v>
      </c>
      <c r="AA17" s="861">
        <f t="shared" si="5"/>
        <v>3319.0659871244638</v>
      </c>
      <c r="AB17" s="861">
        <f t="shared" si="5"/>
        <v>3280.9951716738192</v>
      </c>
      <c r="AC17" s="861">
        <f t="shared" si="5"/>
        <v>3299.375</v>
      </c>
      <c r="AD17" s="861">
        <f t="shared" si="5"/>
        <v>3286.444206008583</v>
      </c>
      <c r="AE17" s="861">
        <f t="shared" si="5"/>
        <v>3293.7124463519312</v>
      </c>
      <c r="AF17" s="861">
        <f t="shared" si="5"/>
        <v>3333.5080472102995</v>
      </c>
      <c r="AG17" s="861">
        <f t="shared" si="5"/>
        <v>3338.6239270386268</v>
      </c>
      <c r="AH17" s="861">
        <f t="shared" si="6"/>
        <v>3312.3953862660942</v>
      </c>
      <c r="AJ17" s="709"/>
      <c r="AK17" s="936">
        <f t="shared" ca="1" si="13"/>
        <v>0.25757798237431112</v>
      </c>
      <c r="AL17" s="861">
        <f t="shared" si="7"/>
        <v>39748.744635193128</v>
      </c>
      <c r="AM17" s="861">
        <v>1747.8504098360654</v>
      </c>
      <c r="AN17" s="863">
        <f t="shared" si="8"/>
        <v>41496.595045029193</v>
      </c>
      <c r="AO17" s="936">
        <f t="shared" ca="1" si="9"/>
        <v>10688.609227102455</v>
      </c>
      <c r="AP17" s="936">
        <f t="shared" ca="1" si="10"/>
        <v>9.5775779823743115</v>
      </c>
      <c r="AQ17" s="936">
        <f t="shared" ca="1" si="11"/>
        <v>380696.70144504478</v>
      </c>
      <c r="AS17" s="936">
        <f>+IFERROR(VLOOKUP(C17,'Rural - Price Out '!$C:$F,3,FALSE),0)</f>
        <v>9.76</v>
      </c>
      <c r="AT17" s="909">
        <f t="shared" ca="1" si="12"/>
        <v>-0.18242201762568833</v>
      </c>
    </row>
    <row r="18" spans="1:46" s="840" customFormat="1">
      <c r="A18" s="840" t="str">
        <f t="shared" si="2"/>
        <v>PacificResidentialSL035.0G1M001</v>
      </c>
      <c r="B18" s="840">
        <f t="shared" si="3"/>
        <v>1</v>
      </c>
      <c r="C18" s="859" t="s">
        <v>1979</v>
      </c>
      <c r="D18" s="859" t="s">
        <v>1980</v>
      </c>
      <c r="E18" s="859">
        <v>6.45</v>
      </c>
      <c r="F18" s="859"/>
      <c r="G18" s="860"/>
      <c r="H18" s="861">
        <v>4696.4149999999991</v>
      </c>
      <c r="I18" s="861">
        <v>4661.5650000000014</v>
      </c>
      <c r="J18" s="861">
        <v>4633.25</v>
      </c>
      <c r="K18" s="861">
        <v>4640.0550000000003</v>
      </c>
      <c r="L18" s="861">
        <v>4911.7100000000009</v>
      </c>
      <c r="M18" s="861">
        <v>4697.6050000000005</v>
      </c>
      <c r="N18" s="861">
        <v>4674.5800000000008</v>
      </c>
      <c r="O18" s="861">
        <v>4679.4199999999992</v>
      </c>
      <c r="P18" s="861">
        <v>4624.4750000000013</v>
      </c>
      <c r="Q18" s="861">
        <v>4657.26</v>
      </c>
      <c r="R18" s="861">
        <v>4696.1749999999993</v>
      </c>
      <c r="S18" s="861">
        <v>4706.62</v>
      </c>
      <c r="T18" s="861">
        <f t="shared" si="4"/>
        <v>56279.13</v>
      </c>
      <c r="U18" s="861"/>
      <c r="V18" s="861">
        <f t="shared" si="5"/>
        <v>728.12635658914712</v>
      </c>
      <c r="W18" s="861">
        <f t="shared" si="5"/>
        <v>722.72325581395364</v>
      </c>
      <c r="X18" s="861">
        <f t="shared" si="5"/>
        <v>718.33333333333326</v>
      </c>
      <c r="Y18" s="861">
        <f t="shared" si="5"/>
        <v>719.38837209302324</v>
      </c>
      <c r="Z18" s="861">
        <f t="shared" si="5"/>
        <v>761.50542635658928</v>
      </c>
      <c r="AA18" s="861">
        <f t="shared" si="5"/>
        <v>728.31085271317829</v>
      </c>
      <c r="AB18" s="861">
        <f t="shared" si="5"/>
        <v>724.74108527131796</v>
      </c>
      <c r="AC18" s="861">
        <f t="shared" si="5"/>
        <v>725.49147286821687</v>
      </c>
      <c r="AD18" s="861">
        <f t="shared" si="5"/>
        <v>716.9728682170545</v>
      </c>
      <c r="AE18" s="861">
        <f t="shared" si="5"/>
        <v>722.05581395348838</v>
      </c>
      <c r="AF18" s="861">
        <f t="shared" si="5"/>
        <v>728.08914728682157</v>
      </c>
      <c r="AG18" s="861">
        <f t="shared" si="5"/>
        <v>729.70852713178294</v>
      </c>
      <c r="AH18" s="861">
        <f t="shared" si="6"/>
        <v>727.12054263565904</v>
      </c>
      <c r="AJ18" s="709"/>
      <c r="AK18" s="936">
        <f t="shared" ca="1" si="13"/>
        <v>0.17825944059166379</v>
      </c>
      <c r="AL18" s="861">
        <f t="shared" si="7"/>
        <v>8725.446511627908</v>
      </c>
      <c r="AM18" s="861">
        <v>828.49924242424231</v>
      </c>
      <c r="AN18" s="863">
        <f t="shared" si="8"/>
        <v>9553.9457540521507</v>
      </c>
      <c r="AO18" s="936">
        <f t="shared" ca="1" si="9"/>
        <v>1703.0810255604379</v>
      </c>
      <c r="AP18" s="936">
        <f t="shared" ca="1" si="10"/>
        <v>6.6282594405916644</v>
      </c>
      <c r="AQ18" s="936">
        <f t="shared" ca="1" si="11"/>
        <v>57834.523214075292</v>
      </c>
      <c r="AS18" s="936">
        <f>+IFERROR(VLOOKUP(C18,'Rural - Price Out '!$C:$F,3,FALSE),0)</f>
        <v>6.6</v>
      </c>
      <c r="AT18" s="909">
        <f t="shared" ca="1" si="12"/>
        <v>2.8259440591664742E-2</v>
      </c>
    </row>
    <row r="19" spans="1:46" s="840" customFormat="1">
      <c r="A19" s="840" t="str">
        <f t="shared" si="2"/>
        <v>PacificResidentialSL035.0G1W001</v>
      </c>
      <c r="B19" s="840">
        <f t="shared" si="3"/>
        <v>1</v>
      </c>
      <c r="C19" s="859" t="s">
        <v>1981</v>
      </c>
      <c r="D19" s="859" t="s">
        <v>1982</v>
      </c>
      <c r="E19" s="859">
        <v>13.25</v>
      </c>
      <c r="F19" s="859"/>
      <c r="G19" s="860"/>
      <c r="H19" s="861">
        <v>344871.33500000014</v>
      </c>
      <c r="I19" s="861">
        <v>345485.27500000002</v>
      </c>
      <c r="J19" s="861">
        <v>345623.75000000012</v>
      </c>
      <c r="K19" s="861">
        <v>346182.46</v>
      </c>
      <c r="L19" s="861">
        <v>344584.07999999996</v>
      </c>
      <c r="M19" s="861">
        <v>344597.21500000003</v>
      </c>
      <c r="N19" s="861">
        <v>342039.92000000004</v>
      </c>
      <c r="O19" s="861">
        <v>342472.42</v>
      </c>
      <c r="P19" s="861">
        <v>340884.46499999997</v>
      </c>
      <c r="Q19" s="861">
        <v>341020.68</v>
      </c>
      <c r="R19" s="861">
        <v>340568.14999999991</v>
      </c>
      <c r="S19" s="861">
        <v>342498.73000000004</v>
      </c>
      <c r="T19" s="861">
        <f t="shared" si="4"/>
        <v>4120828.4800000004</v>
      </c>
      <c r="U19" s="861"/>
      <c r="V19" s="861">
        <f t="shared" si="5"/>
        <v>26028.025283018877</v>
      </c>
      <c r="W19" s="861">
        <f t="shared" si="5"/>
        <v>26074.360377358491</v>
      </c>
      <c r="X19" s="861">
        <f t="shared" si="5"/>
        <v>26084.811320754725</v>
      </c>
      <c r="Y19" s="861">
        <f t="shared" si="5"/>
        <v>26126.978113207548</v>
      </c>
      <c r="Z19" s="861">
        <f t="shared" si="5"/>
        <v>26006.345660377356</v>
      </c>
      <c r="AA19" s="861">
        <f t="shared" si="5"/>
        <v>26007.336981132077</v>
      </c>
      <c r="AB19" s="861">
        <f t="shared" si="5"/>
        <v>25814.333584905664</v>
      </c>
      <c r="AC19" s="861">
        <f t="shared" si="5"/>
        <v>25846.975094339621</v>
      </c>
      <c r="AD19" s="861">
        <f t="shared" si="5"/>
        <v>25727.129433962262</v>
      </c>
      <c r="AE19" s="861">
        <f t="shared" si="5"/>
        <v>25737.409811320755</v>
      </c>
      <c r="AF19" s="861">
        <f t="shared" si="5"/>
        <v>25703.256603773578</v>
      </c>
      <c r="AG19" s="861">
        <f t="shared" si="5"/>
        <v>25848.960754716984</v>
      </c>
      <c r="AH19" s="861">
        <f t="shared" si="6"/>
        <v>25917.160251572324</v>
      </c>
      <c r="AJ19" s="709"/>
      <c r="AK19" s="936">
        <f t="shared" ca="1" si="13"/>
        <v>0.36619187408365045</v>
      </c>
      <c r="AL19" s="861">
        <f t="shared" si="7"/>
        <v>311005.92301886791</v>
      </c>
      <c r="AM19" s="861">
        <v>26448.137299771166</v>
      </c>
      <c r="AN19" s="863">
        <f t="shared" si="8"/>
        <v>337454.06031863909</v>
      </c>
      <c r="AO19" s="936">
        <f t="shared" ca="1" si="9"/>
        <v>123572.93476521967</v>
      </c>
      <c r="AP19" s="936">
        <f t="shared" ca="1" si="10"/>
        <v>13.616191874083651</v>
      </c>
      <c r="AQ19" s="936">
        <f t="shared" ca="1" si="11"/>
        <v>4234716.3218013942</v>
      </c>
      <c r="AS19" s="936">
        <f>+IFERROR(VLOOKUP(C19,'Rural - Price Out '!$C:$F,3,FALSE),0)</f>
        <v>13.11</v>
      </c>
      <c r="AT19" s="909">
        <f t="shared" ca="1" si="12"/>
        <v>0.50619187408365107</v>
      </c>
    </row>
    <row r="20" spans="1:46" s="840" customFormat="1">
      <c r="A20" s="840" t="str">
        <f t="shared" si="2"/>
        <v>PacificResidentialSL065.0G1W001</v>
      </c>
      <c r="B20" s="840">
        <f t="shared" si="3"/>
        <v>1</v>
      </c>
      <c r="C20" s="859" t="s">
        <v>1983</v>
      </c>
      <c r="D20" s="859" t="s">
        <v>1984</v>
      </c>
      <c r="E20" s="859">
        <v>19.940000000000001</v>
      </c>
      <c r="F20" s="859"/>
      <c r="G20" s="860"/>
      <c r="H20" s="861">
        <v>305745.47499999998</v>
      </c>
      <c r="I20" s="861">
        <v>307556.92499999999</v>
      </c>
      <c r="J20" s="861">
        <v>306711.09500000003</v>
      </c>
      <c r="K20" s="861">
        <v>308755.48000000004</v>
      </c>
      <c r="L20" s="861">
        <v>310177.07500000007</v>
      </c>
      <c r="M20" s="861">
        <v>310748.40000000008</v>
      </c>
      <c r="N20" s="861">
        <v>312881.28500000009</v>
      </c>
      <c r="O20" s="861">
        <v>312577.82</v>
      </c>
      <c r="P20" s="861">
        <v>313923.79499999998</v>
      </c>
      <c r="Q20" s="861">
        <v>314651.57999999996</v>
      </c>
      <c r="R20" s="861">
        <v>317091.89</v>
      </c>
      <c r="S20" s="861">
        <v>316451.27500000002</v>
      </c>
      <c r="T20" s="861">
        <f t="shared" si="4"/>
        <v>3737272.0949999997</v>
      </c>
      <c r="U20" s="861"/>
      <c r="V20" s="861">
        <f t="shared" si="5"/>
        <v>15333.273570712134</v>
      </c>
      <c r="W20" s="861">
        <f t="shared" si="5"/>
        <v>15424.118605817452</v>
      </c>
      <c r="X20" s="861">
        <f t="shared" si="5"/>
        <v>15381.699849548646</v>
      </c>
      <c r="Y20" s="861">
        <f t="shared" si="5"/>
        <v>15484.226680040121</v>
      </c>
      <c r="Z20" s="861">
        <f t="shared" si="5"/>
        <v>15555.520310932801</v>
      </c>
      <c r="AA20" s="861">
        <f t="shared" si="5"/>
        <v>15584.172517552661</v>
      </c>
      <c r="AB20" s="861">
        <f t="shared" si="5"/>
        <v>15691.137662988971</v>
      </c>
      <c r="AC20" s="861">
        <f t="shared" si="5"/>
        <v>15675.918756268806</v>
      </c>
      <c r="AD20" s="861">
        <f t="shared" si="5"/>
        <v>15743.420010030088</v>
      </c>
      <c r="AE20" s="861">
        <f t="shared" si="5"/>
        <v>15779.918756268804</v>
      </c>
      <c r="AF20" s="861">
        <f t="shared" si="5"/>
        <v>15902.301404212638</v>
      </c>
      <c r="AG20" s="861">
        <f t="shared" si="5"/>
        <v>15870.174272818456</v>
      </c>
      <c r="AH20" s="861">
        <f t="shared" si="6"/>
        <v>15618.823533099297</v>
      </c>
      <c r="AJ20" s="709"/>
      <c r="AK20" s="936">
        <f t="shared" ca="1" si="13"/>
        <v>0.55108422409267854</v>
      </c>
      <c r="AL20" s="861">
        <f t="shared" si="7"/>
        <v>187425.88239719157</v>
      </c>
      <c r="AM20" s="861">
        <v>20218.827363184082</v>
      </c>
      <c r="AN20" s="863">
        <f t="shared" si="8"/>
        <v>207644.70976037564</v>
      </c>
      <c r="AO20" s="936">
        <f t="shared" ca="1" si="9"/>
        <v>114429.72376524605</v>
      </c>
      <c r="AP20" s="936">
        <f t="shared" ca="1" si="10"/>
        <v>20.491084224092681</v>
      </c>
      <c r="AQ20" s="936">
        <f t="shared" ca="1" si="11"/>
        <v>3840559.5419757422</v>
      </c>
      <c r="AS20" s="936">
        <f>+IFERROR(VLOOKUP(C20,'Rural - Price Out '!$C:$F,3,FALSE),0)</f>
        <v>20.100000000000001</v>
      </c>
      <c r="AT20" s="909">
        <f t="shared" ca="1" si="12"/>
        <v>0.39108422409267973</v>
      </c>
    </row>
    <row r="21" spans="1:46" s="840" customFormat="1">
      <c r="A21" s="840" t="str">
        <f t="shared" si="2"/>
        <v>PacificResidentialSL095.0G1M001</v>
      </c>
      <c r="B21" s="840">
        <f t="shared" si="3"/>
        <v>1</v>
      </c>
      <c r="C21" s="859" t="s">
        <v>1985</v>
      </c>
      <c r="D21" s="859" t="s">
        <v>1986</v>
      </c>
      <c r="E21" s="859">
        <v>9.7899999999999991</v>
      </c>
      <c r="F21" s="859"/>
      <c r="G21" s="860"/>
      <c r="H21" s="861">
        <v>3424.0549999999998</v>
      </c>
      <c r="I21" s="861">
        <v>3419.16</v>
      </c>
      <c r="J21" s="861">
        <v>3469.4649999999997</v>
      </c>
      <c r="K21" s="861">
        <v>3433.5699999999997</v>
      </c>
      <c r="L21" s="861">
        <v>3440.1150000000002</v>
      </c>
      <c r="M21" s="861">
        <v>3490.6949999999993</v>
      </c>
      <c r="N21" s="861">
        <v>3632.09</v>
      </c>
      <c r="O21" s="861">
        <v>3652.2449999999999</v>
      </c>
      <c r="P21" s="861">
        <v>3585.86</v>
      </c>
      <c r="Q21" s="861">
        <v>3567.3649999999993</v>
      </c>
      <c r="R21" s="861">
        <v>3526.0299999999997</v>
      </c>
      <c r="S21" s="861">
        <v>3530.9249999999997</v>
      </c>
      <c r="T21" s="861">
        <f t="shared" si="4"/>
        <v>42171.575000000004</v>
      </c>
      <c r="U21" s="861"/>
      <c r="V21" s="861">
        <f t="shared" si="5"/>
        <v>349.75025536261495</v>
      </c>
      <c r="W21" s="861">
        <f t="shared" si="5"/>
        <v>349.25025536261495</v>
      </c>
      <c r="X21" s="861">
        <f t="shared" si="5"/>
        <v>354.38866189989784</v>
      </c>
      <c r="Y21" s="861">
        <f t="shared" si="5"/>
        <v>350.72216547497447</v>
      </c>
      <c r="Z21" s="861">
        <f t="shared" si="5"/>
        <v>351.39070480081722</v>
      </c>
      <c r="AA21" s="861">
        <f t="shared" si="5"/>
        <v>356.55720122574053</v>
      </c>
      <c r="AB21" s="861">
        <f t="shared" si="5"/>
        <v>371.00000000000006</v>
      </c>
      <c r="AC21" s="861">
        <f t="shared" si="5"/>
        <v>373.05873340143006</v>
      </c>
      <c r="AD21" s="861">
        <f t="shared" si="5"/>
        <v>366.27783452502558</v>
      </c>
      <c r="AE21" s="861">
        <f t="shared" si="5"/>
        <v>364.38866189989784</v>
      </c>
      <c r="AF21" s="861">
        <f t="shared" si="5"/>
        <v>360.16649642492342</v>
      </c>
      <c r="AG21" s="861">
        <f t="shared" si="5"/>
        <v>360.66649642492342</v>
      </c>
      <c r="AH21" s="861">
        <f t="shared" si="6"/>
        <v>358.96812223357165</v>
      </c>
      <c r="AJ21" s="709"/>
      <c r="AK21" s="936">
        <f t="shared" ca="1" si="13"/>
        <v>0.27056742998331601</v>
      </c>
      <c r="AL21" s="861">
        <f t="shared" si="7"/>
        <v>4307.6174668028598</v>
      </c>
      <c r="AM21" s="861">
        <v>605.11080178173722</v>
      </c>
      <c r="AN21" s="863">
        <f t="shared" si="8"/>
        <v>4912.7282685845967</v>
      </c>
      <c r="AO21" s="936">
        <f t="shared" ca="1" si="9"/>
        <v>1329.2242618373202</v>
      </c>
      <c r="AP21" s="936">
        <f t="shared" ca="1" si="10"/>
        <v>10.060567429983315</v>
      </c>
      <c r="AQ21" s="936">
        <f t="shared" ca="1" si="11"/>
        <v>43337.075987344084</v>
      </c>
      <c r="AS21" s="936">
        <f>+IFERROR(VLOOKUP(C21,'Rural - Price Out '!$C:$F,3,FALSE),0)</f>
        <v>8.98</v>
      </c>
      <c r="AT21" s="909">
        <f t="shared" ca="1" si="12"/>
        <v>1.080567429983315</v>
      </c>
    </row>
    <row r="22" spans="1:46" s="840" customFormat="1">
      <c r="A22" s="840" t="str">
        <f t="shared" si="2"/>
        <v>PacificResidentialSL095.0G1W001</v>
      </c>
      <c r="B22" s="840">
        <f t="shared" si="3"/>
        <v>1</v>
      </c>
      <c r="C22" s="859" t="s">
        <v>1987</v>
      </c>
      <c r="D22" s="859" t="s">
        <v>1988</v>
      </c>
      <c r="E22" s="859">
        <v>27.89</v>
      </c>
      <c r="F22" s="859"/>
      <c r="G22" s="860"/>
      <c r="H22" s="861">
        <v>105582.94499999998</v>
      </c>
      <c r="I22" s="861">
        <v>107267.4</v>
      </c>
      <c r="J22" s="861">
        <v>108849.245</v>
      </c>
      <c r="K22" s="861">
        <v>111328.65499999998</v>
      </c>
      <c r="L22" s="861">
        <v>112262.97500000002</v>
      </c>
      <c r="M22" s="861">
        <v>112968.51000000001</v>
      </c>
      <c r="N22" s="861">
        <v>113865.87000000002</v>
      </c>
      <c r="O22" s="861">
        <v>114220.34499999999</v>
      </c>
      <c r="P22" s="861">
        <v>114737.82000000004</v>
      </c>
      <c r="Q22" s="861">
        <v>114940.96500000001</v>
      </c>
      <c r="R22" s="861">
        <v>116336.37000000001</v>
      </c>
      <c r="S22" s="861">
        <v>117272.145</v>
      </c>
      <c r="T22" s="861">
        <f t="shared" si="4"/>
        <v>1349633.2450000001</v>
      </c>
      <c r="U22" s="861"/>
      <c r="V22" s="861">
        <f t="shared" si="5"/>
        <v>3785.6918250268905</v>
      </c>
      <c r="W22" s="861">
        <f t="shared" si="5"/>
        <v>3846.0882036572243</v>
      </c>
      <c r="X22" s="861">
        <f t="shared" si="5"/>
        <v>3902.8054858372175</v>
      </c>
      <c r="Y22" s="861">
        <f t="shared" si="5"/>
        <v>3991.7050914306196</v>
      </c>
      <c r="Z22" s="861">
        <f t="shared" si="5"/>
        <v>4025.2052707063472</v>
      </c>
      <c r="AA22" s="861">
        <f t="shared" si="5"/>
        <v>4050.5023305844393</v>
      </c>
      <c r="AB22" s="861">
        <f t="shared" si="5"/>
        <v>4082.6773036930808</v>
      </c>
      <c r="AC22" s="861">
        <f t="shared" si="5"/>
        <v>4095.3870562925772</v>
      </c>
      <c r="AD22" s="861">
        <f t="shared" si="5"/>
        <v>4113.9411975618514</v>
      </c>
      <c r="AE22" s="861">
        <f t="shared" si="5"/>
        <v>4121.2249910362143</v>
      </c>
      <c r="AF22" s="861">
        <f t="shared" si="5"/>
        <v>4171.2574399426321</v>
      </c>
      <c r="AG22" s="861">
        <f t="shared" si="5"/>
        <v>4204.8097884546432</v>
      </c>
      <c r="AH22" s="861">
        <f t="shared" si="6"/>
        <v>4032.6079986853115</v>
      </c>
      <c r="AJ22" s="709"/>
      <c r="AK22" s="936">
        <f t="shared" ca="1" si="13"/>
        <v>0.77079934854286869</v>
      </c>
      <c r="AL22" s="861">
        <f t="shared" si="7"/>
        <v>48391.29598422374</v>
      </c>
      <c r="AM22" s="861">
        <v>6782.9495661605206</v>
      </c>
      <c r="AN22" s="863">
        <f t="shared" si="8"/>
        <v>55174.245550384258</v>
      </c>
      <c r="AO22" s="936">
        <f t="shared" ca="1" si="9"/>
        <v>42528.272526580455</v>
      </c>
      <c r="AP22" s="936">
        <f t="shared" ca="1" si="10"/>
        <v>28.66079934854287</v>
      </c>
      <c r="AQ22" s="936">
        <f t="shared" ca="1" si="11"/>
        <v>1386933.224419785</v>
      </c>
      <c r="AS22" s="936">
        <f>+IFERROR(VLOOKUP(C22,'Rural - Price Out '!$C:$F,3,FALSE),0)</f>
        <v>27.66</v>
      </c>
      <c r="AT22" s="909">
        <f t="shared" ca="1" si="12"/>
        <v>1.0007993485428699</v>
      </c>
    </row>
    <row r="23" spans="1:46" s="840" customFormat="1">
      <c r="A23" s="840" t="str">
        <f t="shared" si="2"/>
        <v>PacificResidentialSP20-RES</v>
      </c>
      <c r="B23" s="840">
        <f t="shared" si="3"/>
        <v>1</v>
      </c>
      <c r="C23" s="709" t="s">
        <v>1989</v>
      </c>
      <c r="D23" s="859"/>
      <c r="E23" s="859">
        <v>11.47</v>
      </c>
      <c r="F23" s="859"/>
      <c r="G23" s="860"/>
      <c r="H23" s="861">
        <v>0</v>
      </c>
      <c r="I23" s="861">
        <v>0</v>
      </c>
      <c r="J23" s="861">
        <v>0</v>
      </c>
      <c r="K23" s="861">
        <v>0</v>
      </c>
      <c r="L23" s="861">
        <v>0</v>
      </c>
      <c r="M23" s="861">
        <v>0</v>
      </c>
      <c r="N23" s="861">
        <v>11.47</v>
      </c>
      <c r="O23" s="861">
        <v>0</v>
      </c>
      <c r="P23" s="861">
        <v>0</v>
      </c>
      <c r="Q23" s="861">
        <v>0</v>
      </c>
      <c r="R23" s="861">
        <v>11.47</v>
      </c>
      <c r="S23" s="861">
        <v>0</v>
      </c>
      <c r="T23" s="861">
        <f t="shared" si="4"/>
        <v>22.94</v>
      </c>
      <c r="U23" s="861"/>
      <c r="V23" s="861">
        <f t="shared" si="5"/>
        <v>0</v>
      </c>
      <c r="W23" s="861">
        <f t="shared" si="5"/>
        <v>0</v>
      </c>
      <c r="X23" s="861">
        <f t="shared" si="5"/>
        <v>0</v>
      </c>
      <c r="Y23" s="861">
        <f t="shared" si="5"/>
        <v>0</v>
      </c>
      <c r="Z23" s="861">
        <f t="shared" si="5"/>
        <v>0</v>
      </c>
      <c r="AA23" s="861">
        <f t="shared" si="5"/>
        <v>0</v>
      </c>
      <c r="AB23" s="861">
        <f t="shared" si="5"/>
        <v>1</v>
      </c>
      <c r="AC23" s="861">
        <f t="shared" si="5"/>
        <v>0</v>
      </c>
      <c r="AD23" s="861">
        <f t="shared" si="5"/>
        <v>0</v>
      </c>
      <c r="AE23" s="861">
        <f t="shared" si="5"/>
        <v>0</v>
      </c>
      <c r="AF23" s="861">
        <f t="shared" si="5"/>
        <v>1</v>
      </c>
      <c r="AG23" s="861">
        <f t="shared" si="5"/>
        <v>0</v>
      </c>
      <c r="AH23" s="861">
        <f t="shared" si="6"/>
        <v>0.16666666666666666</v>
      </c>
      <c r="AJ23" s="709"/>
      <c r="AK23" s="936">
        <f t="shared" ca="1" si="13"/>
        <v>0.31699779590486571</v>
      </c>
      <c r="AL23" s="861">
        <f t="shared" si="7"/>
        <v>2</v>
      </c>
      <c r="AM23" s="861">
        <v>0</v>
      </c>
      <c r="AN23" s="863">
        <f t="shared" si="8"/>
        <v>2</v>
      </c>
      <c r="AO23" s="936">
        <f t="shared" ca="1" si="9"/>
        <v>0.63399559180973142</v>
      </c>
      <c r="AP23" s="936">
        <f t="shared" ca="1" si="10"/>
        <v>11.786997795904867</v>
      </c>
      <c r="AQ23" s="936">
        <f t="shared" ca="1" si="11"/>
        <v>23.573995591809734</v>
      </c>
      <c r="AS23" s="936">
        <f>+IFERROR(VLOOKUP(C23,'Rural - Price Out '!$C:$F,3,FALSE),0)</f>
        <v>0</v>
      </c>
      <c r="AT23" s="909">
        <f t="shared" ca="1" si="12"/>
        <v>11.786997795904867</v>
      </c>
    </row>
    <row r="24" spans="1:46" s="840" customFormat="1">
      <c r="A24" s="840" t="str">
        <f t="shared" si="2"/>
        <v>PacificResidentialSP32-RES</v>
      </c>
      <c r="B24" s="840">
        <f t="shared" si="3"/>
        <v>1</v>
      </c>
      <c r="C24" s="709" t="s">
        <v>1990</v>
      </c>
      <c r="D24" s="859" t="s">
        <v>1991</v>
      </c>
      <c r="E24" s="859">
        <v>11.47</v>
      </c>
      <c r="F24" s="859"/>
      <c r="G24" s="860"/>
      <c r="H24" s="861">
        <v>0</v>
      </c>
      <c r="I24" s="861">
        <v>11.47</v>
      </c>
      <c r="J24" s="861">
        <v>0</v>
      </c>
      <c r="K24" s="861">
        <v>0</v>
      </c>
      <c r="L24" s="861">
        <v>34.409999999999997</v>
      </c>
      <c r="M24" s="861">
        <v>0</v>
      </c>
      <c r="N24" s="861">
        <v>0</v>
      </c>
      <c r="O24" s="861">
        <v>0</v>
      </c>
      <c r="P24" s="861">
        <v>0</v>
      </c>
      <c r="Q24" s="861">
        <v>0</v>
      </c>
      <c r="R24" s="861">
        <v>0</v>
      </c>
      <c r="S24" s="861">
        <v>0</v>
      </c>
      <c r="T24" s="861">
        <f t="shared" si="4"/>
        <v>45.879999999999995</v>
      </c>
      <c r="U24" s="861"/>
      <c r="V24" s="861">
        <f t="shared" si="5"/>
        <v>0</v>
      </c>
      <c r="W24" s="861">
        <f t="shared" si="5"/>
        <v>1</v>
      </c>
      <c r="X24" s="861">
        <f t="shared" si="5"/>
        <v>0</v>
      </c>
      <c r="Y24" s="861">
        <f t="shared" si="5"/>
        <v>0</v>
      </c>
      <c r="Z24" s="861">
        <f t="shared" si="5"/>
        <v>2.9999999999999996</v>
      </c>
      <c r="AA24" s="861">
        <f t="shared" si="5"/>
        <v>0</v>
      </c>
      <c r="AB24" s="861">
        <f t="shared" si="5"/>
        <v>0</v>
      </c>
      <c r="AC24" s="861">
        <f t="shared" si="5"/>
        <v>0</v>
      </c>
      <c r="AD24" s="861">
        <f t="shared" si="5"/>
        <v>0</v>
      </c>
      <c r="AE24" s="861">
        <f t="shared" si="5"/>
        <v>0</v>
      </c>
      <c r="AF24" s="861">
        <f t="shared" si="5"/>
        <v>0</v>
      </c>
      <c r="AG24" s="861">
        <f t="shared" si="5"/>
        <v>0</v>
      </c>
      <c r="AH24" s="861">
        <f t="shared" si="6"/>
        <v>0.33333333333333331</v>
      </c>
      <c r="AJ24" s="709"/>
      <c r="AK24" s="936">
        <f t="shared" ca="1" si="13"/>
        <v>0.31699779590486571</v>
      </c>
      <c r="AL24" s="861">
        <f t="shared" si="7"/>
        <v>4</v>
      </c>
      <c r="AM24" s="861">
        <v>0</v>
      </c>
      <c r="AN24" s="863">
        <f t="shared" si="8"/>
        <v>4</v>
      </c>
      <c r="AO24" s="936">
        <f t="shared" ca="1" si="9"/>
        <v>1.2679911836194628</v>
      </c>
      <c r="AP24" s="936">
        <f t="shared" ca="1" si="10"/>
        <v>11.786997795904867</v>
      </c>
      <c r="AQ24" s="936">
        <f t="shared" ca="1" si="11"/>
        <v>47.147991183619467</v>
      </c>
      <c r="AS24" s="936">
        <f>+IFERROR(VLOOKUP(C24,'Rural - Price Out '!$C:$F,3,FALSE),0)</f>
        <v>0</v>
      </c>
      <c r="AT24" s="909">
        <f t="shared" ca="1" si="12"/>
        <v>11.786997795904867</v>
      </c>
    </row>
    <row r="25" spans="1:46" s="840" customFormat="1">
      <c r="A25" s="840" t="str">
        <f t="shared" si="2"/>
        <v>PacificResidentialSP35-RES</v>
      </c>
      <c r="B25" s="840">
        <f t="shared" si="3"/>
        <v>1</v>
      </c>
      <c r="C25" s="709" t="s">
        <v>1992</v>
      </c>
      <c r="D25" s="859" t="s">
        <v>1993</v>
      </c>
      <c r="E25" s="859">
        <v>11.47</v>
      </c>
      <c r="F25" s="859"/>
      <c r="G25" s="860"/>
      <c r="H25" s="861">
        <v>11.47</v>
      </c>
      <c r="I25" s="861">
        <v>34.410000000000004</v>
      </c>
      <c r="J25" s="861">
        <v>126.16999999999999</v>
      </c>
      <c r="K25" s="861">
        <v>137.63999999999999</v>
      </c>
      <c r="L25" s="861">
        <v>45.88</v>
      </c>
      <c r="M25" s="861">
        <v>34.410000000000004</v>
      </c>
      <c r="N25" s="861">
        <v>68.819999999999993</v>
      </c>
      <c r="O25" s="861">
        <v>22.94</v>
      </c>
      <c r="P25" s="861">
        <v>45.88</v>
      </c>
      <c r="Q25" s="861">
        <v>45.879999999999995</v>
      </c>
      <c r="R25" s="861">
        <v>45.88</v>
      </c>
      <c r="S25" s="861">
        <v>103.22999999999999</v>
      </c>
      <c r="T25" s="861">
        <f t="shared" si="4"/>
        <v>722.61</v>
      </c>
      <c r="U25" s="861"/>
      <c r="V25" s="861">
        <f t="shared" si="5"/>
        <v>1</v>
      </c>
      <c r="W25" s="861">
        <f t="shared" si="5"/>
        <v>3</v>
      </c>
      <c r="X25" s="861">
        <f t="shared" si="5"/>
        <v>10.999999999999998</v>
      </c>
      <c r="Y25" s="861">
        <f t="shared" si="5"/>
        <v>11.999999999999998</v>
      </c>
      <c r="Z25" s="861">
        <f t="shared" si="5"/>
        <v>4</v>
      </c>
      <c r="AA25" s="861">
        <f t="shared" si="5"/>
        <v>3</v>
      </c>
      <c r="AB25" s="861">
        <f t="shared" si="5"/>
        <v>5.9999999999999991</v>
      </c>
      <c r="AC25" s="861">
        <f t="shared" si="5"/>
        <v>2</v>
      </c>
      <c r="AD25" s="861">
        <f t="shared" si="5"/>
        <v>4</v>
      </c>
      <c r="AE25" s="861">
        <f t="shared" si="5"/>
        <v>3.9999999999999996</v>
      </c>
      <c r="AF25" s="861">
        <f t="shared" si="5"/>
        <v>4</v>
      </c>
      <c r="AG25" s="861">
        <f t="shared" si="5"/>
        <v>8.9999999999999982</v>
      </c>
      <c r="AH25" s="861">
        <f t="shared" si="6"/>
        <v>5.25</v>
      </c>
      <c r="AJ25" s="709"/>
      <c r="AK25" s="936">
        <f t="shared" ca="1" si="13"/>
        <v>0.31699779590486571</v>
      </c>
      <c r="AL25" s="861">
        <f t="shared" si="7"/>
        <v>63</v>
      </c>
      <c r="AM25" s="861">
        <v>12</v>
      </c>
      <c r="AN25" s="863">
        <f t="shared" si="8"/>
        <v>75</v>
      </c>
      <c r="AO25" s="936">
        <f t="shared" ca="1" si="9"/>
        <v>23.774834692864928</v>
      </c>
      <c r="AP25" s="936">
        <f t="shared" ca="1" si="10"/>
        <v>11.786997795904867</v>
      </c>
      <c r="AQ25" s="936">
        <f t="shared" ca="1" si="11"/>
        <v>742.5808611420066</v>
      </c>
      <c r="AS25" s="936">
        <f>+IFERROR(VLOOKUP(C25,'Rural - Price Out '!$C:$F,3,FALSE),0)</f>
        <v>8.65</v>
      </c>
      <c r="AT25" s="909">
        <f t="shared" ca="1" si="12"/>
        <v>3.1369977959048665</v>
      </c>
    </row>
    <row r="26" spans="1:46" s="840" customFormat="1">
      <c r="A26" s="840" t="str">
        <f t="shared" si="2"/>
        <v>PacificResidentialSP65-RES</v>
      </c>
      <c r="B26" s="840">
        <f t="shared" si="3"/>
        <v>1</v>
      </c>
      <c r="C26" s="709" t="s">
        <v>1994</v>
      </c>
      <c r="D26" s="859" t="s">
        <v>1995</v>
      </c>
      <c r="E26" s="859">
        <v>15.04</v>
      </c>
      <c r="F26" s="859"/>
      <c r="G26" s="860"/>
      <c r="H26" s="861">
        <v>165.43999999999997</v>
      </c>
      <c r="I26" s="861">
        <v>120.31999999999998</v>
      </c>
      <c r="J26" s="861">
        <v>195.52</v>
      </c>
      <c r="K26" s="861">
        <v>135.35999999999999</v>
      </c>
      <c r="L26" s="861">
        <v>180.47999999999996</v>
      </c>
      <c r="M26" s="861">
        <v>135.35999999999999</v>
      </c>
      <c r="N26" s="861">
        <v>210.56</v>
      </c>
      <c r="O26" s="861">
        <v>105.27999999999999</v>
      </c>
      <c r="P26" s="861">
        <v>105.28</v>
      </c>
      <c r="Q26" s="861">
        <v>90.24</v>
      </c>
      <c r="R26" s="861">
        <v>120.32</v>
      </c>
      <c r="S26" s="861">
        <v>60.16</v>
      </c>
      <c r="T26" s="861">
        <f t="shared" si="4"/>
        <v>1624.32</v>
      </c>
      <c r="U26" s="861"/>
      <c r="V26" s="861">
        <f t="shared" si="5"/>
        <v>10.999999999999998</v>
      </c>
      <c r="W26" s="861">
        <f t="shared" si="5"/>
        <v>7.9999999999999991</v>
      </c>
      <c r="X26" s="861">
        <f t="shared" si="5"/>
        <v>13.000000000000002</v>
      </c>
      <c r="Y26" s="861">
        <f t="shared" si="5"/>
        <v>9</v>
      </c>
      <c r="Z26" s="861">
        <f t="shared" si="5"/>
        <v>11.999999999999998</v>
      </c>
      <c r="AA26" s="861">
        <f t="shared" si="5"/>
        <v>9</v>
      </c>
      <c r="AB26" s="861">
        <f t="shared" si="5"/>
        <v>14.000000000000002</v>
      </c>
      <c r="AC26" s="861">
        <f t="shared" si="5"/>
        <v>6.9999999999999991</v>
      </c>
      <c r="AD26" s="861">
        <f t="shared" si="5"/>
        <v>7.0000000000000009</v>
      </c>
      <c r="AE26" s="861">
        <f t="shared" si="5"/>
        <v>6</v>
      </c>
      <c r="AF26" s="861">
        <f t="shared" si="5"/>
        <v>8</v>
      </c>
      <c r="AG26" s="861">
        <f t="shared" si="5"/>
        <v>4</v>
      </c>
      <c r="AH26" s="861">
        <f t="shared" si="6"/>
        <v>9</v>
      </c>
      <c r="AJ26" s="709"/>
      <c r="AK26" s="936">
        <f t="shared" ca="1" si="13"/>
        <v>0.41566232348815862</v>
      </c>
      <c r="AL26" s="861">
        <f t="shared" si="7"/>
        <v>108</v>
      </c>
      <c r="AM26" s="861">
        <v>15</v>
      </c>
      <c r="AN26" s="863">
        <f t="shared" si="8"/>
        <v>123</v>
      </c>
      <c r="AO26" s="936">
        <f t="shared" ca="1" si="9"/>
        <v>51.126465789043507</v>
      </c>
      <c r="AP26" s="936">
        <f t="shared" ca="1" si="10"/>
        <v>15.455662323488157</v>
      </c>
      <c r="AQ26" s="936">
        <f t="shared" ca="1" si="11"/>
        <v>1669.2115309367211</v>
      </c>
      <c r="AS26" s="936">
        <f>+IFERROR(VLOOKUP(C26,'Rural - Price Out '!$C:$F,3,FALSE),0)</f>
        <v>12.39</v>
      </c>
      <c r="AT26" s="909">
        <f t="shared" ca="1" si="12"/>
        <v>3.0656623234881568</v>
      </c>
    </row>
    <row r="27" spans="1:46" s="840" customFormat="1">
      <c r="A27" s="840" t="str">
        <f t="shared" si="2"/>
        <v>PacificResidentialSP95-RES</v>
      </c>
      <c r="B27" s="840">
        <f t="shared" si="3"/>
        <v>1</v>
      </c>
      <c r="C27" s="709" t="s">
        <v>1996</v>
      </c>
      <c r="D27" s="859" t="s">
        <v>1997</v>
      </c>
      <c r="E27" s="859">
        <v>18.61</v>
      </c>
      <c r="F27" s="859"/>
      <c r="G27" s="860"/>
      <c r="H27" s="861">
        <v>186.1</v>
      </c>
      <c r="I27" s="861">
        <v>167.49</v>
      </c>
      <c r="J27" s="861">
        <v>279.15000000000003</v>
      </c>
      <c r="K27" s="861">
        <v>241.93</v>
      </c>
      <c r="L27" s="861">
        <v>55.83</v>
      </c>
      <c r="M27" s="861">
        <v>316.37</v>
      </c>
      <c r="N27" s="861">
        <v>279.14999999999998</v>
      </c>
      <c r="O27" s="861">
        <v>111.66</v>
      </c>
      <c r="P27" s="861">
        <v>223.32</v>
      </c>
      <c r="Q27" s="861">
        <v>111.66</v>
      </c>
      <c r="R27" s="861">
        <v>111.66</v>
      </c>
      <c r="S27" s="861">
        <v>93.05</v>
      </c>
      <c r="T27" s="861">
        <f t="shared" si="4"/>
        <v>2177.3700000000003</v>
      </c>
      <c r="U27" s="861"/>
      <c r="V27" s="861">
        <f t="shared" si="5"/>
        <v>10</v>
      </c>
      <c r="W27" s="861">
        <f t="shared" si="5"/>
        <v>9</v>
      </c>
      <c r="X27" s="861">
        <f t="shared" si="5"/>
        <v>15.000000000000002</v>
      </c>
      <c r="Y27" s="861">
        <f t="shared" si="5"/>
        <v>13</v>
      </c>
      <c r="Z27" s="861">
        <f t="shared" si="5"/>
        <v>3</v>
      </c>
      <c r="AA27" s="861">
        <f t="shared" si="5"/>
        <v>17</v>
      </c>
      <c r="AB27" s="861">
        <f t="shared" si="5"/>
        <v>15</v>
      </c>
      <c r="AC27" s="861">
        <f t="shared" si="5"/>
        <v>6</v>
      </c>
      <c r="AD27" s="861">
        <f t="shared" si="5"/>
        <v>12</v>
      </c>
      <c r="AE27" s="861">
        <f t="shared" si="5"/>
        <v>6</v>
      </c>
      <c r="AF27" s="861">
        <f t="shared" si="5"/>
        <v>6</v>
      </c>
      <c r="AG27" s="861">
        <f t="shared" si="5"/>
        <v>5</v>
      </c>
      <c r="AH27" s="861">
        <f t="shared" si="6"/>
        <v>9.75</v>
      </c>
      <c r="AJ27" s="709"/>
      <c r="AK27" s="936">
        <f t="shared" ca="1" si="13"/>
        <v>0.5143268510714516</v>
      </c>
      <c r="AL27" s="861">
        <f t="shared" si="7"/>
        <v>117</v>
      </c>
      <c r="AM27" s="861">
        <v>17</v>
      </c>
      <c r="AN27" s="863">
        <f t="shared" si="8"/>
        <v>134</v>
      </c>
      <c r="AO27" s="936">
        <f t="shared" ca="1" si="9"/>
        <v>68.919798043574517</v>
      </c>
      <c r="AP27" s="936">
        <f t="shared" ca="1" si="10"/>
        <v>19.124326851071451</v>
      </c>
      <c r="AQ27" s="936">
        <f t="shared" ca="1" si="11"/>
        <v>2237.54624157536</v>
      </c>
      <c r="AS27" s="936">
        <f>+IFERROR(VLOOKUP(C27,'Rural - Price Out '!$C:$F,3,FALSE),0)</f>
        <v>16.13</v>
      </c>
      <c r="AT27" s="909">
        <f t="shared" ca="1" si="12"/>
        <v>2.9943268510714525</v>
      </c>
    </row>
    <row r="28" spans="1:46" s="840" customFormat="1">
      <c r="A28" s="840" t="str">
        <f t="shared" si="2"/>
        <v>PacificResidentialDISP-RES</v>
      </c>
      <c r="B28" s="840">
        <f t="shared" si="3"/>
        <v>1</v>
      </c>
      <c r="C28" s="709" t="s">
        <v>1998</v>
      </c>
      <c r="D28" s="859" t="s">
        <v>1999</v>
      </c>
      <c r="E28" s="859">
        <v>0</v>
      </c>
      <c r="F28" s="859"/>
      <c r="G28" s="860"/>
      <c r="H28" s="861">
        <v>124</v>
      </c>
      <c r="I28" s="861">
        <v>136</v>
      </c>
      <c r="J28" s="861">
        <v>199</v>
      </c>
      <c r="K28" s="861">
        <v>170</v>
      </c>
      <c r="L28" s="861">
        <v>215</v>
      </c>
      <c r="M28" s="861">
        <v>238</v>
      </c>
      <c r="N28" s="861">
        <v>269</v>
      </c>
      <c r="O28" s="861">
        <v>304</v>
      </c>
      <c r="P28" s="861">
        <v>173</v>
      </c>
      <c r="Q28" s="861">
        <v>146</v>
      </c>
      <c r="R28" s="861">
        <v>176</v>
      </c>
      <c r="S28" s="861">
        <v>171</v>
      </c>
      <c r="T28" s="861">
        <f t="shared" si="4"/>
        <v>2321</v>
      </c>
      <c r="U28" s="861"/>
      <c r="V28" s="861">
        <f t="shared" si="5"/>
        <v>0</v>
      </c>
      <c r="W28" s="861">
        <f t="shared" si="5"/>
        <v>0</v>
      </c>
      <c r="X28" s="861">
        <f t="shared" si="5"/>
        <v>0</v>
      </c>
      <c r="Y28" s="861">
        <f t="shared" si="5"/>
        <v>0</v>
      </c>
      <c r="Z28" s="861">
        <f t="shared" si="5"/>
        <v>0</v>
      </c>
      <c r="AA28" s="861">
        <f t="shared" si="5"/>
        <v>0</v>
      </c>
      <c r="AB28" s="861">
        <f t="shared" si="5"/>
        <v>0</v>
      </c>
      <c r="AC28" s="861">
        <f t="shared" si="5"/>
        <v>0</v>
      </c>
      <c r="AD28" s="861">
        <f t="shared" si="5"/>
        <v>0</v>
      </c>
      <c r="AE28" s="861">
        <f t="shared" si="5"/>
        <v>0</v>
      </c>
      <c r="AF28" s="861">
        <f t="shared" si="5"/>
        <v>0</v>
      </c>
      <c r="AG28" s="861">
        <f t="shared" si="5"/>
        <v>0</v>
      </c>
      <c r="AH28" s="861">
        <f t="shared" si="6"/>
        <v>0</v>
      </c>
      <c r="AJ28" s="709"/>
      <c r="AK28" s="936">
        <f t="shared" ca="1" si="13"/>
        <v>0</v>
      </c>
      <c r="AL28" s="861">
        <f t="shared" si="7"/>
        <v>0</v>
      </c>
      <c r="AM28" s="861">
        <v>0</v>
      </c>
      <c r="AN28" s="863">
        <f t="shared" si="8"/>
        <v>0</v>
      </c>
      <c r="AO28" s="936">
        <f t="shared" ca="1" si="9"/>
        <v>0</v>
      </c>
      <c r="AP28" s="936">
        <f t="shared" ca="1" si="10"/>
        <v>0</v>
      </c>
      <c r="AQ28" s="936">
        <f t="shared" ca="1" si="11"/>
        <v>0</v>
      </c>
      <c r="AS28" s="936">
        <f>+IFERROR(VLOOKUP(C28,'Rural - Price Out '!$C:$F,3,FALSE),0)</f>
        <v>0</v>
      </c>
      <c r="AT28" s="909">
        <f t="shared" ca="1" si="12"/>
        <v>0</v>
      </c>
    </row>
    <row r="29" spans="1:46" s="840" customFormat="1">
      <c r="A29" s="840" t="str">
        <f t="shared" si="2"/>
        <v>PacificResidentialDRIVEIN1-RES</v>
      </c>
      <c r="B29" s="840">
        <f t="shared" si="3"/>
        <v>1</v>
      </c>
      <c r="C29" s="859" t="s">
        <v>2000</v>
      </c>
      <c r="D29" s="859" t="s">
        <v>2001</v>
      </c>
      <c r="E29" s="859">
        <v>6.3</v>
      </c>
      <c r="F29" s="859"/>
      <c r="G29" s="860"/>
      <c r="H29" s="861">
        <v>513.27499999999998</v>
      </c>
      <c r="I29" s="861">
        <v>497.17500000000001</v>
      </c>
      <c r="J29" s="861">
        <v>487.90000000000003</v>
      </c>
      <c r="K29" s="861">
        <v>489.82499999999999</v>
      </c>
      <c r="L29" s="861">
        <v>496.12500000000006</v>
      </c>
      <c r="M29" s="861">
        <v>491.40000000000009</v>
      </c>
      <c r="N29" s="861">
        <v>485.1</v>
      </c>
      <c r="O29" s="861">
        <v>485.1</v>
      </c>
      <c r="P29" s="861">
        <v>485.1</v>
      </c>
      <c r="Q29" s="861">
        <v>483.53000000000009</v>
      </c>
      <c r="R29" s="861">
        <v>492.00999999999993</v>
      </c>
      <c r="S29" s="861">
        <v>485.70999999999992</v>
      </c>
      <c r="T29" s="861">
        <f t="shared" si="4"/>
        <v>5892.25</v>
      </c>
      <c r="U29" s="861"/>
      <c r="V29" s="861">
        <f t="shared" si="5"/>
        <v>81.472222222222214</v>
      </c>
      <c r="W29" s="861">
        <f t="shared" si="5"/>
        <v>78.916666666666671</v>
      </c>
      <c r="X29" s="861">
        <f t="shared" si="5"/>
        <v>77.444444444444457</v>
      </c>
      <c r="Y29" s="861">
        <f t="shared" si="5"/>
        <v>77.75</v>
      </c>
      <c r="Z29" s="861">
        <f t="shared" si="5"/>
        <v>78.750000000000014</v>
      </c>
      <c r="AA29" s="861">
        <f t="shared" si="5"/>
        <v>78.000000000000014</v>
      </c>
      <c r="AB29" s="861">
        <f t="shared" si="5"/>
        <v>77</v>
      </c>
      <c r="AC29" s="861">
        <f t="shared" si="5"/>
        <v>77</v>
      </c>
      <c r="AD29" s="861">
        <f t="shared" si="5"/>
        <v>77</v>
      </c>
      <c r="AE29" s="861">
        <f t="shared" si="5"/>
        <v>76.750793650793668</v>
      </c>
      <c r="AF29" s="861">
        <f t="shared" si="5"/>
        <v>78.096825396825395</v>
      </c>
      <c r="AG29" s="861">
        <f t="shared" si="5"/>
        <v>77.09682539682538</v>
      </c>
      <c r="AH29" s="861">
        <f t="shared" si="6"/>
        <v>77.93981481481481</v>
      </c>
      <c r="AJ29" s="709"/>
      <c r="AK29" s="936">
        <f t="shared" ca="1" si="13"/>
        <v>0.17411387220581115</v>
      </c>
      <c r="AL29" s="861">
        <f t="shared" si="7"/>
        <v>935.27777777777771</v>
      </c>
      <c r="AM29" s="861">
        <v>129</v>
      </c>
      <c r="AN29" s="863">
        <f t="shared" si="8"/>
        <v>1064.2777777777778</v>
      </c>
      <c r="AO29" s="936">
        <f t="shared" ca="1" si="9"/>
        <v>185.30552499148467</v>
      </c>
      <c r="AP29" s="936">
        <f t="shared" ca="1" si="10"/>
        <v>6.4741138722058107</v>
      </c>
      <c r="AQ29" s="936">
        <f t="shared" ca="1" si="11"/>
        <v>6055.0948354769334</v>
      </c>
      <c r="AS29" s="936">
        <f>+IFERROR(VLOOKUP(C29,'Rural - Price Out '!$C:$F,3,FALSE),0)</f>
        <v>6.5</v>
      </c>
      <c r="AT29" s="909">
        <f t="shared" ca="1" si="12"/>
        <v>-2.5886127794189306E-2</v>
      </c>
    </row>
    <row r="30" spans="1:46" s="840" customFormat="1">
      <c r="A30" s="840" t="str">
        <f t="shared" si="2"/>
        <v>PacificResidentialDRIVEIN2-RES</v>
      </c>
      <c r="B30" s="840">
        <f t="shared" si="3"/>
        <v>1</v>
      </c>
      <c r="C30" s="709" t="s">
        <v>2002</v>
      </c>
      <c r="D30" s="859" t="s">
        <v>2003</v>
      </c>
      <c r="E30" s="859">
        <v>9.5</v>
      </c>
      <c r="F30" s="859"/>
      <c r="G30" s="860"/>
      <c r="H30" s="861">
        <v>9.5</v>
      </c>
      <c r="I30" s="861">
        <v>9.5</v>
      </c>
      <c r="J30" s="861">
        <v>9.5</v>
      </c>
      <c r="K30" s="861">
        <v>0</v>
      </c>
      <c r="L30" s="861">
        <v>0</v>
      </c>
      <c r="M30" s="861">
        <v>0</v>
      </c>
      <c r="N30" s="861">
        <v>0</v>
      </c>
      <c r="O30" s="861">
        <v>0</v>
      </c>
      <c r="P30" s="861">
        <v>0</v>
      </c>
      <c r="Q30" s="861">
        <v>0</v>
      </c>
      <c r="R30" s="861">
        <v>0</v>
      </c>
      <c r="S30" s="861">
        <v>0</v>
      </c>
      <c r="T30" s="861">
        <f t="shared" si="4"/>
        <v>28.5</v>
      </c>
      <c r="U30" s="861"/>
      <c r="V30" s="861">
        <f t="shared" si="5"/>
        <v>1</v>
      </c>
      <c r="W30" s="861">
        <f t="shared" si="5"/>
        <v>1</v>
      </c>
      <c r="X30" s="861">
        <f t="shared" si="5"/>
        <v>1</v>
      </c>
      <c r="Y30" s="861">
        <f t="shared" si="5"/>
        <v>0</v>
      </c>
      <c r="Z30" s="861">
        <f t="shared" si="5"/>
        <v>0</v>
      </c>
      <c r="AA30" s="861">
        <f t="shared" si="5"/>
        <v>0</v>
      </c>
      <c r="AB30" s="861">
        <f t="shared" si="5"/>
        <v>0</v>
      </c>
      <c r="AC30" s="861">
        <f t="shared" si="5"/>
        <v>0</v>
      </c>
      <c r="AD30" s="861">
        <f t="shared" si="5"/>
        <v>0</v>
      </c>
      <c r="AE30" s="861">
        <f t="shared" si="5"/>
        <v>0</v>
      </c>
      <c r="AF30" s="861">
        <f t="shared" si="5"/>
        <v>0</v>
      </c>
      <c r="AG30" s="861">
        <f t="shared" si="5"/>
        <v>0</v>
      </c>
      <c r="AH30" s="861">
        <f t="shared" si="6"/>
        <v>0.25</v>
      </c>
      <c r="AJ30" s="709"/>
      <c r="AK30" s="936">
        <f t="shared" ca="1" si="13"/>
        <v>0.26255266443733427</v>
      </c>
      <c r="AL30" s="861">
        <f t="shared" si="7"/>
        <v>3</v>
      </c>
      <c r="AM30" s="861">
        <v>12</v>
      </c>
      <c r="AN30" s="863">
        <f t="shared" si="8"/>
        <v>15</v>
      </c>
      <c r="AO30" s="936">
        <f t="shared" ca="1" si="9"/>
        <v>3.938289966560014</v>
      </c>
      <c r="AP30" s="936">
        <f t="shared" ca="1" si="10"/>
        <v>9.7625526644373348</v>
      </c>
      <c r="AQ30" s="936">
        <f t="shared" ca="1" si="11"/>
        <v>29.287657993312003</v>
      </c>
      <c r="AS30" s="936">
        <f>+IFERROR(VLOOKUP(C30,'Rural - Price Out '!$C:$F,3,FALSE),0)</f>
        <v>9.15</v>
      </c>
      <c r="AT30" s="909">
        <f t="shared" ca="1" si="12"/>
        <v>0.61255266443733447</v>
      </c>
    </row>
    <row r="31" spans="1:46" s="840" customFormat="1">
      <c r="A31" s="840" t="str">
        <f t="shared" si="2"/>
        <v>PacificResidentialEXTRA-RES</v>
      </c>
      <c r="B31" s="840">
        <f t="shared" si="3"/>
        <v>1</v>
      </c>
      <c r="C31" s="859" t="s">
        <v>2004</v>
      </c>
      <c r="D31" s="859" t="s">
        <v>2005</v>
      </c>
      <c r="E31" s="859">
        <v>3.83</v>
      </c>
      <c r="F31" s="859"/>
      <c r="G31" s="860"/>
      <c r="H31" s="861">
        <v>13036.929999999998</v>
      </c>
      <c r="I31" s="861">
        <v>11945.770000000002</v>
      </c>
      <c r="J31" s="861">
        <v>11260.2</v>
      </c>
      <c r="K31" s="861">
        <v>10693.36</v>
      </c>
      <c r="L31" s="861">
        <v>7522.12</v>
      </c>
      <c r="M31" s="861">
        <v>8234.5</v>
      </c>
      <c r="N31" s="861">
        <v>15017.39</v>
      </c>
      <c r="O31" s="861">
        <v>13933.54</v>
      </c>
      <c r="P31" s="861">
        <v>15875.860000000002</v>
      </c>
      <c r="Q31" s="861">
        <v>7490.4000000000005</v>
      </c>
      <c r="R31" s="861">
        <v>10298.599999999999</v>
      </c>
      <c r="S31" s="861">
        <v>9125.3599999999988</v>
      </c>
      <c r="T31" s="861">
        <f t="shared" si="4"/>
        <v>134434.02999999997</v>
      </c>
      <c r="U31" s="861"/>
      <c r="V31" s="861">
        <f t="shared" si="5"/>
        <v>3403.8981723237594</v>
      </c>
      <c r="W31" s="861">
        <f t="shared" si="5"/>
        <v>3119.0000000000005</v>
      </c>
      <c r="X31" s="861">
        <f t="shared" si="5"/>
        <v>2940</v>
      </c>
      <c r="Y31" s="861">
        <f t="shared" si="5"/>
        <v>2792</v>
      </c>
      <c r="Z31" s="861">
        <f t="shared" si="5"/>
        <v>1964</v>
      </c>
      <c r="AA31" s="861">
        <f t="shared" si="5"/>
        <v>2150</v>
      </c>
      <c r="AB31" s="861">
        <f t="shared" si="5"/>
        <v>3920.9895561357698</v>
      </c>
      <c r="AC31" s="861">
        <f t="shared" si="5"/>
        <v>3638</v>
      </c>
      <c r="AD31" s="861">
        <f t="shared" si="5"/>
        <v>4145.1331592689303</v>
      </c>
      <c r="AE31" s="861">
        <f t="shared" si="5"/>
        <v>1955.7180156657964</v>
      </c>
      <c r="AF31" s="861">
        <f t="shared" si="5"/>
        <v>2688.9295039164485</v>
      </c>
      <c r="AG31" s="861">
        <f t="shared" si="5"/>
        <v>2382.600522193211</v>
      </c>
      <c r="AH31" s="861">
        <f t="shared" si="6"/>
        <v>2925.022410791993</v>
      </c>
      <c r="AJ31" s="709"/>
      <c r="AK31" s="936">
        <f t="shared" ca="1" si="13"/>
        <v>0.10585017945210425</v>
      </c>
      <c r="AL31" s="861">
        <f t="shared" si="7"/>
        <v>35100.268929503916</v>
      </c>
      <c r="AM31" s="861">
        <v>3942.7968337730872</v>
      </c>
      <c r="AN31" s="863">
        <f t="shared" si="8"/>
        <v>39043.065763277002</v>
      </c>
      <c r="AO31" s="936">
        <f t="shared" ca="1" si="9"/>
        <v>4132.7155174031777</v>
      </c>
      <c r="AP31" s="936">
        <f t="shared" ca="1" si="10"/>
        <v>3.9358501794521041</v>
      </c>
      <c r="AQ31" s="936">
        <f t="shared" ca="1" si="11"/>
        <v>138149.3997650051</v>
      </c>
      <c r="AS31" s="936">
        <f>+IFERROR(VLOOKUP(C31,'Rural - Price Out '!$C:$F,3,FALSE),0)</f>
        <v>3.79</v>
      </c>
      <c r="AT31" s="909">
        <f t="shared" ca="1" si="12"/>
        <v>0.1458501794521041</v>
      </c>
    </row>
    <row r="32" spans="1:46" s="840" customFormat="1">
      <c r="A32" s="840" t="str">
        <f t="shared" si="2"/>
        <v>PacificResidentialGOOD-RES</v>
      </c>
      <c r="B32" s="840">
        <f t="shared" si="3"/>
        <v>1</v>
      </c>
      <c r="C32" s="859" t="s">
        <v>2006</v>
      </c>
      <c r="D32" s="859" t="s">
        <v>2007</v>
      </c>
      <c r="E32" s="859">
        <v>0</v>
      </c>
      <c r="F32" s="859"/>
      <c r="G32" s="860"/>
      <c r="H32" s="861">
        <v>0</v>
      </c>
      <c r="I32" s="861">
        <v>0</v>
      </c>
      <c r="J32" s="861">
        <v>0</v>
      </c>
      <c r="K32" s="861">
        <v>-270</v>
      </c>
      <c r="L32" s="861">
        <v>0</v>
      </c>
      <c r="M32" s="861">
        <v>-5</v>
      </c>
      <c r="N32" s="861">
        <v>0</v>
      </c>
      <c r="O32" s="861">
        <v>0</v>
      </c>
      <c r="P32" s="861">
        <v>0</v>
      </c>
      <c r="Q32" s="861">
        <v>0</v>
      </c>
      <c r="R32" s="861">
        <v>0</v>
      </c>
      <c r="S32" s="861">
        <v>0</v>
      </c>
      <c r="T32" s="861">
        <f t="shared" si="4"/>
        <v>-275</v>
      </c>
      <c r="U32" s="861"/>
      <c r="V32" s="861">
        <f t="shared" si="5"/>
        <v>0</v>
      </c>
      <c r="W32" s="861">
        <f t="shared" si="5"/>
        <v>0</v>
      </c>
      <c r="X32" s="861">
        <f t="shared" si="5"/>
        <v>0</v>
      </c>
      <c r="Y32" s="861">
        <f t="shared" ref="Y32:AG45" si="14">IFERROR(K32/$E32,0)</f>
        <v>0</v>
      </c>
      <c r="Z32" s="861">
        <f t="shared" si="14"/>
        <v>0</v>
      </c>
      <c r="AA32" s="861">
        <f t="shared" si="14"/>
        <v>0</v>
      </c>
      <c r="AB32" s="861">
        <f t="shared" si="14"/>
        <v>0</v>
      </c>
      <c r="AC32" s="861">
        <f t="shared" si="14"/>
        <v>0</v>
      </c>
      <c r="AD32" s="861">
        <f t="shared" si="14"/>
        <v>0</v>
      </c>
      <c r="AE32" s="861">
        <f t="shared" si="14"/>
        <v>0</v>
      </c>
      <c r="AF32" s="861">
        <f t="shared" si="14"/>
        <v>0</v>
      </c>
      <c r="AG32" s="861">
        <f t="shared" si="14"/>
        <v>0</v>
      </c>
      <c r="AH32" s="861">
        <f t="shared" si="6"/>
        <v>0</v>
      </c>
      <c r="AJ32" s="709"/>
      <c r="AK32" s="936">
        <f t="shared" ca="1" si="13"/>
        <v>0</v>
      </c>
      <c r="AL32" s="861">
        <f t="shared" si="7"/>
        <v>0</v>
      </c>
      <c r="AM32" s="861">
        <v>0</v>
      </c>
      <c r="AN32" s="863">
        <f t="shared" si="8"/>
        <v>0</v>
      </c>
      <c r="AO32" s="936">
        <f t="shared" ca="1" si="9"/>
        <v>0</v>
      </c>
      <c r="AP32" s="936">
        <f t="shared" ca="1" si="10"/>
        <v>0</v>
      </c>
      <c r="AQ32" s="936">
        <f t="shared" ca="1" si="11"/>
        <v>0</v>
      </c>
      <c r="AS32" s="936">
        <f>+IFERROR(VLOOKUP(C32,'Rural - Price Out '!$C:$F,3,FALSE),0)</f>
        <v>0</v>
      </c>
      <c r="AT32" s="909">
        <f t="shared" ca="1" si="12"/>
        <v>0</v>
      </c>
    </row>
    <row r="33" spans="1:46" s="840" customFormat="1">
      <c r="A33" s="840" t="str">
        <f t="shared" si="2"/>
        <v>PacificResidentialREDELGW-RES</v>
      </c>
      <c r="B33" s="840">
        <f t="shared" si="3"/>
        <v>1</v>
      </c>
      <c r="C33" s="859" t="s">
        <v>2008</v>
      </c>
      <c r="D33" s="859" t="s">
        <v>2009</v>
      </c>
      <c r="E33" s="859">
        <v>16.8</v>
      </c>
      <c r="F33" s="859"/>
      <c r="G33" s="860"/>
      <c r="H33" s="861">
        <v>84</v>
      </c>
      <c r="I33" s="861">
        <v>33.6</v>
      </c>
      <c r="J33" s="861">
        <v>0</v>
      </c>
      <c r="K33" s="861">
        <v>0</v>
      </c>
      <c r="L33" s="861">
        <v>0</v>
      </c>
      <c r="M33" s="861">
        <v>16.8</v>
      </c>
      <c r="N33" s="861">
        <v>33.6</v>
      </c>
      <c r="O33" s="861">
        <v>0</v>
      </c>
      <c r="P33" s="861">
        <v>0</v>
      </c>
      <c r="Q33" s="861">
        <v>16.8</v>
      </c>
      <c r="R33" s="861">
        <v>16.8</v>
      </c>
      <c r="S33" s="861">
        <v>0</v>
      </c>
      <c r="T33" s="861">
        <f t="shared" si="4"/>
        <v>201.60000000000002</v>
      </c>
      <c r="U33" s="861"/>
      <c r="V33" s="861">
        <f t="shared" ref="V33:X45" si="15">IFERROR(H33/$E33,0)</f>
        <v>5</v>
      </c>
      <c r="W33" s="861">
        <f t="shared" si="15"/>
        <v>2</v>
      </c>
      <c r="X33" s="861">
        <f t="shared" si="15"/>
        <v>0</v>
      </c>
      <c r="Y33" s="861">
        <f t="shared" si="14"/>
        <v>0</v>
      </c>
      <c r="Z33" s="861">
        <f t="shared" si="14"/>
        <v>0</v>
      </c>
      <c r="AA33" s="861">
        <f t="shared" si="14"/>
        <v>1</v>
      </c>
      <c r="AB33" s="861">
        <f t="shared" si="14"/>
        <v>2</v>
      </c>
      <c r="AC33" s="861">
        <f t="shared" si="14"/>
        <v>0</v>
      </c>
      <c r="AD33" s="861">
        <f t="shared" si="14"/>
        <v>0</v>
      </c>
      <c r="AE33" s="861">
        <f t="shared" si="14"/>
        <v>1</v>
      </c>
      <c r="AF33" s="861">
        <f t="shared" si="14"/>
        <v>1</v>
      </c>
      <c r="AG33" s="861">
        <f t="shared" si="14"/>
        <v>0</v>
      </c>
      <c r="AH33" s="861">
        <f t="shared" si="6"/>
        <v>1</v>
      </c>
      <c r="AJ33" s="709"/>
      <c r="AK33" s="936">
        <f t="shared" ca="1" si="13"/>
        <v>0.46430365921549643</v>
      </c>
      <c r="AL33" s="861">
        <f t="shared" si="7"/>
        <v>12</v>
      </c>
      <c r="AM33" s="861">
        <v>0</v>
      </c>
      <c r="AN33" s="863">
        <f t="shared" si="8"/>
        <v>12</v>
      </c>
      <c r="AO33" s="936">
        <f t="shared" ca="1" si="9"/>
        <v>5.5716439105859568</v>
      </c>
      <c r="AP33" s="936">
        <f t="shared" ca="1" si="10"/>
        <v>17.264303659215496</v>
      </c>
      <c r="AQ33" s="936">
        <f t="shared" ca="1" si="11"/>
        <v>207.17164391058594</v>
      </c>
      <c r="AS33" s="936">
        <f>+IFERROR(VLOOKUP(C33,'Rural - Price Out '!$C:$F,3,FALSE),0)</f>
        <v>0</v>
      </c>
      <c r="AT33" s="909">
        <f t="shared" ca="1" si="12"/>
        <v>17.264303659215496</v>
      </c>
    </row>
    <row r="34" spans="1:46" s="840" customFormat="1">
      <c r="A34" s="840" t="str">
        <f t="shared" si="2"/>
        <v>PacificResidentialREDELREC-RES</v>
      </c>
      <c r="B34" s="840">
        <f t="shared" si="3"/>
        <v>1</v>
      </c>
      <c r="C34" s="709" t="s">
        <v>2010</v>
      </c>
      <c r="D34" s="859" t="s">
        <v>2011</v>
      </c>
      <c r="E34" s="859">
        <v>16.8</v>
      </c>
      <c r="F34" s="859"/>
      <c r="G34" s="860"/>
      <c r="H34" s="861">
        <v>0</v>
      </c>
      <c r="I34" s="861">
        <v>0</v>
      </c>
      <c r="J34" s="861">
        <v>0</v>
      </c>
      <c r="K34" s="861">
        <v>0</v>
      </c>
      <c r="L34" s="861">
        <v>16.8</v>
      </c>
      <c r="M34" s="861">
        <v>33.6</v>
      </c>
      <c r="N34" s="861">
        <v>0</v>
      </c>
      <c r="O34" s="861">
        <v>0</v>
      </c>
      <c r="P34" s="861">
        <v>0</v>
      </c>
      <c r="Q34" s="861">
        <v>0</v>
      </c>
      <c r="R34" s="861">
        <v>0</v>
      </c>
      <c r="S34" s="861">
        <v>0</v>
      </c>
      <c r="T34" s="861">
        <f t="shared" si="4"/>
        <v>50.400000000000006</v>
      </c>
      <c r="U34" s="861"/>
      <c r="V34" s="861">
        <f t="shared" si="15"/>
        <v>0</v>
      </c>
      <c r="W34" s="861">
        <f t="shared" si="15"/>
        <v>0</v>
      </c>
      <c r="X34" s="861">
        <f t="shared" si="15"/>
        <v>0</v>
      </c>
      <c r="Y34" s="861">
        <f t="shared" si="14"/>
        <v>0</v>
      </c>
      <c r="Z34" s="861">
        <f t="shared" si="14"/>
        <v>1</v>
      </c>
      <c r="AA34" s="861">
        <f t="shared" si="14"/>
        <v>2</v>
      </c>
      <c r="AB34" s="861">
        <f t="shared" si="14"/>
        <v>0</v>
      </c>
      <c r="AC34" s="861">
        <f t="shared" si="14"/>
        <v>0</v>
      </c>
      <c r="AD34" s="861">
        <f t="shared" si="14"/>
        <v>0</v>
      </c>
      <c r="AE34" s="861">
        <f t="shared" si="14"/>
        <v>0</v>
      </c>
      <c r="AF34" s="861">
        <f t="shared" si="14"/>
        <v>0</v>
      </c>
      <c r="AG34" s="861">
        <f t="shared" si="14"/>
        <v>0</v>
      </c>
      <c r="AH34" s="861">
        <f t="shared" si="6"/>
        <v>0.25</v>
      </c>
      <c r="AK34" s="936">
        <f t="shared" ca="1" si="13"/>
        <v>0.46430365921549643</v>
      </c>
      <c r="AL34" s="861">
        <f t="shared" si="7"/>
        <v>3</v>
      </c>
      <c r="AM34" s="861">
        <v>0</v>
      </c>
      <c r="AN34" s="863">
        <f t="shared" si="8"/>
        <v>3</v>
      </c>
      <c r="AO34" s="936">
        <f t="shared" ca="1" si="9"/>
        <v>1.3929109776464892</v>
      </c>
      <c r="AP34" s="936">
        <f t="shared" ca="1" si="10"/>
        <v>17.264303659215496</v>
      </c>
      <c r="AQ34" s="936">
        <f t="shared" ca="1" si="11"/>
        <v>51.792910977646486</v>
      </c>
      <c r="AS34" s="936">
        <f>+IFERROR(VLOOKUP(C34,'Rural - Price Out '!$C:$F,3,FALSE),0)</f>
        <v>0</v>
      </c>
      <c r="AT34" s="909">
        <f t="shared" ca="1" si="12"/>
        <v>17.264303659215496</v>
      </c>
    </row>
    <row r="35" spans="1:46" s="840" customFormat="1" ht="12">
      <c r="A35" s="840" t="str">
        <f t="shared" si="2"/>
        <v>PacificResidentialREDEL-RES</v>
      </c>
      <c r="B35" s="840">
        <f t="shared" si="3"/>
        <v>1</v>
      </c>
      <c r="C35" s="859" t="s">
        <v>2012</v>
      </c>
      <c r="D35" s="859" t="s">
        <v>2013</v>
      </c>
      <c r="E35" s="859">
        <v>16.8</v>
      </c>
      <c r="F35" s="859"/>
      <c r="G35" s="860"/>
      <c r="H35" s="861">
        <v>369.6</v>
      </c>
      <c r="I35" s="861">
        <v>168</v>
      </c>
      <c r="J35" s="861">
        <v>218.4</v>
      </c>
      <c r="K35" s="861">
        <v>268.8</v>
      </c>
      <c r="L35" s="861">
        <v>117.6</v>
      </c>
      <c r="M35" s="861">
        <v>168</v>
      </c>
      <c r="N35" s="861">
        <v>235.2</v>
      </c>
      <c r="O35" s="861">
        <v>151.19999999999999</v>
      </c>
      <c r="P35" s="861">
        <v>268.8</v>
      </c>
      <c r="Q35" s="861">
        <v>33.6</v>
      </c>
      <c r="R35" s="861">
        <v>571.20000000000005</v>
      </c>
      <c r="S35" s="861">
        <v>470.40000000000003</v>
      </c>
      <c r="T35" s="861">
        <f t="shared" si="4"/>
        <v>3040.7999999999997</v>
      </c>
      <c r="U35" s="861"/>
      <c r="V35" s="861">
        <f t="shared" si="15"/>
        <v>22</v>
      </c>
      <c r="W35" s="861">
        <f t="shared" si="15"/>
        <v>10</v>
      </c>
      <c r="X35" s="861">
        <f t="shared" si="15"/>
        <v>13</v>
      </c>
      <c r="Y35" s="861">
        <f t="shared" si="14"/>
        <v>16</v>
      </c>
      <c r="Z35" s="861">
        <f t="shared" si="14"/>
        <v>6.9999999999999991</v>
      </c>
      <c r="AA35" s="861">
        <f t="shared" si="14"/>
        <v>10</v>
      </c>
      <c r="AB35" s="861">
        <f t="shared" si="14"/>
        <v>13.999999999999998</v>
      </c>
      <c r="AC35" s="861">
        <f t="shared" si="14"/>
        <v>8.9999999999999982</v>
      </c>
      <c r="AD35" s="861">
        <f t="shared" si="14"/>
        <v>16</v>
      </c>
      <c r="AE35" s="861">
        <f t="shared" si="14"/>
        <v>2</v>
      </c>
      <c r="AF35" s="861">
        <f t="shared" si="14"/>
        <v>34</v>
      </c>
      <c r="AG35" s="861">
        <f t="shared" si="14"/>
        <v>28</v>
      </c>
      <c r="AH35" s="861">
        <f t="shared" si="6"/>
        <v>15.083333333333334</v>
      </c>
      <c r="AK35" s="936">
        <f t="shared" ca="1" si="13"/>
        <v>0.46430365921549643</v>
      </c>
      <c r="AL35" s="861">
        <f t="shared" si="7"/>
        <v>181</v>
      </c>
      <c r="AM35" s="861">
        <v>21</v>
      </c>
      <c r="AN35" s="863">
        <f t="shared" si="8"/>
        <v>202</v>
      </c>
      <c r="AO35" s="936">
        <f t="shared" ca="1" si="9"/>
        <v>93.789339161530279</v>
      </c>
      <c r="AP35" s="936">
        <f t="shared" ca="1" si="10"/>
        <v>17.264303659215496</v>
      </c>
      <c r="AQ35" s="936">
        <f t="shared" ca="1" si="11"/>
        <v>3124.8389623180046</v>
      </c>
      <c r="AS35" s="936">
        <f>+IFERROR(VLOOKUP(C35,'Rural - Price Out '!$C:$F,3,FALSE),0)</f>
        <v>16.8</v>
      </c>
      <c r="AT35" s="909">
        <f t="shared" ca="1" si="12"/>
        <v>0.46430365921549566</v>
      </c>
    </row>
    <row r="36" spans="1:46" s="840" customFormat="1">
      <c r="A36" s="840" t="str">
        <f t="shared" si="2"/>
        <v>PacificResidentialREINSTATE-RES</v>
      </c>
      <c r="B36" s="840">
        <f t="shared" si="3"/>
        <v>1</v>
      </c>
      <c r="C36" s="859" t="s">
        <v>2014</v>
      </c>
      <c r="D36" s="859" t="s">
        <v>2015</v>
      </c>
      <c r="E36" s="859">
        <v>11</v>
      </c>
      <c r="F36" s="859"/>
      <c r="G36" s="860"/>
      <c r="H36" s="861">
        <v>1903</v>
      </c>
      <c r="I36" s="861">
        <v>1529</v>
      </c>
      <c r="J36" s="861">
        <v>1650</v>
      </c>
      <c r="K36" s="861">
        <v>1837</v>
      </c>
      <c r="L36" s="861">
        <v>1232</v>
      </c>
      <c r="M36" s="861">
        <v>1738</v>
      </c>
      <c r="N36" s="861">
        <v>1749</v>
      </c>
      <c r="O36" s="861">
        <v>1871</v>
      </c>
      <c r="P36" s="861">
        <v>1748</v>
      </c>
      <c r="Q36" s="861">
        <v>1331</v>
      </c>
      <c r="R36" s="861">
        <v>1859</v>
      </c>
      <c r="S36" s="861">
        <v>1595</v>
      </c>
      <c r="T36" s="861">
        <f t="shared" si="4"/>
        <v>20042</v>
      </c>
      <c r="U36" s="861"/>
      <c r="V36" s="861">
        <f t="shared" si="15"/>
        <v>173</v>
      </c>
      <c r="W36" s="861">
        <f t="shared" si="15"/>
        <v>139</v>
      </c>
      <c r="X36" s="861">
        <f t="shared" si="15"/>
        <v>150</v>
      </c>
      <c r="Y36" s="861">
        <f t="shared" si="14"/>
        <v>167</v>
      </c>
      <c r="Z36" s="861">
        <f t="shared" si="14"/>
        <v>112</v>
      </c>
      <c r="AA36" s="861">
        <f t="shared" si="14"/>
        <v>158</v>
      </c>
      <c r="AB36" s="861">
        <f t="shared" si="14"/>
        <v>159</v>
      </c>
      <c r="AC36" s="861">
        <f t="shared" si="14"/>
        <v>170.09090909090909</v>
      </c>
      <c r="AD36" s="861">
        <f t="shared" si="14"/>
        <v>158.90909090909091</v>
      </c>
      <c r="AE36" s="861">
        <f t="shared" si="14"/>
        <v>121</v>
      </c>
      <c r="AF36" s="861">
        <f t="shared" si="14"/>
        <v>169</v>
      </c>
      <c r="AG36" s="861">
        <f t="shared" si="14"/>
        <v>145</v>
      </c>
      <c r="AH36" s="861">
        <f t="shared" si="6"/>
        <v>151.83333333333334</v>
      </c>
      <c r="AJ36" s="709"/>
      <c r="AK36" s="936">
        <f t="shared" ca="1" si="13"/>
        <v>0.30400834829586071</v>
      </c>
      <c r="AL36" s="861">
        <f t="shared" si="7"/>
        <v>1822</v>
      </c>
      <c r="AM36" s="861">
        <v>256</v>
      </c>
      <c r="AN36" s="863">
        <f t="shared" si="8"/>
        <v>2078</v>
      </c>
      <c r="AO36" s="936">
        <f t="shared" ca="1" si="9"/>
        <v>631.72934775879855</v>
      </c>
      <c r="AP36" s="936">
        <f t="shared" ca="1" si="10"/>
        <v>11.304008348295861</v>
      </c>
      <c r="AQ36" s="936">
        <f t="shared" ca="1" si="11"/>
        <v>20595.903210595061</v>
      </c>
      <c r="AS36" s="936">
        <f>+IFERROR(VLOOKUP(C36,'Rural - Price Out '!$C:$F,3,FALSE),0)</f>
        <v>11</v>
      </c>
      <c r="AT36" s="909">
        <f t="shared" ca="1" si="12"/>
        <v>0.3040083482958611</v>
      </c>
    </row>
    <row r="37" spans="1:46" s="840" customFormat="1">
      <c r="A37" s="840" t="str">
        <f t="shared" si="2"/>
        <v>PacificResidentialRTRNCART65-RES</v>
      </c>
      <c r="B37" s="840">
        <f t="shared" si="3"/>
        <v>1</v>
      </c>
      <c r="C37" s="859" t="s">
        <v>2016</v>
      </c>
      <c r="D37" s="859" t="s">
        <v>2017</v>
      </c>
      <c r="E37" s="859">
        <v>5.75</v>
      </c>
      <c r="F37" s="859"/>
      <c r="G37" s="860"/>
      <c r="H37" s="861">
        <v>5.75</v>
      </c>
      <c r="I37" s="861">
        <v>11.5</v>
      </c>
      <c r="J37" s="861">
        <v>5.75</v>
      </c>
      <c r="K37" s="861">
        <v>0</v>
      </c>
      <c r="L37" s="861">
        <v>0</v>
      </c>
      <c r="M37" s="861">
        <v>0</v>
      </c>
      <c r="N37" s="861">
        <v>0</v>
      </c>
      <c r="O37" s="861">
        <v>0</v>
      </c>
      <c r="P37" s="861">
        <v>0</v>
      </c>
      <c r="Q37" s="861">
        <v>0</v>
      </c>
      <c r="R37" s="861">
        <v>5.75</v>
      </c>
      <c r="S37" s="861">
        <v>0</v>
      </c>
      <c r="T37" s="861">
        <f t="shared" si="4"/>
        <v>28.75</v>
      </c>
      <c r="U37" s="861"/>
      <c r="V37" s="861">
        <f t="shared" si="15"/>
        <v>1</v>
      </c>
      <c r="W37" s="861">
        <f t="shared" si="15"/>
        <v>2</v>
      </c>
      <c r="X37" s="861">
        <f t="shared" si="15"/>
        <v>1</v>
      </c>
      <c r="Y37" s="861">
        <f t="shared" si="14"/>
        <v>0</v>
      </c>
      <c r="Z37" s="861">
        <f t="shared" si="14"/>
        <v>0</v>
      </c>
      <c r="AA37" s="861">
        <f t="shared" si="14"/>
        <v>0</v>
      </c>
      <c r="AB37" s="861">
        <f t="shared" si="14"/>
        <v>0</v>
      </c>
      <c r="AC37" s="861">
        <f t="shared" si="14"/>
        <v>0</v>
      </c>
      <c r="AD37" s="861">
        <f t="shared" si="14"/>
        <v>0</v>
      </c>
      <c r="AE37" s="861">
        <f t="shared" si="14"/>
        <v>0</v>
      </c>
      <c r="AF37" s="861">
        <f t="shared" si="14"/>
        <v>1</v>
      </c>
      <c r="AG37" s="861">
        <f t="shared" si="14"/>
        <v>0</v>
      </c>
      <c r="AH37" s="861">
        <f t="shared" si="6"/>
        <v>0.41666666666666669</v>
      </c>
      <c r="AJ37" s="709"/>
      <c r="AK37" s="936">
        <f t="shared" ca="1" si="13"/>
        <v>0.15891345479101812</v>
      </c>
      <c r="AL37" s="861">
        <f t="shared" si="7"/>
        <v>5</v>
      </c>
      <c r="AM37" s="861">
        <v>0</v>
      </c>
      <c r="AN37" s="863">
        <f t="shared" si="8"/>
        <v>5</v>
      </c>
      <c r="AO37" s="936">
        <f t="shared" ca="1" si="9"/>
        <v>0.79456727395509064</v>
      </c>
      <c r="AP37" s="936">
        <f t="shared" ca="1" si="10"/>
        <v>5.9089134547910183</v>
      </c>
      <c r="AQ37" s="936">
        <f t="shared" ca="1" si="11"/>
        <v>29.544567273955092</v>
      </c>
      <c r="AS37" s="936">
        <f>+IFERROR(VLOOKUP(C37,'Rural - Price Out '!$C:$F,3,FALSE),0)</f>
        <v>0</v>
      </c>
      <c r="AT37" s="909">
        <f t="shared" ca="1" si="12"/>
        <v>5.9089134547910183</v>
      </c>
    </row>
    <row r="38" spans="1:46" s="840" customFormat="1" ht="12.75" customHeight="1">
      <c r="A38" s="840" t="str">
        <f t="shared" si="2"/>
        <v>PacificResidentialRTRNCART-RES</v>
      </c>
      <c r="B38" s="840">
        <f t="shared" si="3"/>
        <v>1</v>
      </c>
      <c r="C38" s="859" t="s">
        <v>2018</v>
      </c>
      <c r="D38" s="859" t="s">
        <v>2019</v>
      </c>
      <c r="E38" s="859">
        <v>5.75</v>
      </c>
      <c r="F38" s="859"/>
      <c r="G38" s="860"/>
      <c r="H38" s="861">
        <v>161</v>
      </c>
      <c r="I38" s="861">
        <v>126.5</v>
      </c>
      <c r="J38" s="861">
        <v>155.25</v>
      </c>
      <c r="K38" s="861">
        <v>172.5</v>
      </c>
      <c r="L38" s="861">
        <v>69</v>
      </c>
      <c r="M38" s="861">
        <v>126.5</v>
      </c>
      <c r="N38" s="861">
        <v>166.75</v>
      </c>
      <c r="O38" s="861">
        <v>143.75</v>
      </c>
      <c r="P38" s="861">
        <v>172.5</v>
      </c>
      <c r="Q38" s="861">
        <v>97.75</v>
      </c>
      <c r="R38" s="861">
        <v>218.5</v>
      </c>
      <c r="S38" s="861">
        <v>184</v>
      </c>
      <c r="T38" s="861">
        <f t="shared" si="4"/>
        <v>1794</v>
      </c>
      <c r="U38" s="861"/>
      <c r="V38" s="861">
        <f t="shared" si="15"/>
        <v>28</v>
      </c>
      <c r="W38" s="861">
        <f t="shared" si="15"/>
        <v>22</v>
      </c>
      <c r="X38" s="861">
        <f t="shared" si="15"/>
        <v>27</v>
      </c>
      <c r="Y38" s="861">
        <f t="shared" si="14"/>
        <v>30</v>
      </c>
      <c r="Z38" s="861">
        <f t="shared" si="14"/>
        <v>12</v>
      </c>
      <c r="AA38" s="861">
        <f t="shared" si="14"/>
        <v>22</v>
      </c>
      <c r="AB38" s="861">
        <f t="shared" si="14"/>
        <v>29</v>
      </c>
      <c r="AC38" s="861">
        <f t="shared" si="14"/>
        <v>25</v>
      </c>
      <c r="AD38" s="861">
        <f t="shared" si="14"/>
        <v>30</v>
      </c>
      <c r="AE38" s="861">
        <f t="shared" si="14"/>
        <v>17</v>
      </c>
      <c r="AF38" s="861">
        <f t="shared" si="14"/>
        <v>38</v>
      </c>
      <c r="AG38" s="861">
        <f t="shared" si="14"/>
        <v>32</v>
      </c>
      <c r="AH38" s="861">
        <f t="shared" si="6"/>
        <v>26</v>
      </c>
      <c r="AJ38" s="709"/>
      <c r="AK38" s="936">
        <f t="shared" ca="1" si="13"/>
        <v>0.15891345479101812</v>
      </c>
      <c r="AL38" s="861">
        <f t="shared" si="7"/>
        <v>312</v>
      </c>
      <c r="AM38" s="861">
        <v>23</v>
      </c>
      <c r="AN38" s="863">
        <f t="shared" si="8"/>
        <v>335</v>
      </c>
      <c r="AO38" s="936">
        <f t="shared" ca="1" si="9"/>
        <v>53.236007354991074</v>
      </c>
      <c r="AP38" s="936">
        <f t="shared" ca="1" si="10"/>
        <v>5.9089134547910183</v>
      </c>
      <c r="AQ38" s="936">
        <f t="shared" ca="1" si="11"/>
        <v>1843.5809978947975</v>
      </c>
      <c r="AS38" s="936">
        <f>+IFERROR(VLOOKUP(C38,'Rural - Price Out '!$C:$F,3,FALSE),0)</f>
        <v>5</v>
      </c>
      <c r="AT38" s="909">
        <f t="shared" ca="1" si="12"/>
        <v>0.90891345479101826</v>
      </c>
    </row>
    <row r="39" spans="1:46" s="840" customFormat="1">
      <c r="A39" s="840" t="str">
        <f t="shared" si="2"/>
        <v>PacificResidentialRTRNTRIP-RES</v>
      </c>
      <c r="B39" s="840">
        <f t="shared" si="3"/>
        <v>1</v>
      </c>
      <c r="C39" s="859" t="s">
        <v>2020</v>
      </c>
      <c r="D39" s="859" t="s">
        <v>2021</v>
      </c>
      <c r="E39" s="859">
        <v>5.75</v>
      </c>
      <c r="F39" s="859"/>
      <c r="G39" s="860"/>
      <c r="H39" s="861">
        <v>74.75</v>
      </c>
      <c r="I39" s="861">
        <v>57.5</v>
      </c>
      <c r="J39" s="861">
        <v>80.5</v>
      </c>
      <c r="K39" s="861">
        <v>92</v>
      </c>
      <c r="L39" s="861">
        <v>69</v>
      </c>
      <c r="M39" s="861">
        <v>5.75</v>
      </c>
      <c r="N39" s="861">
        <v>57.5</v>
      </c>
      <c r="O39" s="861">
        <v>86.25</v>
      </c>
      <c r="P39" s="861">
        <v>57.5</v>
      </c>
      <c r="Q39" s="861">
        <v>0</v>
      </c>
      <c r="R39" s="861">
        <v>23</v>
      </c>
      <c r="S39" s="861">
        <v>23</v>
      </c>
      <c r="T39" s="861">
        <f t="shared" si="4"/>
        <v>626.75</v>
      </c>
      <c r="U39" s="861"/>
      <c r="V39" s="861">
        <f t="shared" si="15"/>
        <v>13</v>
      </c>
      <c r="W39" s="861">
        <f t="shared" si="15"/>
        <v>10</v>
      </c>
      <c r="X39" s="861">
        <f t="shared" si="15"/>
        <v>14</v>
      </c>
      <c r="Y39" s="861">
        <f t="shared" si="14"/>
        <v>16</v>
      </c>
      <c r="Z39" s="861">
        <f t="shared" si="14"/>
        <v>12</v>
      </c>
      <c r="AA39" s="861">
        <f t="shared" si="14"/>
        <v>1</v>
      </c>
      <c r="AB39" s="861">
        <f t="shared" si="14"/>
        <v>10</v>
      </c>
      <c r="AC39" s="861">
        <f t="shared" si="14"/>
        <v>15</v>
      </c>
      <c r="AD39" s="861">
        <f t="shared" si="14"/>
        <v>10</v>
      </c>
      <c r="AE39" s="861">
        <f t="shared" si="14"/>
        <v>0</v>
      </c>
      <c r="AF39" s="861">
        <f t="shared" si="14"/>
        <v>4</v>
      </c>
      <c r="AG39" s="861">
        <f t="shared" si="14"/>
        <v>4</v>
      </c>
      <c r="AH39" s="861">
        <f t="shared" si="6"/>
        <v>9.0833333333333339</v>
      </c>
      <c r="AJ39" s="709"/>
      <c r="AK39" s="936">
        <f t="shared" ca="1" si="13"/>
        <v>0.15891345479101812</v>
      </c>
      <c r="AL39" s="861">
        <f t="shared" si="7"/>
        <v>109</v>
      </c>
      <c r="AM39" s="861">
        <v>9</v>
      </c>
      <c r="AN39" s="863">
        <f t="shared" si="8"/>
        <v>118</v>
      </c>
      <c r="AO39" s="936">
        <f t="shared" ca="1" si="9"/>
        <v>18.751787665340139</v>
      </c>
      <c r="AP39" s="936">
        <f t="shared" ca="1" si="10"/>
        <v>5.9089134547910183</v>
      </c>
      <c r="AQ39" s="936">
        <f t="shared" ca="1" si="11"/>
        <v>644.07156657222095</v>
      </c>
      <c r="AS39" s="936">
        <f>+IFERROR(VLOOKUP(C39,'Rural - Price Out '!$C:$F,3,FALSE),0)</f>
        <v>5</v>
      </c>
      <c r="AT39" s="909">
        <f t="shared" ca="1" si="12"/>
        <v>0.90891345479101826</v>
      </c>
    </row>
    <row r="40" spans="1:46" s="840" customFormat="1">
      <c r="A40" s="840" t="str">
        <f t="shared" si="2"/>
        <v>PacificResidentialTIME-RES</v>
      </c>
      <c r="B40" s="840">
        <f t="shared" si="3"/>
        <v>1</v>
      </c>
      <c r="C40" s="859" t="s">
        <v>2022</v>
      </c>
      <c r="D40" s="859" t="s">
        <v>2023</v>
      </c>
      <c r="E40" s="859">
        <v>0</v>
      </c>
      <c r="F40" s="859"/>
      <c r="G40" s="860"/>
      <c r="H40" s="861">
        <v>461.5</v>
      </c>
      <c r="I40" s="861">
        <v>832</v>
      </c>
      <c r="J40" s="861">
        <v>396</v>
      </c>
      <c r="K40" s="861">
        <v>540</v>
      </c>
      <c r="L40" s="861">
        <v>344.25</v>
      </c>
      <c r="M40" s="861">
        <v>0</v>
      </c>
      <c r="N40" s="861">
        <v>0</v>
      </c>
      <c r="O40" s="861">
        <v>0</v>
      </c>
      <c r="P40" s="861">
        <v>0</v>
      </c>
      <c r="Q40" s="861">
        <v>0</v>
      </c>
      <c r="R40" s="861">
        <v>0</v>
      </c>
      <c r="S40" s="861">
        <v>0</v>
      </c>
      <c r="T40" s="861">
        <f t="shared" si="4"/>
        <v>2573.75</v>
      </c>
      <c r="U40" s="861"/>
      <c r="V40" s="861">
        <f t="shared" si="15"/>
        <v>0</v>
      </c>
      <c r="W40" s="861">
        <f t="shared" si="15"/>
        <v>0</v>
      </c>
      <c r="X40" s="861">
        <f t="shared" si="15"/>
        <v>0</v>
      </c>
      <c r="Y40" s="861">
        <f t="shared" si="14"/>
        <v>0</v>
      </c>
      <c r="Z40" s="861">
        <f t="shared" si="14"/>
        <v>0</v>
      </c>
      <c r="AA40" s="861">
        <f t="shared" si="14"/>
        <v>0</v>
      </c>
      <c r="AB40" s="861">
        <f t="shared" si="14"/>
        <v>0</v>
      </c>
      <c r="AC40" s="861">
        <f t="shared" si="14"/>
        <v>0</v>
      </c>
      <c r="AD40" s="861">
        <f t="shared" si="14"/>
        <v>0</v>
      </c>
      <c r="AE40" s="861">
        <f t="shared" si="14"/>
        <v>0</v>
      </c>
      <c r="AF40" s="861">
        <f t="shared" si="14"/>
        <v>0</v>
      </c>
      <c r="AG40" s="861">
        <f t="shared" si="14"/>
        <v>0</v>
      </c>
      <c r="AH40" s="861">
        <f t="shared" si="6"/>
        <v>0</v>
      </c>
      <c r="AJ40" s="709"/>
      <c r="AK40" s="936">
        <f t="shared" ca="1" si="13"/>
        <v>0</v>
      </c>
      <c r="AL40" s="861">
        <f t="shared" si="7"/>
        <v>0</v>
      </c>
      <c r="AM40" s="861">
        <v>0</v>
      </c>
      <c r="AN40" s="863">
        <f t="shared" si="8"/>
        <v>0</v>
      </c>
      <c r="AO40" s="936">
        <f t="shared" ca="1" si="9"/>
        <v>0</v>
      </c>
      <c r="AP40" s="936">
        <f t="shared" ca="1" si="10"/>
        <v>0</v>
      </c>
      <c r="AQ40" s="936">
        <f t="shared" ca="1" si="11"/>
        <v>0</v>
      </c>
      <c r="AS40" s="936">
        <f>+IFERROR(VLOOKUP(C40,'Rural - Price Out '!$C:$F,3,FALSE),0)</f>
        <v>0</v>
      </c>
      <c r="AT40" s="909">
        <f t="shared" ca="1" si="12"/>
        <v>0</v>
      </c>
    </row>
    <row r="41" spans="1:46" s="840" customFormat="1">
      <c r="A41" s="840" t="str">
        <f t="shared" si="2"/>
        <v>PacificResidentialWI1-RES</v>
      </c>
      <c r="B41" s="840">
        <f t="shared" si="3"/>
        <v>1</v>
      </c>
      <c r="C41" s="859" t="s">
        <v>2024</v>
      </c>
      <c r="D41" s="859" t="s">
        <v>2025</v>
      </c>
      <c r="E41" s="859">
        <v>1.9</v>
      </c>
      <c r="F41" s="859"/>
      <c r="G41" s="860"/>
      <c r="H41" s="861">
        <v>114.74</v>
      </c>
      <c r="I41" s="861">
        <v>121.39</v>
      </c>
      <c r="J41" s="861">
        <v>127.2</v>
      </c>
      <c r="K41" s="861">
        <v>126.56000000000003</v>
      </c>
      <c r="L41" s="861">
        <v>129.83000000000004</v>
      </c>
      <c r="M41" s="861">
        <v>121.24</v>
      </c>
      <c r="N41" s="861">
        <v>126.53</v>
      </c>
      <c r="O41" s="861">
        <v>131.18500000000003</v>
      </c>
      <c r="P41" s="861">
        <v>141.745</v>
      </c>
      <c r="Q41" s="861">
        <v>155.40999999999997</v>
      </c>
      <c r="R41" s="861">
        <v>159.685</v>
      </c>
      <c r="S41" s="861">
        <v>146.45499999999998</v>
      </c>
      <c r="T41" s="861">
        <f t="shared" si="4"/>
        <v>1601.9699999999998</v>
      </c>
      <c r="U41" s="861"/>
      <c r="V41" s="861">
        <f t="shared" si="15"/>
        <v>60.389473684210529</v>
      </c>
      <c r="W41" s="861">
        <f t="shared" si="15"/>
        <v>63.889473684210529</v>
      </c>
      <c r="X41" s="861">
        <f t="shared" si="15"/>
        <v>66.94736842105263</v>
      </c>
      <c r="Y41" s="861">
        <f t="shared" si="14"/>
        <v>66.6105263157895</v>
      </c>
      <c r="Z41" s="861">
        <f t="shared" si="14"/>
        <v>68.331578947368442</v>
      </c>
      <c r="AA41" s="861">
        <f t="shared" si="14"/>
        <v>63.810526315789474</v>
      </c>
      <c r="AB41" s="861">
        <f t="shared" si="14"/>
        <v>66.594736842105263</v>
      </c>
      <c r="AC41" s="861">
        <f t="shared" si="14"/>
        <v>69.04473684210528</v>
      </c>
      <c r="AD41" s="861">
        <f t="shared" si="14"/>
        <v>74.602631578947381</v>
      </c>
      <c r="AE41" s="861">
        <f t="shared" si="14"/>
        <v>81.794736842105252</v>
      </c>
      <c r="AF41" s="861">
        <f t="shared" si="14"/>
        <v>84.044736842105266</v>
      </c>
      <c r="AG41" s="861">
        <f t="shared" si="14"/>
        <v>77.081578947368413</v>
      </c>
      <c r="AH41" s="861">
        <f t="shared" si="6"/>
        <v>70.26184210526317</v>
      </c>
      <c r="AJ41" s="709"/>
      <c r="AK41" s="936">
        <f t="shared" ca="1" si="13"/>
        <v>5.2510532887466849E-2</v>
      </c>
      <c r="AL41" s="861">
        <f t="shared" si="7"/>
        <v>843.1421052631581</v>
      </c>
      <c r="AM41" s="861">
        <v>31</v>
      </c>
      <c r="AN41" s="863">
        <f t="shared" si="8"/>
        <v>874.1421052631581</v>
      </c>
      <c r="AO41" s="936">
        <f t="shared" ca="1" si="9"/>
        <v>45.901667766740573</v>
      </c>
      <c r="AP41" s="936">
        <f t="shared" ca="1" si="10"/>
        <v>1.9525105328874668</v>
      </c>
      <c r="AQ41" s="936">
        <f t="shared" ca="1" si="11"/>
        <v>1646.2438412472293</v>
      </c>
      <c r="AS41" s="936">
        <f>+IFERROR(VLOOKUP(C41,'Rural - Price Out '!$C:$F,3,FALSE),0)</f>
        <v>1.9</v>
      </c>
      <c r="AT41" s="909">
        <f t="shared" ca="1" si="12"/>
        <v>5.2510532887466876E-2</v>
      </c>
    </row>
    <row r="42" spans="1:46" s="840" customFormat="1">
      <c r="A42" s="840" t="str">
        <f t="shared" si="2"/>
        <v>PacificResidentialWI2-RES</v>
      </c>
      <c r="B42" s="840">
        <f t="shared" si="3"/>
        <v>1</v>
      </c>
      <c r="C42" s="859" t="s">
        <v>2026</v>
      </c>
      <c r="D42" s="859" t="s">
        <v>2027</v>
      </c>
      <c r="E42" s="859">
        <v>3.5</v>
      </c>
      <c r="F42" s="859"/>
      <c r="G42" s="860"/>
      <c r="H42" s="861">
        <v>20.22</v>
      </c>
      <c r="I42" s="861">
        <v>14</v>
      </c>
      <c r="J42" s="861">
        <v>14</v>
      </c>
      <c r="K42" s="861">
        <v>14</v>
      </c>
      <c r="L42" s="861">
        <v>12.32</v>
      </c>
      <c r="M42" s="861">
        <v>14</v>
      </c>
      <c r="N42" s="861">
        <v>14</v>
      </c>
      <c r="O42" s="861">
        <v>14</v>
      </c>
      <c r="P42" s="861">
        <v>14</v>
      </c>
      <c r="Q42" s="861">
        <v>14</v>
      </c>
      <c r="R42" s="861">
        <v>18.375</v>
      </c>
      <c r="S42" s="861">
        <v>18.375</v>
      </c>
      <c r="T42" s="861">
        <f t="shared" si="4"/>
        <v>181.29</v>
      </c>
      <c r="U42" s="861"/>
      <c r="V42" s="861">
        <f t="shared" si="15"/>
        <v>5.7771428571428567</v>
      </c>
      <c r="W42" s="861">
        <f t="shared" si="15"/>
        <v>4</v>
      </c>
      <c r="X42" s="861">
        <f t="shared" si="15"/>
        <v>4</v>
      </c>
      <c r="Y42" s="861">
        <f t="shared" si="14"/>
        <v>4</v>
      </c>
      <c r="Z42" s="861">
        <f t="shared" si="14"/>
        <v>3.52</v>
      </c>
      <c r="AA42" s="861">
        <f t="shared" si="14"/>
        <v>4</v>
      </c>
      <c r="AB42" s="861">
        <f t="shared" si="14"/>
        <v>4</v>
      </c>
      <c r="AC42" s="861">
        <f t="shared" si="14"/>
        <v>4</v>
      </c>
      <c r="AD42" s="861">
        <f t="shared" si="14"/>
        <v>4</v>
      </c>
      <c r="AE42" s="861">
        <f t="shared" si="14"/>
        <v>4</v>
      </c>
      <c r="AF42" s="861">
        <f t="shared" si="14"/>
        <v>5.25</v>
      </c>
      <c r="AG42" s="861">
        <f t="shared" si="14"/>
        <v>5.25</v>
      </c>
      <c r="AH42" s="861">
        <f t="shared" si="6"/>
        <v>4.3164285714285713</v>
      </c>
      <c r="AJ42" s="709"/>
      <c r="AK42" s="936">
        <f t="shared" ca="1" si="13"/>
        <v>9.672992900322841E-2</v>
      </c>
      <c r="AL42" s="861">
        <f t="shared" si="7"/>
        <v>51.797142857142859</v>
      </c>
      <c r="AM42" s="861">
        <v>0</v>
      </c>
      <c r="AN42" s="863">
        <f t="shared" si="8"/>
        <v>51.797142857142859</v>
      </c>
      <c r="AO42" s="936">
        <f t="shared" ca="1" si="9"/>
        <v>5.0103339511415079</v>
      </c>
      <c r="AP42" s="936">
        <f t="shared" ca="1" si="10"/>
        <v>3.5967299290032284</v>
      </c>
      <c r="AQ42" s="936">
        <f t="shared" ca="1" si="11"/>
        <v>186.30033395114151</v>
      </c>
      <c r="AS42" s="936">
        <f>+IFERROR(VLOOKUP(C42,'Rural - Price Out '!$C:$F,3,FALSE),0)</f>
        <v>0</v>
      </c>
      <c r="AT42" s="909">
        <f t="shared" ca="1" si="12"/>
        <v>3.5967299290032284</v>
      </c>
    </row>
    <row r="43" spans="1:46" s="840" customFormat="1">
      <c r="A43" s="840" t="str">
        <f t="shared" si="2"/>
        <v>PacificResidentialWI3-RES</v>
      </c>
      <c r="B43" s="840">
        <f t="shared" si="3"/>
        <v>1</v>
      </c>
      <c r="C43" s="859" t="s">
        <v>2028</v>
      </c>
      <c r="D43" s="859" t="s">
        <v>2029</v>
      </c>
      <c r="E43" s="859">
        <v>5.0999999999999996</v>
      </c>
      <c r="F43" s="859"/>
      <c r="G43" s="860"/>
      <c r="H43" s="861">
        <v>5.0999999999999996</v>
      </c>
      <c r="I43" s="861">
        <v>5.0999999999999996</v>
      </c>
      <c r="J43" s="861">
        <v>5.0999999999999996</v>
      </c>
      <c r="K43" s="861">
        <v>12.75</v>
      </c>
      <c r="L43" s="861">
        <v>28.05</v>
      </c>
      <c r="M43" s="861">
        <v>20.399999999999999</v>
      </c>
      <c r="N43" s="861">
        <v>14.23</v>
      </c>
      <c r="O43" s="861">
        <v>17</v>
      </c>
      <c r="P43" s="861">
        <v>15.299999999999999</v>
      </c>
      <c r="Q43" s="861">
        <v>15.299999999999999</v>
      </c>
      <c r="R43" s="861">
        <v>15.299999999999999</v>
      </c>
      <c r="S43" s="861">
        <v>15.299999999999999</v>
      </c>
      <c r="T43" s="861">
        <f t="shared" si="4"/>
        <v>168.93000000000004</v>
      </c>
      <c r="U43" s="861"/>
      <c r="V43" s="861">
        <f t="shared" si="15"/>
        <v>1</v>
      </c>
      <c r="W43" s="861">
        <f t="shared" si="15"/>
        <v>1</v>
      </c>
      <c r="X43" s="861">
        <f t="shared" si="15"/>
        <v>1</v>
      </c>
      <c r="Y43" s="861">
        <f t="shared" si="14"/>
        <v>2.5</v>
      </c>
      <c r="Z43" s="861">
        <f t="shared" si="14"/>
        <v>5.5000000000000009</v>
      </c>
      <c r="AA43" s="861">
        <f t="shared" si="14"/>
        <v>4</v>
      </c>
      <c r="AB43" s="861">
        <f t="shared" si="14"/>
        <v>2.7901960784313729</v>
      </c>
      <c r="AC43" s="861">
        <f t="shared" si="14"/>
        <v>3.3333333333333335</v>
      </c>
      <c r="AD43" s="861">
        <f t="shared" si="14"/>
        <v>3</v>
      </c>
      <c r="AE43" s="861">
        <f t="shared" si="14"/>
        <v>3</v>
      </c>
      <c r="AF43" s="861">
        <f t="shared" si="14"/>
        <v>3</v>
      </c>
      <c r="AG43" s="861">
        <f t="shared" si="14"/>
        <v>3</v>
      </c>
      <c r="AH43" s="861">
        <f t="shared" si="6"/>
        <v>2.7602941176470588</v>
      </c>
      <c r="AJ43" s="709"/>
      <c r="AK43" s="936">
        <f t="shared" ca="1" si="13"/>
        <v>0.14094932511898997</v>
      </c>
      <c r="AL43" s="861">
        <f t="shared" si="7"/>
        <v>33.123529411764707</v>
      </c>
      <c r="AM43" s="861">
        <v>0</v>
      </c>
      <c r="AN43" s="863">
        <f t="shared" si="8"/>
        <v>33.123529411764707</v>
      </c>
      <c r="AO43" s="936">
        <f t="shared" ca="1" si="9"/>
        <v>4.6687391161472505</v>
      </c>
      <c r="AP43" s="936">
        <f t="shared" ca="1" si="10"/>
        <v>5.24094932511899</v>
      </c>
      <c r="AQ43" s="936">
        <f t="shared" ca="1" si="11"/>
        <v>173.59873911614724</v>
      </c>
      <c r="AS43" s="936">
        <f>+IFERROR(VLOOKUP(C43,'Rural - Price Out '!$C:$F,3,FALSE),0)</f>
        <v>0</v>
      </c>
      <c r="AT43" s="909">
        <f t="shared" ca="1" si="12"/>
        <v>5.24094932511899</v>
      </c>
    </row>
    <row r="44" spans="1:46" s="840" customFormat="1">
      <c r="A44" s="840" t="str">
        <f t="shared" si="2"/>
        <v>PacificResidentialWI4-RES</v>
      </c>
      <c r="B44" s="840">
        <f t="shared" si="3"/>
        <v>1</v>
      </c>
      <c r="C44" s="859" t="s">
        <v>2030</v>
      </c>
      <c r="D44" s="859" t="s">
        <v>2031</v>
      </c>
      <c r="E44" s="859">
        <v>6.7</v>
      </c>
      <c r="F44" s="859"/>
      <c r="G44" s="860"/>
      <c r="H44" s="861">
        <v>33.5</v>
      </c>
      <c r="I44" s="861">
        <v>33.5</v>
      </c>
      <c r="J44" s="861">
        <v>33.5</v>
      </c>
      <c r="K44" s="861">
        <v>33.5</v>
      </c>
      <c r="L44" s="861">
        <v>33.5</v>
      </c>
      <c r="M44" s="861">
        <v>33.5</v>
      </c>
      <c r="N44" s="861">
        <v>33.5</v>
      </c>
      <c r="O44" s="861">
        <v>33.5</v>
      </c>
      <c r="P44" s="861">
        <v>33.5</v>
      </c>
      <c r="Q44" s="861">
        <v>33.5</v>
      </c>
      <c r="R44" s="861">
        <v>33.5</v>
      </c>
      <c r="S44" s="861">
        <v>33.5</v>
      </c>
      <c r="T44" s="861">
        <f t="shared" si="4"/>
        <v>402</v>
      </c>
      <c r="U44" s="861"/>
      <c r="V44" s="861">
        <f t="shared" si="15"/>
        <v>5</v>
      </c>
      <c r="W44" s="861">
        <f t="shared" si="15"/>
        <v>5</v>
      </c>
      <c r="X44" s="861">
        <f t="shared" si="15"/>
        <v>5</v>
      </c>
      <c r="Y44" s="861">
        <f t="shared" si="14"/>
        <v>5</v>
      </c>
      <c r="Z44" s="861">
        <f t="shared" si="14"/>
        <v>5</v>
      </c>
      <c r="AA44" s="861">
        <f t="shared" si="14"/>
        <v>5</v>
      </c>
      <c r="AB44" s="861">
        <f t="shared" si="14"/>
        <v>5</v>
      </c>
      <c r="AC44" s="861">
        <f t="shared" si="14"/>
        <v>5</v>
      </c>
      <c r="AD44" s="861">
        <f t="shared" si="14"/>
        <v>5</v>
      </c>
      <c r="AE44" s="861">
        <f t="shared" si="14"/>
        <v>5</v>
      </c>
      <c r="AF44" s="861">
        <f t="shared" si="14"/>
        <v>5</v>
      </c>
      <c r="AG44" s="861">
        <f t="shared" si="14"/>
        <v>5</v>
      </c>
      <c r="AH44" s="861">
        <f t="shared" si="6"/>
        <v>5</v>
      </c>
      <c r="AJ44" s="709"/>
      <c r="AK44" s="936">
        <f t="shared" ca="1" si="13"/>
        <v>0.18516872123475153</v>
      </c>
      <c r="AL44" s="861">
        <f t="shared" si="7"/>
        <v>60</v>
      </c>
      <c r="AM44" s="861">
        <v>0</v>
      </c>
      <c r="AN44" s="863">
        <f t="shared" si="8"/>
        <v>60</v>
      </c>
      <c r="AO44" s="936">
        <f t="shared" ca="1" si="9"/>
        <v>11.110123274085092</v>
      </c>
      <c r="AP44" s="936">
        <f t="shared" ca="1" si="10"/>
        <v>6.8851687212347521</v>
      </c>
      <c r="AQ44" s="936">
        <f t="shared" ca="1" si="11"/>
        <v>413.11012327408514</v>
      </c>
      <c r="AS44" s="936">
        <f>+IFERROR(VLOOKUP(C44,'Rural - Price Out '!$C:$F,3,FALSE),0)</f>
        <v>0</v>
      </c>
      <c r="AT44" s="909">
        <f t="shared" ca="1" si="12"/>
        <v>6.8851687212347521</v>
      </c>
    </row>
    <row r="45" spans="1:46">
      <c r="A45" s="841" t="str">
        <f t="shared" si="2"/>
        <v>PacificResidentialSL065.0G1M001</v>
      </c>
      <c r="B45" s="841">
        <f t="shared" si="3"/>
        <v>1</v>
      </c>
      <c r="C45" s="859" t="s">
        <v>2032</v>
      </c>
      <c r="D45" s="859" t="s">
        <v>2033</v>
      </c>
      <c r="E45" s="859">
        <v>0</v>
      </c>
      <c r="F45" s="859"/>
      <c r="G45" s="860"/>
      <c r="H45" s="861">
        <v>0</v>
      </c>
      <c r="I45" s="861">
        <v>0</v>
      </c>
      <c r="J45" s="861">
        <v>0</v>
      </c>
      <c r="K45" s="861">
        <v>0</v>
      </c>
      <c r="L45" s="861">
        <v>0</v>
      </c>
      <c r="M45" s="861">
        <v>0</v>
      </c>
      <c r="N45" s="861">
        <v>0</v>
      </c>
      <c r="O45" s="861">
        <v>0</v>
      </c>
      <c r="P45" s="861">
        <v>0</v>
      </c>
      <c r="Q45" s="861">
        <v>0</v>
      </c>
      <c r="R45" s="861">
        <v>0</v>
      </c>
      <c r="S45" s="861">
        <v>0</v>
      </c>
      <c r="T45" s="865">
        <f t="shared" si="4"/>
        <v>0</v>
      </c>
      <c r="U45" s="861"/>
      <c r="V45" s="865">
        <f t="shared" si="15"/>
        <v>0</v>
      </c>
      <c r="W45" s="865">
        <f t="shared" si="15"/>
        <v>0</v>
      </c>
      <c r="X45" s="865">
        <f t="shared" si="15"/>
        <v>0</v>
      </c>
      <c r="Y45" s="865">
        <f t="shared" si="14"/>
        <v>0</v>
      </c>
      <c r="Z45" s="865">
        <f t="shared" si="14"/>
        <v>0</v>
      </c>
      <c r="AA45" s="865">
        <f t="shared" si="14"/>
        <v>0</v>
      </c>
      <c r="AB45" s="865">
        <f t="shared" si="14"/>
        <v>0</v>
      </c>
      <c r="AC45" s="865">
        <f t="shared" si="14"/>
        <v>0</v>
      </c>
      <c r="AD45" s="865">
        <f t="shared" si="14"/>
        <v>0</v>
      </c>
      <c r="AE45" s="865">
        <f t="shared" si="14"/>
        <v>0</v>
      </c>
      <c r="AF45" s="865">
        <f t="shared" si="14"/>
        <v>0</v>
      </c>
      <c r="AG45" s="865">
        <f t="shared" si="14"/>
        <v>0</v>
      </c>
      <c r="AH45" s="865">
        <f t="shared" si="6"/>
        <v>0</v>
      </c>
      <c r="AK45" s="936">
        <f t="shared" ca="1" si="13"/>
        <v>0</v>
      </c>
      <c r="AL45" s="865">
        <f t="shared" si="7"/>
        <v>0</v>
      </c>
      <c r="AM45" s="865">
        <v>449.99161290322581</v>
      </c>
      <c r="AN45" s="843">
        <f t="shared" si="8"/>
        <v>449.99161290322581</v>
      </c>
      <c r="AO45" s="937">
        <f t="shared" ca="1" si="9"/>
        <v>0</v>
      </c>
      <c r="AP45" s="936">
        <f t="shared" ca="1" si="10"/>
        <v>0</v>
      </c>
      <c r="AQ45" s="936">
        <f t="shared" ca="1" si="11"/>
        <v>0</v>
      </c>
      <c r="AS45" s="936">
        <f>+IFERROR(VLOOKUP(C45,'Rural - Price Out '!$C:$F,3,FALSE),0)</f>
        <v>7.75</v>
      </c>
      <c r="AT45" s="909">
        <f t="shared" ca="1" si="12"/>
        <v>-7.75</v>
      </c>
    </row>
    <row r="46" spans="1:46">
      <c r="C46" s="868"/>
      <c r="D46" s="868"/>
      <c r="E46" s="859"/>
      <c r="F46" s="859"/>
      <c r="G46" s="860"/>
      <c r="H46" s="861"/>
      <c r="I46" s="861"/>
      <c r="J46" s="861"/>
      <c r="K46" s="861"/>
      <c r="L46" s="861"/>
      <c r="M46" s="861"/>
      <c r="N46" s="861"/>
      <c r="O46" s="861"/>
      <c r="P46" s="861"/>
      <c r="Q46" s="861"/>
      <c r="R46" s="861"/>
      <c r="S46" s="861"/>
      <c r="T46" s="861"/>
      <c r="V46" s="865"/>
      <c r="W46" s="865"/>
      <c r="X46" s="865"/>
      <c r="Y46" s="865"/>
      <c r="Z46" s="865"/>
      <c r="AA46" s="865"/>
      <c r="AB46" s="865"/>
      <c r="AC46" s="865"/>
      <c r="AD46" s="865"/>
      <c r="AE46" s="865"/>
      <c r="AF46" s="865"/>
      <c r="AG46" s="865"/>
      <c r="AH46" s="865"/>
      <c r="AK46" s="937"/>
      <c r="AO46" s="937"/>
      <c r="AP46" s="937"/>
    </row>
    <row r="47" spans="1:46">
      <c r="B47" s="841">
        <f>COUNTIF(C:C,C47)</f>
        <v>0</v>
      </c>
      <c r="C47" s="868"/>
      <c r="D47" s="869" t="s">
        <v>2034</v>
      </c>
      <c r="E47" s="859">
        <v>0</v>
      </c>
      <c r="F47" s="859"/>
      <c r="G47" s="860"/>
      <c r="H47" s="870">
        <f t="shared" ref="H47:T47" si="16">SUM(H11:H46)</f>
        <v>819250.23499999999</v>
      </c>
      <c r="I47" s="870">
        <f t="shared" si="16"/>
        <v>822197.65500000003</v>
      </c>
      <c r="J47" s="870">
        <f t="shared" si="16"/>
        <v>822487.84500000009</v>
      </c>
      <c r="K47" s="870">
        <f t="shared" si="16"/>
        <v>826874.24500000011</v>
      </c>
      <c r="L47" s="870">
        <f t="shared" si="16"/>
        <v>823587.625</v>
      </c>
      <c r="M47" s="870">
        <f t="shared" si="16"/>
        <v>825816.05500000017</v>
      </c>
      <c r="N47" s="870">
        <f t="shared" si="16"/>
        <v>832656.97499999998</v>
      </c>
      <c r="O47" s="870">
        <f t="shared" si="16"/>
        <v>832204.79999999993</v>
      </c>
      <c r="P47" s="870">
        <f t="shared" si="16"/>
        <v>834071.31499999994</v>
      </c>
      <c r="Q47" s="870">
        <f t="shared" si="16"/>
        <v>825861.08500000008</v>
      </c>
      <c r="R47" s="870">
        <f t="shared" si="16"/>
        <v>833653.23</v>
      </c>
      <c r="S47" s="870">
        <f t="shared" si="16"/>
        <v>834223.88500000024</v>
      </c>
      <c r="T47" s="871">
        <f t="shared" si="16"/>
        <v>9932884.9499999974</v>
      </c>
      <c r="V47" s="872">
        <f t="shared" ref="V47:AH47" si="17">SUM(V11:V22)</f>
        <v>50064.640404829901</v>
      </c>
      <c r="W47" s="872">
        <f t="shared" si="17"/>
        <v>50288.658783820676</v>
      </c>
      <c r="X47" s="872">
        <f t="shared" si="17"/>
        <v>50317.408588489518</v>
      </c>
      <c r="Y47" s="872">
        <f t="shared" si="17"/>
        <v>50536.372702796551</v>
      </c>
      <c r="Z47" s="872">
        <f t="shared" si="17"/>
        <v>50541.842228117253</v>
      </c>
      <c r="AA47" s="872">
        <f t="shared" si="17"/>
        <v>50568.462944601539</v>
      </c>
      <c r="AB47" s="872">
        <f t="shared" si="17"/>
        <v>50453.758819391602</v>
      </c>
      <c r="AC47" s="872">
        <f t="shared" si="17"/>
        <v>50521.790666098001</v>
      </c>
      <c r="AD47" s="872">
        <f t="shared" si="17"/>
        <v>50449.991526099118</v>
      </c>
      <c r="AE47" s="872">
        <f t="shared" si="17"/>
        <v>50509.655828788731</v>
      </c>
      <c r="AF47" s="872">
        <f t="shared" si="17"/>
        <v>50683.565334009741</v>
      </c>
      <c r="AG47" s="872">
        <f t="shared" si="17"/>
        <v>50833.096773271478</v>
      </c>
      <c r="AH47" s="872">
        <f t="shared" si="17"/>
        <v>50480.770383359508</v>
      </c>
      <c r="AK47" s="937"/>
      <c r="AL47" s="872">
        <f>SUM(AL11:AL46)</f>
        <v>645533.85408512782</v>
      </c>
      <c r="AM47" s="872">
        <f>SUM(AM11:AM46)</f>
        <v>62576.871749208651</v>
      </c>
      <c r="AN47" s="872">
        <f>SUM(AN11:AN46)</f>
        <v>708110.72583433636</v>
      </c>
      <c r="AO47" s="872">
        <f ca="1">SUM(AO11:AO46)</f>
        <v>302139.55179072352</v>
      </c>
      <c r="AP47" s="937"/>
      <c r="AQ47" s="872">
        <f ca="1">SUM(AQ11:AQ46)</f>
        <v>10202653.882263212</v>
      </c>
    </row>
    <row r="48" spans="1:46">
      <c r="C48" s="868"/>
      <c r="D48" s="868"/>
      <c r="E48" s="859"/>
      <c r="F48" s="859"/>
      <c r="G48" s="860"/>
      <c r="H48" s="873"/>
      <c r="I48" s="861"/>
      <c r="J48" s="874"/>
      <c r="V48" s="865"/>
      <c r="W48" s="865"/>
      <c r="X48" s="865"/>
      <c r="Y48" s="865"/>
      <c r="Z48" s="865"/>
      <c r="AA48" s="865"/>
      <c r="AB48" s="865"/>
      <c r="AC48" s="865"/>
      <c r="AD48" s="865"/>
      <c r="AE48" s="865"/>
      <c r="AF48" s="865"/>
      <c r="AG48" s="865"/>
      <c r="AH48" s="865"/>
      <c r="AK48" s="937"/>
      <c r="AO48" s="937"/>
      <c r="AP48" s="937"/>
    </row>
    <row r="49" spans="1:46">
      <c r="B49" s="841">
        <f>COUNTIF(C:C,C49)</f>
        <v>1</v>
      </c>
      <c r="C49" s="875" t="s">
        <v>2035</v>
      </c>
      <c r="D49" s="875" t="s">
        <v>2035</v>
      </c>
      <c r="E49" s="859">
        <v>0</v>
      </c>
      <c r="F49" s="859"/>
      <c r="G49" s="860"/>
      <c r="H49" s="873"/>
      <c r="I49" s="861"/>
      <c r="J49" s="861"/>
      <c r="V49" s="865">
        <f t="shared" ref="V49:AG52" si="18">IFERROR(H49/$E49,0)</f>
        <v>0</v>
      </c>
      <c r="W49" s="865">
        <f t="shared" si="18"/>
        <v>0</v>
      </c>
      <c r="X49" s="865">
        <f t="shared" si="18"/>
        <v>0</v>
      </c>
      <c r="Y49" s="865">
        <f t="shared" si="18"/>
        <v>0</v>
      </c>
      <c r="Z49" s="865">
        <f t="shared" si="18"/>
        <v>0</v>
      </c>
      <c r="AA49" s="865">
        <f t="shared" si="18"/>
        <v>0</v>
      </c>
      <c r="AB49" s="865">
        <f t="shared" si="18"/>
        <v>0</v>
      </c>
      <c r="AC49" s="865">
        <f t="shared" si="18"/>
        <v>0</v>
      </c>
      <c r="AD49" s="865">
        <f t="shared" si="18"/>
        <v>0</v>
      </c>
      <c r="AE49" s="865">
        <f t="shared" si="18"/>
        <v>0</v>
      </c>
      <c r="AF49" s="865">
        <f t="shared" si="18"/>
        <v>0</v>
      </c>
      <c r="AG49" s="865">
        <f t="shared" si="18"/>
        <v>0</v>
      </c>
      <c r="AH49" s="865">
        <f>AVERAGE(V49:AG49)</f>
        <v>0</v>
      </c>
      <c r="AK49" s="937"/>
      <c r="AO49" s="937"/>
      <c r="AP49" s="937"/>
    </row>
    <row r="50" spans="1:46" s="840" customFormat="1" ht="12">
      <c r="A50" s="840" t="str">
        <f>$A$1&amp;"Residential"&amp;C50</f>
        <v>PacificResidentialRECPROGADJ-RES</v>
      </c>
      <c r="B50" s="840">
        <f>COUNTIF(C:C,C50)</f>
        <v>1</v>
      </c>
      <c r="C50" s="859" t="s">
        <v>2036</v>
      </c>
      <c r="D50" s="859" t="s">
        <v>2037</v>
      </c>
      <c r="E50" s="859">
        <v>7.28</v>
      </c>
      <c r="F50" s="859">
        <f>12.5/2</f>
        <v>6.25</v>
      </c>
      <c r="G50" s="860"/>
      <c r="H50" s="861">
        <v>364660.22499999998</v>
      </c>
      <c r="I50" s="861">
        <v>366341.4</v>
      </c>
      <c r="J50" s="861">
        <v>338080.28499999997</v>
      </c>
      <c r="K50" s="861">
        <v>304449.61</v>
      </c>
      <c r="L50" s="861">
        <v>304144.05499999993</v>
      </c>
      <c r="M50" s="861">
        <v>315912.11499999993</v>
      </c>
      <c r="N50" s="861">
        <v>315378.34499999991</v>
      </c>
      <c r="O50" s="861">
        <v>315744.46000000002</v>
      </c>
      <c r="P50" s="861">
        <v>315606.44500000001</v>
      </c>
      <c r="Q50" s="861">
        <v>315762.27000000008</v>
      </c>
      <c r="R50" s="861">
        <v>316880.40999999992</v>
      </c>
      <c r="S50" s="861">
        <v>317757.38000000006</v>
      </c>
      <c r="T50" s="861">
        <f>SUM(H50:S50)</f>
        <v>3890716.9999999991</v>
      </c>
      <c r="U50" s="861"/>
      <c r="V50" s="861">
        <f t="shared" si="18"/>
        <v>50090.690247252744</v>
      </c>
      <c r="W50" s="861">
        <f t="shared" si="18"/>
        <v>50321.620879120877</v>
      </c>
      <c r="X50" s="861">
        <f t="shared" ref="X50:AG51" si="19">IFERROR(J50/$F50,0)</f>
        <v>54092.845599999993</v>
      </c>
      <c r="Y50" s="861">
        <f t="shared" si="19"/>
        <v>48711.937599999997</v>
      </c>
      <c r="Z50" s="861">
        <f t="shared" si="19"/>
        <v>48663.04879999999</v>
      </c>
      <c r="AA50" s="861">
        <f t="shared" si="19"/>
        <v>50545.938399999992</v>
      </c>
      <c r="AB50" s="861">
        <f t="shared" si="19"/>
        <v>50460.535199999984</v>
      </c>
      <c r="AC50" s="861">
        <f t="shared" si="19"/>
        <v>50519.113600000004</v>
      </c>
      <c r="AD50" s="861">
        <f t="shared" si="19"/>
        <v>50497.031199999998</v>
      </c>
      <c r="AE50" s="861">
        <f t="shared" si="19"/>
        <v>50521.963200000013</v>
      </c>
      <c r="AF50" s="861">
        <f t="shared" si="19"/>
        <v>50700.86559999999</v>
      </c>
      <c r="AG50" s="861">
        <f t="shared" si="19"/>
        <v>50841.180800000009</v>
      </c>
      <c r="AH50" s="861">
        <f>AVERAGE(V50:AG50)</f>
        <v>50497.230927197794</v>
      </c>
      <c r="AK50" s="936">
        <f ca="1">+F50*$AL$2</f>
        <v>0.43075214635204834</v>
      </c>
      <c r="AL50" s="861">
        <f>+AH50*12</f>
        <v>605966.77112637355</v>
      </c>
      <c r="AM50" s="861">
        <v>58004.576945341883</v>
      </c>
      <c r="AN50" s="863">
        <f>+AL50+AM50</f>
        <v>663971.34807171545</v>
      </c>
      <c r="AO50" s="936">
        <f ca="1">+AN50*AK50</f>
        <v>286007.08329815441</v>
      </c>
      <c r="AP50" s="936">
        <f ca="1">+E50+AK50</f>
        <v>7.710752146352049</v>
      </c>
      <c r="AQ50" s="936">
        <f ca="1">+AP50*12*AH50</f>
        <v>4672459.5810807049</v>
      </c>
      <c r="AS50" s="936">
        <f>+IFERROR(VLOOKUP(C50,'Rural - Price Out '!$C:$F,4,FALSE),0)</f>
        <v>6.55</v>
      </c>
      <c r="AT50" s="909">
        <f ca="1">+AP50-AS50</f>
        <v>1.1607521463520492</v>
      </c>
    </row>
    <row r="51" spans="1:46" s="840" customFormat="1" ht="12">
      <c r="A51" s="840" t="str">
        <f>$A$1&amp;"Residential"&amp;C51</f>
        <v>PacificResidentialRECBINONLYR</v>
      </c>
      <c r="B51" s="840">
        <f>COUNTIF(C:C,C51)</f>
        <v>1</v>
      </c>
      <c r="C51" s="859" t="s">
        <v>2038</v>
      </c>
      <c r="D51" s="859" t="s">
        <v>2039</v>
      </c>
      <c r="E51" s="859">
        <v>8.2799999999999994</v>
      </c>
      <c r="F51" s="859">
        <f>14.5/2</f>
        <v>7.25</v>
      </c>
      <c r="G51" s="860"/>
      <c r="H51" s="861">
        <v>1253.04</v>
      </c>
      <c r="I51" s="861">
        <v>1240.6200000000001</v>
      </c>
      <c r="J51" s="861">
        <v>1172.875</v>
      </c>
      <c r="K51" s="861">
        <v>1037.1850000000002</v>
      </c>
      <c r="L51" s="861">
        <v>1069.345</v>
      </c>
      <c r="M51" s="861">
        <v>1093.5899999999999</v>
      </c>
      <c r="N51" s="861">
        <v>1092.2200000000003</v>
      </c>
      <c r="O51" s="861">
        <v>1035.4250000000002</v>
      </c>
      <c r="P51" s="861">
        <v>1046.1100000000001</v>
      </c>
      <c r="Q51" s="861">
        <v>1015</v>
      </c>
      <c r="R51" s="861">
        <v>1040.375</v>
      </c>
      <c r="S51" s="861">
        <v>1020.64</v>
      </c>
      <c r="T51" s="861">
        <f>SUM(H51:S51)</f>
        <v>13116.425000000001</v>
      </c>
      <c r="U51" s="861"/>
      <c r="V51" s="861">
        <f t="shared" si="18"/>
        <v>151.33333333333334</v>
      </c>
      <c r="W51" s="861">
        <f t="shared" si="18"/>
        <v>149.83333333333337</v>
      </c>
      <c r="X51" s="861">
        <f t="shared" si="19"/>
        <v>161.77586206896552</v>
      </c>
      <c r="Y51" s="861">
        <f t="shared" si="19"/>
        <v>143.06000000000003</v>
      </c>
      <c r="Z51" s="861">
        <f t="shared" si="19"/>
        <v>147.49586206896552</v>
      </c>
      <c r="AA51" s="861">
        <f t="shared" si="19"/>
        <v>150.83999999999997</v>
      </c>
      <c r="AB51" s="861">
        <f t="shared" si="19"/>
        <v>150.65103448275866</v>
      </c>
      <c r="AC51" s="861">
        <f t="shared" si="19"/>
        <v>142.81724137931036</v>
      </c>
      <c r="AD51" s="861">
        <f t="shared" si="19"/>
        <v>144.29103448275865</v>
      </c>
      <c r="AE51" s="861">
        <f t="shared" si="19"/>
        <v>140</v>
      </c>
      <c r="AF51" s="861">
        <f t="shared" si="19"/>
        <v>143.5</v>
      </c>
      <c r="AG51" s="861">
        <f t="shared" si="19"/>
        <v>140.77793103448275</v>
      </c>
      <c r="AH51" s="861">
        <f>AVERAGE(V51:AG51)</f>
        <v>147.19796934865903</v>
      </c>
      <c r="AK51" s="936">
        <f ca="1">+F51*$AL$2</f>
        <v>0.49967248976837603</v>
      </c>
      <c r="AL51" s="861">
        <f>+AH51*12</f>
        <v>1766.3756321839082</v>
      </c>
      <c r="AM51" s="861">
        <v>243.21192052980135</v>
      </c>
      <c r="AN51" s="863">
        <f>+AL51+AM51</f>
        <v>2009.5875527137096</v>
      </c>
      <c r="AO51" s="936">
        <f ca="1">+AN51*AK51</f>
        <v>1004.1356158719968</v>
      </c>
      <c r="AP51" s="936">
        <f ca="1">+E51+AK51</f>
        <v>8.7796724897683749</v>
      </c>
      <c r="AQ51" s="936">
        <f ca="1">+AP51*12*AH51</f>
        <v>15508.199544482282</v>
      </c>
      <c r="AS51" s="936">
        <f>+IFERROR(VLOOKUP(C51,'Rural - Price Out '!$C:$F,4,FALSE),0)</f>
        <v>7.55</v>
      </c>
      <c r="AT51" s="909">
        <f ca="1">+AP51-AS51</f>
        <v>1.2296724897683751</v>
      </c>
    </row>
    <row r="52" spans="1:46" s="840" customFormat="1" ht="12">
      <c r="A52" s="840" t="str">
        <f>$A$1&amp;"Residential"&amp;C52</f>
        <v>PacificResidentialSPREC-RES</v>
      </c>
      <c r="B52" s="840">
        <f>COUNTIF(C:C,C52)</f>
        <v>1</v>
      </c>
      <c r="C52" s="859" t="s">
        <v>2040</v>
      </c>
      <c r="D52" s="859" t="s">
        <v>2041</v>
      </c>
      <c r="E52" s="859">
        <v>11.47</v>
      </c>
      <c r="F52" s="859"/>
      <c r="G52" s="860"/>
      <c r="H52" s="861">
        <v>80.290000000000006</v>
      </c>
      <c r="I52" s="861">
        <v>229.39999999999998</v>
      </c>
      <c r="J52" s="861">
        <v>252.34</v>
      </c>
      <c r="K52" s="861">
        <v>252.33999999999997</v>
      </c>
      <c r="L52" s="861">
        <v>103.23</v>
      </c>
      <c r="M52" s="861">
        <v>137.63999999999999</v>
      </c>
      <c r="N52" s="861">
        <v>194.99</v>
      </c>
      <c r="O52" s="861">
        <v>114.7</v>
      </c>
      <c r="P52" s="861">
        <v>149.10999999999999</v>
      </c>
      <c r="Q52" s="861">
        <v>137.63999999999999</v>
      </c>
      <c r="R52" s="861">
        <v>68.820000000000007</v>
      </c>
      <c r="S52" s="861">
        <v>103.22999999999999</v>
      </c>
      <c r="T52" s="861">
        <f>SUM(H52:S52)</f>
        <v>1823.7299999999998</v>
      </c>
      <c r="U52" s="861"/>
      <c r="V52" s="861">
        <f t="shared" si="18"/>
        <v>7</v>
      </c>
      <c r="W52" s="861">
        <f t="shared" si="18"/>
        <v>19.999999999999996</v>
      </c>
      <c r="X52" s="861">
        <f t="shared" si="18"/>
        <v>22</v>
      </c>
      <c r="Y52" s="861">
        <f t="shared" si="18"/>
        <v>21.999999999999996</v>
      </c>
      <c r="Z52" s="861">
        <f t="shared" si="18"/>
        <v>9</v>
      </c>
      <c r="AA52" s="861">
        <f t="shared" si="18"/>
        <v>11.999999999999998</v>
      </c>
      <c r="AB52" s="861">
        <f t="shared" si="18"/>
        <v>17</v>
      </c>
      <c r="AC52" s="861">
        <f t="shared" si="18"/>
        <v>10</v>
      </c>
      <c r="AD52" s="861">
        <f t="shared" si="18"/>
        <v>12.999999999999998</v>
      </c>
      <c r="AE52" s="861">
        <f t="shared" si="18"/>
        <v>11.999999999999998</v>
      </c>
      <c r="AF52" s="861">
        <f t="shared" si="18"/>
        <v>6</v>
      </c>
      <c r="AG52" s="861">
        <f t="shared" si="18"/>
        <v>8.9999999999999982</v>
      </c>
      <c r="AH52" s="861">
        <f>AVERAGE(V52:AG52)</f>
        <v>13.25</v>
      </c>
      <c r="AK52" s="936">
        <f ca="1">+E52*$AL$2</f>
        <v>0.79051633898527907</v>
      </c>
      <c r="AL52" s="861">
        <f>+AH52*12</f>
        <v>159</v>
      </c>
      <c r="AM52" s="861">
        <v>22</v>
      </c>
      <c r="AN52" s="863">
        <f>+AL52+AM52</f>
        <v>181</v>
      </c>
      <c r="AO52" s="936">
        <f ca="1">+AN52*AK52</f>
        <v>143.08345735633551</v>
      </c>
      <c r="AP52" s="936">
        <f ca="1">+E52+AK52</f>
        <v>12.26051633898528</v>
      </c>
      <c r="AQ52" s="936">
        <f ca="1">+AP52*12*AH52</f>
        <v>1949.4220978986593</v>
      </c>
      <c r="AS52" s="936">
        <f>+IFERROR(VLOOKUP(C52,'Rural - Price Out '!$C:$F,4,FALSE),0)</f>
        <v>0</v>
      </c>
      <c r="AT52" s="909">
        <f ca="1">+AP52-AS52</f>
        <v>12.26051633898528</v>
      </c>
    </row>
    <row r="53" spans="1:46" ht="15.75" customHeight="1">
      <c r="C53" s="709"/>
      <c r="D53" s="709"/>
      <c r="E53" s="859"/>
      <c r="F53" s="859"/>
      <c r="G53" s="860"/>
      <c r="H53" s="862"/>
      <c r="I53" s="861"/>
      <c r="J53" s="861"/>
      <c r="V53" s="865"/>
      <c r="W53" s="865"/>
      <c r="X53" s="865"/>
      <c r="Y53" s="865"/>
      <c r="Z53" s="865"/>
      <c r="AA53" s="865"/>
      <c r="AB53" s="865"/>
      <c r="AC53" s="865"/>
      <c r="AD53" s="865"/>
      <c r="AE53" s="865"/>
      <c r="AF53" s="865"/>
      <c r="AG53" s="865"/>
      <c r="AH53" s="865"/>
      <c r="AK53" s="937"/>
      <c r="AL53" s="866"/>
      <c r="AM53" s="866"/>
      <c r="AN53" s="866"/>
      <c r="AO53" s="937"/>
      <c r="AP53" s="937"/>
    </row>
    <row r="54" spans="1:46">
      <c r="B54" s="841">
        <f>COUNTIF(C:C,C54)</f>
        <v>0</v>
      </c>
      <c r="C54" s="868"/>
      <c r="D54" s="869" t="s">
        <v>2042</v>
      </c>
      <c r="E54" s="859">
        <v>0</v>
      </c>
      <c r="F54" s="859"/>
      <c r="G54" s="860"/>
      <c r="H54" s="870">
        <f t="shared" ref="H54:T54" si="20">SUM(H50:H53)</f>
        <v>365993.55499999993</v>
      </c>
      <c r="I54" s="870">
        <f t="shared" si="20"/>
        <v>367811.42000000004</v>
      </c>
      <c r="J54" s="870">
        <f t="shared" si="20"/>
        <v>339505.5</v>
      </c>
      <c r="K54" s="870">
        <f t="shared" si="20"/>
        <v>305739.13500000001</v>
      </c>
      <c r="L54" s="870">
        <f t="shared" si="20"/>
        <v>305316.62999999989</v>
      </c>
      <c r="M54" s="870">
        <f t="shared" si="20"/>
        <v>317143.34499999997</v>
      </c>
      <c r="N54" s="870">
        <f t="shared" si="20"/>
        <v>316665.55499999988</v>
      </c>
      <c r="O54" s="870">
        <f t="shared" si="20"/>
        <v>316894.58500000002</v>
      </c>
      <c r="P54" s="870">
        <f t="shared" si="20"/>
        <v>316801.66499999998</v>
      </c>
      <c r="Q54" s="870">
        <f t="shared" si="20"/>
        <v>316914.91000000009</v>
      </c>
      <c r="R54" s="870">
        <f t="shared" si="20"/>
        <v>317989.60499999992</v>
      </c>
      <c r="S54" s="870">
        <f t="shared" si="20"/>
        <v>318881.25000000006</v>
      </c>
      <c r="T54" s="871">
        <f t="shared" si="20"/>
        <v>3905657.1549999989</v>
      </c>
      <c r="U54" s="876">
        <f>T54-SUM(H54:S54)</f>
        <v>0</v>
      </c>
      <c r="V54" s="872">
        <f t="shared" ref="V54:AH54" si="21">SUM(V50:V51)</f>
        <v>50242.023580586079</v>
      </c>
      <c r="W54" s="872">
        <f t="shared" si="21"/>
        <v>50471.454212454213</v>
      </c>
      <c r="X54" s="872">
        <f t="shared" si="21"/>
        <v>54254.621462068957</v>
      </c>
      <c r="Y54" s="872">
        <f t="shared" si="21"/>
        <v>48854.997599999995</v>
      </c>
      <c r="Z54" s="872">
        <f t="shared" si="21"/>
        <v>48810.544662068954</v>
      </c>
      <c r="AA54" s="872">
        <f t="shared" si="21"/>
        <v>50696.778399999988</v>
      </c>
      <c r="AB54" s="872">
        <f t="shared" si="21"/>
        <v>50611.186234482746</v>
      </c>
      <c r="AC54" s="872">
        <f t="shared" si="21"/>
        <v>50661.930841379311</v>
      </c>
      <c r="AD54" s="872">
        <f t="shared" si="21"/>
        <v>50641.322234482759</v>
      </c>
      <c r="AE54" s="872">
        <f t="shared" si="21"/>
        <v>50661.963200000013</v>
      </c>
      <c r="AF54" s="872">
        <f t="shared" si="21"/>
        <v>50844.36559999999</v>
      </c>
      <c r="AG54" s="872">
        <f t="shared" si="21"/>
        <v>50981.958731034494</v>
      </c>
      <c r="AH54" s="872">
        <f t="shared" si="21"/>
        <v>50644.428896546451</v>
      </c>
      <c r="AK54" s="937"/>
      <c r="AL54" s="872">
        <f>SUM(AL50:AL53)</f>
        <v>607892.14675855741</v>
      </c>
      <c r="AM54" s="872">
        <f>SUM(AM50:AM52)</f>
        <v>58269.788865871684</v>
      </c>
      <c r="AN54" s="872">
        <f>SUM(AN50:AN52)</f>
        <v>666161.93562442914</v>
      </c>
      <c r="AO54" s="940">
        <f ca="1">SUM(AO50:AO52)</f>
        <v>287154.30237138271</v>
      </c>
      <c r="AP54" s="937"/>
      <c r="AQ54" s="872">
        <f ca="1">SUM(AQ50:AQ52)</f>
        <v>4689917.2027230859</v>
      </c>
    </row>
    <row r="55" spans="1:46">
      <c r="B55" s="841">
        <f>COUNTIF(C:C,C55)</f>
        <v>0</v>
      </c>
      <c r="C55" s="868"/>
      <c r="D55" s="869"/>
      <c r="E55" s="859">
        <v>0</v>
      </c>
      <c r="F55" s="859"/>
      <c r="G55" s="860"/>
      <c r="H55" s="873"/>
      <c r="I55" s="877"/>
      <c r="J55" s="877"/>
      <c r="K55" s="878"/>
      <c r="L55" s="878"/>
      <c r="M55" s="878"/>
      <c r="N55" s="878"/>
      <c r="O55" s="878"/>
      <c r="P55" s="878"/>
      <c r="Q55" s="878"/>
      <c r="R55" s="878"/>
      <c r="S55" s="878"/>
      <c r="T55" s="878"/>
      <c r="V55" s="865">
        <f t="shared" ref="V55:AG58" si="22">IFERROR(H55/$E55,0)</f>
        <v>0</v>
      </c>
      <c r="W55" s="865">
        <f t="shared" si="22"/>
        <v>0</v>
      </c>
      <c r="X55" s="865">
        <f t="shared" si="22"/>
        <v>0</v>
      </c>
      <c r="Y55" s="865">
        <f t="shared" si="22"/>
        <v>0</v>
      </c>
      <c r="Z55" s="865">
        <f t="shared" si="22"/>
        <v>0</v>
      </c>
      <c r="AA55" s="865">
        <f t="shared" si="22"/>
        <v>0</v>
      </c>
      <c r="AB55" s="865">
        <f t="shared" si="22"/>
        <v>0</v>
      </c>
      <c r="AC55" s="865">
        <f t="shared" si="22"/>
        <v>0</v>
      </c>
      <c r="AD55" s="865">
        <f t="shared" si="22"/>
        <v>0</v>
      </c>
      <c r="AE55" s="865">
        <f t="shared" si="22"/>
        <v>0</v>
      </c>
      <c r="AF55" s="865">
        <f t="shared" si="22"/>
        <v>0</v>
      </c>
      <c r="AG55" s="865">
        <f t="shared" si="22"/>
        <v>0</v>
      </c>
      <c r="AH55" s="865">
        <f>AVERAGE(V55:AG55)</f>
        <v>0</v>
      </c>
      <c r="AK55" s="937"/>
      <c r="AO55" s="937"/>
      <c r="AP55" s="937"/>
    </row>
    <row r="56" spans="1:46" s="840" customFormat="1">
      <c r="B56" s="840">
        <f>COUNTIF(C:C,C56)</f>
        <v>1</v>
      </c>
      <c r="C56" s="875" t="s">
        <v>2043</v>
      </c>
      <c r="D56" s="875" t="s">
        <v>2043</v>
      </c>
      <c r="E56" s="859">
        <v>0</v>
      </c>
      <c r="F56" s="859"/>
      <c r="G56" s="860"/>
      <c r="H56" s="873"/>
      <c r="I56" s="861"/>
      <c r="J56" s="861"/>
      <c r="V56" s="861">
        <f t="shared" si="22"/>
        <v>0</v>
      </c>
      <c r="W56" s="861">
        <f t="shared" si="22"/>
        <v>0</v>
      </c>
      <c r="X56" s="861">
        <f t="shared" si="22"/>
        <v>0</v>
      </c>
      <c r="Y56" s="861">
        <f t="shared" si="22"/>
        <v>0</v>
      </c>
      <c r="Z56" s="861">
        <f t="shared" si="22"/>
        <v>0</v>
      </c>
      <c r="AA56" s="861">
        <f t="shared" si="22"/>
        <v>0</v>
      </c>
      <c r="AB56" s="861">
        <f t="shared" si="22"/>
        <v>0</v>
      </c>
      <c r="AC56" s="861">
        <f t="shared" si="22"/>
        <v>0</v>
      </c>
      <c r="AD56" s="861">
        <f t="shared" si="22"/>
        <v>0</v>
      </c>
      <c r="AE56" s="861">
        <f t="shared" si="22"/>
        <v>0</v>
      </c>
      <c r="AF56" s="861">
        <f t="shared" si="22"/>
        <v>0</v>
      </c>
      <c r="AG56" s="861">
        <f t="shared" si="22"/>
        <v>0</v>
      </c>
      <c r="AH56" s="861">
        <f>AVERAGE(V56:AG56)</f>
        <v>0</v>
      </c>
      <c r="AJ56" s="709"/>
      <c r="AK56" s="936"/>
      <c r="AO56" s="936"/>
      <c r="AP56" s="936"/>
      <c r="AS56" s="936"/>
    </row>
    <row r="57" spans="1:46" s="840" customFormat="1" ht="11.25" customHeight="1">
      <c r="A57" s="840" t="str">
        <f>$A$1&amp;"Residential"&amp;C57</f>
        <v>PacificResidentialGWRES</v>
      </c>
      <c r="B57" s="840">
        <f>COUNTIF(C:C,C57)</f>
        <v>1</v>
      </c>
      <c r="C57" s="859" t="s">
        <v>2044</v>
      </c>
      <c r="D57" s="859" t="s">
        <v>2045</v>
      </c>
      <c r="E57" s="859">
        <v>7.6</v>
      </c>
      <c r="F57" s="859"/>
      <c r="G57" s="860"/>
      <c r="H57" s="861">
        <v>146105.64499999999</v>
      </c>
      <c r="I57" s="861">
        <v>149763.03499999997</v>
      </c>
      <c r="J57" s="861">
        <v>150210.32499999998</v>
      </c>
      <c r="K57" s="861">
        <v>151334.96999999997</v>
      </c>
      <c r="L57" s="861">
        <v>150921.82999999996</v>
      </c>
      <c r="M57" s="861">
        <v>150776.51000000004</v>
      </c>
      <c r="N57" s="861">
        <v>149972.34500000003</v>
      </c>
      <c r="O57" s="861">
        <v>149107.19500000001</v>
      </c>
      <c r="P57" s="861">
        <v>147763.22500000003</v>
      </c>
      <c r="Q57" s="861">
        <v>147237.4</v>
      </c>
      <c r="R57" s="861">
        <v>148173.54499999998</v>
      </c>
      <c r="S57" s="861">
        <v>149716.11499999996</v>
      </c>
      <c r="T57" s="861">
        <f>SUM(H57:S57)</f>
        <v>1791082.14</v>
      </c>
      <c r="U57" s="861"/>
      <c r="V57" s="861">
        <f t="shared" si="22"/>
        <v>19224.426973684211</v>
      </c>
      <c r="W57" s="861">
        <f t="shared" si="22"/>
        <v>19705.662499999999</v>
      </c>
      <c r="X57" s="861">
        <f t="shared" si="22"/>
        <v>19764.51644736842</v>
      </c>
      <c r="Y57" s="861">
        <f t="shared" si="22"/>
        <v>19912.496052631577</v>
      </c>
      <c r="Z57" s="861">
        <f t="shared" si="22"/>
        <v>19858.135526315786</v>
      </c>
      <c r="AA57" s="861">
        <f t="shared" si="22"/>
        <v>19839.014473684216</v>
      </c>
      <c r="AB57" s="861">
        <f t="shared" si="22"/>
        <v>19733.203289473688</v>
      </c>
      <c r="AC57" s="861">
        <f t="shared" si="22"/>
        <v>19619.367763157898</v>
      </c>
      <c r="AD57" s="861">
        <f t="shared" si="22"/>
        <v>19442.529605263164</v>
      </c>
      <c r="AE57" s="861">
        <f t="shared" si="22"/>
        <v>19373.342105263157</v>
      </c>
      <c r="AF57" s="861">
        <f t="shared" si="22"/>
        <v>19496.519078947367</v>
      </c>
      <c r="AG57" s="861">
        <f t="shared" si="22"/>
        <v>19699.488815789471</v>
      </c>
      <c r="AH57" s="861">
        <f>AVERAGE(V57:AG57)</f>
        <v>19639.058552631581</v>
      </c>
      <c r="AJ57" s="709"/>
      <c r="AK57" s="936">
        <f ca="1">+E57*$AL$3</f>
        <v>0.10073201359492034</v>
      </c>
      <c r="AL57" s="861">
        <f>+AH57*12</f>
        <v>235668.70263157896</v>
      </c>
      <c r="AM57" s="861">
        <v>6157.3428701180746</v>
      </c>
      <c r="AN57" s="863">
        <f>+AL57+AM57</f>
        <v>241826.04550169702</v>
      </c>
      <c r="AO57" s="936">
        <f ca="1">+AN57*AK57</f>
        <v>24359.62450308277</v>
      </c>
      <c r="AP57" s="936">
        <f ca="1">+E57+AK57</f>
        <v>7.7007320135949202</v>
      </c>
      <c r="AQ57" s="936">
        <f ca="1">+AP57*12*AH57</f>
        <v>1814821.5229573816</v>
      </c>
      <c r="AS57" s="936">
        <f>+IFERROR(VLOOKUP(C57,'Rural - Price Out '!$C:$F,3,FALSE),0)</f>
        <v>11.01</v>
      </c>
      <c r="AT57" s="909">
        <f ca="1">+AP57-AS57</f>
        <v>-3.3092679864050796</v>
      </c>
    </row>
    <row r="58" spans="1:46" s="840" customFormat="1">
      <c r="A58" s="840" t="str">
        <f>$A$1&amp;"Residential"&amp;C58</f>
        <v>PacificResidentialEXTRAGWC-RES</v>
      </c>
      <c r="B58" s="840">
        <f>COUNTIF(C:C,C58)</f>
        <v>1</v>
      </c>
      <c r="C58" s="859" t="s">
        <v>2046</v>
      </c>
      <c r="D58" s="859" t="s">
        <v>2047</v>
      </c>
      <c r="E58" s="859">
        <v>2.25</v>
      </c>
      <c r="F58" s="859"/>
      <c r="G58" s="860"/>
      <c r="H58" s="861">
        <v>135</v>
      </c>
      <c r="I58" s="861">
        <v>139.5</v>
      </c>
      <c r="J58" s="861">
        <v>164.25</v>
      </c>
      <c r="K58" s="861">
        <v>85.5</v>
      </c>
      <c r="L58" s="861">
        <v>83.25</v>
      </c>
      <c r="M58" s="861">
        <v>137.25</v>
      </c>
      <c r="N58" s="861">
        <v>526.5</v>
      </c>
      <c r="O58" s="861">
        <v>119.25</v>
      </c>
      <c r="P58" s="861">
        <v>324</v>
      </c>
      <c r="Q58" s="861">
        <v>54</v>
      </c>
      <c r="R58" s="861">
        <v>279</v>
      </c>
      <c r="S58" s="861">
        <v>218.25</v>
      </c>
      <c r="T58" s="861">
        <f>SUM(H58:S58)</f>
        <v>2265.75</v>
      </c>
      <c r="U58" s="861"/>
      <c r="V58" s="861">
        <f t="shared" si="22"/>
        <v>60</v>
      </c>
      <c r="W58" s="861">
        <f t="shared" si="22"/>
        <v>62</v>
      </c>
      <c r="X58" s="861">
        <f t="shared" si="22"/>
        <v>73</v>
      </c>
      <c r="Y58" s="861">
        <f t="shared" si="22"/>
        <v>38</v>
      </c>
      <c r="Z58" s="861">
        <f t="shared" si="22"/>
        <v>37</v>
      </c>
      <c r="AA58" s="861">
        <f t="shared" si="22"/>
        <v>61</v>
      </c>
      <c r="AB58" s="861">
        <f t="shared" si="22"/>
        <v>234</v>
      </c>
      <c r="AC58" s="861">
        <f t="shared" si="22"/>
        <v>53</v>
      </c>
      <c r="AD58" s="861">
        <f t="shared" si="22"/>
        <v>144</v>
      </c>
      <c r="AE58" s="861">
        <f t="shared" si="22"/>
        <v>24</v>
      </c>
      <c r="AF58" s="861">
        <f t="shared" si="22"/>
        <v>124</v>
      </c>
      <c r="AG58" s="861">
        <f t="shared" si="22"/>
        <v>97</v>
      </c>
      <c r="AH58" s="861">
        <f>AVERAGE(V58:AG58)</f>
        <v>83.916666666666671</v>
      </c>
      <c r="AJ58" s="709"/>
      <c r="AK58" s="936">
        <f ca="1">+E58*$AL$3</f>
        <v>2.9821977709022472E-2</v>
      </c>
      <c r="AL58" s="861">
        <f>+AH58*12</f>
        <v>1007</v>
      </c>
      <c r="AM58" s="861">
        <v>9</v>
      </c>
      <c r="AN58" s="863">
        <f>+AL58+AM58</f>
        <v>1016</v>
      </c>
      <c r="AO58" s="936">
        <f ca="1">+AN58*AK58</f>
        <v>30.299129352366833</v>
      </c>
      <c r="AP58" s="936">
        <f ca="1">+E58+AK58</f>
        <v>2.2798219777090223</v>
      </c>
      <c r="AQ58" s="936">
        <f ca="1">+AP58*12*AH58</f>
        <v>2295.7807315529853</v>
      </c>
      <c r="AS58" s="936">
        <f>+IFERROR(VLOOKUP(C58,'Rural - Price Out '!$C:$F,3,FALSE),0)</f>
        <v>3.1</v>
      </c>
      <c r="AT58" s="909">
        <f ca="1">+AP58-AS58</f>
        <v>-0.8201780222909778</v>
      </c>
    </row>
    <row r="59" spans="1:46">
      <c r="C59" s="709"/>
      <c r="D59" s="868"/>
      <c r="E59" s="859"/>
      <c r="F59" s="859"/>
      <c r="G59" s="862"/>
      <c r="H59" s="862"/>
      <c r="I59" s="861"/>
      <c r="J59" s="861"/>
      <c r="V59" s="865"/>
      <c r="W59" s="865"/>
      <c r="X59" s="865"/>
      <c r="Y59" s="865"/>
      <c r="Z59" s="865"/>
      <c r="AA59" s="865"/>
      <c r="AB59" s="865"/>
      <c r="AC59" s="865"/>
      <c r="AD59" s="865"/>
      <c r="AE59" s="865"/>
      <c r="AF59" s="865"/>
      <c r="AG59" s="865"/>
      <c r="AH59" s="865"/>
      <c r="AK59" s="937"/>
      <c r="AL59" s="865"/>
      <c r="AM59" s="865"/>
      <c r="AN59" s="843"/>
      <c r="AO59" s="937"/>
      <c r="AP59" s="937"/>
    </row>
    <row r="60" spans="1:46">
      <c r="B60" s="841">
        <f>COUNTIF(C:C,C60)</f>
        <v>0</v>
      </c>
      <c r="C60" s="868"/>
      <c r="D60" s="869" t="s">
        <v>2048</v>
      </c>
      <c r="E60" s="859">
        <v>0</v>
      </c>
      <c r="F60" s="859"/>
      <c r="G60" s="879"/>
      <c r="H60" s="870">
        <f t="shared" ref="H60:T60" si="23">SUM(H57:H59)</f>
        <v>146240.64499999999</v>
      </c>
      <c r="I60" s="870">
        <f t="shared" si="23"/>
        <v>149902.53499999997</v>
      </c>
      <c r="J60" s="870">
        <f t="shared" si="23"/>
        <v>150374.57499999998</v>
      </c>
      <c r="K60" s="870">
        <f t="shared" si="23"/>
        <v>151420.46999999997</v>
      </c>
      <c r="L60" s="870">
        <f t="shared" si="23"/>
        <v>151005.07999999996</v>
      </c>
      <c r="M60" s="870">
        <f t="shared" si="23"/>
        <v>150913.76000000004</v>
      </c>
      <c r="N60" s="870">
        <f t="shared" si="23"/>
        <v>150498.84500000003</v>
      </c>
      <c r="O60" s="870">
        <f t="shared" si="23"/>
        <v>149226.44500000001</v>
      </c>
      <c r="P60" s="870">
        <f t="shared" si="23"/>
        <v>148087.22500000003</v>
      </c>
      <c r="Q60" s="870">
        <f t="shared" si="23"/>
        <v>147291.4</v>
      </c>
      <c r="R60" s="870">
        <f t="shared" si="23"/>
        <v>148452.54499999998</v>
      </c>
      <c r="S60" s="870">
        <f t="shared" si="23"/>
        <v>149934.36499999996</v>
      </c>
      <c r="T60" s="871">
        <f t="shared" si="23"/>
        <v>1793347.89</v>
      </c>
      <c r="U60" s="876">
        <f>T60-SUM(H60:S60)</f>
        <v>0</v>
      </c>
      <c r="V60" s="872">
        <f>SUM(V57)</f>
        <v>19224.426973684211</v>
      </c>
      <c r="W60" s="872">
        <f t="shared" ref="W60:AH60" si="24">SUM(W57)</f>
        <v>19705.662499999999</v>
      </c>
      <c r="X60" s="872">
        <f t="shared" si="24"/>
        <v>19764.51644736842</v>
      </c>
      <c r="Y60" s="872">
        <f t="shared" si="24"/>
        <v>19912.496052631577</v>
      </c>
      <c r="Z60" s="872">
        <f t="shared" si="24"/>
        <v>19858.135526315786</v>
      </c>
      <c r="AA60" s="872">
        <f t="shared" si="24"/>
        <v>19839.014473684216</v>
      </c>
      <c r="AB60" s="872">
        <f t="shared" si="24"/>
        <v>19733.203289473688</v>
      </c>
      <c r="AC60" s="872">
        <f t="shared" si="24"/>
        <v>19619.367763157898</v>
      </c>
      <c r="AD60" s="872">
        <f t="shared" si="24"/>
        <v>19442.529605263164</v>
      </c>
      <c r="AE60" s="872">
        <f t="shared" si="24"/>
        <v>19373.342105263157</v>
      </c>
      <c r="AF60" s="872">
        <f t="shared" si="24"/>
        <v>19496.519078947367</v>
      </c>
      <c r="AG60" s="872">
        <f t="shared" si="24"/>
        <v>19699.488815789471</v>
      </c>
      <c r="AH60" s="872">
        <f t="shared" si="24"/>
        <v>19639.058552631581</v>
      </c>
      <c r="AK60" s="937"/>
      <c r="AL60" s="872">
        <f>SUM(AL57:AL58)</f>
        <v>236675.70263157896</v>
      </c>
      <c r="AM60" s="872">
        <f>SUM(AM57:AM58)</f>
        <v>6166.3428701180746</v>
      </c>
      <c r="AN60" s="872">
        <f>SUM(AN57:AN58)</f>
        <v>242842.04550169702</v>
      </c>
      <c r="AO60" s="940">
        <f ca="1">SUM(AO57:AO58)</f>
        <v>24389.923632435137</v>
      </c>
      <c r="AP60" s="937"/>
      <c r="AQ60" s="872">
        <f ca="1">SUM(AQ57:AQ58)</f>
        <v>1817117.3036889345</v>
      </c>
    </row>
    <row r="61" spans="1:46">
      <c r="C61" s="868"/>
      <c r="D61" s="869"/>
      <c r="E61" s="859"/>
      <c r="F61" s="859"/>
      <c r="G61" s="879"/>
      <c r="H61" s="873"/>
      <c r="I61" s="861"/>
      <c r="J61" s="861"/>
      <c r="V61" s="865"/>
      <c r="W61" s="865"/>
      <c r="X61" s="865"/>
      <c r="Y61" s="865"/>
      <c r="Z61" s="865"/>
      <c r="AA61" s="865"/>
      <c r="AB61" s="865"/>
      <c r="AC61" s="865"/>
      <c r="AD61" s="865"/>
      <c r="AE61" s="865"/>
      <c r="AF61" s="865"/>
      <c r="AG61" s="865"/>
      <c r="AH61" s="865"/>
      <c r="AK61" s="937"/>
      <c r="AO61" s="937"/>
      <c r="AP61" s="937"/>
    </row>
    <row r="62" spans="1:46">
      <c r="B62" s="841">
        <f>COUNTIF(C:C,C62)</f>
        <v>1</v>
      </c>
      <c r="C62" s="855" t="s">
        <v>2049</v>
      </c>
      <c r="D62" s="855" t="s">
        <v>2049</v>
      </c>
      <c r="E62" s="859">
        <v>0</v>
      </c>
      <c r="F62" s="859"/>
      <c r="G62" s="880"/>
      <c r="H62" s="856"/>
      <c r="V62" s="865"/>
      <c r="W62" s="865"/>
      <c r="X62" s="865"/>
      <c r="Y62" s="865"/>
      <c r="Z62" s="865"/>
      <c r="AA62" s="865"/>
      <c r="AB62" s="865"/>
      <c r="AC62" s="865"/>
      <c r="AD62" s="865"/>
      <c r="AE62" s="865"/>
      <c r="AF62" s="865"/>
      <c r="AG62" s="865"/>
      <c r="AH62" s="865"/>
      <c r="AK62" s="937"/>
      <c r="AO62" s="937"/>
      <c r="AP62" s="937"/>
    </row>
    <row r="63" spans="1:46">
      <c r="C63" s="855"/>
      <c r="D63" s="855"/>
      <c r="E63" s="859"/>
      <c r="F63" s="859"/>
      <c r="G63" s="880"/>
      <c r="H63" s="881"/>
      <c r="I63" s="868"/>
      <c r="J63" s="868"/>
      <c r="K63" s="882"/>
      <c r="L63" s="878"/>
      <c r="M63" s="878"/>
      <c r="N63" s="878"/>
      <c r="O63" s="878"/>
      <c r="P63" s="878"/>
      <c r="Q63" s="878"/>
      <c r="R63" s="878"/>
      <c r="S63" s="878"/>
      <c r="T63" s="878"/>
      <c r="V63" s="865"/>
      <c r="W63" s="865"/>
      <c r="X63" s="865"/>
      <c r="Y63" s="865"/>
      <c r="Z63" s="865"/>
      <c r="AA63" s="865"/>
      <c r="AB63" s="865"/>
      <c r="AC63" s="865"/>
      <c r="AD63" s="865"/>
      <c r="AE63" s="865"/>
      <c r="AF63" s="865"/>
      <c r="AG63" s="865"/>
      <c r="AH63" s="865"/>
      <c r="AK63" s="937"/>
      <c r="AO63" s="937"/>
      <c r="AP63" s="937"/>
    </row>
    <row r="64" spans="1:46">
      <c r="B64" s="841">
        <f t="shared" ref="B64:B95" si="25">COUNTIF(C:C,C64)</f>
        <v>1</v>
      </c>
      <c r="C64" s="858" t="s">
        <v>2050</v>
      </c>
      <c r="D64" s="858" t="s">
        <v>2050</v>
      </c>
      <c r="E64" s="859">
        <v>0</v>
      </c>
      <c r="F64" s="859"/>
      <c r="G64" s="880"/>
      <c r="H64" s="856"/>
      <c r="V64" s="865"/>
      <c r="W64" s="865"/>
      <c r="X64" s="865"/>
      <c r="Y64" s="865"/>
      <c r="Z64" s="865"/>
      <c r="AA64" s="865"/>
      <c r="AB64" s="865"/>
      <c r="AC64" s="865"/>
      <c r="AD64" s="865"/>
      <c r="AE64" s="865"/>
      <c r="AF64" s="865"/>
      <c r="AG64" s="865"/>
      <c r="AH64" s="865"/>
      <c r="AK64" s="937"/>
      <c r="AO64" s="937"/>
      <c r="AP64" s="937"/>
    </row>
    <row r="65" spans="1:46" s="840" customFormat="1">
      <c r="A65" s="840" t="str">
        <f t="shared" ref="A65:A128" si="26">$A$1&amp;"Commercial"&amp;C65</f>
        <v>PacificCommercialRL002.0Y5W001</v>
      </c>
      <c r="B65" s="840">
        <f t="shared" si="25"/>
        <v>1</v>
      </c>
      <c r="C65" s="859" t="s">
        <v>2051</v>
      </c>
      <c r="D65" s="859" t="s">
        <v>2052</v>
      </c>
      <c r="E65" s="859">
        <v>574.64</v>
      </c>
      <c r="F65" s="859"/>
      <c r="G65" s="860"/>
      <c r="H65" s="861">
        <v>1149.28</v>
      </c>
      <c r="I65" s="861">
        <v>1149.28</v>
      </c>
      <c r="J65" s="861">
        <v>1149.28</v>
      </c>
      <c r="K65" s="861">
        <v>1149.28</v>
      </c>
      <c r="L65" s="861">
        <v>1149.28</v>
      </c>
      <c r="M65" s="861">
        <v>1149.28</v>
      </c>
      <c r="N65" s="861">
        <v>1149.28</v>
      </c>
      <c r="O65" s="861">
        <v>1149.28</v>
      </c>
      <c r="P65" s="861">
        <v>1149.28</v>
      </c>
      <c r="Q65" s="861">
        <v>1149.28</v>
      </c>
      <c r="R65" s="861">
        <v>1149.28</v>
      </c>
      <c r="S65" s="861">
        <v>1149.28</v>
      </c>
      <c r="T65" s="861">
        <f t="shared" ref="T65:T96" si="27">SUM(H65:S65)</f>
        <v>13791.360000000002</v>
      </c>
      <c r="U65" s="861"/>
      <c r="V65" s="861">
        <f t="shared" ref="V65:AG86" si="28">IFERROR(H65/$E65,0)</f>
        <v>2</v>
      </c>
      <c r="W65" s="861">
        <f t="shared" si="28"/>
        <v>2</v>
      </c>
      <c r="X65" s="861">
        <f t="shared" si="28"/>
        <v>2</v>
      </c>
      <c r="Y65" s="861">
        <f t="shared" si="28"/>
        <v>2</v>
      </c>
      <c r="Z65" s="861">
        <f t="shared" si="28"/>
        <v>2</v>
      </c>
      <c r="AA65" s="861">
        <f t="shared" si="28"/>
        <v>2</v>
      </c>
      <c r="AB65" s="861">
        <f t="shared" si="28"/>
        <v>2</v>
      </c>
      <c r="AC65" s="861">
        <f t="shared" si="28"/>
        <v>2</v>
      </c>
      <c r="AD65" s="861">
        <f t="shared" si="28"/>
        <v>2</v>
      </c>
      <c r="AE65" s="861">
        <f t="shared" si="28"/>
        <v>2</v>
      </c>
      <c r="AF65" s="861">
        <f t="shared" si="28"/>
        <v>2</v>
      </c>
      <c r="AG65" s="861">
        <f t="shared" si="28"/>
        <v>2</v>
      </c>
      <c r="AH65" s="861">
        <f t="shared" ref="AH65:AH128" si="29">AVERAGE(V65:AG65)</f>
        <v>2</v>
      </c>
      <c r="AJ65" s="709"/>
      <c r="AK65" s="936">
        <f t="shared" ref="AK65:AK128" ca="1" si="30">+E65*$AN$1</f>
        <v>15.881396114975765</v>
      </c>
      <c r="AL65" s="861">
        <f t="shared" ref="AL65:AL128" si="31">+AH65*12</f>
        <v>24</v>
      </c>
      <c r="AM65" s="861">
        <v>0</v>
      </c>
      <c r="AN65" s="863">
        <f t="shared" ref="AN65:AN128" si="32">+AL65+AM65</f>
        <v>24</v>
      </c>
      <c r="AO65" s="936">
        <f t="shared" ref="AO65:AO96" ca="1" si="33">+AN65*AK65</f>
        <v>381.15350675941835</v>
      </c>
      <c r="AP65" s="936">
        <f t="shared" ref="AP65:AP96" ca="1" si="34">+E65+AK65</f>
        <v>590.5213961149758</v>
      </c>
      <c r="AQ65" s="936">
        <f t="shared" ref="AQ65:AQ96" ca="1" si="35">+AP65*12*AH65</f>
        <v>14172.51350675942</v>
      </c>
      <c r="AS65" s="936">
        <f>+IFERROR(VLOOKUP(C65,'Rural - Price Out '!$C:$F,3,FALSE),0)</f>
        <v>0</v>
      </c>
      <c r="AT65" s="909">
        <f t="shared" ref="AT65:AT96" ca="1" si="36">+AP65-AS65</f>
        <v>590.5213961149758</v>
      </c>
    </row>
    <row r="66" spans="1:46" s="840" customFormat="1">
      <c r="A66" s="840" t="str">
        <f t="shared" si="26"/>
        <v>PacificCommercialFL001.5YXX001TEMPC</v>
      </c>
      <c r="B66" s="840">
        <f t="shared" si="25"/>
        <v>1</v>
      </c>
      <c r="C66" s="859" t="s">
        <v>2053</v>
      </c>
      <c r="D66" s="859" t="s">
        <v>2054</v>
      </c>
      <c r="E66" s="859">
        <v>22.88</v>
      </c>
      <c r="F66" s="859"/>
      <c r="G66" s="860"/>
      <c r="H66" s="861">
        <v>0</v>
      </c>
      <c r="I66" s="861">
        <v>0</v>
      </c>
      <c r="J66" s="861">
        <v>0</v>
      </c>
      <c r="K66" s="861">
        <v>0</v>
      </c>
      <c r="L66" s="861">
        <v>137.28</v>
      </c>
      <c r="M66" s="861">
        <v>22.88</v>
      </c>
      <c r="N66" s="861">
        <v>0</v>
      </c>
      <c r="O66" s="861">
        <v>0</v>
      </c>
      <c r="P66" s="861">
        <v>0</v>
      </c>
      <c r="Q66" s="861">
        <v>0</v>
      </c>
      <c r="R66" s="861">
        <v>0</v>
      </c>
      <c r="S66" s="861">
        <v>0</v>
      </c>
      <c r="T66" s="861">
        <f t="shared" si="27"/>
        <v>160.16</v>
      </c>
      <c r="U66" s="861"/>
      <c r="V66" s="861">
        <f t="shared" si="28"/>
        <v>0</v>
      </c>
      <c r="W66" s="861">
        <f t="shared" si="28"/>
        <v>0</v>
      </c>
      <c r="X66" s="861">
        <f t="shared" si="28"/>
        <v>0</v>
      </c>
      <c r="Y66" s="861">
        <f t="shared" si="28"/>
        <v>0</v>
      </c>
      <c r="Z66" s="861">
        <f t="shared" si="28"/>
        <v>6</v>
      </c>
      <c r="AA66" s="861">
        <f t="shared" si="28"/>
        <v>1</v>
      </c>
      <c r="AB66" s="861">
        <f t="shared" si="28"/>
        <v>0</v>
      </c>
      <c r="AC66" s="861">
        <f t="shared" si="28"/>
        <v>0</v>
      </c>
      <c r="AD66" s="861">
        <f t="shared" si="28"/>
        <v>0</v>
      </c>
      <c r="AE66" s="861">
        <f t="shared" si="28"/>
        <v>0</v>
      </c>
      <c r="AF66" s="861">
        <f t="shared" si="28"/>
        <v>0</v>
      </c>
      <c r="AG66" s="861">
        <f t="shared" si="28"/>
        <v>0</v>
      </c>
      <c r="AH66" s="861">
        <f t="shared" si="29"/>
        <v>0.58333333333333337</v>
      </c>
      <c r="AJ66" s="709"/>
      <c r="AK66" s="936">
        <f t="shared" ca="1" si="30"/>
        <v>0.63233736445539035</v>
      </c>
      <c r="AL66" s="861">
        <f t="shared" si="31"/>
        <v>7</v>
      </c>
      <c r="AM66" s="861">
        <v>0</v>
      </c>
      <c r="AN66" s="863">
        <f t="shared" si="32"/>
        <v>7</v>
      </c>
      <c r="AO66" s="936">
        <f t="shared" ca="1" si="33"/>
        <v>4.4263615511877328</v>
      </c>
      <c r="AP66" s="936">
        <f t="shared" ca="1" si="34"/>
        <v>23.512337364455391</v>
      </c>
      <c r="AQ66" s="936">
        <f t="shared" ca="1" si="35"/>
        <v>164.58636155118774</v>
      </c>
      <c r="AS66" s="936">
        <f>+IFERROR(VLOOKUP(C66,'Rural - Price Out '!$C:$F,3,FALSE),0)</f>
        <v>0</v>
      </c>
      <c r="AT66" s="909">
        <f t="shared" ca="1" si="36"/>
        <v>23.512337364455391</v>
      </c>
    </row>
    <row r="67" spans="1:46" s="840" customFormat="1">
      <c r="A67" s="840" t="str">
        <f t="shared" si="26"/>
        <v>PacificCommercialFL001.0Y1W001</v>
      </c>
      <c r="B67" s="840">
        <f t="shared" si="25"/>
        <v>1</v>
      </c>
      <c r="C67" s="859" t="s">
        <v>2055</v>
      </c>
      <c r="D67" s="859" t="s">
        <v>2056</v>
      </c>
      <c r="E67" s="859">
        <v>80.36</v>
      </c>
      <c r="F67" s="859"/>
      <c r="G67" s="860"/>
      <c r="H67" s="861">
        <v>11443.260000000002</v>
      </c>
      <c r="I67" s="861">
        <v>11511.570000000002</v>
      </c>
      <c r="J67" s="861">
        <v>11463.350000000002</v>
      </c>
      <c r="K67" s="861">
        <v>11382.99</v>
      </c>
      <c r="L67" s="861">
        <v>11353.529999999999</v>
      </c>
      <c r="M67" s="861">
        <v>11314.689999999999</v>
      </c>
      <c r="N67" s="861">
        <v>11294.599999999999</v>
      </c>
      <c r="O67" s="861">
        <v>11270.49</v>
      </c>
      <c r="P67" s="861">
        <v>11278.53</v>
      </c>
      <c r="Q67" s="861">
        <v>11391.03</v>
      </c>
      <c r="R67" s="861">
        <v>11250.4</v>
      </c>
      <c r="S67" s="861">
        <v>11117.81</v>
      </c>
      <c r="T67" s="861">
        <f t="shared" si="27"/>
        <v>136072.25</v>
      </c>
      <c r="U67" s="861"/>
      <c r="V67" s="861">
        <f t="shared" si="28"/>
        <v>142.39995022399205</v>
      </c>
      <c r="W67" s="861">
        <f t="shared" si="28"/>
        <v>143.25000000000003</v>
      </c>
      <c r="X67" s="861">
        <f t="shared" si="28"/>
        <v>142.64995022399205</v>
      </c>
      <c r="Y67" s="861">
        <f t="shared" si="28"/>
        <v>141.64995022399202</v>
      </c>
      <c r="Z67" s="861">
        <f t="shared" si="28"/>
        <v>141.28334992533598</v>
      </c>
      <c r="AA67" s="861">
        <f t="shared" si="28"/>
        <v>140.80002488800397</v>
      </c>
      <c r="AB67" s="861">
        <f t="shared" si="28"/>
        <v>140.55002488800397</v>
      </c>
      <c r="AC67" s="861">
        <f t="shared" si="28"/>
        <v>140.25</v>
      </c>
      <c r="AD67" s="861">
        <f t="shared" si="28"/>
        <v>140.35004977600798</v>
      </c>
      <c r="AE67" s="861">
        <f t="shared" si="28"/>
        <v>141.75</v>
      </c>
      <c r="AF67" s="861">
        <f t="shared" si="28"/>
        <v>140</v>
      </c>
      <c r="AG67" s="861">
        <f t="shared" si="28"/>
        <v>138.35004977600795</v>
      </c>
      <c r="AH67" s="861">
        <f t="shared" si="29"/>
        <v>141.10694582711133</v>
      </c>
      <c r="AJ67" s="709"/>
      <c r="AK67" s="936">
        <f t="shared" ca="1" si="30"/>
        <v>2.2209191699141244</v>
      </c>
      <c r="AL67" s="861">
        <f t="shared" si="31"/>
        <v>1693.2833499253361</v>
      </c>
      <c r="AM67" s="861">
        <v>1123.4000767656091</v>
      </c>
      <c r="AN67" s="863">
        <f t="shared" si="32"/>
        <v>2816.6834266909455</v>
      </c>
      <c r="AO67" s="936">
        <f t="shared" ca="1" si="33"/>
        <v>6255.6262179173264</v>
      </c>
      <c r="AP67" s="936">
        <f t="shared" ca="1" si="34"/>
        <v>82.580919169914125</v>
      </c>
      <c r="AQ67" s="936">
        <f t="shared" ca="1" si="35"/>
        <v>139832.89545194557</v>
      </c>
      <c r="AS67" s="936">
        <f>+IFERROR(VLOOKUP(C67,'Rural - Price Out '!$C:$F,3,FALSE),0)</f>
        <v>78.16</v>
      </c>
      <c r="AT67" s="909">
        <f t="shared" ca="1" si="36"/>
        <v>4.4209191699141286</v>
      </c>
    </row>
    <row r="68" spans="1:46" s="840" customFormat="1">
      <c r="A68" s="840" t="str">
        <f t="shared" si="26"/>
        <v>PacificCommercialFL001.0Y2W001</v>
      </c>
      <c r="B68" s="840">
        <f t="shared" si="25"/>
        <v>1</v>
      </c>
      <c r="C68" s="859" t="s">
        <v>2057</v>
      </c>
      <c r="D68" s="859" t="s">
        <v>2058</v>
      </c>
      <c r="E68" s="859">
        <v>147.13</v>
      </c>
      <c r="F68" s="859"/>
      <c r="G68" s="860"/>
      <c r="H68" s="861">
        <v>147.13</v>
      </c>
      <c r="I68" s="861">
        <v>147.13</v>
      </c>
      <c r="J68" s="861">
        <v>147.13</v>
      </c>
      <c r="K68" s="861">
        <v>147.13</v>
      </c>
      <c r="L68" s="861">
        <v>147.13</v>
      </c>
      <c r="M68" s="861">
        <v>147.13</v>
      </c>
      <c r="N68" s="861">
        <v>147.13</v>
      </c>
      <c r="O68" s="861">
        <v>147.13</v>
      </c>
      <c r="P68" s="861">
        <v>147.13</v>
      </c>
      <c r="Q68" s="861">
        <v>183.91</v>
      </c>
      <c r="R68" s="861">
        <v>294.26</v>
      </c>
      <c r="S68" s="861">
        <v>228.87</v>
      </c>
      <c r="T68" s="861">
        <f t="shared" si="27"/>
        <v>2031.21</v>
      </c>
      <c r="U68" s="861"/>
      <c r="V68" s="861">
        <f t="shared" si="28"/>
        <v>1</v>
      </c>
      <c r="W68" s="861">
        <f t="shared" si="28"/>
        <v>1</v>
      </c>
      <c r="X68" s="861">
        <f t="shared" si="28"/>
        <v>1</v>
      </c>
      <c r="Y68" s="861">
        <f t="shared" si="28"/>
        <v>1</v>
      </c>
      <c r="Z68" s="861">
        <f t="shared" si="28"/>
        <v>1</v>
      </c>
      <c r="AA68" s="861">
        <f t="shared" si="28"/>
        <v>1</v>
      </c>
      <c r="AB68" s="861">
        <f t="shared" si="28"/>
        <v>1</v>
      </c>
      <c r="AC68" s="861">
        <f t="shared" si="28"/>
        <v>1</v>
      </c>
      <c r="AD68" s="861">
        <f t="shared" si="28"/>
        <v>1</v>
      </c>
      <c r="AE68" s="861">
        <f t="shared" si="28"/>
        <v>1.2499830082240195</v>
      </c>
      <c r="AF68" s="861">
        <f t="shared" si="28"/>
        <v>2</v>
      </c>
      <c r="AG68" s="861">
        <f t="shared" si="28"/>
        <v>1.5555631074559915</v>
      </c>
      <c r="AH68" s="861">
        <f t="shared" si="29"/>
        <v>1.1504621763066676</v>
      </c>
      <c r="AJ68" s="709"/>
      <c r="AK68" s="936">
        <f t="shared" ca="1" si="30"/>
        <v>4.0662498440699988</v>
      </c>
      <c r="AL68" s="861">
        <f t="shared" si="31"/>
        <v>13.805546115680011</v>
      </c>
      <c r="AM68" s="861">
        <v>0</v>
      </c>
      <c r="AN68" s="863">
        <f t="shared" si="32"/>
        <v>13.805546115680011</v>
      </c>
      <c r="AO68" s="936">
        <f t="shared" ca="1" si="33"/>
        <v>56.136799740185019</v>
      </c>
      <c r="AP68" s="936">
        <f t="shared" ca="1" si="34"/>
        <v>151.19624984407</v>
      </c>
      <c r="AQ68" s="936">
        <f t="shared" ca="1" si="35"/>
        <v>2087.3467997401849</v>
      </c>
      <c r="AS68" s="936">
        <f>+IFERROR(VLOOKUP(C68,'Rural - Price Out '!$C:$F,3,FALSE),0)</f>
        <v>0</v>
      </c>
      <c r="AT68" s="909">
        <f t="shared" ca="1" si="36"/>
        <v>151.19624984407</v>
      </c>
    </row>
    <row r="69" spans="1:46" s="840" customFormat="1">
      <c r="A69" s="840" t="str">
        <f t="shared" si="26"/>
        <v>PacificCommercialFL001.0Y3W001</v>
      </c>
      <c r="B69" s="840">
        <f t="shared" si="25"/>
        <v>1</v>
      </c>
      <c r="C69" s="859" t="s">
        <v>2059</v>
      </c>
      <c r="D69" s="859" t="s">
        <v>2060</v>
      </c>
      <c r="E69" s="859">
        <v>213.9</v>
      </c>
      <c r="F69" s="859"/>
      <c r="G69" s="860"/>
      <c r="H69" s="861">
        <v>213.9</v>
      </c>
      <c r="I69" s="861">
        <v>213.9</v>
      </c>
      <c r="J69" s="861">
        <v>213.9</v>
      </c>
      <c r="K69" s="861">
        <v>213.9</v>
      </c>
      <c r="L69" s="861">
        <v>213.9</v>
      </c>
      <c r="M69" s="861">
        <v>213.9</v>
      </c>
      <c r="N69" s="861">
        <v>213.9</v>
      </c>
      <c r="O69" s="861">
        <v>213.9</v>
      </c>
      <c r="P69" s="861">
        <v>213.9</v>
      </c>
      <c r="Q69" s="861">
        <v>213.9</v>
      </c>
      <c r="R69" s="861">
        <v>213.9</v>
      </c>
      <c r="S69" s="861">
        <v>213.9</v>
      </c>
      <c r="T69" s="861">
        <f t="shared" si="27"/>
        <v>2566.8000000000006</v>
      </c>
      <c r="U69" s="861"/>
      <c r="V69" s="861">
        <f t="shared" si="28"/>
        <v>1</v>
      </c>
      <c r="W69" s="861">
        <f t="shared" si="28"/>
        <v>1</v>
      </c>
      <c r="X69" s="861">
        <f t="shared" si="28"/>
        <v>1</v>
      </c>
      <c r="Y69" s="861">
        <f t="shared" si="28"/>
        <v>1</v>
      </c>
      <c r="Z69" s="861">
        <f t="shared" si="28"/>
        <v>1</v>
      </c>
      <c r="AA69" s="861">
        <f t="shared" si="28"/>
        <v>1</v>
      </c>
      <c r="AB69" s="861">
        <f t="shared" si="28"/>
        <v>1</v>
      </c>
      <c r="AC69" s="861">
        <f t="shared" si="28"/>
        <v>1</v>
      </c>
      <c r="AD69" s="861">
        <f t="shared" si="28"/>
        <v>1</v>
      </c>
      <c r="AE69" s="861">
        <f t="shared" si="28"/>
        <v>1</v>
      </c>
      <c r="AF69" s="861">
        <f t="shared" si="28"/>
        <v>1</v>
      </c>
      <c r="AG69" s="861">
        <f t="shared" si="28"/>
        <v>1</v>
      </c>
      <c r="AH69" s="861">
        <f t="shared" si="29"/>
        <v>1</v>
      </c>
      <c r="AJ69" s="709"/>
      <c r="AK69" s="936">
        <f t="shared" ca="1" si="30"/>
        <v>5.9115805182258736</v>
      </c>
      <c r="AL69" s="861">
        <f t="shared" si="31"/>
        <v>12</v>
      </c>
      <c r="AM69" s="861">
        <v>0</v>
      </c>
      <c r="AN69" s="863">
        <f t="shared" si="32"/>
        <v>12</v>
      </c>
      <c r="AO69" s="936">
        <f t="shared" ca="1" si="33"/>
        <v>70.938966218710476</v>
      </c>
      <c r="AP69" s="936">
        <f t="shared" ca="1" si="34"/>
        <v>219.81158051822587</v>
      </c>
      <c r="AQ69" s="936">
        <f t="shared" ca="1" si="35"/>
        <v>2637.7389662187106</v>
      </c>
      <c r="AS69" s="936">
        <f>+IFERROR(VLOOKUP(C69,'Rural - Price Out '!$C:$F,3,FALSE),0)</f>
        <v>0</v>
      </c>
      <c r="AT69" s="909">
        <f t="shared" ca="1" si="36"/>
        <v>219.81158051822587</v>
      </c>
    </row>
    <row r="70" spans="1:46" s="840" customFormat="1">
      <c r="A70" s="840" t="str">
        <f t="shared" si="26"/>
        <v>PacificCommercialFL001.0YEO001</v>
      </c>
      <c r="B70" s="840">
        <f t="shared" si="25"/>
        <v>1</v>
      </c>
      <c r="C70" s="859" t="s">
        <v>2061</v>
      </c>
      <c r="D70" s="859" t="s">
        <v>2062</v>
      </c>
      <c r="E70" s="859">
        <v>0</v>
      </c>
      <c r="F70" s="859"/>
      <c r="G70" s="860"/>
      <c r="H70" s="861">
        <v>47.05</v>
      </c>
      <c r="I70" s="861">
        <v>47.05</v>
      </c>
      <c r="J70" s="861">
        <v>47.05</v>
      </c>
      <c r="K70" s="861">
        <v>47.05</v>
      </c>
      <c r="L70" s="861">
        <v>47.05</v>
      </c>
      <c r="M70" s="861">
        <v>47.05</v>
      </c>
      <c r="N70" s="861">
        <v>47.05</v>
      </c>
      <c r="O70" s="861">
        <v>47.05</v>
      </c>
      <c r="P70" s="861">
        <v>47.05</v>
      </c>
      <c r="Q70" s="861">
        <v>47.05</v>
      </c>
      <c r="R70" s="861">
        <v>47.05</v>
      </c>
      <c r="S70" s="861">
        <v>47.05</v>
      </c>
      <c r="T70" s="861">
        <f t="shared" si="27"/>
        <v>564.6</v>
      </c>
      <c r="U70" s="861"/>
      <c r="V70" s="861">
        <f t="shared" si="28"/>
        <v>0</v>
      </c>
      <c r="W70" s="861">
        <f t="shared" si="28"/>
        <v>0</v>
      </c>
      <c r="X70" s="861">
        <f t="shared" si="28"/>
        <v>0</v>
      </c>
      <c r="Y70" s="861">
        <f t="shared" si="28"/>
        <v>0</v>
      </c>
      <c r="Z70" s="861">
        <f t="shared" si="28"/>
        <v>0</v>
      </c>
      <c r="AA70" s="861">
        <f t="shared" si="28"/>
        <v>0</v>
      </c>
      <c r="AB70" s="861">
        <f t="shared" si="28"/>
        <v>0</v>
      </c>
      <c r="AC70" s="861">
        <f t="shared" si="28"/>
        <v>0</v>
      </c>
      <c r="AD70" s="861">
        <f t="shared" si="28"/>
        <v>0</v>
      </c>
      <c r="AE70" s="861">
        <f t="shared" si="28"/>
        <v>0</v>
      </c>
      <c r="AF70" s="861">
        <f t="shared" si="28"/>
        <v>0</v>
      </c>
      <c r="AG70" s="861">
        <f t="shared" si="28"/>
        <v>0</v>
      </c>
      <c r="AH70" s="861">
        <f t="shared" si="29"/>
        <v>0</v>
      </c>
      <c r="AJ70" s="709"/>
      <c r="AK70" s="936">
        <f t="shared" ca="1" si="30"/>
        <v>0</v>
      </c>
      <c r="AL70" s="861">
        <f t="shared" si="31"/>
        <v>0</v>
      </c>
      <c r="AM70" s="861">
        <v>0</v>
      </c>
      <c r="AN70" s="863">
        <f t="shared" si="32"/>
        <v>0</v>
      </c>
      <c r="AO70" s="936">
        <f t="shared" ca="1" si="33"/>
        <v>0</v>
      </c>
      <c r="AP70" s="936">
        <f t="shared" ca="1" si="34"/>
        <v>0</v>
      </c>
      <c r="AQ70" s="936">
        <f t="shared" ca="1" si="35"/>
        <v>0</v>
      </c>
      <c r="AS70" s="936">
        <f>+IFERROR(VLOOKUP(C70,'Rural - Price Out '!$C:$F,3,FALSE),0)</f>
        <v>0</v>
      </c>
      <c r="AT70" s="909">
        <f t="shared" ca="1" si="36"/>
        <v>0</v>
      </c>
    </row>
    <row r="71" spans="1:46" s="840" customFormat="1" ht="12">
      <c r="A71" s="840" t="str">
        <f t="shared" si="26"/>
        <v>PacificCommercialFL001.5Y1W001</v>
      </c>
      <c r="B71" s="840">
        <f t="shared" si="25"/>
        <v>1</v>
      </c>
      <c r="C71" s="859" t="s">
        <v>2063</v>
      </c>
      <c r="D71" s="859" t="s">
        <v>2064</v>
      </c>
      <c r="E71" s="859">
        <v>103.23</v>
      </c>
      <c r="F71" s="859"/>
      <c r="G71" s="860"/>
      <c r="H71" s="861">
        <v>13874.11</v>
      </c>
      <c r="I71" s="861">
        <v>13936.05</v>
      </c>
      <c r="J71" s="861">
        <v>13987.680000000002</v>
      </c>
      <c r="K71" s="861">
        <v>14281.86</v>
      </c>
      <c r="L71" s="861">
        <v>14452.2</v>
      </c>
      <c r="M71" s="861">
        <v>14638.01</v>
      </c>
      <c r="N71" s="861">
        <v>14555.43</v>
      </c>
      <c r="O71" s="861">
        <v>14452.199999999999</v>
      </c>
      <c r="P71" s="861">
        <v>14348.970000000001</v>
      </c>
      <c r="Q71" s="861">
        <v>14245.739999999998</v>
      </c>
      <c r="R71" s="861">
        <v>14348.97</v>
      </c>
      <c r="S71" s="861">
        <v>14452.2</v>
      </c>
      <c r="T71" s="861">
        <f t="shared" si="27"/>
        <v>171573.42</v>
      </c>
      <c r="U71" s="861"/>
      <c r="V71" s="861">
        <f t="shared" si="28"/>
        <v>134.39998062578707</v>
      </c>
      <c r="W71" s="861">
        <f t="shared" si="28"/>
        <v>135</v>
      </c>
      <c r="X71" s="861">
        <f t="shared" si="28"/>
        <v>135.50014530659695</v>
      </c>
      <c r="Y71" s="861">
        <f t="shared" si="28"/>
        <v>138.34989828538215</v>
      </c>
      <c r="Z71" s="861">
        <f t="shared" si="28"/>
        <v>140</v>
      </c>
      <c r="AA71" s="861">
        <f t="shared" si="28"/>
        <v>141.79996125157416</v>
      </c>
      <c r="AB71" s="861">
        <f t="shared" si="28"/>
        <v>141</v>
      </c>
      <c r="AC71" s="861">
        <f t="shared" si="28"/>
        <v>139.99999999999997</v>
      </c>
      <c r="AD71" s="861">
        <f t="shared" si="28"/>
        <v>139</v>
      </c>
      <c r="AE71" s="861">
        <f t="shared" si="28"/>
        <v>137.99999999999997</v>
      </c>
      <c r="AF71" s="861">
        <f t="shared" si="28"/>
        <v>139</v>
      </c>
      <c r="AG71" s="861">
        <f t="shared" si="28"/>
        <v>140</v>
      </c>
      <c r="AH71" s="861">
        <f t="shared" si="29"/>
        <v>138.50416545577835</v>
      </c>
      <c r="AK71" s="936">
        <f t="shared" ca="1" si="30"/>
        <v>2.8529801631437914</v>
      </c>
      <c r="AL71" s="861">
        <f t="shared" si="31"/>
        <v>1662.0499854693403</v>
      </c>
      <c r="AM71" s="861">
        <v>233.60001877405426</v>
      </c>
      <c r="AN71" s="863">
        <f t="shared" si="32"/>
        <v>1895.6500042433945</v>
      </c>
      <c r="AO71" s="936">
        <f t="shared" ca="1" si="33"/>
        <v>5408.2518583698484</v>
      </c>
      <c r="AP71" s="936">
        <f t="shared" ca="1" si="34"/>
        <v>106.0829801631438</v>
      </c>
      <c r="AQ71" s="936">
        <f t="shared" ca="1" si="35"/>
        <v>176315.21563869744</v>
      </c>
      <c r="AS71" s="936">
        <f>+IFERROR(VLOOKUP(C71,'Rural - Price Out '!$C:$F,3,FALSE),0)</f>
        <v>106.53</v>
      </c>
      <c r="AT71" s="909">
        <f t="shared" ca="1" si="36"/>
        <v>-0.4470198368561995</v>
      </c>
    </row>
    <row r="72" spans="1:46" s="840" customFormat="1">
      <c r="A72" s="840" t="str">
        <f t="shared" si="26"/>
        <v>PacificCommercialFL001.5Y2W001</v>
      </c>
      <c r="B72" s="840">
        <f t="shared" si="25"/>
        <v>1</v>
      </c>
      <c r="C72" s="859" t="s">
        <v>2065</v>
      </c>
      <c r="D72" s="859" t="s">
        <v>2066</v>
      </c>
      <c r="E72" s="859">
        <v>189.96</v>
      </c>
      <c r="F72" s="859"/>
      <c r="G72" s="860"/>
      <c r="H72" s="861">
        <v>8928.1200000000008</v>
      </c>
      <c r="I72" s="861">
        <v>9118.08</v>
      </c>
      <c r="J72" s="861">
        <v>9118.08</v>
      </c>
      <c r="K72" s="861">
        <v>9118.08</v>
      </c>
      <c r="L72" s="861">
        <v>9118.08</v>
      </c>
      <c r="M72" s="861">
        <v>9118.08</v>
      </c>
      <c r="N72" s="861">
        <v>9118.08</v>
      </c>
      <c r="O72" s="861">
        <v>9118.08</v>
      </c>
      <c r="P72" s="861">
        <v>9118.08</v>
      </c>
      <c r="Q72" s="861">
        <v>9118.08</v>
      </c>
      <c r="R72" s="861">
        <v>9118.08</v>
      </c>
      <c r="S72" s="861">
        <v>9308.0400000000009</v>
      </c>
      <c r="T72" s="861">
        <f t="shared" si="27"/>
        <v>109416.96000000002</v>
      </c>
      <c r="U72" s="861"/>
      <c r="V72" s="861">
        <f t="shared" si="28"/>
        <v>47</v>
      </c>
      <c r="W72" s="861">
        <f t="shared" si="28"/>
        <v>48</v>
      </c>
      <c r="X72" s="861">
        <f t="shared" si="28"/>
        <v>48</v>
      </c>
      <c r="Y72" s="861">
        <f t="shared" si="28"/>
        <v>48</v>
      </c>
      <c r="Z72" s="861">
        <f t="shared" si="28"/>
        <v>48</v>
      </c>
      <c r="AA72" s="861">
        <f t="shared" si="28"/>
        <v>48</v>
      </c>
      <c r="AB72" s="861">
        <f t="shared" si="28"/>
        <v>48</v>
      </c>
      <c r="AC72" s="861">
        <f t="shared" si="28"/>
        <v>48</v>
      </c>
      <c r="AD72" s="861">
        <f t="shared" si="28"/>
        <v>48</v>
      </c>
      <c r="AE72" s="861">
        <f t="shared" si="28"/>
        <v>48</v>
      </c>
      <c r="AF72" s="861">
        <f t="shared" si="28"/>
        <v>48</v>
      </c>
      <c r="AG72" s="861">
        <f t="shared" si="28"/>
        <v>49</v>
      </c>
      <c r="AH72" s="861">
        <f t="shared" si="29"/>
        <v>48</v>
      </c>
      <c r="AJ72" s="709"/>
      <c r="AK72" s="936">
        <f t="shared" ca="1" si="30"/>
        <v>5.2499478038437912</v>
      </c>
      <c r="AL72" s="861">
        <f t="shared" si="31"/>
        <v>576</v>
      </c>
      <c r="AM72" s="861">
        <v>0</v>
      </c>
      <c r="AN72" s="863">
        <f t="shared" si="32"/>
        <v>576</v>
      </c>
      <c r="AO72" s="936">
        <f t="shared" ca="1" si="33"/>
        <v>3023.9699350140236</v>
      </c>
      <c r="AP72" s="936">
        <f t="shared" ca="1" si="34"/>
        <v>195.20994780384379</v>
      </c>
      <c r="AQ72" s="936">
        <f t="shared" ca="1" si="35"/>
        <v>112440.92993501402</v>
      </c>
      <c r="AS72" s="936">
        <f>+IFERROR(VLOOKUP(C72,'Rural - Price Out '!$C:$F,3,FALSE),0)</f>
        <v>0</v>
      </c>
      <c r="AT72" s="909">
        <f t="shared" ca="1" si="36"/>
        <v>195.20994780384379</v>
      </c>
    </row>
    <row r="73" spans="1:46" s="840" customFormat="1">
      <c r="A73" s="840" t="str">
        <f t="shared" si="26"/>
        <v>PacificCommercialFL001.5Y3W001</v>
      </c>
      <c r="B73" s="840">
        <f t="shared" si="25"/>
        <v>1</v>
      </c>
      <c r="C73" s="859" t="s">
        <v>2067</v>
      </c>
      <c r="D73" s="859" t="s">
        <v>2068</v>
      </c>
      <c r="E73" s="859">
        <v>276.69</v>
      </c>
      <c r="F73" s="859"/>
      <c r="G73" s="860"/>
      <c r="H73" s="861">
        <v>3320.2799999999997</v>
      </c>
      <c r="I73" s="861">
        <v>3320.2799999999997</v>
      </c>
      <c r="J73" s="861">
        <v>3320.2799999999997</v>
      </c>
      <c r="K73" s="861">
        <v>3320.2799999999997</v>
      </c>
      <c r="L73" s="861">
        <v>3320.2799999999997</v>
      </c>
      <c r="M73" s="861">
        <v>3320.2799999999997</v>
      </c>
      <c r="N73" s="861">
        <v>3320.2799999999997</v>
      </c>
      <c r="O73" s="861">
        <v>3320.2799999999997</v>
      </c>
      <c r="P73" s="861">
        <v>3320.2799999999997</v>
      </c>
      <c r="Q73" s="861">
        <v>3320.2799999999997</v>
      </c>
      <c r="R73" s="861">
        <v>3320.28</v>
      </c>
      <c r="S73" s="861">
        <v>3320.28</v>
      </c>
      <c r="T73" s="861">
        <f t="shared" si="27"/>
        <v>39843.359999999993</v>
      </c>
      <c r="U73" s="861"/>
      <c r="V73" s="861">
        <f t="shared" si="28"/>
        <v>12</v>
      </c>
      <c r="W73" s="861">
        <f t="shared" si="28"/>
        <v>12</v>
      </c>
      <c r="X73" s="861">
        <f t="shared" si="28"/>
        <v>12</v>
      </c>
      <c r="Y73" s="861">
        <f t="shared" si="28"/>
        <v>12</v>
      </c>
      <c r="Z73" s="861">
        <f t="shared" si="28"/>
        <v>12</v>
      </c>
      <c r="AA73" s="861">
        <f t="shared" si="28"/>
        <v>12</v>
      </c>
      <c r="AB73" s="861">
        <f t="shared" si="28"/>
        <v>12</v>
      </c>
      <c r="AC73" s="861">
        <f t="shared" si="28"/>
        <v>12</v>
      </c>
      <c r="AD73" s="861">
        <f t="shared" si="28"/>
        <v>12</v>
      </c>
      <c r="AE73" s="861">
        <f t="shared" si="28"/>
        <v>12</v>
      </c>
      <c r="AF73" s="861">
        <f t="shared" si="28"/>
        <v>12</v>
      </c>
      <c r="AG73" s="861">
        <f t="shared" si="28"/>
        <v>12</v>
      </c>
      <c r="AH73" s="861">
        <f t="shared" si="29"/>
        <v>12</v>
      </c>
      <c r="AJ73" s="709"/>
      <c r="AK73" s="936">
        <f t="shared" ca="1" si="30"/>
        <v>7.646915444543791</v>
      </c>
      <c r="AL73" s="861">
        <f t="shared" si="31"/>
        <v>144</v>
      </c>
      <c r="AM73" s="861">
        <v>0</v>
      </c>
      <c r="AN73" s="863">
        <f t="shared" si="32"/>
        <v>144</v>
      </c>
      <c r="AO73" s="936">
        <f t="shared" ca="1" si="33"/>
        <v>1101.1558240143058</v>
      </c>
      <c r="AP73" s="936">
        <f t="shared" ca="1" si="34"/>
        <v>284.33691544454376</v>
      </c>
      <c r="AQ73" s="936">
        <f t="shared" ca="1" si="35"/>
        <v>40944.515824014299</v>
      </c>
      <c r="AS73" s="936">
        <f>+IFERROR(VLOOKUP(C73,'Rural - Price Out '!$C:$F,3,FALSE),0)</f>
        <v>0</v>
      </c>
      <c r="AT73" s="909">
        <f t="shared" ca="1" si="36"/>
        <v>284.33691544454376</v>
      </c>
    </row>
    <row r="74" spans="1:46" s="840" customFormat="1">
      <c r="A74" s="840" t="str">
        <f t="shared" si="26"/>
        <v>PacificCommercialFL002.0Y1W001</v>
      </c>
      <c r="B74" s="840">
        <f t="shared" si="25"/>
        <v>1</v>
      </c>
      <c r="C74" s="859" t="s">
        <v>2069</v>
      </c>
      <c r="D74" s="859" t="s">
        <v>2070</v>
      </c>
      <c r="E74" s="859">
        <v>134.52000000000001</v>
      </c>
      <c r="F74" s="859"/>
      <c r="G74" s="860"/>
      <c r="H74" s="861">
        <v>21012</v>
      </c>
      <c r="I74" s="861">
        <v>20749.71</v>
      </c>
      <c r="J74" s="861">
        <v>21040.02</v>
      </c>
      <c r="K74" s="861">
        <v>21146.54</v>
      </c>
      <c r="L74" s="861">
        <v>21287.79</v>
      </c>
      <c r="M74" s="861">
        <v>21059.11</v>
      </c>
      <c r="N74" s="861">
        <v>20985.120000000003</v>
      </c>
      <c r="O74" s="861">
        <v>21153.27</v>
      </c>
      <c r="P74" s="861">
        <v>21142.81</v>
      </c>
      <c r="Q74" s="861">
        <v>21018.75</v>
      </c>
      <c r="R74" s="861">
        <v>17823.900000000001</v>
      </c>
      <c r="S74" s="861">
        <v>20951.490000000005</v>
      </c>
      <c r="T74" s="861">
        <f t="shared" si="27"/>
        <v>249370.51</v>
      </c>
      <c r="U74" s="861"/>
      <c r="V74" s="861">
        <f t="shared" si="28"/>
        <v>156.19982158786797</v>
      </c>
      <c r="W74" s="861">
        <f t="shared" si="28"/>
        <v>154.24999999999997</v>
      </c>
      <c r="X74" s="861">
        <f t="shared" si="28"/>
        <v>156.40811775200712</v>
      </c>
      <c r="Y74" s="861">
        <f t="shared" si="28"/>
        <v>157.19997026464466</v>
      </c>
      <c r="Z74" s="861">
        <f t="shared" si="28"/>
        <v>158.25</v>
      </c>
      <c r="AA74" s="861">
        <f t="shared" si="28"/>
        <v>156.55002973535534</v>
      </c>
      <c r="AB74" s="861">
        <f t="shared" si="28"/>
        <v>156</v>
      </c>
      <c r="AC74" s="861">
        <f t="shared" si="28"/>
        <v>157.25</v>
      </c>
      <c r="AD74" s="861">
        <f t="shared" si="28"/>
        <v>157.17224204579244</v>
      </c>
      <c r="AE74" s="861">
        <f t="shared" si="28"/>
        <v>156.25</v>
      </c>
      <c r="AF74" s="861">
        <f t="shared" si="28"/>
        <v>132.5</v>
      </c>
      <c r="AG74" s="861">
        <f t="shared" si="28"/>
        <v>155.75000000000003</v>
      </c>
      <c r="AH74" s="861">
        <f t="shared" si="29"/>
        <v>154.48168178213896</v>
      </c>
      <c r="AJ74" s="709"/>
      <c r="AK74" s="936">
        <f t="shared" ca="1" si="30"/>
        <v>3.7177457284326536</v>
      </c>
      <c r="AL74" s="861">
        <f t="shared" si="31"/>
        <v>1853.7801813856677</v>
      </c>
      <c r="AM74" s="861">
        <v>306.79998575904301</v>
      </c>
      <c r="AN74" s="863">
        <f t="shared" si="32"/>
        <v>2160.5801671447107</v>
      </c>
      <c r="AO74" s="936">
        <f t="shared" ca="1" si="33"/>
        <v>8032.4876873385565</v>
      </c>
      <c r="AP74" s="936">
        <f t="shared" ca="1" si="34"/>
        <v>138.23774572843266</v>
      </c>
      <c r="AQ74" s="936">
        <f t="shared" ca="1" si="35"/>
        <v>256262.39335079971</v>
      </c>
      <c r="AS74" s="936">
        <f>+IFERROR(VLOOKUP(C74,'Rural - Price Out '!$C:$F,3,FALSE),0)</f>
        <v>140.44</v>
      </c>
      <c r="AT74" s="909">
        <f t="shared" ca="1" si="36"/>
        <v>-2.202254271567341</v>
      </c>
    </row>
    <row r="75" spans="1:46" s="840" customFormat="1">
      <c r="A75" s="840" t="str">
        <f t="shared" si="26"/>
        <v>PacificCommercialFL002.0Y1W001CMP</v>
      </c>
      <c r="B75" s="840">
        <f t="shared" si="25"/>
        <v>1</v>
      </c>
      <c r="C75" s="859" t="s">
        <v>2071</v>
      </c>
      <c r="D75" s="859" t="s">
        <v>2072</v>
      </c>
      <c r="E75" s="859">
        <v>360.21</v>
      </c>
      <c r="F75" s="859"/>
      <c r="G75" s="860"/>
      <c r="H75" s="861">
        <v>360.21</v>
      </c>
      <c r="I75" s="861">
        <v>360.21</v>
      </c>
      <c r="J75" s="861">
        <v>360.21</v>
      </c>
      <c r="K75" s="861">
        <v>360.21</v>
      </c>
      <c r="L75" s="861">
        <v>360.21</v>
      </c>
      <c r="M75" s="861">
        <v>360.21</v>
      </c>
      <c r="N75" s="861">
        <v>360.21</v>
      </c>
      <c r="O75" s="861">
        <v>360.21</v>
      </c>
      <c r="P75" s="861">
        <v>360.21</v>
      </c>
      <c r="Q75" s="861">
        <v>360.21</v>
      </c>
      <c r="R75" s="861">
        <v>360.21</v>
      </c>
      <c r="S75" s="861">
        <v>1170.69</v>
      </c>
      <c r="T75" s="861">
        <f t="shared" si="27"/>
        <v>5133</v>
      </c>
      <c r="U75" s="861"/>
      <c r="V75" s="861">
        <f t="shared" si="28"/>
        <v>1</v>
      </c>
      <c r="W75" s="861">
        <f t="shared" si="28"/>
        <v>1</v>
      </c>
      <c r="X75" s="861">
        <f t="shared" si="28"/>
        <v>1</v>
      </c>
      <c r="Y75" s="861">
        <f t="shared" si="28"/>
        <v>1</v>
      </c>
      <c r="Z75" s="861">
        <f t="shared" si="28"/>
        <v>1</v>
      </c>
      <c r="AA75" s="861">
        <f t="shared" si="28"/>
        <v>1</v>
      </c>
      <c r="AB75" s="861">
        <f t="shared" si="28"/>
        <v>1</v>
      </c>
      <c r="AC75" s="861">
        <f t="shared" si="28"/>
        <v>1</v>
      </c>
      <c r="AD75" s="861">
        <f t="shared" si="28"/>
        <v>1</v>
      </c>
      <c r="AE75" s="861">
        <f t="shared" si="28"/>
        <v>1</v>
      </c>
      <c r="AF75" s="861">
        <f t="shared" si="28"/>
        <v>1</v>
      </c>
      <c r="AG75" s="861">
        <f t="shared" si="28"/>
        <v>3.2500208211876407</v>
      </c>
      <c r="AH75" s="861">
        <f t="shared" si="29"/>
        <v>1.1875017350989701</v>
      </c>
      <c r="AJ75" s="709"/>
      <c r="AK75" s="936">
        <f t="shared" ca="1" si="30"/>
        <v>9.9551679217865452</v>
      </c>
      <c r="AL75" s="861">
        <f t="shared" si="31"/>
        <v>14.25002082118764</v>
      </c>
      <c r="AM75" s="861">
        <v>0</v>
      </c>
      <c r="AN75" s="863">
        <f t="shared" si="32"/>
        <v>14.25002082118764</v>
      </c>
      <c r="AO75" s="936">
        <f t="shared" ca="1" si="33"/>
        <v>141.86135016387755</v>
      </c>
      <c r="AP75" s="936">
        <f t="shared" ca="1" si="34"/>
        <v>370.16516792178652</v>
      </c>
      <c r="AQ75" s="936">
        <f t="shared" ca="1" si="35"/>
        <v>5274.8613501638765</v>
      </c>
      <c r="AS75" s="936">
        <f>+IFERROR(VLOOKUP(C75,'Rural - Price Out '!$C:$F,3,FALSE),0)</f>
        <v>0</v>
      </c>
      <c r="AT75" s="909">
        <f t="shared" ca="1" si="36"/>
        <v>370.16516792178652</v>
      </c>
    </row>
    <row r="76" spans="1:46" s="840" customFormat="1">
      <c r="A76" s="840" t="str">
        <f t="shared" si="26"/>
        <v>PacificCommercialFL002.0Y2W001</v>
      </c>
      <c r="B76" s="840">
        <f t="shared" si="25"/>
        <v>1</v>
      </c>
      <c r="C76" s="859" t="s">
        <v>2073</v>
      </c>
      <c r="D76" s="859" t="s">
        <v>2074</v>
      </c>
      <c r="E76" s="859">
        <v>244.55</v>
      </c>
      <c r="F76" s="859"/>
      <c r="G76" s="860"/>
      <c r="H76" s="861">
        <v>13890.44</v>
      </c>
      <c r="I76" s="861">
        <v>14102.380000000001</v>
      </c>
      <c r="J76" s="861">
        <v>14428.45</v>
      </c>
      <c r="K76" s="861">
        <v>14183.900000000001</v>
      </c>
      <c r="L76" s="861">
        <v>13633.67</v>
      </c>
      <c r="M76" s="861">
        <v>13450.25</v>
      </c>
      <c r="N76" s="861">
        <v>13232.87</v>
      </c>
      <c r="O76" s="861">
        <v>12879.640000000001</v>
      </c>
      <c r="P76" s="861">
        <v>13015.49</v>
      </c>
      <c r="Q76" s="861">
        <v>12716.599999999999</v>
      </c>
      <c r="R76" s="861">
        <v>12472.05</v>
      </c>
      <c r="S76" s="861">
        <v>12662.259999999998</v>
      </c>
      <c r="T76" s="861">
        <f t="shared" si="27"/>
        <v>160668</v>
      </c>
      <c r="U76" s="861"/>
      <c r="V76" s="861">
        <f t="shared" si="28"/>
        <v>56.8</v>
      </c>
      <c r="W76" s="861">
        <f t="shared" si="28"/>
        <v>57.666653036188919</v>
      </c>
      <c r="X76" s="861">
        <f t="shared" si="28"/>
        <v>59</v>
      </c>
      <c r="Y76" s="861">
        <f t="shared" si="28"/>
        <v>58</v>
      </c>
      <c r="Z76" s="861">
        <f t="shared" si="28"/>
        <v>55.750030668574929</v>
      </c>
      <c r="AA76" s="861">
        <f t="shared" si="28"/>
        <v>55</v>
      </c>
      <c r="AB76" s="861">
        <f t="shared" si="28"/>
        <v>54.111102024125948</v>
      </c>
      <c r="AC76" s="861">
        <f t="shared" si="28"/>
        <v>52.666693927622163</v>
      </c>
      <c r="AD76" s="861">
        <f t="shared" si="28"/>
        <v>53.222204048251889</v>
      </c>
      <c r="AE76" s="861">
        <f t="shared" si="28"/>
        <v>51.999999999999993</v>
      </c>
      <c r="AF76" s="861">
        <f t="shared" si="28"/>
        <v>50.999999999999993</v>
      </c>
      <c r="AG76" s="861">
        <f t="shared" si="28"/>
        <v>51.777795951748097</v>
      </c>
      <c r="AH76" s="861">
        <f t="shared" si="29"/>
        <v>54.749539971376002</v>
      </c>
      <c r="AJ76" s="709"/>
      <c r="AK76" s="936">
        <f t="shared" ca="1" si="30"/>
        <v>6.7586583250684313</v>
      </c>
      <c r="AL76" s="861">
        <f t="shared" si="31"/>
        <v>656.994479656512</v>
      </c>
      <c r="AM76" s="861">
        <v>0</v>
      </c>
      <c r="AN76" s="863">
        <f t="shared" si="32"/>
        <v>656.994479656512</v>
      </c>
      <c r="AO76" s="936">
        <f t="shared" ca="1" si="33"/>
        <v>4440.4012094544869</v>
      </c>
      <c r="AP76" s="936">
        <f t="shared" ca="1" si="34"/>
        <v>251.30865832506845</v>
      </c>
      <c r="AQ76" s="936">
        <f t="shared" ca="1" si="35"/>
        <v>165108.40120945452</v>
      </c>
      <c r="AS76" s="936">
        <f>+IFERROR(VLOOKUP(C76,'Rural - Price Out '!$C:$F,3,FALSE),0)</f>
        <v>0</v>
      </c>
      <c r="AT76" s="909">
        <f t="shared" ca="1" si="36"/>
        <v>251.30865832506845</v>
      </c>
    </row>
    <row r="77" spans="1:46" s="840" customFormat="1">
      <c r="A77" s="840" t="str">
        <f t="shared" si="26"/>
        <v>PacificCommercialFL002.0Y3W001</v>
      </c>
      <c r="B77" s="840">
        <f t="shared" si="25"/>
        <v>1</v>
      </c>
      <c r="C77" s="859" t="s">
        <v>2075</v>
      </c>
      <c r="D77" s="859" t="s">
        <v>2076</v>
      </c>
      <c r="E77" s="859">
        <v>354.58</v>
      </c>
      <c r="F77" s="859"/>
      <c r="G77" s="860"/>
      <c r="H77" s="861">
        <v>4254.96</v>
      </c>
      <c r="I77" s="861">
        <v>3900.38</v>
      </c>
      <c r="J77" s="861">
        <v>3900.38</v>
      </c>
      <c r="K77" s="861">
        <v>3900.38</v>
      </c>
      <c r="L77" s="861">
        <v>3900.38</v>
      </c>
      <c r="M77" s="861">
        <v>4254.96</v>
      </c>
      <c r="N77" s="861">
        <v>4909.57</v>
      </c>
      <c r="O77" s="861">
        <v>5318.7</v>
      </c>
      <c r="P77" s="861">
        <v>5373.25</v>
      </c>
      <c r="Q77" s="861">
        <v>5673.28</v>
      </c>
      <c r="R77" s="861">
        <v>5673.28</v>
      </c>
      <c r="S77" s="861">
        <v>5673.28</v>
      </c>
      <c r="T77" s="861">
        <f t="shared" si="27"/>
        <v>56732.799999999996</v>
      </c>
      <c r="U77" s="861"/>
      <c r="V77" s="861">
        <f t="shared" si="28"/>
        <v>12</v>
      </c>
      <c r="W77" s="861">
        <f t="shared" si="28"/>
        <v>11</v>
      </c>
      <c r="X77" s="861">
        <f t="shared" si="28"/>
        <v>11</v>
      </c>
      <c r="Y77" s="861">
        <f t="shared" si="28"/>
        <v>11</v>
      </c>
      <c r="Z77" s="861">
        <f t="shared" si="28"/>
        <v>11</v>
      </c>
      <c r="AA77" s="861">
        <f t="shared" si="28"/>
        <v>12</v>
      </c>
      <c r="AB77" s="861">
        <f t="shared" si="28"/>
        <v>13.846156015567713</v>
      </c>
      <c r="AC77" s="861">
        <f t="shared" si="28"/>
        <v>15</v>
      </c>
      <c r="AD77" s="861">
        <f t="shared" si="28"/>
        <v>15.153843984432287</v>
      </c>
      <c r="AE77" s="861">
        <f t="shared" si="28"/>
        <v>16</v>
      </c>
      <c r="AF77" s="861">
        <f t="shared" si="28"/>
        <v>16</v>
      </c>
      <c r="AG77" s="861">
        <f t="shared" si="28"/>
        <v>16</v>
      </c>
      <c r="AH77" s="861">
        <f t="shared" si="29"/>
        <v>13.333333333333334</v>
      </c>
      <c r="AJ77" s="709"/>
      <c r="AK77" s="936">
        <f t="shared" ca="1" si="30"/>
        <v>9.7995709217042091</v>
      </c>
      <c r="AL77" s="861">
        <f t="shared" si="31"/>
        <v>160</v>
      </c>
      <c r="AM77" s="861">
        <v>0</v>
      </c>
      <c r="AN77" s="863">
        <f t="shared" si="32"/>
        <v>160</v>
      </c>
      <c r="AO77" s="936">
        <f t="shared" ca="1" si="33"/>
        <v>1567.9313474726735</v>
      </c>
      <c r="AP77" s="936">
        <f t="shared" ca="1" si="34"/>
        <v>364.37957092170421</v>
      </c>
      <c r="AQ77" s="936">
        <f t="shared" ca="1" si="35"/>
        <v>58300.731347472676</v>
      </c>
      <c r="AS77" s="936">
        <f>+IFERROR(VLOOKUP(C77,'Rural - Price Out '!$C:$F,3,FALSE),0)</f>
        <v>0</v>
      </c>
      <c r="AT77" s="909">
        <f t="shared" ca="1" si="36"/>
        <v>364.37957092170421</v>
      </c>
    </row>
    <row r="78" spans="1:46" s="840" customFormat="1">
      <c r="A78" s="840" t="str">
        <f t="shared" si="26"/>
        <v>PacificCommercialFL002.0Y5W001</v>
      </c>
      <c r="B78" s="840">
        <f t="shared" si="25"/>
        <v>1</v>
      </c>
      <c r="C78" s="859" t="s">
        <v>2077</v>
      </c>
      <c r="D78" s="859" t="s">
        <v>2052</v>
      </c>
      <c r="E78" s="859">
        <v>574.64</v>
      </c>
      <c r="F78" s="859"/>
      <c r="G78" s="860"/>
      <c r="H78" s="861">
        <v>574.64</v>
      </c>
      <c r="I78" s="861">
        <v>574.64</v>
      </c>
      <c r="J78" s="861">
        <v>574.64</v>
      </c>
      <c r="K78" s="861">
        <v>574.64</v>
      </c>
      <c r="L78" s="861">
        <v>1149.28</v>
      </c>
      <c r="M78" s="861">
        <v>1149.28</v>
      </c>
      <c r="N78" s="861">
        <v>1462.72</v>
      </c>
      <c r="O78" s="861">
        <v>1358.24</v>
      </c>
      <c r="P78" s="861">
        <v>1149.28</v>
      </c>
      <c r="Q78" s="861">
        <v>1149.28</v>
      </c>
      <c r="R78" s="861">
        <v>1149.28</v>
      </c>
      <c r="S78" s="861">
        <v>229.86</v>
      </c>
      <c r="T78" s="861">
        <f t="shared" si="27"/>
        <v>11095.780000000002</v>
      </c>
      <c r="U78" s="861"/>
      <c r="V78" s="861">
        <f t="shared" si="28"/>
        <v>1</v>
      </c>
      <c r="W78" s="861">
        <f t="shared" si="28"/>
        <v>1</v>
      </c>
      <c r="X78" s="861">
        <f t="shared" si="28"/>
        <v>1</v>
      </c>
      <c r="Y78" s="861">
        <f t="shared" si="28"/>
        <v>1</v>
      </c>
      <c r="Z78" s="861">
        <f t="shared" si="28"/>
        <v>2</v>
      </c>
      <c r="AA78" s="861">
        <f t="shared" si="28"/>
        <v>2</v>
      </c>
      <c r="AB78" s="861">
        <f t="shared" si="28"/>
        <v>2.5454545454545454</v>
      </c>
      <c r="AC78" s="861">
        <f t="shared" si="28"/>
        <v>2.3636363636363638</v>
      </c>
      <c r="AD78" s="861">
        <f t="shared" si="28"/>
        <v>2</v>
      </c>
      <c r="AE78" s="861">
        <f t="shared" si="28"/>
        <v>2</v>
      </c>
      <c r="AF78" s="861">
        <f t="shared" si="28"/>
        <v>2</v>
      </c>
      <c r="AG78" s="861">
        <f t="shared" si="28"/>
        <v>0.40000696087985527</v>
      </c>
      <c r="AH78" s="861">
        <f t="shared" si="29"/>
        <v>1.6090914891642303</v>
      </c>
      <c r="AJ78" s="709"/>
      <c r="AK78" s="936">
        <f t="shared" ca="1" si="30"/>
        <v>15.881396114975765</v>
      </c>
      <c r="AL78" s="861">
        <f t="shared" si="31"/>
        <v>19.309097869970763</v>
      </c>
      <c r="AM78" s="861">
        <v>0</v>
      </c>
      <c r="AN78" s="863">
        <f t="shared" si="32"/>
        <v>19.309097869970763</v>
      </c>
      <c r="AO78" s="936">
        <f t="shared" ca="1" si="33"/>
        <v>306.65543189584048</v>
      </c>
      <c r="AP78" s="936">
        <f t="shared" ca="1" si="34"/>
        <v>590.5213961149758</v>
      </c>
      <c r="AQ78" s="936">
        <f t="shared" ca="1" si="35"/>
        <v>11402.435431895841</v>
      </c>
      <c r="AS78" s="936">
        <f>+IFERROR(VLOOKUP(C78,'Rural - Price Out '!$C:$F,3,FALSE),0)</f>
        <v>0</v>
      </c>
      <c r="AT78" s="909">
        <f t="shared" ca="1" si="36"/>
        <v>590.5213961149758</v>
      </c>
    </row>
    <row r="79" spans="1:46" s="840" customFormat="1">
      <c r="A79" s="840" t="str">
        <f t="shared" si="26"/>
        <v>PacificCommercialFL003.0Y1W001</v>
      </c>
      <c r="B79" s="840">
        <f t="shared" si="25"/>
        <v>1</v>
      </c>
      <c r="C79" s="859" t="s">
        <v>2078</v>
      </c>
      <c r="D79" s="859" t="s">
        <v>2079</v>
      </c>
      <c r="E79" s="859">
        <v>179.66</v>
      </c>
      <c r="F79" s="859"/>
      <c r="G79" s="860"/>
      <c r="H79" s="861">
        <v>33353.879999999997</v>
      </c>
      <c r="I79" s="861">
        <v>33012.53</v>
      </c>
      <c r="J79" s="861">
        <v>33551.53</v>
      </c>
      <c r="K79" s="861">
        <v>33722.17</v>
      </c>
      <c r="L79" s="861">
        <v>33853.94</v>
      </c>
      <c r="M79" s="861">
        <v>34135.410000000003</v>
      </c>
      <c r="N79" s="861">
        <v>33910.839999999997</v>
      </c>
      <c r="O79" s="861">
        <v>34075.240000000005</v>
      </c>
      <c r="P79" s="861">
        <v>34315.07</v>
      </c>
      <c r="Q79" s="861">
        <v>34854.039999999994</v>
      </c>
      <c r="R79" s="861">
        <v>33461.68</v>
      </c>
      <c r="S79" s="861">
        <v>33946.79</v>
      </c>
      <c r="T79" s="861">
        <f t="shared" si="27"/>
        <v>406193.11999999994</v>
      </c>
      <c r="U79" s="861"/>
      <c r="V79" s="861">
        <f t="shared" si="28"/>
        <v>185.65000556606924</v>
      </c>
      <c r="W79" s="861">
        <f t="shared" si="28"/>
        <v>183.7500278303462</v>
      </c>
      <c r="X79" s="861">
        <f t="shared" si="28"/>
        <v>186.75013915173105</v>
      </c>
      <c r="Y79" s="861">
        <f t="shared" si="28"/>
        <v>187.6999332071691</v>
      </c>
      <c r="Z79" s="861">
        <f t="shared" si="28"/>
        <v>188.43337415117446</v>
      </c>
      <c r="AA79" s="861">
        <f t="shared" si="28"/>
        <v>190.00005566069245</v>
      </c>
      <c r="AB79" s="861">
        <f t="shared" si="28"/>
        <v>188.75008349103862</v>
      </c>
      <c r="AC79" s="861">
        <f t="shared" si="28"/>
        <v>189.66514527440725</v>
      </c>
      <c r="AD79" s="861">
        <f t="shared" si="28"/>
        <v>191.00005566069242</v>
      </c>
      <c r="AE79" s="861">
        <f t="shared" si="28"/>
        <v>193.99999999999997</v>
      </c>
      <c r="AF79" s="861">
        <f t="shared" si="28"/>
        <v>186.25002783034623</v>
      </c>
      <c r="AG79" s="861">
        <f t="shared" si="28"/>
        <v>188.95018368028499</v>
      </c>
      <c r="AH79" s="861">
        <f t="shared" si="29"/>
        <v>188.40825262532937</v>
      </c>
      <c r="AJ79" s="709"/>
      <c r="AK79" s="936">
        <f t="shared" ca="1" si="30"/>
        <v>4.9652854413485761</v>
      </c>
      <c r="AL79" s="861">
        <f t="shared" si="31"/>
        <v>2260.8990315039523</v>
      </c>
      <c r="AM79" s="861">
        <v>136.4</v>
      </c>
      <c r="AN79" s="863">
        <f t="shared" si="32"/>
        <v>2397.2990315039524</v>
      </c>
      <c r="AO79" s="936">
        <f t="shared" ca="1" si="33"/>
        <v>11903.273979685617</v>
      </c>
      <c r="AP79" s="936">
        <f t="shared" ca="1" si="34"/>
        <v>184.62528544134858</v>
      </c>
      <c r="AQ79" s="936">
        <f t="shared" ca="1" si="35"/>
        <v>417419.12904548581</v>
      </c>
      <c r="AS79" s="936">
        <f>+IFERROR(VLOOKUP(C79,'Rural - Price Out '!$C:$F,3,FALSE),0)</f>
        <v>201.6</v>
      </c>
      <c r="AT79" s="909">
        <f t="shared" ca="1" si="36"/>
        <v>-16.974714558651414</v>
      </c>
    </row>
    <row r="80" spans="1:46" s="840" customFormat="1" ht="12" customHeight="1">
      <c r="A80" s="840" t="str">
        <f t="shared" si="26"/>
        <v>PacificCommercialFL003.0Y2W001</v>
      </c>
      <c r="B80" s="840">
        <f t="shared" si="25"/>
        <v>1</v>
      </c>
      <c r="C80" s="859" t="s">
        <v>2080</v>
      </c>
      <c r="D80" s="859" t="s">
        <v>2081</v>
      </c>
      <c r="E80" s="859">
        <v>332.12</v>
      </c>
      <c r="F80" s="859"/>
      <c r="G80" s="860"/>
      <c r="H80" s="861">
        <v>11225.66</v>
      </c>
      <c r="I80" s="861">
        <v>13123.36</v>
      </c>
      <c r="J80" s="861">
        <v>11677.77</v>
      </c>
      <c r="K80" s="861">
        <v>11945.25</v>
      </c>
      <c r="L80" s="861">
        <v>12620.560000000001</v>
      </c>
      <c r="M80" s="861">
        <v>12583.660000000002</v>
      </c>
      <c r="N80" s="861">
        <v>12731.279999999999</v>
      </c>
      <c r="O80" s="861">
        <v>12163.9</v>
      </c>
      <c r="P80" s="861">
        <v>11749.66</v>
      </c>
      <c r="Q80" s="861">
        <v>12288.439999999999</v>
      </c>
      <c r="R80" s="861">
        <v>12288.44</v>
      </c>
      <c r="S80" s="861">
        <v>12583.670000000002</v>
      </c>
      <c r="T80" s="861">
        <f t="shared" si="27"/>
        <v>146981.65000000002</v>
      </c>
      <c r="U80" s="861"/>
      <c r="V80" s="861">
        <f t="shared" si="28"/>
        <v>33.800012043839573</v>
      </c>
      <c r="W80" s="861">
        <f t="shared" si="28"/>
        <v>39.513910634710349</v>
      </c>
      <c r="X80" s="861">
        <f t="shared" si="28"/>
        <v>35.161297121522345</v>
      </c>
      <c r="Y80" s="861">
        <f t="shared" si="28"/>
        <v>35.96666867397326</v>
      </c>
      <c r="Z80" s="861">
        <f t="shared" si="28"/>
        <v>38</v>
      </c>
      <c r="AA80" s="861">
        <f t="shared" si="28"/>
        <v>37.88889557991088</v>
      </c>
      <c r="AB80" s="861">
        <f t="shared" si="28"/>
        <v>38.333373479465251</v>
      </c>
      <c r="AC80" s="861">
        <f t="shared" si="28"/>
        <v>36.625015054799469</v>
      </c>
      <c r="AD80" s="861">
        <f t="shared" si="28"/>
        <v>35.377755028303021</v>
      </c>
      <c r="AE80" s="861">
        <f t="shared" si="28"/>
        <v>36.999999999999993</v>
      </c>
      <c r="AF80" s="861">
        <f t="shared" si="28"/>
        <v>37</v>
      </c>
      <c r="AG80" s="861">
        <f t="shared" si="28"/>
        <v>37.888925689509819</v>
      </c>
      <c r="AH80" s="861">
        <f t="shared" si="29"/>
        <v>36.879654442169489</v>
      </c>
      <c r="AJ80" s="709"/>
      <c r="AK80" s="936">
        <f t="shared" ca="1" si="30"/>
        <v>9.178841148729207</v>
      </c>
      <c r="AL80" s="861">
        <f t="shared" si="31"/>
        <v>442.5558533060339</v>
      </c>
      <c r="AM80" s="861">
        <v>0</v>
      </c>
      <c r="AN80" s="863">
        <f t="shared" si="32"/>
        <v>442.5558533060339</v>
      </c>
      <c r="AO80" s="936">
        <f t="shared" ca="1" si="33"/>
        <v>4062.1498769363907</v>
      </c>
      <c r="AP80" s="936">
        <f t="shared" ca="1" si="34"/>
        <v>341.2988411487292</v>
      </c>
      <c r="AQ80" s="936">
        <f t="shared" ca="1" si="35"/>
        <v>151043.79987693633</v>
      </c>
      <c r="AS80" s="936">
        <f>+IFERROR(VLOOKUP(C80,'Rural - Price Out '!$C:$F,3,FALSE),0)</f>
        <v>0</v>
      </c>
      <c r="AT80" s="909">
        <f t="shared" ca="1" si="36"/>
        <v>341.2988411487292</v>
      </c>
    </row>
    <row r="81" spans="1:46" s="840" customFormat="1">
      <c r="A81" s="840" t="str">
        <f t="shared" si="26"/>
        <v>PacificCommercialFL003.0Y3W001</v>
      </c>
      <c r="B81" s="840">
        <f t="shared" si="25"/>
        <v>1</v>
      </c>
      <c r="C81" s="859" t="s">
        <v>2082</v>
      </c>
      <c r="D81" s="859" t="s">
        <v>2083</v>
      </c>
      <c r="E81" s="859">
        <v>484.58</v>
      </c>
      <c r="F81" s="859"/>
      <c r="G81" s="860"/>
      <c r="H81" s="861">
        <v>6784.12</v>
      </c>
      <c r="I81" s="861">
        <v>7268.7</v>
      </c>
      <c r="J81" s="861">
        <v>7268.7</v>
      </c>
      <c r="K81" s="861">
        <v>7612.6</v>
      </c>
      <c r="L81" s="861">
        <v>7753.28</v>
      </c>
      <c r="M81" s="861">
        <v>7753.28</v>
      </c>
      <c r="N81" s="861">
        <v>7268.7</v>
      </c>
      <c r="O81" s="861">
        <v>7632.1399999999994</v>
      </c>
      <c r="P81" s="861">
        <v>7045.0499999999993</v>
      </c>
      <c r="Q81" s="861">
        <v>7268.7</v>
      </c>
      <c r="R81" s="861">
        <v>7268.7</v>
      </c>
      <c r="S81" s="861">
        <v>7268.7</v>
      </c>
      <c r="T81" s="861">
        <f t="shared" si="27"/>
        <v>88192.669999999984</v>
      </c>
      <c r="U81" s="861"/>
      <c r="V81" s="861">
        <f t="shared" si="28"/>
        <v>14</v>
      </c>
      <c r="W81" s="861">
        <f t="shared" si="28"/>
        <v>15</v>
      </c>
      <c r="X81" s="861">
        <f t="shared" si="28"/>
        <v>15</v>
      </c>
      <c r="Y81" s="861">
        <f t="shared" si="28"/>
        <v>15.70968673903174</v>
      </c>
      <c r="Z81" s="861">
        <f t="shared" si="28"/>
        <v>16</v>
      </c>
      <c r="AA81" s="861">
        <f t="shared" si="28"/>
        <v>16</v>
      </c>
      <c r="AB81" s="861">
        <f t="shared" si="28"/>
        <v>15</v>
      </c>
      <c r="AC81" s="861">
        <f t="shared" si="28"/>
        <v>15.750010318213711</v>
      </c>
      <c r="AD81" s="861">
        <f t="shared" si="28"/>
        <v>14.538466300714019</v>
      </c>
      <c r="AE81" s="861">
        <f t="shared" si="28"/>
        <v>15</v>
      </c>
      <c r="AF81" s="861">
        <f t="shared" si="28"/>
        <v>15</v>
      </c>
      <c r="AG81" s="861">
        <f t="shared" si="28"/>
        <v>15</v>
      </c>
      <c r="AH81" s="861">
        <f t="shared" si="29"/>
        <v>15.166513613163289</v>
      </c>
      <c r="AJ81" s="709"/>
      <c r="AK81" s="936">
        <f t="shared" ca="1" si="30"/>
        <v>13.392396856109835</v>
      </c>
      <c r="AL81" s="861">
        <f t="shared" si="31"/>
        <v>181.99816335795947</v>
      </c>
      <c r="AM81" s="861">
        <v>0</v>
      </c>
      <c r="AN81" s="863">
        <f t="shared" si="32"/>
        <v>181.99816335795947</v>
      </c>
      <c r="AO81" s="936">
        <f t="shared" ca="1" si="33"/>
        <v>2437.3916307729005</v>
      </c>
      <c r="AP81" s="936">
        <f t="shared" ca="1" si="34"/>
        <v>497.97239685610981</v>
      </c>
      <c r="AQ81" s="936">
        <f t="shared" ca="1" si="35"/>
        <v>90630.061630772892</v>
      </c>
      <c r="AS81" s="936">
        <f>+IFERROR(VLOOKUP(C81,'Rural - Price Out '!$C:$F,3,FALSE),0)</f>
        <v>0</v>
      </c>
      <c r="AT81" s="909">
        <f t="shared" ca="1" si="36"/>
        <v>497.97239685610981</v>
      </c>
    </row>
    <row r="82" spans="1:46" s="840" customFormat="1">
      <c r="A82" s="840" t="str">
        <f t="shared" si="26"/>
        <v>PacificCommercialFL003.0Y5W001</v>
      </c>
      <c r="B82" s="840">
        <f t="shared" si="25"/>
        <v>1</v>
      </c>
      <c r="C82" s="859" t="s">
        <v>2084</v>
      </c>
      <c r="D82" s="859" t="s">
        <v>2085</v>
      </c>
      <c r="E82" s="859">
        <v>789.5</v>
      </c>
      <c r="F82" s="859"/>
      <c r="G82" s="860"/>
      <c r="H82" s="861">
        <v>1579</v>
      </c>
      <c r="I82" s="861">
        <v>1579</v>
      </c>
      <c r="J82" s="861">
        <v>1579</v>
      </c>
      <c r="K82" s="861">
        <v>1579</v>
      </c>
      <c r="L82" s="861">
        <v>1579</v>
      </c>
      <c r="M82" s="861">
        <v>1579</v>
      </c>
      <c r="N82" s="861">
        <v>1794.3200000000002</v>
      </c>
      <c r="O82" s="861">
        <v>1363.68</v>
      </c>
      <c r="P82" s="861">
        <v>1579</v>
      </c>
      <c r="Q82" s="861">
        <v>1579</v>
      </c>
      <c r="R82" s="861">
        <v>1579</v>
      </c>
      <c r="S82" s="861">
        <v>968.93000000000006</v>
      </c>
      <c r="T82" s="861">
        <f t="shared" si="27"/>
        <v>18337.93</v>
      </c>
      <c r="U82" s="861"/>
      <c r="V82" s="861">
        <f t="shared" si="28"/>
        <v>2</v>
      </c>
      <c r="W82" s="861">
        <f t="shared" si="28"/>
        <v>2</v>
      </c>
      <c r="X82" s="861">
        <f t="shared" si="28"/>
        <v>2</v>
      </c>
      <c r="Y82" s="861">
        <f t="shared" si="28"/>
        <v>2</v>
      </c>
      <c r="Z82" s="861">
        <f t="shared" si="28"/>
        <v>2</v>
      </c>
      <c r="AA82" s="861">
        <f t="shared" si="28"/>
        <v>2</v>
      </c>
      <c r="AB82" s="861">
        <f t="shared" si="28"/>
        <v>2.272729575680811</v>
      </c>
      <c r="AC82" s="861">
        <f t="shared" si="28"/>
        <v>1.7272704243191894</v>
      </c>
      <c r="AD82" s="861">
        <f t="shared" si="28"/>
        <v>2</v>
      </c>
      <c r="AE82" s="861">
        <f t="shared" si="28"/>
        <v>2</v>
      </c>
      <c r="AF82" s="861">
        <f t="shared" si="28"/>
        <v>2</v>
      </c>
      <c r="AG82" s="861">
        <f t="shared" si="28"/>
        <v>1.2272704243191894</v>
      </c>
      <c r="AH82" s="861">
        <f t="shared" si="29"/>
        <v>1.9356058686932658</v>
      </c>
      <c r="AJ82" s="709"/>
      <c r="AK82" s="936">
        <f t="shared" ca="1" si="30"/>
        <v>21.819508270871097</v>
      </c>
      <c r="AL82" s="861">
        <f t="shared" si="31"/>
        <v>23.22727042431919</v>
      </c>
      <c r="AM82" s="861">
        <v>0</v>
      </c>
      <c r="AN82" s="863">
        <f t="shared" si="32"/>
        <v>23.22727042431919</v>
      </c>
      <c r="AO82" s="936">
        <f t="shared" ca="1" si="33"/>
        <v>506.80761913319219</v>
      </c>
      <c r="AP82" s="936">
        <f t="shared" ca="1" si="34"/>
        <v>811.3195082708711</v>
      </c>
      <c r="AQ82" s="936">
        <f t="shared" ca="1" si="35"/>
        <v>18844.73761913319</v>
      </c>
      <c r="AS82" s="936">
        <f>+IFERROR(VLOOKUP(C82,'Rural - Price Out '!$C:$F,3,FALSE),0)</f>
        <v>0</v>
      </c>
      <c r="AT82" s="909">
        <f t="shared" ca="1" si="36"/>
        <v>811.3195082708711</v>
      </c>
    </row>
    <row r="83" spans="1:46" s="840" customFormat="1">
      <c r="A83" s="840" t="str">
        <f t="shared" si="26"/>
        <v>PacificCommercialFL004.0Y1W001</v>
      </c>
      <c r="B83" s="840">
        <f t="shared" si="25"/>
        <v>1</v>
      </c>
      <c r="C83" s="859" t="s">
        <v>2086</v>
      </c>
      <c r="D83" s="859" t="s">
        <v>2087</v>
      </c>
      <c r="E83" s="859">
        <v>232.45</v>
      </c>
      <c r="F83" s="859"/>
      <c r="G83" s="860"/>
      <c r="H83" s="861">
        <v>26080.89</v>
      </c>
      <c r="I83" s="861">
        <v>26213.21</v>
      </c>
      <c r="J83" s="861">
        <v>26499.299999999996</v>
      </c>
      <c r="K83" s="861">
        <v>26336.589999999997</v>
      </c>
      <c r="L83" s="861">
        <v>26266.85</v>
      </c>
      <c r="M83" s="861">
        <v>26499.3</v>
      </c>
      <c r="N83" s="861">
        <v>25583.79</v>
      </c>
      <c r="O83" s="861">
        <v>25884.43</v>
      </c>
      <c r="P83" s="861">
        <v>25871.68</v>
      </c>
      <c r="Q83" s="861">
        <v>25133.66</v>
      </c>
      <c r="R83" s="861">
        <v>25453.280000000002</v>
      </c>
      <c r="S83" s="861">
        <v>25581.13</v>
      </c>
      <c r="T83" s="861">
        <f t="shared" si="27"/>
        <v>311404.11</v>
      </c>
      <c r="U83" s="861"/>
      <c r="V83" s="861">
        <f t="shared" si="28"/>
        <v>112.2</v>
      </c>
      <c r="W83" s="861">
        <f t="shared" si="28"/>
        <v>112.76924069692407</v>
      </c>
      <c r="X83" s="861">
        <f t="shared" si="28"/>
        <v>113.99999999999999</v>
      </c>
      <c r="Y83" s="861">
        <f t="shared" si="28"/>
        <v>113.30002151000214</v>
      </c>
      <c r="Z83" s="861">
        <f t="shared" si="28"/>
        <v>113</v>
      </c>
      <c r="AA83" s="861">
        <f t="shared" si="28"/>
        <v>114</v>
      </c>
      <c r="AB83" s="861">
        <f t="shared" si="28"/>
        <v>110.06147558614757</v>
      </c>
      <c r="AC83" s="861">
        <f t="shared" si="28"/>
        <v>111.3548289954829</v>
      </c>
      <c r="AD83" s="861">
        <f t="shared" si="28"/>
        <v>111.29997848999786</v>
      </c>
      <c r="AE83" s="861">
        <f t="shared" si="28"/>
        <v>108.12501613250161</v>
      </c>
      <c r="AF83" s="861">
        <f t="shared" si="28"/>
        <v>109.50002151000217</v>
      </c>
      <c r="AG83" s="861">
        <f t="shared" si="28"/>
        <v>110.05003226500324</v>
      </c>
      <c r="AH83" s="861">
        <f t="shared" si="29"/>
        <v>111.63838459883846</v>
      </c>
      <c r="AJ83" s="709"/>
      <c r="AK83" s="936">
        <f t="shared" ca="1" si="30"/>
        <v>6.4242491419429841</v>
      </c>
      <c r="AL83" s="861">
        <f t="shared" si="31"/>
        <v>1339.6606151860615</v>
      </c>
      <c r="AM83" s="861">
        <v>48.450063699185435</v>
      </c>
      <c r="AN83" s="863">
        <f t="shared" si="32"/>
        <v>1388.1106788852469</v>
      </c>
      <c r="AO83" s="936">
        <f t="shared" ca="1" si="33"/>
        <v>8917.5688377504412</v>
      </c>
      <c r="AP83" s="936">
        <f t="shared" ca="1" si="34"/>
        <v>238.87424914194298</v>
      </c>
      <c r="AQ83" s="936">
        <f t="shared" ca="1" si="35"/>
        <v>320010.42355760385</v>
      </c>
      <c r="AS83" s="936">
        <f>+IFERROR(VLOOKUP(C83,'Rural - Price Out '!$C:$F,3,FALSE),0)</f>
        <v>259.02999999999997</v>
      </c>
      <c r="AT83" s="909">
        <f t="shared" ca="1" si="36"/>
        <v>-20.15575085805699</v>
      </c>
    </row>
    <row r="84" spans="1:46" s="840" customFormat="1">
      <c r="A84" s="840" t="str">
        <f t="shared" si="26"/>
        <v>PacificCommercialFL004.0Y1W001CMP</v>
      </c>
      <c r="B84" s="840">
        <f t="shared" si="25"/>
        <v>1</v>
      </c>
      <c r="C84" s="859" t="s">
        <v>2088</v>
      </c>
      <c r="D84" s="859" t="s">
        <v>2089</v>
      </c>
      <c r="E84" s="859">
        <v>599.23</v>
      </c>
      <c r="F84" s="859"/>
      <c r="G84" s="860"/>
      <c r="H84" s="861">
        <v>1797.69</v>
      </c>
      <c r="I84" s="861">
        <v>1797.69</v>
      </c>
      <c r="J84" s="861">
        <v>1797.69</v>
      </c>
      <c r="K84" s="861">
        <v>1797.69</v>
      </c>
      <c r="L84" s="861">
        <v>1797.69</v>
      </c>
      <c r="M84" s="861">
        <v>1797.69</v>
      </c>
      <c r="N84" s="861">
        <v>1797.69</v>
      </c>
      <c r="O84" s="861">
        <v>1797.69</v>
      </c>
      <c r="P84" s="861">
        <v>1797.69</v>
      </c>
      <c r="Q84" s="861">
        <v>1797.69</v>
      </c>
      <c r="R84" s="861">
        <v>1797.69</v>
      </c>
      <c r="S84" s="861">
        <v>1797.69</v>
      </c>
      <c r="T84" s="861">
        <f t="shared" si="27"/>
        <v>21572.28</v>
      </c>
      <c r="U84" s="861"/>
      <c r="V84" s="861">
        <f t="shared" si="28"/>
        <v>3</v>
      </c>
      <c r="W84" s="861">
        <f t="shared" si="28"/>
        <v>3</v>
      </c>
      <c r="X84" s="861">
        <f t="shared" si="28"/>
        <v>3</v>
      </c>
      <c r="Y84" s="861">
        <f t="shared" si="28"/>
        <v>3</v>
      </c>
      <c r="Z84" s="861">
        <f t="shared" si="28"/>
        <v>3</v>
      </c>
      <c r="AA84" s="861">
        <f t="shared" si="28"/>
        <v>3</v>
      </c>
      <c r="AB84" s="861">
        <f t="shared" si="28"/>
        <v>3</v>
      </c>
      <c r="AC84" s="861">
        <f t="shared" si="28"/>
        <v>3</v>
      </c>
      <c r="AD84" s="861">
        <f t="shared" si="28"/>
        <v>3</v>
      </c>
      <c r="AE84" s="861">
        <f t="shared" si="28"/>
        <v>3</v>
      </c>
      <c r="AF84" s="861">
        <f t="shared" si="28"/>
        <v>3</v>
      </c>
      <c r="AG84" s="861">
        <f t="shared" si="28"/>
        <v>3</v>
      </c>
      <c r="AH84" s="861">
        <f t="shared" si="29"/>
        <v>3</v>
      </c>
      <c r="AJ84" s="709"/>
      <c r="AK84" s="936">
        <f t="shared" ca="1" si="30"/>
        <v>16.560992959029875</v>
      </c>
      <c r="AL84" s="861">
        <f t="shared" si="31"/>
        <v>36</v>
      </c>
      <c r="AM84" s="861">
        <v>0</v>
      </c>
      <c r="AN84" s="863">
        <f t="shared" si="32"/>
        <v>36</v>
      </c>
      <c r="AO84" s="936">
        <f t="shared" ca="1" si="33"/>
        <v>596.19574652507549</v>
      </c>
      <c r="AP84" s="936">
        <f t="shared" ca="1" si="34"/>
        <v>615.79099295902984</v>
      </c>
      <c r="AQ84" s="936">
        <f t="shared" ca="1" si="35"/>
        <v>22168.475746525073</v>
      </c>
      <c r="AS84" s="936">
        <f>+IFERROR(VLOOKUP(C84,'Rural - Price Out '!$C:$F,3,FALSE),0)</f>
        <v>0</v>
      </c>
      <c r="AT84" s="909">
        <f t="shared" ca="1" si="36"/>
        <v>615.79099295902984</v>
      </c>
    </row>
    <row r="85" spans="1:46" s="840" customFormat="1">
      <c r="A85" s="840" t="str">
        <f t="shared" si="26"/>
        <v>PacificCommercialFL004.0Y2W001</v>
      </c>
      <c r="B85" s="840">
        <f t="shared" si="25"/>
        <v>1</v>
      </c>
      <c r="C85" s="859" t="s">
        <v>2090</v>
      </c>
      <c r="D85" s="859" t="s">
        <v>2091</v>
      </c>
      <c r="E85" s="859">
        <v>425.65</v>
      </c>
      <c r="F85" s="859"/>
      <c r="G85" s="860"/>
      <c r="H85" s="861">
        <v>22284.84</v>
      </c>
      <c r="I85" s="861">
        <v>21802.75</v>
      </c>
      <c r="J85" s="861">
        <v>20856.849999999999</v>
      </c>
      <c r="K85" s="861">
        <v>21046.03</v>
      </c>
      <c r="L85" s="861">
        <v>22133.8</v>
      </c>
      <c r="M85" s="861">
        <v>22985.1</v>
      </c>
      <c r="N85" s="861">
        <v>21764.899999999998</v>
      </c>
      <c r="O85" s="861">
        <v>23038.31</v>
      </c>
      <c r="P85" s="861">
        <v>23410.75</v>
      </c>
      <c r="Q85" s="861">
        <v>24155.63</v>
      </c>
      <c r="R85" s="861">
        <v>24262.05</v>
      </c>
      <c r="S85" s="861">
        <v>24262.05</v>
      </c>
      <c r="T85" s="861">
        <f t="shared" si="27"/>
        <v>272003.06</v>
      </c>
      <c r="U85" s="861"/>
      <c r="V85" s="861">
        <f t="shared" si="28"/>
        <v>52.354845530365324</v>
      </c>
      <c r="W85" s="861">
        <f t="shared" si="28"/>
        <v>51.222248326089513</v>
      </c>
      <c r="X85" s="861">
        <f t="shared" si="28"/>
        <v>49</v>
      </c>
      <c r="Y85" s="861">
        <f t="shared" si="28"/>
        <v>49.444449665217903</v>
      </c>
      <c r="Z85" s="861">
        <f t="shared" si="28"/>
        <v>52</v>
      </c>
      <c r="AA85" s="861">
        <f t="shared" si="28"/>
        <v>54</v>
      </c>
      <c r="AB85" s="861">
        <f t="shared" si="28"/>
        <v>51.133325502173143</v>
      </c>
      <c r="AC85" s="861">
        <f t="shared" si="28"/>
        <v>54.125008810055213</v>
      </c>
      <c r="AD85" s="861">
        <f t="shared" si="28"/>
        <v>55</v>
      </c>
      <c r="AE85" s="861">
        <f t="shared" si="28"/>
        <v>56.749982379889587</v>
      </c>
      <c r="AF85" s="861">
        <f t="shared" si="28"/>
        <v>57</v>
      </c>
      <c r="AG85" s="861">
        <f t="shared" si="28"/>
        <v>57</v>
      </c>
      <c r="AH85" s="861">
        <f t="shared" si="29"/>
        <v>53.252488351149225</v>
      </c>
      <c r="AJ85" s="709"/>
      <c r="AK85" s="936">
        <f t="shared" ca="1" si="30"/>
        <v>11.763741222921192</v>
      </c>
      <c r="AL85" s="861">
        <f t="shared" si="31"/>
        <v>639.0298602137907</v>
      </c>
      <c r="AM85" s="861">
        <v>0</v>
      </c>
      <c r="AN85" s="863">
        <f t="shared" si="32"/>
        <v>639.0298602137907</v>
      </c>
      <c r="AO85" s="936">
        <f t="shared" ca="1" si="33"/>
        <v>7517.3819092745371</v>
      </c>
      <c r="AP85" s="936">
        <f t="shared" ca="1" si="34"/>
        <v>437.41374122292115</v>
      </c>
      <c r="AQ85" s="936">
        <f t="shared" ca="1" si="35"/>
        <v>279520.44190927455</v>
      </c>
      <c r="AS85" s="936">
        <f>+IFERROR(VLOOKUP(C85,'Rural - Price Out '!$C:$F,3,FALSE),0)</f>
        <v>0</v>
      </c>
      <c r="AT85" s="909">
        <f t="shared" ca="1" si="36"/>
        <v>437.41374122292115</v>
      </c>
    </row>
    <row r="86" spans="1:46" s="840" customFormat="1">
      <c r="A86" s="840" t="str">
        <f t="shared" si="26"/>
        <v>PacificCommercialFL004.0Y3W001</v>
      </c>
      <c r="B86" s="840">
        <f t="shared" si="25"/>
        <v>1</v>
      </c>
      <c r="C86" s="859" t="s">
        <v>2092</v>
      </c>
      <c r="D86" s="859" t="s">
        <v>2093</v>
      </c>
      <c r="E86" s="859">
        <v>618.85</v>
      </c>
      <c r="F86" s="859"/>
      <c r="G86" s="860"/>
      <c r="H86" s="861">
        <v>4950.8</v>
      </c>
      <c r="I86" s="861">
        <v>4903.2</v>
      </c>
      <c r="J86" s="861">
        <v>4950.8</v>
      </c>
      <c r="K86" s="861">
        <v>4950.8</v>
      </c>
      <c r="L86" s="861">
        <v>4950.8</v>
      </c>
      <c r="M86" s="861">
        <v>4950.8</v>
      </c>
      <c r="N86" s="861">
        <v>4950.8</v>
      </c>
      <c r="O86" s="861">
        <v>4950.8</v>
      </c>
      <c r="P86" s="861">
        <v>4950.8</v>
      </c>
      <c r="Q86" s="861">
        <v>5208.6499999999996</v>
      </c>
      <c r="R86" s="861">
        <v>6188.5</v>
      </c>
      <c r="S86" s="861">
        <v>6188.5</v>
      </c>
      <c r="T86" s="861">
        <f t="shared" si="27"/>
        <v>62095.250000000007</v>
      </c>
      <c r="U86" s="861"/>
      <c r="V86" s="861">
        <f t="shared" si="28"/>
        <v>8</v>
      </c>
      <c r="W86" s="861">
        <f t="shared" si="28"/>
        <v>7.9230831380786935</v>
      </c>
      <c r="X86" s="861">
        <f t="shared" si="28"/>
        <v>8</v>
      </c>
      <c r="Y86" s="861">
        <f t="shared" ref="Y86:AG114" si="37">IFERROR(K86/$E86,0)</f>
        <v>8</v>
      </c>
      <c r="Z86" s="861">
        <f t="shared" si="37"/>
        <v>8</v>
      </c>
      <c r="AA86" s="861">
        <f t="shared" si="37"/>
        <v>8</v>
      </c>
      <c r="AB86" s="861">
        <f t="shared" si="37"/>
        <v>8</v>
      </c>
      <c r="AC86" s="861">
        <f t="shared" si="37"/>
        <v>8</v>
      </c>
      <c r="AD86" s="861">
        <f t="shared" si="37"/>
        <v>8</v>
      </c>
      <c r="AE86" s="861">
        <f t="shared" si="37"/>
        <v>8.4166599337480807</v>
      </c>
      <c r="AF86" s="861">
        <f t="shared" si="37"/>
        <v>10</v>
      </c>
      <c r="AG86" s="861">
        <f t="shared" si="37"/>
        <v>10</v>
      </c>
      <c r="AH86" s="861">
        <f t="shared" si="29"/>
        <v>8.3616452559855645</v>
      </c>
      <c r="AJ86" s="709"/>
      <c r="AK86" s="936">
        <f t="shared" ca="1" si="30"/>
        <v>17.103233303899401</v>
      </c>
      <c r="AL86" s="861">
        <f t="shared" si="31"/>
        <v>100.33974307182677</v>
      </c>
      <c r="AM86" s="861">
        <v>12</v>
      </c>
      <c r="AN86" s="863">
        <f t="shared" si="32"/>
        <v>112.33974307182677</v>
      </c>
      <c r="AO86" s="936">
        <f t="shared" ca="1" si="33"/>
        <v>1921.3728350575698</v>
      </c>
      <c r="AP86" s="936">
        <f t="shared" ca="1" si="34"/>
        <v>635.95323330389942</v>
      </c>
      <c r="AQ86" s="936">
        <f t="shared" ca="1" si="35"/>
        <v>63811.384035410782</v>
      </c>
      <c r="AS86" s="936">
        <f>+IFERROR(VLOOKUP(C86,'Rural - Price Out '!$C:$F,3,FALSE),0)</f>
        <v>731.69</v>
      </c>
      <c r="AT86" s="909">
        <f t="shared" ca="1" si="36"/>
        <v>-95.736766696100631</v>
      </c>
    </row>
    <row r="87" spans="1:46" s="840" customFormat="1">
      <c r="A87" s="840" t="str">
        <f t="shared" si="26"/>
        <v>PacificCommercialFL004.0Y4W001</v>
      </c>
      <c r="B87" s="840">
        <f t="shared" si="25"/>
        <v>1</v>
      </c>
      <c r="C87" s="859" t="s">
        <v>2094</v>
      </c>
      <c r="D87" s="859" t="s">
        <v>2095</v>
      </c>
      <c r="E87" s="859">
        <v>812.05</v>
      </c>
      <c r="F87" s="859"/>
      <c r="G87" s="860"/>
      <c r="H87" s="861">
        <v>0</v>
      </c>
      <c r="I87" s="861">
        <v>0</v>
      </c>
      <c r="J87" s="861">
        <v>812.05</v>
      </c>
      <c r="K87" s="861">
        <v>812.05</v>
      </c>
      <c r="L87" s="861">
        <v>812.05</v>
      </c>
      <c r="M87" s="861">
        <v>812.05</v>
      </c>
      <c r="N87" s="861">
        <v>812.05</v>
      </c>
      <c r="O87" s="861">
        <v>812.05</v>
      </c>
      <c r="P87" s="861">
        <v>812.05</v>
      </c>
      <c r="Q87" s="861">
        <v>812.05</v>
      </c>
      <c r="R87" s="861">
        <v>812.05</v>
      </c>
      <c r="S87" s="861">
        <v>812.05</v>
      </c>
      <c r="T87" s="861">
        <f t="shared" si="27"/>
        <v>8120.5000000000009</v>
      </c>
      <c r="U87" s="861"/>
      <c r="V87" s="861">
        <f t="shared" ref="V87:AA118" si="38">IFERROR(H87/$E87,0)</f>
        <v>0</v>
      </c>
      <c r="W87" s="861">
        <f t="shared" si="38"/>
        <v>0</v>
      </c>
      <c r="X87" s="861">
        <f t="shared" si="38"/>
        <v>1</v>
      </c>
      <c r="Y87" s="861">
        <f t="shared" si="37"/>
        <v>1</v>
      </c>
      <c r="Z87" s="861">
        <f t="shared" si="37"/>
        <v>1</v>
      </c>
      <c r="AA87" s="861">
        <f t="shared" si="37"/>
        <v>1</v>
      </c>
      <c r="AB87" s="861">
        <f t="shared" si="37"/>
        <v>1</v>
      </c>
      <c r="AC87" s="861">
        <f t="shared" si="37"/>
        <v>1</v>
      </c>
      <c r="AD87" s="861">
        <f t="shared" si="37"/>
        <v>1</v>
      </c>
      <c r="AE87" s="861">
        <f t="shared" si="37"/>
        <v>1</v>
      </c>
      <c r="AF87" s="861">
        <f t="shared" si="37"/>
        <v>1</v>
      </c>
      <c r="AG87" s="861">
        <f t="shared" si="37"/>
        <v>1</v>
      </c>
      <c r="AH87" s="861">
        <f t="shared" si="29"/>
        <v>0.83333333333333337</v>
      </c>
      <c r="AJ87" s="709"/>
      <c r="AK87" s="936">
        <f t="shared" ca="1" si="30"/>
        <v>22.442725384877608</v>
      </c>
      <c r="AL87" s="861">
        <f t="shared" si="31"/>
        <v>10</v>
      </c>
      <c r="AM87" s="861">
        <v>0</v>
      </c>
      <c r="AN87" s="863">
        <f t="shared" si="32"/>
        <v>10</v>
      </c>
      <c r="AO87" s="936">
        <f t="shared" ca="1" si="33"/>
        <v>224.42725384877608</v>
      </c>
      <c r="AP87" s="936">
        <f t="shared" ca="1" si="34"/>
        <v>834.49272538487753</v>
      </c>
      <c r="AQ87" s="936">
        <f t="shared" ca="1" si="35"/>
        <v>8344.9272538487767</v>
      </c>
      <c r="AS87" s="936">
        <f>+IFERROR(VLOOKUP(C87,'Rural - Price Out '!$C:$F,3,FALSE),0)</f>
        <v>0</v>
      </c>
      <c r="AT87" s="909">
        <f t="shared" ca="1" si="36"/>
        <v>834.49272538487753</v>
      </c>
    </row>
    <row r="88" spans="1:46" s="840" customFormat="1">
      <c r="A88" s="840" t="str">
        <f t="shared" si="26"/>
        <v>PacificCommercialFL004.0Y5W001</v>
      </c>
      <c r="B88" s="840">
        <f t="shared" si="25"/>
        <v>1</v>
      </c>
      <c r="C88" s="859" t="s">
        <v>2096</v>
      </c>
      <c r="D88" s="859" t="s">
        <v>2097</v>
      </c>
      <c r="E88" s="859">
        <v>1005.25</v>
      </c>
      <c r="F88" s="859"/>
      <c r="G88" s="860"/>
      <c r="H88" s="861">
        <v>4021</v>
      </c>
      <c r="I88" s="861">
        <v>4021</v>
      </c>
      <c r="J88" s="861">
        <v>4021</v>
      </c>
      <c r="K88" s="861">
        <v>4021</v>
      </c>
      <c r="L88" s="861">
        <v>4021</v>
      </c>
      <c r="M88" s="861">
        <v>4021</v>
      </c>
      <c r="N88" s="861">
        <v>4021</v>
      </c>
      <c r="O88" s="861">
        <v>4021</v>
      </c>
      <c r="P88" s="861">
        <v>4021</v>
      </c>
      <c r="Q88" s="861">
        <v>4021</v>
      </c>
      <c r="R88" s="861">
        <v>4021</v>
      </c>
      <c r="S88" s="861">
        <v>4021</v>
      </c>
      <c r="T88" s="861">
        <f t="shared" si="27"/>
        <v>48252</v>
      </c>
      <c r="U88" s="861"/>
      <c r="V88" s="861">
        <f t="shared" si="38"/>
        <v>4</v>
      </c>
      <c r="W88" s="861">
        <f t="shared" si="38"/>
        <v>4</v>
      </c>
      <c r="X88" s="861">
        <f t="shared" si="38"/>
        <v>4</v>
      </c>
      <c r="Y88" s="861">
        <f t="shared" si="37"/>
        <v>4</v>
      </c>
      <c r="Z88" s="861">
        <f t="shared" si="37"/>
        <v>4</v>
      </c>
      <c r="AA88" s="861">
        <f t="shared" si="37"/>
        <v>4</v>
      </c>
      <c r="AB88" s="861">
        <f t="shared" si="37"/>
        <v>4</v>
      </c>
      <c r="AC88" s="861">
        <f t="shared" si="37"/>
        <v>4</v>
      </c>
      <c r="AD88" s="861">
        <f t="shared" si="37"/>
        <v>4</v>
      </c>
      <c r="AE88" s="861">
        <f t="shared" si="37"/>
        <v>4</v>
      </c>
      <c r="AF88" s="861">
        <f t="shared" si="37"/>
        <v>4</v>
      </c>
      <c r="AG88" s="861">
        <f t="shared" si="37"/>
        <v>4</v>
      </c>
      <c r="AH88" s="861">
        <f t="shared" si="29"/>
        <v>4</v>
      </c>
      <c r="AJ88" s="709"/>
      <c r="AK88" s="936">
        <f t="shared" ca="1" si="30"/>
        <v>27.782217465855819</v>
      </c>
      <c r="AL88" s="861">
        <f t="shared" si="31"/>
        <v>48</v>
      </c>
      <c r="AM88" s="861">
        <v>0</v>
      </c>
      <c r="AN88" s="863">
        <f t="shared" si="32"/>
        <v>48</v>
      </c>
      <c r="AO88" s="936">
        <f t="shared" ca="1" si="33"/>
        <v>1333.5464383610793</v>
      </c>
      <c r="AP88" s="936">
        <f t="shared" ca="1" si="34"/>
        <v>1033.0322174658559</v>
      </c>
      <c r="AQ88" s="936">
        <f t="shared" ca="1" si="35"/>
        <v>49585.546438361082</v>
      </c>
      <c r="AS88" s="936">
        <f>+IFERROR(VLOOKUP(C88,'Rural - Price Out '!$C:$F,3,FALSE),0)</f>
        <v>0</v>
      </c>
      <c r="AT88" s="909">
        <f t="shared" ca="1" si="36"/>
        <v>1033.0322174658559</v>
      </c>
    </row>
    <row r="89" spans="1:46" s="840" customFormat="1">
      <c r="A89" s="840" t="str">
        <f t="shared" si="26"/>
        <v>PacificCommercialFL005.0Y1W001</v>
      </c>
      <c r="B89" s="840">
        <f t="shared" si="25"/>
        <v>1</v>
      </c>
      <c r="C89" s="859" t="s">
        <v>2098</v>
      </c>
      <c r="D89" s="859" t="s">
        <v>2099</v>
      </c>
      <c r="E89" s="859">
        <v>280.64</v>
      </c>
      <c r="F89" s="859"/>
      <c r="G89" s="860"/>
      <c r="H89" s="861">
        <v>12909.439999999999</v>
      </c>
      <c r="I89" s="861">
        <v>12909.439999999999</v>
      </c>
      <c r="J89" s="861">
        <v>13400.560000000001</v>
      </c>
      <c r="K89" s="861">
        <v>12951.54</v>
      </c>
      <c r="L89" s="861">
        <v>13330.399999999998</v>
      </c>
      <c r="M89" s="861">
        <v>12348.16</v>
      </c>
      <c r="N89" s="861">
        <v>12684.93</v>
      </c>
      <c r="O89" s="861">
        <v>13007.66</v>
      </c>
      <c r="P89" s="861">
        <v>13021.7</v>
      </c>
      <c r="Q89" s="861">
        <v>12628.8</v>
      </c>
      <c r="R89" s="861">
        <v>12909.439999999999</v>
      </c>
      <c r="S89" s="861">
        <v>12909.439999999999</v>
      </c>
      <c r="T89" s="861">
        <f t="shared" si="27"/>
        <v>155011.51</v>
      </c>
      <c r="U89" s="861"/>
      <c r="V89" s="861">
        <f t="shared" si="38"/>
        <v>46</v>
      </c>
      <c r="W89" s="861">
        <f t="shared" si="38"/>
        <v>46</v>
      </c>
      <c r="X89" s="861">
        <f t="shared" si="38"/>
        <v>47.750000000000007</v>
      </c>
      <c r="Y89" s="861">
        <f t="shared" si="37"/>
        <v>46.150014253135694</v>
      </c>
      <c r="Z89" s="861">
        <f t="shared" si="37"/>
        <v>47.499999999999993</v>
      </c>
      <c r="AA89" s="861">
        <f t="shared" si="37"/>
        <v>44</v>
      </c>
      <c r="AB89" s="861">
        <f t="shared" si="37"/>
        <v>45.200007126567847</v>
      </c>
      <c r="AC89" s="861">
        <f t="shared" si="37"/>
        <v>46.349985746864313</v>
      </c>
      <c r="AD89" s="861">
        <f t="shared" si="37"/>
        <v>46.400014253135694</v>
      </c>
      <c r="AE89" s="861">
        <f t="shared" si="37"/>
        <v>45</v>
      </c>
      <c r="AF89" s="861">
        <f t="shared" si="37"/>
        <v>46</v>
      </c>
      <c r="AG89" s="861">
        <f t="shared" si="37"/>
        <v>46</v>
      </c>
      <c r="AH89" s="861">
        <f t="shared" si="29"/>
        <v>46.029168448308631</v>
      </c>
      <c r="AJ89" s="709"/>
      <c r="AK89" s="936">
        <f t="shared" ca="1" si="30"/>
        <v>7.7560820787045772</v>
      </c>
      <c r="AL89" s="861">
        <f t="shared" si="31"/>
        <v>552.35002137970355</v>
      </c>
      <c r="AM89" s="861">
        <v>0</v>
      </c>
      <c r="AN89" s="863">
        <f t="shared" si="32"/>
        <v>552.35002137970355</v>
      </c>
      <c r="AO89" s="936">
        <f t="shared" ca="1" si="33"/>
        <v>4284.0721019952089</v>
      </c>
      <c r="AP89" s="936">
        <f t="shared" ca="1" si="34"/>
        <v>288.39608207870458</v>
      </c>
      <c r="AQ89" s="936">
        <f t="shared" ca="1" si="35"/>
        <v>159295.58210199521</v>
      </c>
      <c r="AS89" s="936">
        <f>+IFERROR(VLOOKUP(C89,'Rural - Price Out '!$C:$F,3,FALSE),0)</f>
        <v>0</v>
      </c>
      <c r="AT89" s="909">
        <f t="shared" ca="1" si="36"/>
        <v>288.39608207870458</v>
      </c>
    </row>
    <row r="90" spans="1:46" s="840" customFormat="1">
      <c r="A90" s="840" t="str">
        <f t="shared" si="26"/>
        <v>PacificCommercialFL005.0Y2W001</v>
      </c>
      <c r="B90" s="840">
        <f t="shared" si="25"/>
        <v>1</v>
      </c>
      <c r="C90" s="859" t="s">
        <v>2100</v>
      </c>
      <c r="D90" s="859" t="s">
        <v>2101</v>
      </c>
      <c r="E90" s="859">
        <v>513.38</v>
      </c>
      <c r="F90" s="859"/>
      <c r="G90" s="860"/>
      <c r="H90" s="861">
        <v>9754.2200000000012</v>
      </c>
      <c r="I90" s="861">
        <v>9754.2200000000012</v>
      </c>
      <c r="J90" s="861">
        <v>9240.84</v>
      </c>
      <c r="K90" s="861">
        <v>9548.869999999999</v>
      </c>
      <c r="L90" s="861">
        <v>9754.2200000000012</v>
      </c>
      <c r="M90" s="861">
        <v>9754.2200000000012</v>
      </c>
      <c r="N90" s="861">
        <v>10096.470000000001</v>
      </c>
      <c r="O90" s="861">
        <v>10267.6</v>
      </c>
      <c r="P90" s="861">
        <v>10666.9</v>
      </c>
      <c r="Q90" s="861">
        <v>10780.98</v>
      </c>
      <c r="R90" s="861">
        <v>10780.98</v>
      </c>
      <c r="S90" s="861">
        <v>10780.98</v>
      </c>
      <c r="T90" s="861">
        <f t="shared" si="27"/>
        <v>121180.49999999999</v>
      </c>
      <c r="U90" s="861"/>
      <c r="V90" s="861">
        <f t="shared" si="38"/>
        <v>19.000000000000004</v>
      </c>
      <c r="W90" s="861">
        <f t="shared" si="38"/>
        <v>19.000000000000004</v>
      </c>
      <c r="X90" s="861">
        <f t="shared" si="38"/>
        <v>18</v>
      </c>
      <c r="Y90" s="861">
        <f t="shared" si="37"/>
        <v>18.600003895749737</v>
      </c>
      <c r="Z90" s="861">
        <f t="shared" si="37"/>
        <v>19.000000000000004</v>
      </c>
      <c r="AA90" s="861">
        <f t="shared" si="37"/>
        <v>19.000000000000004</v>
      </c>
      <c r="AB90" s="861">
        <f t="shared" si="37"/>
        <v>19.66666017375044</v>
      </c>
      <c r="AC90" s="861">
        <f t="shared" si="37"/>
        <v>20</v>
      </c>
      <c r="AD90" s="861">
        <f t="shared" si="37"/>
        <v>20.777786434999417</v>
      </c>
      <c r="AE90" s="861">
        <f t="shared" si="37"/>
        <v>21</v>
      </c>
      <c r="AF90" s="861">
        <f t="shared" si="37"/>
        <v>21</v>
      </c>
      <c r="AG90" s="861">
        <f t="shared" si="37"/>
        <v>21</v>
      </c>
      <c r="AH90" s="861">
        <f t="shared" si="29"/>
        <v>19.670370875374967</v>
      </c>
      <c r="AJ90" s="709"/>
      <c r="AK90" s="936">
        <f t="shared" ca="1" si="30"/>
        <v>14.188345986193545</v>
      </c>
      <c r="AL90" s="861">
        <f t="shared" si="31"/>
        <v>236.04445050449959</v>
      </c>
      <c r="AM90" s="861">
        <v>0</v>
      </c>
      <c r="AN90" s="863">
        <f t="shared" si="32"/>
        <v>236.04445050449959</v>
      </c>
      <c r="AO90" s="936">
        <f t="shared" ca="1" si="33"/>
        <v>3349.0803318787775</v>
      </c>
      <c r="AP90" s="936">
        <f t="shared" ca="1" si="34"/>
        <v>527.56834598619355</v>
      </c>
      <c r="AQ90" s="936">
        <f t="shared" ca="1" si="35"/>
        <v>124529.58033187879</v>
      </c>
      <c r="AS90" s="936">
        <f>+IFERROR(VLOOKUP(C90,'Rural - Price Out '!$C:$F,3,FALSE),0)</f>
        <v>0</v>
      </c>
      <c r="AT90" s="909">
        <f t="shared" ca="1" si="36"/>
        <v>527.56834598619355</v>
      </c>
    </row>
    <row r="91" spans="1:46" s="840" customFormat="1">
      <c r="A91" s="840" t="str">
        <f t="shared" si="26"/>
        <v>PacificCommercialFL005.0Y3W001</v>
      </c>
      <c r="B91" s="840">
        <f t="shared" si="25"/>
        <v>1</v>
      </c>
      <c r="C91" s="859" t="s">
        <v>2102</v>
      </c>
      <c r="D91" s="859" t="s">
        <v>2103</v>
      </c>
      <c r="E91" s="859">
        <v>746.12</v>
      </c>
      <c r="F91" s="859"/>
      <c r="G91" s="860"/>
      <c r="H91" s="861">
        <v>5222.84</v>
      </c>
      <c r="I91" s="861">
        <v>5222.84</v>
      </c>
      <c r="J91" s="861">
        <v>3214.06</v>
      </c>
      <c r="K91" s="861">
        <v>3464.13</v>
      </c>
      <c r="L91" s="861">
        <v>3730.6000000000004</v>
      </c>
      <c r="M91" s="861">
        <v>3730.6000000000004</v>
      </c>
      <c r="N91" s="861">
        <v>3730.6000000000004</v>
      </c>
      <c r="O91" s="861">
        <v>3730.6000000000004</v>
      </c>
      <c r="P91" s="861">
        <v>3730.6000000000004</v>
      </c>
      <c r="Q91" s="861">
        <v>3730.6000000000004</v>
      </c>
      <c r="R91" s="861">
        <v>3730.6000000000004</v>
      </c>
      <c r="S91" s="861">
        <v>4304.54</v>
      </c>
      <c r="T91" s="861">
        <f t="shared" si="27"/>
        <v>47542.609999999993</v>
      </c>
      <c r="U91" s="861"/>
      <c r="V91" s="861">
        <f t="shared" si="38"/>
        <v>7</v>
      </c>
      <c r="W91" s="861">
        <f t="shared" si="38"/>
        <v>7</v>
      </c>
      <c r="X91" s="861">
        <f t="shared" si="38"/>
        <v>4.3076984935399132</v>
      </c>
      <c r="Y91" s="861">
        <f t="shared" si="37"/>
        <v>4.6428590575242588</v>
      </c>
      <c r="Z91" s="861">
        <f t="shared" si="37"/>
        <v>5.0000000000000009</v>
      </c>
      <c r="AA91" s="861">
        <f t="shared" si="37"/>
        <v>5.0000000000000009</v>
      </c>
      <c r="AB91" s="861">
        <f t="shared" si="37"/>
        <v>5.0000000000000009</v>
      </c>
      <c r="AC91" s="861">
        <f t="shared" si="37"/>
        <v>5.0000000000000009</v>
      </c>
      <c r="AD91" s="861">
        <f t="shared" si="37"/>
        <v>5.0000000000000009</v>
      </c>
      <c r="AE91" s="861">
        <f t="shared" si="37"/>
        <v>5.0000000000000009</v>
      </c>
      <c r="AF91" s="861">
        <f t="shared" si="37"/>
        <v>5.0000000000000009</v>
      </c>
      <c r="AG91" s="861">
        <f t="shared" si="37"/>
        <v>5.7692328311799708</v>
      </c>
      <c r="AH91" s="861">
        <f t="shared" si="29"/>
        <v>5.3099825318536782</v>
      </c>
      <c r="AJ91" s="709"/>
      <c r="AK91" s="936">
        <f t="shared" ca="1" si="30"/>
        <v>20.620609893682509</v>
      </c>
      <c r="AL91" s="861">
        <f t="shared" si="31"/>
        <v>63.719790382244142</v>
      </c>
      <c r="AM91" s="861">
        <v>0</v>
      </c>
      <c r="AN91" s="863">
        <f t="shared" si="32"/>
        <v>63.719790382244142</v>
      </c>
      <c r="AO91" s="936">
        <f t="shared" ca="1" si="33"/>
        <v>1313.9409399794793</v>
      </c>
      <c r="AP91" s="936">
        <f t="shared" ca="1" si="34"/>
        <v>766.74060989368252</v>
      </c>
      <c r="AQ91" s="936">
        <f t="shared" ca="1" si="35"/>
        <v>48856.550939979476</v>
      </c>
      <c r="AS91" s="936">
        <f>+IFERROR(VLOOKUP(C91,'Rural - Price Out '!$C:$F,3,FALSE),0)</f>
        <v>0</v>
      </c>
      <c r="AT91" s="909">
        <f t="shared" ca="1" si="36"/>
        <v>766.74060989368252</v>
      </c>
    </row>
    <row r="92" spans="1:46" s="840" customFormat="1">
      <c r="A92" s="840" t="str">
        <f t="shared" si="26"/>
        <v>PacificCommercialFL006.0Y1W001</v>
      </c>
      <c r="B92" s="840">
        <f t="shared" si="25"/>
        <v>1</v>
      </c>
      <c r="C92" s="859" t="s">
        <v>2104</v>
      </c>
      <c r="D92" s="859" t="s">
        <v>2105</v>
      </c>
      <c r="E92" s="859">
        <v>316.87</v>
      </c>
      <c r="F92" s="859"/>
      <c r="G92" s="860"/>
      <c r="H92" s="861">
        <v>51222.039999999994</v>
      </c>
      <c r="I92" s="861">
        <v>47213.63</v>
      </c>
      <c r="J92" s="861">
        <v>50208.060000000005</v>
      </c>
      <c r="K92" s="861">
        <v>49849.78</v>
      </c>
      <c r="L92" s="861">
        <v>50445.709999999992</v>
      </c>
      <c r="M92" s="861">
        <v>49875.33</v>
      </c>
      <c r="N92" s="861">
        <v>48901.130000000005</v>
      </c>
      <c r="O92" s="861">
        <v>49510.94</v>
      </c>
      <c r="P92" s="861">
        <v>50921.01</v>
      </c>
      <c r="Q92" s="861">
        <v>48877.2</v>
      </c>
      <c r="R92" s="861">
        <v>50002.09</v>
      </c>
      <c r="S92" s="861">
        <v>50461.55</v>
      </c>
      <c r="T92" s="861">
        <f t="shared" si="27"/>
        <v>597488.47000000009</v>
      </c>
      <c r="U92" s="861"/>
      <c r="V92" s="861">
        <f t="shared" si="38"/>
        <v>161.65001420140749</v>
      </c>
      <c r="W92" s="861">
        <f t="shared" si="38"/>
        <v>149</v>
      </c>
      <c r="X92" s="861">
        <f t="shared" si="38"/>
        <v>158.45002682488087</v>
      </c>
      <c r="Y92" s="861">
        <f t="shared" si="37"/>
        <v>157.31934231703852</v>
      </c>
      <c r="Z92" s="861">
        <f t="shared" si="37"/>
        <v>159.20001893520998</v>
      </c>
      <c r="AA92" s="861">
        <f t="shared" si="37"/>
        <v>157.3999747530533</v>
      </c>
      <c r="AB92" s="861">
        <f t="shared" si="37"/>
        <v>154.3255278189794</v>
      </c>
      <c r="AC92" s="861">
        <f t="shared" si="37"/>
        <v>156.25000788967085</v>
      </c>
      <c r="AD92" s="861">
        <f t="shared" si="37"/>
        <v>160.70000315586833</v>
      </c>
      <c r="AE92" s="861">
        <f t="shared" si="37"/>
        <v>154.25000788967083</v>
      </c>
      <c r="AF92" s="861">
        <f t="shared" si="37"/>
        <v>157.80001262347332</v>
      </c>
      <c r="AG92" s="861">
        <f t="shared" si="37"/>
        <v>159.25000788967085</v>
      </c>
      <c r="AH92" s="861">
        <f t="shared" si="29"/>
        <v>157.1329120249103</v>
      </c>
      <c r="AJ92" s="709"/>
      <c r="AK92" s="936">
        <f t="shared" ca="1" si="30"/>
        <v>8.757375029500853</v>
      </c>
      <c r="AL92" s="861">
        <f t="shared" si="31"/>
        <v>1885.5949442989236</v>
      </c>
      <c r="AM92" s="861">
        <v>189.3500026656715</v>
      </c>
      <c r="AN92" s="863">
        <f t="shared" si="32"/>
        <v>2074.9449469645951</v>
      </c>
      <c r="AO92" s="936">
        <f t="shared" ca="1" si="33"/>
        <v>18171.071066136716</v>
      </c>
      <c r="AP92" s="936">
        <f t="shared" ca="1" si="34"/>
        <v>325.62737502950085</v>
      </c>
      <c r="AQ92" s="936">
        <f t="shared" ca="1" si="35"/>
        <v>614001.33208095632</v>
      </c>
      <c r="AS92" s="936">
        <f>+IFERROR(VLOOKUP(C92,'Rural - Price Out '!$C:$F,3,FALSE),0)</f>
        <v>375.14</v>
      </c>
      <c r="AT92" s="909">
        <f t="shared" ca="1" si="36"/>
        <v>-49.512624970499132</v>
      </c>
    </row>
    <row r="93" spans="1:46" s="840" customFormat="1">
      <c r="A93" s="840" t="str">
        <f t="shared" si="26"/>
        <v>PacificCommercialFL006.0Y2W001</v>
      </c>
      <c r="B93" s="840">
        <f t="shared" si="25"/>
        <v>1</v>
      </c>
      <c r="C93" s="859" t="s">
        <v>2106</v>
      </c>
      <c r="D93" s="859" t="s">
        <v>2107</v>
      </c>
      <c r="E93" s="859">
        <v>584.33000000000004</v>
      </c>
      <c r="F93" s="859"/>
      <c r="G93" s="860"/>
      <c r="H93" s="861">
        <v>56769.279999999999</v>
      </c>
      <c r="I93" s="861">
        <v>59536.740000000005</v>
      </c>
      <c r="J93" s="861">
        <v>52589.700000000004</v>
      </c>
      <c r="K93" s="861">
        <v>57322.75</v>
      </c>
      <c r="L93" s="861">
        <v>60185.990000000005</v>
      </c>
      <c r="M93" s="861">
        <v>60185.99</v>
      </c>
      <c r="N93" s="861">
        <v>59108.22</v>
      </c>
      <c r="O93" s="861">
        <v>59333.840000000004</v>
      </c>
      <c r="P93" s="861">
        <v>59017.33</v>
      </c>
      <c r="Q93" s="861">
        <v>59090.37</v>
      </c>
      <c r="R93" s="861">
        <v>59171.53</v>
      </c>
      <c r="S93" s="861">
        <v>59601.66</v>
      </c>
      <c r="T93" s="861">
        <f t="shared" si="27"/>
        <v>701913.40000000014</v>
      </c>
      <c r="U93" s="861"/>
      <c r="V93" s="861">
        <f t="shared" si="38"/>
        <v>97.152773261684317</v>
      </c>
      <c r="W93" s="861">
        <f t="shared" si="38"/>
        <v>101.88889839645407</v>
      </c>
      <c r="X93" s="861">
        <f t="shared" si="38"/>
        <v>90</v>
      </c>
      <c r="Y93" s="861">
        <f t="shared" si="37"/>
        <v>98.099960638680187</v>
      </c>
      <c r="Z93" s="861">
        <f t="shared" si="37"/>
        <v>103</v>
      </c>
      <c r="AA93" s="861">
        <f t="shared" si="37"/>
        <v>102.99999999999999</v>
      </c>
      <c r="AB93" s="861">
        <f t="shared" si="37"/>
        <v>101.15554566768778</v>
      </c>
      <c r="AC93" s="861">
        <f t="shared" si="37"/>
        <v>101.54166310132973</v>
      </c>
      <c r="AD93" s="861">
        <f t="shared" si="37"/>
        <v>101</v>
      </c>
      <c r="AE93" s="861">
        <f t="shared" si="37"/>
        <v>101.12499786079783</v>
      </c>
      <c r="AF93" s="861">
        <f t="shared" si="37"/>
        <v>101.26389197884755</v>
      </c>
      <c r="AG93" s="861">
        <f t="shared" si="37"/>
        <v>102</v>
      </c>
      <c r="AH93" s="861">
        <f t="shared" si="29"/>
        <v>100.10231090879012</v>
      </c>
      <c r="AJ93" s="709"/>
      <c r="AK93" s="936">
        <f t="shared" ca="1" si="30"/>
        <v>16.149199832701846</v>
      </c>
      <c r="AL93" s="861">
        <f t="shared" si="31"/>
        <v>1201.2277309054814</v>
      </c>
      <c r="AM93" s="861">
        <v>0</v>
      </c>
      <c r="AN93" s="863">
        <f t="shared" si="32"/>
        <v>1201.2277309054814</v>
      </c>
      <c r="AO93" s="936">
        <f t="shared" ca="1" si="33"/>
        <v>19398.866670975618</v>
      </c>
      <c r="AP93" s="936">
        <f t="shared" ca="1" si="34"/>
        <v>600.47919983270185</v>
      </c>
      <c r="AQ93" s="936">
        <f t="shared" ca="1" si="35"/>
        <v>721312.2666709756</v>
      </c>
      <c r="AS93" s="936">
        <f>+IFERROR(VLOOKUP(C93,'Rural - Price Out '!$C:$F,3,FALSE),0)</f>
        <v>0</v>
      </c>
      <c r="AT93" s="909">
        <f t="shared" ca="1" si="36"/>
        <v>600.47919983270185</v>
      </c>
    </row>
    <row r="94" spans="1:46" s="840" customFormat="1" ht="12">
      <c r="A94" s="840" t="str">
        <f t="shared" si="26"/>
        <v>PacificCommercialFL006.0Y3W001</v>
      </c>
      <c r="B94" s="840">
        <f t="shared" si="25"/>
        <v>1</v>
      </c>
      <c r="C94" s="859" t="s">
        <v>2108</v>
      </c>
      <c r="D94" s="859" t="s">
        <v>2109</v>
      </c>
      <c r="E94" s="859">
        <v>851.79</v>
      </c>
      <c r="F94" s="859"/>
      <c r="G94" s="860"/>
      <c r="H94" s="861">
        <v>28109.07</v>
      </c>
      <c r="I94" s="861">
        <v>25553.699999999997</v>
      </c>
      <c r="J94" s="861">
        <v>23850.12</v>
      </c>
      <c r="K94" s="861">
        <v>25797.07</v>
      </c>
      <c r="L94" s="861">
        <v>26405.489999999998</v>
      </c>
      <c r="M94" s="861">
        <v>26770.539999999997</v>
      </c>
      <c r="N94" s="861">
        <v>28109.07</v>
      </c>
      <c r="O94" s="861">
        <v>28109.07</v>
      </c>
      <c r="P94" s="861">
        <v>28109.07</v>
      </c>
      <c r="Q94" s="861">
        <v>28109.07</v>
      </c>
      <c r="R94" s="861">
        <v>28305.63</v>
      </c>
      <c r="S94" s="861">
        <v>29550.560000000001</v>
      </c>
      <c r="T94" s="861">
        <f t="shared" si="27"/>
        <v>326778.46000000002</v>
      </c>
      <c r="U94" s="861"/>
      <c r="V94" s="861">
        <f t="shared" si="38"/>
        <v>33</v>
      </c>
      <c r="W94" s="861">
        <f t="shared" si="38"/>
        <v>29.999999999999996</v>
      </c>
      <c r="X94" s="861">
        <f t="shared" si="38"/>
        <v>28</v>
      </c>
      <c r="Y94" s="861">
        <f t="shared" si="37"/>
        <v>30.285715962854695</v>
      </c>
      <c r="Z94" s="861">
        <f t="shared" si="37"/>
        <v>31</v>
      </c>
      <c r="AA94" s="861">
        <f t="shared" si="37"/>
        <v>31.42856807429061</v>
      </c>
      <c r="AB94" s="861">
        <f t="shared" si="37"/>
        <v>33</v>
      </c>
      <c r="AC94" s="861">
        <f t="shared" si="37"/>
        <v>33</v>
      </c>
      <c r="AD94" s="861">
        <f t="shared" si="37"/>
        <v>33</v>
      </c>
      <c r="AE94" s="861">
        <f t="shared" si="37"/>
        <v>33</v>
      </c>
      <c r="AF94" s="861">
        <f t="shared" si="37"/>
        <v>33.230761103088795</v>
      </c>
      <c r="AG94" s="861">
        <f t="shared" si="37"/>
        <v>34.692306789232092</v>
      </c>
      <c r="AH94" s="861">
        <f t="shared" si="29"/>
        <v>31.969779327455512</v>
      </c>
      <c r="AK94" s="936">
        <f t="shared" ca="1" si="30"/>
        <v>23.541024635902836</v>
      </c>
      <c r="AL94" s="861">
        <f t="shared" si="31"/>
        <v>383.63735192946615</v>
      </c>
      <c r="AM94" s="861">
        <v>12</v>
      </c>
      <c r="AN94" s="863">
        <f t="shared" si="32"/>
        <v>395.63735192946615</v>
      </c>
      <c r="AO94" s="936">
        <f t="shared" ca="1" si="33"/>
        <v>9313.7086486549233</v>
      </c>
      <c r="AP94" s="936">
        <f t="shared" ca="1" si="34"/>
        <v>875.33102463590285</v>
      </c>
      <c r="AQ94" s="936">
        <f t="shared" ca="1" si="35"/>
        <v>335809.67635302409</v>
      </c>
      <c r="AS94" s="936">
        <f>+IFERROR(VLOOKUP(C94,'Rural - Price Out '!$C:$F,3,FALSE),0)</f>
        <v>1058.58</v>
      </c>
      <c r="AT94" s="909">
        <f t="shared" ca="1" si="36"/>
        <v>-183.24897536409708</v>
      </c>
    </row>
    <row r="95" spans="1:46" s="840" customFormat="1">
      <c r="A95" s="840" t="str">
        <f t="shared" si="26"/>
        <v>PacificCommercialFL006.0Y4W001</v>
      </c>
      <c r="B95" s="840">
        <f t="shared" si="25"/>
        <v>1</v>
      </c>
      <c r="C95" s="859" t="s">
        <v>2110</v>
      </c>
      <c r="D95" s="859" t="s">
        <v>2111</v>
      </c>
      <c r="E95" s="859">
        <v>1119.25</v>
      </c>
      <c r="F95" s="859"/>
      <c r="G95" s="860"/>
      <c r="H95" s="861">
        <v>7834.75</v>
      </c>
      <c r="I95" s="861">
        <v>7834.75</v>
      </c>
      <c r="J95" s="861">
        <v>7834.75</v>
      </c>
      <c r="K95" s="861">
        <v>7834.75</v>
      </c>
      <c r="L95" s="861">
        <v>7834.75</v>
      </c>
      <c r="M95" s="861">
        <v>7834.75</v>
      </c>
      <c r="N95" s="861">
        <v>7834.75</v>
      </c>
      <c r="O95" s="861">
        <v>7834.75</v>
      </c>
      <c r="P95" s="861">
        <v>7834.75</v>
      </c>
      <c r="Q95" s="861">
        <v>7834.75</v>
      </c>
      <c r="R95" s="861">
        <v>7834.75</v>
      </c>
      <c r="S95" s="861">
        <v>7834.75</v>
      </c>
      <c r="T95" s="861">
        <f t="shared" si="27"/>
        <v>94017</v>
      </c>
      <c r="U95" s="861"/>
      <c r="V95" s="861">
        <f t="shared" si="38"/>
        <v>7</v>
      </c>
      <c r="W95" s="861">
        <f t="shared" si="38"/>
        <v>7</v>
      </c>
      <c r="X95" s="861">
        <f t="shared" si="38"/>
        <v>7</v>
      </c>
      <c r="Y95" s="861">
        <f t="shared" si="37"/>
        <v>7</v>
      </c>
      <c r="Z95" s="861">
        <f t="shared" si="37"/>
        <v>7</v>
      </c>
      <c r="AA95" s="861">
        <f t="shared" si="37"/>
        <v>7</v>
      </c>
      <c r="AB95" s="861">
        <f t="shared" si="37"/>
        <v>7</v>
      </c>
      <c r="AC95" s="861">
        <f t="shared" si="37"/>
        <v>7</v>
      </c>
      <c r="AD95" s="861">
        <f t="shared" si="37"/>
        <v>7</v>
      </c>
      <c r="AE95" s="861">
        <f t="shared" si="37"/>
        <v>7</v>
      </c>
      <c r="AF95" s="861">
        <f t="shared" si="37"/>
        <v>7</v>
      </c>
      <c r="AG95" s="861">
        <f t="shared" si="37"/>
        <v>7</v>
      </c>
      <c r="AH95" s="861">
        <f t="shared" si="29"/>
        <v>7</v>
      </c>
      <c r="AJ95" s="709"/>
      <c r="AK95" s="936">
        <f t="shared" ca="1" si="30"/>
        <v>30.93284943910383</v>
      </c>
      <c r="AL95" s="861">
        <f t="shared" si="31"/>
        <v>84</v>
      </c>
      <c r="AM95" s="861">
        <v>0</v>
      </c>
      <c r="AN95" s="863">
        <f t="shared" si="32"/>
        <v>84</v>
      </c>
      <c r="AO95" s="936">
        <f t="shared" ca="1" si="33"/>
        <v>2598.3593528847218</v>
      </c>
      <c r="AP95" s="936">
        <f t="shared" ca="1" si="34"/>
        <v>1150.1828494391038</v>
      </c>
      <c r="AQ95" s="936">
        <f t="shared" ca="1" si="35"/>
        <v>96615.359352884727</v>
      </c>
      <c r="AS95" s="936">
        <f>+IFERROR(VLOOKUP(C95,'Rural - Price Out '!$C:$F,3,FALSE),0)</f>
        <v>0</v>
      </c>
      <c r="AT95" s="909">
        <f t="shared" ca="1" si="36"/>
        <v>1150.1828494391038</v>
      </c>
    </row>
    <row r="96" spans="1:46" s="840" customFormat="1">
      <c r="A96" s="840" t="str">
        <f t="shared" si="26"/>
        <v>PacificCommercialFL006.0Y5W001</v>
      </c>
      <c r="B96" s="840">
        <f t="shared" ref="B96:B127" si="39">COUNTIF(C:C,C96)</f>
        <v>1</v>
      </c>
      <c r="C96" s="859" t="s">
        <v>2112</v>
      </c>
      <c r="D96" s="859" t="s">
        <v>2113</v>
      </c>
      <c r="E96" s="859">
        <v>1386.71</v>
      </c>
      <c r="F96" s="859"/>
      <c r="G96" s="860"/>
      <c r="H96" s="861">
        <v>2773.42</v>
      </c>
      <c r="I96" s="861">
        <v>2773.42</v>
      </c>
      <c r="J96" s="861">
        <v>2773.42</v>
      </c>
      <c r="K96" s="861">
        <v>2773.42</v>
      </c>
      <c r="L96" s="861">
        <v>2773.42</v>
      </c>
      <c r="M96" s="861">
        <v>2773.42</v>
      </c>
      <c r="N96" s="861">
        <v>2773.42</v>
      </c>
      <c r="O96" s="861">
        <v>2773.42</v>
      </c>
      <c r="P96" s="861">
        <v>2773.42</v>
      </c>
      <c r="Q96" s="861">
        <v>2773.42</v>
      </c>
      <c r="R96" s="861">
        <v>2773.42</v>
      </c>
      <c r="S96" s="861">
        <v>4160.13</v>
      </c>
      <c r="T96" s="861">
        <f t="shared" si="27"/>
        <v>34667.749999999993</v>
      </c>
      <c r="U96" s="861"/>
      <c r="V96" s="861">
        <f t="shared" si="38"/>
        <v>2</v>
      </c>
      <c r="W96" s="861">
        <f t="shared" si="38"/>
        <v>2</v>
      </c>
      <c r="X96" s="861">
        <f t="shared" si="38"/>
        <v>2</v>
      </c>
      <c r="Y96" s="861">
        <f t="shared" si="37"/>
        <v>2</v>
      </c>
      <c r="Z96" s="861">
        <f t="shared" si="37"/>
        <v>2</v>
      </c>
      <c r="AA96" s="861">
        <f t="shared" si="37"/>
        <v>2</v>
      </c>
      <c r="AB96" s="861">
        <f t="shared" si="37"/>
        <v>2</v>
      </c>
      <c r="AC96" s="861">
        <f t="shared" si="37"/>
        <v>2</v>
      </c>
      <c r="AD96" s="861">
        <f t="shared" si="37"/>
        <v>2</v>
      </c>
      <c r="AE96" s="861">
        <f t="shared" si="37"/>
        <v>2</v>
      </c>
      <c r="AF96" s="861">
        <f t="shared" si="37"/>
        <v>2</v>
      </c>
      <c r="AG96" s="861">
        <f t="shared" si="37"/>
        <v>3</v>
      </c>
      <c r="AH96" s="861">
        <f t="shared" si="29"/>
        <v>2.0833333333333335</v>
      </c>
      <c r="AJ96" s="709"/>
      <c r="AK96" s="936">
        <f t="shared" ca="1" si="30"/>
        <v>38.324674242304823</v>
      </c>
      <c r="AL96" s="861">
        <f t="shared" si="31"/>
        <v>25</v>
      </c>
      <c r="AM96" s="861">
        <v>0</v>
      </c>
      <c r="AN96" s="863">
        <f t="shared" si="32"/>
        <v>25</v>
      </c>
      <c r="AO96" s="936">
        <f t="shared" ca="1" si="33"/>
        <v>958.11685605762057</v>
      </c>
      <c r="AP96" s="936">
        <f t="shared" ca="1" si="34"/>
        <v>1425.0346742423048</v>
      </c>
      <c r="AQ96" s="936">
        <f t="shared" ca="1" si="35"/>
        <v>35625.866856057626</v>
      </c>
      <c r="AS96" s="936">
        <f>+IFERROR(VLOOKUP(C96,'Rural - Price Out '!$C:$F,3,FALSE),0)</f>
        <v>0</v>
      </c>
      <c r="AT96" s="909">
        <f t="shared" ca="1" si="36"/>
        <v>1425.0346742423048</v>
      </c>
    </row>
    <row r="97" spans="1:46" s="840" customFormat="1">
      <c r="A97" s="840" t="str">
        <f t="shared" si="26"/>
        <v>PacificCommercialRL001.0Y1W001</v>
      </c>
      <c r="B97" s="840">
        <f t="shared" si="39"/>
        <v>1</v>
      </c>
      <c r="C97" s="859" t="s">
        <v>2114</v>
      </c>
      <c r="D97" s="859" t="s">
        <v>2056</v>
      </c>
      <c r="E97" s="859">
        <v>80.36</v>
      </c>
      <c r="F97" s="859"/>
      <c r="G97" s="860"/>
      <c r="H97" s="861">
        <v>11133.880000000001</v>
      </c>
      <c r="I97" s="861">
        <v>11258.44</v>
      </c>
      <c r="J97" s="861">
        <v>11387.01</v>
      </c>
      <c r="K97" s="861">
        <v>11443.26</v>
      </c>
      <c r="L97" s="861">
        <v>11692.38</v>
      </c>
      <c r="M97" s="861">
        <v>11780.760000000002</v>
      </c>
      <c r="N97" s="861">
        <v>11841.05</v>
      </c>
      <c r="O97" s="861">
        <v>11732.56</v>
      </c>
      <c r="P97" s="861">
        <v>12459.82</v>
      </c>
      <c r="Q97" s="861">
        <v>12455.8</v>
      </c>
      <c r="R97" s="861">
        <v>12656.7</v>
      </c>
      <c r="S97" s="861">
        <v>12391.51</v>
      </c>
      <c r="T97" s="861">
        <f t="shared" ref="T97:T128" si="40">SUM(H97:S97)</f>
        <v>142233.17000000001</v>
      </c>
      <c r="U97" s="861"/>
      <c r="V97" s="861">
        <f t="shared" si="38"/>
        <v>138.550024888004</v>
      </c>
      <c r="W97" s="861">
        <f t="shared" si="38"/>
        <v>140.10004977600798</v>
      </c>
      <c r="X97" s="861">
        <f t="shared" si="38"/>
        <v>141.69997511199603</v>
      </c>
      <c r="Y97" s="861">
        <f t="shared" si="37"/>
        <v>142.39995022399205</v>
      </c>
      <c r="Z97" s="861">
        <f t="shared" si="37"/>
        <v>145.5</v>
      </c>
      <c r="AA97" s="861">
        <f t="shared" si="37"/>
        <v>146.59980089596817</v>
      </c>
      <c r="AB97" s="861">
        <f t="shared" si="37"/>
        <v>147.35004977600795</v>
      </c>
      <c r="AC97" s="861">
        <f t="shared" si="37"/>
        <v>146</v>
      </c>
      <c r="AD97" s="861">
        <f t="shared" si="37"/>
        <v>155.05002488800397</v>
      </c>
      <c r="AE97" s="861">
        <f t="shared" si="37"/>
        <v>155</v>
      </c>
      <c r="AF97" s="861">
        <f t="shared" si="37"/>
        <v>157.5</v>
      </c>
      <c r="AG97" s="861">
        <f t="shared" si="37"/>
        <v>154.19997511199603</v>
      </c>
      <c r="AH97" s="861">
        <f t="shared" si="29"/>
        <v>147.49582088933133</v>
      </c>
      <c r="AJ97" s="709"/>
      <c r="AK97" s="936">
        <f t="shared" ca="1" si="30"/>
        <v>2.2209191699141244</v>
      </c>
      <c r="AL97" s="861">
        <f t="shared" si="31"/>
        <v>1769.949850671976</v>
      </c>
      <c r="AM97" s="861">
        <v>1072.2190378710338</v>
      </c>
      <c r="AN97" s="863">
        <f t="shared" si="32"/>
        <v>2842.1688885430099</v>
      </c>
      <c r="AO97" s="936">
        <f t="shared" ref="AO97:AO128" ca="1" si="41">+AN97*AK97</f>
        <v>6312.227368698691</v>
      </c>
      <c r="AP97" s="936">
        <f t="shared" ref="AP97:AP128" ca="1" si="42">+E97+AK97</f>
        <v>82.580919169914125</v>
      </c>
      <c r="AQ97" s="936">
        <f t="shared" ref="AQ97:AQ128" ca="1" si="43">+AP97*12*AH97</f>
        <v>146164.08555314402</v>
      </c>
      <c r="AS97" s="936">
        <f>+IFERROR(VLOOKUP(C97,'Rural - Price Out '!$C:$F,3,FALSE),0)</f>
        <v>78.16</v>
      </c>
      <c r="AT97" s="909">
        <f t="shared" ref="AT97:AT128" ca="1" si="44">+AP97-AS97</f>
        <v>4.4209191699141286</v>
      </c>
    </row>
    <row r="98" spans="1:46" s="840" customFormat="1">
      <c r="A98" s="840" t="str">
        <f t="shared" si="26"/>
        <v>PacificCommercialRL001.0Y2W001</v>
      </c>
      <c r="B98" s="840">
        <f t="shared" si="39"/>
        <v>1</v>
      </c>
      <c r="C98" s="859" t="s">
        <v>2115</v>
      </c>
      <c r="D98" s="859" t="s">
        <v>2058</v>
      </c>
      <c r="E98" s="859">
        <v>147.13</v>
      </c>
      <c r="F98" s="859"/>
      <c r="G98" s="860"/>
      <c r="H98" s="861">
        <v>588.52</v>
      </c>
      <c r="I98" s="861">
        <v>588.52</v>
      </c>
      <c r="J98" s="861">
        <v>588.52</v>
      </c>
      <c r="K98" s="861">
        <v>902.4</v>
      </c>
      <c r="L98" s="861">
        <v>294.26</v>
      </c>
      <c r="M98" s="861">
        <v>588.52</v>
      </c>
      <c r="N98" s="861">
        <v>588.52</v>
      </c>
      <c r="O98" s="861">
        <v>588.52</v>
      </c>
      <c r="P98" s="861">
        <v>588.52</v>
      </c>
      <c r="Q98" s="861">
        <v>588.52</v>
      </c>
      <c r="R98" s="861">
        <v>604.8599999999999</v>
      </c>
      <c r="S98" s="861">
        <v>441.39</v>
      </c>
      <c r="T98" s="861">
        <f t="shared" si="40"/>
        <v>6951.0700000000015</v>
      </c>
      <c r="U98" s="861"/>
      <c r="V98" s="861">
        <f t="shared" si="38"/>
        <v>4</v>
      </c>
      <c r="W98" s="861">
        <f t="shared" si="38"/>
        <v>4</v>
      </c>
      <c r="X98" s="861">
        <f t="shared" si="38"/>
        <v>4</v>
      </c>
      <c r="Y98" s="861">
        <f t="shared" si="37"/>
        <v>6.1333514578943795</v>
      </c>
      <c r="Z98" s="861">
        <f t="shared" si="37"/>
        <v>2</v>
      </c>
      <c r="AA98" s="861">
        <f t="shared" si="37"/>
        <v>4</v>
      </c>
      <c r="AB98" s="861">
        <f t="shared" si="37"/>
        <v>4</v>
      </c>
      <c r="AC98" s="861">
        <f t="shared" si="37"/>
        <v>4</v>
      </c>
      <c r="AD98" s="861">
        <f t="shared" si="37"/>
        <v>4</v>
      </c>
      <c r="AE98" s="861">
        <f t="shared" si="37"/>
        <v>4</v>
      </c>
      <c r="AF98" s="861">
        <f t="shared" si="37"/>
        <v>4.1110582478080602</v>
      </c>
      <c r="AG98" s="861">
        <f t="shared" si="37"/>
        <v>3</v>
      </c>
      <c r="AH98" s="861">
        <f t="shared" si="29"/>
        <v>3.93703414214187</v>
      </c>
      <c r="AJ98" s="709"/>
      <c r="AK98" s="936">
        <f t="shared" ca="1" si="30"/>
        <v>4.0662498440699988</v>
      </c>
      <c r="AL98" s="861">
        <f t="shared" si="31"/>
        <v>47.244409705702438</v>
      </c>
      <c r="AM98" s="861">
        <v>2.875033665499596</v>
      </c>
      <c r="AN98" s="863">
        <f t="shared" si="32"/>
        <v>50.119443371202031</v>
      </c>
      <c r="AO98" s="936">
        <f t="shared" ca="1" si="41"/>
        <v>203.79817879302539</v>
      </c>
      <c r="AP98" s="936">
        <f t="shared" ca="1" si="42"/>
        <v>151.19624984407</v>
      </c>
      <c r="AQ98" s="936">
        <f t="shared" ca="1" si="43"/>
        <v>7143.1775735989913</v>
      </c>
      <c r="AS98" s="936">
        <f>+IFERROR(VLOOKUP(C98,'Rural - Price Out '!$C:$F,3,FALSE),0)</f>
        <v>148.52000000000001</v>
      </c>
      <c r="AT98" s="909">
        <f t="shared" ca="1" si="44"/>
        <v>2.6762498440699858</v>
      </c>
    </row>
    <row r="99" spans="1:46" s="840" customFormat="1">
      <c r="A99" s="840" t="str">
        <f t="shared" si="26"/>
        <v>PacificCommercialRL001.5Y1W001</v>
      </c>
      <c r="B99" s="840">
        <f t="shared" si="39"/>
        <v>1</v>
      </c>
      <c r="C99" s="859" t="s">
        <v>2116</v>
      </c>
      <c r="D99" s="859" t="s">
        <v>2064</v>
      </c>
      <c r="E99" s="859">
        <v>103.23</v>
      </c>
      <c r="F99" s="859"/>
      <c r="G99" s="860"/>
      <c r="H99" s="861">
        <v>7288.0399999999991</v>
      </c>
      <c r="I99" s="861">
        <v>7406.76</v>
      </c>
      <c r="J99" s="861">
        <v>7453.21</v>
      </c>
      <c r="K99" s="861">
        <v>7122.8700000000008</v>
      </c>
      <c r="L99" s="861">
        <v>7122.87</v>
      </c>
      <c r="M99" s="861">
        <v>7122.87</v>
      </c>
      <c r="N99" s="861">
        <v>7138.35</v>
      </c>
      <c r="O99" s="861">
        <v>7226.0999999999995</v>
      </c>
      <c r="P99" s="861">
        <v>7226.0999999999995</v>
      </c>
      <c r="Q99" s="861">
        <v>7251.91</v>
      </c>
      <c r="R99" s="861">
        <v>7432.56</v>
      </c>
      <c r="S99" s="861">
        <v>7458.3700000000008</v>
      </c>
      <c r="T99" s="861">
        <f t="shared" si="40"/>
        <v>87250.01</v>
      </c>
      <c r="U99" s="861"/>
      <c r="V99" s="861">
        <f t="shared" si="38"/>
        <v>70.600019374212906</v>
      </c>
      <c r="W99" s="861">
        <f t="shared" si="38"/>
        <v>71.75007265329846</v>
      </c>
      <c r="X99" s="861">
        <f t="shared" si="38"/>
        <v>72.20003874842584</v>
      </c>
      <c r="Y99" s="861">
        <f t="shared" si="37"/>
        <v>69</v>
      </c>
      <c r="Z99" s="861">
        <f t="shared" si="37"/>
        <v>69</v>
      </c>
      <c r="AA99" s="861">
        <f t="shared" si="37"/>
        <v>69</v>
      </c>
      <c r="AB99" s="861">
        <f t="shared" si="37"/>
        <v>69.149956408020927</v>
      </c>
      <c r="AC99" s="861">
        <f t="shared" si="37"/>
        <v>69.999999999999986</v>
      </c>
      <c r="AD99" s="861">
        <f t="shared" si="37"/>
        <v>69.999999999999986</v>
      </c>
      <c r="AE99" s="861">
        <f t="shared" si="37"/>
        <v>70.250024217766153</v>
      </c>
      <c r="AF99" s="861">
        <f t="shared" si="37"/>
        <v>72</v>
      </c>
      <c r="AG99" s="861">
        <f t="shared" si="37"/>
        <v>72.250024217766153</v>
      </c>
      <c r="AH99" s="861">
        <f t="shared" si="29"/>
        <v>70.433344634957535</v>
      </c>
      <c r="AJ99" s="709"/>
      <c r="AK99" s="936">
        <f t="shared" ca="1" si="30"/>
        <v>2.8529801631437914</v>
      </c>
      <c r="AL99" s="861">
        <f t="shared" si="31"/>
        <v>845.20013561949042</v>
      </c>
      <c r="AM99" s="861">
        <v>193.05003285459492</v>
      </c>
      <c r="AN99" s="863">
        <f t="shared" si="32"/>
        <v>1038.2501684740853</v>
      </c>
      <c r="AO99" s="936">
        <f t="shared" ca="1" si="41"/>
        <v>2962.1071350372649</v>
      </c>
      <c r="AP99" s="936">
        <f t="shared" ca="1" si="42"/>
        <v>106.0829801631438</v>
      </c>
      <c r="AQ99" s="936">
        <f t="shared" ca="1" si="43"/>
        <v>89661.349220808843</v>
      </c>
      <c r="AS99" s="936">
        <f>+IFERROR(VLOOKUP(C99,'Rural - Price Out '!$C:$F,3,FALSE),0)</f>
        <v>106.53</v>
      </c>
      <c r="AT99" s="909">
        <f t="shared" ca="1" si="44"/>
        <v>-0.4470198368561995</v>
      </c>
    </row>
    <row r="100" spans="1:46" s="840" customFormat="1">
      <c r="A100" s="840" t="str">
        <f t="shared" si="26"/>
        <v>PacificCommercialRL001.5Y2W001</v>
      </c>
      <c r="B100" s="840">
        <f t="shared" si="39"/>
        <v>1</v>
      </c>
      <c r="C100" s="859" t="s">
        <v>2117</v>
      </c>
      <c r="D100" s="859" t="s">
        <v>2066</v>
      </c>
      <c r="E100" s="859">
        <v>189.96</v>
      </c>
      <c r="F100" s="859"/>
      <c r="G100" s="860"/>
      <c r="H100" s="861">
        <v>1899.6</v>
      </c>
      <c r="I100" s="861">
        <v>1794.0700000000002</v>
      </c>
      <c r="J100" s="861">
        <v>759.83999999999992</v>
      </c>
      <c r="K100" s="861">
        <v>1519.68</v>
      </c>
      <c r="L100" s="861">
        <v>1519.68</v>
      </c>
      <c r="M100" s="861">
        <v>1519.68</v>
      </c>
      <c r="N100" s="861">
        <v>1519.68</v>
      </c>
      <c r="O100" s="861">
        <v>1519.68</v>
      </c>
      <c r="P100" s="861">
        <v>1519.68</v>
      </c>
      <c r="Q100" s="861">
        <v>1329.72</v>
      </c>
      <c r="R100" s="861">
        <v>1498.5700000000002</v>
      </c>
      <c r="S100" s="861">
        <v>1519.68</v>
      </c>
      <c r="T100" s="861">
        <f t="shared" si="40"/>
        <v>17919.560000000001</v>
      </c>
      <c r="U100" s="861"/>
      <c r="V100" s="861">
        <f t="shared" si="38"/>
        <v>9.9999999999999982</v>
      </c>
      <c r="W100" s="861">
        <f t="shared" si="38"/>
        <v>9.444461991998315</v>
      </c>
      <c r="X100" s="861">
        <f t="shared" si="38"/>
        <v>3.9999999999999996</v>
      </c>
      <c r="Y100" s="861">
        <f t="shared" si="37"/>
        <v>8</v>
      </c>
      <c r="Z100" s="861">
        <f t="shared" si="37"/>
        <v>8</v>
      </c>
      <c r="AA100" s="861">
        <f t="shared" si="37"/>
        <v>8</v>
      </c>
      <c r="AB100" s="861">
        <f t="shared" si="37"/>
        <v>8</v>
      </c>
      <c r="AC100" s="861">
        <f t="shared" si="37"/>
        <v>8</v>
      </c>
      <c r="AD100" s="861">
        <f t="shared" si="37"/>
        <v>8</v>
      </c>
      <c r="AE100" s="861">
        <f t="shared" si="37"/>
        <v>7</v>
      </c>
      <c r="AF100" s="861">
        <f t="shared" si="37"/>
        <v>7.888871341335018</v>
      </c>
      <c r="AG100" s="861">
        <f t="shared" si="37"/>
        <v>8</v>
      </c>
      <c r="AH100" s="861">
        <f t="shared" si="29"/>
        <v>7.8611111111111107</v>
      </c>
      <c r="AJ100" s="709"/>
      <c r="AK100" s="936">
        <f t="shared" ca="1" si="30"/>
        <v>5.2499478038437912</v>
      </c>
      <c r="AL100" s="861">
        <f t="shared" si="31"/>
        <v>94.333333333333329</v>
      </c>
      <c r="AM100" s="861">
        <v>10.5</v>
      </c>
      <c r="AN100" s="863">
        <f t="shared" si="32"/>
        <v>104.83333333333333</v>
      </c>
      <c r="AO100" s="936">
        <f t="shared" ca="1" si="41"/>
        <v>550.36952810295747</v>
      </c>
      <c r="AP100" s="936">
        <f t="shared" ca="1" si="42"/>
        <v>195.20994780384379</v>
      </c>
      <c r="AQ100" s="936">
        <f t="shared" ca="1" si="43"/>
        <v>18414.805076162596</v>
      </c>
      <c r="AS100" s="936">
        <f>+IFERROR(VLOOKUP(C100,'Rural - Price Out '!$C:$F,3,FALSE),0)</f>
        <v>205.04</v>
      </c>
      <c r="AT100" s="909">
        <f t="shared" ca="1" si="44"/>
        <v>-9.8300521961562026</v>
      </c>
    </row>
    <row r="101" spans="1:46" s="840" customFormat="1">
      <c r="A101" s="840" t="str">
        <f t="shared" si="26"/>
        <v>PacificCommercialRL001.5Y3W001</v>
      </c>
      <c r="B101" s="840">
        <f t="shared" si="39"/>
        <v>1</v>
      </c>
      <c r="C101" s="859" t="s">
        <v>2118</v>
      </c>
      <c r="D101" s="859" t="s">
        <v>2119</v>
      </c>
      <c r="E101" s="859">
        <v>276.69</v>
      </c>
      <c r="F101" s="859"/>
      <c r="G101" s="860"/>
      <c r="H101" s="861">
        <v>0</v>
      </c>
      <c r="I101" s="861">
        <v>276.69</v>
      </c>
      <c r="J101" s="861">
        <v>276.69</v>
      </c>
      <c r="K101" s="861">
        <v>276.69</v>
      </c>
      <c r="L101" s="861">
        <v>276.69</v>
      </c>
      <c r="M101" s="861">
        <v>276.69</v>
      </c>
      <c r="N101" s="861">
        <v>276.69</v>
      </c>
      <c r="O101" s="861">
        <v>276.69</v>
      </c>
      <c r="P101" s="861">
        <v>276.69</v>
      </c>
      <c r="Q101" s="861">
        <v>276.69</v>
      </c>
      <c r="R101" s="861">
        <v>276.69</v>
      </c>
      <c r="S101" s="861">
        <v>170.27</v>
      </c>
      <c r="T101" s="861">
        <f t="shared" si="40"/>
        <v>2937.17</v>
      </c>
      <c r="U101" s="861"/>
      <c r="V101" s="861">
        <f t="shared" si="38"/>
        <v>0</v>
      </c>
      <c r="W101" s="861">
        <f t="shared" si="38"/>
        <v>1</v>
      </c>
      <c r="X101" s="861">
        <f t="shared" si="38"/>
        <v>1</v>
      </c>
      <c r="Y101" s="861">
        <f t="shared" si="37"/>
        <v>1</v>
      </c>
      <c r="Z101" s="861">
        <f t="shared" si="37"/>
        <v>1</v>
      </c>
      <c r="AA101" s="861">
        <f t="shared" si="37"/>
        <v>1</v>
      </c>
      <c r="AB101" s="861">
        <f t="shared" si="37"/>
        <v>1</v>
      </c>
      <c r="AC101" s="861">
        <f t="shared" si="37"/>
        <v>1</v>
      </c>
      <c r="AD101" s="861">
        <f t="shared" si="37"/>
        <v>1</v>
      </c>
      <c r="AE101" s="861">
        <f t="shared" si="37"/>
        <v>1</v>
      </c>
      <c r="AF101" s="861">
        <f t="shared" si="37"/>
        <v>1</v>
      </c>
      <c r="AG101" s="861">
        <f t="shared" si="37"/>
        <v>0.61538183526690526</v>
      </c>
      <c r="AH101" s="861">
        <f t="shared" si="29"/>
        <v>0.8846151529389088</v>
      </c>
      <c r="AJ101" s="709"/>
      <c r="AK101" s="936">
        <f t="shared" ca="1" si="30"/>
        <v>7.646915444543791</v>
      </c>
      <c r="AL101" s="861">
        <f t="shared" si="31"/>
        <v>10.615381835266906</v>
      </c>
      <c r="AM101" s="861">
        <v>1.6153846153846154</v>
      </c>
      <c r="AN101" s="863">
        <f t="shared" si="32"/>
        <v>12.230766450651521</v>
      </c>
      <c r="AO101" s="936">
        <f t="shared" ca="1" si="41"/>
        <v>93.527636870095151</v>
      </c>
      <c r="AP101" s="936">
        <f t="shared" ca="1" si="42"/>
        <v>284.33691544454376</v>
      </c>
      <c r="AQ101" s="936">
        <f t="shared" ca="1" si="43"/>
        <v>3018.3449273058318</v>
      </c>
      <c r="AS101" s="936">
        <f>+IFERROR(VLOOKUP(C101,'Rural - Price Out '!$C:$F,3,FALSE),0)</f>
        <v>303.55</v>
      </c>
      <c r="AT101" s="909">
        <f t="shared" ca="1" si="44"/>
        <v>-19.213084555456248</v>
      </c>
    </row>
    <row r="102" spans="1:46" s="840" customFormat="1">
      <c r="A102" s="840" t="str">
        <f t="shared" si="26"/>
        <v>PacificCommercialRL001.5Y5W001</v>
      </c>
      <c r="B102" s="840">
        <f t="shared" si="39"/>
        <v>1</v>
      </c>
      <c r="C102" s="709" t="s">
        <v>2120</v>
      </c>
      <c r="D102" s="709" t="s">
        <v>2121</v>
      </c>
      <c r="E102" s="859">
        <v>450.15</v>
      </c>
      <c r="F102" s="859"/>
      <c r="G102" s="860"/>
      <c r="H102" s="861">
        <v>450.15</v>
      </c>
      <c r="I102" s="861">
        <v>450.15</v>
      </c>
      <c r="J102" s="861">
        <v>450.15</v>
      </c>
      <c r="K102" s="861">
        <v>450.15</v>
      </c>
      <c r="L102" s="861">
        <v>450.15</v>
      </c>
      <c r="M102" s="861">
        <v>450.15</v>
      </c>
      <c r="N102" s="861">
        <v>450.15</v>
      </c>
      <c r="O102" s="861">
        <v>450.15</v>
      </c>
      <c r="P102" s="861">
        <v>450.15</v>
      </c>
      <c r="Q102" s="861">
        <v>450.15</v>
      </c>
      <c r="R102" s="861">
        <v>450.15</v>
      </c>
      <c r="S102" s="861">
        <v>450.15</v>
      </c>
      <c r="T102" s="861">
        <f t="shared" si="40"/>
        <v>5401.7999999999993</v>
      </c>
      <c r="U102" s="861"/>
      <c r="V102" s="861">
        <f t="shared" si="38"/>
        <v>1</v>
      </c>
      <c r="W102" s="861">
        <f t="shared" si="38"/>
        <v>1</v>
      </c>
      <c r="X102" s="861">
        <f t="shared" si="38"/>
        <v>1</v>
      </c>
      <c r="Y102" s="861">
        <f t="shared" si="37"/>
        <v>1</v>
      </c>
      <c r="Z102" s="861">
        <f t="shared" si="37"/>
        <v>1</v>
      </c>
      <c r="AA102" s="861">
        <f t="shared" si="37"/>
        <v>1</v>
      </c>
      <c r="AB102" s="861">
        <f t="shared" si="37"/>
        <v>1</v>
      </c>
      <c r="AC102" s="861">
        <f t="shared" si="37"/>
        <v>1</v>
      </c>
      <c r="AD102" s="861">
        <f t="shared" si="37"/>
        <v>1</v>
      </c>
      <c r="AE102" s="861">
        <f t="shared" si="37"/>
        <v>1</v>
      </c>
      <c r="AF102" s="861">
        <f t="shared" si="37"/>
        <v>1</v>
      </c>
      <c r="AG102" s="861">
        <f t="shared" si="37"/>
        <v>1</v>
      </c>
      <c r="AH102" s="861">
        <f t="shared" si="29"/>
        <v>1</v>
      </c>
      <c r="AJ102" s="709"/>
      <c r="AK102" s="936">
        <f t="shared" ca="1" si="30"/>
        <v>12.440850725943791</v>
      </c>
      <c r="AL102" s="861">
        <f t="shared" si="31"/>
        <v>12</v>
      </c>
      <c r="AM102" s="861">
        <v>0</v>
      </c>
      <c r="AN102" s="863">
        <f t="shared" si="32"/>
        <v>12</v>
      </c>
      <c r="AO102" s="936">
        <f t="shared" ca="1" si="41"/>
        <v>149.2902087113255</v>
      </c>
      <c r="AP102" s="936">
        <f t="shared" ca="1" si="42"/>
        <v>462.59085072594377</v>
      </c>
      <c r="AQ102" s="936">
        <f t="shared" ca="1" si="43"/>
        <v>5551.0902087113254</v>
      </c>
      <c r="AS102" s="936">
        <f>+IFERROR(VLOOKUP(C102,'Rural - Price Out '!$C:$F,3,FALSE),0)</f>
        <v>0</v>
      </c>
      <c r="AT102" s="909">
        <f t="shared" ca="1" si="44"/>
        <v>462.59085072594377</v>
      </c>
    </row>
    <row r="103" spans="1:46" s="840" customFormat="1">
      <c r="A103" s="840" t="str">
        <f t="shared" si="26"/>
        <v>PacificCommercialRL002.0Y1W001</v>
      </c>
      <c r="B103" s="840">
        <f t="shared" si="39"/>
        <v>1</v>
      </c>
      <c r="C103" s="859" t="s">
        <v>2122</v>
      </c>
      <c r="D103" s="859" t="s">
        <v>2070</v>
      </c>
      <c r="E103" s="859">
        <v>134.52000000000001</v>
      </c>
      <c r="F103" s="859"/>
      <c r="G103" s="860"/>
      <c r="H103" s="861">
        <v>14292.75</v>
      </c>
      <c r="I103" s="861">
        <v>14090.970000000001</v>
      </c>
      <c r="J103" s="861">
        <v>14514.710000000001</v>
      </c>
      <c r="K103" s="861">
        <v>14608.87</v>
      </c>
      <c r="L103" s="861">
        <v>14595.420000000002</v>
      </c>
      <c r="M103" s="861">
        <v>14635.780000000002</v>
      </c>
      <c r="N103" s="861">
        <v>14326.11</v>
      </c>
      <c r="O103" s="861">
        <v>14763.57</v>
      </c>
      <c r="P103" s="861">
        <v>14238.93</v>
      </c>
      <c r="Q103" s="861">
        <v>14360.01</v>
      </c>
      <c r="R103" s="861">
        <v>14158.23</v>
      </c>
      <c r="S103" s="861">
        <v>13216.59</v>
      </c>
      <c r="T103" s="861">
        <f t="shared" si="40"/>
        <v>171801.94</v>
      </c>
      <c r="U103" s="861"/>
      <c r="V103" s="861">
        <f t="shared" si="38"/>
        <v>106.24999999999999</v>
      </c>
      <c r="W103" s="861">
        <f t="shared" si="38"/>
        <v>104.75</v>
      </c>
      <c r="X103" s="861">
        <f t="shared" si="38"/>
        <v>107.90001486767767</v>
      </c>
      <c r="Y103" s="861">
        <f t="shared" si="37"/>
        <v>108.59998513232233</v>
      </c>
      <c r="Z103" s="861">
        <f t="shared" si="37"/>
        <v>108.5</v>
      </c>
      <c r="AA103" s="861">
        <f t="shared" si="37"/>
        <v>108.80002973535535</v>
      </c>
      <c r="AB103" s="861">
        <f t="shared" si="37"/>
        <v>106.49799286351471</v>
      </c>
      <c r="AC103" s="861">
        <f t="shared" si="37"/>
        <v>109.74999999999999</v>
      </c>
      <c r="AD103" s="861">
        <f t="shared" si="37"/>
        <v>105.84991079393399</v>
      </c>
      <c r="AE103" s="861">
        <f t="shared" si="37"/>
        <v>106.75</v>
      </c>
      <c r="AF103" s="861">
        <f t="shared" si="37"/>
        <v>105.24999999999999</v>
      </c>
      <c r="AG103" s="861">
        <f t="shared" si="37"/>
        <v>98.25</v>
      </c>
      <c r="AH103" s="861">
        <f t="shared" si="29"/>
        <v>106.42899444940035</v>
      </c>
      <c r="AJ103" s="709"/>
      <c r="AK103" s="936">
        <f t="shared" ca="1" si="30"/>
        <v>3.7177457284326536</v>
      </c>
      <c r="AL103" s="861">
        <f t="shared" si="31"/>
        <v>1277.1479333928041</v>
      </c>
      <c r="AM103" s="861">
        <v>268.88735403019081</v>
      </c>
      <c r="AN103" s="863">
        <f t="shared" si="32"/>
        <v>1546.035287422995</v>
      </c>
      <c r="AO103" s="936">
        <f t="shared" ca="1" si="41"/>
        <v>5747.7660858229892</v>
      </c>
      <c r="AP103" s="936">
        <f t="shared" ca="1" si="42"/>
        <v>138.23774572843266</v>
      </c>
      <c r="AQ103" s="936">
        <f t="shared" ca="1" si="43"/>
        <v>176550.05127394773</v>
      </c>
      <c r="AS103" s="936">
        <f>+IFERROR(VLOOKUP(C103,'Rural - Price Out '!$C:$F,3,FALSE),0)</f>
        <v>140.44</v>
      </c>
      <c r="AT103" s="909">
        <f t="shared" ca="1" si="44"/>
        <v>-2.202254271567341</v>
      </c>
    </row>
    <row r="104" spans="1:46" s="840" customFormat="1">
      <c r="A104" s="840" t="str">
        <f t="shared" si="26"/>
        <v>PacificCommercialRL002.0Y2W001</v>
      </c>
      <c r="B104" s="840">
        <f t="shared" si="39"/>
        <v>1</v>
      </c>
      <c r="C104" s="859" t="s">
        <v>2123</v>
      </c>
      <c r="D104" s="859" t="s">
        <v>2074</v>
      </c>
      <c r="E104" s="859">
        <v>244.55</v>
      </c>
      <c r="F104" s="859"/>
      <c r="G104" s="860"/>
      <c r="H104" s="861">
        <v>5570.31</v>
      </c>
      <c r="I104" s="861">
        <v>5706.17</v>
      </c>
      <c r="J104" s="861">
        <v>5869.2</v>
      </c>
      <c r="K104" s="861">
        <v>6847.4000000000005</v>
      </c>
      <c r="L104" s="861">
        <v>5930.34</v>
      </c>
      <c r="M104" s="861">
        <v>6303.9599999999991</v>
      </c>
      <c r="N104" s="861">
        <v>6113.75</v>
      </c>
      <c r="O104" s="861">
        <v>6358.3000000000011</v>
      </c>
      <c r="P104" s="861">
        <v>6602.85</v>
      </c>
      <c r="Q104" s="861">
        <v>6633.42</v>
      </c>
      <c r="R104" s="861">
        <v>6956.09</v>
      </c>
      <c r="S104" s="861">
        <v>7200.6399999999994</v>
      </c>
      <c r="T104" s="861">
        <f t="shared" si="40"/>
        <v>76092.430000000008</v>
      </c>
      <c r="U104" s="861"/>
      <c r="V104" s="861">
        <f t="shared" si="38"/>
        <v>22.777795951748111</v>
      </c>
      <c r="W104" s="861">
        <f t="shared" si="38"/>
        <v>23.333346963811081</v>
      </c>
      <c r="X104" s="861">
        <f t="shared" si="38"/>
        <v>23.999999999999996</v>
      </c>
      <c r="Y104" s="861">
        <f t="shared" si="37"/>
        <v>28</v>
      </c>
      <c r="Z104" s="861">
        <f t="shared" si="37"/>
        <v>24.250010222858311</v>
      </c>
      <c r="AA104" s="861">
        <f t="shared" si="37"/>
        <v>25.777795951748104</v>
      </c>
      <c r="AB104" s="861">
        <f t="shared" si="37"/>
        <v>25</v>
      </c>
      <c r="AC104" s="861">
        <f t="shared" si="37"/>
        <v>26.000000000000004</v>
      </c>
      <c r="AD104" s="861">
        <f t="shared" si="37"/>
        <v>27</v>
      </c>
      <c r="AE104" s="861">
        <f t="shared" si="37"/>
        <v>27.125005111429154</v>
      </c>
      <c r="AF104" s="861">
        <f t="shared" si="37"/>
        <v>28.444448987937026</v>
      </c>
      <c r="AG104" s="861">
        <f t="shared" si="37"/>
        <v>29.444448987937022</v>
      </c>
      <c r="AH104" s="861">
        <f t="shared" si="29"/>
        <v>25.929404348122404</v>
      </c>
      <c r="AJ104" s="709"/>
      <c r="AK104" s="936">
        <f t="shared" ca="1" si="30"/>
        <v>6.7586583250684313</v>
      </c>
      <c r="AL104" s="861">
        <f t="shared" si="31"/>
        <v>311.15285217746884</v>
      </c>
      <c r="AM104" s="861">
        <v>36</v>
      </c>
      <c r="AN104" s="863">
        <f t="shared" si="32"/>
        <v>347.15285217746884</v>
      </c>
      <c r="AO104" s="936">
        <f t="shared" ca="1" si="41"/>
        <v>2346.2875144405002</v>
      </c>
      <c r="AP104" s="936">
        <f t="shared" ca="1" si="42"/>
        <v>251.30865832506845</v>
      </c>
      <c r="AQ104" s="936">
        <f t="shared" ca="1" si="43"/>
        <v>78195.405814738042</v>
      </c>
      <c r="AS104" s="936">
        <f>+IFERROR(VLOOKUP(C104,'Rural - Price Out '!$C:$F,3,FALSE),0)</f>
        <v>265.19</v>
      </c>
      <c r="AT104" s="909">
        <f t="shared" ca="1" si="44"/>
        <v>-13.881341674931548</v>
      </c>
    </row>
    <row r="105" spans="1:46" s="840" customFormat="1">
      <c r="A105" s="840" t="str">
        <f t="shared" si="26"/>
        <v>PacificCommercialRL002.0Y3W001</v>
      </c>
      <c r="B105" s="840">
        <f t="shared" si="39"/>
        <v>1</v>
      </c>
      <c r="C105" s="859" t="s">
        <v>2124</v>
      </c>
      <c r="D105" s="859" t="s">
        <v>2076</v>
      </c>
      <c r="E105" s="859">
        <v>354.58</v>
      </c>
      <c r="F105" s="859"/>
      <c r="G105" s="860"/>
      <c r="H105" s="861">
        <v>2836.64</v>
      </c>
      <c r="I105" s="861">
        <v>2836.64</v>
      </c>
      <c r="J105" s="861">
        <v>2836.64</v>
      </c>
      <c r="K105" s="861">
        <v>2836.64</v>
      </c>
      <c r="L105" s="861">
        <v>3545.8</v>
      </c>
      <c r="M105" s="861">
        <v>3292.52</v>
      </c>
      <c r="N105" s="861">
        <v>3191.2200000000003</v>
      </c>
      <c r="O105" s="861">
        <v>3545.8</v>
      </c>
      <c r="P105" s="861">
        <v>3545.8</v>
      </c>
      <c r="Q105" s="861">
        <v>3545.8</v>
      </c>
      <c r="R105" s="861">
        <v>3545.8</v>
      </c>
      <c r="S105" s="861">
        <v>3782.1899999999996</v>
      </c>
      <c r="T105" s="861">
        <f t="shared" si="40"/>
        <v>39341.490000000005</v>
      </c>
      <c r="U105" s="861"/>
      <c r="V105" s="861">
        <f t="shared" si="38"/>
        <v>8</v>
      </c>
      <c r="W105" s="861">
        <f t="shared" si="38"/>
        <v>8</v>
      </c>
      <c r="X105" s="861">
        <f t="shared" si="38"/>
        <v>8</v>
      </c>
      <c r="Y105" s="861">
        <f t="shared" si="37"/>
        <v>8</v>
      </c>
      <c r="Z105" s="861">
        <f t="shared" si="37"/>
        <v>10.000000000000002</v>
      </c>
      <c r="AA105" s="861">
        <f t="shared" si="37"/>
        <v>9.285690112245474</v>
      </c>
      <c r="AB105" s="861">
        <f t="shared" si="37"/>
        <v>9.0000000000000018</v>
      </c>
      <c r="AC105" s="861">
        <f t="shared" si="37"/>
        <v>10.000000000000002</v>
      </c>
      <c r="AD105" s="861">
        <f t="shared" si="37"/>
        <v>10.000000000000002</v>
      </c>
      <c r="AE105" s="861">
        <f t="shared" si="37"/>
        <v>10.000000000000002</v>
      </c>
      <c r="AF105" s="861">
        <f t="shared" si="37"/>
        <v>10.000000000000002</v>
      </c>
      <c r="AG105" s="861">
        <f t="shared" si="37"/>
        <v>10.666676067460093</v>
      </c>
      <c r="AH105" s="861">
        <f t="shared" si="29"/>
        <v>9.2460305149754642</v>
      </c>
      <c r="AJ105" s="709"/>
      <c r="AK105" s="936">
        <f t="shared" ca="1" si="30"/>
        <v>9.7995709217042091</v>
      </c>
      <c r="AL105" s="861">
        <f t="shared" si="31"/>
        <v>110.95236617970556</v>
      </c>
      <c r="AM105" s="861">
        <v>0.41667948915217723</v>
      </c>
      <c r="AN105" s="863">
        <f t="shared" si="32"/>
        <v>111.36904566885774</v>
      </c>
      <c r="AO105" s="936">
        <f t="shared" ca="1" si="41"/>
        <v>1091.3688615144863</v>
      </c>
      <c r="AP105" s="936">
        <f t="shared" ca="1" si="42"/>
        <v>364.37957092170421</v>
      </c>
      <c r="AQ105" s="936">
        <f t="shared" ca="1" si="43"/>
        <v>40428.775581308917</v>
      </c>
      <c r="AS105" s="936">
        <f>+IFERROR(VLOOKUP(C105,'Rural - Price Out '!$C:$F,3,FALSE),0)</f>
        <v>389.94</v>
      </c>
      <c r="AT105" s="909">
        <f t="shared" ca="1" si="44"/>
        <v>-25.560429078295783</v>
      </c>
    </row>
    <row r="106" spans="1:46" s="840" customFormat="1">
      <c r="A106" s="840" t="str">
        <f t="shared" si="26"/>
        <v>PacificCommercialRL003.0Y1W001</v>
      </c>
      <c r="B106" s="840">
        <f t="shared" si="39"/>
        <v>1</v>
      </c>
      <c r="C106" s="859" t="s">
        <v>2125</v>
      </c>
      <c r="D106" s="859" t="s">
        <v>2126</v>
      </c>
      <c r="E106" s="859">
        <v>179.66</v>
      </c>
      <c r="F106" s="859"/>
      <c r="G106" s="860"/>
      <c r="H106" s="861">
        <v>0</v>
      </c>
      <c r="I106" s="861">
        <v>0</v>
      </c>
      <c r="J106" s="861">
        <v>0</v>
      </c>
      <c r="K106" s="861">
        <v>0</v>
      </c>
      <c r="L106" s="861">
        <v>0</v>
      </c>
      <c r="M106" s="861">
        <v>0</v>
      </c>
      <c r="N106" s="861">
        <v>0</v>
      </c>
      <c r="O106" s="861">
        <v>0</v>
      </c>
      <c r="P106" s="861">
        <v>0</v>
      </c>
      <c r="Q106" s="861">
        <v>134.75</v>
      </c>
      <c r="R106" s="861">
        <v>179.66</v>
      </c>
      <c r="S106" s="861">
        <v>179.66</v>
      </c>
      <c r="T106" s="861">
        <f t="shared" si="40"/>
        <v>494.06999999999994</v>
      </c>
      <c r="U106" s="861"/>
      <c r="V106" s="861">
        <f t="shared" si="38"/>
        <v>0</v>
      </c>
      <c r="W106" s="861">
        <f t="shared" si="38"/>
        <v>0</v>
      </c>
      <c r="X106" s="861">
        <f t="shared" si="38"/>
        <v>0</v>
      </c>
      <c r="Y106" s="861">
        <f t="shared" si="37"/>
        <v>0</v>
      </c>
      <c r="Z106" s="861">
        <f t="shared" si="37"/>
        <v>0</v>
      </c>
      <c r="AA106" s="861">
        <f t="shared" si="37"/>
        <v>0</v>
      </c>
      <c r="AB106" s="861">
        <f t="shared" si="37"/>
        <v>0</v>
      </c>
      <c r="AC106" s="861">
        <f t="shared" si="37"/>
        <v>0</v>
      </c>
      <c r="AD106" s="861">
        <f t="shared" si="37"/>
        <v>0</v>
      </c>
      <c r="AE106" s="861">
        <f t="shared" si="37"/>
        <v>0.75002783034620957</v>
      </c>
      <c r="AF106" s="861">
        <f t="shared" si="37"/>
        <v>1</v>
      </c>
      <c r="AG106" s="861">
        <f t="shared" si="37"/>
        <v>1</v>
      </c>
      <c r="AH106" s="861">
        <f t="shared" si="29"/>
        <v>0.22916898586218415</v>
      </c>
      <c r="AJ106" s="709"/>
      <c r="AK106" s="936">
        <f t="shared" ca="1" si="30"/>
        <v>4.9652854413485761</v>
      </c>
      <c r="AL106" s="861">
        <f t="shared" si="31"/>
        <v>2.7500278303462098</v>
      </c>
      <c r="AM106" s="861">
        <v>0</v>
      </c>
      <c r="AN106" s="863">
        <f t="shared" si="32"/>
        <v>2.7500278303462098</v>
      </c>
      <c r="AO106" s="936">
        <f t="shared" ca="1" si="41"/>
        <v>13.654673149321447</v>
      </c>
      <c r="AP106" s="936">
        <f t="shared" ca="1" si="42"/>
        <v>184.62528544134858</v>
      </c>
      <c r="AQ106" s="936">
        <f t="shared" ca="1" si="43"/>
        <v>507.72467314932157</v>
      </c>
      <c r="AS106" s="936">
        <f>+IFERROR(VLOOKUP(C106,'Rural - Price Out '!$C:$F,3,FALSE),0)</f>
        <v>0</v>
      </c>
      <c r="AT106" s="909">
        <f t="shared" ca="1" si="44"/>
        <v>184.62528544134858</v>
      </c>
    </row>
    <row r="107" spans="1:46" s="840" customFormat="1">
      <c r="A107" s="840" t="str">
        <f t="shared" si="26"/>
        <v>PacificCommercialRL004.0Y1W001</v>
      </c>
      <c r="B107" s="840">
        <f t="shared" si="39"/>
        <v>1</v>
      </c>
      <c r="C107" s="859" t="s">
        <v>2127</v>
      </c>
      <c r="D107" s="859" t="s">
        <v>2087</v>
      </c>
      <c r="E107" s="859">
        <v>232.45</v>
      </c>
      <c r="F107" s="859"/>
      <c r="G107" s="860"/>
      <c r="H107" s="861">
        <v>0</v>
      </c>
      <c r="I107" s="861">
        <v>0</v>
      </c>
      <c r="J107" s="861">
        <v>0</v>
      </c>
      <c r="K107" s="861">
        <v>0</v>
      </c>
      <c r="L107" s="861">
        <v>0</v>
      </c>
      <c r="M107" s="861">
        <v>232.45</v>
      </c>
      <c r="N107" s="861">
        <v>232.45</v>
      </c>
      <c r="O107" s="861">
        <v>232.45</v>
      </c>
      <c r="P107" s="861">
        <v>232.45</v>
      </c>
      <c r="Q107" s="861">
        <v>232.45</v>
      </c>
      <c r="R107" s="861">
        <v>232.45</v>
      </c>
      <c r="S107" s="861">
        <v>232.45</v>
      </c>
      <c r="T107" s="861">
        <f t="shared" si="40"/>
        <v>1627.15</v>
      </c>
      <c r="U107" s="861"/>
      <c r="V107" s="861">
        <f t="shared" si="38"/>
        <v>0</v>
      </c>
      <c r="W107" s="861">
        <f t="shared" si="38"/>
        <v>0</v>
      </c>
      <c r="X107" s="861">
        <f t="shared" si="38"/>
        <v>0</v>
      </c>
      <c r="Y107" s="861">
        <f t="shared" si="37"/>
        <v>0</v>
      </c>
      <c r="Z107" s="861">
        <f t="shared" si="37"/>
        <v>0</v>
      </c>
      <c r="AA107" s="861">
        <f t="shared" si="37"/>
        <v>1</v>
      </c>
      <c r="AB107" s="861">
        <f t="shared" si="37"/>
        <v>1</v>
      </c>
      <c r="AC107" s="861">
        <f t="shared" si="37"/>
        <v>1</v>
      </c>
      <c r="AD107" s="861">
        <f t="shared" si="37"/>
        <v>1</v>
      </c>
      <c r="AE107" s="861">
        <f t="shared" si="37"/>
        <v>1</v>
      </c>
      <c r="AF107" s="861">
        <f t="shared" si="37"/>
        <v>1</v>
      </c>
      <c r="AG107" s="861">
        <f t="shared" si="37"/>
        <v>1</v>
      </c>
      <c r="AH107" s="861">
        <f t="shared" si="29"/>
        <v>0.58333333333333337</v>
      </c>
      <c r="AJ107" s="709"/>
      <c r="AK107" s="936">
        <f t="shared" ca="1" si="30"/>
        <v>6.4242491419429841</v>
      </c>
      <c r="AL107" s="861">
        <f t="shared" si="31"/>
        <v>7</v>
      </c>
      <c r="AM107" s="861">
        <v>0</v>
      </c>
      <c r="AN107" s="863">
        <f t="shared" si="32"/>
        <v>7</v>
      </c>
      <c r="AO107" s="936">
        <f t="shared" ca="1" si="41"/>
        <v>44.969743993600886</v>
      </c>
      <c r="AP107" s="936">
        <f t="shared" ca="1" si="42"/>
        <v>238.87424914194298</v>
      </c>
      <c r="AQ107" s="936">
        <f t="shared" ca="1" si="43"/>
        <v>1672.1197439936009</v>
      </c>
      <c r="AS107" s="936">
        <f>+IFERROR(VLOOKUP(C107,'Rural - Price Out '!$C:$F,3,FALSE),0)</f>
        <v>0</v>
      </c>
      <c r="AT107" s="909">
        <f t="shared" ca="1" si="44"/>
        <v>238.87424914194298</v>
      </c>
    </row>
    <row r="108" spans="1:46" s="840" customFormat="1">
      <c r="A108" s="840" t="str">
        <f t="shared" si="26"/>
        <v>PacificCommercialRL006.0Y1W001</v>
      </c>
      <c r="B108" s="840">
        <f t="shared" si="39"/>
        <v>1</v>
      </c>
      <c r="C108" s="859" t="s">
        <v>2128</v>
      </c>
      <c r="D108" s="859" t="s">
        <v>2105</v>
      </c>
      <c r="E108" s="859">
        <v>316.87</v>
      </c>
      <c r="F108" s="859"/>
      <c r="G108" s="860"/>
      <c r="H108" s="861">
        <v>316.87</v>
      </c>
      <c r="I108" s="861">
        <v>316.87</v>
      </c>
      <c r="J108" s="861">
        <v>316.87</v>
      </c>
      <c r="K108" s="861">
        <v>316.87</v>
      </c>
      <c r="L108" s="861">
        <v>316.87</v>
      </c>
      <c r="M108" s="861">
        <v>0</v>
      </c>
      <c r="N108" s="861">
        <v>0</v>
      </c>
      <c r="O108" s="861">
        <v>0</v>
      </c>
      <c r="P108" s="861">
        <v>0</v>
      </c>
      <c r="Q108" s="861">
        <v>0</v>
      </c>
      <c r="R108" s="861">
        <v>0</v>
      </c>
      <c r="S108" s="861">
        <v>0</v>
      </c>
      <c r="T108" s="861">
        <f t="shared" si="40"/>
        <v>1584.35</v>
      </c>
      <c r="U108" s="861"/>
      <c r="V108" s="861">
        <f t="shared" si="38"/>
        <v>1</v>
      </c>
      <c r="W108" s="861">
        <f t="shared" si="38"/>
        <v>1</v>
      </c>
      <c r="X108" s="861">
        <f t="shared" si="38"/>
        <v>1</v>
      </c>
      <c r="Y108" s="861">
        <f t="shared" si="37"/>
        <v>1</v>
      </c>
      <c r="Z108" s="861">
        <f t="shared" si="37"/>
        <v>1</v>
      </c>
      <c r="AA108" s="861">
        <f t="shared" si="37"/>
        <v>0</v>
      </c>
      <c r="AB108" s="861">
        <f t="shared" si="37"/>
        <v>0</v>
      </c>
      <c r="AC108" s="861">
        <f t="shared" si="37"/>
        <v>0</v>
      </c>
      <c r="AD108" s="861">
        <f t="shared" si="37"/>
        <v>0</v>
      </c>
      <c r="AE108" s="861">
        <f t="shared" si="37"/>
        <v>0</v>
      </c>
      <c r="AF108" s="861">
        <f t="shared" si="37"/>
        <v>0</v>
      </c>
      <c r="AG108" s="861">
        <f t="shared" si="37"/>
        <v>0</v>
      </c>
      <c r="AH108" s="861">
        <f t="shared" si="29"/>
        <v>0.41666666666666669</v>
      </c>
      <c r="AJ108" s="709"/>
      <c r="AK108" s="936">
        <f t="shared" ca="1" si="30"/>
        <v>8.757375029500853</v>
      </c>
      <c r="AL108" s="861">
        <f t="shared" si="31"/>
        <v>5</v>
      </c>
      <c r="AM108" s="861">
        <v>0.5</v>
      </c>
      <c r="AN108" s="863">
        <f t="shared" si="32"/>
        <v>5.5</v>
      </c>
      <c r="AO108" s="936">
        <f t="shared" ca="1" si="41"/>
        <v>48.165562662254693</v>
      </c>
      <c r="AP108" s="936">
        <f t="shared" ca="1" si="42"/>
        <v>325.62737502950085</v>
      </c>
      <c r="AQ108" s="936">
        <f t="shared" ca="1" si="43"/>
        <v>1628.1368751475043</v>
      </c>
      <c r="AS108" s="936">
        <f>+IFERROR(VLOOKUP(C108,'Rural - Price Out '!$C:$F,3,FALSE),0)</f>
        <v>375.14</v>
      </c>
      <c r="AT108" s="909">
        <f t="shared" ca="1" si="44"/>
        <v>-49.512624970499132</v>
      </c>
    </row>
    <row r="109" spans="1:46" s="840" customFormat="1">
      <c r="A109" s="840" t="str">
        <f t="shared" si="26"/>
        <v>PacificCommercialRL032.0G1W001COMM</v>
      </c>
      <c r="B109" s="840">
        <f t="shared" si="39"/>
        <v>1</v>
      </c>
      <c r="C109" s="859" t="s">
        <v>2129</v>
      </c>
      <c r="D109" s="859" t="s">
        <v>2130</v>
      </c>
      <c r="E109" s="859">
        <v>13.48</v>
      </c>
      <c r="F109" s="859"/>
      <c r="G109" s="860"/>
      <c r="H109" s="861">
        <v>229.16</v>
      </c>
      <c r="I109" s="861">
        <v>229.16</v>
      </c>
      <c r="J109" s="861">
        <v>229.16</v>
      </c>
      <c r="K109" s="861">
        <v>229.16</v>
      </c>
      <c r="L109" s="861">
        <v>229.16</v>
      </c>
      <c r="M109" s="861">
        <v>229.16</v>
      </c>
      <c r="N109" s="861">
        <v>229.16</v>
      </c>
      <c r="O109" s="861">
        <v>229.16</v>
      </c>
      <c r="P109" s="861">
        <v>229.16</v>
      </c>
      <c r="Q109" s="861">
        <v>229.16</v>
      </c>
      <c r="R109" s="861">
        <v>229.16</v>
      </c>
      <c r="S109" s="861">
        <v>229.16</v>
      </c>
      <c r="T109" s="861">
        <f t="shared" si="40"/>
        <v>2749.9199999999996</v>
      </c>
      <c r="U109" s="861"/>
      <c r="V109" s="861">
        <f t="shared" si="38"/>
        <v>17</v>
      </c>
      <c r="W109" s="861">
        <f t="shared" si="38"/>
        <v>17</v>
      </c>
      <c r="X109" s="861">
        <f t="shared" si="38"/>
        <v>17</v>
      </c>
      <c r="Y109" s="861">
        <f t="shared" si="37"/>
        <v>17</v>
      </c>
      <c r="Z109" s="861">
        <f t="shared" si="37"/>
        <v>17</v>
      </c>
      <c r="AA109" s="861">
        <f t="shared" si="37"/>
        <v>17</v>
      </c>
      <c r="AB109" s="861">
        <f t="shared" si="37"/>
        <v>17</v>
      </c>
      <c r="AC109" s="861">
        <f t="shared" si="37"/>
        <v>17</v>
      </c>
      <c r="AD109" s="861">
        <f t="shared" si="37"/>
        <v>17</v>
      </c>
      <c r="AE109" s="861">
        <f t="shared" si="37"/>
        <v>17</v>
      </c>
      <c r="AF109" s="861">
        <f t="shared" si="37"/>
        <v>17</v>
      </c>
      <c r="AG109" s="861">
        <f t="shared" si="37"/>
        <v>17</v>
      </c>
      <c r="AH109" s="861">
        <f t="shared" si="29"/>
        <v>17</v>
      </c>
      <c r="AJ109" s="709"/>
      <c r="AK109" s="936">
        <f t="shared" ca="1" si="30"/>
        <v>0.37254841227529117</v>
      </c>
      <c r="AL109" s="861">
        <f t="shared" si="31"/>
        <v>204</v>
      </c>
      <c r="AM109" s="861">
        <v>3</v>
      </c>
      <c r="AN109" s="863">
        <f t="shared" si="32"/>
        <v>207</v>
      </c>
      <c r="AO109" s="936">
        <f t="shared" ca="1" si="41"/>
        <v>77.117521340985277</v>
      </c>
      <c r="AP109" s="936">
        <f t="shared" ca="1" si="42"/>
        <v>13.852548412275292</v>
      </c>
      <c r="AQ109" s="936">
        <f t="shared" ca="1" si="43"/>
        <v>2825.9198761041598</v>
      </c>
      <c r="AS109" s="936">
        <f>+IFERROR(VLOOKUP(C109,'Rural - Price Out '!$C:$F,3,FALSE),0)</f>
        <v>12.23</v>
      </c>
      <c r="AT109" s="909">
        <f t="shared" ca="1" si="44"/>
        <v>1.6225484122752913</v>
      </c>
    </row>
    <row r="110" spans="1:46" s="840" customFormat="1">
      <c r="A110" s="840" t="str">
        <f t="shared" si="26"/>
        <v>PacificCommercialRL032.0G1W002COMM</v>
      </c>
      <c r="B110" s="840">
        <f t="shared" si="39"/>
        <v>1</v>
      </c>
      <c r="C110" s="859" t="s">
        <v>2131</v>
      </c>
      <c r="D110" s="859" t="s">
        <v>2132</v>
      </c>
      <c r="E110" s="859">
        <v>21.39</v>
      </c>
      <c r="F110" s="859"/>
      <c r="G110" s="860"/>
      <c r="H110" s="861">
        <v>192.51000000000002</v>
      </c>
      <c r="I110" s="861">
        <v>192.51000000000002</v>
      </c>
      <c r="J110" s="861">
        <v>192.51000000000002</v>
      </c>
      <c r="K110" s="861">
        <v>192.51000000000002</v>
      </c>
      <c r="L110" s="861">
        <v>192.51000000000002</v>
      </c>
      <c r="M110" s="861">
        <v>192.51000000000002</v>
      </c>
      <c r="N110" s="861">
        <v>192.51000000000002</v>
      </c>
      <c r="O110" s="861">
        <v>192.51000000000002</v>
      </c>
      <c r="P110" s="861">
        <v>192.51000000000002</v>
      </c>
      <c r="Q110" s="861">
        <v>192.51000000000002</v>
      </c>
      <c r="R110" s="861">
        <v>192.51000000000002</v>
      </c>
      <c r="S110" s="861">
        <v>192.51000000000002</v>
      </c>
      <c r="T110" s="861">
        <f t="shared" si="40"/>
        <v>2310.1200000000003</v>
      </c>
      <c r="U110" s="861"/>
      <c r="V110" s="861">
        <f t="shared" si="38"/>
        <v>9</v>
      </c>
      <c r="W110" s="861">
        <f t="shared" si="38"/>
        <v>9</v>
      </c>
      <c r="X110" s="861">
        <f t="shared" si="38"/>
        <v>9</v>
      </c>
      <c r="Y110" s="861">
        <f t="shared" si="37"/>
        <v>9</v>
      </c>
      <c r="Z110" s="861">
        <f t="shared" si="37"/>
        <v>9</v>
      </c>
      <c r="AA110" s="861">
        <f t="shared" si="37"/>
        <v>9</v>
      </c>
      <c r="AB110" s="861">
        <f t="shared" si="37"/>
        <v>9</v>
      </c>
      <c r="AC110" s="861">
        <f t="shared" si="37"/>
        <v>9</v>
      </c>
      <c r="AD110" s="861">
        <f t="shared" si="37"/>
        <v>9</v>
      </c>
      <c r="AE110" s="861">
        <f t="shared" si="37"/>
        <v>9</v>
      </c>
      <c r="AF110" s="861">
        <f t="shared" si="37"/>
        <v>9</v>
      </c>
      <c r="AG110" s="861">
        <f t="shared" si="37"/>
        <v>9</v>
      </c>
      <c r="AH110" s="861">
        <f t="shared" si="29"/>
        <v>9</v>
      </c>
      <c r="AJ110" s="709"/>
      <c r="AK110" s="936">
        <f t="shared" ca="1" si="30"/>
        <v>0.5911580518225874</v>
      </c>
      <c r="AL110" s="861">
        <f t="shared" si="31"/>
        <v>108</v>
      </c>
      <c r="AM110" s="861">
        <v>12</v>
      </c>
      <c r="AN110" s="863">
        <f t="shared" si="32"/>
        <v>120</v>
      </c>
      <c r="AO110" s="936">
        <f t="shared" ca="1" si="41"/>
        <v>70.93896621871049</v>
      </c>
      <c r="AP110" s="936">
        <f t="shared" ca="1" si="42"/>
        <v>21.98115805182259</v>
      </c>
      <c r="AQ110" s="936">
        <f t="shared" ca="1" si="43"/>
        <v>2373.9650695968398</v>
      </c>
      <c r="AS110" s="936">
        <f>+IFERROR(VLOOKUP(C110,'Rural - Price Out '!$C:$F,3,FALSE),0)</f>
        <v>22.26</v>
      </c>
      <c r="AT110" s="909">
        <f t="shared" ca="1" si="44"/>
        <v>-0.27884194817741204</v>
      </c>
    </row>
    <row r="111" spans="1:46" s="840" customFormat="1" ht="12">
      <c r="A111" s="840" t="str">
        <f t="shared" si="26"/>
        <v>PacificCommercialRL032.0G1W003COMM</v>
      </c>
      <c r="B111" s="840">
        <f t="shared" si="39"/>
        <v>1</v>
      </c>
      <c r="C111" s="859" t="s">
        <v>2133</v>
      </c>
      <c r="D111" s="859" t="s">
        <v>2134</v>
      </c>
      <c r="E111" s="859">
        <v>32.090000000000003</v>
      </c>
      <c r="F111" s="859"/>
      <c r="G111" s="860"/>
      <c r="H111" s="861">
        <v>128.36000000000001</v>
      </c>
      <c r="I111" s="861">
        <v>128.36000000000001</v>
      </c>
      <c r="J111" s="861">
        <v>128.36000000000001</v>
      </c>
      <c r="K111" s="861">
        <v>128.36000000000001</v>
      </c>
      <c r="L111" s="861">
        <v>128.36000000000001</v>
      </c>
      <c r="M111" s="861">
        <v>128.36000000000001</v>
      </c>
      <c r="N111" s="861">
        <v>128.36000000000001</v>
      </c>
      <c r="O111" s="861">
        <v>128.36000000000001</v>
      </c>
      <c r="P111" s="861">
        <v>128.36000000000001</v>
      </c>
      <c r="Q111" s="861">
        <v>128.36000000000001</v>
      </c>
      <c r="R111" s="861">
        <v>128.36000000000001</v>
      </c>
      <c r="S111" s="861">
        <v>128.36000000000001</v>
      </c>
      <c r="T111" s="861">
        <f t="shared" si="40"/>
        <v>1540.3200000000006</v>
      </c>
      <c r="U111" s="861"/>
      <c r="V111" s="861">
        <f t="shared" si="38"/>
        <v>4</v>
      </c>
      <c r="W111" s="861">
        <f t="shared" si="38"/>
        <v>4</v>
      </c>
      <c r="X111" s="861">
        <f t="shared" si="38"/>
        <v>4</v>
      </c>
      <c r="Y111" s="861">
        <f t="shared" si="37"/>
        <v>4</v>
      </c>
      <c r="Z111" s="861">
        <f t="shared" si="37"/>
        <v>4</v>
      </c>
      <c r="AA111" s="861">
        <f t="shared" si="37"/>
        <v>4</v>
      </c>
      <c r="AB111" s="861">
        <f t="shared" si="37"/>
        <v>4</v>
      </c>
      <c r="AC111" s="861">
        <f t="shared" si="37"/>
        <v>4</v>
      </c>
      <c r="AD111" s="861">
        <f t="shared" si="37"/>
        <v>4</v>
      </c>
      <c r="AE111" s="861">
        <f t="shared" si="37"/>
        <v>4</v>
      </c>
      <c r="AF111" s="861">
        <f t="shared" si="37"/>
        <v>4</v>
      </c>
      <c r="AG111" s="861">
        <f t="shared" si="37"/>
        <v>4</v>
      </c>
      <c r="AH111" s="861">
        <f t="shared" si="29"/>
        <v>4</v>
      </c>
      <c r="AK111" s="936">
        <f t="shared" ca="1" si="30"/>
        <v>0.88687526334674294</v>
      </c>
      <c r="AL111" s="861">
        <f t="shared" si="31"/>
        <v>48</v>
      </c>
      <c r="AM111" s="861">
        <v>12</v>
      </c>
      <c r="AN111" s="863">
        <f t="shared" si="32"/>
        <v>60</v>
      </c>
      <c r="AO111" s="936">
        <f t="shared" ca="1" si="41"/>
        <v>53.212515800804574</v>
      </c>
      <c r="AP111" s="936">
        <f t="shared" ca="1" si="42"/>
        <v>32.976875263346749</v>
      </c>
      <c r="AQ111" s="936">
        <f t="shared" ca="1" si="43"/>
        <v>1582.8900126406438</v>
      </c>
      <c r="AS111" s="936">
        <f>+IFERROR(VLOOKUP(C111,'Rural - Price Out '!$C:$F,3,FALSE),0)</f>
        <v>33.380000000000003</v>
      </c>
      <c r="AT111" s="909">
        <f t="shared" ca="1" si="44"/>
        <v>-0.40312473665325399</v>
      </c>
    </row>
    <row r="112" spans="1:46" s="840" customFormat="1" ht="12">
      <c r="A112" s="840" t="str">
        <f t="shared" si="26"/>
        <v>PacificCommercialRL032.0G1W004COMM</v>
      </c>
      <c r="B112" s="840">
        <f t="shared" si="39"/>
        <v>1</v>
      </c>
      <c r="C112" s="859" t="s">
        <v>2135</v>
      </c>
      <c r="D112" s="859" t="s">
        <v>2136</v>
      </c>
      <c r="E112" s="859">
        <v>42.78</v>
      </c>
      <c r="F112" s="859"/>
      <c r="G112" s="860"/>
      <c r="H112" s="861">
        <v>342.24</v>
      </c>
      <c r="I112" s="861">
        <v>299.46000000000004</v>
      </c>
      <c r="J112" s="861">
        <v>299.46000000000004</v>
      </c>
      <c r="K112" s="861">
        <v>282.35000000000002</v>
      </c>
      <c r="L112" s="861">
        <v>256.68</v>
      </c>
      <c r="M112" s="861">
        <v>256.68</v>
      </c>
      <c r="N112" s="861">
        <v>256.68</v>
      </c>
      <c r="O112" s="861">
        <v>256.68</v>
      </c>
      <c r="P112" s="861">
        <v>256.68</v>
      </c>
      <c r="Q112" s="861">
        <v>256.68</v>
      </c>
      <c r="R112" s="861">
        <v>256.68</v>
      </c>
      <c r="S112" s="861">
        <v>256.68</v>
      </c>
      <c r="T112" s="861">
        <f t="shared" si="40"/>
        <v>3276.95</v>
      </c>
      <c r="U112" s="861"/>
      <c r="V112" s="861">
        <f t="shared" si="38"/>
        <v>8</v>
      </c>
      <c r="W112" s="861">
        <f t="shared" si="38"/>
        <v>7.0000000000000009</v>
      </c>
      <c r="X112" s="861">
        <f t="shared" si="38"/>
        <v>7.0000000000000009</v>
      </c>
      <c r="Y112" s="861">
        <f t="shared" si="37"/>
        <v>6.60004675081814</v>
      </c>
      <c r="Z112" s="861">
        <f t="shared" si="37"/>
        <v>6</v>
      </c>
      <c r="AA112" s="861">
        <f t="shared" si="37"/>
        <v>6</v>
      </c>
      <c r="AB112" s="861">
        <f t="shared" si="37"/>
        <v>6</v>
      </c>
      <c r="AC112" s="861">
        <f t="shared" si="37"/>
        <v>6</v>
      </c>
      <c r="AD112" s="861">
        <f t="shared" si="37"/>
        <v>6</v>
      </c>
      <c r="AE112" s="861">
        <f t="shared" si="37"/>
        <v>6</v>
      </c>
      <c r="AF112" s="861">
        <f t="shared" si="37"/>
        <v>6</v>
      </c>
      <c r="AG112" s="861">
        <f t="shared" si="37"/>
        <v>6</v>
      </c>
      <c r="AH112" s="861">
        <f t="shared" si="29"/>
        <v>6.3833372292348445</v>
      </c>
      <c r="AK112" s="936">
        <f t="shared" ca="1" si="30"/>
        <v>1.1823161036451748</v>
      </c>
      <c r="AL112" s="861">
        <f t="shared" si="31"/>
        <v>76.600046750818137</v>
      </c>
      <c r="AM112" s="861">
        <v>24</v>
      </c>
      <c r="AN112" s="863">
        <f t="shared" si="32"/>
        <v>100.60004675081814</v>
      </c>
      <c r="AO112" s="936">
        <f t="shared" ca="1" si="41"/>
        <v>118.94105530094973</v>
      </c>
      <c r="AP112" s="936">
        <f t="shared" ca="1" si="42"/>
        <v>43.962316103645179</v>
      </c>
      <c r="AQ112" s="936">
        <f t="shared" ca="1" si="43"/>
        <v>3367.5154688134658</v>
      </c>
      <c r="AS112" s="936">
        <f>+IFERROR(VLOOKUP(C112,'Rural - Price Out '!$C:$F,3,FALSE),0)</f>
        <v>44.51</v>
      </c>
      <c r="AT112" s="909">
        <f t="shared" ca="1" si="44"/>
        <v>-0.54768389635481896</v>
      </c>
    </row>
    <row r="113" spans="1:46" s="840" customFormat="1" ht="12">
      <c r="A113" s="840" t="str">
        <f t="shared" si="26"/>
        <v>PacificCommercialRL035.0G1W001COMM</v>
      </c>
      <c r="B113" s="840">
        <f t="shared" si="39"/>
        <v>1</v>
      </c>
      <c r="C113" s="859" t="s">
        <v>2137</v>
      </c>
      <c r="D113" s="859" t="s">
        <v>2138</v>
      </c>
      <c r="E113" s="859">
        <v>13.89</v>
      </c>
      <c r="F113" s="859"/>
      <c r="G113" s="860"/>
      <c r="H113" s="861">
        <v>166.68</v>
      </c>
      <c r="I113" s="861">
        <v>166.68</v>
      </c>
      <c r="J113" s="861">
        <v>166.68</v>
      </c>
      <c r="K113" s="861">
        <v>166.68</v>
      </c>
      <c r="L113" s="861">
        <v>166.68</v>
      </c>
      <c r="M113" s="861">
        <v>166.68</v>
      </c>
      <c r="N113" s="861">
        <v>166.68</v>
      </c>
      <c r="O113" s="861">
        <v>166.68</v>
      </c>
      <c r="P113" s="861">
        <v>166.68</v>
      </c>
      <c r="Q113" s="861">
        <v>166.68</v>
      </c>
      <c r="R113" s="861">
        <v>166.68</v>
      </c>
      <c r="S113" s="861">
        <v>166.68</v>
      </c>
      <c r="T113" s="861">
        <f t="shared" si="40"/>
        <v>2000.1600000000005</v>
      </c>
      <c r="U113" s="861"/>
      <c r="V113" s="861">
        <f t="shared" si="38"/>
        <v>12</v>
      </c>
      <c r="W113" s="861">
        <f t="shared" si="38"/>
        <v>12</v>
      </c>
      <c r="X113" s="861">
        <f t="shared" si="38"/>
        <v>12</v>
      </c>
      <c r="Y113" s="861">
        <f t="shared" si="37"/>
        <v>12</v>
      </c>
      <c r="Z113" s="861">
        <f t="shared" si="37"/>
        <v>12</v>
      </c>
      <c r="AA113" s="861">
        <f t="shared" si="37"/>
        <v>12</v>
      </c>
      <c r="AB113" s="861">
        <f t="shared" si="37"/>
        <v>12</v>
      </c>
      <c r="AC113" s="861">
        <f t="shared" si="37"/>
        <v>12</v>
      </c>
      <c r="AD113" s="861">
        <f t="shared" si="37"/>
        <v>12</v>
      </c>
      <c r="AE113" s="861">
        <f t="shared" si="37"/>
        <v>12</v>
      </c>
      <c r="AF113" s="861">
        <f t="shared" si="37"/>
        <v>12</v>
      </c>
      <c r="AG113" s="861">
        <f t="shared" si="37"/>
        <v>12</v>
      </c>
      <c r="AH113" s="861">
        <f t="shared" si="29"/>
        <v>12</v>
      </c>
      <c r="AK113" s="936">
        <f t="shared" ca="1" si="30"/>
        <v>0.38387963252995505</v>
      </c>
      <c r="AL113" s="861">
        <f t="shared" si="31"/>
        <v>144</v>
      </c>
      <c r="AM113" s="861">
        <v>0</v>
      </c>
      <c r="AN113" s="863">
        <f t="shared" si="32"/>
        <v>144</v>
      </c>
      <c r="AO113" s="936">
        <f t="shared" ca="1" si="41"/>
        <v>55.278667084313525</v>
      </c>
      <c r="AP113" s="936">
        <f t="shared" ca="1" si="42"/>
        <v>14.273879632529956</v>
      </c>
      <c r="AQ113" s="936">
        <f t="shared" ca="1" si="43"/>
        <v>2055.4386670843137</v>
      </c>
      <c r="AS113" s="936">
        <f>+IFERROR(VLOOKUP(C113,'Rural - Price Out '!$C:$F,3,FALSE),0)</f>
        <v>0</v>
      </c>
      <c r="AT113" s="909">
        <f t="shared" ca="1" si="44"/>
        <v>14.273879632529956</v>
      </c>
    </row>
    <row r="114" spans="1:46" s="840" customFormat="1">
      <c r="A114" s="840" t="str">
        <f t="shared" si="26"/>
        <v>PacificCommercialSL035.0G1W001COMM</v>
      </c>
      <c r="B114" s="840">
        <f t="shared" si="39"/>
        <v>1</v>
      </c>
      <c r="C114" s="859" t="s">
        <v>2139</v>
      </c>
      <c r="D114" s="859" t="s">
        <v>2138</v>
      </c>
      <c r="E114" s="859">
        <v>13.89</v>
      </c>
      <c r="F114" s="859"/>
      <c r="G114" s="860"/>
      <c r="H114" s="861">
        <v>22772.66</v>
      </c>
      <c r="I114" s="861">
        <v>22867.8</v>
      </c>
      <c r="J114" s="861">
        <v>22887.260000000002</v>
      </c>
      <c r="K114" s="861">
        <v>22794.879999999997</v>
      </c>
      <c r="L114" s="861">
        <v>22889.35</v>
      </c>
      <c r="M114" s="861">
        <v>25574.280000000002</v>
      </c>
      <c r="N114" s="861">
        <v>25468.7</v>
      </c>
      <c r="O114" s="861">
        <v>25458.300000000003</v>
      </c>
      <c r="P114" s="861">
        <v>25489.53</v>
      </c>
      <c r="Q114" s="861">
        <v>25322.720000000001</v>
      </c>
      <c r="R114" s="861">
        <v>25374.27</v>
      </c>
      <c r="S114" s="861">
        <v>24995.339999999997</v>
      </c>
      <c r="T114" s="861">
        <f t="shared" si="40"/>
        <v>291895.09000000008</v>
      </c>
      <c r="U114" s="861"/>
      <c r="V114" s="861">
        <f t="shared" si="38"/>
        <v>1639.5003599712022</v>
      </c>
      <c r="W114" s="861">
        <f t="shared" si="38"/>
        <v>1646.3498920086392</v>
      </c>
      <c r="X114" s="861">
        <f t="shared" si="38"/>
        <v>1647.7508999280058</v>
      </c>
      <c r="Y114" s="861">
        <f t="shared" si="37"/>
        <v>1641.1000719942401</v>
      </c>
      <c r="Z114" s="861">
        <f t="shared" si="37"/>
        <v>1647.9013678905685</v>
      </c>
      <c r="AA114" s="861">
        <f t="shared" si="37"/>
        <v>1841.2008639308856</v>
      </c>
      <c r="AB114" s="861">
        <f t="shared" ref="AB114:AG145" si="45">IFERROR(N114/$E114,0)</f>
        <v>1833.5997120230381</v>
      </c>
      <c r="AC114" s="861">
        <f t="shared" si="45"/>
        <v>1832.8509719222463</v>
      </c>
      <c r="AD114" s="861">
        <f t="shared" si="45"/>
        <v>1835.0993520518357</v>
      </c>
      <c r="AE114" s="861">
        <f t="shared" si="45"/>
        <v>1823.0899928005761</v>
      </c>
      <c r="AF114" s="861">
        <f t="shared" si="45"/>
        <v>1826.8012958963282</v>
      </c>
      <c r="AG114" s="861">
        <f t="shared" si="45"/>
        <v>1799.520518358531</v>
      </c>
      <c r="AH114" s="861">
        <f t="shared" si="29"/>
        <v>1751.2304415646749</v>
      </c>
      <c r="AJ114" s="709"/>
      <c r="AK114" s="936">
        <f t="shared" ca="1" si="30"/>
        <v>0.38387963252995505</v>
      </c>
      <c r="AL114" s="861">
        <f t="shared" si="31"/>
        <v>21014.765298776099</v>
      </c>
      <c r="AM114" s="861">
        <v>713.14985380116957</v>
      </c>
      <c r="AN114" s="863">
        <f t="shared" si="32"/>
        <v>21727.915152577269</v>
      </c>
      <c r="AO114" s="936">
        <f t="shared" ca="1" si="41"/>
        <v>8340.9040844134033</v>
      </c>
      <c r="AP114" s="936">
        <f t="shared" ca="1" si="42"/>
        <v>14.273879632529956</v>
      </c>
      <c r="AQ114" s="936">
        <f t="shared" ca="1" si="43"/>
        <v>299962.23038059747</v>
      </c>
      <c r="AS114" s="936">
        <f>+IFERROR(VLOOKUP(C114,'Rural - Price Out '!$C:$F,3,FALSE),0)</f>
        <v>13.68</v>
      </c>
      <c r="AT114" s="909">
        <f t="shared" ca="1" si="44"/>
        <v>0.59387963252995668</v>
      </c>
    </row>
    <row r="115" spans="1:46" s="840" customFormat="1">
      <c r="A115" s="840" t="str">
        <f t="shared" si="26"/>
        <v>PacificCommercialSL065.0G1W001COMM</v>
      </c>
      <c r="B115" s="840">
        <f t="shared" si="39"/>
        <v>1</v>
      </c>
      <c r="C115" s="859" t="s">
        <v>2140</v>
      </c>
      <c r="D115" s="859" t="s">
        <v>2141</v>
      </c>
      <c r="E115" s="859">
        <v>20.52</v>
      </c>
      <c r="F115" s="859"/>
      <c r="G115" s="860"/>
      <c r="H115" s="861">
        <v>6485.3499999999995</v>
      </c>
      <c r="I115" s="861">
        <v>6433.02</v>
      </c>
      <c r="J115" s="861">
        <v>6405.32</v>
      </c>
      <c r="K115" s="861">
        <v>6463.7999999999993</v>
      </c>
      <c r="L115" s="861">
        <v>6530.4900000000007</v>
      </c>
      <c r="M115" s="861">
        <v>6603.34</v>
      </c>
      <c r="N115" s="861">
        <v>6578.71</v>
      </c>
      <c r="O115" s="861">
        <v>6559.2199999999993</v>
      </c>
      <c r="P115" s="861">
        <v>6633.09</v>
      </c>
      <c r="Q115" s="861">
        <v>6679.26</v>
      </c>
      <c r="R115" s="861">
        <v>7659.09</v>
      </c>
      <c r="S115" s="861">
        <v>6646.42</v>
      </c>
      <c r="T115" s="861">
        <f t="shared" si="40"/>
        <v>79677.11</v>
      </c>
      <c r="U115" s="861"/>
      <c r="V115" s="861">
        <f t="shared" si="38"/>
        <v>316.05019493177383</v>
      </c>
      <c r="W115" s="861">
        <f t="shared" si="38"/>
        <v>313.5</v>
      </c>
      <c r="X115" s="861">
        <f t="shared" si="38"/>
        <v>312.15009746588692</v>
      </c>
      <c r="Y115" s="861">
        <f t="shared" si="38"/>
        <v>314.99999999999994</v>
      </c>
      <c r="Z115" s="861">
        <f t="shared" si="38"/>
        <v>318.25000000000006</v>
      </c>
      <c r="AA115" s="861">
        <f t="shared" si="38"/>
        <v>321.80019493177389</v>
      </c>
      <c r="AB115" s="861">
        <f t="shared" si="45"/>
        <v>320.59990253411308</v>
      </c>
      <c r="AC115" s="861">
        <f t="shared" si="45"/>
        <v>319.65009746588692</v>
      </c>
      <c r="AD115" s="861">
        <f t="shared" si="45"/>
        <v>323.25</v>
      </c>
      <c r="AE115" s="861">
        <f t="shared" si="45"/>
        <v>325.5</v>
      </c>
      <c r="AF115" s="861">
        <f t="shared" si="45"/>
        <v>373.25</v>
      </c>
      <c r="AG115" s="861">
        <f t="shared" si="45"/>
        <v>323.89961013645222</v>
      </c>
      <c r="AH115" s="861">
        <f t="shared" si="29"/>
        <v>323.57500812215727</v>
      </c>
      <c r="AJ115" s="709"/>
      <c r="AK115" s="936">
        <f t="shared" ca="1" si="30"/>
        <v>0.56711375518464202</v>
      </c>
      <c r="AL115" s="861">
        <f t="shared" si="31"/>
        <v>3882.9000974658875</v>
      </c>
      <c r="AM115" s="861">
        <v>228.94955489614244</v>
      </c>
      <c r="AN115" s="863">
        <f t="shared" si="32"/>
        <v>4111.8496523620297</v>
      </c>
      <c r="AO115" s="936">
        <f t="shared" ca="1" si="41"/>
        <v>2331.8864971056955</v>
      </c>
      <c r="AP115" s="936">
        <f t="shared" ca="1" si="42"/>
        <v>21.087113755184642</v>
      </c>
      <c r="AQ115" s="936">
        <f t="shared" ca="1" si="43"/>
        <v>81879.156055280691</v>
      </c>
      <c r="AS115" s="936">
        <f>+IFERROR(VLOOKUP(C115,'Rural - Price Out '!$C:$F,3,FALSE),0)</f>
        <v>20.22</v>
      </c>
      <c r="AT115" s="909">
        <f t="shared" ca="1" si="44"/>
        <v>0.86711375518464351</v>
      </c>
    </row>
    <row r="116" spans="1:46" s="840" customFormat="1">
      <c r="A116" s="840" t="str">
        <f t="shared" si="26"/>
        <v>PacificCommercialSL095.0G1W001COMM</v>
      </c>
      <c r="B116" s="840">
        <f t="shared" si="39"/>
        <v>1</v>
      </c>
      <c r="C116" s="859" t="s">
        <v>2142</v>
      </c>
      <c r="D116" s="859" t="s">
        <v>2143</v>
      </c>
      <c r="E116" s="859">
        <v>27.45</v>
      </c>
      <c r="F116" s="859"/>
      <c r="G116" s="860"/>
      <c r="H116" s="861">
        <v>10461.200000000001</v>
      </c>
      <c r="I116" s="861">
        <v>10422.32</v>
      </c>
      <c r="J116" s="861">
        <v>10481.780000000001</v>
      </c>
      <c r="K116" s="861">
        <v>10670.720000000001</v>
      </c>
      <c r="L116" s="861">
        <v>10691.79</v>
      </c>
      <c r="M116" s="861">
        <v>10561.39</v>
      </c>
      <c r="N116" s="861">
        <v>10620.41</v>
      </c>
      <c r="O116" s="861">
        <v>10575.119999999999</v>
      </c>
      <c r="P116" s="861">
        <v>10642.39</v>
      </c>
      <c r="Q116" s="861">
        <v>10767.27</v>
      </c>
      <c r="R116" s="861">
        <v>10800.22</v>
      </c>
      <c r="S116" s="861">
        <v>10870.21</v>
      </c>
      <c r="T116" s="861">
        <f t="shared" si="40"/>
        <v>127564.82</v>
      </c>
      <c r="U116" s="861"/>
      <c r="V116" s="861">
        <f t="shared" si="38"/>
        <v>381.10018214936252</v>
      </c>
      <c r="W116" s="861">
        <f t="shared" si="38"/>
        <v>379.68378870673951</v>
      </c>
      <c r="X116" s="861">
        <f t="shared" si="38"/>
        <v>381.8499089253188</v>
      </c>
      <c r="Y116" s="861">
        <f t="shared" si="38"/>
        <v>388.73296903460846</v>
      </c>
      <c r="Z116" s="861">
        <f t="shared" si="38"/>
        <v>389.50054644808745</v>
      </c>
      <c r="AA116" s="861">
        <f t="shared" si="38"/>
        <v>384.75009107468122</v>
      </c>
      <c r="AB116" s="861">
        <f t="shared" si="45"/>
        <v>386.90018214936248</v>
      </c>
      <c r="AC116" s="861">
        <f t="shared" si="45"/>
        <v>385.25027322404367</v>
      </c>
      <c r="AD116" s="861">
        <f t="shared" si="45"/>
        <v>387.70091074681238</v>
      </c>
      <c r="AE116" s="861">
        <f t="shared" si="45"/>
        <v>392.25027322404372</v>
      </c>
      <c r="AF116" s="861">
        <f t="shared" si="45"/>
        <v>393.45063752276866</v>
      </c>
      <c r="AG116" s="861">
        <f t="shared" si="45"/>
        <v>396.00036429872495</v>
      </c>
      <c r="AH116" s="861">
        <f t="shared" si="29"/>
        <v>387.26417729204621</v>
      </c>
      <c r="AJ116" s="709"/>
      <c r="AK116" s="936">
        <f t="shared" ca="1" si="30"/>
        <v>0.75863901461103422</v>
      </c>
      <c r="AL116" s="861">
        <f t="shared" si="31"/>
        <v>4647.1701275045543</v>
      </c>
      <c r="AM116" s="861">
        <v>173.6504818383988</v>
      </c>
      <c r="AN116" s="863">
        <f t="shared" si="32"/>
        <v>4820.8206093429535</v>
      </c>
      <c r="AO116" s="936">
        <f t="shared" ca="1" si="41"/>
        <v>3657.2625966885039</v>
      </c>
      <c r="AP116" s="936">
        <f t="shared" ca="1" si="42"/>
        <v>28.208639014611034</v>
      </c>
      <c r="AQ116" s="936">
        <f t="shared" ca="1" si="43"/>
        <v>131090.34456625991</v>
      </c>
      <c r="AS116" s="936">
        <f>+IFERROR(VLOOKUP(C116,'Rural - Price Out '!$C:$F,3,FALSE),0)</f>
        <v>26.98</v>
      </c>
      <c r="AT116" s="909">
        <f t="shared" ca="1" si="44"/>
        <v>1.2286390146110335</v>
      </c>
    </row>
    <row r="117" spans="1:46" s="840" customFormat="1">
      <c r="A117" s="840" t="str">
        <f t="shared" si="26"/>
        <v>PacificCommercialSL095.0G2W001COMM</v>
      </c>
      <c r="B117" s="840">
        <f t="shared" si="39"/>
        <v>1</v>
      </c>
      <c r="C117" s="859" t="s">
        <v>2144</v>
      </c>
      <c r="D117" s="859" t="s">
        <v>2145</v>
      </c>
      <c r="E117" s="859">
        <v>54.9</v>
      </c>
      <c r="F117" s="859"/>
      <c r="G117" s="860"/>
      <c r="H117" s="861">
        <v>1098</v>
      </c>
      <c r="I117" s="861">
        <v>1098</v>
      </c>
      <c r="J117" s="861">
        <v>1098</v>
      </c>
      <c r="K117" s="861">
        <v>1098</v>
      </c>
      <c r="L117" s="861">
        <v>1098</v>
      </c>
      <c r="M117" s="861">
        <v>1098</v>
      </c>
      <c r="N117" s="861">
        <v>1098</v>
      </c>
      <c r="O117" s="861">
        <v>1098</v>
      </c>
      <c r="P117" s="861">
        <v>1098</v>
      </c>
      <c r="Q117" s="861">
        <v>1098</v>
      </c>
      <c r="R117" s="861">
        <v>1146.8</v>
      </c>
      <c r="S117" s="861">
        <v>1152.9000000000001</v>
      </c>
      <c r="T117" s="861">
        <f t="shared" si="40"/>
        <v>13279.699999999999</v>
      </c>
      <c r="U117" s="861"/>
      <c r="V117" s="861">
        <f t="shared" si="38"/>
        <v>20</v>
      </c>
      <c r="W117" s="861">
        <f t="shared" si="38"/>
        <v>20</v>
      </c>
      <c r="X117" s="861">
        <f t="shared" si="38"/>
        <v>20</v>
      </c>
      <c r="Y117" s="861">
        <f t="shared" si="38"/>
        <v>20</v>
      </c>
      <c r="Z117" s="861">
        <f t="shared" si="38"/>
        <v>20</v>
      </c>
      <c r="AA117" s="861">
        <f t="shared" si="38"/>
        <v>20</v>
      </c>
      <c r="AB117" s="861">
        <f t="shared" si="45"/>
        <v>20</v>
      </c>
      <c r="AC117" s="861">
        <f t="shared" si="45"/>
        <v>20</v>
      </c>
      <c r="AD117" s="861">
        <f t="shared" si="45"/>
        <v>20</v>
      </c>
      <c r="AE117" s="861">
        <f t="shared" si="45"/>
        <v>20</v>
      </c>
      <c r="AF117" s="861">
        <f t="shared" si="45"/>
        <v>20.888888888888889</v>
      </c>
      <c r="AG117" s="861">
        <f t="shared" si="45"/>
        <v>21.000000000000004</v>
      </c>
      <c r="AH117" s="861">
        <f t="shared" si="29"/>
        <v>20.157407407407408</v>
      </c>
      <c r="AJ117" s="709"/>
      <c r="AK117" s="936">
        <f t="shared" ca="1" si="30"/>
        <v>1.5172780292220684</v>
      </c>
      <c r="AL117" s="861">
        <f t="shared" si="31"/>
        <v>241.88888888888891</v>
      </c>
      <c r="AM117" s="861">
        <v>0</v>
      </c>
      <c r="AN117" s="863">
        <f t="shared" si="32"/>
        <v>241.88888888888891</v>
      </c>
      <c r="AO117" s="936">
        <f t="shared" ca="1" si="41"/>
        <v>367.01269662404928</v>
      </c>
      <c r="AP117" s="936">
        <f t="shared" ca="1" si="42"/>
        <v>56.417278029222068</v>
      </c>
      <c r="AQ117" s="936">
        <f t="shared" ca="1" si="43"/>
        <v>13646.712696624048</v>
      </c>
      <c r="AS117" s="936">
        <f>+IFERROR(VLOOKUP(C117,'Rural - Price Out '!$C:$F,3,FALSE),0)</f>
        <v>0</v>
      </c>
      <c r="AT117" s="909">
        <f t="shared" ca="1" si="44"/>
        <v>56.417278029222068</v>
      </c>
    </row>
    <row r="118" spans="1:46" s="840" customFormat="1">
      <c r="A118" s="840" t="str">
        <f t="shared" si="26"/>
        <v>PacificCommercialCANCOUNT5+-COMM</v>
      </c>
      <c r="B118" s="840">
        <f t="shared" si="39"/>
        <v>1</v>
      </c>
      <c r="C118" s="859" t="s">
        <v>2146</v>
      </c>
      <c r="D118" s="859" t="s">
        <v>2147</v>
      </c>
      <c r="E118" s="859">
        <v>2.27</v>
      </c>
      <c r="F118" s="859"/>
      <c r="G118" s="860"/>
      <c r="H118" s="861">
        <v>1046.47</v>
      </c>
      <c r="I118" s="861">
        <v>878.49</v>
      </c>
      <c r="J118" s="861">
        <v>1793.98</v>
      </c>
      <c r="K118" s="861">
        <v>819.47</v>
      </c>
      <c r="L118" s="861">
        <v>787.68999999999994</v>
      </c>
      <c r="M118" s="861">
        <v>1148.6199999999999</v>
      </c>
      <c r="N118" s="861">
        <v>1087.33</v>
      </c>
      <c r="O118" s="861">
        <v>1055.55</v>
      </c>
      <c r="P118" s="861">
        <v>819.47</v>
      </c>
      <c r="Q118" s="861">
        <v>254.24</v>
      </c>
      <c r="R118" s="861">
        <v>1051.01</v>
      </c>
      <c r="S118" s="861">
        <v>855.79</v>
      </c>
      <c r="T118" s="861">
        <f t="shared" si="40"/>
        <v>11598.109999999997</v>
      </c>
      <c r="U118" s="861"/>
      <c r="V118" s="861">
        <f t="shared" si="38"/>
        <v>461</v>
      </c>
      <c r="W118" s="861">
        <f t="shared" si="38"/>
        <v>387</v>
      </c>
      <c r="X118" s="861">
        <f t="shared" si="38"/>
        <v>790.29955947136568</v>
      </c>
      <c r="Y118" s="861">
        <f t="shared" si="38"/>
        <v>361</v>
      </c>
      <c r="Z118" s="861">
        <f t="shared" si="38"/>
        <v>346.99999999999994</v>
      </c>
      <c r="AA118" s="861">
        <f t="shared" si="38"/>
        <v>505.99999999999994</v>
      </c>
      <c r="AB118" s="861">
        <f t="shared" si="45"/>
        <v>478.99999999999994</v>
      </c>
      <c r="AC118" s="861">
        <f t="shared" si="45"/>
        <v>465</v>
      </c>
      <c r="AD118" s="861">
        <f t="shared" si="45"/>
        <v>361</v>
      </c>
      <c r="AE118" s="861">
        <f t="shared" si="45"/>
        <v>112</v>
      </c>
      <c r="AF118" s="861">
        <f t="shared" si="45"/>
        <v>463</v>
      </c>
      <c r="AG118" s="861">
        <f t="shared" si="45"/>
        <v>377</v>
      </c>
      <c r="AH118" s="861">
        <f t="shared" si="29"/>
        <v>425.77496328928049</v>
      </c>
      <c r="AJ118" s="709">
        <f>+AH118/4.33</f>
        <v>98.331400297755309</v>
      </c>
      <c r="AK118" s="936">
        <f t="shared" ca="1" si="30"/>
        <v>6.2736268239236712E-2</v>
      </c>
      <c r="AL118" s="861">
        <f t="shared" si="31"/>
        <v>5109.2995594713657</v>
      </c>
      <c r="AM118" s="861">
        <v>1428</v>
      </c>
      <c r="AN118" s="863">
        <f t="shared" si="32"/>
        <v>6537.2995594713657</v>
      </c>
      <c r="AO118" s="936">
        <f t="shared" ca="1" si="41"/>
        <v>410.12577872323959</v>
      </c>
      <c r="AP118" s="936">
        <f t="shared" ca="1" si="42"/>
        <v>2.3327362682392367</v>
      </c>
      <c r="AQ118" s="936">
        <f t="shared" ca="1" si="43"/>
        <v>11918.648387677611</v>
      </c>
      <c r="AS118" s="936">
        <f>+IFERROR(VLOOKUP(C118,'Rural - Price Out '!$C:$F,3,FALSE),0)</f>
        <v>2.4900000000000002</v>
      </c>
      <c r="AT118" s="909">
        <f t="shared" ca="1" si="44"/>
        <v>-0.15726373176076347</v>
      </c>
    </row>
    <row r="119" spans="1:46" s="840" customFormat="1">
      <c r="A119" s="840" t="str">
        <f t="shared" si="26"/>
        <v>PacificCommercialCANCOUNT5-COMM</v>
      </c>
      <c r="B119" s="840">
        <f t="shared" si="39"/>
        <v>1</v>
      </c>
      <c r="C119" s="859" t="s">
        <v>2148</v>
      </c>
      <c r="D119" s="859" t="s">
        <v>2149</v>
      </c>
      <c r="E119" s="859">
        <v>2.4700000000000002</v>
      </c>
      <c r="F119" s="859"/>
      <c r="G119" s="860"/>
      <c r="H119" s="861">
        <v>0</v>
      </c>
      <c r="I119" s="861">
        <v>0</v>
      </c>
      <c r="J119" s="861">
        <v>0</v>
      </c>
      <c r="K119" s="861">
        <v>0</v>
      </c>
      <c r="L119" s="861">
        <v>0</v>
      </c>
      <c r="M119" s="861">
        <v>0</v>
      </c>
      <c r="N119" s="861">
        <v>0</v>
      </c>
      <c r="O119" s="861">
        <v>0</v>
      </c>
      <c r="P119" s="861">
        <v>0</v>
      </c>
      <c r="Q119" s="861">
        <v>29.64</v>
      </c>
      <c r="R119" s="861">
        <v>24.7</v>
      </c>
      <c r="S119" s="861">
        <v>0</v>
      </c>
      <c r="T119" s="861">
        <f t="shared" si="40"/>
        <v>54.34</v>
      </c>
      <c r="U119" s="861"/>
      <c r="V119" s="861">
        <f t="shared" ref="V119:AG150" si="46">IFERROR(H119/$E119,0)</f>
        <v>0</v>
      </c>
      <c r="W119" s="861">
        <f t="shared" si="46"/>
        <v>0</v>
      </c>
      <c r="X119" s="861">
        <f t="shared" si="46"/>
        <v>0</v>
      </c>
      <c r="Y119" s="861">
        <f t="shared" si="46"/>
        <v>0</v>
      </c>
      <c r="Z119" s="861">
        <f t="shared" si="46"/>
        <v>0</v>
      </c>
      <c r="AA119" s="861">
        <f t="shared" si="46"/>
        <v>0</v>
      </c>
      <c r="AB119" s="861">
        <f t="shared" si="45"/>
        <v>0</v>
      </c>
      <c r="AC119" s="861">
        <f t="shared" si="45"/>
        <v>0</v>
      </c>
      <c r="AD119" s="861">
        <f t="shared" si="45"/>
        <v>0</v>
      </c>
      <c r="AE119" s="861">
        <f t="shared" si="45"/>
        <v>12</v>
      </c>
      <c r="AF119" s="861">
        <f t="shared" si="45"/>
        <v>9.9999999999999982</v>
      </c>
      <c r="AG119" s="861">
        <f t="shared" si="45"/>
        <v>0</v>
      </c>
      <c r="AH119" s="861">
        <f t="shared" si="29"/>
        <v>1.8333333333333333</v>
      </c>
      <c r="AJ119" s="709"/>
      <c r="AK119" s="936">
        <f t="shared" ca="1" si="30"/>
        <v>6.8263692753706917E-2</v>
      </c>
      <c r="AL119" s="861">
        <f t="shared" si="31"/>
        <v>22</v>
      </c>
      <c r="AM119" s="861">
        <v>91.964980544747092</v>
      </c>
      <c r="AN119" s="863">
        <f t="shared" si="32"/>
        <v>113.96498054474709</v>
      </c>
      <c r="AO119" s="936">
        <f t="shared" ca="1" si="41"/>
        <v>7.779670416588802</v>
      </c>
      <c r="AP119" s="936">
        <f t="shared" ca="1" si="42"/>
        <v>2.538263692753707</v>
      </c>
      <c r="AQ119" s="936">
        <f t="shared" ca="1" si="43"/>
        <v>55.841801240581546</v>
      </c>
      <c r="AS119" s="936">
        <f>+IFERROR(VLOOKUP(C119,'Rural - Price Out '!$C:$F,3,FALSE),0)</f>
        <v>2.57</v>
      </c>
      <c r="AT119" s="909">
        <f t="shared" ca="1" si="44"/>
        <v>-3.1736307246292839E-2</v>
      </c>
    </row>
    <row r="120" spans="1:46" s="840" customFormat="1">
      <c r="A120" s="840" t="str">
        <f t="shared" si="26"/>
        <v>PacificCommercialCANCOUNT65-COMM</v>
      </c>
      <c r="B120" s="840">
        <f t="shared" si="39"/>
        <v>1</v>
      </c>
      <c r="C120" s="859" t="s">
        <v>2150</v>
      </c>
      <c r="D120" s="859" t="s">
        <v>2151</v>
      </c>
      <c r="E120" s="859">
        <v>4.74</v>
      </c>
      <c r="F120" s="859"/>
      <c r="G120" s="860"/>
      <c r="H120" s="861">
        <v>0</v>
      </c>
      <c r="I120" s="861">
        <v>0</v>
      </c>
      <c r="J120" s="861">
        <v>0</v>
      </c>
      <c r="K120" s="861">
        <v>0</v>
      </c>
      <c r="L120" s="861">
        <v>0</v>
      </c>
      <c r="M120" s="861">
        <v>0</v>
      </c>
      <c r="N120" s="861">
        <v>0</v>
      </c>
      <c r="O120" s="861">
        <v>0</v>
      </c>
      <c r="P120" s="861">
        <v>0</v>
      </c>
      <c r="Q120" s="861">
        <v>0</v>
      </c>
      <c r="R120" s="861">
        <v>0</v>
      </c>
      <c r="S120" s="861">
        <v>497.7</v>
      </c>
      <c r="T120" s="861">
        <f t="shared" si="40"/>
        <v>497.7</v>
      </c>
      <c r="U120" s="861"/>
      <c r="V120" s="861">
        <f t="shared" si="46"/>
        <v>0</v>
      </c>
      <c r="W120" s="861">
        <f t="shared" si="46"/>
        <v>0</v>
      </c>
      <c r="X120" s="861">
        <f t="shared" si="46"/>
        <v>0</v>
      </c>
      <c r="Y120" s="861">
        <f t="shared" si="46"/>
        <v>0</v>
      </c>
      <c r="Z120" s="861">
        <f t="shared" si="46"/>
        <v>0</v>
      </c>
      <c r="AA120" s="861">
        <f t="shared" si="46"/>
        <v>0</v>
      </c>
      <c r="AB120" s="861">
        <f t="shared" si="45"/>
        <v>0</v>
      </c>
      <c r="AC120" s="861">
        <f t="shared" si="45"/>
        <v>0</v>
      </c>
      <c r="AD120" s="861">
        <f t="shared" si="45"/>
        <v>0</v>
      </c>
      <c r="AE120" s="861">
        <f t="shared" si="45"/>
        <v>0</v>
      </c>
      <c r="AF120" s="861">
        <f t="shared" si="45"/>
        <v>0</v>
      </c>
      <c r="AG120" s="861">
        <f t="shared" si="45"/>
        <v>104.99999999999999</v>
      </c>
      <c r="AH120" s="861">
        <f t="shared" si="29"/>
        <v>8.7499999999999982</v>
      </c>
      <c r="AJ120" s="709"/>
      <c r="AK120" s="936">
        <f t="shared" ca="1" si="30"/>
        <v>0.13099996099294364</v>
      </c>
      <c r="AL120" s="861">
        <f t="shared" si="31"/>
        <v>104.99999999999997</v>
      </c>
      <c r="AM120" s="861">
        <v>0</v>
      </c>
      <c r="AN120" s="863">
        <f t="shared" si="32"/>
        <v>104.99999999999997</v>
      </c>
      <c r="AO120" s="936">
        <f t="shared" ca="1" si="41"/>
        <v>13.754995904259079</v>
      </c>
      <c r="AP120" s="936">
        <f t="shared" ca="1" si="42"/>
        <v>4.8709999609929442</v>
      </c>
      <c r="AQ120" s="936">
        <f t="shared" ca="1" si="43"/>
        <v>511.45499590425908</v>
      </c>
      <c r="AS120" s="936">
        <f>+IFERROR(VLOOKUP(C120,'Rural - Price Out '!$C:$F,3,FALSE),0)</f>
        <v>0</v>
      </c>
      <c r="AT120" s="909">
        <f t="shared" ca="1" si="44"/>
        <v>4.8709999609929442</v>
      </c>
    </row>
    <row r="121" spans="1:46" s="840" customFormat="1">
      <c r="A121" s="840" t="str">
        <f t="shared" si="26"/>
        <v>PacificCommercialDIST1CAN-COMM</v>
      </c>
      <c r="B121" s="840">
        <f t="shared" si="39"/>
        <v>1</v>
      </c>
      <c r="C121" s="859" t="s">
        <v>2152</v>
      </c>
      <c r="D121" s="859" t="s">
        <v>2153</v>
      </c>
      <c r="E121" s="859">
        <v>13.48</v>
      </c>
      <c r="F121" s="859"/>
      <c r="G121" s="860"/>
      <c r="H121" s="861">
        <v>3531.7599999999998</v>
      </c>
      <c r="I121" s="861">
        <v>3531.7599999999998</v>
      </c>
      <c r="J121" s="861">
        <v>3531.7599999999998</v>
      </c>
      <c r="K121" s="861">
        <v>3531.7599999999998</v>
      </c>
      <c r="L121" s="861">
        <v>3531.7599999999998</v>
      </c>
      <c r="M121" s="861">
        <v>916.64</v>
      </c>
      <c r="N121" s="861">
        <v>916.64</v>
      </c>
      <c r="O121" s="861">
        <v>916.64</v>
      </c>
      <c r="P121" s="861">
        <v>916.64</v>
      </c>
      <c r="Q121" s="861">
        <v>916.64</v>
      </c>
      <c r="R121" s="861">
        <v>916.64</v>
      </c>
      <c r="S121" s="861">
        <v>916.64</v>
      </c>
      <c r="T121" s="861">
        <f t="shared" si="40"/>
        <v>24075.279999999995</v>
      </c>
      <c r="U121" s="861"/>
      <c r="V121" s="861">
        <f t="shared" si="46"/>
        <v>262</v>
      </c>
      <c r="W121" s="861">
        <f t="shared" si="46"/>
        <v>262</v>
      </c>
      <c r="X121" s="861">
        <f t="shared" si="46"/>
        <v>262</v>
      </c>
      <c r="Y121" s="861">
        <f t="shared" si="46"/>
        <v>262</v>
      </c>
      <c r="Z121" s="861">
        <f t="shared" si="46"/>
        <v>262</v>
      </c>
      <c r="AA121" s="861">
        <f t="shared" si="46"/>
        <v>68</v>
      </c>
      <c r="AB121" s="861">
        <f t="shared" si="45"/>
        <v>68</v>
      </c>
      <c r="AC121" s="861">
        <f t="shared" si="45"/>
        <v>68</v>
      </c>
      <c r="AD121" s="861">
        <f t="shared" si="45"/>
        <v>68</v>
      </c>
      <c r="AE121" s="861">
        <f t="shared" si="45"/>
        <v>68</v>
      </c>
      <c r="AF121" s="861">
        <f t="shared" si="45"/>
        <v>68</v>
      </c>
      <c r="AG121" s="861">
        <f t="shared" si="45"/>
        <v>68</v>
      </c>
      <c r="AH121" s="861">
        <f t="shared" si="29"/>
        <v>148.83333333333334</v>
      </c>
      <c r="AJ121" s="709"/>
      <c r="AK121" s="936">
        <f t="shared" ca="1" si="30"/>
        <v>0.37254841227529117</v>
      </c>
      <c r="AL121" s="861">
        <f t="shared" si="31"/>
        <v>1786</v>
      </c>
      <c r="AM121" s="861">
        <v>0</v>
      </c>
      <c r="AN121" s="863">
        <f t="shared" si="32"/>
        <v>1786</v>
      </c>
      <c r="AO121" s="936">
        <f t="shared" ca="1" si="41"/>
        <v>665.37146432367001</v>
      </c>
      <c r="AP121" s="936">
        <f t="shared" ca="1" si="42"/>
        <v>13.852548412275292</v>
      </c>
      <c r="AQ121" s="936">
        <f t="shared" ca="1" si="43"/>
        <v>24740.651464323673</v>
      </c>
      <c r="AS121" s="936">
        <f>+IFERROR(VLOOKUP(C121,'Rural - Price Out '!$C:$F,3,FALSE),0)</f>
        <v>0</v>
      </c>
      <c r="AT121" s="909">
        <f t="shared" ca="1" si="44"/>
        <v>13.852548412275292</v>
      </c>
    </row>
    <row r="122" spans="1:46" s="840" customFormat="1">
      <c r="A122" s="840" t="str">
        <f t="shared" si="26"/>
        <v>PacificCommercialDIST4CAN-COMM</v>
      </c>
      <c r="B122" s="840">
        <f t="shared" si="39"/>
        <v>1</v>
      </c>
      <c r="C122" s="859" t="s">
        <v>2154</v>
      </c>
      <c r="D122" s="859" t="s">
        <v>2155</v>
      </c>
      <c r="E122" s="859">
        <v>42.78</v>
      </c>
      <c r="F122" s="859"/>
      <c r="G122" s="860"/>
      <c r="H122" s="861">
        <v>171.12</v>
      </c>
      <c r="I122" s="861">
        <v>171.12</v>
      </c>
      <c r="J122" s="861">
        <v>171.12</v>
      </c>
      <c r="K122" s="861">
        <v>171.12</v>
      </c>
      <c r="L122" s="861">
        <v>171.12</v>
      </c>
      <c r="M122" s="861">
        <v>171.12</v>
      </c>
      <c r="N122" s="861">
        <v>171.12</v>
      </c>
      <c r="O122" s="861">
        <v>171.12</v>
      </c>
      <c r="P122" s="861">
        <v>171.12</v>
      </c>
      <c r="Q122" s="861">
        <v>171.12</v>
      </c>
      <c r="R122" s="861">
        <v>171.12</v>
      </c>
      <c r="S122" s="861">
        <v>171.12</v>
      </c>
      <c r="T122" s="861">
        <f t="shared" si="40"/>
        <v>2053.4399999999996</v>
      </c>
      <c r="U122" s="861"/>
      <c r="V122" s="861">
        <f t="shared" si="46"/>
        <v>4</v>
      </c>
      <c r="W122" s="861">
        <f t="shared" si="46"/>
        <v>4</v>
      </c>
      <c r="X122" s="861">
        <f t="shared" si="46"/>
        <v>4</v>
      </c>
      <c r="Y122" s="861">
        <f t="shared" si="46"/>
        <v>4</v>
      </c>
      <c r="Z122" s="861">
        <f t="shared" si="46"/>
        <v>4</v>
      </c>
      <c r="AA122" s="861">
        <f t="shared" si="46"/>
        <v>4</v>
      </c>
      <c r="AB122" s="861">
        <f t="shared" si="45"/>
        <v>4</v>
      </c>
      <c r="AC122" s="861">
        <f t="shared" si="45"/>
        <v>4</v>
      </c>
      <c r="AD122" s="861">
        <f t="shared" si="45"/>
        <v>4</v>
      </c>
      <c r="AE122" s="861">
        <f t="shared" si="45"/>
        <v>4</v>
      </c>
      <c r="AF122" s="861">
        <f t="shared" si="45"/>
        <v>4</v>
      </c>
      <c r="AG122" s="861">
        <f t="shared" si="45"/>
        <v>4</v>
      </c>
      <c r="AH122" s="861">
        <f t="shared" si="29"/>
        <v>4</v>
      </c>
      <c r="AJ122" s="709"/>
      <c r="AK122" s="936">
        <f t="shared" ca="1" si="30"/>
        <v>1.1823161036451748</v>
      </c>
      <c r="AL122" s="861">
        <f t="shared" si="31"/>
        <v>48</v>
      </c>
      <c r="AM122" s="861">
        <v>0</v>
      </c>
      <c r="AN122" s="863">
        <f t="shared" si="32"/>
        <v>48</v>
      </c>
      <c r="AO122" s="936">
        <f t="shared" ca="1" si="41"/>
        <v>56.751172974968391</v>
      </c>
      <c r="AP122" s="936">
        <f t="shared" ca="1" si="42"/>
        <v>43.962316103645179</v>
      </c>
      <c r="AQ122" s="936">
        <f t="shared" ca="1" si="43"/>
        <v>2110.1911729749686</v>
      </c>
      <c r="AS122" s="936">
        <f>+IFERROR(VLOOKUP(C122,'Rural - Price Out '!$C:$F,3,FALSE),0)</f>
        <v>0</v>
      </c>
      <c r="AT122" s="909">
        <f t="shared" ca="1" si="44"/>
        <v>43.962316103645179</v>
      </c>
    </row>
    <row r="123" spans="1:46" s="840" customFormat="1">
      <c r="A123" s="840" t="str">
        <f t="shared" si="26"/>
        <v>PacificCommercialDIST5+CANS-COMM</v>
      </c>
      <c r="B123" s="840">
        <f t="shared" si="39"/>
        <v>1</v>
      </c>
      <c r="C123" s="859" t="s">
        <v>2156</v>
      </c>
      <c r="D123" s="859" t="s">
        <v>2157</v>
      </c>
      <c r="E123" s="859">
        <v>10.7</v>
      </c>
      <c r="F123" s="859"/>
      <c r="G123" s="860"/>
      <c r="H123" s="861">
        <v>85.6</v>
      </c>
      <c r="I123" s="861">
        <v>85.6</v>
      </c>
      <c r="J123" s="861">
        <v>85.6</v>
      </c>
      <c r="K123" s="861">
        <v>85.6</v>
      </c>
      <c r="L123" s="861">
        <v>85.6</v>
      </c>
      <c r="M123" s="861">
        <v>85.6</v>
      </c>
      <c r="N123" s="861">
        <v>85.6</v>
      </c>
      <c r="O123" s="861">
        <v>85.6</v>
      </c>
      <c r="P123" s="861">
        <v>85.6</v>
      </c>
      <c r="Q123" s="861">
        <v>85.6</v>
      </c>
      <c r="R123" s="861">
        <v>85.6</v>
      </c>
      <c r="S123" s="861">
        <v>85.6</v>
      </c>
      <c r="T123" s="861">
        <f t="shared" si="40"/>
        <v>1027.2</v>
      </c>
      <c r="U123" s="861"/>
      <c r="V123" s="861">
        <f t="shared" si="46"/>
        <v>8</v>
      </c>
      <c r="W123" s="861">
        <f t="shared" si="46"/>
        <v>8</v>
      </c>
      <c r="X123" s="861">
        <f t="shared" si="46"/>
        <v>8</v>
      </c>
      <c r="Y123" s="861">
        <f t="shared" si="46"/>
        <v>8</v>
      </c>
      <c r="Z123" s="861">
        <f t="shared" si="46"/>
        <v>8</v>
      </c>
      <c r="AA123" s="861">
        <f t="shared" si="46"/>
        <v>8</v>
      </c>
      <c r="AB123" s="861">
        <f t="shared" si="45"/>
        <v>8</v>
      </c>
      <c r="AC123" s="861">
        <f t="shared" si="45"/>
        <v>8</v>
      </c>
      <c r="AD123" s="861">
        <f t="shared" si="45"/>
        <v>8</v>
      </c>
      <c r="AE123" s="861">
        <f t="shared" si="45"/>
        <v>8</v>
      </c>
      <c r="AF123" s="861">
        <f t="shared" si="45"/>
        <v>8</v>
      </c>
      <c r="AG123" s="861">
        <f t="shared" si="45"/>
        <v>8</v>
      </c>
      <c r="AH123" s="861">
        <f t="shared" si="29"/>
        <v>8</v>
      </c>
      <c r="AJ123" s="709">
        <f>(AH121+AH123)/4.33</f>
        <v>36.220169361046963</v>
      </c>
      <c r="AK123" s="936">
        <f t="shared" ca="1" si="30"/>
        <v>0.29571721152415542</v>
      </c>
      <c r="AL123" s="861">
        <f t="shared" si="31"/>
        <v>96</v>
      </c>
      <c r="AM123" s="861">
        <v>0</v>
      </c>
      <c r="AN123" s="863">
        <f t="shared" si="32"/>
        <v>96</v>
      </c>
      <c r="AO123" s="936">
        <f t="shared" ca="1" si="41"/>
        <v>28.38885230631892</v>
      </c>
      <c r="AP123" s="936">
        <f t="shared" ca="1" si="42"/>
        <v>10.995717211524155</v>
      </c>
      <c r="AQ123" s="936">
        <f t="shared" ca="1" si="43"/>
        <v>1055.588852306319</v>
      </c>
      <c r="AS123" s="936">
        <f>+IFERROR(VLOOKUP(C123,'Rural - Price Out '!$C:$F,3,FALSE),0)</f>
        <v>0</v>
      </c>
      <c r="AT123" s="909">
        <f t="shared" ca="1" si="44"/>
        <v>10.995717211524155</v>
      </c>
    </row>
    <row r="124" spans="1:46" s="840" customFormat="1">
      <c r="A124" s="840" t="str">
        <f t="shared" si="26"/>
        <v>PacificCommercialFL001.0YXX001TEMPC</v>
      </c>
      <c r="B124" s="840">
        <f t="shared" si="39"/>
        <v>1</v>
      </c>
      <c r="C124" s="859" t="s">
        <v>2158</v>
      </c>
      <c r="D124" s="859" t="s">
        <v>2159</v>
      </c>
      <c r="E124" s="859">
        <v>16.670000000000002</v>
      </c>
      <c r="F124" s="859"/>
      <c r="G124" s="860"/>
      <c r="H124" s="861">
        <v>50.01</v>
      </c>
      <c r="I124" s="861">
        <v>0</v>
      </c>
      <c r="J124" s="861">
        <v>0</v>
      </c>
      <c r="K124" s="861">
        <v>0</v>
      </c>
      <c r="L124" s="861">
        <v>0</v>
      </c>
      <c r="M124" s="861">
        <v>0</v>
      </c>
      <c r="N124" s="861">
        <v>0</v>
      </c>
      <c r="O124" s="861">
        <v>0</v>
      </c>
      <c r="P124" s="861">
        <v>0</v>
      </c>
      <c r="Q124" s="861">
        <v>0</v>
      </c>
      <c r="R124" s="861">
        <v>0</v>
      </c>
      <c r="S124" s="861">
        <v>50.01</v>
      </c>
      <c r="T124" s="861">
        <f t="shared" si="40"/>
        <v>100.02</v>
      </c>
      <c r="U124" s="861"/>
      <c r="V124" s="861">
        <f t="shared" si="46"/>
        <v>2.9999999999999996</v>
      </c>
      <c r="W124" s="861">
        <f t="shared" si="46"/>
        <v>0</v>
      </c>
      <c r="X124" s="861">
        <f t="shared" si="46"/>
        <v>0</v>
      </c>
      <c r="Y124" s="861">
        <f t="shared" si="46"/>
        <v>0</v>
      </c>
      <c r="Z124" s="861">
        <f t="shared" si="46"/>
        <v>0</v>
      </c>
      <c r="AA124" s="861">
        <f t="shared" si="46"/>
        <v>0</v>
      </c>
      <c r="AB124" s="861">
        <f t="shared" si="45"/>
        <v>0</v>
      </c>
      <c r="AC124" s="861">
        <f t="shared" si="45"/>
        <v>0</v>
      </c>
      <c r="AD124" s="861">
        <f t="shared" si="45"/>
        <v>0</v>
      </c>
      <c r="AE124" s="861">
        <f t="shared" si="45"/>
        <v>0</v>
      </c>
      <c r="AF124" s="861">
        <f t="shared" si="45"/>
        <v>0</v>
      </c>
      <c r="AG124" s="861">
        <f t="shared" si="45"/>
        <v>2.9999999999999996</v>
      </c>
      <c r="AH124" s="861">
        <f t="shared" si="29"/>
        <v>0.49999999999999994</v>
      </c>
      <c r="AJ124" s="709"/>
      <c r="AK124" s="936">
        <f t="shared" ca="1" si="30"/>
        <v>0.4607108332810908</v>
      </c>
      <c r="AL124" s="861">
        <f t="shared" si="31"/>
        <v>5.9999999999999991</v>
      </c>
      <c r="AM124" s="861">
        <v>1</v>
      </c>
      <c r="AN124" s="863">
        <f t="shared" si="32"/>
        <v>6.9999999999999991</v>
      </c>
      <c r="AO124" s="936">
        <f t="shared" ca="1" si="41"/>
        <v>3.224975832967635</v>
      </c>
      <c r="AP124" s="936">
        <f t="shared" ca="1" si="42"/>
        <v>17.130710833281093</v>
      </c>
      <c r="AQ124" s="936">
        <f t="shared" ca="1" si="43"/>
        <v>102.78426499968654</v>
      </c>
      <c r="AS124" s="936">
        <f>+IFERROR(VLOOKUP(C124,'Rural - Price Out '!$C:$F,3,FALSE),0)</f>
        <v>21.08</v>
      </c>
      <c r="AT124" s="909">
        <f t="shared" ca="1" si="44"/>
        <v>-3.9492891667189056</v>
      </c>
    </row>
    <row r="125" spans="1:46" s="840" customFormat="1">
      <c r="A125" s="840" t="str">
        <f t="shared" si="26"/>
        <v>PacificCommercialFL002.0YXX001TEMPC</v>
      </c>
      <c r="B125" s="840">
        <f t="shared" si="39"/>
        <v>1</v>
      </c>
      <c r="C125" s="859" t="s">
        <v>2160</v>
      </c>
      <c r="D125" s="859" t="s">
        <v>2161</v>
      </c>
      <c r="E125" s="859">
        <v>29.11</v>
      </c>
      <c r="F125" s="859"/>
      <c r="G125" s="860"/>
      <c r="H125" s="861">
        <v>203.76999999999998</v>
      </c>
      <c r="I125" s="861">
        <v>145.55000000000001</v>
      </c>
      <c r="J125" s="861">
        <v>291.10000000000002</v>
      </c>
      <c r="K125" s="861">
        <v>261.99</v>
      </c>
      <c r="L125" s="861">
        <v>203.77</v>
      </c>
      <c r="M125" s="861">
        <v>58.22</v>
      </c>
      <c r="N125" s="861">
        <v>87.33</v>
      </c>
      <c r="O125" s="861">
        <v>145.55000000000001</v>
      </c>
      <c r="P125" s="861">
        <v>0</v>
      </c>
      <c r="Q125" s="861">
        <v>0</v>
      </c>
      <c r="R125" s="861">
        <v>29.11</v>
      </c>
      <c r="S125" s="861">
        <v>116.44</v>
      </c>
      <c r="T125" s="861">
        <f t="shared" si="40"/>
        <v>1542.83</v>
      </c>
      <c r="U125" s="861"/>
      <c r="V125" s="861">
        <f t="shared" si="46"/>
        <v>6.9999999999999991</v>
      </c>
      <c r="W125" s="861">
        <f t="shared" si="46"/>
        <v>5.0000000000000009</v>
      </c>
      <c r="X125" s="861">
        <f t="shared" si="46"/>
        <v>10.000000000000002</v>
      </c>
      <c r="Y125" s="861">
        <f t="shared" si="46"/>
        <v>9</v>
      </c>
      <c r="Z125" s="861">
        <f t="shared" si="46"/>
        <v>7.0000000000000009</v>
      </c>
      <c r="AA125" s="861">
        <f t="shared" si="46"/>
        <v>2</v>
      </c>
      <c r="AB125" s="861">
        <f t="shared" si="45"/>
        <v>3</v>
      </c>
      <c r="AC125" s="861">
        <f t="shared" si="45"/>
        <v>5.0000000000000009</v>
      </c>
      <c r="AD125" s="861">
        <f t="shared" si="45"/>
        <v>0</v>
      </c>
      <c r="AE125" s="861">
        <f t="shared" si="45"/>
        <v>0</v>
      </c>
      <c r="AF125" s="861">
        <f t="shared" si="45"/>
        <v>1</v>
      </c>
      <c r="AG125" s="861">
        <f t="shared" si="45"/>
        <v>4</v>
      </c>
      <c r="AH125" s="861">
        <f t="shared" si="29"/>
        <v>4.416666666666667</v>
      </c>
      <c r="AJ125" s="709"/>
      <c r="AK125" s="936">
        <f t="shared" ca="1" si="30"/>
        <v>0.80451663808113694</v>
      </c>
      <c r="AL125" s="861">
        <f t="shared" si="31"/>
        <v>53</v>
      </c>
      <c r="AM125" s="861">
        <v>19</v>
      </c>
      <c r="AN125" s="863">
        <f t="shared" si="32"/>
        <v>72</v>
      </c>
      <c r="AO125" s="936">
        <f t="shared" ca="1" si="41"/>
        <v>57.925197941841859</v>
      </c>
      <c r="AP125" s="936">
        <f t="shared" ca="1" si="42"/>
        <v>29.914516638081135</v>
      </c>
      <c r="AQ125" s="936">
        <f t="shared" ca="1" si="43"/>
        <v>1585.4693818183002</v>
      </c>
      <c r="AS125" s="936">
        <f>+IFERROR(VLOOKUP(C125,'Rural - Price Out '!$C:$F,3,FALSE),0)</f>
        <v>35.92</v>
      </c>
      <c r="AT125" s="909">
        <f t="shared" ca="1" si="44"/>
        <v>-6.0054833619188663</v>
      </c>
    </row>
    <row r="126" spans="1:46" s="840" customFormat="1">
      <c r="A126" s="840" t="str">
        <f t="shared" si="26"/>
        <v>PacificCommercialFL003.0YXX001TEMPC</v>
      </c>
      <c r="B126" s="840">
        <f t="shared" si="39"/>
        <v>1</v>
      </c>
      <c r="C126" s="859" t="s">
        <v>2162</v>
      </c>
      <c r="D126" s="859" t="s">
        <v>2163</v>
      </c>
      <c r="E126" s="859">
        <v>43.96</v>
      </c>
      <c r="F126" s="859"/>
      <c r="G126" s="860"/>
      <c r="H126" s="861">
        <v>0</v>
      </c>
      <c r="I126" s="861">
        <v>0</v>
      </c>
      <c r="J126" s="861">
        <v>0</v>
      </c>
      <c r="K126" s="861">
        <v>0</v>
      </c>
      <c r="L126" s="861">
        <v>0</v>
      </c>
      <c r="M126" s="861">
        <v>0</v>
      </c>
      <c r="N126" s="861">
        <v>0</v>
      </c>
      <c r="O126" s="861">
        <v>0</v>
      </c>
      <c r="P126" s="861">
        <v>0</v>
      </c>
      <c r="Q126" s="861">
        <v>0</v>
      </c>
      <c r="R126" s="861">
        <v>0</v>
      </c>
      <c r="S126" s="861">
        <v>43.96</v>
      </c>
      <c r="T126" s="861">
        <f t="shared" si="40"/>
        <v>43.96</v>
      </c>
      <c r="U126" s="861"/>
      <c r="V126" s="861">
        <f t="shared" si="46"/>
        <v>0</v>
      </c>
      <c r="W126" s="861">
        <f t="shared" si="46"/>
        <v>0</v>
      </c>
      <c r="X126" s="861">
        <f t="shared" si="46"/>
        <v>0</v>
      </c>
      <c r="Y126" s="861">
        <f t="shared" si="46"/>
        <v>0</v>
      </c>
      <c r="Z126" s="861">
        <f t="shared" si="46"/>
        <v>0</v>
      </c>
      <c r="AA126" s="861">
        <f t="shared" si="46"/>
        <v>0</v>
      </c>
      <c r="AB126" s="861">
        <f t="shared" si="45"/>
        <v>0</v>
      </c>
      <c r="AC126" s="861">
        <f t="shared" si="45"/>
        <v>0</v>
      </c>
      <c r="AD126" s="861">
        <f t="shared" si="45"/>
        <v>0</v>
      </c>
      <c r="AE126" s="861">
        <f t="shared" si="45"/>
        <v>0</v>
      </c>
      <c r="AF126" s="861">
        <f t="shared" si="45"/>
        <v>0</v>
      </c>
      <c r="AG126" s="861">
        <f t="shared" si="45"/>
        <v>1</v>
      </c>
      <c r="AH126" s="861">
        <f t="shared" si="29"/>
        <v>8.3333333333333329E-2</v>
      </c>
      <c r="AJ126" s="709"/>
      <c r="AK126" s="936">
        <f t="shared" ca="1" si="30"/>
        <v>1.2149279082805489</v>
      </c>
      <c r="AL126" s="861">
        <f t="shared" si="31"/>
        <v>1</v>
      </c>
      <c r="AM126" s="861">
        <v>5.0000000000000009</v>
      </c>
      <c r="AN126" s="863">
        <f t="shared" si="32"/>
        <v>6.0000000000000009</v>
      </c>
      <c r="AO126" s="936">
        <f t="shared" ca="1" si="41"/>
        <v>7.2895674496832941</v>
      </c>
      <c r="AP126" s="936">
        <f t="shared" ca="1" si="42"/>
        <v>45.174927908280551</v>
      </c>
      <c r="AQ126" s="936">
        <f t="shared" ca="1" si="43"/>
        <v>45.174927908280551</v>
      </c>
      <c r="AS126" s="936">
        <f>+IFERROR(VLOOKUP(C126,'Rural - Price Out '!$C:$F,3,FALSE),0)</f>
        <v>52.12</v>
      </c>
      <c r="AT126" s="909">
        <f t="shared" ca="1" si="44"/>
        <v>-6.945072091719446</v>
      </c>
    </row>
    <row r="127" spans="1:46" s="840" customFormat="1">
      <c r="A127" s="840" t="str">
        <f t="shared" si="26"/>
        <v>PacificCommercialFL004.0YXX001TEMPC</v>
      </c>
      <c r="B127" s="840">
        <f t="shared" si="39"/>
        <v>1</v>
      </c>
      <c r="C127" s="859" t="s">
        <v>2164</v>
      </c>
      <c r="D127" s="859" t="s">
        <v>2165</v>
      </c>
      <c r="E127" s="859">
        <v>54.62</v>
      </c>
      <c r="F127" s="859"/>
      <c r="G127" s="860"/>
      <c r="H127" s="861">
        <v>0</v>
      </c>
      <c r="I127" s="861">
        <v>163.86</v>
      </c>
      <c r="J127" s="861">
        <v>163.86</v>
      </c>
      <c r="K127" s="861">
        <v>0</v>
      </c>
      <c r="L127" s="861">
        <v>0</v>
      </c>
      <c r="M127" s="861">
        <v>0</v>
      </c>
      <c r="N127" s="861">
        <v>0</v>
      </c>
      <c r="O127" s="861">
        <v>0</v>
      </c>
      <c r="P127" s="861">
        <v>0</v>
      </c>
      <c r="Q127" s="861">
        <v>0</v>
      </c>
      <c r="R127" s="861">
        <v>0</v>
      </c>
      <c r="S127" s="861">
        <v>0</v>
      </c>
      <c r="T127" s="861">
        <f t="shared" si="40"/>
        <v>327.72</v>
      </c>
      <c r="U127" s="861"/>
      <c r="V127" s="861">
        <f t="shared" si="46"/>
        <v>0</v>
      </c>
      <c r="W127" s="861">
        <f t="shared" si="46"/>
        <v>3.0000000000000004</v>
      </c>
      <c r="X127" s="861">
        <f t="shared" si="46"/>
        <v>3.0000000000000004</v>
      </c>
      <c r="Y127" s="861">
        <f t="shared" si="46"/>
        <v>0</v>
      </c>
      <c r="Z127" s="861">
        <f t="shared" si="46"/>
        <v>0</v>
      </c>
      <c r="AA127" s="861">
        <f t="shared" si="46"/>
        <v>0</v>
      </c>
      <c r="AB127" s="861">
        <f t="shared" si="45"/>
        <v>0</v>
      </c>
      <c r="AC127" s="861">
        <f t="shared" si="45"/>
        <v>0</v>
      </c>
      <c r="AD127" s="861">
        <f t="shared" si="45"/>
        <v>0</v>
      </c>
      <c r="AE127" s="861">
        <f t="shared" si="45"/>
        <v>0</v>
      </c>
      <c r="AF127" s="861">
        <f t="shared" si="45"/>
        <v>0</v>
      </c>
      <c r="AG127" s="861">
        <f t="shared" si="45"/>
        <v>0</v>
      </c>
      <c r="AH127" s="861">
        <f t="shared" si="29"/>
        <v>0.50000000000000011</v>
      </c>
      <c r="AJ127" s="709"/>
      <c r="AK127" s="936">
        <f t="shared" ca="1" si="30"/>
        <v>1.5095396349018102</v>
      </c>
      <c r="AL127" s="861">
        <f t="shared" si="31"/>
        <v>6.0000000000000018</v>
      </c>
      <c r="AM127" s="861">
        <v>0</v>
      </c>
      <c r="AN127" s="863">
        <f t="shared" si="32"/>
        <v>6.0000000000000018</v>
      </c>
      <c r="AO127" s="936">
        <f t="shared" ca="1" si="41"/>
        <v>9.0572378094108643</v>
      </c>
      <c r="AP127" s="936">
        <f t="shared" ca="1" si="42"/>
        <v>56.129539634901811</v>
      </c>
      <c r="AQ127" s="936">
        <f t="shared" ca="1" si="43"/>
        <v>336.77723780941091</v>
      </c>
      <c r="AS127" s="936">
        <f>+IFERROR(VLOOKUP(C127,'Rural - Price Out '!$C:$F,3,FALSE),0)</f>
        <v>0</v>
      </c>
      <c r="AT127" s="909">
        <f t="shared" ca="1" si="44"/>
        <v>56.129539634901811</v>
      </c>
    </row>
    <row r="128" spans="1:46" s="840" customFormat="1">
      <c r="A128" s="840" t="str">
        <f t="shared" si="26"/>
        <v>PacificCommercialFL006.0YXX001TEMPC</v>
      </c>
      <c r="B128" s="840">
        <f t="shared" ref="B128:B159" si="47">COUNTIF(C:C,C128)</f>
        <v>1</v>
      </c>
      <c r="C128" s="859" t="s">
        <v>2166</v>
      </c>
      <c r="D128" s="859" t="s">
        <v>2167</v>
      </c>
      <c r="E128" s="859">
        <v>74.77</v>
      </c>
      <c r="F128" s="859"/>
      <c r="G128" s="860"/>
      <c r="H128" s="861">
        <v>0</v>
      </c>
      <c r="I128" s="861">
        <v>822.47</v>
      </c>
      <c r="J128" s="861">
        <v>373.85</v>
      </c>
      <c r="K128" s="861">
        <v>149.54</v>
      </c>
      <c r="L128" s="861">
        <v>74.77</v>
      </c>
      <c r="M128" s="861">
        <v>0</v>
      </c>
      <c r="N128" s="861">
        <v>0</v>
      </c>
      <c r="O128" s="861">
        <v>0</v>
      </c>
      <c r="P128" s="861">
        <v>0</v>
      </c>
      <c r="Q128" s="861">
        <v>0</v>
      </c>
      <c r="R128" s="861">
        <v>0</v>
      </c>
      <c r="S128" s="861">
        <v>0</v>
      </c>
      <c r="T128" s="861">
        <f t="shared" si="40"/>
        <v>1420.63</v>
      </c>
      <c r="U128" s="861"/>
      <c r="V128" s="861">
        <f t="shared" si="46"/>
        <v>0</v>
      </c>
      <c r="W128" s="861">
        <f t="shared" si="46"/>
        <v>11.000000000000002</v>
      </c>
      <c r="X128" s="861">
        <f t="shared" si="46"/>
        <v>5.0000000000000009</v>
      </c>
      <c r="Y128" s="861">
        <f t="shared" si="46"/>
        <v>2</v>
      </c>
      <c r="Z128" s="861">
        <f t="shared" si="46"/>
        <v>1</v>
      </c>
      <c r="AA128" s="861">
        <f t="shared" si="46"/>
        <v>0</v>
      </c>
      <c r="AB128" s="861">
        <f t="shared" si="45"/>
        <v>0</v>
      </c>
      <c r="AC128" s="861">
        <f t="shared" si="45"/>
        <v>0</v>
      </c>
      <c r="AD128" s="861">
        <f t="shared" si="45"/>
        <v>0</v>
      </c>
      <c r="AE128" s="861">
        <f t="shared" si="45"/>
        <v>0</v>
      </c>
      <c r="AF128" s="861">
        <f t="shared" si="45"/>
        <v>0</v>
      </c>
      <c r="AG128" s="861">
        <f t="shared" si="45"/>
        <v>0</v>
      </c>
      <c r="AH128" s="861">
        <f t="shared" si="29"/>
        <v>1.5833333333333337</v>
      </c>
      <c r="AJ128" s="709"/>
      <c r="AK128" s="936">
        <f t="shared" ca="1" si="30"/>
        <v>2.0664276547346825</v>
      </c>
      <c r="AL128" s="861">
        <f t="shared" si="31"/>
        <v>19.000000000000004</v>
      </c>
      <c r="AM128" s="861">
        <v>2</v>
      </c>
      <c r="AN128" s="863">
        <f t="shared" si="32"/>
        <v>21.000000000000004</v>
      </c>
      <c r="AO128" s="936">
        <f t="shared" ca="1" si="41"/>
        <v>43.394980749428342</v>
      </c>
      <c r="AP128" s="936">
        <f t="shared" ca="1" si="42"/>
        <v>76.836427654734678</v>
      </c>
      <c r="AQ128" s="936">
        <f t="shared" ca="1" si="43"/>
        <v>1459.8921254399593</v>
      </c>
      <c r="AS128" s="936">
        <f>+IFERROR(VLOOKUP(C128,'Rural - Price Out '!$C:$F,3,FALSE),0)</f>
        <v>90.67</v>
      </c>
      <c r="AT128" s="909">
        <f t="shared" ca="1" si="44"/>
        <v>-13.833572345265324</v>
      </c>
    </row>
    <row r="129" spans="1:46" s="840" customFormat="1">
      <c r="A129" s="840" t="str">
        <f t="shared" ref="A129:A191" si="48">$A$1&amp;"Commercial"&amp;C129</f>
        <v>PacificCommercialRL001.0YXX001TEMPC</v>
      </c>
      <c r="B129" s="840">
        <f t="shared" si="47"/>
        <v>1</v>
      </c>
      <c r="C129" s="859" t="s">
        <v>2168</v>
      </c>
      <c r="D129" s="859" t="s">
        <v>2169</v>
      </c>
      <c r="E129" s="859">
        <v>16.670000000000002</v>
      </c>
      <c r="F129" s="859"/>
      <c r="G129" s="860"/>
      <c r="H129" s="861">
        <v>0</v>
      </c>
      <c r="I129" s="861">
        <v>0</v>
      </c>
      <c r="J129" s="861">
        <v>0</v>
      </c>
      <c r="K129" s="861">
        <v>0</v>
      </c>
      <c r="L129" s="861">
        <v>16.670000000000002</v>
      </c>
      <c r="M129" s="861">
        <v>0</v>
      </c>
      <c r="N129" s="861">
        <v>0</v>
      </c>
      <c r="O129" s="861">
        <v>0</v>
      </c>
      <c r="P129" s="861">
        <v>0</v>
      </c>
      <c r="Q129" s="861">
        <v>0</v>
      </c>
      <c r="R129" s="861">
        <v>0</v>
      </c>
      <c r="S129" s="861">
        <v>0</v>
      </c>
      <c r="T129" s="861">
        <f t="shared" ref="T129:T160" si="49">SUM(H129:S129)</f>
        <v>16.670000000000002</v>
      </c>
      <c r="U129" s="861"/>
      <c r="V129" s="861">
        <f t="shared" si="46"/>
        <v>0</v>
      </c>
      <c r="W129" s="861">
        <f t="shared" si="46"/>
        <v>0</v>
      </c>
      <c r="X129" s="861">
        <f t="shared" si="46"/>
        <v>0</v>
      </c>
      <c r="Y129" s="861">
        <f t="shared" si="46"/>
        <v>0</v>
      </c>
      <c r="Z129" s="861">
        <f t="shared" si="46"/>
        <v>1</v>
      </c>
      <c r="AA129" s="861">
        <f t="shared" si="46"/>
        <v>0</v>
      </c>
      <c r="AB129" s="861">
        <f t="shared" si="45"/>
        <v>0</v>
      </c>
      <c r="AC129" s="861">
        <f t="shared" si="45"/>
        <v>0</v>
      </c>
      <c r="AD129" s="861">
        <f t="shared" si="45"/>
        <v>0</v>
      </c>
      <c r="AE129" s="861">
        <f t="shared" si="45"/>
        <v>0</v>
      </c>
      <c r="AF129" s="861">
        <f t="shared" si="45"/>
        <v>0</v>
      </c>
      <c r="AG129" s="861">
        <f t="shared" si="45"/>
        <v>0</v>
      </c>
      <c r="AH129" s="861">
        <f t="shared" ref="AH129:AH191" si="50">AVERAGE(V129:AG129)</f>
        <v>8.3333333333333329E-2</v>
      </c>
      <c r="AJ129" s="709"/>
      <c r="AK129" s="936">
        <f t="shared" ref="AK129:AK191" ca="1" si="51">+E129*$AN$1</f>
        <v>0.4607108332810908</v>
      </c>
      <c r="AL129" s="861">
        <f t="shared" ref="AL129:AL191" si="52">+AH129*12</f>
        <v>1</v>
      </c>
      <c r="AM129" s="861">
        <v>4</v>
      </c>
      <c r="AN129" s="863">
        <f t="shared" ref="AN129:AN191" si="53">+AL129+AM129</f>
        <v>5</v>
      </c>
      <c r="AO129" s="936">
        <f t="shared" ref="AO129:AO160" ca="1" si="54">+AN129*AK129</f>
        <v>2.303554166405454</v>
      </c>
      <c r="AP129" s="936">
        <f t="shared" ref="AP129:AP160" ca="1" si="55">+E129+AK129</f>
        <v>17.130710833281093</v>
      </c>
      <c r="AQ129" s="936">
        <f t="shared" ref="AQ129:AQ160" ca="1" si="56">+AP129*12*AH129</f>
        <v>17.130710833281093</v>
      </c>
      <c r="AS129" s="936">
        <f>+IFERROR(VLOOKUP(C129,'Rural - Price Out '!$C:$F,3,FALSE),0)</f>
        <v>21.08</v>
      </c>
      <c r="AT129" s="909">
        <f t="shared" ref="AT129:AT160" ca="1" si="57">+AP129-AS129</f>
        <v>-3.9492891667189056</v>
      </c>
    </row>
    <row r="130" spans="1:46" s="840" customFormat="1">
      <c r="A130" s="840" t="str">
        <f t="shared" si="48"/>
        <v>PacificCommercialRL001.5YXX001TEMPC</v>
      </c>
      <c r="B130" s="840">
        <f t="shared" si="47"/>
        <v>1</v>
      </c>
      <c r="C130" s="859" t="s">
        <v>2170</v>
      </c>
      <c r="D130" s="859" t="s">
        <v>2171</v>
      </c>
      <c r="E130" s="859">
        <v>22.88</v>
      </c>
      <c r="F130" s="859"/>
      <c r="G130" s="860"/>
      <c r="H130" s="861">
        <v>68.64</v>
      </c>
      <c r="I130" s="861">
        <v>22.88</v>
      </c>
      <c r="J130" s="861">
        <v>68.64</v>
      </c>
      <c r="K130" s="861">
        <v>22.88</v>
      </c>
      <c r="L130" s="861">
        <v>22.88</v>
      </c>
      <c r="M130" s="861">
        <v>22.88</v>
      </c>
      <c r="N130" s="861">
        <v>0</v>
      </c>
      <c r="O130" s="861">
        <v>0</v>
      </c>
      <c r="P130" s="861">
        <v>0</v>
      </c>
      <c r="Q130" s="861">
        <v>0</v>
      </c>
      <c r="R130" s="861">
        <v>114.4</v>
      </c>
      <c r="S130" s="861">
        <v>45.76</v>
      </c>
      <c r="T130" s="861">
        <f t="shared" si="49"/>
        <v>388.96</v>
      </c>
      <c r="U130" s="861"/>
      <c r="V130" s="861">
        <f t="shared" si="46"/>
        <v>3</v>
      </c>
      <c r="W130" s="861">
        <f t="shared" si="46"/>
        <v>1</v>
      </c>
      <c r="X130" s="861">
        <f t="shared" si="46"/>
        <v>3</v>
      </c>
      <c r="Y130" s="861">
        <f t="shared" si="46"/>
        <v>1</v>
      </c>
      <c r="Z130" s="861">
        <f t="shared" si="46"/>
        <v>1</v>
      </c>
      <c r="AA130" s="861">
        <f t="shared" si="46"/>
        <v>1</v>
      </c>
      <c r="AB130" s="861">
        <f t="shared" si="45"/>
        <v>0</v>
      </c>
      <c r="AC130" s="861">
        <f t="shared" si="45"/>
        <v>0</v>
      </c>
      <c r="AD130" s="861">
        <f t="shared" si="45"/>
        <v>0</v>
      </c>
      <c r="AE130" s="861">
        <f t="shared" si="45"/>
        <v>0</v>
      </c>
      <c r="AF130" s="861">
        <f t="shared" si="45"/>
        <v>5.0000000000000009</v>
      </c>
      <c r="AG130" s="861">
        <f t="shared" si="45"/>
        <v>2</v>
      </c>
      <c r="AH130" s="861">
        <f t="shared" si="50"/>
        <v>1.4166666666666667</v>
      </c>
      <c r="AJ130" s="709"/>
      <c r="AK130" s="936">
        <f t="shared" ca="1" si="51"/>
        <v>0.63233736445539035</v>
      </c>
      <c r="AL130" s="861">
        <f t="shared" si="52"/>
        <v>17</v>
      </c>
      <c r="AM130" s="861">
        <v>1</v>
      </c>
      <c r="AN130" s="863">
        <f t="shared" si="53"/>
        <v>18</v>
      </c>
      <c r="AO130" s="936">
        <f t="shared" ca="1" si="54"/>
        <v>11.382072560197026</v>
      </c>
      <c r="AP130" s="936">
        <f t="shared" ca="1" si="55"/>
        <v>23.512337364455391</v>
      </c>
      <c r="AQ130" s="936">
        <f t="shared" ca="1" si="56"/>
        <v>399.70973519574164</v>
      </c>
      <c r="AS130" s="936">
        <f>+IFERROR(VLOOKUP(C130,'Rural - Price Out '!$C:$F,3,FALSE),0)</f>
        <v>33.47</v>
      </c>
      <c r="AT130" s="909">
        <f t="shared" ca="1" si="57"/>
        <v>-9.9576626355446081</v>
      </c>
    </row>
    <row r="131" spans="1:46" s="840" customFormat="1">
      <c r="A131" s="840" t="str">
        <f t="shared" si="48"/>
        <v>PacificCommercialRL002.0YXX001TEMPC</v>
      </c>
      <c r="B131" s="840">
        <f t="shared" si="47"/>
        <v>1</v>
      </c>
      <c r="C131" s="859" t="s">
        <v>2172</v>
      </c>
      <c r="D131" s="859" t="s">
        <v>2161</v>
      </c>
      <c r="E131" s="859">
        <v>29.11</v>
      </c>
      <c r="F131" s="859"/>
      <c r="G131" s="860"/>
      <c r="H131" s="861">
        <v>815.08</v>
      </c>
      <c r="I131" s="861">
        <v>1251.73</v>
      </c>
      <c r="J131" s="861">
        <v>1077.07</v>
      </c>
      <c r="K131" s="861">
        <v>989.74</v>
      </c>
      <c r="L131" s="861">
        <v>378.43</v>
      </c>
      <c r="M131" s="861">
        <v>465.76</v>
      </c>
      <c r="N131" s="861">
        <v>582.20000000000005</v>
      </c>
      <c r="O131" s="861">
        <v>727.75</v>
      </c>
      <c r="P131" s="861">
        <v>669.53000000000009</v>
      </c>
      <c r="Q131" s="861">
        <v>232.88</v>
      </c>
      <c r="R131" s="861">
        <v>436.65</v>
      </c>
      <c r="S131" s="861">
        <v>640.41999999999996</v>
      </c>
      <c r="T131" s="861">
        <f t="shared" si="49"/>
        <v>8267.24</v>
      </c>
      <c r="U131" s="861"/>
      <c r="V131" s="861">
        <f t="shared" si="46"/>
        <v>28.000000000000004</v>
      </c>
      <c r="W131" s="861">
        <f t="shared" si="46"/>
        <v>43</v>
      </c>
      <c r="X131" s="861">
        <f t="shared" si="46"/>
        <v>37</v>
      </c>
      <c r="Y131" s="861">
        <f t="shared" si="46"/>
        <v>34</v>
      </c>
      <c r="Z131" s="861">
        <f t="shared" si="46"/>
        <v>13</v>
      </c>
      <c r="AA131" s="861">
        <f t="shared" si="46"/>
        <v>16</v>
      </c>
      <c r="AB131" s="861">
        <f t="shared" si="45"/>
        <v>20.000000000000004</v>
      </c>
      <c r="AC131" s="861">
        <f t="shared" si="45"/>
        <v>25</v>
      </c>
      <c r="AD131" s="861">
        <f t="shared" si="45"/>
        <v>23.000000000000004</v>
      </c>
      <c r="AE131" s="861">
        <f t="shared" si="45"/>
        <v>8</v>
      </c>
      <c r="AF131" s="861">
        <f t="shared" si="45"/>
        <v>15</v>
      </c>
      <c r="AG131" s="861">
        <f t="shared" si="45"/>
        <v>22</v>
      </c>
      <c r="AH131" s="861">
        <f t="shared" si="50"/>
        <v>23.666666666666668</v>
      </c>
      <c r="AJ131" s="709"/>
      <c r="AK131" s="936">
        <f t="shared" ca="1" si="51"/>
        <v>0.80451663808113694</v>
      </c>
      <c r="AL131" s="861">
        <f t="shared" si="52"/>
        <v>284</v>
      </c>
      <c r="AM131" s="861">
        <v>101</v>
      </c>
      <c r="AN131" s="863">
        <f t="shared" si="53"/>
        <v>385</v>
      </c>
      <c r="AO131" s="936">
        <f t="shared" ca="1" si="54"/>
        <v>309.73890566123771</v>
      </c>
      <c r="AP131" s="936">
        <f t="shared" ca="1" si="55"/>
        <v>29.914516638081135</v>
      </c>
      <c r="AQ131" s="936">
        <f t="shared" ca="1" si="56"/>
        <v>8495.7227252150424</v>
      </c>
      <c r="AS131" s="936">
        <f>+IFERROR(VLOOKUP(C131,'Rural - Price Out '!$C:$F,3,FALSE),0)</f>
        <v>35.92</v>
      </c>
      <c r="AT131" s="909">
        <f t="shared" ca="1" si="57"/>
        <v>-6.0054833619188663</v>
      </c>
    </row>
    <row r="132" spans="1:46" s="840" customFormat="1">
      <c r="A132" s="840" t="str">
        <f t="shared" si="48"/>
        <v>PacificCommercialACCESS-COMM</v>
      </c>
      <c r="B132" s="840">
        <f t="shared" si="47"/>
        <v>1</v>
      </c>
      <c r="C132" s="859" t="s">
        <v>2173</v>
      </c>
      <c r="D132" s="859" t="s">
        <v>2174</v>
      </c>
      <c r="E132" s="859">
        <v>0</v>
      </c>
      <c r="F132" s="859"/>
      <c r="G132" s="860"/>
      <c r="H132" s="861">
        <v>5525</v>
      </c>
      <c r="I132" s="861">
        <v>5556.24</v>
      </c>
      <c r="J132" s="861">
        <v>5541.6</v>
      </c>
      <c r="K132" s="861">
        <v>5564.8</v>
      </c>
      <c r="L132" s="861">
        <v>5568</v>
      </c>
      <c r="M132" s="861">
        <v>5544</v>
      </c>
      <c r="N132" s="861">
        <v>5520</v>
      </c>
      <c r="O132" s="861">
        <v>5544</v>
      </c>
      <c r="P132" s="861">
        <v>5535.5999999999995</v>
      </c>
      <c r="Q132" s="861">
        <v>5592</v>
      </c>
      <c r="R132" s="861">
        <v>5657.17</v>
      </c>
      <c r="S132" s="861">
        <v>5698.74</v>
      </c>
      <c r="T132" s="861">
        <f t="shared" si="49"/>
        <v>66847.149999999994</v>
      </c>
      <c r="U132" s="861"/>
      <c r="V132" s="861">
        <f t="shared" si="46"/>
        <v>0</v>
      </c>
      <c r="W132" s="861">
        <f t="shared" si="46"/>
        <v>0</v>
      </c>
      <c r="X132" s="861">
        <f t="shared" si="46"/>
        <v>0</v>
      </c>
      <c r="Y132" s="861">
        <f t="shared" si="46"/>
        <v>0</v>
      </c>
      <c r="Z132" s="861">
        <f t="shared" si="46"/>
        <v>0</v>
      </c>
      <c r="AA132" s="861">
        <f t="shared" si="46"/>
        <v>0</v>
      </c>
      <c r="AB132" s="861">
        <f t="shared" si="45"/>
        <v>0</v>
      </c>
      <c r="AC132" s="861">
        <f t="shared" si="45"/>
        <v>0</v>
      </c>
      <c r="AD132" s="861">
        <f t="shared" si="45"/>
        <v>0</v>
      </c>
      <c r="AE132" s="861">
        <f t="shared" si="45"/>
        <v>0</v>
      </c>
      <c r="AF132" s="861">
        <f t="shared" si="45"/>
        <v>0</v>
      </c>
      <c r="AG132" s="861">
        <f t="shared" si="45"/>
        <v>0</v>
      </c>
      <c r="AH132" s="861">
        <f t="shared" si="50"/>
        <v>0</v>
      </c>
      <c r="AJ132" s="709"/>
      <c r="AK132" s="936">
        <f t="shared" ca="1" si="51"/>
        <v>0</v>
      </c>
      <c r="AL132" s="861">
        <f t="shared" si="52"/>
        <v>0</v>
      </c>
      <c r="AM132" s="861">
        <v>388.5</v>
      </c>
      <c r="AN132" s="863">
        <f t="shared" si="53"/>
        <v>388.5</v>
      </c>
      <c r="AO132" s="936">
        <f t="shared" ca="1" si="54"/>
        <v>0</v>
      </c>
      <c r="AP132" s="936">
        <f t="shared" ca="1" si="55"/>
        <v>0</v>
      </c>
      <c r="AQ132" s="936">
        <f t="shared" ca="1" si="56"/>
        <v>0</v>
      </c>
      <c r="AS132" s="936">
        <f>+IFERROR(VLOOKUP(C132,'Rural - Price Out '!$C:$F,3,FALSE),0)</f>
        <v>3.12</v>
      </c>
      <c r="AT132" s="909">
        <f t="shared" ca="1" si="57"/>
        <v>-3.12</v>
      </c>
    </row>
    <row r="133" spans="1:46" s="840" customFormat="1">
      <c r="A133" s="840" t="str">
        <f t="shared" si="48"/>
        <v>PacificCommercialADJTAX-COMM</v>
      </c>
      <c r="B133" s="840">
        <f t="shared" si="47"/>
        <v>1</v>
      </c>
      <c r="C133" s="859" t="s">
        <v>2175</v>
      </c>
      <c r="D133" s="859" t="s">
        <v>2176</v>
      </c>
      <c r="E133" s="859">
        <v>0</v>
      </c>
      <c r="F133" s="859"/>
      <c r="G133" s="860"/>
      <c r="H133" s="861">
        <v>0</v>
      </c>
      <c r="I133" s="861">
        <v>-34.229999999999997</v>
      </c>
      <c r="J133" s="861">
        <v>0</v>
      </c>
      <c r="K133" s="861">
        <v>0</v>
      </c>
      <c r="L133" s="861">
        <v>-8.32</v>
      </c>
      <c r="M133" s="861">
        <v>0</v>
      </c>
      <c r="N133" s="861">
        <v>0</v>
      </c>
      <c r="O133" s="861">
        <v>0</v>
      </c>
      <c r="P133" s="861">
        <v>0</v>
      </c>
      <c r="Q133" s="861">
        <v>0</v>
      </c>
      <c r="R133" s="861">
        <v>0</v>
      </c>
      <c r="S133" s="861">
        <v>-27.96</v>
      </c>
      <c r="T133" s="861">
        <f t="shared" si="49"/>
        <v>-70.509999999999991</v>
      </c>
      <c r="U133" s="861"/>
      <c r="V133" s="861">
        <f t="shared" si="46"/>
        <v>0</v>
      </c>
      <c r="W133" s="861">
        <f t="shared" si="46"/>
        <v>0</v>
      </c>
      <c r="X133" s="861">
        <f t="shared" si="46"/>
        <v>0</v>
      </c>
      <c r="Y133" s="861">
        <f t="shared" si="46"/>
        <v>0</v>
      </c>
      <c r="Z133" s="861">
        <f t="shared" si="46"/>
        <v>0</v>
      </c>
      <c r="AA133" s="861">
        <f t="shared" si="46"/>
        <v>0</v>
      </c>
      <c r="AB133" s="861">
        <f t="shared" si="45"/>
        <v>0</v>
      </c>
      <c r="AC133" s="861">
        <f t="shared" si="45"/>
        <v>0</v>
      </c>
      <c r="AD133" s="861">
        <f t="shared" si="45"/>
        <v>0</v>
      </c>
      <c r="AE133" s="861">
        <f t="shared" si="45"/>
        <v>0</v>
      </c>
      <c r="AF133" s="861">
        <f t="shared" si="45"/>
        <v>0</v>
      </c>
      <c r="AG133" s="861">
        <f t="shared" si="45"/>
        <v>0</v>
      </c>
      <c r="AH133" s="861">
        <f t="shared" si="50"/>
        <v>0</v>
      </c>
      <c r="AJ133" s="709"/>
      <c r="AK133" s="936">
        <f t="shared" ca="1" si="51"/>
        <v>0</v>
      </c>
      <c r="AL133" s="861">
        <f t="shared" si="52"/>
        <v>0</v>
      </c>
      <c r="AM133" s="861">
        <v>0</v>
      </c>
      <c r="AN133" s="863">
        <f t="shared" si="53"/>
        <v>0</v>
      </c>
      <c r="AO133" s="936">
        <f t="shared" ca="1" si="54"/>
        <v>0</v>
      </c>
      <c r="AP133" s="936">
        <f t="shared" ca="1" si="55"/>
        <v>0</v>
      </c>
      <c r="AQ133" s="936">
        <f t="shared" ca="1" si="56"/>
        <v>0</v>
      </c>
      <c r="AS133" s="936">
        <f>+IFERROR(VLOOKUP(C133,'Rural - Price Out '!$C:$F,3,FALSE),0)</f>
        <v>0</v>
      </c>
      <c r="AT133" s="909">
        <f t="shared" ca="1" si="57"/>
        <v>0</v>
      </c>
    </row>
    <row r="134" spans="1:46" s="840" customFormat="1">
      <c r="A134" s="840" t="str">
        <f t="shared" si="48"/>
        <v>PacificCommercialCLEANCART-COMM</v>
      </c>
      <c r="B134" s="840">
        <f t="shared" si="47"/>
        <v>1</v>
      </c>
      <c r="C134" s="859" t="s">
        <v>2177</v>
      </c>
      <c r="D134" s="859" t="s">
        <v>2178</v>
      </c>
      <c r="E134" s="859">
        <v>5.2</v>
      </c>
      <c r="F134" s="859"/>
      <c r="G134" s="860"/>
      <c r="H134" s="861">
        <v>26</v>
      </c>
      <c r="I134" s="861">
        <v>135.19999999999999</v>
      </c>
      <c r="J134" s="861">
        <v>0</v>
      </c>
      <c r="K134" s="861">
        <v>37.22</v>
      </c>
      <c r="L134" s="861">
        <v>0</v>
      </c>
      <c r="M134" s="861">
        <v>0</v>
      </c>
      <c r="N134" s="861">
        <v>0</v>
      </c>
      <c r="O134" s="861">
        <v>0</v>
      </c>
      <c r="P134" s="861">
        <v>0</v>
      </c>
      <c r="Q134" s="861">
        <v>0</v>
      </c>
      <c r="R134" s="861">
        <v>0</v>
      </c>
      <c r="S134" s="861">
        <v>0</v>
      </c>
      <c r="T134" s="861">
        <f t="shared" si="49"/>
        <v>198.42</v>
      </c>
      <c r="U134" s="861"/>
      <c r="V134" s="861">
        <f t="shared" si="46"/>
        <v>5</v>
      </c>
      <c r="W134" s="861">
        <f t="shared" si="46"/>
        <v>25.999999999999996</v>
      </c>
      <c r="X134" s="861">
        <f t="shared" si="46"/>
        <v>0</v>
      </c>
      <c r="Y134" s="861">
        <f t="shared" si="46"/>
        <v>7.1576923076923071</v>
      </c>
      <c r="Z134" s="861">
        <f t="shared" si="46"/>
        <v>0</v>
      </c>
      <c r="AA134" s="861">
        <f t="shared" si="46"/>
        <v>0</v>
      </c>
      <c r="AB134" s="861">
        <f t="shared" si="45"/>
        <v>0</v>
      </c>
      <c r="AC134" s="861">
        <f t="shared" si="45"/>
        <v>0</v>
      </c>
      <c r="AD134" s="861">
        <f t="shared" si="45"/>
        <v>0</v>
      </c>
      <c r="AE134" s="861">
        <f t="shared" si="45"/>
        <v>0</v>
      </c>
      <c r="AF134" s="861">
        <f t="shared" si="45"/>
        <v>0</v>
      </c>
      <c r="AG134" s="861">
        <f t="shared" si="45"/>
        <v>0</v>
      </c>
      <c r="AH134" s="861">
        <f t="shared" si="50"/>
        <v>3.1798076923076919</v>
      </c>
      <c r="AJ134" s="709"/>
      <c r="AK134" s="936">
        <f t="shared" ca="1" si="51"/>
        <v>0.14371303737622507</v>
      </c>
      <c r="AL134" s="861">
        <f t="shared" si="52"/>
        <v>38.157692307692301</v>
      </c>
      <c r="AM134" s="861">
        <v>0</v>
      </c>
      <c r="AN134" s="863">
        <f t="shared" si="53"/>
        <v>38.157692307692301</v>
      </c>
      <c r="AO134" s="936">
        <f t="shared" ca="1" si="54"/>
        <v>5.4837578608058797</v>
      </c>
      <c r="AP134" s="936">
        <f t="shared" ca="1" si="55"/>
        <v>5.3437130373762249</v>
      </c>
      <c r="AQ134" s="936">
        <f t="shared" ca="1" si="56"/>
        <v>203.90375786080583</v>
      </c>
      <c r="AS134" s="936">
        <f>+IFERROR(VLOOKUP(C134,'Rural - Price Out '!$C:$F,3,FALSE),0)</f>
        <v>0</v>
      </c>
      <c r="AT134" s="909">
        <f t="shared" ca="1" si="57"/>
        <v>5.3437130373762249</v>
      </c>
    </row>
    <row r="135" spans="1:46" s="840" customFormat="1">
      <c r="A135" s="840" t="str">
        <f t="shared" si="48"/>
        <v>PacificCommercialCLEAN1-COMM</v>
      </c>
      <c r="B135" s="840">
        <f t="shared" si="47"/>
        <v>1</v>
      </c>
      <c r="C135" s="859" t="s">
        <v>2179</v>
      </c>
      <c r="D135" s="859" t="s">
        <v>2180</v>
      </c>
      <c r="E135" s="859">
        <v>5.2</v>
      </c>
      <c r="F135" s="859"/>
      <c r="G135" s="860"/>
      <c r="H135" s="861">
        <v>0</v>
      </c>
      <c r="I135" s="861">
        <v>5.2</v>
      </c>
      <c r="J135" s="861">
        <v>0</v>
      </c>
      <c r="K135" s="861">
        <v>0</v>
      </c>
      <c r="L135" s="861">
        <v>0</v>
      </c>
      <c r="M135" s="861">
        <v>0</v>
      </c>
      <c r="N135" s="861">
        <v>0</v>
      </c>
      <c r="O135" s="861">
        <v>0</v>
      </c>
      <c r="P135" s="861">
        <v>0</v>
      </c>
      <c r="Q135" s="861">
        <v>0</v>
      </c>
      <c r="R135" s="861">
        <v>0</v>
      </c>
      <c r="S135" s="861">
        <v>0</v>
      </c>
      <c r="T135" s="861">
        <f t="shared" si="49"/>
        <v>5.2</v>
      </c>
      <c r="U135" s="861"/>
      <c r="V135" s="861">
        <f t="shared" si="46"/>
        <v>0</v>
      </c>
      <c r="W135" s="861">
        <f t="shared" si="46"/>
        <v>1</v>
      </c>
      <c r="X135" s="861">
        <f t="shared" si="46"/>
        <v>0</v>
      </c>
      <c r="Y135" s="861">
        <f t="shared" si="46"/>
        <v>0</v>
      </c>
      <c r="Z135" s="861">
        <f t="shared" si="46"/>
        <v>0</v>
      </c>
      <c r="AA135" s="861">
        <f t="shared" si="46"/>
        <v>0</v>
      </c>
      <c r="AB135" s="861">
        <f t="shared" si="45"/>
        <v>0</v>
      </c>
      <c r="AC135" s="861">
        <f t="shared" si="45"/>
        <v>0</v>
      </c>
      <c r="AD135" s="861">
        <f t="shared" si="45"/>
        <v>0</v>
      </c>
      <c r="AE135" s="861">
        <f t="shared" si="45"/>
        <v>0</v>
      </c>
      <c r="AF135" s="861">
        <f t="shared" si="45"/>
        <v>0</v>
      </c>
      <c r="AG135" s="861">
        <f t="shared" si="45"/>
        <v>0</v>
      </c>
      <c r="AH135" s="861">
        <f t="shared" si="50"/>
        <v>8.3333333333333329E-2</v>
      </c>
      <c r="AJ135" s="709"/>
      <c r="AK135" s="936">
        <f t="shared" ca="1" si="51"/>
        <v>0.14371303737622507</v>
      </c>
      <c r="AL135" s="861">
        <f t="shared" si="52"/>
        <v>1</v>
      </c>
      <c r="AM135" s="861">
        <v>0</v>
      </c>
      <c r="AN135" s="863">
        <f t="shared" si="53"/>
        <v>1</v>
      </c>
      <c r="AO135" s="936">
        <f t="shared" ca="1" si="54"/>
        <v>0.14371303737622507</v>
      </c>
      <c r="AP135" s="936">
        <f t="shared" ca="1" si="55"/>
        <v>5.3437130373762249</v>
      </c>
      <c r="AQ135" s="936">
        <f t="shared" ca="1" si="56"/>
        <v>5.3437130373762241</v>
      </c>
      <c r="AS135" s="936">
        <f>+IFERROR(VLOOKUP(C135,'Rural - Price Out '!$C:$F,3,FALSE),0)</f>
        <v>0</v>
      </c>
      <c r="AT135" s="909">
        <f t="shared" ca="1" si="57"/>
        <v>5.3437130373762249</v>
      </c>
    </row>
    <row r="136" spans="1:46" s="840" customFormat="1">
      <c r="A136" s="840" t="str">
        <f t="shared" si="48"/>
        <v>PacificCommercialCLEAN2-COMM</v>
      </c>
      <c r="B136" s="840">
        <f t="shared" si="47"/>
        <v>1</v>
      </c>
      <c r="C136" s="859" t="s">
        <v>2181</v>
      </c>
      <c r="D136" s="859" t="s">
        <v>2182</v>
      </c>
      <c r="E136" s="859">
        <v>5.2</v>
      </c>
      <c r="F136" s="859"/>
      <c r="G136" s="860"/>
      <c r="H136" s="861">
        <v>26</v>
      </c>
      <c r="I136" s="861">
        <v>0</v>
      </c>
      <c r="J136" s="861">
        <v>0</v>
      </c>
      <c r="K136" s="861">
        <v>0</v>
      </c>
      <c r="L136" s="861">
        <v>0</v>
      </c>
      <c r="M136" s="861">
        <v>48.5</v>
      </c>
      <c r="N136" s="861">
        <v>0</v>
      </c>
      <c r="O136" s="861">
        <v>0</v>
      </c>
      <c r="P136" s="861">
        <v>0</v>
      </c>
      <c r="Q136" s="861">
        <v>0</v>
      </c>
      <c r="R136" s="861">
        <v>0</v>
      </c>
      <c r="S136" s="861">
        <v>0</v>
      </c>
      <c r="T136" s="861">
        <f t="shared" si="49"/>
        <v>74.5</v>
      </c>
      <c r="U136" s="861"/>
      <c r="V136" s="861">
        <f t="shared" si="46"/>
        <v>5</v>
      </c>
      <c r="W136" s="861">
        <f t="shared" si="46"/>
        <v>0</v>
      </c>
      <c r="X136" s="861">
        <f t="shared" si="46"/>
        <v>0</v>
      </c>
      <c r="Y136" s="861">
        <f t="shared" si="46"/>
        <v>0</v>
      </c>
      <c r="Z136" s="861">
        <f t="shared" si="46"/>
        <v>0</v>
      </c>
      <c r="AA136" s="861">
        <f t="shared" si="46"/>
        <v>9.3269230769230766</v>
      </c>
      <c r="AB136" s="861">
        <f t="shared" si="45"/>
        <v>0</v>
      </c>
      <c r="AC136" s="861">
        <f t="shared" si="45"/>
        <v>0</v>
      </c>
      <c r="AD136" s="861">
        <f t="shared" si="45"/>
        <v>0</v>
      </c>
      <c r="AE136" s="861">
        <f t="shared" si="45"/>
        <v>0</v>
      </c>
      <c r="AF136" s="861">
        <f t="shared" si="45"/>
        <v>0</v>
      </c>
      <c r="AG136" s="861">
        <f t="shared" si="45"/>
        <v>0</v>
      </c>
      <c r="AH136" s="861">
        <f t="shared" si="50"/>
        <v>1.1939102564102564</v>
      </c>
      <c r="AJ136" s="709"/>
      <c r="AK136" s="936">
        <f t="shared" ca="1" si="51"/>
        <v>0.14371303737622507</v>
      </c>
      <c r="AL136" s="861">
        <f t="shared" si="52"/>
        <v>14.326923076923077</v>
      </c>
      <c r="AM136" s="861">
        <v>0</v>
      </c>
      <c r="AN136" s="863">
        <f t="shared" si="53"/>
        <v>14.326923076923077</v>
      </c>
      <c r="AO136" s="936">
        <f t="shared" ca="1" si="54"/>
        <v>2.0589656316401475</v>
      </c>
      <c r="AP136" s="936">
        <f t="shared" ca="1" si="55"/>
        <v>5.3437130373762249</v>
      </c>
      <c r="AQ136" s="936">
        <f t="shared" ca="1" si="56"/>
        <v>76.558965631640135</v>
      </c>
      <c r="AS136" s="936">
        <f>+IFERROR(VLOOKUP(C136,'Rural - Price Out '!$C:$F,3,FALSE),0)</f>
        <v>0</v>
      </c>
      <c r="AT136" s="909">
        <f t="shared" ca="1" si="57"/>
        <v>5.3437130373762249</v>
      </c>
    </row>
    <row r="137" spans="1:46" s="840" customFormat="1">
      <c r="A137" s="840" t="str">
        <f t="shared" si="48"/>
        <v>PacificCommercialCLEAN4-COMM</v>
      </c>
      <c r="B137" s="840">
        <f t="shared" si="47"/>
        <v>1</v>
      </c>
      <c r="C137" s="859" t="s">
        <v>2183</v>
      </c>
      <c r="D137" s="859" t="s">
        <v>2184</v>
      </c>
      <c r="E137" s="859">
        <v>20.8</v>
      </c>
      <c r="F137" s="859"/>
      <c r="G137" s="860"/>
      <c r="H137" s="861">
        <v>20.8</v>
      </c>
      <c r="I137" s="861">
        <v>0</v>
      </c>
      <c r="J137" s="861">
        <v>0</v>
      </c>
      <c r="K137" s="861">
        <v>20.8</v>
      </c>
      <c r="L137" s="861">
        <v>0</v>
      </c>
      <c r="M137" s="861">
        <v>0</v>
      </c>
      <c r="N137" s="861">
        <v>0</v>
      </c>
      <c r="O137" s="861">
        <v>0</v>
      </c>
      <c r="P137" s="861">
        <v>48.5</v>
      </c>
      <c r="Q137" s="861">
        <v>0</v>
      </c>
      <c r="R137" s="861">
        <v>0</v>
      </c>
      <c r="S137" s="861">
        <v>0</v>
      </c>
      <c r="T137" s="861">
        <f t="shared" si="49"/>
        <v>90.1</v>
      </c>
      <c r="U137" s="861"/>
      <c r="V137" s="861">
        <f t="shared" si="46"/>
        <v>1</v>
      </c>
      <c r="W137" s="861">
        <f t="shared" si="46"/>
        <v>0</v>
      </c>
      <c r="X137" s="861">
        <f t="shared" si="46"/>
        <v>0</v>
      </c>
      <c r="Y137" s="861">
        <f t="shared" si="46"/>
        <v>1</v>
      </c>
      <c r="Z137" s="861">
        <f t="shared" si="46"/>
        <v>0</v>
      </c>
      <c r="AA137" s="861">
        <f t="shared" si="46"/>
        <v>0</v>
      </c>
      <c r="AB137" s="861">
        <f t="shared" si="45"/>
        <v>0</v>
      </c>
      <c r="AC137" s="861">
        <f t="shared" si="45"/>
        <v>0</v>
      </c>
      <c r="AD137" s="861">
        <f t="shared" si="45"/>
        <v>2.3317307692307692</v>
      </c>
      <c r="AE137" s="861">
        <f t="shared" si="45"/>
        <v>0</v>
      </c>
      <c r="AF137" s="861">
        <f t="shared" si="45"/>
        <v>0</v>
      </c>
      <c r="AG137" s="861">
        <f t="shared" si="45"/>
        <v>0</v>
      </c>
      <c r="AH137" s="861">
        <f t="shared" si="50"/>
        <v>0.3609775641025641</v>
      </c>
      <c r="AJ137" s="709"/>
      <c r="AK137" s="936">
        <f t="shared" ca="1" si="51"/>
        <v>0.57485214950490027</v>
      </c>
      <c r="AL137" s="861">
        <f t="shared" si="52"/>
        <v>4.3317307692307692</v>
      </c>
      <c r="AM137" s="861">
        <v>0</v>
      </c>
      <c r="AN137" s="863">
        <f t="shared" si="53"/>
        <v>4.3317307692307692</v>
      </c>
      <c r="AO137" s="936">
        <f t="shared" ca="1" si="54"/>
        <v>2.4901047437688226</v>
      </c>
      <c r="AP137" s="936">
        <f t="shared" ca="1" si="55"/>
        <v>21.3748521495049</v>
      </c>
      <c r="AQ137" s="936">
        <f t="shared" ca="1" si="56"/>
        <v>92.590104743768819</v>
      </c>
      <c r="AS137" s="936">
        <f>+IFERROR(VLOOKUP(C137,'Rural - Price Out '!$C:$F,3,FALSE),0)</f>
        <v>0</v>
      </c>
      <c r="AT137" s="909">
        <f t="shared" ca="1" si="57"/>
        <v>21.3748521495049</v>
      </c>
    </row>
    <row r="138" spans="1:46" s="840" customFormat="1">
      <c r="A138" s="840" t="str">
        <f t="shared" si="48"/>
        <v>PacificCommercialCLEAN6-COMM</v>
      </c>
      <c r="B138" s="840">
        <f t="shared" si="47"/>
        <v>1</v>
      </c>
      <c r="C138" s="859" t="s">
        <v>2185</v>
      </c>
      <c r="D138" s="859" t="s">
        <v>2186</v>
      </c>
      <c r="E138" s="859">
        <v>31.2</v>
      </c>
      <c r="F138" s="859"/>
      <c r="G138" s="860"/>
      <c r="H138" s="861">
        <v>31.2</v>
      </c>
      <c r="I138" s="861">
        <v>31.2</v>
      </c>
      <c r="J138" s="861">
        <v>0</v>
      </c>
      <c r="K138" s="861">
        <v>0</v>
      </c>
      <c r="L138" s="861">
        <v>0</v>
      </c>
      <c r="M138" s="861">
        <v>0</v>
      </c>
      <c r="N138" s="861">
        <v>0</v>
      </c>
      <c r="O138" s="861">
        <v>0</v>
      </c>
      <c r="P138" s="861">
        <v>0</v>
      </c>
      <c r="Q138" s="861">
        <v>0</v>
      </c>
      <c r="R138" s="861">
        <v>0</v>
      </c>
      <c r="S138" s="861">
        <v>0</v>
      </c>
      <c r="T138" s="861">
        <f t="shared" si="49"/>
        <v>62.4</v>
      </c>
      <c r="U138" s="861"/>
      <c r="V138" s="861">
        <f t="shared" si="46"/>
        <v>1</v>
      </c>
      <c r="W138" s="861">
        <f t="shared" si="46"/>
        <v>1</v>
      </c>
      <c r="X138" s="861">
        <f t="shared" si="46"/>
        <v>0</v>
      </c>
      <c r="Y138" s="861">
        <f t="shared" si="46"/>
        <v>0</v>
      </c>
      <c r="Z138" s="861">
        <f t="shared" si="46"/>
        <v>0</v>
      </c>
      <c r="AA138" s="861">
        <f t="shared" si="46"/>
        <v>0</v>
      </c>
      <c r="AB138" s="861">
        <f t="shared" si="45"/>
        <v>0</v>
      </c>
      <c r="AC138" s="861">
        <f t="shared" si="45"/>
        <v>0</v>
      </c>
      <c r="AD138" s="861">
        <f t="shared" si="45"/>
        <v>0</v>
      </c>
      <c r="AE138" s="861">
        <f t="shared" si="45"/>
        <v>0</v>
      </c>
      <c r="AF138" s="861">
        <f t="shared" si="45"/>
        <v>0</v>
      </c>
      <c r="AG138" s="861">
        <f t="shared" si="45"/>
        <v>0</v>
      </c>
      <c r="AH138" s="861">
        <f t="shared" si="50"/>
        <v>0.16666666666666666</v>
      </c>
      <c r="AJ138" s="709"/>
      <c r="AK138" s="936">
        <f t="shared" ca="1" si="51"/>
        <v>0.86227822425735046</v>
      </c>
      <c r="AL138" s="861">
        <f t="shared" si="52"/>
        <v>2</v>
      </c>
      <c r="AM138" s="861">
        <v>0</v>
      </c>
      <c r="AN138" s="863">
        <f t="shared" si="53"/>
        <v>2</v>
      </c>
      <c r="AO138" s="936">
        <f t="shared" ca="1" si="54"/>
        <v>1.7245564485147009</v>
      </c>
      <c r="AP138" s="936">
        <f t="shared" ca="1" si="55"/>
        <v>32.062278224257348</v>
      </c>
      <c r="AQ138" s="936">
        <f t="shared" ca="1" si="56"/>
        <v>64.124556448514696</v>
      </c>
      <c r="AS138" s="936">
        <f>+IFERROR(VLOOKUP(C138,'Rural - Price Out '!$C:$F,3,FALSE),0)</f>
        <v>0</v>
      </c>
      <c r="AT138" s="909">
        <f t="shared" ca="1" si="57"/>
        <v>32.062278224257348</v>
      </c>
    </row>
    <row r="139" spans="1:46" s="840" customFormat="1">
      <c r="A139" s="840" t="str">
        <f t="shared" si="48"/>
        <v>PacificCommercialCLEAN-COMM</v>
      </c>
      <c r="B139" s="840">
        <f t="shared" si="47"/>
        <v>1</v>
      </c>
      <c r="C139" s="859" t="s">
        <v>2187</v>
      </c>
      <c r="D139" s="859" t="s">
        <v>2188</v>
      </c>
      <c r="E139" s="859">
        <v>0</v>
      </c>
      <c r="F139" s="859"/>
      <c r="G139" s="860"/>
      <c r="H139" s="861">
        <v>0</v>
      </c>
      <c r="I139" s="861">
        <v>0</v>
      </c>
      <c r="J139" s="861">
        <v>0</v>
      </c>
      <c r="K139" s="861">
        <v>105.11</v>
      </c>
      <c r="L139" s="861">
        <v>170.92999999999998</v>
      </c>
      <c r="M139" s="861">
        <v>0</v>
      </c>
      <c r="N139" s="861">
        <v>0</v>
      </c>
      <c r="O139" s="861">
        <v>0</v>
      </c>
      <c r="P139" s="861">
        <v>0</v>
      </c>
      <c r="Q139" s="861">
        <v>0</v>
      </c>
      <c r="R139" s="861">
        <v>0</v>
      </c>
      <c r="S139" s="861">
        <v>16.8</v>
      </c>
      <c r="T139" s="861">
        <f t="shared" si="49"/>
        <v>292.83999999999997</v>
      </c>
      <c r="U139" s="861"/>
      <c r="V139" s="861">
        <f t="shared" si="46"/>
        <v>0</v>
      </c>
      <c r="W139" s="861">
        <f t="shared" si="46"/>
        <v>0</v>
      </c>
      <c r="X139" s="861">
        <f t="shared" si="46"/>
        <v>0</v>
      </c>
      <c r="Y139" s="861">
        <f t="shared" si="46"/>
        <v>0</v>
      </c>
      <c r="Z139" s="861">
        <f t="shared" si="46"/>
        <v>0</v>
      </c>
      <c r="AA139" s="861">
        <f t="shared" si="46"/>
        <v>0</v>
      </c>
      <c r="AB139" s="861">
        <f t="shared" si="45"/>
        <v>0</v>
      </c>
      <c r="AC139" s="861">
        <f t="shared" si="45"/>
        <v>0</v>
      </c>
      <c r="AD139" s="861">
        <f t="shared" si="45"/>
        <v>0</v>
      </c>
      <c r="AE139" s="861">
        <f t="shared" si="45"/>
        <v>0</v>
      </c>
      <c r="AF139" s="861">
        <f t="shared" si="45"/>
        <v>0</v>
      </c>
      <c r="AG139" s="861">
        <f t="shared" si="45"/>
        <v>0</v>
      </c>
      <c r="AH139" s="861">
        <f t="shared" si="50"/>
        <v>0</v>
      </c>
      <c r="AJ139" s="709"/>
      <c r="AK139" s="936">
        <f t="shared" ca="1" si="51"/>
        <v>0</v>
      </c>
      <c r="AL139" s="861">
        <f t="shared" si="52"/>
        <v>0</v>
      </c>
      <c r="AM139" s="861">
        <v>0</v>
      </c>
      <c r="AN139" s="863">
        <f t="shared" si="53"/>
        <v>0</v>
      </c>
      <c r="AO139" s="936">
        <f t="shared" ca="1" si="54"/>
        <v>0</v>
      </c>
      <c r="AP139" s="936">
        <f t="shared" ca="1" si="55"/>
        <v>0</v>
      </c>
      <c r="AQ139" s="936">
        <f t="shared" ca="1" si="56"/>
        <v>0</v>
      </c>
      <c r="AS139" s="936">
        <f>+IFERROR(VLOOKUP(C139,'Rural - Price Out '!$C:$F,3,FALSE),0)</f>
        <v>0</v>
      </c>
      <c r="AT139" s="909">
        <f t="shared" ca="1" si="57"/>
        <v>0</v>
      </c>
    </row>
    <row r="140" spans="1:46" s="840" customFormat="1" ht="12">
      <c r="A140" s="840" t="str">
        <f t="shared" si="48"/>
        <v>PacificCommercialDEL1.5TEMP-COMM</v>
      </c>
      <c r="B140" s="840">
        <f t="shared" si="47"/>
        <v>1</v>
      </c>
      <c r="C140" s="859" t="s">
        <v>2189</v>
      </c>
      <c r="D140" s="859" t="s">
        <v>2190</v>
      </c>
      <c r="E140" s="859">
        <v>31.7</v>
      </c>
      <c r="F140" s="859"/>
      <c r="G140" s="860"/>
      <c r="H140" s="861">
        <v>31.7</v>
      </c>
      <c r="I140" s="861">
        <v>63.4</v>
      </c>
      <c r="J140" s="861">
        <v>31.7</v>
      </c>
      <c r="K140" s="861">
        <v>0</v>
      </c>
      <c r="L140" s="861">
        <v>31.7</v>
      </c>
      <c r="M140" s="861">
        <v>0</v>
      </c>
      <c r="N140" s="861">
        <v>0</v>
      </c>
      <c r="O140" s="861">
        <v>31.7</v>
      </c>
      <c r="P140" s="861">
        <v>0</v>
      </c>
      <c r="Q140" s="861">
        <v>31.7</v>
      </c>
      <c r="R140" s="861">
        <v>31.7</v>
      </c>
      <c r="S140" s="861">
        <v>0</v>
      </c>
      <c r="T140" s="861">
        <f t="shared" si="49"/>
        <v>253.59999999999997</v>
      </c>
      <c r="U140" s="861"/>
      <c r="V140" s="861">
        <f t="shared" si="46"/>
        <v>1</v>
      </c>
      <c r="W140" s="861">
        <f t="shared" si="46"/>
        <v>2</v>
      </c>
      <c r="X140" s="861">
        <f t="shared" si="46"/>
        <v>1</v>
      </c>
      <c r="Y140" s="861">
        <f t="shared" si="46"/>
        <v>0</v>
      </c>
      <c r="Z140" s="861">
        <f t="shared" si="46"/>
        <v>1</v>
      </c>
      <c r="AA140" s="861">
        <f t="shared" si="46"/>
        <v>0</v>
      </c>
      <c r="AB140" s="861">
        <f t="shared" si="45"/>
        <v>0</v>
      </c>
      <c r="AC140" s="861">
        <f t="shared" si="45"/>
        <v>1</v>
      </c>
      <c r="AD140" s="861">
        <f t="shared" si="45"/>
        <v>0</v>
      </c>
      <c r="AE140" s="861">
        <f t="shared" si="45"/>
        <v>1</v>
      </c>
      <c r="AF140" s="861">
        <f t="shared" si="45"/>
        <v>1</v>
      </c>
      <c r="AG140" s="861">
        <f t="shared" si="45"/>
        <v>0</v>
      </c>
      <c r="AH140" s="861">
        <f t="shared" si="50"/>
        <v>0.66666666666666663</v>
      </c>
      <c r="AK140" s="936">
        <f t="shared" ca="1" si="51"/>
        <v>0.87609678554352588</v>
      </c>
      <c r="AL140" s="861">
        <f t="shared" si="52"/>
        <v>8</v>
      </c>
      <c r="AM140" s="861">
        <v>1</v>
      </c>
      <c r="AN140" s="863">
        <f t="shared" si="53"/>
        <v>9</v>
      </c>
      <c r="AO140" s="936">
        <f t="shared" ca="1" si="54"/>
        <v>7.8848710698917328</v>
      </c>
      <c r="AP140" s="936">
        <f t="shared" ca="1" si="55"/>
        <v>32.576096785543527</v>
      </c>
      <c r="AQ140" s="936">
        <f t="shared" ca="1" si="56"/>
        <v>260.60877428434821</v>
      </c>
      <c r="AS140" s="936">
        <f>+IFERROR(VLOOKUP(C140,'Rural - Price Out '!$C:$F,3,FALSE),0)</f>
        <v>24</v>
      </c>
      <c r="AT140" s="909">
        <f t="shared" ca="1" si="57"/>
        <v>8.5760967855435268</v>
      </c>
    </row>
    <row r="141" spans="1:46" s="840" customFormat="1">
      <c r="A141" s="840" t="str">
        <f t="shared" si="48"/>
        <v>PacificCommercialDEL1TEMP-COMM</v>
      </c>
      <c r="B141" s="840">
        <f t="shared" si="47"/>
        <v>1</v>
      </c>
      <c r="C141" s="859" t="s">
        <v>2191</v>
      </c>
      <c r="D141" s="859" t="s">
        <v>2192</v>
      </c>
      <c r="E141" s="859">
        <v>31.7</v>
      </c>
      <c r="F141" s="859"/>
      <c r="G141" s="860"/>
      <c r="H141" s="861">
        <v>0</v>
      </c>
      <c r="I141" s="861">
        <v>0</v>
      </c>
      <c r="J141" s="861">
        <v>0</v>
      </c>
      <c r="K141" s="861">
        <v>0</v>
      </c>
      <c r="L141" s="861">
        <v>31.7</v>
      </c>
      <c r="M141" s="861">
        <v>0</v>
      </c>
      <c r="N141" s="861">
        <v>0</v>
      </c>
      <c r="O141" s="861">
        <v>0</v>
      </c>
      <c r="P141" s="861">
        <v>0</v>
      </c>
      <c r="Q141" s="861">
        <v>0</v>
      </c>
      <c r="R141" s="861">
        <v>31.7</v>
      </c>
      <c r="S141" s="861">
        <v>0</v>
      </c>
      <c r="T141" s="861">
        <f t="shared" si="49"/>
        <v>63.4</v>
      </c>
      <c r="U141" s="861"/>
      <c r="V141" s="861">
        <f t="shared" si="46"/>
        <v>0</v>
      </c>
      <c r="W141" s="861">
        <f t="shared" si="46"/>
        <v>0</v>
      </c>
      <c r="X141" s="861">
        <f t="shared" si="46"/>
        <v>0</v>
      </c>
      <c r="Y141" s="861">
        <f t="shared" si="46"/>
        <v>0</v>
      </c>
      <c r="Z141" s="861">
        <f t="shared" si="46"/>
        <v>1</v>
      </c>
      <c r="AA141" s="861">
        <f t="shared" si="46"/>
        <v>0</v>
      </c>
      <c r="AB141" s="861">
        <f t="shared" si="45"/>
        <v>0</v>
      </c>
      <c r="AC141" s="861">
        <f t="shared" si="45"/>
        <v>0</v>
      </c>
      <c r="AD141" s="861">
        <f t="shared" si="45"/>
        <v>0</v>
      </c>
      <c r="AE141" s="861">
        <f t="shared" si="45"/>
        <v>0</v>
      </c>
      <c r="AF141" s="861">
        <f t="shared" si="45"/>
        <v>1</v>
      </c>
      <c r="AG141" s="861">
        <f t="shared" si="45"/>
        <v>0</v>
      </c>
      <c r="AH141" s="861">
        <f t="shared" si="50"/>
        <v>0.16666666666666666</v>
      </c>
      <c r="AJ141" s="709"/>
      <c r="AK141" s="936">
        <f t="shared" ca="1" si="51"/>
        <v>0.87609678554352588</v>
      </c>
      <c r="AL141" s="861">
        <f t="shared" si="52"/>
        <v>2</v>
      </c>
      <c r="AM141" s="861">
        <v>1</v>
      </c>
      <c r="AN141" s="863">
        <f t="shared" si="53"/>
        <v>3</v>
      </c>
      <c r="AO141" s="936">
        <f t="shared" ca="1" si="54"/>
        <v>2.6282903566305778</v>
      </c>
      <c r="AP141" s="936">
        <f t="shared" ca="1" si="55"/>
        <v>32.576096785543527</v>
      </c>
      <c r="AQ141" s="936">
        <f t="shared" ca="1" si="56"/>
        <v>65.152193571087054</v>
      </c>
      <c r="AS141" s="936">
        <f>+IFERROR(VLOOKUP(C141,'Rural - Price Out '!$C:$F,3,FALSE),0)</f>
        <v>24</v>
      </c>
      <c r="AT141" s="909">
        <f t="shared" ca="1" si="57"/>
        <v>8.5760967855435268</v>
      </c>
    </row>
    <row r="142" spans="1:46" s="840" customFormat="1">
      <c r="A142" s="840" t="str">
        <f t="shared" si="48"/>
        <v>PacificCommercialDEL2TEMP-COMM</v>
      </c>
      <c r="B142" s="840">
        <f t="shared" si="47"/>
        <v>1</v>
      </c>
      <c r="C142" s="859" t="s">
        <v>2193</v>
      </c>
      <c r="D142" s="859" t="s">
        <v>2194</v>
      </c>
      <c r="E142" s="859">
        <v>31.7</v>
      </c>
      <c r="F142" s="859"/>
      <c r="G142" s="860"/>
      <c r="H142" s="861">
        <v>317</v>
      </c>
      <c r="I142" s="861">
        <v>570.6</v>
      </c>
      <c r="J142" s="861">
        <v>348.7</v>
      </c>
      <c r="K142" s="861">
        <v>253.6</v>
      </c>
      <c r="L142" s="861">
        <v>285.29999999999995</v>
      </c>
      <c r="M142" s="861">
        <v>253.6</v>
      </c>
      <c r="N142" s="861">
        <v>285.3</v>
      </c>
      <c r="O142" s="861">
        <v>190.2</v>
      </c>
      <c r="P142" s="861">
        <v>253.59999999999997</v>
      </c>
      <c r="Q142" s="861">
        <v>158.5</v>
      </c>
      <c r="R142" s="861">
        <v>190.2</v>
      </c>
      <c r="S142" s="861">
        <v>221.89999999999998</v>
      </c>
      <c r="T142" s="861">
        <f t="shared" si="49"/>
        <v>3328.4999999999995</v>
      </c>
      <c r="U142" s="861"/>
      <c r="V142" s="861">
        <f t="shared" si="46"/>
        <v>10</v>
      </c>
      <c r="W142" s="861">
        <f t="shared" si="46"/>
        <v>18</v>
      </c>
      <c r="X142" s="861">
        <f t="shared" si="46"/>
        <v>11</v>
      </c>
      <c r="Y142" s="861">
        <f t="shared" si="46"/>
        <v>8</v>
      </c>
      <c r="Z142" s="861">
        <f t="shared" si="46"/>
        <v>8.9999999999999982</v>
      </c>
      <c r="AA142" s="861">
        <f t="shared" si="46"/>
        <v>8</v>
      </c>
      <c r="AB142" s="861">
        <f t="shared" si="45"/>
        <v>9</v>
      </c>
      <c r="AC142" s="861">
        <f t="shared" si="45"/>
        <v>6</v>
      </c>
      <c r="AD142" s="861">
        <f t="shared" si="45"/>
        <v>7.9999999999999991</v>
      </c>
      <c r="AE142" s="861">
        <f t="shared" si="45"/>
        <v>5</v>
      </c>
      <c r="AF142" s="861">
        <f t="shared" si="45"/>
        <v>6</v>
      </c>
      <c r="AG142" s="861">
        <f t="shared" si="45"/>
        <v>6.9999999999999991</v>
      </c>
      <c r="AH142" s="861">
        <f t="shared" si="50"/>
        <v>8.75</v>
      </c>
      <c r="AJ142" s="709"/>
      <c r="AK142" s="936">
        <f t="shared" ca="1" si="51"/>
        <v>0.87609678554352588</v>
      </c>
      <c r="AL142" s="861">
        <f t="shared" si="52"/>
        <v>105</v>
      </c>
      <c r="AM142" s="861">
        <v>44.320833333333333</v>
      </c>
      <c r="AN142" s="863">
        <f t="shared" si="53"/>
        <v>149.32083333333333</v>
      </c>
      <c r="AO142" s="936">
        <f t="shared" ca="1" si="54"/>
        <v>130.81950209801388</v>
      </c>
      <c r="AP142" s="936">
        <f t="shared" ca="1" si="55"/>
        <v>32.576096785543527</v>
      </c>
      <c r="AQ142" s="936">
        <f t="shared" ca="1" si="56"/>
        <v>3420.4901624820704</v>
      </c>
      <c r="AS142" s="936">
        <f>+IFERROR(VLOOKUP(C142,'Rural - Price Out '!$C:$F,3,FALSE),0)</f>
        <v>24</v>
      </c>
      <c r="AT142" s="909">
        <f t="shared" ca="1" si="57"/>
        <v>8.5760967855435268</v>
      </c>
    </row>
    <row r="143" spans="1:46" s="840" customFormat="1">
      <c r="A143" s="840" t="str">
        <f t="shared" si="48"/>
        <v>PacificCommercialDEL3TEMP-COMM</v>
      </c>
      <c r="B143" s="840">
        <f t="shared" si="47"/>
        <v>1</v>
      </c>
      <c r="C143" s="859" t="s">
        <v>2195</v>
      </c>
      <c r="D143" s="859" t="s">
        <v>2196</v>
      </c>
      <c r="E143" s="859">
        <v>31.7</v>
      </c>
      <c r="F143" s="859"/>
      <c r="G143" s="860"/>
      <c r="H143" s="861">
        <v>0</v>
      </c>
      <c r="I143" s="861">
        <v>0</v>
      </c>
      <c r="J143" s="861">
        <v>0</v>
      </c>
      <c r="K143" s="861">
        <v>0</v>
      </c>
      <c r="L143" s="861">
        <v>0</v>
      </c>
      <c r="M143" s="861">
        <v>0</v>
      </c>
      <c r="N143" s="861">
        <v>0</v>
      </c>
      <c r="O143" s="861">
        <v>0</v>
      </c>
      <c r="P143" s="861">
        <v>0</v>
      </c>
      <c r="Q143" s="861">
        <v>0</v>
      </c>
      <c r="R143" s="861">
        <v>0</v>
      </c>
      <c r="S143" s="861">
        <v>31.7</v>
      </c>
      <c r="T143" s="861">
        <f t="shared" si="49"/>
        <v>31.7</v>
      </c>
      <c r="U143" s="861"/>
      <c r="V143" s="861">
        <f t="shared" si="46"/>
        <v>0</v>
      </c>
      <c r="W143" s="861">
        <f t="shared" si="46"/>
        <v>0</v>
      </c>
      <c r="X143" s="861">
        <f t="shared" si="46"/>
        <v>0</v>
      </c>
      <c r="Y143" s="861">
        <f t="shared" si="46"/>
        <v>0</v>
      </c>
      <c r="Z143" s="861">
        <f t="shared" si="46"/>
        <v>0</v>
      </c>
      <c r="AA143" s="861">
        <f t="shared" si="46"/>
        <v>0</v>
      </c>
      <c r="AB143" s="861">
        <f t="shared" si="45"/>
        <v>0</v>
      </c>
      <c r="AC143" s="861">
        <f t="shared" si="45"/>
        <v>0</v>
      </c>
      <c r="AD143" s="861">
        <f t="shared" si="45"/>
        <v>0</v>
      </c>
      <c r="AE143" s="861">
        <f t="shared" si="45"/>
        <v>0</v>
      </c>
      <c r="AF143" s="861">
        <f t="shared" si="45"/>
        <v>0</v>
      </c>
      <c r="AG143" s="861">
        <f t="shared" si="45"/>
        <v>1</v>
      </c>
      <c r="AH143" s="861">
        <f t="shared" si="50"/>
        <v>8.3333333333333329E-2</v>
      </c>
      <c r="AJ143" s="709"/>
      <c r="AK143" s="936">
        <f t="shared" ca="1" si="51"/>
        <v>0.87609678554352588</v>
      </c>
      <c r="AL143" s="861">
        <f t="shared" si="52"/>
        <v>1</v>
      </c>
      <c r="AM143" s="861">
        <v>5</v>
      </c>
      <c r="AN143" s="863">
        <f t="shared" si="53"/>
        <v>6</v>
      </c>
      <c r="AO143" s="936">
        <f t="shared" ca="1" si="54"/>
        <v>5.2565807132611555</v>
      </c>
      <c r="AP143" s="936">
        <f t="shared" ca="1" si="55"/>
        <v>32.576096785543527</v>
      </c>
      <c r="AQ143" s="936">
        <f t="shared" ca="1" si="56"/>
        <v>32.576096785543527</v>
      </c>
      <c r="AS143" s="936">
        <f>+IFERROR(VLOOKUP(C143,'Rural - Price Out '!$C:$F,3,FALSE),0)</f>
        <v>24</v>
      </c>
      <c r="AT143" s="909">
        <f t="shared" ca="1" si="57"/>
        <v>8.5760967855435268</v>
      </c>
    </row>
    <row r="144" spans="1:46" s="840" customFormat="1">
      <c r="A144" s="840" t="str">
        <f t="shared" si="48"/>
        <v>PacificCommercialDEL5TEMP-COMM</v>
      </c>
      <c r="B144" s="840">
        <f t="shared" si="47"/>
        <v>1</v>
      </c>
      <c r="C144" s="859" t="s">
        <v>2197</v>
      </c>
      <c r="D144" s="859" t="s">
        <v>2198</v>
      </c>
      <c r="E144" s="859">
        <v>31.7</v>
      </c>
      <c r="F144" s="859"/>
      <c r="G144" s="860"/>
      <c r="H144" s="861">
        <v>0</v>
      </c>
      <c r="I144" s="861">
        <v>0</v>
      </c>
      <c r="J144" s="861">
        <v>31.7</v>
      </c>
      <c r="K144" s="861">
        <v>0</v>
      </c>
      <c r="L144" s="861">
        <v>0</v>
      </c>
      <c r="M144" s="861">
        <v>0</v>
      </c>
      <c r="N144" s="861">
        <v>0</v>
      </c>
      <c r="O144" s="861">
        <v>0</v>
      </c>
      <c r="P144" s="861">
        <v>0</v>
      </c>
      <c r="Q144" s="861">
        <v>0</v>
      </c>
      <c r="R144" s="861">
        <v>0</v>
      </c>
      <c r="S144" s="861">
        <v>0</v>
      </c>
      <c r="T144" s="861">
        <f t="shared" si="49"/>
        <v>31.7</v>
      </c>
      <c r="U144" s="861"/>
      <c r="V144" s="861">
        <f t="shared" si="46"/>
        <v>0</v>
      </c>
      <c r="W144" s="861">
        <f t="shared" si="46"/>
        <v>0</v>
      </c>
      <c r="X144" s="861">
        <f t="shared" si="46"/>
        <v>1</v>
      </c>
      <c r="Y144" s="861">
        <f t="shared" si="46"/>
        <v>0</v>
      </c>
      <c r="Z144" s="861">
        <f t="shared" si="46"/>
        <v>0</v>
      </c>
      <c r="AA144" s="861">
        <f t="shared" si="46"/>
        <v>0</v>
      </c>
      <c r="AB144" s="861">
        <f t="shared" si="45"/>
        <v>0</v>
      </c>
      <c r="AC144" s="861">
        <f t="shared" si="45"/>
        <v>0</v>
      </c>
      <c r="AD144" s="861">
        <f t="shared" si="45"/>
        <v>0</v>
      </c>
      <c r="AE144" s="861">
        <f t="shared" si="45"/>
        <v>0</v>
      </c>
      <c r="AF144" s="861">
        <f t="shared" si="45"/>
        <v>0</v>
      </c>
      <c r="AG144" s="861">
        <f t="shared" si="45"/>
        <v>0</v>
      </c>
      <c r="AH144" s="861">
        <f t="shared" si="50"/>
        <v>8.3333333333333329E-2</v>
      </c>
      <c r="AJ144" s="709"/>
      <c r="AK144" s="936">
        <f t="shared" ca="1" si="51"/>
        <v>0.87609678554352588</v>
      </c>
      <c r="AL144" s="861">
        <f t="shared" si="52"/>
        <v>1</v>
      </c>
      <c r="AM144" s="861">
        <v>0</v>
      </c>
      <c r="AN144" s="863">
        <f t="shared" si="53"/>
        <v>1</v>
      </c>
      <c r="AO144" s="936">
        <f t="shared" ca="1" si="54"/>
        <v>0.87609678554352588</v>
      </c>
      <c r="AP144" s="936">
        <f t="shared" ca="1" si="55"/>
        <v>32.576096785543527</v>
      </c>
      <c r="AQ144" s="936">
        <f t="shared" ca="1" si="56"/>
        <v>32.576096785543527</v>
      </c>
      <c r="AS144" s="936">
        <f>+IFERROR(VLOOKUP(C144,'Rural - Price Out '!$C:$F,3,FALSE),0)</f>
        <v>0</v>
      </c>
      <c r="AT144" s="909">
        <f t="shared" ca="1" si="57"/>
        <v>32.576096785543527</v>
      </c>
    </row>
    <row r="145" spans="1:46" s="840" customFormat="1">
      <c r="A145" s="840" t="str">
        <f t="shared" si="48"/>
        <v>PacificCommercialDEL6TEMP-COMM</v>
      </c>
      <c r="B145" s="840">
        <f t="shared" si="47"/>
        <v>1</v>
      </c>
      <c r="C145" s="859" t="s">
        <v>2199</v>
      </c>
      <c r="D145" s="859" t="s">
        <v>2200</v>
      </c>
      <c r="E145" s="859">
        <v>31.7</v>
      </c>
      <c r="F145" s="859"/>
      <c r="G145" s="860"/>
      <c r="H145" s="861">
        <v>0</v>
      </c>
      <c r="I145" s="861">
        <v>158.5</v>
      </c>
      <c r="J145" s="861">
        <v>95.1</v>
      </c>
      <c r="K145" s="861">
        <v>31.7</v>
      </c>
      <c r="L145" s="861">
        <v>0</v>
      </c>
      <c r="M145" s="861">
        <v>0</v>
      </c>
      <c r="N145" s="861">
        <v>0</v>
      </c>
      <c r="O145" s="861">
        <v>0</v>
      </c>
      <c r="P145" s="861">
        <v>0</v>
      </c>
      <c r="Q145" s="861">
        <v>0</v>
      </c>
      <c r="R145" s="861">
        <v>0</v>
      </c>
      <c r="S145" s="861">
        <v>0</v>
      </c>
      <c r="T145" s="861">
        <f t="shared" si="49"/>
        <v>285.3</v>
      </c>
      <c r="U145" s="861"/>
      <c r="V145" s="861">
        <f t="shared" si="46"/>
        <v>0</v>
      </c>
      <c r="W145" s="861">
        <f t="shared" si="46"/>
        <v>5</v>
      </c>
      <c r="X145" s="861">
        <f t="shared" si="46"/>
        <v>3</v>
      </c>
      <c r="Y145" s="861">
        <f t="shared" si="46"/>
        <v>1</v>
      </c>
      <c r="Z145" s="861">
        <f t="shared" si="46"/>
        <v>0</v>
      </c>
      <c r="AA145" s="861">
        <f t="shared" si="46"/>
        <v>0</v>
      </c>
      <c r="AB145" s="861">
        <f t="shared" si="45"/>
        <v>0</v>
      </c>
      <c r="AC145" s="861">
        <f t="shared" si="45"/>
        <v>0</v>
      </c>
      <c r="AD145" s="861">
        <f t="shared" si="45"/>
        <v>0</v>
      </c>
      <c r="AE145" s="861">
        <f t="shared" si="45"/>
        <v>0</v>
      </c>
      <c r="AF145" s="861">
        <f t="shared" si="45"/>
        <v>0</v>
      </c>
      <c r="AG145" s="861">
        <f t="shared" si="45"/>
        <v>0</v>
      </c>
      <c r="AH145" s="861">
        <f t="shared" si="50"/>
        <v>0.75</v>
      </c>
      <c r="AJ145" s="709"/>
      <c r="AK145" s="936">
        <f t="shared" ca="1" si="51"/>
        <v>0.87609678554352588</v>
      </c>
      <c r="AL145" s="861">
        <f t="shared" si="52"/>
        <v>9</v>
      </c>
      <c r="AM145" s="861">
        <v>2</v>
      </c>
      <c r="AN145" s="863">
        <f t="shared" si="53"/>
        <v>11</v>
      </c>
      <c r="AO145" s="936">
        <f t="shared" ca="1" si="54"/>
        <v>9.6370646409787852</v>
      </c>
      <c r="AP145" s="936">
        <f t="shared" ca="1" si="55"/>
        <v>32.576096785543527</v>
      </c>
      <c r="AQ145" s="936">
        <f t="shared" ca="1" si="56"/>
        <v>293.18487106989176</v>
      </c>
      <c r="AS145" s="936">
        <f>+IFERROR(VLOOKUP(C145,'Rural - Price Out '!$C:$F,3,FALSE),0)</f>
        <v>39.6</v>
      </c>
      <c r="AT145" s="909">
        <f t="shared" ca="1" si="57"/>
        <v>-7.0239032144564746</v>
      </c>
    </row>
    <row r="146" spans="1:46" s="840" customFormat="1">
      <c r="A146" s="840" t="str">
        <f t="shared" si="48"/>
        <v>PacificCommercialDEL-COMM</v>
      </c>
      <c r="B146" s="840">
        <f t="shared" si="47"/>
        <v>1</v>
      </c>
      <c r="C146" s="859" t="s">
        <v>2201</v>
      </c>
      <c r="D146" s="859" t="s">
        <v>2202</v>
      </c>
      <c r="E146" s="859">
        <v>0</v>
      </c>
      <c r="F146" s="859"/>
      <c r="G146" s="860"/>
      <c r="H146" s="861">
        <v>0</v>
      </c>
      <c r="I146" s="861">
        <v>0</v>
      </c>
      <c r="J146" s="861">
        <v>0</v>
      </c>
      <c r="K146" s="861">
        <v>0</v>
      </c>
      <c r="L146" s="861">
        <v>0</v>
      </c>
      <c r="M146" s="861">
        <v>0</v>
      </c>
      <c r="N146" s="861">
        <v>0</v>
      </c>
      <c r="O146" s="861">
        <v>0</v>
      </c>
      <c r="P146" s="861">
        <v>0</v>
      </c>
      <c r="Q146" s="861">
        <v>16.8</v>
      </c>
      <c r="R146" s="861">
        <v>0</v>
      </c>
      <c r="S146" s="861">
        <v>0</v>
      </c>
      <c r="T146" s="861">
        <f t="shared" si="49"/>
        <v>16.8</v>
      </c>
      <c r="U146" s="861"/>
      <c r="V146" s="861">
        <f t="shared" si="46"/>
        <v>0</v>
      </c>
      <c r="W146" s="861">
        <f t="shared" si="46"/>
        <v>0</v>
      </c>
      <c r="X146" s="861">
        <f t="shared" si="46"/>
        <v>0</v>
      </c>
      <c r="Y146" s="861">
        <f t="shared" si="46"/>
        <v>0</v>
      </c>
      <c r="Z146" s="861">
        <f t="shared" si="46"/>
        <v>0</v>
      </c>
      <c r="AA146" s="861">
        <f t="shared" si="46"/>
        <v>0</v>
      </c>
      <c r="AB146" s="861">
        <f t="shared" si="46"/>
        <v>0</v>
      </c>
      <c r="AC146" s="861">
        <f t="shared" si="46"/>
        <v>0</v>
      </c>
      <c r="AD146" s="861">
        <f t="shared" si="46"/>
        <v>0</v>
      </c>
      <c r="AE146" s="861">
        <f t="shared" si="46"/>
        <v>0</v>
      </c>
      <c r="AF146" s="861">
        <f t="shared" si="46"/>
        <v>0</v>
      </c>
      <c r="AG146" s="861">
        <f t="shared" si="46"/>
        <v>0</v>
      </c>
      <c r="AH146" s="861">
        <f t="shared" si="50"/>
        <v>0</v>
      </c>
      <c r="AJ146" s="709"/>
      <c r="AK146" s="936">
        <f t="shared" ca="1" si="51"/>
        <v>0</v>
      </c>
      <c r="AL146" s="861">
        <f t="shared" si="52"/>
        <v>0</v>
      </c>
      <c r="AM146" s="861">
        <v>0</v>
      </c>
      <c r="AN146" s="863">
        <f t="shared" si="53"/>
        <v>0</v>
      </c>
      <c r="AO146" s="936">
        <f t="shared" ca="1" si="54"/>
        <v>0</v>
      </c>
      <c r="AP146" s="936">
        <f t="shared" ca="1" si="55"/>
        <v>0</v>
      </c>
      <c r="AQ146" s="936">
        <f t="shared" ca="1" si="56"/>
        <v>0</v>
      </c>
      <c r="AS146" s="936">
        <f>+IFERROR(VLOOKUP(C146,'Rural - Price Out '!$C:$F,3,FALSE),0)</f>
        <v>0</v>
      </c>
      <c r="AT146" s="909">
        <f t="shared" ca="1" si="57"/>
        <v>0</v>
      </c>
    </row>
    <row r="147" spans="1:46" s="840" customFormat="1">
      <c r="A147" s="840" t="str">
        <f t="shared" si="48"/>
        <v>PacificCommercialDISP-COMM</v>
      </c>
      <c r="B147" s="840">
        <f t="shared" si="47"/>
        <v>1</v>
      </c>
      <c r="C147" s="859" t="s">
        <v>2203</v>
      </c>
      <c r="D147" s="859" t="s">
        <v>2204</v>
      </c>
      <c r="E147" s="859">
        <v>0</v>
      </c>
      <c r="F147" s="859"/>
      <c r="G147" s="860"/>
      <c r="H147" s="861">
        <v>18</v>
      </c>
      <c r="I147" s="861">
        <v>0</v>
      </c>
      <c r="J147" s="861">
        <v>0</v>
      </c>
      <c r="K147" s="861">
        <v>248</v>
      </c>
      <c r="L147" s="861">
        <v>0</v>
      </c>
      <c r="M147" s="861">
        <v>0</v>
      </c>
      <c r="N147" s="861">
        <v>0</v>
      </c>
      <c r="O147" s="861">
        <v>0</v>
      </c>
      <c r="P147" s="861">
        <v>0</v>
      </c>
      <c r="Q147" s="861">
        <v>0</v>
      </c>
      <c r="R147" s="861">
        <v>75</v>
      </c>
      <c r="S147" s="861">
        <v>42</v>
      </c>
      <c r="T147" s="861">
        <f t="shared" si="49"/>
        <v>383</v>
      </c>
      <c r="U147" s="861"/>
      <c r="V147" s="861">
        <f t="shared" si="46"/>
        <v>0</v>
      </c>
      <c r="W147" s="861">
        <f t="shared" si="46"/>
        <v>0</v>
      </c>
      <c r="X147" s="861">
        <f t="shared" si="46"/>
        <v>0</v>
      </c>
      <c r="Y147" s="861">
        <f t="shared" si="46"/>
        <v>0</v>
      </c>
      <c r="Z147" s="861">
        <f t="shared" si="46"/>
        <v>0</v>
      </c>
      <c r="AA147" s="861">
        <f t="shared" si="46"/>
        <v>0</v>
      </c>
      <c r="AB147" s="861">
        <f t="shared" si="46"/>
        <v>0</v>
      </c>
      <c r="AC147" s="861">
        <f t="shared" si="46"/>
        <v>0</v>
      </c>
      <c r="AD147" s="861">
        <f t="shared" si="46"/>
        <v>0</v>
      </c>
      <c r="AE147" s="861">
        <f t="shared" si="46"/>
        <v>0</v>
      </c>
      <c r="AF147" s="861">
        <f t="shared" si="46"/>
        <v>0</v>
      </c>
      <c r="AG147" s="861">
        <f t="shared" si="46"/>
        <v>0</v>
      </c>
      <c r="AH147" s="861">
        <f t="shared" si="50"/>
        <v>0</v>
      </c>
      <c r="AJ147" s="709"/>
      <c r="AK147" s="936">
        <f t="shared" ca="1" si="51"/>
        <v>0</v>
      </c>
      <c r="AL147" s="861">
        <f t="shared" si="52"/>
        <v>0</v>
      </c>
      <c r="AM147" s="861">
        <v>0</v>
      </c>
      <c r="AN147" s="863">
        <f t="shared" si="53"/>
        <v>0</v>
      </c>
      <c r="AO147" s="936">
        <f t="shared" ca="1" si="54"/>
        <v>0</v>
      </c>
      <c r="AP147" s="936">
        <f t="shared" ca="1" si="55"/>
        <v>0</v>
      </c>
      <c r="AQ147" s="936">
        <f t="shared" ca="1" si="56"/>
        <v>0</v>
      </c>
      <c r="AS147" s="936">
        <f>+IFERROR(VLOOKUP(C147,'Rural - Price Out '!$C:$F,3,FALSE),0)</f>
        <v>0</v>
      </c>
      <c r="AT147" s="909">
        <f t="shared" ca="1" si="57"/>
        <v>0</v>
      </c>
    </row>
    <row r="148" spans="1:46" s="840" customFormat="1">
      <c r="A148" s="840" t="str">
        <f t="shared" si="48"/>
        <v>PacificCommercialDRIVEIN-COMM</v>
      </c>
      <c r="B148" s="840">
        <f t="shared" si="47"/>
        <v>1</v>
      </c>
      <c r="C148" s="859" t="s">
        <v>2205</v>
      </c>
      <c r="D148" s="859" t="s">
        <v>2206</v>
      </c>
      <c r="E148" s="859">
        <v>6.28</v>
      </c>
      <c r="F148" s="859"/>
      <c r="G148" s="860"/>
      <c r="H148" s="861">
        <v>131.88</v>
      </c>
      <c r="I148" s="861">
        <v>131.88</v>
      </c>
      <c r="J148" s="861">
        <v>131.88</v>
      </c>
      <c r="K148" s="861">
        <v>134.39000000000001</v>
      </c>
      <c r="L148" s="861">
        <v>141.30000000000001</v>
      </c>
      <c r="M148" s="861">
        <v>138.16</v>
      </c>
      <c r="N148" s="861">
        <v>138.16</v>
      </c>
      <c r="O148" s="861">
        <v>138.16</v>
      </c>
      <c r="P148" s="861">
        <v>138.16</v>
      </c>
      <c r="Q148" s="861">
        <v>138.16</v>
      </c>
      <c r="R148" s="861">
        <v>138.16</v>
      </c>
      <c r="S148" s="861">
        <v>138.16</v>
      </c>
      <c r="T148" s="861">
        <f t="shared" si="49"/>
        <v>1638.4500000000003</v>
      </c>
      <c r="U148" s="861"/>
      <c r="V148" s="861">
        <f t="shared" si="46"/>
        <v>21</v>
      </c>
      <c r="W148" s="861">
        <f t="shared" si="46"/>
        <v>21</v>
      </c>
      <c r="X148" s="861">
        <f t="shared" si="46"/>
        <v>21</v>
      </c>
      <c r="Y148" s="861">
        <f t="shared" si="46"/>
        <v>21.399681528662423</v>
      </c>
      <c r="Z148" s="861">
        <f t="shared" si="46"/>
        <v>22.5</v>
      </c>
      <c r="AA148" s="861">
        <f t="shared" si="46"/>
        <v>22</v>
      </c>
      <c r="AB148" s="861">
        <f t="shared" si="46"/>
        <v>22</v>
      </c>
      <c r="AC148" s="861">
        <f t="shared" si="46"/>
        <v>22</v>
      </c>
      <c r="AD148" s="861">
        <f t="shared" si="46"/>
        <v>22</v>
      </c>
      <c r="AE148" s="861">
        <f t="shared" si="46"/>
        <v>22</v>
      </c>
      <c r="AF148" s="861">
        <f t="shared" si="46"/>
        <v>22</v>
      </c>
      <c r="AG148" s="861">
        <f t="shared" si="46"/>
        <v>22</v>
      </c>
      <c r="AH148" s="861">
        <f t="shared" si="50"/>
        <v>21.741640127388536</v>
      </c>
      <c r="AJ148" s="709"/>
      <c r="AK148" s="936">
        <f t="shared" ca="1" si="51"/>
        <v>0.17356112975436414</v>
      </c>
      <c r="AL148" s="861">
        <f t="shared" si="52"/>
        <v>260.89968152866243</v>
      </c>
      <c r="AM148" s="861">
        <v>36</v>
      </c>
      <c r="AN148" s="863">
        <f t="shared" si="53"/>
        <v>296.89968152866243</v>
      </c>
      <c r="AO148" s="936">
        <f t="shared" ca="1" si="54"/>
        <v>51.53024414982557</v>
      </c>
      <c r="AP148" s="936">
        <f t="shared" ca="1" si="55"/>
        <v>6.4535611297543642</v>
      </c>
      <c r="AQ148" s="936">
        <f t="shared" ca="1" si="56"/>
        <v>1683.7320434786686</v>
      </c>
      <c r="AS148" s="936">
        <f>+IFERROR(VLOOKUP(C148,'Rural - Price Out '!$C:$F,3,FALSE),0)</f>
        <v>6.5</v>
      </c>
      <c r="AT148" s="909">
        <f t="shared" ca="1" si="57"/>
        <v>-4.6438870245635755E-2</v>
      </c>
    </row>
    <row r="149" spans="1:46" s="840" customFormat="1">
      <c r="A149" s="840" t="str">
        <f t="shared" si="48"/>
        <v>PacificCommercialEP1.5-COMM</v>
      </c>
      <c r="B149" s="840">
        <f t="shared" si="47"/>
        <v>1</v>
      </c>
      <c r="C149" s="859" t="s">
        <v>2207</v>
      </c>
      <c r="D149" s="859" t="s">
        <v>2208</v>
      </c>
      <c r="E149" s="859">
        <v>25.58</v>
      </c>
      <c r="F149" s="859"/>
      <c r="G149" s="860"/>
      <c r="H149" s="861">
        <v>25.58</v>
      </c>
      <c r="I149" s="861">
        <v>76.739999999999995</v>
      </c>
      <c r="J149" s="861">
        <v>204.64</v>
      </c>
      <c r="K149" s="861">
        <v>153.47999999999999</v>
      </c>
      <c r="L149" s="861">
        <v>76.739999999999995</v>
      </c>
      <c r="M149" s="861">
        <v>25.58</v>
      </c>
      <c r="N149" s="861">
        <v>25.58</v>
      </c>
      <c r="O149" s="861">
        <v>51.16</v>
      </c>
      <c r="P149" s="861">
        <v>76.739999999999995</v>
      </c>
      <c r="Q149" s="861">
        <v>0</v>
      </c>
      <c r="R149" s="861">
        <v>0</v>
      </c>
      <c r="S149" s="861">
        <v>25.58</v>
      </c>
      <c r="T149" s="861">
        <f t="shared" si="49"/>
        <v>741.82</v>
      </c>
      <c r="U149" s="861"/>
      <c r="V149" s="861">
        <f t="shared" si="46"/>
        <v>1</v>
      </c>
      <c r="W149" s="861">
        <f t="shared" si="46"/>
        <v>3</v>
      </c>
      <c r="X149" s="861">
        <f t="shared" si="46"/>
        <v>8</v>
      </c>
      <c r="Y149" s="861">
        <f t="shared" si="46"/>
        <v>6</v>
      </c>
      <c r="Z149" s="861">
        <f t="shared" si="46"/>
        <v>3</v>
      </c>
      <c r="AA149" s="861">
        <f t="shared" si="46"/>
        <v>1</v>
      </c>
      <c r="AB149" s="861">
        <f t="shared" si="46"/>
        <v>1</v>
      </c>
      <c r="AC149" s="861">
        <f t="shared" si="46"/>
        <v>2</v>
      </c>
      <c r="AD149" s="861">
        <f t="shared" si="46"/>
        <v>3</v>
      </c>
      <c r="AE149" s="861">
        <f t="shared" si="46"/>
        <v>0</v>
      </c>
      <c r="AF149" s="861">
        <f t="shared" si="46"/>
        <v>0</v>
      </c>
      <c r="AG149" s="861">
        <f t="shared" si="46"/>
        <v>1</v>
      </c>
      <c r="AH149" s="861">
        <f t="shared" si="50"/>
        <v>2.4166666666666665</v>
      </c>
      <c r="AJ149" s="709"/>
      <c r="AK149" s="936">
        <f t="shared" ca="1" si="51"/>
        <v>0.70695759540073788</v>
      </c>
      <c r="AL149" s="861">
        <f t="shared" si="52"/>
        <v>29</v>
      </c>
      <c r="AM149" s="861">
        <v>1</v>
      </c>
      <c r="AN149" s="863">
        <f t="shared" si="53"/>
        <v>30</v>
      </c>
      <c r="AO149" s="936">
        <f t="shared" ca="1" si="54"/>
        <v>21.208727862022137</v>
      </c>
      <c r="AP149" s="936">
        <f t="shared" ca="1" si="55"/>
        <v>26.286957595400736</v>
      </c>
      <c r="AQ149" s="936">
        <f t="shared" ca="1" si="56"/>
        <v>762.32177026662134</v>
      </c>
      <c r="AS149" s="936">
        <f>+IFERROR(VLOOKUP(C149,'Rural - Price Out '!$C:$F,3,FALSE),0)</f>
        <v>32.049999999999997</v>
      </c>
      <c r="AT149" s="909">
        <f t="shared" ca="1" si="57"/>
        <v>-5.7630424045992612</v>
      </c>
    </row>
    <row r="150" spans="1:46" s="840" customFormat="1">
      <c r="A150" s="840" t="str">
        <f t="shared" si="48"/>
        <v>PacificCommercialEP1-COMM</v>
      </c>
      <c r="B150" s="840">
        <f t="shared" si="47"/>
        <v>1</v>
      </c>
      <c r="C150" s="859" t="s">
        <v>2209</v>
      </c>
      <c r="D150" s="859" t="s">
        <v>2210</v>
      </c>
      <c r="E150" s="859">
        <v>19.72</v>
      </c>
      <c r="F150" s="859"/>
      <c r="G150" s="860"/>
      <c r="H150" s="861">
        <v>138.04</v>
      </c>
      <c r="I150" s="861">
        <v>78.88</v>
      </c>
      <c r="J150" s="861">
        <v>59.16</v>
      </c>
      <c r="K150" s="861">
        <v>19.72</v>
      </c>
      <c r="L150" s="861">
        <v>59.16</v>
      </c>
      <c r="M150" s="861">
        <v>19.72</v>
      </c>
      <c r="N150" s="861">
        <v>138.04</v>
      </c>
      <c r="O150" s="861">
        <v>59.16</v>
      </c>
      <c r="P150" s="861">
        <v>0</v>
      </c>
      <c r="Q150" s="861">
        <v>19.72</v>
      </c>
      <c r="R150" s="861">
        <v>59.16</v>
      </c>
      <c r="S150" s="861">
        <v>39.44</v>
      </c>
      <c r="T150" s="861">
        <f t="shared" si="49"/>
        <v>690.19999999999982</v>
      </c>
      <c r="U150" s="861"/>
      <c r="V150" s="861">
        <f t="shared" si="46"/>
        <v>7</v>
      </c>
      <c r="W150" s="861">
        <f t="shared" si="46"/>
        <v>4</v>
      </c>
      <c r="X150" s="861">
        <f t="shared" si="46"/>
        <v>3</v>
      </c>
      <c r="Y150" s="861">
        <f t="shared" si="46"/>
        <v>1</v>
      </c>
      <c r="Z150" s="861">
        <f t="shared" si="46"/>
        <v>3</v>
      </c>
      <c r="AA150" s="861">
        <f t="shared" si="46"/>
        <v>1</v>
      </c>
      <c r="AB150" s="861">
        <f t="shared" si="46"/>
        <v>7</v>
      </c>
      <c r="AC150" s="861">
        <f t="shared" si="46"/>
        <v>3</v>
      </c>
      <c r="AD150" s="861">
        <f t="shared" si="46"/>
        <v>0</v>
      </c>
      <c r="AE150" s="861">
        <f t="shared" si="46"/>
        <v>1</v>
      </c>
      <c r="AF150" s="861">
        <f t="shared" si="46"/>
        <v>3</v>
      </c>
      <c r="AG150" s="861">
        <f t="shared" si="46"/>
        <v>2</v>
      </c>
      <c r="AH150" s="861">
        <f t="shared" si="50"/>
        <v>2.9166666666666665</v>
      </c>
      <c r="AJ150" s="709"/>
      <c r="AK150" s="936">
        <f t="shared" ca="1" si="51"/>
        <v>0.54500405712676125</v>
      </c>
      <c r="AL150" s="861">
        <f t="shared" si="52"/>
        <v>35</v>
      </c>
      <c r="AM150" s="861">
        <v>23</v>
      </c>
      <c r="AN150" s="863">
        <f t="shared" si="53"/>
        <v>58</v>
      </c>
      <c r="AO150" s="936">
        <f t="shared" ca="1" si="54"/>
        <v>31.610235313352153</v>
      </c>
      <c r="AP150" s="936">
        <f t="shared" ca="1" si="55"/>
        <v>20.26500405712676</v>
      </c>
      <c r="AQ150" s="936">
        <f t="shared" ca="1" si="56"/>
        <v>709.27514199943653</v>
      </c>
      <c r="AS150" s="936">
        <f>+IFERROR(VLOOKUP(C150,'Rural - Price Out '!$C:$F,3,FALSE),0)</f>
        <v>20.190000000000001</v>
      </c>
      <c r="AT150" s="909">
        <f t="shared" ca="1" si="57"/>
        <v>7.5004057126758283E-2</v>
      </c>
    </row>
    <row r="151" spans="1:46" s="840" customFormat="1">
      <c r="A151" s="840" t="str">
        <f t="shared" si="48"/>
        <v>PacificCommercialEP2CMP-COMM</v>
      </c>
      <c r="B151" s="840">
        <f t="shared" si="47"/>
        <v>1</v>
      </c>
      <c r="C151" s="859" t="s">
        <v>2211</v>
      </c>
      <c r="D151" s="859" t="s">
        <v>2212</v>
      </c>
      <c r="E151" s="859">
        <v>83.19</v>
      </c>
      <c r="F151" s="859"/>
      <c r="G151" s="860"/>
      <c r="H151" s="861">
        <v>0</v>
      </c>
      <c r="I151" s="861">
        <v>83.19</v>
      </c>
      <c r="J151" s="861">
        <v>0</v>
      </c>
      <c r="K151" s="861">
        <v>0</v>
      </c>
      <c r="L151" s="861">
        <v>0</v>
      </c>
      <c r="M151" s="861">
        <v>0</v>
      </c>
      <c r="N151" s="861">
        <v>0</v>
      </c>
      <c r="O151" s="861">
        <v>0</v>
      </c>
      <c r="P151" s="861">
        <v>0</v>
      </c>
      <c r="Q151" s="861">
        <v>0</v>
      </c>
      <c r="R151" s="861">
        <v>0</v>
      </c>
      <c r="S151" s="861">
        <v>0</v>
      </c>
      <c r="T151" s="861">
        <f t="shared" si="49"/>
        <v>83.19</v>
      </c>
      <c r="U151" s="861"/>
      <c r="V151" s="861">
        <f t="shared" ref="V151:AG172" si="58">IFERROR(H151/$E151,0)</f>
        <v>0</v>
      </c>
      <c r="W151" s="861">
        <f t="shared" si="58"/>
        <v>1</v>
      </c>
      <c r="X151" s="861">
        <f t="shared" si="58"/>
        <v>0</v>
      </c>
      <c r="Y151" s="861">
        <f t="shared" si="58"/>
        <v>0</v>
      </c>
      <c r="Z151" s="861">
        <f t="shared" si="58"/>
        <v>0</v>
      </c>
      <c r="AA151" s="861">
        <f t="shared" si="58"/>
        <v>0</v>
      </c>
      <c r="AB151" s="861">
        <f t="shared" si="58"/>
        <v>0</v>
      </c>
      <c r="AC151" s="861">
        <f t="shared" si="58"/>
        <v>0</v>
      </c>
      <c r="AD151" s="861">
        <f t="shared" si="58"/>
        <v>0</v>
      </c>
      <c r="AE151" s="861">
        <f t="shared" si="58"/>
        <v>0</v>
      </c>
      <c r="AF151" s="861">
        <f t="shared" si="58"/>
        <v>0</v>
      </c>
      <c r="AG151" s="861">
        <f t="shared" si="58"/>
        <v>0</v>
      </c>
      <c r="AH151" s="861">
        <f t="shared" si="50"/>
        <v>8.3333333333333329E-2</v>
      </c>
      <c r="AJ151" s="709"/>
      <c r="AK151" s="936">
        <f t="shared" ca="1" si="51"/>
        <v>2.2991322267938776</v>
      </c>
      <c r="AL151" s="861">
        <f t="shared" si="52"/>
        <v>1</v>
      </c>
      <c r="AM151" s="861">
        <v>0</v>
      </c>
      <c r="AN151" s="863">
        <f t="shared" si="53"/>
        <v>1</v>
      </c>
      <c r="AO151" s="936">
        <f t="shared" ca="1" si="54"/>
        <v>2.2991322267938776</v>
      </c>
      <c r="AP151" s="936">
        <f t="shared" ca="1" si="55"/>
        <v>85.48913222679387</v>
      </c>
      <c r="AQ151" s="936">
        <f t="shared" ca="1" si="56"/>
        <v>85.48913222679387</v>
      </c>
      <c r="AS151" s="936">
        <f>+IFERROR(VLOOKUP(C151,'Rural - Price Out '!$C:$F,3,FALSE),0)</f>
        <v>0</v>
      </c>
      <c r="AT151" s="909">
        <f t="shared" ca="1" si="57"/>
        <v>85.48913222679387</v>
      </c>
    </row>
    <row r="152" spans="1:46" s="840" customFormat="1">
      <c r="A152" s="840" t="str">
        <f t="shared" si="48"/>
        <v>PacificCommercialEP2-COMM</v>
      </c>
      <c r="B152" s="840">
        <f t="shared" si="47"/>
        <v>1</v>
      </c>
      <c r="C152" s="859" t="s">
        <v>2213</v>
      </c>
      <c r="D152" s="859" t="s">
        <v>2214</v>
      </c>
      <c r="E152" s="859">
        <v>31.7</v>
      </c>
      <c r="F152" s="859"/>
      <c r="G152" s="860"/>
      <c r="H152" s="861">
        <v>126.8</v>
      </c>
      <c r="I152" s="861">
        <v>285.29999999999995</v>
      </c>
      <c r="J152" s="861">
        <v>126.8</v>
      </c>
      <c r="K152" s="861">
        <v>190.2</v>
      </c>
      <c r="L152" s="861">
        <v>126.8</v>
      </c>
      <c r="M152" s="861">
        <v>126.8</v>
      </c>
      <c r="N152" s="861">
        <v>221.89999999999998</v>
      </c>
      <c r="O152" s="861">
        <v>95.1</v>
      </c>
      <c r="P152" s="861">
        <v>126.8</v>
      </c>
      <c r="Q152" s="861">
        <v>0</v>
      </c>
      <c r="R152" s="861">
        <v>126.8</v>
      </c>
      <c r="S152" s="861">
        <v>63.4</v>
      </c>
      <c r="T152" s="861">
        <f t="shared" si="49"/>
        <v>1616.6999999999998</v>
      </c>
      <c r="U152" s="861"/>
      <c r="V152" s="861">
        <f t="shared" si="58"/>
        <v>4</v>
      </c>
      <c r="W152" s="861">
        <f t="shared" si="58"/>
        <v>8.9999999999999982</v>
      </c>
      <c r="X152" s="861">
        <f t="shared" si="58"/>
        <v>4</v>
      </c>
      <c r="Y152" s="861">
        <f t="shared" si="58"/>
        <v>6</v>
      </c>
      <c r="Z152" s="861">
        <f t="shared" si="58"/>
        <v>4</v>
      </c>
      <c r="AA152" s="861">
        <f t="shared" si="58"/>
        <v>4</v>
      </c>
      <c r="AB152" s="861">
        <f t="shared" si="58"/>
        <v>6.9999999999999991</v>
      </c>
      <c r="AC152" s="861">
        <f t="shared" si="58"/>
        <v>3</v>
      </c>
      <c r="AD152" s="861">
        <f t="shared" si="58"/>
        <v>4</v>
      </c>
      <c r="AE152" s="861">
        <f t="shared" si="58"/>
        <v>0</v>
      </c>
      <c r="AF152" s="861">
        <f t="shared" si="58"/>
        <v>4</v>
      </c>
      <c r="AG152" s="861">
        <f t="shared" si="58"/>
        <v>2</v>
      </c>
      <c r="AH152" s="861">
        <f t="shared" si="50"/>
        <v>4.25</v>
      </c>
      <c r="AJ152" s="709"/>
      <c r="AK152" s="936">
        <f t="shared" ca="1" si="51"/>
        <v>0.87609678554352588</v>
      </c>
      <c r="AL152" s="861">
        <f t="shared" si="52"/>
        <v>51</v>
      </c>
      <c r="AM152" s="861">
        <v>4</v>
      </c>
      <c r="AN152" s="863">
        <f t="shared" si="53"/>
        <v>55</v>
      </c>
      <c r="AO152" s="936">
        <f t="shared" ca="1" si="54"/>
        <v>48.185323204893926</v>
      </c>
      <c r="AP152" s="936">
        <f t="shared" ca="1" si="55"/>
        <v>32.576096785543527</v>
      </c>
      <c r="AQ152" s="936">
        <f t="shared" ca="1" si="56"/>
        <v>1661.3809360627199</v>
      </c>
      <c r="AS152" s="936">
        <f>+IFERROR(VLOOKUP(C152,'Rural - Price Out '!$C:$F,3,FALSE),0)</f>
        <v>35.74</v>
      </c>
      <c r="AT152" s="909">
        <f t="shared" ca="1" si="57"/>
        <v>-3.1639032144564752</v>
      </c>
    </row>
    <row r="153" spans="1:46" s="840" customFormat="1" ht="12">
      <c r="A153" s="840" t="str">
        <f t="shared" si="48"/>
        <v>PacificCommercialEP3-COMM</v>
      </c>
      <c r="B153" s="840">
        <f t="shared" si="47"/>
        <v>1</v>
      </c>
      <c r="C153" s="859" t="s">
        <v>2215</v>
      </c>
      <c r="D153" s="859" t="s">
        <v>2216</v>
      </c>
      <c r="E153" s="859">
        <v>46.41</v>
      </c>
      <c r="F153" s="859"/>
      <c r="G153" s="860"/>
      <c r="H153" s="861">
        <v>278.46000000000004</v>
      </c>
      <c r="I153" s="861">
        <v>185.64</v>
      </c>
      <c r="J153" s="861">
        <v>232.04999999999998</v>
      </c>
      <c r="K153" s="861">
        <v>603.32999999999993</v>
      </c>
      <c r="L153" s="861">
        <v>92.82</v>
      </c>
      <c r="M153" s="861">
        <v>278.45999999999998</v>
      </c>
      <c r="N153" s="861">
        <v>46.41</v>
      </c>
      <c r="O153" s="861">
        <v>278.46000000000004</v>
      </c>
      <c r="P153" s="861">
        <v>185.64</v>
      </c>
      <c r="Q153" s="861">
        <v>92.82</v>
      </c>
      <c r="R153" s="861">
        <v>92.82</v>
      </c>
      <c r="S153" s="861">
        <v>232.04999999999998</v>
      </c>
      <c r="T153" s="861">
        <f t="shared" si="49"/>
        <v>2598.9600000000005</v>
      </c>
      <c r="U153" s="861"/>
      <c r="V153" s="861">
        <f t="shared" si="58"/>
        <v>6.0000000000000009</v>
      </c>
      <c r="W153" s="861">
        <f t="shared" si="58"/>
        <v>4</v>
      </c>
      <c r="X153" s="861">
        <f t="shared" si="58"/>
        <v>5</v>
      </c>
      <c r="Y153" s="861">
        <f t="shared" si="58"/>
        <v>13</v>
      </c>
      <c r="Z153" s="861">
        <f t="shared" si="58"/>
        <v>2</v>
      </c>
      <c r="AA153" s="861">
        <f t="shared" si="58"/>
        <v>6</v>
      </c>
      <c r="AB153" s="861">
        <f t="shared" si="58"/>
        <v>1</v>
      </c>
      <c r="AC153" s="861">
        <f t="shared" si="58"/>
        <v>6.0000000000000009</v>
      </c>
      <c r="AD153" s="861">
        <f t="shared" si="58"/>
        <v>4</v>
      </c>
      <c r="AE153" s="861">
        <f t="shared" si="58"/>
        <v>2</v>
      </c>
      <c r="AF153" s="861">
        <f t="shared" si="58"/>
        <v>2</v>
      </c>
      <c r="AG153" s="861">
        <f t="shared" si="58"/>
        <v>5</v>
      </c>
      <c r="AH153" s="861">
        <f t="shared" si="50"/>
        <v>4.666666666666667</v>
      </c>
      <c r="AK153" s="936">
        <f t="shared" ca="1" si="51"/>
        <v>1.2826388585828088</v>
      </c>
      <c r="AL153" s="861">
        <f t="shared" si="52"/>
        <v>56</v>
      </c>
      <c r="AM153" s="861">
        <v>1</v>
      </c>
      <c r="AN153" s="863">
        <f t="shared" si="53"/>
        <v>57</v>
      </c>
      <c r="AO153" s="936">
        <f t="shared" ca="1" si="54"/>
        <v>73.110414939220107</v>
      </c>
      <c r="AP153" s="936">
        <f t="shared" ca="1" si="55"/>
        <v>47.692638858582804</v>
      </c>
      <c r="AQ153" s="936">
        <f t="shared" ca="1" si="56"/>
        <v>2670.7877760806373</v>
      </c>
      <c r="AS153" s="936">
        <f>+IFERROR(VLOOKUP(C153,'Rural - Price Out '!$C:$F,3,FALSE),0)</f>
        <v>52.12</v>
      </c>
      <c r="AT153" s="909">
        <f t="shared" ca="1" si="57"/>
        <v>-4.4273611414171938</v>
      </c>
    </row>
    <row r="154" spans="1:46" s="840" customFormat="1">
      <c r="A154" s="840" t="str">
        <f t="shared" si="48"/>
        <v>PacificCommercialEP4CMP-COMM</v>
      </c>
      <c r="B154" s="840">
        <f t="shared" si="47"/>
        <v>1</v>
      </c>
      <c r="C154" s="859" t="s">
        <v>2217</v>
      </c>
      <c r="D154" s="859" t="s">
        <v>2218</v>
      </c>
      <c r="E154" s="859">
        <v>138.38999999999999</v>
      </c>
      <c r="F154" s="859"/>
      <c r="G154" s="860"/>
      <c r="H154" s="861">
        <v>138.38999999999999</v>
      </c>
      <c r="I154" s="861">
        <v>0</v>
      </c>
      <c r="J154" s="861">
        <v>0</v>
      </c>
      <c r="K154" s="861">
        <v>0</v>
      </c>
      <c r="L154" s="861">
        <v>0</v>
      </c>
      <c r="M154" s="861">
        <v>415.17</v>
      </c>
      <c r="N154" s="861">
        <v>-415.17</v>
      </c>
      <c r="O154" s="861">
        <v>138.38999999999999</v>
      </c>
      <c r="P154" s="861">
        <v>0</v>
      </c>
      <c r="Q154" s="861">
        <v>0</v>
      </c>
      <c r="R154" s="861">
        <v>0</v>
      </c>
      <c r="S154" s="861">
        <v>0</v>
      </c>
      <c r="T154" s="861">
        <f t="shared" si="49"/>
        <v>276.77999999999992</v>
      </c>
      <c r="U154" s="861"/>
      <c r="V154" s="861">
        <f t="shared" si="58"/>
        <v>1</v>
      </c>
      <c r="W154" s="861">
        <f t="shared" si="58"/>
        <v>0</v>
      </c>
      <c r="X154" s="861">
        <f t="shared" si="58"/>
        <v>0</v>
      </c>
      <c r="Y154" s="861">
        <f t="shared" si="58"/>
        <v>0</v>
      </c>
      <c r="Z154" s="861">
        <f t="shared" si="58"/>
        <v>0</v>
      </c>
      <c r="AA154" s="861">
        <f t="shared" si="58"/>
        <v>3.0000000000000004</v>
      </c>
      <c r="AB154" s="861">
        <f t="shared" si="58"/>
        <v>-3.0000000000000004</v>
      </c>
      <c r="AC154" s="861">
        <f t="shared" si="58"/>
        <v>1</v>
      </c>
      <c r="AD154" s="861">
        <f t="shared" si="58"/>
        <v>0</v>
      </c>
      <c r="AE154" s="861">
        <f t="shared" si="58"/>
        <v>0</v>
      </c>
      <c r="AF154" s="861">
        <f t="shared" si="58"/>
        <v>0</v>
      </c>
      <c r="AG154" s="861">
        <f t="shared" si="58"/>
        <v>0</v>
      </c>
      <c r="AH154" s="861">
        <f t="shared" si="50"/>
        <v>0.16666666666666663</v>
      </c>
      <c r="AJ154" s="709"/>
      <c r="AK154" s="936">
        <f t="shared" ca="1" si="51"/>
        <v>3.824701392787651</v>
      </c>
      <c r="AL154" s="861">
        <f t="shared" si="52"/>
        <v>1.9999999999999996</v>
      </c>
      <c r="AM154" s="861">
        <v>0</v>
      </c>
      <c r="AN154" s="863">
        <f t="shared" si="53"/>
        <v>1.9999999999999996</v>
      </c>
      <c r="AO154" s="936">
        <f t="shared" ca="1" si="54"/>
        <v>7.6494027855753002</v>
      </c>
      <c r="AP154" s="936">
        <f t="shared" ca="1" si="55"/>
        <v>142.21470139278765</v>
      </c>
      <c r="AQ154" s="936">
        <f t="shared" ca="1" si="56"/>
        <v>284.42940278557523</v>
      </c>
      <c r="AS154" s="936">
        <f>+IFERROR(VLOOKUP(C154,'Rural - Price Out '!$C:$F,3,FALSE),0)</f>
        <v>0</v>
      </c>
      <c r="AT154" s="909">
        <f t="shared" ca="1" si="57"/>
        <v>142.21470139278765</v>
      </c>
    </row>
    <row r="155" spans="1:46" s="840" customFormat="1">
      <c r="A155" s="840" t="str">
        <f t="shared" si="48"/>
        <v>PacificCommercialEP4-COMM</v>
      </c>
      <c r="B155" s="840">
        <f t="shared" si="47"/>
        <v>1</v>
      </c>
      <c r="C155" s="859" t="s">
        <v>2219</v>
      </c>
      <c r="D155" s="859" t="s">
        <v>2220</v>
      </c>
      <c r="E155" s="859">
        <v>56.92</v>
      </c>
      <c r="F155" s="859"/>
      <c r="G155" s="860"/>
      <c r="H155" s="861">
        <v>967.64</v>
      </c>
      <c r="I155" s="861">
        <v>569.20000000000005</v>
      </c>
      <c r="J155" s="861">
        <v>683.04</v>
      </c>
      <c r="K155" s="861">
        <v>1195.32</v>
      </c>
      <c r="L155" s="861">
        <v>569.20000000000005</v>
      </c>
      <c r="M155" s="861">
        <v>569.19999999999993</v>
      </c>
      <c r="N155" s="861">
        <v>683.04000000000008</v>
      </c>
      <c r="O155" s="861">
        <v>796.88</v>
      </c>
      <c r="P155" s="861">
        <v>512.28</v>
      </c>
      <c r="Q155" s="861">
        <v>683.04000000000008</v>
      </c>
      <c r="R155" s="861">
        <v>455.36</v>
      </c>
      <c r="S155" s="861">
        <v>683.04000000000008</v>
      </c>
      <c r="T155" s="861">
        <f t="shared" si="49"/>
        <v>8367.24</v>
      </c>
      <c r="U155" s="861"/>
      <c r="V155" s="861">
        <f t="shared" si="58"/>
        <v>17</v>
      </c>
      <c r="W155" s="861">
        <f t="shared" si="58"/>
        <v>10</v>
      </c>
      <c r="X155" s="861">
        <f t="shared" si="58"/>
        <v>11.999999999999998</v>
      </c>
      <c r="Y155" s="861">
        <f t="shared" si="58"/>
        <v>21</v>
      </c>
      <c r="Z155" s="861">
        <f t="shared" si="58"/>
        <v>10</v>
      </c>
      <c r="AA155" s="861">
        <f t="shared" si="58"/>
        <v>9.9999999999999982</v>
      </c>
      <c r="AB155" s="861">
        <f t="shared" si="58"/>
        <v>12.000000000000002</v>
      </c>
      <c r="AC155" s="861">
        <f t="shared" si="58"/>
        <v>14</v>
      </c>
      <c r="AD155" s="861">
        <f t="shared" si="58"/>
        <v>9</v>
      </c>
      <c r="AE155" s="861">
        <f t="shared" si="58"/>
        <v>12.000000000000002</v>
      </c>
      <c r="AF155" s="861">
        <f t="shared" si="58"/>
        <v>8</v>
      </c>
      <c r="AG155" s="861">
        <f t="shared" si="58"/>
        <v>12.000000000000002</v>
      </c>
      <c r="AH155" s="861">
        <f t="shared" si="50"/>
        <v>12.25</v>
      </c>
      <c r="AJ155" s="709"/>
      <c r="AK155" s="936">
        <f t="shared" ca="1" si="51"/>
        <v>1.5731050168182177</v>
      </c>
      <c r="AL155" s="861">
        <f t="shared" si="52"/>
        <v>147</v>
      </c>
      <c r="AM155" s="861">
        <v>3</v>
      </c>
      <c r="AN155" s="863">
        <f t="shared" si="53"/>
        <v>150</v>
      </c>
      <c r="AO155" s="936">
        <f t="shared" ca="1" si="54"/>
        <v>235.96575252273266</v>
      </c>
      <c r="AP155" s="936">
        <f t="shared" ca="1" si="55"/>
        <v>58.49310501681822</v>
      </c>
      <c r="AQ155" s="936">
        <f t="shared" ca="1" si="56"/>
        <v>8598.4864374722783</v>
      </c>
      <c r="AS155" s="936">
        <f>+IFERROR(VLOOKUP(C155,'Rural - Price Out '!$C:$F,3,FALSE),0)</f>
        <v>62.83</v>
      </c>
      <c r="AT155" s="909">
        <f t="shared" ca="1" si="57"/>
        <v>-4.3368949831817787</v>
      </c>
    </row>
    <row r="156" spans="1:46" s="840" customFormat="1">
      <c r="A156" s="840" t="str">
        <f t="shared" si="48"/>
        <v>PacificCommercialEP5-COMM</v>
      </c>
      <c r="B156" s="840">
        <f t="shared" si="47"/>
        <v>1</v>
      </c>
      <c r="C156" s="859" t="s">
        <v>2221</v>
      </c>
      <c r="D156" s="859" t="s">
        <v>2222</v>
      </c>
      <c r="E156" s="859">
        <v>66.94</v>
      </c>
      <c r="F156" s="859"/>
      <c r="G156" s="860"/>
      <c r="H156" s="861">
        <v>66.94</v>
      </c>
      <c r="I156" s="861">
        <v>66.94</v>
      </c>
      <c r="J156" s="861">
        <v>133.88</v>
      </c>
      <c r="K156" s="861">
        <v>66.94</v>
      </c>
      <c r="L156" s="861">
        <v>66.94</v>
      </c>
      <c r="M156" s="861">
        <v>133.88</v>
      </c>
      <c r="N156" s="861">
        <v>66.94</v>
      </c>
      <c r="O156" s="861">
        <v>133.88</v>
      </c>
      <c r="P156" s="861">
        <v>200.82</v>
      </c>
      <c r="Q156" s="861">
        <v>0</v>
      </c>
      <c r="R156" s="861">
        <v>66.94</v>
      </c>
      <c r="S156" s="861">
        <v>0</v>
      </c>
      <c r="T156" s="861">
        <f t="shared" si="49"/>
        <v>1004.1000000000001</v>
      </c>
      <c r="U156" s="861"/>
      <c r="V156" s="861">
        <f t="shared" si="58"/>
        <v>1</v>
      </c>
      <c r="W156" s="861">
        <f t="shared" si="58"/>
        <v>1</v>
      </c>
      <c r="X156" s="861">
        <f t="shared" si="58"/>
        <v>2</v>
      </c>
      <c r="Y156" s="861">
        <f t="shared" si="58"/>
        <v>1</v>
      </c>
      <c r="Z156" s="861">
        <f t="shared" si="58"/>
        <v>1</v>
      </c>
      <c r="AA156" s="861">
        <f t="shared" si="58"/>
        <v>2</v>
      </c>
      <c r="AB156" s="861">
        <f t="shared" si="58"/>
        <v>1</v>
      </c>
      <c r="AC156" s="861">
        <f t="shared" si="58"/>
        <v>2</v>
      </c>
      <c r="AD156" s="861">
        <f t="shared" si="58"/>
        <v>3</v>
      </c>
      <c r="AE156" s="861">
        <f t="shared" si="58"/>
        <v>0</v>
      </c>
      <c r="AF156" s="861">
        <f t="shared" si="58"/>
        <v>1</v>
      </c>
      <c r="AG156" s="861">
        <f t="shared" si="58"/>
        <v>0</v>
      </c>
      <c r="AH156" s="861">
        <f t="shared" si="50"/>
        <v>1.25</v>
      </c>
      <c r="AJ156" s="709"/>
      <c r="AK156" s="936">
        <f t="shared" ca="1" si="51"/>
        <v>1.8500289849931741</v>
      </c>
      <c r="AL156" s="861">
        <f t="shared" si="52"/>
        <v>15</v>
      </c>
      <c r="AM156" s="861">
        <v>0</v>
      </c>
      <c r="AN156" s="863">
        <f t="shared" si="53"/>
        <v>15</v>
      </c>
      <c r="AO156" s="936">
        <f t="shared" ca="1" si="54"/>
        <v>27.750434774897613</v>
      </c>
      <c r="AP156" s="936">
        <f t="shared" ca="1" si="55"/>
        <v>68.790028984993171</v>
      </c>
      <c r="AQ156" s="936">
        <f t="shared" ca="1" si="56"/>
        <v>1031.8504347748976</v>
      </c>
      <c r="AS156" s="936">
        <f>+IFERROR(VLOOKUP(C156,'Rural - Price Out '!$C:$F,3,FALSE),0)</f>
        <v>0</v>
      </c>
      <c r="AT156" s="909">
        <f t="shared" ca="1" si="57"/>
        <v>68.790028984993171</v>
      </c>
    </row>
    <row r="157" spans="1:46" s="840" customFormat="1">
      <c r="A157" s="840" t="str">
        <f t="shared" si="48"/>
        <v>PacificCommercialEP6-COMM</v>
      </c>
      <c r="B157" s="840">
        <f t="shared" si="47"/>
        <v>1</v>
      </c>
      <c r="C157" s="859" t="s">
        <v>2223</v>
      </c>
      <c r="D157" s="859" t="s">
        <v>2224</v>
      </c>
      <c r="E157" s="859">
        <v>76.88</v>
      </c>
      <c r="F157" s="859"/>
      <c r="G157" s="860"/>
      <c r="H157" s="861">
        <v>230.64</v>
      </c>
      <c r="I157" s="861">
        <v>384.4</v>
      </c>
      <c r="J157" s="861">
        <v>615.04</v>
      </c>
      <c r="K157" s="861">
        <v>691.92</v>
      </c>
      <c r="L157" s="861">
        <v>384.4</v>
      </c>
      <c r="M157" s="861">
        <v>691.92</v>
      </c>
      <c r="N157" s="861">
        <v>307.52</v>
      </c>
      <c r="O157" s="861">
        <v>691.92</v>
      </c>
      <c r="P157" s="861">
        <v>384.4</v>
      </c>
      <c r="Q157" s="861">
        <v>461.28</v>
      </c>
      <c r="R157" s="861">
        <v>307.52</v>
      </c>
      <c r="S157" s="861">
        <v>307.52</v>
      </c>
      <c r="T157" s="861">
        <f t="shared" si="49"/>
        <v>5458.48</v>
      </c>
      <c r="U157" s="861"/>
      <c r="V157" s="861">
        <f t="shared" si="58"/>
        <v>3</v>
      </c>
      <c r="W157" s="861">
        <f t="shared" si="58"/>
        <v>5</v>
      </c>
      <c r="X157" s="861">
        <f t="shared" si="58"/>
        <v>8</v>
      </c>
      <c r="Y157" s="861">
        <f t="shared" si="58"/>
        <v>9</v>
      </c>
      <c r="Z157" s="861">
        <f t="shared" si="58"/>
        <v>5</v>
      </c>
      <c r="AA157" s="861">
        <f t="shared" si="58"/>
        <v>9</v>
      </c>
      <c r="AB157" s="861">
        <f t="shared" si="58"/>
        <v>4</v>
      </c>
      <c r="AC157" s="861">
        <f t="shared" si="58"/>
        <v>9</v>
      </c>
      <c r="AD157" s="861">
        <f t="shared" si="58"/>
        <v>5</v>
      </c>
      <c r="AE157" s="861">
        <f t="shared" si="58"/>
        <v>6</v>
      </c>
      <c r="AF157" s="861">
        <f t="shared" si="58"/>
        <v>4</v>
      </c>
      <c r="AG157" s="861">
        <f t="shared" si="58"/>
        <v>4</v>
      </c>
      <c r="AH157" s="861">
        <f t="shared" si="50"/>
        <v>5.916666666666667</v>
      </c>
      <c r="AJ157" s="709"/>
      <c r="AK157" s="936">
        <f t="shared" ca="1" si="51"/>
        <v>2.1247419833623429</v>
      </c>
      <c r="AL157" s="861">
        <f t="shared" si="52"/>
        <v>71</v>
      </c>
      <c r="AM157" s="861">
        <v>1</v>
      </c>
      <c r="AN157" s="863">
        <f t="shared" si="53"/>
        <v>72</v>
      </c>
      <c r="AO157" s="936">
        <f t="shared" ca="1" si="54"/>
        <v>152.98142280208867</v>
      </c>
      <c r="AP157" s="936">
        <f t="shared" ca="1" si="55"/>
        <v>79.004741983362337</v>
      </c>
      <c r="AQ157" s="936">
        <f t="shared" ca="1" si="56"/>
        <v>5609.3366808187257</v>
      </c>
      <c r="AS157" s="936">
        <f>+IFERROR(VLOOKUP(C157,'Rural - Price Out '!$C:$F,3,FALSE),0)</f>
        <v>90.67</v>
      </c>
      <c r="AT157" s="909">
        <f t="shared" ca="1" si="57"/>
        <v>-11.665258016637665</v>
      </c>
    </row>
    <row r="158" spans="1:46" s="840" customFormat="1">
      <c r="A158" s="840" t="str">
        <f t="shared" si="48"/>
        <v>PacificCommercialEP-COMM</v>
      </c>
      <c r="B158" s="840">
        <f t="shared" si="47"/>
        <v>1</v>
      </c>
      <c r="C158" s="859" t="s">
        <v>2225</v>
      </c>
      <c r="D158" s="859" t="s">
        <v>2226</v>
      </c>
      <c r="E158" s="859">
        <v>0</v>
      </c>
      <c r="F158" s="859"/>
      <c r="G158" s="860"/>
      <c r="H158" s="861">
        <v>450</v>
      </c>
      <c r="I158" s="861">
        <v>25</v>
      </c>
      <c r="J158" s="861">
        <v>63.4</v>
      </c>
      <c r="K158" s="861">
        <v>55.73</v>
      </c>
      <c r="L158" s="861">
        <v>55.73</v>
      </c>
      <c r="M158" s="861">
        <v>0</v>
      </c>
      <c r="N158" s="861">
        <v>0</v>
      </c>
      <c r="O158" s="861">
        <v>0</v>
      </c>
      <c r="P158" s="861">
        <v>0</v>
      </c>
      <c r="Q158" s="861">
        <v>0</v>
      </c>
      <c r="R158" s="861">
        <v>0</v>
      </c>
      <c r="S158" s="861">
        <v>0</v>
      </c>
      <c r="T158" s="861">
        <f t="shared" si="49"/>
        <v>649.86</v>
      </c>
      <c r="U158" s="861"/>
      <c r="V158" s="861">
        <f t="shared" si="58"/>
        <v>0</v>
      </c>
      <c r="W158" s="861">
        <f t="shared" si="58"/>
        <v>0</v>
      </c>
      <c r="X158" s="861">
        <f t="shared" si="58"/>
        <v>0</v>
      </c>
      <c r="Y158" s="861">
        <f t="shared" si="58"/>
        <v>0</v>
      </c>
      <c r="Z158" s="861">
        <f t="shared" si="58"/>
        <v>0</v>
      </c>
      <c r="AA158" s="861">
        <f t="shared" si="58"/>
        <v>0</v>
      </c>
      <c r="AB158" s="861">
        <f t="shared" si="58"/>
        <v>0</v>
      </c>
      <c r="AC158" s="861">
        <f t="shared" si="58"/>
        <v>0</v>
      </c>
      <c r="AD158" s="861">
        <f t="shared" si="58"/>
        <v>0</v>
      </c>
      <c r="AE158" s="861">
        <f t="shared" si="58"/>
        <v>0</v>
      </c>
      <c r="AF158" s="861">
        <f t="shared" si="58"/>
        <v>0</v>
      </c>
      <c r="AG158" s="861">
        <f t="shared" si="58"/>
        <v>0</v>
      </c>
      <c r="AH158" s="861">
        <f t="shared" si="50"/>
        <v>0</v>
      </c>
      <c r="AJ158" s="709"/>
      <c r="AK158" s="936">
        <f t="shared" ca="1" si="51"/>
        <v>0</v>
      </c>
      <c r="AL158" s="861">
        <f t="shared" si="52"/>
        <v>0</v>
      </c>
      <c r="AM158" s="861">
        <v>0</v>
      </c>
      <c r="AN158" s="863">
        <f t="shared" si="53"/>
        <v>0</v>
      </c>
      <c r="AO158" s="936">
        <f t="shared" ca="1" si="54"/>
        <v>0</v>
      </c>
      <c r="AP158" s="936">
        <f t="shared" ca="1" si="55"/>
        <v>0</v>
      </c>
      <c r="AQ158" s="936">
        <f t="shared" ca="1" si="56"/>
        <v>0</v>
      </c>
      <c r="AS158" s="936">
        <f>+IFERROR(VLOOKUP(C158,'Rural - Price Out '!$C:$F,3,FALSE),0)</f>
        <v>0</v>
      </c>
      <c r="AT158" s="909">
        <f t="shared" ca="1" si="57"/>
        <v>0</v>
      </c>
    </row>
    <row r="159" spans="1:46" s="840" customFormat="1">
      <c r="A159" s="840" t="str">
        <f t="shared" si="48"/>
        <v>PacificCommercialEXTRA-COMM</v>
      </c>
      <c r="B159" s="840">
        <f t="shared" si="47"/>
        <v>1</v>
      </c>
      <c r="C159" s="859" t="s">
        <v>2227</v>
      </c>
      <c r="D159" s="859" t="s">
        <v>2228</v>
      </c>
      <c r="E159" s="859">
        <v>3.83</v>
      </c>
      <c r="F159" s="859"/>
      <c r="G159" s="860"/>
      <c r="H159" s="861">
        <v>1533.7399999999998</v>
      </c>
      <c r="I159" s="861">
        <v>815.11000000000024</v>
      </c>
      <c r="J159" s="861">
        <v>723.71</v>
      </c>
      <c r="K159" s="861">
        <v>785.46000000000015</v>
      </c>
      <c r="L159" s="861">
        <v>527.35</v>
      </c>
      <c r="M159" s="861">
        <v>968.24</v>
      </c>
      <c r="N159" s="861">
        <v>791.02</v>
      </c>
      <c r="O159" s="861">
        <v>975.65000000000009</v>
      </c>
      <c r="P159" s="861">
        <v>664.43000000000006</v>
      </c>
      <c r="Q159" s="861">
        <v>971.18000000000006</v>
      </c>
      <c r="R159" s="861">
        <v>2079.37</v>
      </c>
      <c r="S159" s="861">
        <v>1285.1199999999999</v>
      </c>
      <c r="T159" s="861">
        <f t="shared" si="49"/>
        <v>12120.379999999997</v>
      </c>
      <c r="U159" s="861"/>
      <c r="V159" s="861">
        <f t="shared" si="58"/>
        <v>400.45430809399471</v>
      </c>
      <c r="W159" s="861">
        <f t="shared" si="58"/>
        <v>212.82245430809405</v>
      </c>
      <c r="X159" s="861">
        <f t="shared" si="58"/>
        <v>188.95822454308095</v>
      </c>
      <c r="Y159" s="861">
        <f t="shared" si="58"/>
        <v>205.08093994778071</v>
      </c>
      <c r="Z159" s="861">
        <f t="shared" si="58"/>
        <v>137.68929503916451</v>
      </c>
      <c r="AA159" s="861">
        <f t="shared" si="58"/>
        <v>252.80417754569191</v>
      </c>
      <c r="AB159" s="861">
        <f t="shared" si="58"/>
        <v>206.53263707571801</v>
      </c>
      <c r="AC159" s="861">
        <f t="shared" si="58"/>
        <v>254.73890339425589</v>
      </c>
      <c r="AD159" s="861">
        <f t="shared" si="58"/>
        <v>173.4804177545692</v>
      </c>
      <c r="AE159" s="861">
        <f t="shared" si="58"/>
        <v>253.57180156657964</v>
      </c>
      <c r="AF159" s="861">
        <f t="shared" si="58"/>
        <v>542.91644908616183</v>
      </c>
      <c r="AG159" s="861">
        <f t="shared" si="58"/>
        <v>335.54046997389031</v>
      </c>
      <c r="AH159" s="861">
        <f t="shared" si="50"/>
        <v>263.71583986074847</v>
      </c>
      <c r="AJ159" s="709"/>
      <c r="AK159" s="936">
        <f t="shared" ca="1" si="51"/>
        <v>0.10585017945210425</v>
      </c>
      <c r="AL159" s="861">
        <f t="shared" si="52"/>
        <v>3164.5900783289817</v>
      </c>
      <c r="AM159" s="861">
        <v>644</v>
      </c>
      <c r="AN159" s="863">
        <f t="shared" si="53"/>
        <v>3808.5900783289817</v>
      </c>
      <c r="AO159" s="936">
        <f t="shared" ca="1" si="54"/>
        <v>403.13994325062646</v>
      </c>
      <c r="AP159" s="936">
        <f t="shared" ca="1" si="55"/>
        <v>3.9358501794521041</v>
      </c>
      <c r="AQ159" s="936">
        <f t="shared" ca="1" si="56"/>
        <v>12455.352427683472</v>
      </c>
      <c r="AS159" s="936">
        <f>+IFERROR(VLOOKUP(C159,'Rural - Price Out '!$C:$F,3,FALSE),0)</f>
        <v>2.57</v>
      </c>
      <c r="AT159" s="909">
        <f t="shared" ca="1" si="57"/>
        <v>1.3658501794521043</v>
      </c>
    </row>
    <row r="160" spans="1:46" s="840" customFormat="1">
      <c r="A160" s="840" t="str">
        <f t="shared" si="48"/>
        <v>PacificCommercialEXTRAYDG-COM</v>
      </c>
      <c r="B160" s="840">
        <f t="shared" ref="B160:B191" si="59">COUNTIF(C:C,C160)</f>
        <v>1</v>
      </c>
      <c r="C160" s="859" t="s">
        <v>2229</v>
      </c>
      <c r="D160" s="859" t="s">
        <v>2230</v>
      </c>
      <c r="E160" s="859">
        <v>17.82</v>
      </c>
      <c r="F160" s="859"/>
      <c r="G160" s="860"/>
      <c r="H160" s="861">
        <v>3742.2</v>
      </c>
      <c r="I160" s="861">
        <v>3555.0899999999997</v>
      </c>
      <c r="J160" s="861">
        <v>2744.28</v>
      </c>
      <c r="K160" s="861">
        <v>2356.7000000000003</v>
      </c>
      <c r="L160" s="861">
        <v>1652.1200000000001</v>
      </c>
      <c r="M160" s="861">
        <v>3114.0699999999997</v>
      </c>
      <c r="N160" s="861">
        <v>3212.09</v>
      </c>
      <c r="O160" s="861">
        <v>3033.9</v>
      </c>
      <c r="P160" s="861">
        <v>2423.52</v>
      </c>
      <c r="Q160" s="861">
        <v>1389.96</v>
      </c>
      <c r="R160" s="861">
        <v>2975.94</v>
      </c>
      <c r="S160" s="861">
        <v>2298.7799999999997</v>
      </c>
      <c r="T160" s="861">
        <f t="shared" si="49"/>
        <v>32498.649999999998</v>
      </c>
      <c r="U160" s="861"/>
      <c r="V160" s="861">
        <f t="shared" si="58"/>
        <v>210</v>
      </c>
      <c r="W160" s="861">
        <f t="shared" si="58"/>
        <v>199.49999999999997</v>
      </c>
      <c r="X160" s="861">
        <f t="shared" si="58"/>
        <v>154</v>
      </c>
      <c r="Y160" s="861">
        <f t="shared" si="58"/>
        <v>132.25028058361394</v>
      </c>
      <c r="Z160" s="861">
        <f t="shared" si="58"/>
        <v>92.711560044893389</v>
      </c>
      <c r="AA160" s="861">
        <f t="shared" si="58"/>
        <v>174.75140291806957</v>
      </c>
      <c r="AB160" s="861">
        <f t="shared" si="58"/>
        <v>180.25196408529743</v>
      </c>
      <c r="AC160" s="861">
        <f t="shared" si="58"/>
        <v>170.25252525252526</v>
      </c>
      <c r="AD160" s="861">
        <f t="shared" si="58"/>
        <v>136</v>
      </c>
      <c r="AE160" s="861">
        <f t="shared" si="58"/>
        <v>78</v>
      </c>
      <c r="AF160" s="861">
        <f t="shared" si="58"/>
        <v>167</v>
      </c>
      <c r="AG160" s="861">
        <f t="shared" si="58"/>
        <v>128.99999999999997</v>
      </c>
      <c r="AH160" s="861">
        <f t="shared" si="50"/>
        <v>151.97647774036662</v>
      </c>
      <c r="AJ160" s="709"/>
      <c r="AK160" s="936">
        <f t="shared" ca="1" si="51"/>
        <v>0.49249352423929438</v>
      </c>
      <c r="AL160" s="861">
        <f t="shared" si="52"/>
        <v>1823.7177328843995</v>
      </c>
      <c r="AM160" s="861">
        <v>76.251218191662161</v>
      </c>
      <c r="AN160" s="863">
        <f t="shared" si="53"/>
        <v>1899.9689510760618</v>
      </c>
      <c r="AO160" s="936">
        <f t="shared" ca="1" si="54"/>
        <v>935.72240466068513</v>
      </c>
      <c r="AP160" s="936">
        <f t="shared" ca="1" si="55"/>
        <v>18.312493524239294</v>
      </c>
      <c r="AQ160" s="936">
        <f t="shared" ca="1" si="56"/>
        <v>33396.819173485928</v>
      </c>
      <c r="AS160" s="936">
        <f>+IFERROR(VLOOKUP(C160,'Rural - Price Out '!$C:$F,3,FALSE),0)</f>
        <v>18.47</v>
      </c>
      <c r="AT160" s="909">
        <f t="shared" ca="1" si="57"/>
        <v>-0.1575064757607052</v>
      </c>
    </row>
    <row r="161" spans="1:46" s="840" customFormat="1">
      <c r="A161" s="840" t="str">
        <f t="shared" si="48"/>
        <v>PacificCommercialLCKC</v>
      </c>
      <c r="B161" s="840">
        <f t="shared" si="59"/>
        <v>1</v>
      </c>
      <c r="C161" s="859" t="s">
        <v>2231</v>
      </c>
      <c r="D161" s="859" t="s">
        <v>2232</v>
      </c>
      <c r="E161" s="859">
        <v>12</v>
      </c>
      <c r="F161" s="859"/>
      <c r="G161" s="860"/>
      <c r="H161" s="861">
        <v>2652</v>
      </c>
      <c r="I161" s="861">
        <v>2559.23</v>
      </c>
      <c r="J161" s="861">
        <v>2592.34</v>
      </c>
      <c r="K161" s="861">
        <v>2665.71</v>
      </c>
      <c r="L161" s="861">
        <v>2671</v>
      </c>
      <c r="M161" s="861">
        <v>2770</v>
      </c>
      <c r="N161" s="861">
        <v>2813.4</v>
      </c>
      <c r="O161" s="861">
        <v>2740</v>
      </c>
      <c r="P161" s="861">
        <v>2778</v>
      </c>
      <c r="Q161" s="861">
        <v>2790</v>
      </c>
      <c r="R161" s="861">
        <v>2862</v>
      </c>
      <c r="S161" s="861">
        <v>2927.11</v>
      </c>
      <c r="T161" s="861">
        <f t="shared" ref="T161:T191" si="60">SUM(H161:S161)</f>
        <v>32820.79</v>
      </c>
      <c r="U161" s="861"/>
      <c r="V161" s="861">
        <f t="shared" si="58"/>
        <v>221</v>
      </c>
      <c r="W161" s="861">
        <f t="shared" si="58"/>
        <v>213.26916666666668</v>
      </c>
      <c r="X161" s="861">
        <f t="shared" si="58"/>
        <v>216.02833333333334</v>
      </c>
      <c r="Y161" s="861">
        <f t="shared" si="58"/>
        <v>222.14250000000001</v>
      </c>
      <c r="Z161" s="861">
        <f t="shared" si="58"/>
        <v>222.58333333333334</v>
      </c>
      <c r="AA161" s="861">
        <f t="shared" si="58"/>
        <v>230.83333333333334</v>
      </c>
      <c r="AB161" s="861">
        <f t="shared" si="58"/>
        <v>234.45000000000002</v>
      </c>
      <c r="AC161" s="861">
        <f t="shared" si="58"/>
        <v>228.33333333333334</v>
      </c>
      <c r="AD161" s="861">
        <f t="shared" si="58"/>
        <v>231.5</v>
      </c>
      <c r="AE161" s="861">
        <f t="shared" si="58"/>
        <v>232.5</v>
      </c>
      <c r="AF161" s="861">
        <f t="shared" si="58"/>
        <v>238.5</v>
      </c>
      <c r="AG161" s="861">
        <f t="shared" si="58"/>
        <v>243.92583333333334</v>
      </c>
      <c r="AH161" s="861">
        <f t="shared" si="50"/>
        <v>227.92215277777777</v>
      </c>
      <c r="AJ161" s="709"/>
      <c r="AK161" s="936">
        <f t="shared" ca="1" si="51"/>
        <v>0.33164547086821172</v>
      </c>
      <c r="AL161" s="861">
        <f t="shared" si="52"/>
        <v>2735.0658333333331</v>
      </c>
      <c r="AM161" s="861">
        <v>0</v>
      </c>
      <c r="AN161" s="863">
        <f t="shared" si="53"/>
        <v>2735.0658333333331</v>
      </c>
      <c r="AO161" s="936">
        <f t="shared" ref="AO161:AO191" ca="1" si="61">+AN161*AK161</f>
        <v>907.07219615139115</v>
      </c>
      <c r="AP161" s="936">
        <f t="shared" ref="AP161:AP191" ca="1" si="62">+E161+AK161</f>
        <v>12.331645470868212</v>
      </c>
      <c r="AQ161" s="936">
        <f t="shared" ref="AQ161:AQ191" ca="1" si="63">+AP161*12*AH161</f>
        <v>33727.862196151393</v>
      </c>
      <c r="AS161" s="936">
        <f>+IFERROR(VLOOKUP(C161,'Rural - Price Out '!$C:$F,3,FALSE),0)</f>
        <v>0</v>
      </c>
      <c r="AT161" s="909">
        <f t="shared" ref="AT161:AT191" ca="1" si="64">+AP161-AS161</f>
        <v>12.331645470868212</v>
      </c>
    </row>
    <row r="162" spans="1:46" s="840" customFormat="1">
      <c r="A162" s="840" t="str">
        <f t="shared" si="48"/>
        <v>PacificCommercialREDELCART-COMM</v>
      </c>
      <c r="B162" s="840">
        <f t="shared" si="59"/>
        <v>1</v>
      </c>
      <c r="C162" s="859" t="s">
        <v>2233</v>
      </c>
      <c r="D162" s="859" t="s">
        <v>2234</v>
      </c>
      <c r="E162" s="859">
        <v>16.8</v>
      </c>
      <c r="F162" s="859"/>
      <c r="G162" s="860"/>
      <c r="H162" s="861">
        <v>84</v>
      </c>
      <c r="I162" s="861">
        <v>67.2</v>
      </c>
      <c r="J162" s="861">
        <v>50.400000000000006</v>
      </c>
      <c r="K162" s="861">
        <v>50.400000000000006</v>
      </c>
      <c r="L162" s="861">
        <v>0</v>
      </c>
      <c r="M162" s="861">
        <v>16.8</v>
      </c>
      <c r="N162" s="861">
        <v>33.6</v>
      </c>
      <c r="O162" s="861">
        <v>0</v>
      </c>
      <c r="P162" s="861">
        <v>0</v>
      </c>
      <c r="Q162" s="861">
        <v>0</v>
      </c>
      <c r="R162" s="861">
        <v>0</v>
      </c>
      <c r="S162" s="861">
        <v>50.4</v>
      </c>
      <c r="T162" s="861">
        <f t="shared" si="60"/>
        <v>352.8</v>
      </c>
      <c r="U162" s="861"/>
      <c r="V162" s="861">
        <f t="shared" si="58"/>
        <v>5</v>
      </c>
      <c r="W162" s="861">
        <f t="shared" si="58"/>
        <v>4</v>
      </c>
      <c r="X162" s="861">
        <f t="shared" si="58"/>
        <v>3</v>
      </c>
      <c r="Y162" s="861">
        <f t="shared" si="58"/>
        <v>3</v>
      </c>
      <c r="Z162" s="861">
        <f t="shared" si="58"/>
        <v>0</v>
      </c>
      <c r="AA162" s="861">
        <f t="shared" si="58"/>
        <v>1</v>
      </c>
      <c r="AB162" s="861">
        <f t="shared" si="58"/>
        <v>2</v>
      </c>
      <c r="AC162" s="861">
        <f t="shared" si="58"/>
        <v>0</v>
      </c>
      <c r="AD162" s="861">
        <f t="shared" si="58"/>
        <v>0</v>
      </c>
      <c r="AE162" s="861">
        <f t="shared" si="58"/>
        <v>0</v>
      </c>
      <c r="AF162" s="861">
        <f t="shared" si="58"/>
        <v>0</v>
      </c>
      <c r="AG162" s="861">
        <f t="shared" si="58"/>
        <v>3</v>
      </c>
      <c r="AH162" s="861">
        <f t="shared" si="50"/>
        <v>1.75</v>
      </c>
      <c r="AJ162" s="709"/>
      <c r="AK162" s="936">
        <f t="shared" ca="1" si="51"/>
        <v>0.46430365921549643</v>
      </c>
      <c r="AL162" s="861">
        <f t="shared" si="52"/>
        <v>21</v>
      </c>
      <c r="AM162" s="861">
        <v>3</v>
      </c>
      <c r="AN162" s="863">
        <f t="shared" si="53"/>
        <v>24</v>
      </c>
      <c r="AO162" s="936">
        <f t="shared" ca="1" si="61"/>
        <v>11.143287821171914</v>
      </c>
      <c r="AP162" s="936">
        <f t="shared" ca="1" si="62"/>
        <v>17.264303659215496</v>
      </c>
      <c r="AQ162" s="936">
        <f t="shared" ca="1" si="63"/>
        <v>362.55037684352538</v>
      </c>
      <c r="AS162" s="936">
        <f>+IFERROR(VLOOKUP(C162,'Rural - Price Out '!$C:$F,3,FALSE),0)</f>
        <v>16.8</v>
      </c>
      <c r="AT162" s="909">
        <f t="shared" ca="1" si="64"/>
        <v>0.46430365921549566</v>
      </c>
    </row>
    <row r="163" spans="1:46" s="840" customFormat="1">
      <c r="A163" s="840" t="str">
        <f t="shared" si="48"/>
        <v>PacificCommercialREDEL-COMM</v>
      </c>
      <c r="B163" s="840">
        <f t="shared" si="59"/>
        <v>1</v>
      </c>
      <c r="C163" s="859" t="s">
        <v>2235</v>
      </c>
      <c r="D163" s="859" t="s">
        <v>2236</v>
      </c>
      <c r="E163" s="859">
        <v>0</v>
      </c>
      <c r="F163" s="859"/>
      <c r="G163" s="860"/>
      <c r="H163" s="861">
        <v>18.5</v>
      </c>
      <c r="I163" s="861">
        <v>0</v>
      </c>
      <c r="J163" s="861">
        <v>16.8</v>
      </c>
      <c r="K163" s="861">
        <v>0</v>
      </c>
      <c r="L163" s="861">
        <v>16.8</v>
      </c>
      <c r="M163" s="861">
        <v>18.5</v>
      </c>
      <c r="N163" s="861">
        <v>0</v>
      </c>
      <c r="O163" s="861">
        <v>0</v>
      </c>
      <c r="P163" s="861">
        <v>0</v>
      </c>
      <c r="Q163" s="861">
        <v>15</v>
      </c>
      <c r="R163" s="861">
        <v>0</v>
      </c>
      <c r="S163" s="861">
        <v>0</v>
      </c>
      <c r="T163" s="861">
        <f t="shared" si="60"/>
        <v>85.6</v>
      </c>
      <c r="U163" s="861"/>
      <c r="V163" s="861">
        <f t="shared" si="58"/>
        <v>0</v>
      </c>
      <c r="W163" s="861">
        <f t="shared" si="58"/>
        <v>0</v>
      </c>
      <c r="X163" s="861">
        <f t="shared" si="58"/>
        <v>0</v>
      </c>
      <c r="Y163" s="861">
        <f t="shared" si="58"/>
        <v>0</v>
      </c>
      <c r="Z163" s="861">
        <f t="shared" si="58"/>
        <v>0</v>
      </c>
      <c r="AA163" s="861">
        <f t="shared" si="58"/>
        <v>0</v>
      </c>
      <c r="AB163" s="861">
        <f t="shared" si="58"/>
        <v>0</v>
      </c>
      <c r="AC163" s="861">
        <f t="shared" si="58"/>
        <v>0</v>
      </c>
      <c r="AD163" s="861">
        <f t="shared" si="58"/>
        <v>0</v>
      </c>
      <c r="AE163" s="861">
        <f t="shared" si="58"/>
        <v>0</v>
      </c>
      <c r="AF163" s="861">
        <f t="shared" si="58"/>
        <v>0</v>
      </c>
      <c r="AG163" s="861">
        <f t="shared" si="58"/>
        <v>0</v>
      </c>
      <c r="AH163" s="861">
        <f t="shared" si="50"/>
        <v>0</v>
      </c>
      <c r="AJ163" s="709"/>
      <c r="AK163" s="936">
        <f t="shared" ca="1" si="51"/>
        <v>0</v>
      </c>
      <c r="AL163" s="861">
        <f t="shared" si="52"/>
        <v>0</v>
      </c>
      <c r="AM163" s="861">
        <v>0</v>
      </c>
      <c r="AN163" s="863">
        <f t="shared" si="53"/>
        <v>0</v>
      </c>
      <c r="AO163" s="936">
        <f t="shared" ca="1" si="61"/>
        <v>0</v>
      </c>
      <c r="AP163" s="936">
        <f t="shared" ca="1" si="62"/>
        <v>0</v>
      </c>
      <c r="AQ163" s="936">
        <f t="shared" ca="1" si="63"/>
        <v>0</v>
      </c>
      <c r="AS163" s="936">
        <f>+IFERROR(VLOOKUP(C163,'Rural - Price Out '!$C:$F,3,FALSE),0)</f>
        <v>0</v>
      </c>
      <c r="AT163" s="909">
        <f t="shared" ca="1" si="64"/>
        <v>0</v>
      </c>
    </row>
    <row r="164" spans="1:46" s="840" customFormat="1">
      <c r="A164" s="840" t="str">
        <f t="shared" si="48"/>
        <v>PacificCommercialREINSTATE-COMM</v>
      </c>
      <c r="B164" s="840">
        <f t="shared" si="59"/>
        <v>1</v>
      </c>
      <c r="C164" s="859" t="s">
        <v>2237</v>
      </c>
      <c r="D164" s="859" t="s">
        <v>2238</v>
      </c>
      <c r="E164" s="859">
        <v>11</v>
      </c>
      <c r="F164" s="859"/>
      <c r="G164" s="860"/>
      <c r="H164" s="861">
        <v>66</v>
      </c>
      <c r="I164" s="861">
        <v>33</v>
      </c>
      <c r="J164" s="861">
        <v>55</v>
      </c>
      <c r="K164" s="861">
        <v>44</v>
      </c>
      <c r="L164" s="861">
        <v>99</v>
      </c>
      <c r="M164" s="861">
        <v>77</v>
      </c>
      <c r="N164" s="861">
        <v>99</v>
      </c>
      <c r="O164" s="861">
        <v>77</v>
      </c>
      <c r="P164" s="861">
        <v>77</v>
      </c>
      <c r="Q164" s="861">
        <v>77</v>
      </c>
      <c r="R164" s="861">
        <v>132</v>
      </c>
      <c r="S164" s="861">
        <v>44</v>
      </c>
      <c r="T164" s="861">
        <f t="shared" si="60"/>
        <v>880</v>
      </c>
      <c r="U164" s="861"/>
      <c r="V164" s="861">
        <f t="shared" si="58"/>
        <v>6</v>
      </c>
      <c r="W164" s="861">
        <f t="shared" si="58"/>
        <v>3</v>
      </c>
      <c r="X164" s="861">
        <f t="shared" si="58"/>
        <v>5</v>
      </c>
      <c r="Y164" s="861">
        <f t="shared" si="58"/>
        <v>4</v>
      </c>
      <c r="Z164" s="861">
        <f t="shared" si="58"/>
        <v>9</v>
      </c>
      <c r="AA164" s="861">
        <f t="shared" si="58"/>
        <v>7</v>
      </c>
      <c r="AB164" s="861">
        <f t="shared" si="58"/>
        <v>9</v>
      </c>
      <c r="AC164" s="861">
        <f t="shared" si="58"/>
        <v>7</v>
      </c>
      <c r="AD164" s="861">
        <f t="shared" si="58"/>
        <v>7</v>
      </c>
      <c r="AE164" s="861">
        <f t="shared" si="58"/>
        <v>7</v>
      </c>
      <c r="AF164" s="861">
        <f t="shared" si="58"/>
        <v>12</v>
      </c>
      <c r="AG164" s="861">
        <f t="shared" si="58"/>
        <v>4</v>
      </c>
      <c r="AH164" s="861">
        <f t="shared" si="50"/>
        <v>6.666666666666667</v>
      </c>
      <c r="AJ164" s="709"/>
      <c r="AK164" s="936">
        <f t="shared" ca="1" si="51"/>
        <v>0.30400834829586071</v>
      </c>
      <c r="AL164" s="861">
        <f t="shared" si="52"/>
        <v>80</v>
      </c>
      <c r="AM164" s="861">
        <v>19</v>
      </c>
      <c r="AN164" s="863">
        <f t="shared" si="53"/>
        <v>99</v>
      </c>
      <c r="AO164" s="936">
        <f t="shared" ca="1" si="61"/>
        <v>30.096826481290211</v>
      </c>
      <c r="AP164" s="936">
        <f t="shared" ca="1" si="62"/>
        <v>11.304008348295861</v>
      </c>
      <c r="AQ164" s="936">
        <f t="shared" ca="1" si="63"/>
        <v>904.32066786366897</v>
      </c>
      <c r="AS164" s="936">
        <f>+IFERROR(VLOOKUP(C164,'Rural - Price Out '!$C:$F,3,FALSE),0)</f>
        <v>11</v>
      </c>
      <c r="AT164" s="909">
        <f t="shared" ca="1" si="64"/>
        <v>0.3040083482958611</v>
      </c>
    </row>
    <row r="165" spans="1:46" s="840" customFormat="1">
      <c r="A165" s="840" t="str">
        <f t="shared" si="48"/>
        <v>PacificCommercialRENT1.5TEMP-COMM</v>
      </c>
      <c r="B165" s="840">
        <f t="shared" si="59"/>
        <v>1</v>
      </c>
      <c r="C165" s="859" t="s">
        <v>2239</v>
      </c>
      <c r="D165" s="859" t="s">
        <v>2240</v>
      </c>
      <c r="E165" s="859">
        <v>1</v>
      </c>
      <c r="F165" s="859"/>
      <c r="G165" s="860"/>
      <c r="H165" s="861">
        <v>20</v>
      </c>
      <c r="I165" s="861">
        <v>43.5</v>
      </c>
      <c r="J165" s="861">
        <v>34</v>
      </c>
      <c r="K165" s="861">
        <v>31</v>
      </c>
      <c r="L165" s="861">
        <v>48</v>
      </c>
      <c r="M165" s="861">
        <v>14</v>
      </c>
      <c r="N165" s="861">
        <v>0</v>
      </c>
      <c r="O165" s="861">
        <v>0</v>
      </c>
      <c r="P165" s="861">
        <v>0</v>
      </c>
      <c r="Q165" s="861">
        <v>8</v>
      </c>
      <c r="R165" s="861">
        <v>48</v>
      </c>
      <c r="S165" s="861">
        <v>41</v>
      </c>
      <c r="T165" s="861">
        <f t="shared" si="60"/>
        <v>287.5</v>
      </c>
      <c r="U165" s="861"/>
      <c r="V165" s="861">
        <f t="shared" si="58"/>
        <v>20</v>
      </c>
      <c r="W165" s="861">
        <f t="shared" si="58"/>
        <v>43.5</v>
      </c>
      <c r="X165" s="861">
        <f t="shared" si="58"/>
        <v>34</v>
      </c>
      <c r="Y165" s="861">
        <f t="shared" si="58"/>
        <v>31</v>
      </c>
      <c r="Z165" s="861">
        <f t="shared" si="58"/>
        <v>48</v>
      </c>
      <c r="AA165" s="861">
        <f t="shared" si="58"/>
        <v>14</v>
      </c>
      <c r="AB165" s="861">
        <f t="shared" si="58"/>
        <v>0</v>
      </c>
      <c r="AC165" s="861">
        <f t="shared" si="58"/>
        <v>0</v>
      </c>
      <c r="AD165" s="861">
        <f t="shared" si="58"/>
        <v>0</v>
      </c>
      <c r="AE165" s="861">
        <f t="shared" si="58"/>
        <v>8</v>
      </c>
      <c r="AF165" s="861">
        <f t="shared" si="58"/>
        <v>48</v>
      </c>
      <c r="AG165" s="861">
        <f t="shared" si="58"/>
        <v>41</v>
      </c>
      <c r="AH165" s="861">
        <f t="shared" si="50"/>
        <v>23.958333333333332</v>
      </c>
      <c r="AJ165" s="709"/>
      <c r="AK165" s="936">
        <f t="shared" ca="1" si="51"/>
        <v>2.7637122572350976E-2</v>
      </c>
      <c r="AL165" s="861">
        <f t="shared" si="52"/>
        <v>287.5</v>
      </c>
      <c r="AM165" s="861">
        <v>13</v>
      </c>
      <c r="AN165" s="863">
        <f t="shared" si="53"/>
        <v>300.5</v>
      </c>
      <c r="AO165" s="936">
        <f t="shared" ca="1" si="61"/>
        <v>8.3049553329914687</v>
      </c>
      <c r="AP165" s="936">
        <f t="shared" ca="1" si="62"/>
        <v>1.0276371225723511</v>
      </c>
      <c r="AQ165" s="936">
        <f t="shared" ca="1" si="63"/>
        <v>295.44567273955096</v>
      </c>
      <c r="AS165" s="936">
        <f>+IFERROR(VLOOKUP(C165,'Rural - Price Out '!$C:$F,3,FALSE),0)</f>
        <v>0.5</v>
      </c>
      <c r="AT165" s="909">
        <f t="shared" ca="1" si="64"/>
        <v>0.52763712257235107</v>
      </c>
    </row>
    <row r="166" spans="1:46" s="840" customFormat="1">
      <c r="A166" s="840" t="str">
        <f t="shared" si="48"/>
        <v>PacificCommercialRENT1TEMP-COMM</v>
      </c>
      <c r="B166" s="840">
        <f t="shared" si="59"/>
        <v>1</v>
      </c>
      <c r="C166" s="859" t="s">
        <v>2241</v>
      </c>
      <c r="D166" s="859" t="s">
        <v>2242</v>
      </c>
      <c r="E166" s="859">
        <v>0.75</v>
      </c>
      <c r="F166" s="859"/>
      <c r="G166" s="860"/>
      <c r="H166" s="861">
        <v>11.25</v>
      </c>
      <c r="I166" s="861">
        <v>0</v>
      </c>
      <c r="J166" s="861">
        <v>0</v>
      </c>
      <c r="K166" s="861">
        <v>0</v>
      </c>
      <c r="L166" s="861">
        <v>3</v>
      </c>
      <c r="M166" s="861">
        <v>0</v>
      </c>
      <c r="N166" s="861">
        <v>0</v>
      </c>
      <c r="O166" s="861">
        <v>0</v>
      </c>
      <c r="P166" s="861">
        <v>0</v>
      </c>
      <c r="Q166" s="861">
        <v>0</v>
      </c>
      <c r="R166" s="861">
        <v>10.5</v>
      </c>
      <c r="S166" s="861">
        <v>18</v>
      </c>
      <c r="T166" s="861">
        <f t="shared" si="60"/>
        <v>42.75</v>
      </c>
      <c r="U166" s="861"/>
      <c r="V166" s="861">
        <f t="shared" si="58"/>
        <v>15</v>
      </c>
      <c r="W166" s="861">
        <f t="shared" si="58"/>
        <v>0</v>
      </c>
      <c r="X166" s="861">
        <f t="shared" si="58"/>
        <v>0</v>
      </c>
      <c r="Y166" s="861">
        <f t="shared" si="58"/>
        <v>0</v>
      </c>
      <c r="Z166" s="861">
        <f t="shared" si="58"/>
        <v>4</v>
      </c>
      <c r="AA166" s="861">
        <f t="shared" si="58"/>
        <v>0</v>
      </c>
      <c r="AB166" s="861">
        <f t="shared" si="58"/>
        <v>0</v>
      </c>
      <c r="AC166" s="861">
        <f t="shared" si="58"/>
        <v>0</v>
      </c>
      <c r="AD166" s="861">
        <f t="shared" si="58"/>
        <v>0</v>
      </c>
      <c r="AE166" s="861">
        <f t="shared" si="58"/>
        <v>0</v>
      </c>
      <c r="AF166" s="861">
        <f t="shared" si="58"/>
        <v>14</v>
      </c>
      <c r="AG166" s="861">
        <f t="shared" si="58"/>
        <v>24</v>
      </c>
      <c r="AH166" s="861">
        <f t="shared" si="50"/>
        <v>4.75</v>
      </c>
      <c r="AJ166" s="709"/>
      <c r="AK166" s="936">
        <f t="shared" ca="1" si="51"/>
        <v>2.0727841929263233E-2</v>
      </c>
      <c r="AL166" s="861">
        <f t="shared" si="52"/>
        <v>57</v>
      </c>
      <c r="AM166" s="861">
        <v>82</v>
      </c>
      <c r="AN166" s="863">
        <f t="shared" si="53"/>
        <v>139</v>
      </c>
      <c r="AO166" s="936">
        <f t="shared" ca="1" si="61"/>
        <v>2.8811700281675892</v>
      </c>
      <c r="AP166" s="936">
        <f t="shared" ca="1" si="62"/>
        <v>0.77072784192926325</v>
      </c>
      <c r="AQ166" s="936">
        <f t="shared" ca="1" si="63"/>
        <v>43.931486989968008</v>
      </c>
      <c r="AS166" s="936">
        <f>+IFERROR(VLOOKUP(C166,'Rural - Price Out '!$C:$F,3,FALSE),0)</f>
        <v>0.45</v>
      </c>
      <c r="AT166" s="909">
        <f t="shared" ca="1" si="64"/>
        <v>0.32072784192926324</v>
      </c>
    </row>
    <row r="167" spans="1:46" s="840" customFormat="1">
      <c r="A167" s="840" t="str">
        <f t="shared" si="48"/>
        <v>PacificCommercialRENT2TEMP-COMM</v>
      </c>
      <c r="B167" s="840">
        <f t="shared" si="59"/>
        <v>1</v>
      </c>
      <c r="C167" s="859" t="s">
        <v>2243</v>
      </c>
      <c r="D167" s="859" t="s">
        <v>2244</v>
      </c>
      <c r="E167" s="859">
        <v>1.25</v>
      </c>
      <c r="F167" s="859"/>
      <c r="G167" s="860"/>
      <c r="H167" s="861">
        <v>543.75</v>
      </c>
      <c r="I167" s="861">
        <v>600</v>
      </c>
      <c r="J167" s="861">
        <v>781.25</v>
      </c>
      <c r="K167" s="861">
        <v>807.5</v>
      </c>
      <c r="L167" s="861">
        <v>402.5</v>
      </c>
      <c r="M167" s="861">
        <v>482.5</v>
      </c>
      <c r="N167" s="861">
        <v>460</v>
      </c>
      <c r="O167" s="861">
        <v>576.25</v>
      </c>
      <c r="P167" s="861">
        <v>420</v>
      </c>
      <c r="Q167" s="861">
        <v>307.5</v>
      </c>
      <c r="R167" s="861">
        <v>482.5</v>
      </c>
      <c r="S167" s="861">
        <v>370</v>
      </c>
      <c r="T167" s="861">
        <f t="shared" si="60"/>
        <v>6233.75</v>
      </c>
      <c r="U167" s="861"/>
      <c r="V167" s="861">
        <f t="shared" si="58"/>
        <v>435</v>
      </c>
      <c r="W167" s="861">
        <f t="shared" si="58"/>
        <v>480</v>
      </c>
      <c r="X167" s="861">
        <f t="shared" si="58"/>
        <v>625</v>
      </c>
      <c r="Y167" s="861">
        <f t="shared" si="58"/>
        <v>646</v>
      </c>
      <c r="Z167" s="861">
        <f t="shared" si="58"/>
        <v>322</v>
      </c>
      <c r="AA167" s="861">
        <f t="shared" si="58"/>
        <v>386</v>
      </c>
      <c r="AB167" s="861">
        <f t="shared" si="58"/>
        <v>368</v>
      </c>
      <c r="AC167" s="861">
        <f t="shared" si="58"/>
        <v>461</v>
      </c>
      <c r="AD167" s="861">
        <f t="shared" si="58"/>
        <v>336</v>
      </c>
      <c r="AE167" s="861">
        <f t="shared" si="58"/>
        <v>246</v>
      </c>
      <c r="AF167" s="861">
        <f t="shared" si="58"/>
        <v>386</v>
      </c>
      <c r="AG167" s="861">
        <f t="shared" si="58"/>
        <v>296</v>
      </c>
      <c r="AH167" s="861">
        <f t="shared" si="50"/>
        <v>415.58333333333331</v>
      </c>
      <c r="AJ167" s="709"/>
      <c r="AK167" s="936">
        <f t="shared" ca="1" si="51"/>
        <v>3.4546403215438719E-2</v>
      </c>
      <c r="AL167" s="861">
        <f t="shared" si="52"/>
        <v>4987</v>
      </c>
      <c r="AM167" s="861">
        <v>1725</v>
      </c>
      <c r="AN167" s="863">
        <f t="shared" si="53"/>
        <v>6712</v>
      </c>
      <c r="AO167" s="936">
        <f t="shared" ca="1" si="61"/>
        <v>231.87545838202468</v>
      </c>
      <c r="AP167" s="936">
        <f t="shared" ca="1" si="62"/>
        <v>1.2845464032154388</v>
      </c>
      <c r="AQ167" s="936">
        <f t="shared" ca="1" si="63"/>
        <v>6406.0329128353933</v>
      </c>
      <c r="AS167" s="936">
        <f>+IFERROR(VLOOKUP(C167,'Rural - Price Out '!$C:$F,3,FALSE),0)</f>
        <v>0.6</v>
      </c>
      <c r="AT167" s="909">
        <f t="shared" ca="1" si="64"/>
        <v>0.6845464032154388</v>
      </c>
    </row>
    <row r="168" spans="1:46" s="840" customFormat="1">
      <c r="A168" s="840" t="str">
        <f t="shared" si="48"/>
        <v>PacificCommercialRENT3TEMP-COMM</v>
      </c>
      <c r="B168" s="840">
        <f t="shared" si="59"/>
        <v>1</v>
      </c>
      <c r="C168" s="859" t="s">
        <v>2245</v>
      </c>
      <c r="D168" s="859" t="s">
        <v>2246</v>
      </c>
      <c r="E168" s="859">
        <v>1.65</v>
      </c>
      <c r="F168" s="859"/>
      <c r="G168" s="860"/>
      <c r="H168" s="861">
        <v>0</v>
      </c>
      <c r="I168" s="861">
        <v>0</v>
      </c>
      <c r="J168" s="861">
        <v>0</v>
      </c>
      <c r="K168" s="861">
        <v>99</v>
      </c>
      <c r="L168" s="861">
        <v>0</v>
      </c>
      <c r="M168" s="861">
        <v>0</v>
      </c>
      <c r="N168" s="861">
        <v>0</v>
      </c>
      <c r="O168" s="861">
        <v>0</v>
      </c>
      <c r="P168" s="861">
        <v>0</v>
      </c>
      <c r="Q168" s="861">
        <v>0</v>
      </c>
      <c r="R168" s="861">
        <v>0</v>
      </c>
      <c r="S168" s="861">
        <v>0</v>
      </c>
      <c r="T168" s="861">
        <f t="shared" si="60"/>
        <v>99</v>
      </c>
      <c r="U168" s="861"/>
      <c r="V168" s="861">
        <f t="shared" si="58"/>
        <v>0</v>
      </c>
      <c r="W168" s="861">
        <f t="shared" si="58"/>
        <v>0</v>
      </c>
      <c r="X168" s="861">
        <f t="shared" si="58"/>
        <v>0</v>
      </c>
      <c r="Y168" s="861">
        <f t="shared" si="58"/>
        <v>60</v>
      </c>
      <c r="Z168" s="861">
        <f t="shared" si="58"/>
        <v>0</v>
      </c>
      <c r="AA168" s="861">
        <f t="shared" si="58"/>
        <v>0</v>
      </c>
      <c r="AB168" s="861">
        <f t="shared" si="58"/>
        <v>0</v>
      </c>
      <c r="AC168" s="861">
        <f t="shared" si="58"/>
        <v>0</v>
      </c>
      <c r="AD168" s="861">
        <f t="shared" si="58"/>
        <v>0</v>
      </c>
      <c r="AE168" s="861">
        <f t="shared" si="58"/>
        <v>0</v>
      </c>
      <c r="AF168" s="861">
        <f t="shared" si="58"/>
        <v>0</v>
      </c>
      <c r="AG168" s="861">
        <f t="shared" si="58"/>
        <v>0</v>
      </c>
      <c r="AH168" s="861">
        <f t="shared" si="50"/>
        <v>5</v>
      </c>
      <c r="AJ168" s="709"/>
      <c r="AK168" s="936">
        <f t="shared" ca="1" si="51"/>
        <v>4.5601252244379109E-2</v>
      </c>
      <c r="AL168" s="861">
        <f t="shared" si="52"/>
        <v>60</v>
      </c>
      <c r="AM168" s="861">
        <v>60</v>
      </c>
      <c r="AN168" s="863">
        <f t="shared" si="53"/>
        <v>120</v>
      </c>
      <c r="AO168" s="936">
        <f t="shared" ca="1" si="61"/>
        <v>5.4721502693254926</v>
      </c>
      <c r="AP168" s="936">
        <f t="shared" ca="1" si="62"/>
        <v>1.6956012522443791</v>
      </c>
      <c r="AQ168" s="936">
        <f t="shared" ca="1" si="63"/>
        <v>101.73607513466274</v>
      </c>
      <c r="AS168" s="936">
        <f>+IFERROR(VLOOKUP(C168,'Rural - Price Out '!$C:$F,3,FALSE),0)</f>
        <v>0.65</v>
      </c>
      <c r="AT168" s="909">
        <f t="shared" ca="1" si="64"/>
        <v>1.0456012522443792</v>
      </c>
    </row>
    <row r="169" spans="1:46" s="840" customFormat="1">
      <c r="A169" s="840" t="str">
        <f t="shared" si="48"/>
        <v>PacificCommercialRENT5TEMP-COMM</v>
      </c>
      <c r="B169" s="840">
        <f t="shared" si="59"/>
        <v>1</v>
      </c>
      <c r="C169" s="859" t="s">
        <v>2247</v>
      </c>
      <c r="D169" s="859" t="s">
        <v>2248</v>
      </c>
      <c r="E169" s="859">
        <v>2.25</v>
      </c>
      <c r="F169" s="859"/>
      <c r="G169" s="860"/>
      <c r="H169" s="861">
        <v>0</v>
      </c>
      <c r="I169" s="861">
        <v>0</v>
      </c>
      <c r="J169" s="861">
        <v>9</v>
      </c>
      <c r="K169" s="861">
        <v>0</v>
      </c>
      <c r="L169" s="861">
        <v>0</v>
      </c>
      <c r="M169" s="861">
        <v>0</v>
      </c>
      <c r="N169" s="861">
        <v>0</v>
      </c>
      <c r="O169" s="861">
        <v>0</v>
      </c>
      <c r="P169" s="861">
        <v>0</v>
      </c>
      <c r="Q169" s="861">
        <v>0</v>
      </c>
      <c r="R169" s="861">
        <v>0</v>
      </c>
      <c r="S169" s="861">
        <v>0</v>
      </c>
      <c r="T169" s="861">
        <f t="shared" si="60"/>
        <v>9</v>
      </c>
      <c r="U169" s="861"/>
      <c r="V169" s="861">
        <f t="shared" si="58"/>
        <v>0</v>
      </c>
      <c r="W169" s="861">
        <f t="shared" si="58"/>
        <v>0</v>
      </c>
      <c r="X169" s="861">
        <f t="shared" si="58"/>
        <v>4</v>
      </c>
      <c r="Y169" s="861">
        <f t="shared" si="58"/>
        <v>0</v>
      </c>
      <c r="Z169" s="861">
        <f t="shared" si="58"/>
        <v>0</v>
      </c>
      <c r="AA169" s="861">
        <f t="shared" si="58"/>
        <v>0</v>
      </c>
      <c r="AB169" s="861">
        <f t="shared" si="58"/>
        <v>0</v>
      </c>
      <c r="AC169" s="861">
        <f t="shared" si="58"/>
        <v>0</v>
      </c>
      <c r="AD169" s="861">
        <f t="shared" si="58"/>
        <v>0</v>
      </c>
      <c r="AE169" s="861">
        <f t="shared" si="58"/>
        <v>0</v>
      </c>
      <c r="AF169" s="861">
        <f t="shared" si="58"/>
        <v>0</v>
      </c>
      <c r="AG169" s="861">
        <f t="shared" si="58"/>
        <v>0</v>
      </c>
      <c r="AH169" s="861">
        <f t="shared" si="50"/>
        <v>0.33333333333333331</v>
      </c>
      <c r="AJ169" s="709"/>
      <c r="AK169" s="936">
        <f t="shared" ca="1" si="51"/>
        <v>6.2183525787789698E-2</v>
      </c>
      <c r="AL169" s="861">
        <f t="shared" si="52"/>
        <v>4</v>
      </c>
      <c r="AM169" s="861">
        <v>0</v>
      </c>
      <c r="AN169" s="863">
        <f t="shared" si="53"/>
        <v>4</v>
      </c>
      <c r="AO169" s="936">
        <f t="shared" ca="1" si="61"/>
        <v>0.24873410315115879</v>
      </c>
      <c r="AP169" s="936">
        <f t="shared" ca="1" si="62"/>
        <v>2.3121835257877899</v>
      </c>
      <c r="AQ169" s="936">
        <f t="shared" ca="1" si="63"/>
        <v>9.2487341031511594</v>
      </c>
      <c r="AS169" s="936">
        <f>+IFERROR(VLOOKUP(C169,'Rural - Price Out '!$C:$F,3,FALSE),0)</f>
        <v>0</v>
      </c>
      <c r="AT169" s="909">
        <f t="shared" ca="1" si="64"/>
        <v>2.3121835257877899</v>
      </c>
    </row>
    <row r="170" spans="1:46" s="840" customFormat="1">
      <c r="A170" s="840" t="str">
        <f t="shared" si="48"/>
        <v>PacificCommercialRENT6TEMP-COMM</v>
      </c>
      <c r="B170" s="840">
        <f t="shared" si="59"/>
        <v>1</v>
      </c>
      <c r="C170" s="859" t="s">
        <v>2249</v>
      </c>
      <c r="D170" s="859" t="s">
        <v>2250</v>
      </c>
      <c r="E170" s="859">
        <v>2.25</v>
      </c>
      <c r="F170" s="859"/>
      <c r="G170" s="860"/>
      <c r="H170" s="861">
        <v>0</v>
      </c>
      <c r="I170" s="861">
        <v>132.75</v>
      </c>
      <c r="J170" s="861">
        <v>132</v>
      </c>
      <c r="K170" s="861">
        <v>11.25</v>
      </c>
      <c r="L170" s="861">
        <v>27</v>
      </c>
      <c r="M170" s="861">
        <v>0</v>
      </c>
      <c r="N170" s="861">
        <v>0</v>
      </c>
      <c r="O170" s="861">
        <v>0</v>
      </c>
      <c r="P170" s="861">
        <v>0</v>
      </c>
      <c r="Q170" s="861">
        <v>0</v>
      </c>
      <c r="R170" s="861">
        <v>0</v>
      </c>
      <c r="S170" s="861">
        <v>0</v>
      </c>
      <c r="T170" s="861">
        <f t="shared" si="60"/>
        <v>303</v>
      </c>
      <c r="U170" s="861"/>
      <c r="V170" s="861">
        <f t="shared" si="58"/>
        <v>0</v>
      </c>
      <c r="W170" s="861">
        <f t="shared" si="58"/>
        <v>59</v>
      </c>
      <c r="X170" s="861">
        <f t="shared" si="58"/>
        <v>58.666666666666664</v>
      </c>
      <c r="Y170" s="861">
        <f t="shared" si="58"/>
        <v>5</v>
      </c>
      <c r="Z170" s="861">
        <f t="shared" si="58"/>
        <v>12</v>
      </c>
      <c r="AA170" s="861">
        <f t="shared" si="58"/>
        <v>0</v>
      </c>
      <c r="AB170" s="861">
        <f t="shared" si="58"/>
        <v>0</v>
      </c>
      <c r="AC170" s="861">
        <f t="shared" si="58"/>
        <v>0</v>
      </c>
      <c r="AD170" s="861">
        <f t="shared" si="58"/>
        <v>0</v>
      </c>
      <c r="AE170" s="861">
        <f t="shared" si="58"/>
        <v>0</v>
      </c>
      <c r="AF170" s="861">
        <f t="shared" si="58"/>
        <v>0</v>
      </c>
      <c r="AG170" s="861">
        <f t="shared" si="58"/>
        <v>0</v>
      </c>
      <c r="AH170" s="861">
        <f t="shared" si="50"/>
        <v>11.222222222222221</v>
      </c>
      <c r="AJ170" s="709"/>
      <c r="AK170" s="936">
        <f t="shared" ca="1" si="51"/>
        <v>6.2183525787789698E-2</v>
      </c>
      <c r="AL170" s="861">
        <f t="shared" si="52"/>
        <v>134.66666666666666</v>
      </c>
      <c r="AM170" s="861">
        <v>19</v>
      </c>
      <c r="AN170" s="863">
        <f t="shared" si="53"/>
        <v>153.66666666666666</v>
      </c>
      <c r="AO170" s="936">
        <f t="shared" ca="1" si="61"/>
        <v>9.5555351293903499</v>
      </c>
      <c r="AP170" s="936">
        <f t="shared" ca="1" si="62"/>
        <v>2.3121835257877899</v>
      </c>
      <c r="AQ170" s="936">
        <f t="shared" ca="1" si="63"/>
        <v>311.37404813942237</v>
      </c>
      <c r="AS170" s="936">
        <f>+IFERROR(VLOOKUP(C170,'Rural - Price Out '!$C:$F,3,FALSE),0)</f>
        <v>1.25</v>
      </c>
      <c r="AT170" s="909">
        <f t="shared" ca="1" si="64"/>
        <v>1.0621835257877899</v>
      </c>
    </row>
    <row r="171" spans="1:46" s="840" customFormat="1">
      <c r="A171" s="840" t="str">
        <f t="shared" si="48"/>
        <v>PacificCommercialROLL1W-COMM</v>
      </c>
      <c r="B171" s="840">
        <f t="shared" si="59"/>
        <v>1</v>
      </c>
      <c r="C171" s="859" t="s">
        <v>2251</v>
      </c>
      <c r="D171" s="859" t="s">
        <v>2252</v>
      </c>
      <c r="E171" s="859">
        <v>2.5</v>
      </c>
      <c r="F171" s="859"/>
      <c r="G171" s="860"/>
      <c r="H171" s="861">
        <v>738.47</v>
      </c>
      <c r="I171" s="861">
        <v>736.43999999999994</v>
      </c>
      <c r="J171" s="861">
        <v>725.61</v>
      </c>
      <c r="K171" s="861">
        <v>725.61</v>
      </c>
      <c r="L171" s="861">
        <v>725.61</v>
      </c>
      <c r="M171" s="861">
        <v>714.78</v>
      </c>
      <c r="N171" s="861">
        <v>714.78</v>
      </c>
      <c r="O171" s="861">
        <v>682.29000000000008</v>
      </c>
      <c r="P171" s="861">
        <v>699.62</v>
      </c>
      <c r="Q171" s="861">
        <v>714.78</v>
      </c>
      <c r="R171" s="861">
        <v>693.12</v>
      </c>
      <c r="S171" s="861">
        <v>703.95</v>
      </c>
      <c r="T171" s="861">
        <f t="shared" si="60"/>
        <v>8575.06</v>
      </c>
      <c r="U171" s="861"/>
      <c r="V171" s="861">
        <f t="shared" si="58"/>
        <v>295.38800000000003</v>
      </c>
      <c r="W171" s="861">
        <f t="shared" si="58"/>
        <v>294.57599999999996</v>
      </c>
      <c r="X171" s="861">
        <f t="shared" si="58"/>
        <v>290.24400000000003</v>
      </c>
      <c r="Y171" s="861">
        <f t="shared" si="58"/>
        <v>290.24400000000003</v>
      </c>
      <c r="Z171" s="861">
        <f t="shared" si="58"/>
        <v>290.24400000000003</v>
      </c>
      <c r="AA171" s="861">
        <f t="shared" si="58"/>
        <v>285.91199999999998</v>
      </c>
      <c r="AB171" s="861">
        <f t="shared" si="58"/>
        <v>285.91199999999998</v>
      </c>
      <c r="AC171" s="861">
        <f t="shared" si="58"/>
        <v>272.91600000000005</v>
      </c>
      <c r="AD171" s="861">
        <f t="shared" si="58"/>
        <v>279.84800000000001</v>
      </c>
      <c r="AE171" s="861">
        <f t="shared" si="58"/>
        <v>285.91199999999998</v>
      </c>
      <c r="AF171" s="861">
        <f t="shared" si="58"/>
        <v>277.24799999999999</v>
      </c>
      <c r="AG171" s="861">
        <f t="shared" si="58"/>
        <v>281.58000000000004</v>
      </c>
      <c r="AH171" s="861">
        <f t="shared" si="50"/>
        <v>285.83533333333332</v>
      </c>
      <c r="AJ171" s="709"/>
      <c r="AK171" s="936">
        <f t="shared" ca="1" si="51"/>
        <v>6.9092806430877438E-2</v>
      </c>
      <c r="AL171" s="861">
        <f t="shared" si="52"/>
        <v>3430.0239999999999</v>
      </c>
      <c r="AM171" s="861">
        <v>12</v>
      </c>
      <c r="AN171" s="863">
        <f t="shared" si="53"/>
        <v>3442.0239999999999</v>
      </c>
      <c r="AO171" s="936">
        <f t="shared" ca="1" si="61"/>
        <v>237.81909796243448</v>
      </c>
      <c r="AP171" s="936">
        <f t="shared" ca="1" si="62"/>
        <v>2.5690928064308776</v>
      </c>
      <c r="AQ171" s="936">
        <f t="shared" ca="1" si="63"/>
        <v>8812.0499842852641</v>
      </c>
      <c r="AS171" s="936">
        <f>+IFERROR(VLOOKUP(C171,'Rural - Price Out '!$C:$F,3,FALSE),0)</f>
        <v>15.16</v>
      </c>
      <c r="AT171" s="909">
        <f t="shared" ca="1" si="64"/>
        <v>-12.590907193569123</v>
      </c>
    </row>
    <row r="172" spans="1:46" s="840" customFormat="1">
      <c r="A172" s="840" t="str">
        <f t="shared" si="48"/>
        <v>PacificCommercialROLL2W-COMM</v>
      </c>
      <c r="B172" s="840">
        <f t="shared" si="59"/>
        <v>1</v>
      </c>
      <c r="C172" s="859" t="s">
        <v>2253</v>
      </c>
      <c r="D172" s="859" t="s">
        <v>2254</v>
      </c>
      <c r="E172" s="859">
        <v>5</v>
      </c>
      <c r="F172" s="859"/>
      <c r="G172" s="860"/>
      <c r="H172" s="861">
        <v>555.21</v>
      </c>
      <c r="I172" s="861">
        <v>554.78</v>
      </c>
      <c r="J172" s="861">
        <v>584.55000000000007</v>
      </c>
      <c r="K172" s="861">
        <v>606.20000000000005</v>
      </c>
      <c r="L172" s="861">
        <v>497.95</v>
      </c>
      <c r="M172" s="861">
        <v>497.95</v>
      </c>
      <c r="N172" s="861">
        <v>519.6</v>
      </c>
      <c r="O172" s="861">
        <v>469.09</v>
      </c>
      <c r="P172" s="861">
        <v>449.84000000000003</v>
      </c>
      <c r="Q172" s="861">
        <v>457.36</v>
      </c>
      <c r="R172" s="861">
        <v>497.95000000000005</v>
      </c>
      <c r="S172" s="861">
        <v>507.57000000000005</v>
      </c>
      <c r="T172" s="861">
        <f t="shared" si="60"/>
        <v>6198.0499999999984</v>
      </c>
      <c r="U172" s="861"/>
      <c r="V172" s="861">
        <f t="shared" si="58"/>
        <v>111.042</v>
      </c>
      <c r="W172" s="861">
        <f t="shared" si="58"/>
        <v>110.95599999999999</v>
      </c>
      <c r="X172" s="861">
        <f t="shared" si="58"/>
        <v>116.91000000000001</v>
      </c>
      <c r="Y172" s="861">
        <f t="shared" ref="Y172:AG191" si="65">IFERROR(K172/$E172,0)</f>
        <v>121.24000000000001</v>
      </c>
      <c r="Z172" s="861">
        <f t="shared" si="65"/>
        <v>99.59</v>
      </c>
      <c r="AA172" s="861">
        <f t="shared" si="65"/>
        <v>99.59</v>
      </c>
      <c r="AB172" s="861">
        <f t="shared" si="65"/>
        <v>103.92</v>
      </c>
      <c r="AC172" s="861">
        <f t="shared" si="65"/>
        <v>93.817999999999998</v>
      </c>
      <c r="AD172" s="861">
        <f t="shared" si="65"/>
        <v>89.968000000000004</v>
      </c>
      <c r="AE172" s="861">
        <f t="shared" si="65"/>
        <v>91.472000000000008</v>
      </c>
      <c r="AF172" s="861">
        <f t="shared" si="65"/>
        <v>99.59</v>
      </c>
      <c r="AG172" s="861">
        <f t="shared" si="65"/>
        <v>101.51400000000001</v>
      </c>
      <c r="AH172" s="861">
        <f t="shared" si="50"/>
        <v>103.30083333333334</v>
      </c>
      <c r="AJ172" s="709"/>
      <c r="AK172" s="936">
        <f t="shared" ca="1" si="51"/>
        <v>0.13818561286175488</v>
      </c>
      <c r="AL172" s="861">
        <f t="shared" si="52"/>
        <v>1239.6100000000001</v>
      </c>
      <c r="AM172" s="861">
        <v>0</v>
      </c>
      <c r="AN172" s="863">
        <f t="shared" si="53"/>
        <v>1239.6100000000001</v>
      </c>
      <c r="AO172" s="936">
        <f t="shared" ca="1" si="61"/>
        <v>171.29626755955996</v>
      </c>
      <c r="AP172" s="936">
        <f t="shared" ca="1" si="62"/>
        <v>5.1381856128617551</v>
      </c>
      <c r="AQ172" s="936">
        <f t="shared" ca="1" si="63"/>
        <v>6369.3462675595611</v>
      </c>
      <c r="AS172" s="936">
        <f>+IFERROR(VLOOKUP(C172,'Rural - Price Out '!$C:$F,3,FALSE),0)</f>
        <v>0</v>
      </c>
      <c r="AT172" s="909">
        <f t="shared" ca="1" si="64"/>
        <v>5.1381856128617551</v>
      </c>
    </row>
    <row r="173" spans="1:46" s="840" customFormat="1">
      <c r="A173" s="840" t="str">
        <f t="shared" si="48"/>
        <v>PacificCommercialROLL3W-COMM</v>
      </c>
      <c r="B173" s="840">
        <f t="shared" si="59"/>
        <v>1</v>
      </c>
      <c r="C173" s="859" t="s">
        <v>2255</v>
      </c>
      <c r="D173" s="859" t="s">
        <v>2256</v>
      </c>
      <c r="E173" s="859">
        <v>7.5</v>
      </c>
      <c r="F173" s="859"/>
      <c r="G173" s="860"/>
      <c r="H173" s="861">
        <v>487.19999999999993</v>
      </c>
      <c r="I173" s="861">
        <v>519.67999999999995</v>
      </c>
      <c r="J173" s="861">
        <v>487.19999999999993</v>
      </c>
      <c r="K173" s="861">
        <v>487.19999999999993</v>
      </c>
      <c r="L173" s="861">
        <v>552.16</v>
      </c>
      <c r="M173" s="861">
        <v>552.16</v>
      </c>
      <c r="N173" s="861">
        <v>519.67999999999995</v>
      </c>
      <c r="O173" s="861">
        <v>519.67999999999995</v>
      </c>
      <c r="P173" s="861">
        <v>519.67999999999995</v>
      </c>
      <c r="Q173" s="861">
        <v>519.67999999999995</v>
      </c>
      <c r="R173" s="861">
        <v>519.67999999999995</v>
      </c>
      <c r="S173" s="861">
        <v>507.18999999999994</v>
      </c>
      <c r="T173" s="861">
        <f t="shared" si="60"/>
        <v>6191.19</v>
      </c>
      <c r="U173" s="861"/>
      <c r="V173" s="861">
        <f t="shared" ref="V173:X191" si="66">IFERROR(H173/$E173,0)</f>
        <v>64.959999999999994</v>
      </c>
      <c r="W173" s="861">
        <f t="shared" si="66"/>
        <v>69.290666666666667</v>
      </c>
      <c r="X173" s="861">
        <f t="shared" si="66"/>
        <v>64.959999999999994</v>
      </c>
      <c r="Y173" s="861">
        <f t="shared" si="65"/>
        <v>64.959999999999994</v>
      </c>
      <c r="Z173" s="861">
        <f t="shared" si="65"/>
        <v>73.621333333333325</v>
      </c>
      <c r="AA173" s="861">
        <f t="shared" si="65"/>
        <v>73.621333333333325</v>
      </c>
      <c r="AB173" s="861">
        <f t="shared" si="65"/>
        <v>69.290666666666667</v>
      </c>
      <c r="AC173" s="861">
        <f t="shared" si="65"/>
        <v>69.290666666666667</v>
      </c>
      <c r="AD173" s="861">
        <f t="shared" si="65"/>
        <v>69.290666666666667</v>
      </c>
      <c r="AE173" s="861">
        <f t="shared" si="65"/>
        <v>69.290666666666667</v>
      </c>
      <c r="AF173" s="861">
        <f t="shared" si="65"/>
        <v>69.290666666666667</v>
      </c>
      <c r="AG173" s="861">
        <f t="shared" si="65"/>
        <v>67.62533333333333</v>
      </c>
      <c r="AH173" s="861">
        <f t="shared" si="50"/>
        <v>68.790999999999983</v>
      </c>
      <c r="AJ173" s="709"/>
      <c r="AK173" s="936">
        <f t="shared" ca="1" si="51"/>
        <v>0.20727841929263233</v>
      </c>
      <c r="AL173" s="861">
        <f t="shared" si="52"/>
        <v>825.49199999999973</v>
      </c>
      <c r="AM173" s="861">
        <v>0</v>
      </c>
      <c r="AN173" s="863">
        <f t="shared" si="53"/>
        <v>825.49199999999973</v>
      </c>
      <c r="AO173" s="936">
        <f t="shared" ca="1" si="61"/>
        <v>171.1066768987136</v>
      </c>
      <c r="AP173" s="936">
        <f t="shared" ca="1" si="62"/>
        <v>7.7072784192926322</v>
      </c>
      <c r="AQ173" s="936">
        <f t="shared" ca="1" si="63"/>
        <v>6362.2966768987126</v>
      </c>
      <c r="AS173" s="936">
        <f>+IFERROR(VLOOKUP(C173,'Rural - Price Out '!$C:$F,3,FALSE),0)</f>
        <v>0</v>
      </c>
      <c r="AT173" s="909">
        <f t="shared" ca="1" si="64"/>
        <v>7.7072784192926322</v>
      </c>
    </row>
    <row r="174" spans="1:46" s="840" customFormat="1">
      <c r="A174" s="840" t="str">
        <f t="shared" si="48"/>
        <v>PacificCommercialROLL5W-COMM</v>
      </c>
      <c r="B174" s="840">
        <f t="shared" si="59"/>
        <v>1</v>
      </c>
      <c r="C174" s="859" t="s">
        <v>2257</v>
      </c>
      <c r="D174" s="859" t="s">
        <v>2258</v>
      </c>
      <c r="E174" s="859">
        <v>12.5</v>
      </c>
      <c r="F174" s="859"/>
      <c r="G174" s="860"/>
      <c r="H174" s="861">
        <v>108.26</v>
      </c>
      <c r="I174" s="861">
        <v>108.26</v>
      </c>
      <c r="J174" s="861">
        <v>108.26</v>
      </c>
      <c r="K174" s="861">
        <v>108.26</v>
      </c>
      <c r="L174" s="861">
        <v>108.26</v>
      </c>
      <c r="M174" s="861">
        <v>108.26</v>
      </c>
      <c r="N174" s="861">
        <v>108.26</v>
      </c>
      <c r="O174" s="861">
        <v>108.26</v>
      </c>
      <c r="P174" s="861">
        <v>108.26</v>
      </c>
      <c r="Q174" s="861">
        <v>108.26</v>
      </c>
      <c r="R174" s="861">
        <v>108.26</v>
      </c>
      <c r="S174" s="861">
        <v>108.26</v>
      </c>
      <c r="T174" s="861">
        <f t="shared" si="60"/>
        <v>1299.1200000000001</v>
      </c>
      <c r="U174" s="861"/>
      <c r="V174" s="861">
        <f t="shared" si="66"/>
        <v>8.6608000000000001</v>
      </c>
      <c r="W174" s="861">
        <f t="shared" si="66"/>
        <v>8.6608000000000001</v>
      </c>
      <c r="X174" s="861">
        <f t="shared" si="66"/>
        <v>8.6608000000000001</v>
      </c>
      <c r="Y174" s="861">
        <f t="shared" si="65"/>
        <v>8.6608000000000001</v>
      </c>
      <c r="Z174" s="861">
        <f t="shared" si="65"/>
        <v>8.6608000000000001</v>
      </c>
      <c r="AA174" s="861">
        <f t="shared" si="65"/>
        <v>8.6608000000000001</v>
      </c>
      <c r="AB174" s="861">
        <f t="shared" si="65"/>
        <v>8.6608000000000001</v>
      </c>
      <c r="AC174" s="861">
        <f t="shared" si="65"/>
        <v>8.6608000000000001</v>
      </c>
      <c r="AD174" s="861">
        <f t="shared" si="65"/>
        <v>8.6608000000000001</v>
      </c>
      <c r="AE174" s="861">
        <f t="shared" si="65"/>
        <v>8.6608000000000001</v>
      </c>
      <c r="AF174" s="861">
        <f t="shared" si="65"/>
        <v>8.6608000000000001</v>
      </c>
      <c r="AG174" s="861">
        <f t="shared" si="65"/>
        <v>8.6608000000000001</v>
      </c>
      <c r="AH174" s="861">
        <f t="shared" si="50"/>
        <v>8.6607999999999983</v>
      </c>
      <c r="AJ174" s="709"/>
      <c r="AK174" s="936">
        <f t="shared" ca="1" si="51"/>
        <v>0.3454640321543872</v>
      </c>
      <c r="AL174" s="861">
        <f t="shared" si="52"/>
        <v>103.92959999999998</v>
      </c>
      <c r="AM174" s="861">
        <v>0</v>
      </c>
      <c r="AN174" s="863">
        <f t="shared" si="53"/>
        <v>103.92959999999998</v>
      </c>
      <c r="AO174" s="936">
        <f t="shared" ca="1" si="61"/>
        <v>35.903938676192595</v>
      </c>
      <c r="AP174" s="936">
        <f t="shared" ca="1" si="62"/>
        <v>12.845464032154387</v>
      </c>
      <c r="AQ174" s="936">
        <f t="shared" ca="1" si="63"/>
        <v>1335.0239386761923</v>
      </c>
      <c r="AS174" s="936">
        <f>+IFERROR(VLOOKUP(C174,'Rural - Price Out '!$C:$F,3,FALSE),0)</f>
        <v>0</v>
      </c>
      <c r="AT174" s="909">
        <f t="shared" ca="1" si="64"/>
        <v>12.845464032154387</v>
      </c>
    </row>
    <row r="175" spans="1:46" s="840" customFormat="1">
      <c r="A175" s="840" t="str">
        <f t="shared" si="48"/>
        <v>PacificCommercialRTRNCAN-COMM</v>
      </c>
      <c r="B175" s="840">
        <f t="shared" si="59"/>
        <v>1</v>
      </c>
      <c r="C175" s="859" t="s">
        <v>2259</v>
      </c>
      <c r="D175" s="859" t="s">
        <v>2260</v>
      </c>
      <c r="E175" s="859">
        <v>5.75</v>
      </c>
      <c r="F175" s="859"/>
      <c r="G175" s="860"/>
      <c r="H175" s="861">
        <v>5.75</v>
      </c>
      <c r="I175" s="861">
        <v>11.5</v>
      </c>
      <c r="J175" s="861">
        <v>0</v>
      </c>
      <c r="K175" s="861">
        <v>0</v>
      </c>
      <c r="L175" s="861">
        <v>0</v>
      </c>
      <c r="M175" s="861">
        <v>5.75</v>
      </c>
      <c r="N175" s="861">
        <v>0</v>
      </c>
      <c r="O175" s="861">
        <v>5.75</v>
      </c>
      <c r="P175" s="861">
        <v>0</v>
      </c>
      <c r="Q175" s="861">
        <v>0</v>
      </c>
      <c r="R175" s="861">
        <v>0</v>
      </c>
      <c r="S175" s="861">
        <v>0</v>
      </c>
      <c r="T175" s="861">
        <f t="shared" si="60"/>
        <v>28.75</v>
      </c>
      <c r="U175" s="861"/>
      <c r="V175" s="861">
        <f t="shared" si="66"/>
        <v>1</v>
      </c>
      <c r="W175" s="861">
        <f t="shared" si="66"/>
        <v>2</v>
      </c>
      <c r="X175" s="861">
        <f t="shared" si="66"/>
        <v>0</v>
      </c>
      <c r="Y175" s="861">
        <f t="shared" si="65"/>
        <v>0</v>
      </c>
      <c r="Z175" s="861">
        <f t="shared" si="65"/>
        <v>0</v>
      </c>
      <c r="AA175" s="861">
        <f t="shared" si="65"/>
        <v>1</v>
      </c>
      <c r="AB175" s="861">
        <f t="shared" si="65"/>
        <v>0</v>
      </c>
      <c r="AC175" s="861">
        <f t="shared" si="65"/>
        <v>1</v>
      </c>
      <c r="AD175" s="861">
        <f t="shared" si="65"/>
        <v>0</v>
      </c>
      <c r="AE175" s="861">
        <f t="shared" si="65"/>
        <v>0</v>
      </c>
      <c r="AF175" s="861">
        <f t="shared" si="65"/>
        <v>0</v>
      </c>
      <c r="AG175" s="861">
        <f t="shared" si="65"/>
        <v>0</v>
      </c>
      <c r="AH175" s="861">
        <f t="shared" si="50"/>
        <v>0.41666666666666669</v>
      </c>
      <c r="AJ175" s="709"/>
      <c r="AK175" s="936">
        <f t="shared" ca="1" si="51"/>
        <v>0.15891345479101812</v>
      </c>
      <c r="AL175" s="861">
        <f t="shared" si="52"/>
        <v>5</v>
      </c>
      <c r="AM175" s="861">
        <v>2</v>
      </c>
      <c r="AN175" s="863">
        <f t="shared" si="53"/>
        <v>7</v>
      </c>
      <c r="AO175" s="936">
        <f t="shared" ca="1" si="61"/>
        <v>1.1123941835371269</v>
      </c>
      <c r="AP175" s="936">
        <f t="shared" ca="1" si="62"/>
        <v>5.9089134547910183</v>
      </c>
      <c r="AQ175" s="936">
        <f t="shared" ca="1" si="63"/>
        <v>29.544567273955092</v>
      </c>
      <c r="AS175" s="936">
        <f>+IFERROR(VLOOKUP(C175,'Rural - Price Out '!$C:$F,3,FALSE),0)</f>
        <v>5</v>
      </c>
      <c r="AT175" s="909">
        <f t="shared" ca="1" si="64"/>
        <v>0.90891345479101826</v>
      </c>
    </row>
    <row r="176" spans="1:46" s="840" customFormat="1">
      <c r="A176" s="840" t="str">
        <f t="shared" si="48"/>
        <v>PacificCommercialRTRNCART95-COMM</v>
      </c>
      <c r="B176" s="840">
        <f t="shared" si="59"/>
        <v>1</v>
      </c>
      <c r="C176" s="859" t="s">
        <v>2261</v>
      </c>
      <c r="D176" s="859" t="s">
        <v>2262</v>
      </c>
      <c r="E176" s="859">
        <v>5.75</v>
      </c>
      <c r="F176" s="859"/>
      <c r="G176" s="860"/>
      <c r="H176" s="861">
        <v>0</v>
      </c>
      <c r="I176" s="861">
        <v>0</v>
      </c>
      <c r="J176" s="861">
        <v>17.25</v>
      </c>
      <c r="K176" s="861">
        <v>0</v>
      </c>
      <c r="L176" s="861">
        <v>0</v>
      </c>
      <c r="M176" s="861">
        <v>0</v>
      </c>
      <c r="N176" s="861">
        <v>0</v>
      </c>
      <c r="O176" s="861">
        <v>0</v>
      </c>
      <c r="P176" s="861">
        <v>0</v>
      </c>
      <c r="Q176" s="861">
        <v>0</v>
      </c>
      <c r="R176" s="861">
        <v>0</v>
      </c>
      <c r="S176" s="861">
        <v>0</v>
      </c>
      <c r="T176" s="861">
        <f t="shared" si="60"/>
        <v>17.25</v>
      </c>
      <c r="U176" s="861"/>
      <c r="V176" s="861">
        <f t="shared" si="66"/>
        <v>0</v>
      </c>
      <c r="W176" s="861">
        <f t="shared" si="66"/>
        <v>0</v>
      </c>
      <c r="X176" s="861">
        <f t="shared" si="66"/>
        <v>3</v>
      </c>
      <c r="Y176" s="861">
        <f t="shared" si="65"/>
        <v>0</v>
      </c>
      <c r="Z176" s="861">
        <f t="shared" si="65"/>
        <v>0</v>
      </c>
      <c r="AA176" s="861">
        <f t="shared" si="65"/>
        <v>0</v>
      </c>
      <c r="AB176" s="861">
        <f t="shared" si="65"/>
        <v>0</v>
      </c>
      <c r="AC176" s="861">
        <f t="shared" si="65"/>
        <v>0</v>
      </c>
      <c r="AD176" s="861">
        <f t="shared" si="65"/>
        <v>0</v>
      </c>
      <c r="AE176" s="861">
        <f t="shared" si="65"/>
        <v>0</v>
      </c>
      <c r="AF176" s="861">
        <f t="shared" si="65"/>
        <v>0</v>
      </c>
      <c r="AG176" s="861">
        <f t="shared" si="65"/>
        <v>0</v>
      </c>
      <c r="AH176" s="861">
        <f t="shared" si="50"/>
        <v>0.25</v>
      </c>
      <c r="AJ176" s="709"/>
      <c r="AK176" s="936">
        <f t="shared" ca="1" si="51"/>
        <v>0.15891345479101812</v>
      </c>
      <c r="AL176" s="861">
        <f t="shared" si="52"/>
        <v>3</v>
      </c>
      <c r="AM176" s="861">
        <v>0</v>
      </c>
      <c r="AN176" s="863">
        <f t="shared" si="53"/>
        <v>3</v>
      </c>
      <c r="AO176" s="936">
        <f t="shared" ca="1" si="61"/>
        <v>0.47674036437305434</v>
      </c>
      <c r="AP176" s="936">
        <f t="shared" ca="1" si="62"/>
        <v>5.9089134547910183</v>
      </c>
      <c r="AQ176" s="936">
        <f t="shared" ca="1" si="63"/>
        <v>17.726740364373054</v>
      </c>
      <c r="AS176" s="936">
        <f>+IFERROR(VLOOKUP(C176,'Rural - Price Out '!$C:$F,3,FALSE),0)</f>
        <v>0</v>
      </c>
      <c r="AT176" s="909">
        <f t="shared" ca="1" si="64"/>
        <v>5.9089134547910183</v>
      </c>
    </row>
    <row r="177" spans="1:46" s="840" customFormat="1">
      <c r="A177" s="840" t="str">
        <f t="shared" si="48"/>
        <v>PacificCommercialRTRNCART-COMM</v>
      </c>
      <c r="B177" s="840">
        <f t="shared" si="59"/>
        <v>1</v>
      </c>
      <c r="C177" s="859" t="s">
        <v>2263</v>
      </c>
      <c r="D177" s="859" t="s">
        <v>2264</v>
      </c>
      <c r="E177" s="859">
        <v>5.75</v>
      </c>
      <c r="F177" s="859"/>
      <c r="G177" s="860"/>
      <c r="H177" s="861">
        <v>74.75</v>
      </c>
      <c r="I177" s="861">
        <v>11.5</v>
      </c>
      <c r="J177" s="861">
        <v>74.75</v>
      </c>
      <c r="K177" s="861">
        <v>17.25</v>
      </c>
      <c r="L177" s="861">
        <v>63.25</v>
      </c>
      <c r="M177" s="861">
        <v>92</v>
      </c>
      <c r="N177" s="861">
        <v>74.75</v>
      </c>
      <c r="O177" s="861">
        <v>46</v>
      </c>
      <c r="P177" s="861">
        <v>51.75</v>
      </c>
      <c r="Q177" s="861">
        <v>23</v>
      </c>
      <c r="R177" s="861">
        <v>28.75</v>
      </c>
      <c r="S177" s="861">
        <v>11.5</v>
      </c>
      <c r="T177" s="861">
        <f t="shared" si="60"/>
        <v>569.25</v>
      </c>
      <c r="U177" s="861"/>
      <c r="V177" s="861">
        <f t="shared" si="66"/>
        <v>13</v>
      </c>
      <c r="W177" s="861">
        <f t="shared" si="66"/>
        <v>2</v>
      </c>
      <c r="X177" s="861">
        <f t="shared" si="66"/>
        <v>13</v>
      </c>
      <c r="Y177" s="861">
        <f t="shared" si="65"/>
        <v>3</v>
      </c>
      <c r="Z177" s="861">
        <f t="shared" si="65"/>
        <v>11</v>
      </c>
      <c r="AA177" s="861">
        <f t="shared" si="65"/>
        <v>16</v>
      </c>
      <c r="AB177" s="861">
        <f t="shared" si="65"/>
        <v>13</v>
      </c>
      <c r="AC177" s="861">
        <f t="shared" si="65"/>
        <v>8</v>
      </c>
      <c r="AD177" s="861">
        <f t="shared" si="65"/>
        <v>9</v>
      </c>
      <c r="AE177" s="861">
        <f t="shared" si="65"/>
        <v>4</v>
      </c>
      <c r="AF177" s="861">
        <f t="shared" si="65"/>
        <v>5</v>
      </c>
      <c r="AG177" s="861">
        <f t="shared" si="65"/>
        <v>2</v>
      </c>
      <c r="AH177" s="861">
        <f t="shared" si="50"/>
        <v>8.25</v>
      </c>
      <c r="AJ177" s="709"/>
      <c r="AK177" s="936">
        <f t="shared" ca="1" si="51"/>
        <v>0.15891345479101812</v>
      </c>
      <c r="AL177" s="861">
        <f t="shared" si="52"/>
        <v>99</v>
      </c>
      <c r="AM177" s="861">
        <v>7</v>
      </c>
      <c r="AN177" s="863">
        <f t="shared" si="53"/>
        <v>106</v>
      </c>
      <c r="AO177" s="936">
        <f t="shared" ca="1" si="61"/>
        <v>16.84482620784792</v>
      </c>
      <c r="AP177" s="936">
        <f t="shared" ca="1" si="62"/>
        <v>5.9089134547910183</v>
      </c>
      <c r="AQ177" s="936">
        <f t="shared" ca="1" si="63"/>
        <v>584.98243202431081</v>
      </c>
      <c r="AS177" s="936">
        <f>+IFERROR(VLOOKUP(C177,'Rural - Price Out '!$C:$F,3,FALSE),0)</f>
        <v>5</v>
      </c>
      <c r="AT177" s="909">
        <f t="shared" ca="1" si="64"/>
        <v>0.90891345479101826</v>
      </c>
    </row>
    <row r="178" spans="1:46" s="840" customFormat="1">
      <c r="A178" s="840" t="str">
        <f t="shared" si="48"/>
        <v>PacificCommercialRTRNTRIP1.5-COMM</v>
      </c>
      <c r="B178" s="840">
        <f t="shared" si="59"/>
        <v>1</v>
      </c>
      <c r="C178" s="859" t="s">
        <v>2265</v>
      </c>
      <c r="D178" s="859" t="s">
        <v>2266</v>
      </c>
      <c r="E178" s="859">
        <v>15</v>
      </c>
      <c r="F178" s="859"/>
      <c r="G178" s="860"/>
      <c r="H178" s="861">
        <v>0</v>
      </c>
      <c r="I178" s="861">
        <v>0</v>
      </c>
      <c r="J178" s="861">
        <v>0</v>
      </c>
      <c r="K178" s="861">
        <v>0</v>
      </c>
      <c r="L178" s="861">
        <v>0</v>
      </c>
      <c r="M178" s="861">
        <v>0</v>
      </c>
      <c r="N178" s="861">
        <v>0</v>
      </c>
      <c r="O178" s="861">
        <v>0</v>
      </c>
      <c r="P178" s="861">
        <v>0</v>
      </c>
      <c r="Q178" s="861">
        <v>0</v>
      </c>
      <c r="R178" s="861">
        <v>15</v>
      </c>
      <c r="S178" s="861">
        <v>0</v>
      </c>
      <c r="T178" s="861">
        <f t="shared" si="60"/>
        <v>15</v>
      </c>
      <c r="U178" s="861"/>
      <c r="V178" s="861">
        <f t="shared" si="66"/>
        <v>0</v>
      </c>
      <c r="W178" s="861">
        <f t="shared" si="66"/>
        <v>0</v>
      </c>
      <c r="X178" s="861">
        <f t="shared" si="66"/>
        <v>0</v>
      </c>
      <c r="Y178" s="861">
        <f t="shared" si="65"/>
        <v>0</v>
      </c>
      <c r="Z178" s="861">
        <f t="shared" si="65"/>
        <v>0</v>
      </c>
      <c r="AA178" s="861">
        <f t="shared" si="65"/>
        <v>0</v>
      </c>
      <c r="AB178" s="861">
        <f t="shared" si="65"/>
        <v>0</v>
      </c>
      <c r="AC178" s="861">
        <f t="shared" si="65"/>
        <v>0</v>
      </c>
      <c r="AD178" s="861">
        <f t="shared" si="65"/>
        <v>0</v>
      </c>
      <c r="AE178" s="861">
        <f t="shared" si="65"/>
        <v>0</v>
      </c>
      <c r="AF178" s="861">
        <f t="shared" si="65"/>
        <v>1</v>
      </c>
      <c r="AG178" s="861">
        <f t="shared" si="65"/>
        <v>0</v>
      </c>
      <c r="AH178" s="861">
        <f t="shared" si="50"/>
        <v>8.3333333333333329E-2</v>
      </c>
      <c r="AJ178" s="709"/>
      <c r="AK178" s="936">
        <f t="shared" ca="1" si="51"/>
        <v>0.41455683858526465</v>
      </c>
      <c r="AL178" s="861">
        <f t="shared" si="52"/>
        <v>1</v>
      </c>
      <c r="AM178" s="861">
        <v>0</v>
      </c>
      <c r="AN178" s="863">
        <f t="shared" si="53"/>
        <v>1</v>
      </c>
      <c r="AO178" s="936">
        <f t="shared" ca="1" si="61"/>
        <v>0.41455683858526465</v>
      </c>
      <c r="AP178" s="936">
        <f t="shared" ca="1" si="62"/>
        <v>15.414556838585264</v>
      </c>
      <c r="AQ178" s="936">
        <f t="shared" ca="1" si="63"/>
        <v>15.414556838585264</v>
      </c>
      <c r="AS178" s="936">
        <f>+IFERROR(VLOOKUP(C178,'Rural - Price Out '!$C:$F,3,FALSE),0)</f>
        <v>0</v>
      </c>
      <c r="AT178" s="909">
        <f t="shared" ca="1" si="64"/>
        <v>15.414556838585264</v>
      </c>
    </row>
    <row r="179" spans="1:46" s="840" customFormat="1">
      <c r="A179" s="840" t="str">
        <f t="shared" si="48"/>
        <v>PacificCommercialRTRNTRIP1-COMM</v>
      </c>
      <c r="B179" s="840">
        <f t="shared" si="59"/>
        <v>1</v>
      </c>
      <c r="C179" s="859" t="s">
        <v>2267</v>
      </c>
      <c r="D179" s="859" t="s">
        <v>2268</v>
      </c>
      <c r="E179" s="859">
        <v>15</v>
      </c>
      <c r="F179" s="859"/>
      <c r="G179" s="860"/>
      <c r="H179" s="861">
        <v>0</v>
      </c>
      <c r="I179" s="861">
        <v>0</v>
      </c>
      <c r="J179" s="861">
        <v>0</v>
      </c>
      <c r="K179" s="861">
        <v>15</v>
      </c>
      <c r="L179" s="861">
        <v>0</v>
      </c>
      <c r="M179" s="861">
        <v>15</v>
      </c>
      <c r="N179" s="861">
        <v>15</v>
      </c>
      <c r="O179" s="861">
        <v>0</v>
      </c>
      <c r="P179" s="861">
        <v>15</v>
      </c>
      <c r="Q179" s="861">
        <v>0</v>
      </c>
      <c r="R179" s="861">
        <v>0</v>
      </c>
      <c r="S179" s="861">
        <v>15</v>
      </c>
      <c r="T179" s="861">
        <f t="shared" si="60"/>
        <v>75</v>
      </c>
      <c r="U179" s="861"/>
      <c r="V179" s="861">
        <f t="shared" si="66"/>
        <v>0</v>
      </c>
      <c r="W179" s="861">
        <f t="shared" si="66"/>
        <v>0</v>
      </c>
      <c r="X179" s="861">
        <f t="shared" si="66"/>
        <v>0</v>
      </c>
      <c r="Y179" s="861">
        <f t="shared" si="65"/>
        <v>1</v>
      </c>
      <c r="Z179" s="861">
        <f t="shared" si="65"/>
        <v>0</v>
      </c>
      <c r="AA179" s="861">
        <f t="shared" si="65"/>
        <v>1</v>
      </c>
      <c r="AB179" s="861">
        <f t="shared" si="65"/>
        <v>1</v>
      </c>
      <c r="AC179" s="861">
        <f t="shared" si="65"/>
        <v>0</v>
      </c>
      <c r="AD179" s="861">
        <f t="shared" si="65"/>
        <v>1</v>
      </c>
      <c r="AE179" s="861">
        <f t="shared" si="65"/>
        <v>0</v>
      </c>
      <c r="AF179" s="861">
        <f t="shared" si="65"/>
        <v>0</v>
      </c>
      <c r="AG179" s="861">
        <f t="shared" si="65"/>
        <v>1</v>
      </c>
      <c r="AH179" s="861">
        <f t="shared" si="50"/>
        <v>0.41666666666666669</v>
      </c>
      <c r="AJ179" s="709"/>
      <c r="AK179" s="936">
        <f t="shared" ca="1" si="51"/>
        <v>0.41455683858526465</v>
      </c>
      <c r="AL179" s="861">
        <f t="shared" si="52"/>
        <v>5</v>
      </c>
      <c r="AM179" s="861">
        <v>2</v>
      </c>
      <c r="AN179" s="863">
        <f t="shared" si="53"/>
        <v>7</v>
      </c>
      <c r="AO179" s="936">
        <f t="shared" ca="1" si="61"/>
        <v>2.9018978700968527</v>
      </c>
      <c r="AP179" s="936">
        <f t="shared" ca="1" si="62"/>
        <v>15.414556838585264</v>
      </c>
      <c r="AQ179" s="936">
        <f t="shared" ca="1" si="63"/>
        <v>77.072784192926335</v>
      </c>
      <c r="AS179" s="936">
        <f>+IFERROR(VLOOKUP(C179,'Rural - Price Out '!$C:$F,3,FALSE),0)</f>
        <v>15</v>
      </c>
      <c r="AT179" s="909">
        <f t="shared" ca="1" si="64"/>
        <v>0.41455683858526449</v>
      </c>
    </row>
    <row r="180" spans="1:46" s="840" customFormat="1">
      <c r="A180" s="840" t="str">
        <f t="shared" si="48"/>
        <v>PacificCommercialRTRNTRIP2-COMM</v>
      </c>
      <c r="B180" s="840">
        <f t="shared" si="59"/>
        <v>1</v>
      </c>
      <c r="C180" s="859" t="s">
        <v>2269</v>
      </c>
      <c r="D180" s="859" t="s">
        <v>2270</v>
      </c>
      <c r="E180" s="859">
        <v>15</v>
      </c>
      <c r="F180" s="859"/>
      <c r="G180" s="860"/>
      <c r="H180" s="861">
        <v>15</v>
      </c>
      <c r="I180" s="861">
        <v>0</v>
      </c>
      <c r="J180" s="861">
        <v>0</v>
      </c>
      <c r="K180" s="861">
        <v>15</v>
      </c>
      <c r="L180" s="861">
        <v>0</v>
      </c>
      <c r="M180" s="861">
        <v>15</v>
      </c>
      <c r="N180" s="861">
        <v>0</v>
      </c>
      <c r="O180" s="861">
        <v>0</v>
      </c>
      <c r="P180" s="861">
        <v>0</v>
      </c>
      <c r="Q180" s="861">
        <v>0</v>
      </c>
      <c r="R180" s="861">
        <v>15</v>
      </c>
      <c r="S180" s="861">
        <v>0</v>
      </c>
      <c r="T180" s="861">
        <f t="shared" si="60"/>
        <v>60</v>
      </c>
      <c r="U180" s="861"/>
      <c r="V180" s="861">
        <f t="shared" si="66"/>
        <v>1</v>
      </c>
      <c r="W180" s="861">
        <f t="shared" si="66"/>
        <v>0</v>
      </c>
      <c r="X180" s="861">
        <f t="shared" si="66"/>
        <v>0</v>
      </c>
      <c r="Y180" s="861">
        <f t="shared" si="65"/>
        <v>1</v>
      </c>
      <c r="Z180" s="861">
        <f t="shared" si="65"/>
        <v>0</v>
      </c>
      <c r="AA180" s="861">
        <f t="shared" si="65"/>
        <v>1</v>
      </c>
      <c r="AB180" s="861">
        <f t="shared" si="65"/>
        <v>0</v>
      </c>
      <c r="AC180" s="861">
        <f t="shared" si="65"/>
        <v>0</v>
      </c>
      <c r="AD180" s="861">
        <f t="shared" si="65"/>
        <v>0</v>
      </c>
      <c r="AE180" s="861">
        <f t="shared" si="65"/>
        <v>0</v>
      </c>
      <c r="AF180" s="861">
        <f t="shared" si="65"/>
        <v>1</v>
      </c>
      <c r="AG180" s="861">
        <f t="shared" si="65"/>
        <v>0</v>
      </c>
      <c r="AH180" s="861">
        <f t="shared" si="50"/>
        <v>0.33333333333333331</v>
      </c>
      <c r="AJ180" s="709"/>
      <c r="AK180" s="936">
        <f t="shared" ca="1" si="51"/>
        <v>0.41455683858526465</v>
      </c>
      <c r="AL180" s="861">
        <f t="shared" si="52"/>
        <v>4</v>
      </c>
      <c r="AM180" s="861">
        <v>0</v>
      </c>
      <c r="AN180" s="863">
        <f t="shared" si="53"/>
        <v>4</v>
      </c>
      <c r="AO180" s="936">
        <f t="shared" ca="1" si="61"/>
        <v>1.6582273543410586</v>
      </c>
      <c r="AP180" s="936">
        <f t="shared" ca="1" si="62"/>
        <v>15.414556838585264</v>
      </c>
      <c r="AQ180" s="936">
        <f t="shared" ca="1" si="63"/>
        <v>61.658227354341058</v>
      </c>
      <c r="AS180" s="936">
        <f>+IFERROR(VLOOKUP(C180,'Rural - Price Out '!$C:$F,3,FALSE),0)</f>
        <v>0</v>
      </c>
      <c r="AT180" s="909">
        <f t="shared" ca="1" si="64"/>
        <v>15.414556838585264</v>
      </c>
    </row>
    <row r="181" spans="1:46" s="840" customFormat="1">
      <c r="A181" s="840" t="str">
        <f t="shared" si="48"/>
        <v>PacificCommercialRTRNTRIP3-COMM</v>
      </c>
      <c r="B181" s="840">
        <f t="shared" si="59"/>
        <v>1</v>
      </c>
      <c r="C181" s="859" t="s">
        <v>2271</v>
      </c>
      <c r="D181" s="859" t="s">
        <v>2272</v>
      </c>
      <c r="E181" s="859">
        <v>15</v>
      </c>
      <c r="F181" s="859"/>
      <c r="G181" s="860"/>
      <c r="H181" s="861">
        <v>0</v>
      </c>
      <c r="I181" s="861">
        <v>0</v>
      </c>
      <c r="J181" s="861">
        <v>0</v>
      </c>
      <c r="K181" s="861">
        <v>0</v>
      </c>
      <c r="L181" s="861">
        <v>0</v>
      </c>
      <c r="M181" s="861">
        <v>0</v>
      </c>
      <c r="N181" s="861">
        <v>15</v>
      </c>
      <c r="O181" s="861">
        <v>0</v>
      </c>
      <c r="P181" s="861">
        <v>0</v>
      </c>
      <c r="Q181" s="861">
        <v>0</v>
      </c>
      <c r="R181" s="861">
        <v>0</v>
      </c>
      <c r="S181" s="861">
        <v>0</v>
      </c>
      <c r="T181" s="861">
        <f t="shared" si="60"/>
        <v>15</v>
      </c>
      <c r="U181" s="861"/>
      <c r="V181" s="861">
        <f t="shared" si="66"/>
        <v>0</v>
      </c>
      <c r="W181" s="861">
        <f t="shared" si="66"/>
        <v>0</v>
      </c>
      <c r="X181" s="861">
        <f t="shared" si="66"/>
        <v>0</v>
      </c>
      <c r="Y181" s="861">
        <f t="shared" si="65"/>
        <v>0</v>
      </c>
      <c r="Z181" s="861">
        <f t="shared" si="65"/>
        <v>0</v>
      </c>
      <c r="AA181" s="861">
        <f t="shared" si="65"/>
        <v>0</v>
      </c>
      <c r="AB181" s="861">
        <f t="shared" si="65"/>
        <v>1</v>
      </c>
      <c r="AC181" s="861">
        <f t="shared" si="65"/>
        <v>0</v>
      </c>
      <c r="AD181" s="861">
        <f t="shared" si="65"/>
        <v>0</v>
      </c>
      <c r="AE181" s="861">
        <f t="shared" si="65"/>
        <v>0</v>
      </c>
      <c r="AF181" s="861">
        <f t="shared" si="65"/>
        <v>0</v>
      </c>
      <c r="AG181" s="861">
        <f t="shared" si="65"/>
        <v>0</v>
      </c>
      <c r="AH181" s="861">
        <f t="shared" si="50"/>
        <v>8.3333333333333329E-2</v>
      </c>
      <c r="AJ181" s="709"/>
      <c r="AK181" s="936">
        <f t="shared" ca="1" si="51"/>
        <v>0.41455683858526465</v>
      </c>
      <c r="AL181" s="861">
        <f t="shared" si="52"/>
        <v>1</v>
      </c>
      <c r="AM181" s="861">
        <v>0</v>
      </c>
      <c r="AN181" s="863">
        <f t="shared" si="53"/>
        <v>1</v>
      </c>
      <c r="AO181" s="936">
        <f t="shared" ca="1" si="61"/>
        <v>0.41455683858526465</v>
      </c>
      <c r="AP181" s="936">
        <f t="shared" ca="1" si="62"/>
        <v>15.414556838585264</v>
      </c>
      <c r="AQ181" s="936">
        <f t="shared" ca="1" si="63"/>
        <v>15.414556838585264</v>
      </c>
      <c r="AS181" s="936">
        <f>+IFERROR(VLOOKUP(C181,'Rural - Price Out '!$C:$F,3,FALSE),0)</f>
        <v>0</v>
      </c>
      <c r="AT181" s="909">
        <f t="shared" ca="1" si="64"/>
        <v>15.414556838585264</v>
      </c>
    </row>
    <row r="182" spans="1:46" s="840" customFormat="1">
      <c r="A182" s="840" t="str">
        <f t="shared" si="48"/>
        <v>PacificCommercialRTRNTRIP4-COMM</v>
      </c>
      <c r="B182" s="840">
        <f t="shared" si="59"/>
        <v>1</v>
      </c>
      <c r="C182" s="859" t="s">
        <v>2273</v>
      </c>
      <c r="D182" s="859" t="s">
        <v>2274</v>
      </c>
      <c r="E182" s="859">
        <v>15</v>
      </c>
      <c r="F182" s="859"/>
      <c r="G182" s="860"/>
      <c r="H182" s="861">
        <v>0</v>
      </c>
      <c r="I182" s="861">
        <v>0</v>
      </c>
      <c r="J182" s="861">
        <v>0</v>
      </c>
      <c r="K182" s="861">
        <v>0</v>
      </c>
      <c r="L182" s="861">
        <v>0</v>
      </c>
      <c r="M182" s="861">
        <v>15</v>
      </c>
      <c r="N182" s="861">
        <v>15</v>
      </c>
      <c r="O182" s="861">
        <v>0</v>
      </c>
      <c r="P182" s="861">
        <v>0</v>
      </c>
      <c r="Q182" s="861">
        <v>15</v>
      </c>
      <c r="R182" s="861">
        <v>0</v>
      </c>
      <c r="S182" s="861">
        <v>0</v>
      </c>
      <c r="T182" s="861">
        <f t="shared" si="60"/>
        <v>45</v>
      </c>
      <c r="U182" s="861"/>
      <c r="V182" s="861">
        <f t="shared" si="66"/>
        <v>0</v>
      </c>
      <c r="W182" s="861">
        <f t="shared" si="66"/>
        <v>0</v>
      </c>
      <c r="X182" s="861">
        <f t="shared" si="66"/>
        <v>0</v>
      </c>
      <c r="Y182" s="861">
        <f t="shared" si="65"/>
        <v>0</v>
      </c>
      <c r="Z182" s="861">
        <f t="shared" si="65"/>
        <v>0</v>
      </c>
      <c r="AA182" s="861">
        <f t="shared" si="65"/>
        <v>1</v>
      </c>
      <c r="AB182" s="861">
        <f t="shared" si="65"/>
        <v>1</v>
      </c>
      <c r="AC182" s="861">
        <f t="shared" si="65"/>
        <v>0</v>
      </c>
      <c r="AD182" s="861">
        <f t="shared" si="65"/>
        <v>0</v>
      </c>
      <c r="AE182" s="861">
        <f t="shared" si="65"/>
        <v>1</v>
      </c>
      <c r="AF182" s="861">
        <f t="shared" si="65"/>
        <v>0</v>
      </c>
      <c r="AG182" s="861">
        <f t="shared" si="65"/>
        <v>0</v>
      </c>
      <c r="AH182" s="861">
        <f t="shared" si="50"/>
        <v>0.25</v>
      </c>
      <c r="AJ182" s="709"/>
      <c r="AK182" s="936">
        <f t="shared" ca="1" si="51"/>
        <v>0.41455683858526465</v>
      </c>
      <c r="AL182" s="861">
        <f t="shared" si="52"/>
        <v>3</v>
      </c>
      <c r="AM182" s="861">
        <v>0</v>
      </c>
      <c r="AN182" s="863">
        <f t="shared" si="53"/>
        <v>3</v>
      </c>
      <c r="AO182" s="936">
        <f t="shared" ca="1" si="61"/>
        <v>1.2436705157557939</v>
      </c>
      <c r="AP182" s="936">
        <f t="shared" ca="1" si="62"/>
        <v>15.414556838585264</v>
      </c>
      <c r="AQ182" s="936">
        <f t="shared" ca="1" si="63"/>
        <v>46.243670515755795</v>
      </c>
      <c r="AS182" s="936">
        <f>+IFERROR(VLOOKUP(C182,'Rural - Price Out '!$C:$F,3,FALSE),0)</f>
        <v>0</v>
      </c>
      <c r="AT182" s="909">
        <f t="shared" ca="1" si="64"/>
        <v>15.414556838585264</v>
      </c>
    </row>
    <row r="183" spans="1:46" s="840" customFormat="1">
      <c r="A183" s="840" t="str">
        <f t="shared" si="48"/>
        <v>PacificCommercialRTRNTRIP6-COMM</v>
      </c>
      <c r="B183" s="840">
        <f t="shared" si="59"/>
        <v>1</v>
      </c>
      <c r="C183" s="859" t="s">
        <v>2275</v>
      </c>
      <c r="D183" s="859" t="s">
        <v>2276</v>
      </c>
      <c r="E183" s="859">
        <v>15</v>
      </c>
      <c r="F183" s="859"/>
      <c r="G183" s="860"/>
      <c r="H183" s="861">
        <v>0</v>
      </c>
      <c r="I183" s="861">
        <v>0</v>
      </c>
      <c r="J183" s="861">
        <v>0</v>
      </c>
      <c r="K183" s="861">
        <v>0</v>
      </c>
      <c r="L183" s="861">
        <v>0</v>
      </c>
      <c r="M183" s="861">
        <v>15</v>
      </c>
      <c r="N183" s="861">
        <v>0</v>
      </c>
      <c r="O183" s="861">
        <v>0</v>
      </c>
      <c r="P183" s="861">
        <v>0</v>
      </c>
      <c r="Q183" s="861">
        <v>0</v>
      </c>
      <c r="R183" s="861">
        <v>0</v>
      </c>
      <c r="S183" s="861">
        <v>15</v>
      </c>
      <c r="T183" s="861">
        <f t="shared" si="60"/>
        <v>30</v>
      </c>
      <c r="U183" s="861"/>
      <c r="V183" s="861">
        <f t="shared" si="66"/>
        <v>0</v>
      </c>
      <c r="W183" s="861">
        <f t="shared" si="66"/>
        <v>0</v>
      </c>
      <c r="X183" s="861">
        <f t="shared" si="66"/>
        <v>0</v>
      </c>
      <c r="Y183" s="861">
        <f t="shared" si="65"/>
        <v>0</v>
      </c>
      <c r="Z183" s="861">
        <f t="shared" si="65"/>
        <v>0</v>
      </c>
      <c r="AA183" s="861">
        <f t="shared" si="65"/>
        <v>1</v>
      </c>
      <c r="AB183" s="861">
        <f t="shared" si="65"/>
        <v>0</v>
      </c>
      <c r="AC183" s="861">
        <f t="shared" si="65"/>
        <v>0</v>
      </c>
      <c r="AD183" s="861">
        <f t="shared" si="65"/>
        <v>0</v>
      </c>
      <c r="AE183" s="861">
        <f t="shared" si="65"/>
        <v>0</v>
      </c>
      <c r="AF183" s="861">
        <f t="shared" si="65"/>
        <v>0</v>
      </c>
      <c r="AG183" s="861">
        <f t="shared" si="65"/>
        <v>1</v>
      </c>
      <c r="AH183" s="861">
        <f t="shared" si="50"/>
        <v>0.16666666666666666</v>
      </c>
      <c r="AJ183" s="709"/>
      <c r="AK183" s="936">
        <f t="shared" ca="1" si="51"/>
        <v>0.41455683858526465</v>
      </c>
      <c r="AL183" s="861">
        <f t="shared" si="52"/>
        <v>2</v>
      </c>
      <c r="AM183" s="861">
        <v>0</v>
      </c>
      <c r="AN183" s="863">
        <f t="shared" si="53"/>
        <v>2</v>
      </c>
      <c r="AO183" s="936">
        <f t="shared" ca="1" si="61"/>
        <v>0.82911367717052931</v>
      </c>
      <c r="AP183" s="936">
        <f t="shared" ca="1" si="62"/>
        <v>15.414556838585264</v>
      </c>
      <c r="AQ183" s="936">
        <f t="shared" ca="1" si="63"/>
        <v>30.829113677170529</v>
      </c>
      <c r="AS183" s="936">
        <f>+IFERROR(VLOOKUP(C183,'Rural - Price Out '!$C:$F,3,FALSE),0)</f>
        <v>0</v>
      </c>
      <c r="AT183" s="909">
        <f t="shared" ca="1" si="64"/>
        <v>15.414556838585264</v>
      </c>
    </row>
    <row r="184" spans="1:46" s="840" customFormat="1">
      <c r="A184" s="840" t="str">
        <f t="shared" si="48"/>
        <v>PacificCommercialRTRNTRIP-COMM</v>
      </c>
      <c r="B184" s="840">
        <f t="shared" si="59"/>
        <v>1</v>
      </c>
      <c r="C184" s="859" t="s">
        <v>2277</v>
      </c>
      <c r="D184" s="859" t="s">
        <v>2278</v>
      </c>
      <c r="E184" s="859">
        <v>15</v>
      </c>
      <c r="F184" s="859"/>
      <c r="G184" s="860"/>
      <c r="H184" s="861">
        <v>125</v>
      </c>
      <c r="I184" s="861">
        <v>100</v>
      </c>
      <c r="J184" s="861">
        <v>30</v>
      </c>
      <c r="K184" s="861">
        <v>30</v>
      </c>
      <c r="L184" s="861">
        <v>75</v>
      </c>
      <c r="M184" s="861">
        <v>0</v>
      </c>
      <c r="N184" s="861">
        <v>0</v>
      </c>
      <c r="O184" s="861">
        <v>15</v>
      </c>
      <c r="P184" s="861">
        <v>0</v>
      </c>
      <c r="Q184" s="861">
        <v>30</v>
      </c>
      <c r="R184" s="861">
        <v>45</v>
      </c>
      <c r="S184" s="861">
        <v>45</v>
      </c>
      <c r="T184" s="861">
        <f t="shared" si="60"/>
        <v>495</v>
      </c>
      <c r="U184" s="861"/>
      <c r="V184" s="861">
        <f t="shared" si="66"/>
        <v>8.3333333333333339</v>
      </c>
      <c r="W184" s="861">
        <f t="shared" si="66"/>
        <v>6.666666666666667</v>
      </c>
      <c r="X184" s="861">
        <f t="shared" si="66"/>
        <v>2</v>
      </c>
      <c r="Y184" s="861">
        <f t="shared" si="65"/>
        <v>2</v>
      </c>
      <c r="Z184" s="861">
        <f t="shared" si="65"/>
        <v>5</v>
      </c>
      <c r="AA184" s="861">
        <f t="shared" si="65"/>
        <v>0</v>
      </c>
      <c r="AB184" s="861">
        <f t="shared" si="65"/>
        <v>0</v>
      </c>
      <c r="AC184" s="861">
        <f t="shared" si="65"/>
        <v>1</v>
      </c>
      <c r="AD184" s="861">
        <f t="shared" si="65"/>
        <v>0</v>
      </c>
      <c r="AE184" s="861">
        <f t="shared" si="65"/>
        <v>2</v>
      </c>
      <c r="AF184" s="861">
        <f t="shared" si="65"/>
        <v>3</v>
      </c>
      <c r="AG184" s="861">
        <f t="shared" si="65"/>
        <v>3</v>
      </c>
      <c r="AH184" s="861">
        <f t="shared" si="50"/>
        <v>2.75</v>
      </c>
      <c r="AJ184" s="709"/>
      <c r="AK184" s="936">
        <f t="shared" ca="1" si="51"/>
        <v>0.41455683858526465</v>
      </c>
      <c r="AL184" s="861">
        <f t="shared" si="52"/>
        <v>33</v>
      </c>
      <c r="AM184" s="861">
        <v>0</v>
      </c>
      <c r="AN184" s="863">
        <f t="shared" si="53"/>
        <v>33</v>
      </c>
      <c r="AO184" s="936">
        <f t="shared" ca="1" si="61"/>
        <v>13.680375673313733</v>
      </c>
      <c r="AP184" s="936">
        <f t="shared" ca="1" si="62"/>
        <v>15.414556838585264</v>
      </c>
      <c r="AQ184" s="936">
        <f t="shared" ca="1" si="63"/>
        <v>508.68037567331373</v>
      </c>
      <c r="AS184" s="936">
        <f>+IFERROR(VLOOKUP(C184,'Rural - Price Out '!$C:$F,3,FALSE),0)</f>
        <v>0</v>
      </c>
      <c r="AT184" s="909">
        <f t="shared" ca="1" si="64"/>
        <v>15.414556838585264</v>
      </c>
    </row>
    <row r="185" spans="1:46" s="840" customFormat="1">
      <c r="A185" s="840" t="str">
        <f t="shared" si="48"/>
        <v>PacificCommercialSP65-COMM</v>
      </c>
      <c r="B185" s="840">
        <f t="shared" si="59"/>
        <v>1</v>
      </c>
      <c r="C185" s="859" t="s">
        <v>2279</v>
      </c>
      <c r="D185" s="859" t="s">
        <v>2280</v>
      </c>
      <c r="E185" s="859">
        <v>0</v>
      </c>
      <c r="F185" s="859"/>
      <c r="G185" s="860"/>
      <c r="H185" s="861">
        <v>0</v>
      </c>
      <c r="I185" s="861">
        <v>15.04</v>
      </c>
      <c r="J185" s="861">
        <v>0</v>
      </c>
      <c r="K185" s="861">
        <v>0</v>
      </c>
      <c r="L185" s="861">
        <v>0</v>
      </c>
      <c r="M185" s="861">
        <v>0</v>
      </c>
      <c r="N185" s="861">
        <v>0</v>
      </c>
      <c r="O185" s="861">
        <v>0</v>
      </c>
      <c r="P185" s="861">
        <v>0</v>
      </c>
      <c r="Q185" s="861">
        <v>0</v>
      </c>
      <c r="R185" s="861">
        <v>0</v>
      </c>
      <c r="S185" s="861">
        <v>0</v>
      </c>
      <c r="T185" s="861">
        <f t="shared" si="60"/>
        <v>15.04</v>
      </c>
      <c r="U185" s="861"/>
      <c r="V185" s="861">
        <f t="shared" si="66"/>
        <v>0</v>
      </c>
      <c r="W185" s="861">
        <f t="shared" si="66"/>
        <v>0</v>
      </c>
      <c r="X185" s="861">
        <f t="shared" si="66"/>
        <v>0</v>
      </c>
      <c r="Y185" s="861">
        <f t="shared" si="65"/>
        <v>0</v>
      </c>
      <c r="Z185" s="861">
        <f t="shared" si="65"/>
        <v>0</v>
      </c>
      <c r="AA185" s="861">
        <f t="shared" si="65"/>
        <v>0</v>
      </c>
      <c r="AB185" s="861">
        <f t="shared" si="65"/>
        <v>0</v>
      </c>
      <c r="AC185" s="861">
        <f t="shared" si="65"/>
        <v>0</v>
      </c>
      <c r="AD185" s="861">
        <f t="shared" si="65"/>
        <v>0</v>
      </c>
      <c r="AE185" s="861">
        <f t="shared" si="65"/>
        <v>0</v>
      </c>
      <c r="AF185" s="861">
        <f t="shared" si="65"/>
        <v>0</v>
      </c>
      <c r="AG185" s="861">
        <f t="shared" si="65"/>
        <v>0</v>
      </c>
      <c r="AH185" s="861">
        <f t="shared" si="50"/>
        <v>0</v>
      </c>
      <c r="AJ185" s="709"/>
      <c r="AK185" s="936">
        <f t="shared" ca="1" si="51"/>
        <v>0</v>
      </c>
      <c r="AL185" s="861">
        <f t="shared" si="52"/>
        <v>0</v>
      </c>
      <c r="AM185" s="861">
        <v>0</v>
      </c>
      <c r="AN185" s="863">
        <f t="shared" si="53"/>
        <v>0</v>
      </c>
      <c r="AO185" s="936">
        <f t="shared" ca="1" si="61"/>
        <v>0</v>
      </c>
      <c r="AP185" s="936">
        <f t="shared" ca="1" si="62"/>
        <v>0</v>
      </c>
      <c r="AQ185" s="936">
        <f t="shared" ca="1" si="63"/>
        <v>0</v>
      </c>
      <c r="AS185" s="936">
        <f>+IFERROR(VLOOKUP(C185,'Rural - Price Out '!$C:$F,3,FALSE),0)</f>
        <v>0</v>
      </c>
      <c r="AT185" s="909">
        <f t="shared" ca="1" si="64"/>
        <v>0</v>
      </c>
    </row>
    <row r="186" spans="1:46" s="840" customFormat="1">
      <c r="A186" s="840" t="str">
        <f t="shared" si="48"/>
        <v>PacificCommercialSP95-COMM</v>
      </c>
      <c r="B186" s="840">
        <f t="shared" si="59"/>
        <v>1</v>
      </c>
      <c r="C186" s="859" t="s">
        <v>2281</v>
      </c>
      <c r="D186" s="859" t="s">
        <v>2282</v>
      </c>
      <c r="E186" s="859">
        <v>18.61</v>
      </c>
      <c r="F186" s="859"/>
      <c r="G186" s="860"/>
      <c r="H186" s="861">
        <v>148.88</v>
      </c>
      <c r="I186" s="861">
        <v>37.22</v>
      </c>
      <c r="J186" s="861">
        <v>37.22</v>
      </c>
      <c r="K186" s="861">
        <v>111.66</v>
      </c>
      <c r="L186" s="861">
        <v>93.05</v>
      </c>
      <c r="M186" s="861">
        <v>18.61</v>
      </c>
      <c r="N186" s="861">
        <v>37.22</v>
      </c>
      <c r="O186" s="861">
        <v>0</v>
      </c>
      <c r="P186" s="861">
        <v>0</v>
      </c>
      <c r="Q186" s="861">
        <v>0</v>
      </c>
      <c r="R186" s="861">
        <v>55.83</v>
      </c>
      <c r="S186" s="861">
        <v>0</v>
      </c>
      <c r="T186" s="861">
        <f t="shared" si="60"/>
        <v>539.69000000000005</v>
      </c>
      <c r="U186" s="861"/>
      <c r="V186" s="861">
        <f t="shared" si="66"/>
        <v>8</v>
      </c>
      <c r="W186" s="861">
        <f t="shared" si="66"/>
        <v>2</v>
      </c>
      <c r="X186" s="861">
        <f t="shared" si="66"/>
        <v>2</v>
      </c>
      <c r="Y186" s="861">
        <f t="shared" si="65"/>
        <v>6</v>
      </c>
      <c r="Z186" s="861">
        <f t="shared" si="65"/>
        <v>5</v>
      </c>
      <c r="AA186" s="861">
        <f t="shared" si="65"/>
        <v>1</v>
      </c>
      <c r="AB186" s="861">
        <f t="shared" si="65"/>
        <v>2</v>
      </c>
      <c r="AC186" s="861">
        <f t="shared" si="65"/>
        <v>0</v>
      </c>
      <c r="AD186" s="861">
        <f t="shared" si="65"/>
        <v>0</v>
      </c>
      <c r="AE186" s="861">
        <f t="shared" si="65"/>
        <v>0</v>
      </c>
      <c r="AF186" s="861">
        <f t="shared" si="65"/>
        <v>3</v>
      </c>
      <c r="AG186" s="861">
        <f t="shared" si="65"/>
        <v>0</v>
      </c>
      <c r="AH186" s="861">
        <f t="shared" si="50"/>
        <v>2.4166666666666665</v>
      </c>
      <c r="AJ186" s="709"/>
      <c r="AK186" s="936">
        <f t="shared" ca="1" si="51"/>
        <v>0.5143268510714516</v>
      </c>
      <c r="AL186" s="861">
        <f t="shared" si="52"/>
        <v>29</v>
      </c>
      <c r="AM186" s="861">
        <v>0</v>
      </c>
      <c r="AN186" s="863">
        <f t="shared" si="53"/>
        <v>29</v>
      </c>
      <c r="AO186" s="936">
        <f t="shared" ca="1" si="61"/>
        <v>14.915478681072097</v>
      </c>
      <c r="AP186" s="936">
        <f t="shared" ca="1" si="62"/>
        <v>19.124326851071451</v>
      </c>
      <c r="AQ186" s="936">
        <f t="shared" ca="1" si="63"/>
        <v>554.6054786810721</v>
      </c>
      <c r="AS186" s="936">
        <f>+IFERROR(VLOOKUP(C186,'Rural - Price Out '!$C:$F,3,FALSE),0)</f>
        <v>0</v>
      </c>
      <c r="AT186" s="909">
        <f t="shared" ca="1" si="64"/>
        <v>19.124326851071451</v>
      </c>
    </row>
    <row r="187" spans="1:46" s="840" customFormat="1">
      <c r="A187" s="840" t="str">
        <f t="shared" si="48"/>
        <v>PacificCommercialWI3-COMM</v>
      </c>
      <c r="B187" s="840">
        <f t="shared" si="59"/>
        <v>1</v>
      </c>
      <c r="C187" s="859" t="s">
        <v>2283</v>
      </c>
      <c r="D187" s="859" t="s">
        <v>2284</v>
      </c>
      <c r="E187" s="859">
        <v>5.1100000000000003</v>
      </c>
      <c r="F187" s="859"/>
      <c r="G187" s="860"/>
      <c r="H187" s="861">
        <v>5.1100000000000003</v>
      </c>
      <c r="I187" s="861">
        <v>5.1100000000000003</v>
      </c>
      <c r="J187" s="861">
        <v>5.1100000000000003</v>
      </c>
      <c r="K187" s="861">
        <v>5.1100000000000003</v>
      </c>
      <c r="L187" s="861">
        <v>5.1100000000000003</v>
      </c>
      <c r="M187" s="861">
        <v>5.1100000000000003</v>
      </c>
      <c r="N187" s="861">
        <v>5.1100000000000003</v>
      </c>
      <c r="O187" s="861">
        <v>5.1100000000000003</v>
      </c>
      <c r="P187" s="861">
        <v>5.1100000000000003</v>
      </c>
      <c r="Q187" s="861">
        <v>5.1100000000000003</v>
      </c>
      <c r="R187" s="861">
        <v>5.1100000000000003</v>
      </c>
      <c r="S187" s="861">
        <v>5.1100000000000003</v>
      </c>
      <c r="T187" s="861">
        <f t="shared" si="60"/>
        <v>61.32</v>
      </c>
      <c r="U187" s="861"/>
      <c r="V187" s="861">
        <f t="shared" si="66"/>
        <v>1</v>
      </c>
      <c r="W187" s="861">
        <f t="shared" si="66"/>
        <v>1</v>
      </c>
      <c r="X187" s="861">
        <f t="shared" si="66"/>
        <v>1</v>
      </c>
      <c r="Y187" s="861">
        <f t="shared" si="65"/>
        <v>1</v>
      </c>
      <c r="Z187" s="861">
        <f t="shared" si="65"/>
        <v>1</v>
      </c>
      <c r="AA187" s="861">
        <f t="shared" si="65"/>
        <v>1</v>
      </c>
      <c r="AB187" s="861">
        <f t="shared" si="65"/>
        <v>1</v>
      </c>
      <c r="AC187" s="861">
        <f t="shared" si="65"/>
        <v>1</v>
      </c>
      <c r="AD187" s="861">
        <f t="shared" si="65"/>
        <v>1</v>
      </c>
      <c r="AE187" s="861">
        <f t="shared" si="65"/>
        <v>1</v>
      </c>
      <c r="AF187" s="861">
        <f t="shared" si="65"/>
        <v>1</v>
      </c>
      <c r="AG187" s="861">
        <f t="shared" si="65"/>
        <v>1</v>
      </c>
      <c r="AH187" s="861">
        <f t="shared" si="50"/>
        <v>1</v>
      </c>
      <c r="AJ187" s="709"/>
      <c r="AK187" s="936">
        <f t="shared" ca="1" si="51"/>
        <v>0.14122569634471349</v>
      </c>
      <c r="AL187" s="861">
        <f t="shared" si="52"/>
        <v>12</v>
      </c>
      <c r="AM187" s="861">
        <v>0</v>
      </c>
      <c r="AN187" s="863">
        <f t="shared" si="53"/>
        <v>12</v>
      </c>
      <c r="AO187" s="936">
        <f t="shared" ca="1" si="61"/>
        <v>1.6947083561365619</v>
      </c>
      <c r="AP187" s="936">
        <f t="shared" ca="1" si="62"/>
        <v>5.2512256963447141</v>
      </c>
      <c r="AQ187" s="936">
        <f t="shared" ca="1" si="63"/>
        <v>63.014708356136566</v>
      </c>
      <c r="AS187" s="936">
        <f>+IFERROR(VLOOKUP(C187,'Rural - Price Out '!$C:$F,3,FALSE),0)</f>
        <v>0</v>
      </c>
      <c r="AT187" s="909">
        <f t="shared" ca="1" si="64"/>
        <v>5.2512256963447141</v>
      </c>
    </row>
    <row r="188" spans="1:46" s="840" customFormat="1">
      <c r="A188" s="840" t="str">
        <f t="shared" si="48"/>
        <v>PacificCommercialRENT35GL-COMM</v>
      </c>
      <c r="B188" s="840">
        <f t="shared" si="59"/>
        <v>1</v>
      </c>
      <c r="C188" s="859" t="s">
        <v>2285</v>
      </c>
      <c r="D188" s="859" t="s">
        <v>2286</v>
      </c>
      <c r="E188" s="859">
        <v>6</v>
      </c>
      <c r="F188" s="859"/>
      <c r="G188" s="860"/>
      <c r="H188" s="861">
        <v>0</v>
      </c>
      <c r="I188" s="861">
        <v>0</v>
      </c>
      <c r="J188" s="861">
        <v>0</v>
      </c>
      <c r="K188" s="861">
        <v>0</v>
      </c>
      <c r="L188" s="861">
        <v>120</v>
      </c>
      <c r="M188" s="861">
        <v>-120</v>
      </c>
      <c r="N188" s="861">
        <v>0</v>
      </c>
      <c r="O188" s="861">
        <v>0</v>
      </c>
      <c r="P188" s="861">
        <v>0</v>
      </c>
      <c r="Q188" s="861">
        <v>0</v>
      </c>
      <c r="R188" s="861">
        <v>0</v>
      </c>
      <c r="S188" s="861">
        <v>0</v>
      </c>
      <c r="T188" s="861">
        <f t="shared" si="60"/>
        <v>0</v>
      </c>
      <c r="U188" s="861"/>
      <c r="V188" s="861">
        <f t="shared" si="66"/>
        <v>0</v>
      </c>
      <c r="W188" s="861">
        <f t="shared" si="66"/>
        <v>0</v>
      </c>
      <c r="X188" s="861">
        <f t="shared" si="66"/>
        <v>0</v>
      </c>
      <c r="Y188" s="861">
        <f t="shared" si="65"/>
        <v>0</v>
      </c>
      <c r="Z188" s="861">
        <f t="shared" si="65"/>
        <v>20</v>
      </c>
      <c r="AA188" s="861">
        <f t="shared" si="65"/>
        <v>-20</v>
      </c>
      <c r="AB188" s="861">
        <f t="shared" si="65"/>
        <v>0</v>
      </c>
      <c r="AC188" s="861">
        <f t="shared" si="65"/>
        <v>0</v>
      </c>
      <c r="AD188" s="861">
        <f t="shared" si="65"/>
        <v>0</v>
      </c>
      <c r="AE188" s="861">
        <f t="shared" si="65"/>
        <v>0</v>
      </c>
      <c r="AF188" s="861">
        <f t="shared" si="65"/>
        <v>0</v>
      </c>
      <c r="AG188" s="861">
        <f t="shared" si="65"/>
        <v>0</v>
      </c>
      <c r="AH188" s="861">
        <f t="shared" si="50"/>
        <v>0</v>
      </c>
      <c r="AJ188" s="709"/>
      <c r="AK188" s="936">
        <f t="shared" ca="1" si="51"/>
        <v>0.16582273543410586</v>
      </c>
      <c r="AL188" s="861">
        <f t="shared" si="52"/>
        <v>0</v>
      </c>
      <c r="AM188" s="861">
        <v>0</v>
      </c>
      <c r="AN188" s="863">
        <f t="shared" si="53"/>
        <v>0</v>
      </c>
      <c r="AO188" s="936">
        <f t="shared" ca="1" si="61"/>
        <v>0</v>
      </c>
      <c r="AP188" s="936">
        <f t="shared" ca="1" si="62"/>
        <v>6.165822735434106</v>
      </c>
      <c r="AQ188" s="936">
        <f t="shared" ca="1" si="63"/>
        <v>0</v>
      </c>
      <c r="AS188" s="936">
        <f>+IFERROR(VLOOKUP(C188,'Rural - Price Out '!$C:$F,3,FALSE),0)</f>
        <v>0</v>
      </c>
      <c r="AT188" s="909">
        <f t="shared" ca="1" si="64"/>
        <v>6.165822735434106</v>
      </c>
    </row>
    <row r="189" spans="1:46" s="840" customFormat="1">
      <c r="A189" s="840" t="str">
        <f t="shared" si="48"/>
        <v>PacificCommercialTIME-COMM</v>
      </c>
      <c r="B189" s="840">
        <f t="shared" si="59"/>
        <v>1</v>
      </c>
      <c r="C189" s="859" t="s">
        <v>2287</v>
      </c>
      <c r="D189" s="859" t="s">
        <v>2288</v>
      </c>
      <c r="E189" s="859">
        <v>0</v>
      </c>
      <c r="F189" s="859"/>
      <c r="G189" s="860"/>
      <c r="H189" s="861">
        <v>108</v>
      </c>
      <c r="I189" s="861">
        <v>0</v>
      </c>
      <c r="J189" s="861">
        <v>23.7</v>
      </c>
      <c r="K189" s="861">
        <v>495</v>
      </c>
      <c r="L189" s="861">
        <v>0</v>
      </c>
      <c r="M189" s="861">
        <v>0</v>
      </c>
      <c r="N189" s="861">
        <v>0</v>
      </c>
      <c r="O189" s="861">
        <v>0</v>
      </c>
      <c r="P189" s="861">
        <v>0</v>
      </c>
      <c r="Q189" s="861">
        <v>0</v>
      </c>
      <c r="R189" s="861">
        <v>0</v>
      </c>
      <c r="S189" s="861">
        <v>0</v>
      </c>
      <c r="T189" s="861">
        <f t="shared" si="60"/>
        <v>626.70000000000005</v>
      </c>
      <c r="U189" s="861"/>
      <c r="V189" s="861">
        <f t="shared" si="66"/>
        <v>0</v>
      </c>
      <c r="W189" s="861">
        <f t="shared" si="66"/>
        <v>0</v>
      </c>
      <c r="X189" s="861">
        <f t="shared" si="66"/>
        <v>0</v>
      </c>
      <c r="Y189" s="861">
        <f t="shared" si="65"/>
        <v>0</v>
      </c>
      <c r="Z189" s="861">
        <f t="shared" si="65"/>
        <v>0</v>
      </c>
      <c r="AA189" s="861">
        <f t="shared" si="65"/>
        <v>0</v>
      </c>
      <c r="AB189" s="861">
        <f t="shared" si="65"/>
        <v>0</v>
      </c>
      <c r="AC189" s="861">
        <f t="shared" si="65"/>
        <v>0</v>
      </c>
      <c r="AD189" s="861">
        <f t="shared" si="65"/>
        <v>0</v>
      </c>
      <c r="AE189" s="861">
        <f t="shared" si="65"/>
        <v>0</v>
      </c>
      <c r="AF189" s="861">
        <f t="shared" si="65"/>
        <v>0</v>
      </c>
      <c r="AG189" s="861">
        <f t="shared" si="65"/>
        <v>0</v>
      </c>
      <c r="AH189" s="861">
        <f t="shared" si="50"/>
        <v>0</v>
      </c>
      <c r="AJ189" s="709"/>
      <c r="AK189" s="936">
        <f t="shared" ca="1" si="51"/>
        <v>0</v>
      </c>
      <c r="AL189" s="861">
        <f t="shared" si="52"/>
        <v>0</v>
      </c>
      <c r="AM189" s="861">
        <v>0</v>
      </c>
      <c r="AN189" s="863">
        <f t="shared" si="53"/>
        <v>0</v>
      </c>
      <c r="AO189" s="936">
        <f t="shared" ca="1" si="61"/>
        <v>0</v>
      </c>
      <c r="AP189" s="936">
        <f t="shared" ca="1" si="62"/>
        <v>0</v>
      </c>
      <c r="AQ189" s="936">
        <f t="shared" ca="1" si="63"/>
        <v>0</v>
      </c>
      <c r="AS189" s="936">
        <f>+IFERROR(VLOOKUP(C189,'Rural - Price Out '!$C:$F,3,FALSE),0)</f>
        <v>0</v>
      </c>
      <c r="AT189" s="909">
        <f t="shared" ca="1" si="64"/>
        <v>0</v>
      </c>
    </row>
    <row r="190" spans="1:46" s="840" customFormat="1">
      <c r="A190" s="840" t="str">
        <f t="shared" si="48"/>
        <v>PacificCommercialWI1-COMM</v>
      </c>
      <c r="B190" s="840">
        <f t="shared" si="59"/>
        <v>1</v>
      </c>
      <c r="C190" s="859" t="s">
        <v>2289</v>
      </c>
      <c r="D190" s="859" t="s">
        <v>2290</v>
      </c>
      <c r="E190" s="859">
        <v>1.91</v>
      </c>
      <c r="F190" s="859"/>
      <c r="G190" s="860"/>
      <c r="H190" s="861">
        <v>414.47</v>
      </c>
      <c r="I190" s="861">
        <v>414.47</v>
      </c>
      <c r="J190" s="861">
        <v>414.47</v>
      </c>
      <c r="K190" s="861">
        <v>414.47</v>
      </c>
      <c r="L190" s="861">
        <v>414.47</v>
      </c>
      <c r="M190" s="861">
        <v>420.2</v>
      </c>
      <c r="N190" s="861">
        <v>422.10999999999996</v>
      </c>
      <c r="O190" s="861">
        <v>422.10999999999996</v>
      </c>
      <c r="P190" s="861">
        <v>422.59</v>
      </c>
      <c r="Q190" s="861">
        <v>424.02</v>
      </c>
      <c r="R190" s="861">
        <v>424.02</v>
      </c>
      <c r="S190" s="861">
        <v>424.02</v>
      </c>
      <c r="T190" s="861">
        <f t="shared" si="60"/>
        <v>5031.4200000000019</v>
      </c>
      <c r="U190" s="861"/>
      <c r="V190" s="861">
        <f t="shared" si="66"/>
        <v>217.00000000000003</v>
      </c>
      <c r="W190" s="861">
        <f t="shared" si="66"/>
        <v>217.00000000000003</v>
      </c>
      <c r="X190" s="861">
        <f t="shared" si="66"/>
        <v>217.00000000000003</v>
      </c>
      <c r="Y190" s="861">
        <f t="shared" si="65"/>
        <v>217.00000000000003</v>
      </c>
      <c r="Z190" s="861">
        <f t="shared" si="65"/>
        <v>217.00000000000003</v>
      </c>
      <c r="AA190" s="861">
        <f t="shared" si="65"/>
        <v>220</v>
      </c>
      <c r="AB190" s="861">
        <f t="shared" si="65"/>
        <v>221</v>
      </c>
      <c r="AC190" s="861">
        <f t="shared" si="65"/>
        <v>221</v>
      </c>
      <c r="AD190" s="861">
        <f t="shared" si="65"/>
        <v>221.25130890052355</v>
      </c>
      <c r="AE190" s="861">
        <f t="shared" si="65"/>
        <v>222</v>
      </c>
      <c r="AF190" s="861">
        <f t="shared" si="65"/>
        <v>222</v>
      </c>
      <c r="AG190" s="861">
        <f t="shared" si="65"/>
        <v>222</v>
      </c>
      <c r="AH190" s="861">
        <f t="shared" si="50"/>
        <v>219.52094240837698</v>
      </c>
      <c r="AJ190" s="709"/>
      <c r="AK190" s="936">
        <f t="shared" ca="1" si="51"/>
        <v>5.2786904113190362E-2</v>
      </c>
      <c r="AL190" s="861">
        <f t="shared" si="52"/>
        <v>2634.2513089005238</v>
      </c>
      <c r="AM190" s="861">
        <v>0</v>
      </c>
      <c r="AN190" s="863">
        <f t="shared" si="53"/>
        <v>2634.2513089005238</v>
      </c>
      <c r="AO190" s="936">
        <f t="shared" ca="1" si="61"/>
        <v>139.05397125297816</v>
      </c>
      <c r="AP190" s="936">
        <f t="shared" ca="1" si="62"/>
        <v>1.9627869041131902</v>
      </c>
      <c r="AQ190" s="936">
        <f t="shared" ca="1" si="63"/>
        <v>5170.4739712529781</v>
      </c>
      <c r="AS190" s="936">
        <f>+IFERROR(VLOOKUP(C190,'Rural - Price Out '!$C:$F,3,FALSE),0)</f>
        <v>0</v>
      </c>
      <c r="AT190" s="909">
        <f t="shared" ca="1" si="64"/>
        <v>1.9627869041131902</v>
      </c>
    </row>
    <row r="191" spans="1:46" s="840" customFormat="1">
      <c r="A191" s="840" t="str">
        <f t="shared" si="48"/>
        <v>PacificCommercialWI2-COMM</v>
      </c>
      <c r="B191" s="840">
        <f t="shared" si="59"/>
        <v>1</v>
      </c>
      <c r="C191" s="859" t="s">
        <v>2291</v>
      </c>
      <c r="D191" s="859" t="s">
        <v>2292</v>
      </c>
      <c r="E191" s="859">
        <v>3.51</v>
      </c>
      <c r="F191" s="859"/>
      <c r="G191" s="860"/>
      <c r="H191" s="861">
        <v>14.04</v>
      </c>
      <c r="I191" s="861">
        <v>14.04</v>
      </c>
      <c r="J191" s="861">
        <v>14.04</v>
      </c>
      <c r="K191" s="861">
        <v>14.04</v>
      </c>
      <c r="L191" s="861">
        <v>14.04</v>
      </c>
      <c r="M191" s="861">
        <v>3.51</v>
      </c>
      <c r="N191" s="861">
        <v>3.51</v>
      </c>
      <c r="O191" s="861">
        <v>3.51</v>
      </c>
      <c r="P191" s="861">
        <v>3.51</v>
      </c>
      <c r="Q191" s="861">
        <v>3.51</v>
      </c>
      <c r="R191" s="861">
        <v>3.51</v>
      </c>
      <c r="S191" s="861">
        <v>3.51</v>
      </c>
      <c r="T191" s="861">
        <f t="shared" si="60"/>
        <v>94.770000000000024</v>
      </c>
      <c r="U191" s="861"/>
      <c r="V191" s="861">
        <f t="shared" si="66"/>
        <v>4</v>
      </c>
      <c r="W191" s="861">
        <f t="shared" si="66"/>
        <v>4</v>
      </c>
      <c r="X191" s="861">
        <f t="shared" si="66"/>
        <v>4</v>
      </c>
      <c r="Y191" s="861">
        <f t="shared" si="65"/>
        <v>4</v>
      </c>
      <c r="Z191" s="861">
        <f t="shared" si="65"/>
        <v>4</v>
      </c>
      <c r="AA191" s="861">
        <f t="shared" si="65"/>
        <v>1</v>
      </c>
      <c r="AB191" s="861">
        <f t="shared" si="65"/>
        <v>1</v>
      </c>
      <c r="AC191" s="861">
        <f t="shared" si="65"/>
        <v>1</v>
      </c>
      <c r="AD191" s="861">
        <f t="shared" si="65"/>
        <v>1</v>
      </c>
      <c r="AE191" s="861">
        <f t="shared" si="65"/>
        <v>1</v>
      </c>
      <c r="AF191" s="861">
        <f t="shared" si="65"/>
        <v>1</v>
      </c>
      <c r="AG191" s="861">
        <f t="shared" si="65"/>
        <v>1</v>
      </c>
      <c r="AH191" s="861">
        <f t="shared" si="50"/>
        <v>2.25</v>
      </c>
      <c r="AJ191" s="709"/>
      <c r="AK191" s="936">
        <f t="shared" ca="1" si="51"/>
        <v>9.7006300228951917E-2</v>
      </c>
      <c r="AL191" s="861">
        <f t="shared" si="52"/>
        <v>27</v>
      </c>
      <c r="AM191" s="861">
        <v>0</v>
      </c>
      <c r="AN191" s="863">
        <f t="shared" si="53"/>
        <v>27</v>
      </c>
      <c r="AO191" s="936">
        <f t="shared" ca="1" si="61"/>
        <v>2.6191701061817017</v>
      </c>
      <c r="AP191" s="936">
        <f t="shared" ca="1" si="62"/>
        <v>3.6070063002289516</v>
      </c>
      <c r="AQ191" s="936">
        <f t="shared" ca="1" si="63"/>
        <v>97.389170106181695</v>
      </c>
      <c r="AS191" s="936">
        <f>+IFERROR(VLOOKUP(C191,'Rural - Price Out '!$C:$F,3,FALSE),0)</f>
        <v>0</v>
      </c>
      <c r="AT191" s="909">
        <f t="shared" ca="1" si="64"/>
        <v>3.6070063002289516</v>
      </c>
    </row>
    <row r="192" spans="1:46">
      <c r="E192" s="859"/>
      <c r="F192" s="859"/>
      <c r="G192" s="860"/>
      <c r="H192" s="861"/>
      <c r="I192" s="861"/>
      <c r="J192" s="861"/>
      <c r="K192" s="861"/>
      <c r="L192" s="861"/>
      <c r="M192" s="861"/>
      <c r="N192" s="861"/>
      <c r="O192" s="861"/>
      <c r="P192" s="861"/>
      <c r="Q192" s="861"/>
      <c r="R192" s="861"/>
      <c r="S192" s="861"/>
      <c r="T192" s="865"/>
      <c r="V192" s="865"/>
      <c r="W192" s="865"/>
      <c r="X192" s="865"/>
      <c r="Y192" s="865"/>
      <c r="Z192" s="865"/>
      <c r="AA192" s="865"/>
      <c r="AB192" s="865"/>
      <c r="AC192" s="865"/>
      <c r="AD192" s="865"/>
      <c r="AE192" s="865"/>
      <c r="AF192" s="865"/>
      <c r="AG192" s="865"/>
      <c r="AH192" s="865"/>
      <c r="AK192" s="937"/>
      <c r="AL192" s="865"/>
      <c r="AM192" s="865"/>
      <c r="AO192" s="937"/>
      <c r="AP192" s="937"/>
      <c r="AS192" s="936"/>
    </row>
    <row r="193" spans="1:46">
      <c r="B193" s="841">
        <f>COUNTIF(C:C,C193)</f>
        <v>0</v>
      </c>
      <c r="C193" s="868"/>
      <c r="D193" s="869" t="s">
        <v>2293</v>
      </c>
      <c r="E193" s="859">
        <v>0</v>
      </c>
      <c r="F193" s="859"/>
      <c r="G193" s="860"/>
      <c r="H193" s="870">
        <f t="shared" ref="H193:T193" si="67">SUM(H65:H192)</f>
        <v>478135.33999999991</v>
      </c>
      <c r="I193" s="870">
        <f t="shared" si="67"/>
        <v>475994.08999999997</v>
      </c>
      <c r="J193" s="870">
        <f t="shared" si="67"/>
        <v>467734.63</v>
      </c>
      <c r="K193" s="870">
        <f t="shared" si="67"/>
        <v>476843.19999999984</v>
      </c>
      <c r="L193" s="870">
        <f t="shared" si="67"/>
        <v>479487.84999999969</v>
      </c>
      <c r="M193" s="870">
        <f t="shared" si="67"/>
        <v>482582.46</v>
      </c>
      <c r="N193" s="870">
        <f t="shared" si="67"/>
        <v>478894.4499999999</v>
      </c>
      <c r="O193" s="870">
        <f t="shared" si="67"/>
        <v>483384.25999999989</v>
      </c>
      <c r="P193" s="870">
        <f t="shared" si="67"/>
        <v>483032.39</v>
      </c>
      <c r="Q193" s="870">
        <f t="shared" si="67"/>
        <v>480374.79999999993</v>
      </c>
      <c r="R193" s="870">
        <f t="shared" si="67"/>
        <v>484870.6</v>
      </c>
      <c r="S193" s="870">
        <f t="shared" si="67"/>
        <v>489516.62000000023</v>
      </c>
      <c r="T193" s="871">
        <f t="shared" si="67"/>
        <v>5760850.6900000051</v>
      </c>
      <c r="U193" s="876">
        <f>T193-SUM(H193:S193)</f>
        <v>0</v>
      </c>
      <c r="V193" s="872">
        <f t="shared" ref="V193:AH193" si="68">+SUM(V65:V131)</f>
        <v>4899.4359803073166</v>
      </c>
      <c r="W193" s="872">
        <f t="shared" si="68"/>
        <v>4845.1456741592865</v>
      </c>
      <c r="X193" s="872">
        <f t="shared" si="68"/>
        <v>5241.8278693929478</v>
      </c>
      <c r="Y193" s="872">
        <f t="shared" si="68"/>
        <v>4823.984849288272</v>
      </c>
      <c r="Z193" s="872">
        <f t="shared" si="68"/>
        <v>4816.3186982418092</v>
      </c>
      <c r="AA193" s="872">
        <f t="shared" si="68"/>
        <v>4968.0819765755386</v>
      </c>
      <c r="AB193" s="872">
        <f t="shared" si="68"/>
        <v>4925.0492616486999</v>
      </c>
      <c r="AC193" s="872">
        <f t="shared" si="68"/>
        <v>4926.4206085185779</v>
      </c>
      <c r="AD193" s="872">
        <f t="shared" si="68"/>
        <v>4833.9425976587809</v>
      </c>
      <c r="AE193" s="872">
        <f t="shared" si="68"/>
        <v>4573.6319703889931</v>
      </c>
      <c r="AF193" s="872">
        <f t="shared" si="68"/>
        <v>4970.1299159308237</v>
      </c>
      <c r="AG193" s="872">
        <f t="shared" si="68"/>
        <v>4939.7583952006144</v>
      </c>
      <c r="AH193" s="872">
        <f t="shared" si="68"/>
        <v>4896.9773164426379</v>
      </c>
      <c r="AK193" s="940">
        <f ca="1">SUM(AK64:AK192)</f>
        <v>523.33074923429751</v>
      </c>
      <c r="AL193" s="872">
        <f>SUM(AL64:AL192)</f>
        <v>81429.291045108082</v>
      </c>
      <c r="AM193" s="872">
        <f>SUM(AM64:AM192)</f>
        <v>9642.8505927948718</v>
      </c>
      <c r="AN193" s="872">
        <f>SUM(AN64:AN192)</f>
        <v>91072.141637902954</v>
      </c>
      <c r="AO193" s="940">
        <f ca="1">SUM(AO64:AO192)</f>
        <v>170041.6970416081</v>
      </c>
      <c r="AP193" s="937"/>
      <c r="AQ193" s="872">
        <f ca="1">SUM(AQ64:AQ192)</f>
        <v>5848734.6241147025</v>
      </c>
    </row>
    <row r="194" spans="1:46">
      <c r="C194" s="868"/>
      <c r="D194" s="868"/>
      <c r="E194" s="859"/>
      <c r="F194" s="859"/>
      <c r="G194" s="860"/>
      <c r="H194" s="873"/>
      <c r="I194" s="861"/>
      <c r="J194" s="861"/>
      <c r="V194" s="865"/>
      <c r="W194" s="865"/>
      <c r="X194" s="865"/>
      <c r="Y194" s="865"/>
      <c r="Z194" s="865"/>
      <c r="AA194" s="865"/>
      <c r="AB194" s="865"/>
      <c r="AC194" s="865"/>
      <c r="AD194" s="865"/>
      <c r="AE194" s="865"/>
      <c r="AF194" s="865"/>
      <c r="AG194" s="865"/>
      <c r="AH194" s="865"/>
      <c r="AK194" s="937"/>
      <c r="AL194" s="865"/>
      <c r="AM194" s="865"/>
      <c r="AO194" s="937"/>
      <c r="AP194" s="937"/>
    </row>
    <row r="195" spans="1:46">
      <c r="B195" s="841">
        <f>COUNTIF(C:C,C195)</f>
        <v>1</v>
      </c>
      <c r="C195" s="875" t="s">
        <v>2294</v>
      </c>
      <c r="D195" s="875"/>
      <c r="E195" s="859">
        <v>0</v>
      </c>
      <c r="F195" s="859"/>
      <c r="G195" s="860"/>
      <c r="H195" s="873"/>
      <c r="I195" s="861"/>
      <c r="J195" s="861"/>
      <c r="V195" s="865">
        <f t="shared" ref="V195:AG195" si="69">IFERROR(H195/$E195,0)</f>
        <v>0</v>
      </c>
      <c r="W195" s="865">
        <f t="shared" si="69"/>
        <v>0</v>
      </c>
      <c r="X195" s="865">
        <f t="shared" si="69"/>
        <v>0</v>
      </c>
      <c r="Y195" s="865">
        <f t="shared" si="69"/>
        <v>0</v>
      </c>
      <c r="Z195" s="865">
        <f t="shared" si="69"/>
        <v>0</v>
      </c>
      <c r="AA195" s="865">
        <f t="shared" si="69"/>
        <v>0</v>
      </c>
      <c r="AB195" s="865">
        <f t="shared" si="69"/>
        <v>0</v>
      </c>
      <c r="AC195" s="865">
        <f t="shared" si="69"/>
        <v>0</v>
      </c>
      <c r="AD195" s="865">
        <f t="shared" si="69"/>
        <v>0</v>
      </c>
      <c r="AE195" s="865">
        <f t="shared" si="69"/>
        <v>0</v>
      </c>
      <c r="AF195" s="865">
        <f t="shared" si="69"/>
        <v>0</v>
      </c>
      <c r="AG195" s="865">
        <f t="shared" si="69"/>
        <v>0</v>
      </c>
      <c r="AH195" s="865">
        <f>AVERAGE(V195:AG195)</f>
        <v>0</v>
      </c>
      <c r="AK195" s="936"/>
      <c r="AL195" s="865"/>
      <c r="AM195" s="865"/>
      <c r="AO195" s="937"/>
      <c r="AP195" s="937"/>
    </row>
    <row r="196" spans="1:46" s="709" customFormat="1" ht="12" customHeight="1">
      <c r="A196" s="840" t="s">
        <v>2969</v>
      </c>
      <c r="B196" s="840">
        <f>COUNTIF(C$196:C$196,C196)</f>
        <v>1</v>
      </c>
      <c r="C196" s="883" t="s">
        <v>2295</v>
      </c>
      <c r="D196" s="883" t="s">
        <v>2296</v>
      </c>
      <c r="E196" s="884">
        <v>4.26</v>
      </c>
      <c r="F196" s="884">
        <v>3.86</v>
      </c>
      <c r="H196" s="861">
        <v>50041.87000000001</v>
      </c>
      <c r="I196" s="861">
        <v>50032.69</v>
      </c>
      <c r="J196" s="861">
        <v>42419.14</v>
      </c>
      <c r="K196" s="861">
        <v>42426.39</v>
      </c>
      <c r="L196" s="861">
        <v>42382.53</v>
      </c>
      <c r="M196" s="861">
        <v>42348.160000000003</v>
      </c>
      <c r="N196" s="861">
        <v>41570.28</v>
      </c>
      <c r="O196" s="861">
        <v>41562.559999999998</v>
      </c>
      <c r="P196" s="861">
        <v>42247.72</v>
      </c>
      <c r="Q196" s="861">
        <v>42175.94</v>
      </c>
      <c r="R196" s="861">
        <v>42520.420000000006</v>
      </c>
      <c r="S196" s="861">
        <v>42809.919999999998</v>
      </c>
      <c r="T196" s="885">
        <f>SUM(H196:S196)</f>
        <v>522537.62000000005</v>
      </c>
      <c r="U196" s="885"/>
      <c r="V196" s="861">
        <f>IFERROR(H196/$E196,0)</f>
        <v>11746.91784037559</v>
      </c>
      <c r="W196" s="861">
        <f>IFERROR(I196/$E196,0)</f>
        <v>11744.762910798123</v>
      </c>
      <c r="X196" s="861">
        <f t="shared" ref="X196:AG196" si="70">IFERROR(J196/$F196,0)</f>
        <v>10989.41450777202</v>
      </c>
      <c r="Y196" s="861">
        <f t="shared" si="70"/>
        <v>10991.29274611399</v>
      </c>
      <c r="Z196" s="861">
        <f t="shared" si="70"/>
        <v>10979.930051813471</v>
      </c>
      <c r="AA196" s="861">
        <f t="shared" si="70"/>
        <v>10971.025906735753</v>
      </c>
      <c r="AB196" s="861">
        <f t="shared" si="70"/>
        <v>10769.502590673575</v>
      </c>
      <c r="AC196" s="861">
        <f t="shared" si="70"/>
        <v>10767.502590673575</v>
      </c>
      <c r="AD196" s="861">
        <f t="shared" si="70"/>
        <v>10945.005181347151</v>
      </c>
      <c r="AE196" s="861">
        <f t="shared" si="70"/>
        <v>10926.409326424871</v>
      </c>
      <c r="AF196" s="861">
        <f t="shared" si="70"/>
        <v>11015.652849740934</v>
      </c>
      <c r="AG196" s="861">
        <f t="shared" si="70"/>
        <v>11090.652849740933</v>
      </c>
      <c r="AH196" s="861">
        <f>AVERAGE(V196:AG196)</f>
        <v>11078.172446017497</v>
      </c>
      <c r="AI196" s="840"/>
      <c r="AK196" s="936">
        <f ca="1">+F196*$AL$2</f>
        <v>0.26603252558702506</v>
      </c>
      <c r="AL196" s="861">
        <f t="shared" ref="AL196" si="71">+AH196*12</f>
        <v>132938.06935220998</v>
      </c>
      <c r="AM196" s="861">
        <v>0</v>
      </c>
      <c r="AN196" s="863">
        <f t="shared" ref="AN196" si="72">+AL196+AM196</f>
        <v>132938.06935220998</v>
      </c>
      <c r="AO196" s="936">
        <f ca="1">+AN196*AK196</f>
        <v>35365.850336431511</v>
      </c>
      <c r="AP196" s="936">
        <f ca="1">+E196+AK196</f>
        <v>4.5260325255870253</v>
      </c>
      <c r="AQ196" s="936">
        <f ca="1">+AP196*12*AH196</f>
        <v>601682.02577684599</v>
      </c>
      <c r="AS196" s="936">
        <f>+IFERROR(VLOOKUP(C196,'Rural - Price Out '!$C:$F,4,FALSE),0)</f>
        <v>0</v>
      </c>
      <c r="AT196" s="909">
        <f ca="1">+AP196-AS196</f>
        <v>4.5260325255870253</v>
      </c>
    </row>
    <row r="197" spans="1:46" s="840" customFormat="1">
      <c r="A197" s="840" t="str">
        <f>$A$1&amp;"Commercial Recycle"&amp;C197</f>
        <v>PacificCommercial RecycleMFNBINS</v>
      </c>
      <c r="B197" s="840">
        <f>COUNTIF(C:C,C197)</f>
        <v>1</v>
      </c>
      <c r="C197" s="859" t="s">
        <v>2297</v>
      </c>
      <c r="D197" s="859" t="s">
        <v>2298</v>
      </c>
      <c r="E197" s="859">
        <v>0</v>
      </c>
      <c r="F197" s="859"/>
      <c r="G197" s="860"/>
      <c r="H197" s="861">
        <v>0</v>
      </c>
      <c r="I197" s="861">
        <v>0</v>
      </c>
      <c r="J197" s="861">
        <v>0</v>
      </c>
      <c r="K197" s="861">
        <v>7.72</v>
      </c>
      <c r="L197" s="861">
        <v>7.72</v>
      </c>
      <c r="M197" s="861">
        <v>7.72</v>
      </c>
      <c r="N197" s="861">
        <v>0</v>
      </c>
      <c r="O197" s="861">
        <v>0</v>
      </c>
      <c r="P197" s="861">
        <v>7.72</v>
      </c>
      <c r="Q197" s="861">
        <v>7.72</v>
      </c>
      <c r="R197" s="861">
        <v>7.72</v>
      </c>
      <c r="S197" s="861">
        <v>7.72</v>
      </c>
      <c r="T197" s="861">
        <f>SUM(H197:S197)</f>
        <v>54.04</v>
      </c>
      <c r="U197" s="861"/>
      <c r="V197" s="861">
        <f>IFERROR(H197/$E197,0)</f>
        <v>0</v>
      </c>
      <c r="W197" s="861">
        <f>IFERROR(I197/$E197,0)</f>
        <v>0</v>
      </c>
      <c r="X197" s="861">
        <f t="shared" ref="X197:AG197" si="73">IFERROR(J197/$E197,0)</f>
        <v>0</v>
      </c>
      <c r="Y197" s="861">
        <f t="shared" si="73"/>
        <v>0</v>
      </c>
      <c r="Z197" s="861">
        <f t="shared" si="73"/>
        <v>0</v>
      </c>
      <c r="AA197" s="861">
        <f t="shared" si="73"/>
        <v>0</v>
      </c>
      <c r="AB197" s="861">
        <f t="shared" si="73"/>
        <v>0</v>
      </c>
      <c r="AC197" s="861">
        <f t="shared" si="73"/>
        <v>0</v>
      </c>
      <c r="AD197" s="861">
        <f t="shared" si="73"/>
        <v>0</v>
      </c>
      <c r="AE197" s="861">
        <f t="shared" si="73"/>
        <v>0</v>
      </c>
      <c r="AF197" s="861">
        <f t="shared" si="73"/>
        <v>0</v>
      </c>
      <c r="AG197" s="861">
        <f t="shared" si="73"/>
        <v>0</v>
      </c>
      <c r="AH197" s="861">
        <f>AVERAGE(V197:AG197)</f>
        <v>0</v>
      </c>
      <c r="AJ197" s="709"/>
      <c r="AK197" s="936">
        <f ca="1">+E197*$AL$1</f>
        <v>0</v>
      </c>
      <c r="AL197" s="861">
        <f>+AH197*12</f>
        <v>0</v>
      </c>
      <c r="AM197" s="861">
        <v>0</v>
      </c>
      <c r="AN197" s="863">
        <f>+AL197+AM197</f>
        <v>0</v>
      </c>
      <c r="AO197" s="936">
        <f ca="1">+AN197*AK197</f>
        <v>0</v>
      </c>
      <c r="AP197" s="936">
        <f ca="1">+E197+AK197</f>
        <v>0</v>
      </c>
      <c r="AQ197" s="936">
        <f ca="1">+AP197*12*AH197</f>
        <v>0</v>
      </c>
      <c r="AS197" s="936">
        <f>+IFERROR(VLOOKUP(C197,'Rural - Price Out '!$C:$F,4,FALSE),0)</f>
        <v>0</v>
      </c>
      <c r="AT197" s="909">
        <f ca="1">+AP197-AS197</f>
        <v>0</v>
      </c>
    </row>
    <row r="198" spans="1:46" ht="12">
      <c r="A198" s="840"/>
      <c r="C198" s="868"/>
      <c r="D198" s="868"/>
      <c r="E198" s="859"/>
      <c r="F198" s="859"/>
      <c r="G198" s="862"/>
      <c r="H198" s="873"/>
      <c r="I198" s="877"/>
      <c r="J198" s="877"/>
      <c r="K198" s="878"/>
      <c r="L198" s="878"/>
      <c r="M198" s="878"/>
      <c r="N198" s="878"/>
      <c r="O198" s="878"/>
      <c r="P198" s="878"/>
      <c r="Q198" s="878"/>
      <c r="R198" s="878"/>
      <c r="S198" s="878"/>
      <c r="T198" s="878"/>
      <c r="U198" s="840"/>
      <c r="V198" s="865"/>
      <c r="W198" s="865"/>
      <c r="X198" s="865"/>
      <c r="Y198" s="865"/>
      <c r="Z198" s="865"/>
      <c r="AA198" s="865"/>
      <c r="AB198" s="865"/>
      <c r="AC198" s="865"/>
      <c r="AD198" s="865"/>
      <c r="AE198" s="865"/>
      <c r="AF198" s="865"/>
      <c r="AG198" s="865"/>
      <c r="AH198" s="865"/>
      <c r="AJ198" s="840"/>
      <c r="AK198" s="937"/>
      <c r="AL198" s="865"/>
      <c r="AM198" s="865"/>
      <c r="AO198" s="937"/>
      <c r="AP198" s="937"/>
    </row>
    <row r="199" spans="1:46" s="840" customFormat="1">
      <c r="A199" s="841"/>
      <c r="B199" s="841">
        <f t="shared" ref="B199:B230" si="74">COUNTIF(C:C,C199)</f>
        <v>0</v>
      </c>
      <c r="C199" s="868"/>
      <c r="D199" s="869" t="s">
        <v>2299</v>
      </c>
      <c r="E199" s="859">
        <v>0</v>
      </c>
      <c r="F199" s="859"/>
      <c r="G199" s="879"/>
      <c r="H199" s="870">
        <f t="shared" ref="H199:T199" si="75">SUM(H196:H198)</f>
        <v>50041.87000000001</v>
      </c>
      <c r="I199" s="870">
        <f t="shared" si="75"/>
        <v>50032.69</v>
      </c>
      <c r="J199" s="870">
        <f t="shared" si="75"/>
        <v>42419.14</v>
      </c>
      <c r="K199" s="870">
        <f t="shared" si="75"/>
        <v>42434.11</v>
      </c>
      <c r="L199" s="870">
        <f t="shared" si="75"/>
        <v>42390.25</v>
      </c>
      <c r="M199" s="870">
        <f t="shared" si="75"/>
        <v>42355.880000000005</v>
      </c>
      <c r="N199" s="870">
        <f t="shared" si="75"/>
        <v>41570.28</v>
      </c>
      <c r="O199" s="870">
        <f t="shared" si="75"/>
        <v>41562.559999999998</v>
      </c>
      <c r="P199" s="870">
        <f t="shared" si="75"/>
        <v>42255.44</v>
      </c>
      <c r="Q199" s="870">
        <f t="shared" si="75"/>
        <v>42183.66</v>
      </c>
      <c r="R199" s="870">
        <f t="shared" si="75"/>
        <v>42528.140000000007</v>
      </c>
      <c r="S199" s="870">
        <f t="shared" si="75"/>
        <v>42817.64</v>
      </c>
      <c r="T199" s="871">
        <f t="shared" si="75"/>
        <v>522591.66000000003</v>
      </c>
      <c r="U199" s="876">
        <f>T199-SUM(H199:S199)</f>
        <v>0</v>
      </c>
      <c r="V199" s="886">
        <f t="shared" ref="V199:AH199" si="76">SUM(V196:V198)</f>
        <v>11746.91784037559</v>
      </c>
      <c r="W199" s="886">
        <f t="shared" si="76"/>
        <v>11744.762910798123</v>
      </c>
      <c r="X199" s="886">
        <f t="shared" si="76"/>
        <v>10989.41450777202</v>
      </c>
      <c r="Y199" s="886">
        <f t="shared" si="76"/>
        <v>10991.29274611399</v>
      </c>
      <c r="Z199" s="886">
        <f t="shared" si="76"/>
        <v>10979.930051813471</v>
      </c>
      <c r="AA199" s="886">
        <f t="shared" si="76"/>
        <v>10971.025906735753</v>
      </c>
      <c r="AB199" s="886">
        <f t="shared" si="76"/>
        <v>10769.502590673575</v>
      </c>
      <c r="AC199" s="886">
        <f t="shared" si="76"/>
        <v>10767.502590673575</v>
      </c>
      <c r="AD199" s="886">
        <f t="shared" si="76"/>
        <v>10945.005181347151</v>
      </c>
      <c r="AE199" s="886">
        <f t="shared" si="76"/>
        <v>10926.409326424871</v>
      </c>
      <c r="AF199" s="886">
        <f t="shared" si="76"/>
        <v>11015.652849740934</v>
      </c>
      <c r="AG199" s="886">
        <f t="shared" si="76"/>
        <v>11090.652849740933</v>
      </c>
      <c r="AH199" s="886">
        <f t="shared" si="76"/>
        <v>11078.172446017497</v>
      </c>
      <c r="AI199" s="841"/>
      <c r="AJ199" s="704"/>
      <c r="AK199" s="940">
        <f ca="1">SUM(AK196:AK198)</f>
        <v>0.26603252558702506</v>
      </c>
      <c r="AL199" s="886">
        <f t="shared" ref="AL199:AN199" si="77">SUM(AL196:AL198)</f>
        <v>132938.06935220998</v>
      </c>
      <c r="AM199" s="886">
        <f t="shared" si="77"/>
        <v>0</v>
      </c>
      <c r="AN199" s="886">
        <f t="shared" si="77"/>
        <v>132938.06935220998</v>
      </c>
      <c r="AO199" s="940">
        <f ca="1">SUM(AO196:AO198)</f>
        <v>35365.850336431511</v>
      </c>
      <c r="AP199" s="936"/>
      <c r="AQ199" s="886">
        <f ca="1">SUM(AQ196:AQ198)</f>
        <v>601682.02577684599</v>
      </c>
      <c r="AS199" s="936"/>
    </row>
    <row r="200" spans="1:46">
      <c r="B200" s="841">
        <f t="shared" si="74"/>
        <v>0</v>
      </c>
      <c r="E200" s="859"/>
      <c r="F200" s="859"/>
      <c r="G200" s="862"/>
      <c r="V200" s="865"/>
      <c r="W200" s="865"/>
      <c r="X200" s="865"/>
      <c r="Y200" s="865"/>
      <c r="Z200" s="865"/>
      <c r="AA200" s="865"/>
      <c r="AB200" s="865"/>
      <c r="AC200" s="865"/>
      <c r="AD200" s="865"/>
      <c r="AE200" s="865"/>
      <c r="AF200" s="865"/>
      <c r="AG200" s="865"/>
      <c r="AH200" s="865"/>
      <c r="AK200" s="937"/>
      <c r="AL200" s="865"/>
      <c r="AM200" s="865"/>
      <c r="AO200" s="937"/>
      <c r="AP200" s="937"/>
    </row>
    <row r="201" spans="1:46">
      <c r="B201" s="841">
        <f t="shared" si="74"/>
        <v>1</v>
      </c>
      <c r="C201" s="857" t="s">
        <v>2300</v>
      </c>
      <c r="D201" s="855" t="s">
        <v>2300</v>
      </c>
      <c r="E201" s="859"/>
      <c r="F201" s="859"/>
      <c r="G201" s="880"/>
      <c r="H201" s="856"/>
      <c r="V201" s="865"/>
      <c r="W201" s="865"/>
      <c r="X201" s="865"/>
      <c r="Y201" s="865"/>
      <c r="Z201" s="865"/>
      <c r="AA201" s="865"/>
      <c r="AB201" s="865"/>
      <c r="AC201" s="865"/>
      <c r="AD201" s="865"/>
      <c r="AE201" s="865"/>
      <c r="AF201" s="865"/>
      <c r="AG201" s="865"/>
      <c r="AH201" s="865"/>
      <c r="AK201" s="937"/>
      <c r="AL201" s="865"/>
      <c r="AM201" s="865"/>
      <c r="AO201" s="937"/>
      <c r="AP201" s="937"/>
    </row>
    <row r="202" spans="1:46">
      <c r="B202" s="841">
        <f t="shared" si="74"/>
        <v>0</v>
      </c>
      <c r="C202" s="857"/>
      <c r="D202" s="857"/>
      <c r="E202" s="859"/>
      <c r="F202" s="859"/>
      <c r="G202" s="880"/>
      <c r="H202" s="856"/>
      <c r="V202" s="865"/>
      <c r="W202" s="865"/>
      <c r="X202" s="865"/>
      <c r="Y202" s="865"/>
      <c r="Z202" s="865"/>
      <c r="AA202" s="865"/>
      <c r="AB202" s="865"/>
      <c r="AC202" s="865"/>
      <c r="AD202" s="865"/>
      <c r="AE202" s="865"/>
      <c r="AF202" s="865"/>
      <c r="AG202" s="865"/>
      <c r="AH202" s="865"/>
      <c r="AK202" s="937"/>
      <c r="AL202" s="865"/>
      <c r="AM202" s="865"/>
      <c r="AO202" s="937"/>
      <c r="AP202" s="937"/>
    </row>
    <row r="203" spans="1:46">
      <c r="B203" s="841">
        <f t="shared" si="74"/>
        <v>1</v>
      </c>
      <c r="C203" s="875" t="s">
        <v>2301</v>
      </c>
      <c r="D203" s="875" t="s">
        <v>2301</v>
      </c>
      <c r="E203" s="859"/>
      <c r="F203" s="859"/>
      <c r="G203" s="862"/>
      <c r="H203" s="887"/>
      <c r="I203" s="861"/>
      <c r="J203" s="861"/>
      <c r="V203" s="865"/>
      <c r="W203" s="865"/>
      <c r="X203" s="865"/>
      <c r="Y203" s="865"/>
      <c r="Z203" s="865"/>
      <c r="AA203" s="865"/>
      <c r="AB203" s="865"/>
      <c r="AC203" s="865"/>
      <c r="AD203" s="865"/>
      <c r="AE203" s="865"/>
      <c r="AF203" s="865"/>
      <c r="AG203" s="865"/>
      <c r="AH203" s="865"/>
      <c r="AK203" s="937"/>
      <c r="AL203" s="865"/>
      <c r="AM203" s="865"/>
      <c r="AO203" s="937"/>
      <c r="AP203" s="937"/>
    </row>
    <row r="204" spans="1:46">
      <c r="A204" s="841" t="str">
        <f t="shared" ref="A204:A257" si="78">$A$1&amp;"Rolloff"&amp;C204</f>
        <v>PacificRolloffHAUL10-RO</v>
      </c>
      <c r="B204" s="841">
        <f t="shared" si="74"/>
        <v>1</v>
      </c>
      <c r="C204" s="859" t="s">
        <v>2302</v>
      </c>
      <c r="D204" s="859" t="s">
        <v>2303</v>
      </c>
      <c r="E204" s="859">
        <v>104</v>
      </c>
      <c r="F204" s="859"/>
      <c r="G204" s="860"/>
      <c r="H204" s="861">
        <v>520</v>
      </c>
      <c r="I204" s="861">
        <v>416</v>
      </c>
      <c r="J204" s="861">
        <v>520</v>
      </c>
      <c r="K204" s="861">
        <v>416</v>
      </c>
      <c r="L204" s="861">
        <v>416</v>
      </c>
      <c r="M204" s="861">
        <v>520</v>
      </c>
      <c r="N204" s="861">
        <v>416</v>
      </c>
      <c r="O204" s="861">
        <v>416</v>
      </c>
      <c r="P204" s="861">
        <v>520</v>
      </c>
      <c r="Q204" s="861">
        <v>312</v>
      </c>
      <c r="R204" s="861">
        <v>520</v>
      </c>
      <c r="S204" s="861">
        <v>520</v>
      </c>
      <c r="T204" s="865">
        <f t="shared" ref="T204:T234" si="79">SUM(H204:S204)</f>
        <v>5512</v>
      </c>
      <c r="U204" s="865"/>
      <c r="V204" s="865">
        <f t="shared" ref="V204:AG225" si="80">IFERROR(H204/$E204,0)</f>
        <v>5</v>
      </c>
      <c r="W204" s="865">
        <f t="shared" si="80"/>
        <v>4</v>
      </c>
      <c r="X204" s="865">
        <f t="shared" si="80"/>
        <v>5</v>
      </c>
      <c r="Y204" s="865">
        <f t="shared" si="80"/>
        <v>4</v>
      </c>
      <c r="Z204" s="865">
        <f t="shared" si="80"/>
        <v>4</v>
      </c>
      <c r="AA204" s="865">
        <f t="shared" si="80"/>
        <v>5</v>
      </c>
      <c r="AB204" s="865">
        <f t="shared" si="80"/>
        <v>4</v>
      </c>
      <c r="AC204" s="865">
        <f t="shared" si="80"/>
        <v>4</v>
      </c>
      <c r="AD204" s="865">
        <f t="shared" si="80"/>
        <v>5</v>
      </c>
      <c r="AE204" s="865">
        <f t="shared" si="80"/>
        <v>3</v>
      </c>
      <c r="AF204" s="865">
        <f t="shared" si="80"/>
        <v>5</v>
      </c>
      <c r="AG204" s="865">
        <f t="shared" si="80"/>
        <v>5</v>
      </c>
      <c r="AH204" s="865">
        <f t="shared" ref="AH204:AH233" si="81">AVERAGE(V204:AG204)</f>
        <v>4.416666666666667</v>
      </c>
      <c r="AK204" s="936">
        <f t="shared" ref="AK204:AK257" ca="1" si="82">+E204*$AN$1</f>
        <v>2.8742607475245014</v>
      </c>
      <c r="AL204" s="865">
        <f t="shared" ref="AL204:AL257" si="83">+AH204*12</f>
        <v>53</v>
      </c>
      <c r="AM204" s="865">
        <v>0</v>
      </c>
      <c r="AN204" s="843">
        <f t="shared" ref="AN204:AN257" si="84">+AL204+AM204</f>
        <v>53</v>
      </c>
      <c r="AO204" s="937">
        <f t="shared" ref="AO204:AO235" ca="1" si="85">+AN204*AK204</f>
        <v>152.33581961879858</v>
      </c>
      <c r="AP204" s="936">
        <f t="shared" ref="AP204:AP235" ca="1" si="86">+E204+AK204</f>
        <v>106.8742607475245</v>
      </c>
      <c r="AQ204" s="936">
        <f t="shared" ref="AQ204:AQ235" ca="1" si="87">+AP204*12*AH204</f>
        <v>5664.3358196187992</v>
      </c>
      <c r="AS204" s="936">
        <f>+IFERROR(VLOOKUP(C204,'Rural - Price Out '!$C:$F,3,FALSE),0)</f>
        <v>0</v>
      </c>
      <c r="AT204" s="909">
        <f t="shared" ref="AT204:AT235" ca="1" si="88">+AP204-AS204</f>
        <v>106.8742607475245</v>
      </c>
    </row>
    <row r="205" spans="1:46">
      <c r="A205" s="841" t="str">
        <f t="shared" si="78"/>
        <v>PacificRolloffFINAL10-RO</v>
      </c>
      <c r="B205" s="841">
        <f t="shared" si="74"/>
        <v>1</v>
      </c>
      <c r="C205" s="704" t="s">
        <v>2304</v>
      </c>
      <c r="D205" s="704" t="s">
        <v>2305</v>
      </c>
      <c r="E205" s="859">
        <v>104</v>
      </c>
      <c r="F205" s="859"/>
      <c r="G205" s="860"/>
      <c r="H205" s="861">
        <v>0</v>
      </c>
      <c r="I205" s="861">
        <v>0</v>
      </c>
      <c r="J205" s="861">
        <v>0</v>
      </c>
      <c r="K205" s="861">
        <v>0</v>
      </c>
      <c r="L205" s="861">
        <v>0</v>
      </c>
      <c r="M205" s="861">
        <v>0</v>
      </c>
      <c r="N205" s="861">
        <v>104</v>
      </c>
      <c r="O205" s="861">
        <v>0</v>
      </c>
      <c r="P205" s="861">
        <v>0</v>
      </c>
      <c r="Q205" s="861">
        <v>0</v>
      </c>
      <c r="R205" s="861">
        <v>0</v>
      </c>
      <c r="S205" s="861">
        <v>0</v>
      </c>
      <c r="T205" s="865">
        <f t="shared" si="79"/>
        <v>104</v>
      </c>
      <c r="U205" s="865"/>
      <c r="V205" s="865">
        <f t="shared" si="80"/>
        <v>0</v>
      </c>
      <c r="W205" s="865">
        <f t="shared" si="80"/>
        <v>0</v>
      </c>
      <c r="X205" s="865">
        <f t="shared" si="80"/>
        <v>0</v>
      </c>
      <c r="Y205" s="865">
        <f t="shared" si="80"/>
        <v>0</v>
      </c>
      <c r="Z205" s="865">
        <f t="shared" si="80"/>
        <v>0</v>
      </c>
      <c r="AA205" s="865">
        <f t="shared" si="80"/>
        <v>0</v>
      </c>
      <c r="AB205" s="865">
        <f t="shared" si="80"/>
        <v>1</v>
      </c>
      <c r="AC205" s="865">
        <f t="shared" si="80"/>
        <v>0</v>
      </c>
      <c r="AD205" s="865">
        <f t="shared" si="80"/>
        <v>0</v>
      </c>
      <c r="AE205" s="865">
        <f t="shared" si="80"/>
        <v>0</v>
      </c>
      <c r="AF205" s="865">
        <f t="shared" si="80"/>
        <v>0</v>
      </c>
      <c r="AG205" s="865">
        <f t="shared" si="80"/>
        <v>0</v>
      </c>
      <c r="AH205" s="865">
        <f t="shared" si="81"/>
        <v>8.3333333333333329E-2</v>
      </c>
      <c r="AK205" s="936">
        <f t="shared" ca="1" si="82"/>
        <v>2.8742607475245014</v>
      </c>
      <c r="AL205" s="865">
        <f t="shared" si="83"/>
        <v>1</v>
      </c>
      <c r="AM205" s="865">
        <v>0</v>
      </c>
      <c r="AN205" s="843">
        <f t="shared" si="84"/>
        <v>1</v>
      </c>
      <c r="AO205" s="937">
        <f t="shared" ca="1" si="85"/>
        <v>2.8742607475245014</v>
      </c>
      <c r="AP205" s="936">
        <f t="shared" ca="1" si="86"/>
        <v>106.8742607475245</v>
      </c>
      <c r="AQ205" s="936">
        <f t="shared" ca="1" si="87"/>
        <v>106.8742607475245</v>
      </c>
      <c r="AS205" s="936">
        <f>+IFERROR(VLOOKUP(C205,'Rural - Price Out '!$C:$F,3,FALSE),0)</f>
        <v>0</v>
      </c>
      <c r="AT205" s="909">
        <f t="shared" ca="1" si="88"/>
        <v>106.8742607475245</v>
      </c>
    </row>
    <row r="206" spans="1:46">
      <c r="A206" s="841" t="str">
        <f t="shared" si="78"/>
        <v>PacificRolloffHAUL20-RO</v>
      </c>
      <c r="B206" s="841">
        <f t="shared" si="74"/>
        <v>1</v>
      </c>
      <c r="C206" s="859" t="s">
        <v>2306</v>
      </c>
      <c r="D206" s="859" t="s">
        <v>2307</v>
      </c>
      <c r="E206" s="859">
        <v>109</v>
      </c>
      <c r="F206" s="859"/>
      <c r="G206" s="860"/>
      <c r="H206" s="861">
        <v>18530</v>
      </c>
      <c r="I206" s="861">
        <v>15914</v>
      </c>
      <c r="J206" s="861">
        <v>14497</v>
      </c>
      <c r="K206" s="861">
        <v>15478</v>
      </c>
      <c r="L206" s="861">
        <v>15914</v>
      </c>
      <c r="M206" s="861">
        <v>19293</v>
      </c>
      <c r="N206" s="861">
        <v>16568</v>
      </c>
      <c r="O206" s="861">
        <v>14061</v>
      </c>
      <c r="P206" s="861">
        <v>17331</v>
      </c>
      <c r="Q206" s="861">
        <v>14279</v>
      </c>
      <c r="R206" s="861">
        <v>15914</v>
      </c>
      <c r="S206" s="861">
        <v>16132</v>
      </c>
      <c r="T206" s="865">
        <f t="shared" si="79"/>
        <v>193911</v>
      </c>
      <c r="U206" s="865"/>
      <c r="V206" s="865">
        <f t="shared" si="80"/>
        <v>170</v>
      </c>
      <c r="W206" s="865">
        <f t="shared" si="80"/>
        <v>146</v>
      </c>
      <c r="X206" s="865">
        <f t="shared" si="80"/>
        <v>133</v>
      </c>
      <c r="Y206" s="865">
        <f t="shared" si="80"/>
        <v>142</v>
      </c>
      <c r="Z206" s="865">
        <f t="shared" si="80"/>
        <v>146</v>
      </c>
      <c r="AA206" s="865">
        <f t="shared" si="80"/>
        <v>177</v>
      </c>
      <c r="AB206" s="865">
        <f t="shared" si="80"/>
        <v>152</v>
      </c>
      <c r="AC206" s="865">
        <f t="shared" si="80"/>
        <v>129</v>
      </c>
      <c r="AD206" s="865">
        <f t="shared" si="80"/>
        <v>159</v>
      </c>
      <c r="AE206" s="865">
        <f t="shared" si="80"/>
        <v>131</v>
      </c>
      <c r="AF206" s="865">
        <f t="shared" si="80"/>
        <v>146</v>
      </c>
      <c r="AG206" s="865">
        <f t="shared" si="80"/>
        <v>148</v>
      </c>
      <c r="AH206" s="865">
        <f t="shared" si="81"/>
        <v>148.25</v>
      </c>
      <c r="AK206" s="936">
        <f t="shared" ca="1" si="82"/>
        <v>3.0124463603862566</v>
      </c>
      <c r="AL206" s="865">
        <f t="shared" si="83"/>
        <v>1779</v>
      </c>
      <c r="AM206" s="865">
        <v>70</v>
      </c>
      <c r="AN206" s="843">
        <f t="shared" si="84"/>
        <v>1849</v>
      </c>
      <c r="AO206" s="937">
        <f t="shared" ca="1" si="85"/>
        <v>5570.0133203541882</v>
      </c>
      <c r="AP206" s="936">
        <f t="shared" ca="1" si="86"/>
        <v>112.01244636038626</v>
      </c>
      <c r="AQ206" s="936">
        <f t="shared" ca="1" si="87"/>
        <v>199270.14207512717</v>
      </c>
      <c r="AS206" s="936">
        <f>+IFERROR(VLOOKUP(C206,'Rural - Price Out '!$C:$F,3,FALSE),0)</f>
        <v>119.75</v>
      </c>
      <c r="AT206" s="909">
        <f t="shared" ca="1" si="88"/>
        <v>-7.7375536396137363</v>
      </c>
    </row>
    <row r="207" spans="1:46">
      <c r="A207" s="841" t="str">
        <f t="shared" si="78"/>
        <v>PacificRolloffFINAL20-RO</v>
      </c>
      <c r="B207" s="841">
        <f t="shared" si="74"/>
        <v>1</v>
      </c>
      <c r="C207" s="859" t="s">
        <v>2308</v>
      </c>
      <c r="D207" s="859" t="s">
        <v>2309</v>
      </c>
      <c r="E207" s="859">
        <v>109</v>
      </c>
      <c r="F207" s="859"/>
      <c r="G207" s="860"/>
      <c r="H207" s="861">
        <v>109</v>
      </c>
      <c r="I207" s="861">
        <v>0</v>
      </c>
      <c r="J207" s="861">
        <v>218</v>
      </c>
      <c r="K207" s="861">
        <v>0</v>
      </c>
      <c r="L207" s="861">
        <v>109</v>
      </c>
      <c r="M207" s="861">
        <v>109</v>
      </c>
      <c r="N207" s="861">
        <v>218</v>
      </c>
      <c r="O207" s="861">
        <v>0</v>
      </c>
      <c r="P207" s="861">
        <v>109</v>
      </c>
      <c r="Q207" s="861">
        <v>109</v>
      </c>
      <c r="R207" s="861">
        <v>109</v>
      </c>
      <c r="S207" s="861">
        <v>0</v>
      </c>
      <c r="T207" s="865">
        <f t="shared" si="79"/>
        <v>1090</v>
      </c>
      <c r="U207" s="865"/>
      <c r="V207" s="865">
        <f t="shared" si="80"/>
        <v>1</v>
      </c>
      <c r="W207" s="865">
        <f t="shared" si="80"/>
        <v>0</v>
      </c>
      <c r="X207" s="865">
        <f t="shared" si="80"/>
        <v>2</v>
      </c>
      <c r="Y207" s="865">
        <f t="shared" si="80"/>
        <v>0</v>
      </c>
      <c r="Z207" s="865">
        <f t="shared" si="80"/>
        <v>1</v>
      </c>
      <c r="AA207" s="865">
        <f t="shared" si="80"/>
        <v>1</v>
      </c>
      <c r="AB207" s="865">
        <f t="shared" si="80"/>
        <v>2</v>
      </c>
      <c r="AC207" s="865">
        <f t="shared" si="80"/>
        <v>0</v>
      </c>
      <c r="AD207" s="865">
        <f t="shared" si="80"/>
        <v>1</v>
      </c>
      <c r="AE207" s="865">
        <f t="shared" si="80"/>
        <v>1</v>
      </c>
      <c r="AF207" s="865">
        <f t="shared" si="80"/>
        <v>1</v>
      </c>
      <c r="AG207" s="865">
        <f t="shared" si="80"/>
        <v>0</v>
      </c>
      <c r="AH207" s="865">
        <f t="shared" si="81"/>
        <v>0.83333333333333337</v>
      </c>
      <c r="AK207" s="936">
        <f t="shared" ca="1" si="82"/>
        <v>3.0124463603862566</v>
      </c>
      <c r="AL207" s="865">
        <f t="shared" si="83"/>
        <v>10</v>
      </c>
      <c r="AM207" s="865">
        <v>2</v>
      </c>
      <c r="AN207" s="843">
        <f t="shared" si="84"/>
        <v>12</v>
      </c>
      <c r="AO207" s="937">
        <f t="shared" ca="1" si="85"/>
        <v>36.149356324635079</v>
      </c>
      <c r="AP207" s="936">
        <f t="shared" ca="1" si="86"/>
        <v>112.01244636038626</v>
      </c>
      <c r="AQ207" s="936">
        <f t="shared" ca="1" si="87"/>
        <v>1120.1244636038628</v>
      </c>
      <c r="AS207" s="936">
        <f>+IFERROR(VLOOKUP(C207,'Rural - Price Out '!$C:$F,3,FALSE),0)</f>
        <v>119.75</v>
      </c>
      <c r="AT207" s="909">
        <f t="shared" ca="1" si="88"/>
        <v>-7.7375536396137363</v>
      </c>
    </row>
    <row r="208" spans="1:46">
      <c r="A208" s="841" t="str">
        <f t="shared" si="78"/>
        <v>PacificRolloffHAUL30-RO</v>
      </c>
      <c r="B208" s="841">
        <f t="shared" si="74"/>
        <v>1</v>
      </c>
      <c r="C208" s="859" t="s">
        <v>2310</v>
      </c>
      <c r="D208" s="859" t="s">
        <v>2311</v>
      </c>
      <c r="E208" s="859">
        <v>117</v>
      </c>
      <c r="F208" s="859"/>
      <c r="G208" s="860"/>
      <c r="H208" s="861">
        <v>12285</v>
      </c>
      <c r="I208" s="861">
        <v>10179</v>
      </c>
      <c r="J208" s="861">
        <v>10647</v>
      </c>
      <c r="K208" s="861">
        <v>11232</v>
      </c>
      <c r="L208" s="861">
        <v>10179</v>
      </c>
      <c r="M208" s="861">
        <v>11583</v>
      </c>
      <c r="N208" s="861">
        <v>10998</v>
      </c>
      <c r="O208" s="861">
        <v>9243</v>
      </c>
      <c r="P208" s="861">
        <v>12168</v>
      </c>
      <c r="Q208" s="861">
        <v>11015.3</v>
      </c>
      <c r="R208" s="861">
        <v>12168</v>
      </c>
      <c r="S208" s="861">
        <v>13455</v>
      </c>
      <c r="T208" s="865">
        <f t="shared" si="79"/>
        <v>135152.29999999999</v>
      </c>
      <c r="U208" s="865"/>
      <c r="V208" s="865">
        <f t="shared" si="80"/>
        <v>105</v>
      </c>
      <c r="W208" s="865">
        <f t="shared" si="80"/>
        <v>87</v>
      </c>
      <c r="X208" s="865">
        <f t="shared" si="80"/>
        <v>91</v>
      </c>
      <c r="Y208" s="865">
        <f t="shared" si="80"/>
        <v>96</v>
      </c>
      <c r="Z208" s="865">
        <f t="shared" si="80"/>
        <v>87</v>
      </c>
      <c r="AA208" s="865">
        <f t="shared" si="80"/>
        <v>99</v>
      </c>
      <c r="AB208" s="865">
        <f t="shared" si="80"/>
        <v>94</v>
      </c>
      <c r="AC208" s="865">
        <f t="shared" si="80"/>
        <v>79</v>
      </c>
      <c r="AD208" s="865">
        <f t="shared" si="80"/>
        <v>104</v>
      </c>
      <c r="AE208" s="865">
        <f t="shared" si="80"/>
        <v>94.147863247863242</v>
      </c>
      <c r="AF208" s="865">
        <f t="shared" si="80"/>
        <v>104</v>
      </c>
      <c r="AG208" s="865">
        <f t="shared" si="80"/>
        <v>115</v>
      </c>
      <c r="AH208" s="865">
        <f t="shared" si="81"/>
        <v>96.262321937321943</v>
      </c>
      <c r="AK208" s="936">
        <f t="shared" ca="1" si="82"/>
        <v>3.2335433409650642</v>
      </c>
      <c r="AL208" s="865">
        <f t="shared" si="83"/>
        <v>1155.1478632478634</v>
      </c>
      <c r="AM208" s="865">
        <v>66</v>
      </c>
      <c r="AN208" s="843">
        <f t="shared" si="84"/>
        <v>1221.1478632478634</v>
      </c>
      <c r="AO208" s="937">
        <f t="shared" ca="1" si="85"/>
        <v>3948.6345415388455</v>
      </c>
      <c r="AP208" s="936">
        <f t="shared" ca="1" si="86"/>
        <v>120.23354334096507</v>
      </c>
      <c r="AQ208" s="936">
        <f t="shared" ca="1" si="87"/>
        <v>138887.52068103515</v>
      </c>
      <c r="AS208" s="936">
        <f>+IFERROR(VLOOKUP(C208,'Rural - Price Out '!$C:$F,3,FALSE),0)</f>
        <v>134.30000000000001</v>
      </c>
      <c r="AT208" s="909">
        <f t="shared" ca="1" si="88"/>
        <v>-14.066456659034941</v>
      </c>
    </row>
    <row r="209" spans="1:46">
      <c r="A209" s="841" t="str">
        <f t="shared" si="78"/>
        <v>PacificRolloffFINAL30-RO</v>
      </c>
      <c r="B209" s="841">
        <f t="shared" si="74"/>
        <v>1</v>
      </c>
      <c r="C209" s="859" t="s">
        <v>2312</v>
      </c>
      <c r="D209" s="859" t="s">
        <v>2313</v>
      </c>
      <c r="E209" s="859">
        <v>117</v>
      </c>
      <c r="F209" s="859"/>
      <c r="G209" s="860"/>
      <c r="H209" s="861">
        <v>234</v>
      </c>
      <c r="I209" s="861">
        <v>117</v>
      </c>
      <c r="J209" s="861">
        <v>234</v>
      </c>
      <c r="K209" s="861">
        <v>351</v>
      </c>
      <c r="L209" s="861">
        <v>234</v>
      </c>
      <c r="M209" s="861">
        <v>234</v>
      </c>
      <c r="N209" s="861">
        <v>117</v>
      </c>
      <c r="O209" s="861">
        <v>234</v>
      </c>
      <c r="P209" s="861">
        <v>0</v>
      </c>
      <c r="Q209" s="861">
        <v>0</v>
      </c>
      <c r="R209" s="861">
        <v>117</v>
      </c>
      <c r="S209" s="861">
        <v>351</v>
      </c>
      <c r="T209" s="865">
        <f t="shared" si="79"/>
        <v>2223</v>
      </c>
      <c r="U209" s="865"/>
      <c r="V209" s="865">
        <f t="shared" si="80"/>
        <v>2</v>
      </c>
      <c r="W209" s="865">
        <f t="shared" si="80"/>
        <v>1</v>
      </c>
      <c r="X209" s="865">
        <f t="shared" si="80"/>
        <v>2</v>
      </c>
      <c r="Y209" s="865">
        <f t="shared" si="80"/>
        <v>3</v>
      </c>
      <c r="Z209" s="865">
        <f t="shared" si="80"/>
        <v>2</v>
      </c>
      <c r="AA209" s="865">
        <f t="shared" si="80"/>
        <v>2</v>
      </c>
      <c r="AB209" s="865">
        <f t="shared" si="80"/>
        <v>1</v>
      </c>
      <c r="AC209" s="865">
        <f t="shared" si="80"/>
        <v>2</v>
      </c>
      <c r="AD209" s="865">
        <f t="shared" si="80"/>
        <v>0</v>
      </c>
      <c r="AE209" s="865">
        <f t="shared" si="80"/>
        <v>0</v>
      </c>
      <c r="AF209" s="865">
        <f t="shared" si="80"/>
        <v>1</v>
      </c>
      <c r="AG209" s="865">
        <f t="shared" si="80"/>
        <v>3</v>
      </c>
      <c r="AH209" s="865">
        <f t="shared" si="81"/>
        <v>1.5833333333333333</v>
      </c>
      <c r="AK209" s="936">
        <f t="shared" ca="1" si="82"/>
        <v>3.2335433409650642</v>
      </c>
      <c r="AL209" s="865">
        <f t="shared" si="83"/>
        <v>19</v>
      </c>
      <c r="AM209" s="865">
        <v>2</v>
      </c>
      <c r="AN209" s="843">
        <f t="shared" si="84"/>
        <v>21</v>
      </c>
      <c r="AO209" s="937">
        <f t="shared" ca="1" si="85"/>
        <v>67.904410160266352</v>
      </c>
      <c r="AP209" s="936">
        <f t="shared" ca="1" si="86"/>
        <v>120.23354334096507</v>
      </c>
      <c r="AQ209" s="936">
        <f t="shared" ca="1" si="87"/>
        <v>2284.4373234783361</v>
      </c>
      <c r="AS209" s="936">
        <f>+IFERROR(VLOOKUP(C209,'Rural - Price Out '!$C:$F,3,FALSE),0)</f>
        <v>134.30000000000001</v>
      </c>
      <c r="AT209" s="909">
        <f t="shared" ca="1" si="88"/>
        <v>-14.066456659034941</v>
      </c>
    </row>
    <row r="210" spans="1:46">
      <c r="A210" s="841" t="str">
        <f t="shared" si="78"/>
        <v>PacificRolloffHAUL40-RO</v>
      </c>
      <c r="B210" s="841">
        <f t="shared" si="74"/>
        <v>1</v>
      </c>
      <c r="C210" s="859" t="s">
        <v>2314</v>
      </c>
      <c r="D210" s="859" t="s">
        <v>2315</v>
      </c>
      <c r="E210" s="859">
        <v>128</v>
      </c>
      <c r="F210" s="859"/>
      <c r="G210" s="860"/>
      <c r="H210" s="861">
        <v>5760</v>
      </c>
      <c r="I210" s="861">
        <v>5888</v>
      </c>
      <c r="J210" s="861">
        <v>5888</v>
      </c>
      <c r="K210" s="861">
        <v>6784</v>
      </c>
      <c r="L210" s="861">
        <v>7040</v>
      </c>
      <c r="M210" s="861">
        <v>7040</v>
      </c>
      <c r="N210" s="861">
        <v>6144</v>
      </c>
      <c r="O210" s="861">
        <v>5504</v>
      </c>
      <c r="P210" s="861">
        <v>5120</v>
      </c>
      <c r="Q210" s="861">
        <v>4608</v>
      </c>
      <c r="R210" s="861">
        <v>8064</v>
      </c>
      <c r="S210" s="861">
        <v>5760</v>
      </c>
      <c r="T210" s="865">
        <f t="shared" si="79"/>
        <v>73600</v>
      </c>
      <c r="U210" s="865"/>
      <c r="V210" s="865">
        <f t="shared" si="80"/>
        <v>45</v>
      </c>
      <c r="W210" s="865">
        <f t="shared" si="80"/>
        <v>46</v>
      </c>
      <c r="X210" s="865">
        <f t="shared" si="80"/>
        <v>46</v>
      </c>
      <c r="Y210" s="865">
        <f t="shared" si="80"/>
        <v>53</v>
      </c>
      <c r="Z210" s="865">
        <f t="shared" si="80"/>
        <v>55</v>
      </c>
      <c r="AA210" s="865">
        <f t="shared" si="80"/>
        <v>55</v>
      </c>
      <c r="AB210" s="865">
        <f t="shared" si="80"/>
        <v>48</v>
      </c>
      <c r="AC210" s="865">
        <f t="shared" si="80"/>
        <v>43</v>
      </c>
      <c r="AD210" s="865">
        <f t="shared" si="80"/>
        <v>40</v>
      </c>
      <c r="AE210" s="865">
        <f t="shared" si="80"/>
        <v>36</v>
      </c>
      <c r="AF210" s="865">
        <f t="shared" si="80"/>
        <v>63</v>
      </c>
      <c r="AG210" s="865">
        <f t="shared" si="80"/>
        <v>45</v>
      </c>
      <c r="AH210" s="865">
        <f t="shared" si="81"/>
        <v>47.916666666666664</v>
      </c>
      <c r="AK210" s="936">
        <f t="shared" ca="1" si="82"/>
        <v>3.5375516892609249</v>
      </c>
      <c r="AL210" s="865">
        <f t="shared" si="83"/>
        <v>575</v>
      </c>
      <c r="AM210" s="865">
        <v>0</v>
      </c>
      <c r="AN210" s="843">
        <f t="shared" si="84"/>
        <v>575</v>
      </c>
      <c r="AO210" s="937">
        <f t="shared" ca="1" si="85"/>
        <v>2034.0922213250319</v>
      </c>
      <c r="AP210" s="936">
        <f t="shared" ca="1" si="86"/>
        <v>131.53755168926094</v>
      </c>
      <c r="AQ210" s="936">
        <f t="shared" ca="1" si="87"/>
        <v>75634.092221325045</v>
      </c>
      <c r="AS210" s="936">
        <f>+IFERROR(VLOOKUP(C210,'Rural - Price Out '!$C:$F,3,FALSE),0)</f>
        <v>0</v>
      </c>
      <c r="AT210" s="909">
        <f t="shared" ca="1" si="88"/>
        <v>131.53755168926094</v>
      </c>
    </row>
    <row r="211" spans="1:46">
      <c r="A211" s="841" t="str">
        <f t="shared" si="78"/>
        <v>PacificRolloffFINAL40-RO</v>
      </c>
      <c r="B211" s="841">
        <f t="shared" si="74"/>
        <v>1</v>
      </c>
      <c r="C211" s="859" t="s">
        <v>2316</v>
      </c>
      <c r="D211" s="859" t="s">
        <v>2317</v>
      </c>
      <c r="E211" s="859">
        <v>128</v>
      </c>
      <c r="F211" s="859"/>
      <c r="G211" s="860"/>
      <c r="H211" s="861">
        <v>0</v>
      </c>
      <c r="I211" s="861">
        <v>0</v>
      </c>
      <c r="J211" s="861">
        <v>256</v>
      </c>
      <c r="K211" s="861">
        <v>128</v>
      </c>
      <c r="L211" s="861">
        <v>0</v>
      </c>
      <c r="M211" s="861">
        <v>0</v>
      </c>
      <c r="N211" s="861">
        <v>256</v>
      </c>
      <c r="O211" s="861">
        <v>0</v>
      </c>
      <c r="P211" s="861">
        <v>0</v>
      </c>
      <c r="Q211" s="861">
        <v>0</v>
      </c>
      <c r="R211" s="861">
        <v>0</v>
      </c>
      <c r="S211" s="861">
        <v>128</v>
      </c>
      <c r="T211" s="865">
        <f t="shared" si="79"/>
        <v>768</v>
      </c>
      <c r="U211" s="865"/>
      <c r="V211" s="865">
        <f t="shared" si="80"/>
        <v>0</v>
      </c>
      <c r="W211" s="865">
        <f t="shared" si="80"/>
        <v>0</v>
      </c>
      <c r="X211" s="865">
        <f t="shared" si="80"/>
        <v>2</v>
      </c>
      <c r="Y211" s="865">
        <f t="shared" si="80"/>
        <v>1</v>
      </c>
      <c r="Z211" s="865">
        <f t="shared" si="80"/>
        <v>0</v>
      </c>
      <c r="AA211" s="865">
        <f t="shared" si="80"/>
        <v>0</v>
      </c>
      <c r="AB211" s="865">
        <f t="shared" si="80"/>
        <v>2</v>
      </c>
      <c r="AC211" s="865">
        <f t="shared" si="80"/>
        <v>0</v>
      </c>
      <c r="AD211" s="865">
        <f t="shared" si="80"/>
        <v>0</v>
      </c>
      <c r="AE211" s="865">
        <f t="shared" si="80"/>
        <v>0</v>
      </c>
      <c r="AF211" s="865">
        <f t="shared" si="80"/>
        <v>0</v>
      </c>
      <c r="AG211" s="865">
        <f t="shared" si="80"/>
        <v>1</v>
      </c>
      <c r="AH211" s="865">
        <f t="shared" si="81"/>
        <v>0.5</v>
      </c>
      <c r="AK211" s="936">
        <f t="shared" ca="1" si="82"/>
        <v>3.5375516892609249</v>
      </c>
      <c r="AL211" s="865">
        <f t="shared" si="83"/>
        <v>6</v>
      </c>
      <c r="AM211" s="865">
        <v>2</v>
      </c>
      <c r="AN211" s="843">
        <f t="shared" si="84"/>
        <v>8</v>
      </c>
      <c r="AO211" s="937">
        <f t="shared" ca="1" si="85"/>
        <v>28.300413514087399</v>
      </c>
      <c r="AP211" s="936">
        <f t="shared" ca="1" si="86"/>
        <v>131.53755168926094</v>
      </c>
      <c r="AQ211" s="936">
        <f t="shared" ca="1" si="87"/>
        <v>789.22531013556568</v>
      </c>
      <c r="AS211" s="936">
        <f>+IFERROR(VLOOKUP(C211,'Rural - Price Out '!$C:$F,3,FALSE),0)</f>
        <v>148.85</v>
      </c>
      <c r="AT211" s="909">
        <f t="shared" ca="1" si="88"/>
        <v>-17.312448310739057</v>
      </c>
    </row>
    <row r="212" spans="1:46">
      <c r="A212" s="841" t="str">
        <f t="shared" si="78"/>
        <v>PacificRolloffHAUL10TEMP-RO</v>
      </c>
      <c r="B212" s="841">
        <f t="shared" si="74"/>
        <v>1</v>
      </c>
      <c r="C212" s="859" t="s">
        <v>2318</v>
      </c>
      <c r="D212" s="859" t="s">
        <v>2319</v>
      </c>
      <c r="E212" s="859">
        <v>104</v>
      </c>
      <c r="F212" s="859"/>
      <c r="G212" s="860"/>
      <c r="H212" s="861">
        <v>0</v>
      </c>
      <c r="I212" s="861">
        <v>312</v>
      </c>
      <c r="J212" s="861">
        <v>0</v>
      </c>
      <c r="K212" s="861">
        <v>416</v>
      </c>
      <c r="L212" s="861">
        <v>0</v>
      </c>
      <c r="M212" s="861">
        <v>0</v>
      </c>
      <c r="N212" s="861">
        <v>0</v>
      </c>
      <c r="O212" s="861">
        <v>0</v>
      </c>
      <c r="P212" s="861">
        <v>0</v>
      </c>
      <c r="Q212" s="861">
        <v>0</v>
      </c>
      <c r="R212" s="861">
        <v>104</v>
      </c>
      <c r="S212" s="861">
        <v>104</v>
      </c>
      <c r="T212" s="865">
        <f t="shared" si="79"/>
        <v>936</v>
      </c>
      <c r="U212" s="865"/>
      <c r="V212" s="865">
        <f t="shared" si="80"/>
        <v>0</v>
      </c>
      <c r="W212" s="865">
        <f t="shared" si="80"/>
        <v>3</v>
      </c>
      <c r="X212" s="865">
        <f t="shared" si="80"/>
        <v>0</v>
      </c>
      <c r="Y212" s="865">
        <f t="shared" si="80"/>
        <v>4</v>
      </c>
      <c r="Z212" s="865">
        <f t="shared" si="80"/>
        <v>0</v>
      </c>
      <c r="AA212" s="865">
        <f t="shared" si="80"/>
        <v>0</v>
      </c>
      <c r="AB212" s="865">
        <f t="shared" si="80"/>
        <v>0</v>
      </c>
      <c r="AC212" s="865">
        <f t="shared" si="80"/>
        <v>0</v>
      </c>
      <c r="AD212" s="865">
        <f t="shared" si="80"/>
        <v>0</v>
      </c>
      <c r="AE212" s="865">
        <f t="shared" si="80"/>
        <v>0</v>
      </c>
      <c r="AF212" s="865">
        <f t="shared" si="80"/>
        <v>1</v>
      </c>
      <c r="AG212" s="865">
        <f t="shared" si="80"/>
        <v>1</v>
      </c>
      <c r="AH212" s="865">
        <f t="shared" si="81"/>
        <v>0.75</v>
      </c>
      <c r="AK212" s="936">
        <f t="shared" ca="1" si="82"/>
        <v>2.8742607475245014</v>
      </c>
      <c r="AL212" s="865">
        <f t="shared" si="83"/>
        <v>9</v>
      </c>
      <c r="AM212" s="865">
        <v>0</v>
      </c>
      <c r="AN212" s="843">
        <f t="shared" si="84"/>
        <v>9</v>
      </c>
      <c r="AO212" s="937">
        <f t="shared" ca="1" si="85"/>
        <v>25.868346727720514</v>
      </c>
      <c r="AP212" s="936">
        <f t="shared" ca="1" si="86"/>
        <v>106.8742607475245</v>
      </c>
      <c r="AQ212" s="936">
        <f t="shared" ca="1" si="87"/>
        <v>961.86834672772056</v>
      </c>
      <c r="AS212" s="936">
        <f>+IFERROR(VLOOKUP(C212,'Rural - Price Out '!$C:$F,3,FALSE),0)</f>
        <v>0</v>
      </c>
      <c r="AT212" s="909">
        <f t="shared" ca="1" si="88"/>
        <v>106.8742607475245</v>
      </c>
    </row>
    <row r="213" spans="1:46">
      <c r="A213" s="841" t="str">
        <f t="shared" si="78"/>
        <v>PacificRolloffFINAL10TEMP-RO</v>
      </c>
      <c r="B213" s="841">
        <f t="shared" si="74"/>
        <v>1</v>
      </c>
      <c r="C213" s="859" t="s">
        <v>2320</v>
      </c>
      <c r="D213" s="859" t="s">
        <v>2321</v>
      </c>
      <c r="E213" s="859">
        <v>104</v>
      </c>
      <c r="F213" s="859"/>
      <c r="G213" s="860"/>
      <c r="H213" s="861">
        <v>0</v>
      </c>
      <c r="I213" s="861">
        <v>104</v>
      </c>
      <c r="J213" s="861">
        <v>0</v>
      </c>
      <c r="K213" s="861">
        <v>104</v>
      </c>
      <c r="L213" s="861">
        <v>728</v>
      </c>
      <c r="M213" s="861">
        <v>0</v>
      </c>
      <c r="N213" s="861">
        <v>0</v>
      </c>
      <c r="O213" s="861">
        <v>0</v>
      </c>
      <c r="P213" s="861">
        <v>0</v>
      </c>
      <c r="Q213" s="861">
        <v>0</v>
      </c>
      <c r="R213" s="861">
        <v>104</v>
      </c>
      <c r="S213" s="861">
        <v>0</v>
      </c>
      <c r="T213" s="865">
        <f t="shared" si="79"/>
        <v>1040</v>
      </c>
      <c r="U213" s="865"/>
      <c r="V213" s="865">
        <f t="shared" si="80"/>
        <v>0</v>
      </c>
      <c r="W213" s="865">
        <f t="shared" si="80"/>
        <v>1</v>
      </c>
      <c r="X213" s="865">
        <f t="shared" si="80"/>
        <v>0</v>
      </c>
      <c r="Y213" s="865">
        <f t="shared" si="80"/>
        <v>1</v>
      </c>
      <c r="Z213" s="865">
        <f t="shared" si="80"/>
        <v>7</v>
      </c>
      <c r="AA213" s="865">
        <f t="shared" si="80"/>
        <v>0</v>
      </c>
      <c r="AB213" s="865">
        <f t="shared" si="80"/>
        <v>0</v>
      </c>
      <c r="AC213" s="865">
        <f t="shared" si="80"/>
        <v>0</v>
      </c>
      <c r="AD213" s="865">
        <f t="shared" si="80"/>
        <v>0</v>
      </c>
      <c r="AE213" s="865">
        <f t="shared" si="80"/>
        <v>0</v>
      </c>
      <c r="AF213" s="865">
        <f t="shared" si="80"/>
        <v>1</v>
      </c>
      <c r="AG213" s="865">
        <f t="shared" si="80"/>
        <v>0</v>
      </c>
      <c r="AH213" s="865">
        <f t="shared" si="81"/>
        <v>0.83333333333333337</v>
      </c>
      <c r="AK213" s="936">
        <f t="shared" ca="1" si="82"/>
        <v>2.8742607475245014</v>
      </c>
      <c r="AL213" s="865">
        <f t="shared" si="83"/>
        <v>10</v>
      </c>
      <c r="AM213" s="865">
        <v>0</v>
      </c>
      <c r="AN213" s="843">
        <f t="shared" si="84"/>
        <v>10</v>
      </c>
      <c r="AO213" s="937">
        <f t="shared" ca="1" si="85"/>
        <v>28.742607475245016</v>
      </c>
      <c r="AP213" s="936">
        <f t="shared" ca="1" si="86"/>
        <v>106.8742607475245</v>
      </c>
      <c r="AQ213" s="936">
        <f t="shared" ca="1" si="87"/>
        <v>1068.7426074752452</v>
      </c>
      <c r="AS213" s="936">
        <f>+IFERROR(VLOOKUP(C213,'Rural - Price Out '!$C:$F,3,FALSE),0)</f>
        <v>0</v>
      </c>
      <c r="AT213" s="909">
        <f t="shared" ca="1" si="88"/>
        <v>106.8742607475245</v>
      </c>
    </row>
    <row r="214" spans="1:46">
      <c r="A214" s="841" t="str">
        <f t="shared" si="78"/>
        <v>PacificRolloffHAUL20TEMP-RO</v>
      </c>
      <c r="B214" s="841">
        <f t="shared" si="74"/>
        <v>1</v>
      </c>
      <c r="C214" s="859" t="s">
        <v>2322</v>
      </c>
      <c r="D214" s="859" t="s">
        <v>2323</v>
      </c>
      <c r="E214" s="859">
        <v>109</v>
      </c>
      <c r="F214" s="859"/>
      <c r="G214" s="860"/>
      <c r="H214" s="861">
        <v>3379</v>
      </c>
      <c r="I214" s="861">
        <v>3052</v>
      </c>
      <c r="J214" s="861">
        <v>4142</v>
      </c>
      <c r="K214" s="861">
        <v>5123</v>
      </c>
      <c r="L214" s="861">
        <v>3379</v>
      </c>
      <c r="M214" s="861">
        <v>4251</v>
      </c>
      <c r="N214" s="861">
        <v>3488</v>
      </c>
      <c r="O214" s="861">
        <v>3052</v>
      </c>
      <c r="P214" s="861">
        <v>2180</v>
      </c>
      <c r="Q214" s="861">
        <v>1853</v>
      </c>
      <c r="R214" s="861">
        <v>2616</v>
      </c>
      <c r="S214" s="861">
        <v>7412</v>
      </c>
      <c r="T214" s="865">
        <f t="shared" si="79"/>
        <v>43927</v>
      </c>
      <c r="U214" s="865"/>
      <c r="V214" s="865">
        <f t="shared" si="80"/>
        <v>31</v>
      </c>
      <c r="W214" s="865">
        <f t="shared" si="80"/>
        <v>28</v>
      </c>
      <c r="X214" s="865">
        <f t="shared" si="80"/>
        <v>38</v>
      </c>
      <c r="Y214" s="865">
        <f t="shared" si="80"/>
        <v>47</v>
      </c>
      <c r="Z214" s="865">
        <f t="shared" si="80"/>
        <v>31</v>
      </c>
      <c r="AA214" s="865">
        <f t="shared" si="80"/>
        <v>39</v>
      </c>
      <c r="AB214" s="865">
        <f t="shared" si="80"/>
        <v>32</v>
      </c>
      <c r="AC214" s="865">
        <f t="shared" si="80"/>
        <v>28</v>
      </c>
      <c r="AD214" s="865">
        <f t="shared" si="80"/>
        <v>20</v>
      </c>
      <c r="AE214" s="865">
        <f t="shared" si="80"/>
        <v>17</v>
      </c>
      <c r="AF214" s="865">
        <f t="shared" si="80"/>
        <v>24</v>
      </c>
      <c r="AG214" s="865">
        <f t="shared" si="80"/>
        <v>68</v>
      </c>
      <c r="AH214" s="865">
        <f t="shared" si="81"/>
        <v>33.583333333333336</v>
      </c>
      <c r="AK214" s="936">
        <f t="shared" ca="1" si="82"/>
        <v>3.0124463603862566</v>
      </c>
      <c r="AL214" s="865">
        <f t="shared" si="83"/>
        <v>403</v>
      </c>
      <c r="AM214" s="865">
        <v>18</v>
      </c>
      <c r="AN214" s="843">
        <f t="shared" si="84"/>
        <v>421</v>
      </c>
      <c r="AO214" s="937">
        <f t="shared" ca="1" si="85"/>
        <v>1268.2399177226141</v>
      </c>
      <c r="AP214" s="936">
        <f t="shared" ca="1" si="86"/>
        <v>112.01244636038626</v>
      </c>
      <c r="AQ214" s="936">
        <f t="shared" ca="1" si="87"/>
        <v>45141.015883235668</v>
      </c>
      <c r="AS214" s="936">
        <f>+IFERROR(VLOOKUP(C214,'Rural - Price Out '!$C:$F,3,FALSE),0)</f>
        <v>129.5</v>
      </c>
      <c r="AT214" s="909">
        <f t="shared" ca="1" si="88"/>
        <v>-17.487553639613736</v>
      </c>
    </row>
    <row r="215" spans="1:46">
      <c r="A215" s="841" t="str">
        <f t="shared" si="78"/>
        <v>PacificRolloffFINAL20TEMP-RO</v>
      </c>
      <c r="B215" s="841">
        <f t="shared" si="74"/>
        <v>1</v>
      </c>
      <c r="C215" s="859" t="s">
        <v>2324</v>
      </c>
      <c r="D215" s="859" t="s">
        <v>2325</v>
      </c>
      <c r="E215" s="859">
        <v>109</v>
      </c>
      <c r="F215" s="859"/>
      <c r="G215" s="860"/>
      <c r="H215" s="861">
        <v>3052</v>
      </c>
      <c r="I215" s="861">
        <v>3597</v>
      </c>
      <c r="J215" s="861">
        <v>4796</v>
      </c>
      <c r="K215" s="861">
        <v>4142</v>
      </c>
      <c r="L215" s="861">
        <v>3270</v>
      </c>
      <c r="M215" s="861">
        <v>3597</v>
      </c>
      <c r="N215" s="861">
        <v>2289</v>
      </c>
      <c r="O215" s="861">
        <v>1417</v>
      </c>
      <c r="P215" s="861">
        <v>2398</v>
      </c>
      <c r="Q215" s="861">
        <v>1417</v>
      </c>
      <c r="R215" s="861">
        <v>2180</v>
      </c>
      <c r="S215" s="861">
        <v>2943</v>
      </c>
      <c r="T215" s="865">
        <f t="shared" si="79"/>
        <v>35098</v>
      </c>
      <c r="U215" s="865"/>
      <c r="V215" s="865">
        <f t="shared" si="80"/>
        <v>28</v>
      </c>
      <c r="W215" s="865">
        <f t="shared" si="80"/>
        <v>33</v>
      </c>
      <c r="X215" s="865">
        <f t="shared" si="80"/>
        <v>44</v>
      </c>
      <c r="Y215" s="865">
        <f t="shared" si="80"/>
        <v>38</v>
      </c>
      <c r="Z215" s="865">
        <f t="shared" si="80"/>
        <v>30</v>
      </c>
      <c r="AA215" s="865">
        <f t="shared" si="80"/>
        <v>33</v>
      </c>
      <c r="AB215" s="865">
        <f t="shared" si="80"/>
        <v>21</v>
      </c>
      <c r="AC215" s="865">
        <f t="shared" si="80"/>
        <v>13</v>
      </c>
      <c r="AD215" s="865">
        <f t="shared" si="80"/>
        <v>22</v>
      </c>
      <c r="AE215" s="865">
        <f t="shared" si="80"/>
        <v>13</v>
      </c>
      <c r="AF215" s="865">
        <f t="shared" si="80"/>
        <v>20</v>
      </c>
      <c r="AG215" s="865">
        <f t="shared" si="80"/>
        <v>27</v>
      </c>
      <c r="AH215" s="865">
        <f t="shared" si="81"/>
        <v>26.833333333333332</v>
      </c>
      <c r="AK215" s="936">
        <f t="shared" ca="1" si="82"/>
        <v>3.0124463603862566</v>
      </c>
      <c r="AL215" s="865">
        <f t="shared" si="83"/>
        <v>322</v>
      </c>
      <c r="AM215" s="865">
        <v>32</v>
      </c>
      <c r="AN215" s="843">
        <f t="shared" si="84"/>
        <v>354</v>
      </c>
      <c r="AO215" s="937">
        <f t="shared" ca="1" si="85"/>
        <v>1066.4060115767347</v>
      </c>
      <c r="AP215" s="936">
        <f t="shared" ca="1" si="86"/>
        <v>112.01244636038626</v>
      </c>
      <c r="AQ215" s="936">
        <f t="shared" ca="1" si="87"/>
        <v>36068.007728044373</v>
      </c>
      <c r="AS215" s="936">
        <f>+IFERROR(VLOOKUP(C215,'Rural - Price Out '!$C:$F,3,FALSE),0)</f>
        <v>129.5</v>
      </c>
      <c r="AT215" s="909">
        <f t="shared" ca="1" si="88"/>
        <v>-17.487553639613736</v>
      </c>
    </row>
    <row r="216" spans="1:46">
      <c r="A216" s="841" t="str">
        <f t="shared" si="78"/>
        <v>PacificRolloffHAUL30TEMP-RO</v>
      </c>
      <c r="B216" s="841">
        <f t="shared" si="74"/>
        <v>1</v>
      </c>
      <c r="C216" s="859" t="s">
        <v>2326</v>
      </c>
      <c r="D216" s="859" t="s">
        <v>2327</v>
      </c>
      <c r="E216" s="859">
        <v>117</v>
      </c>
      <c r="F216" s="859"/>
      <c r="G216" s="860"/>
      <c r="H216" s="861">
        <v>4095</v>
      </c>
      <c r="I216" s="861">
        <v>2223</v>
      </c>
      <c r="J216" s="861">
        <v>4563</v>
      </c>
      <c r="K216" s="861">
        <v>4914</v>
      </c>
      <c r="L216" s="861">
        <v>5499</v>
      </c>
      <c r="M216" s="861">
        <v>5265</v>
      </c>
      <c r="N216" s="861">
        <v>4329</v>
      </c>
      <c r="O216" s="861">
        <v>4563</v>
      </c>
      <c r="P216" s="861">
        <v>5616</v>
      </c>
      <c r="Q216" s="861">
        <v>3978</v>
      </c>
      <c r="R216" s="861">
        <v>6084</v>
      </c>
      <c r="S216" s="861">
        <v>4680</v>
      </c>
      <c r="T216" s="865">
        <f t="shared" si="79"/>
        <v>55809</v>
      </c>
      <c r="U216" s="865"/>
      <c r="V216" s="865">
        <f t="shared" si="80"/>
        <v>35</v>
      </c>
      <c r="W216" s="865">
        <f t="shared" si="80"/>
        <v>19</v>
      </c>
      <c r="X216" s="865">
        <f t="shared" si="80"/>
        <v>39</v>
      </c>
      <c r="Y216" s="865">
        <f t="shared" si="80"/>
        <v>42</v>
      </c>
      <c r="Z216" s="865">
        <f t="shared" si="80"/>
        <v>47</v>
      </c>
      <c r="AA216" s="865">
        <f t="shared" si="80"/>
        <v>45</v>
      </c>
      <c r="AB216" s="865">
        <f t="shared" si="80"/>
        <v>37</v>
      </c>
      <c r="AC216" s="865">
        <f t="shared" si="80"/>
        <v>39</v>
      </c>
      <c r="AD216" s="865">
        <f t="shared" si="80"/>
        <v>48</v>
      </c>
      <c r="AE216" s="865">
        <f t="shared" si="80"/>
        <v>34</v>
      </c>
      <c r="AF216" s="865">
        <f t="shared" si="80"/>
        <v>52</v>
      </c>
      <c r="AG216" s="865">
        <f t="shared" si="80"/>
        <v>40</v>
      </c>
      <c r="AH216" s="865">
        <f t="shared" si="81"/>
        <v>39.75</v>
      </c>
      <c r="AK216" s="936">
        <f t="shared" ca="1" si="82"/>
        <v>3.2335433409650642</v>
      </c>
      <c r="AL216" s="865">
        <f t="shared" si="83"/>
        <v>477</v>
      </c>
      <c r="AM216" s="865">
        <v>41</v>
      </c>
      <c r="AN216" s="843">
        <f t="shared" si="84"/>
        <v>518</v>
      </c>
      <c r="AO216" s="937">
        <f t="shared" ca="1" si="85"/>
        <v>1674.9754506199033</v>
      </c>
      <c r="AP216" s="936">
        <f t="shared" ca="1" si="86"/>
        <v>120.23354334096507</v>
      </c>
      <c r="AQ216" s="936">
        <f t="shared" ca="1" si="87"/>
        <v>57351.400173640337</v>
      </c>
      <c r="AS216" s="936">
        <f>+IFERROR(VLOOKUP(C216,'Rural - Price Out '!$C:$F,3,FALSE),0)</f>
        <v>147.25</v>
      </c>
      <c r="AT216" s="909">
        <f t="shared" ca="1" si="88"/>
        <v>-27.01645665903493</v>
      </c>
    </row>
    <row r="217" spans="1:46">
      <c r="A217" s="841" t="str">
        <f t="shared" si="78"/>
        <v>PacificRolloffFINAL30TEMP-RO</v>
      </c>
      <c r="B217" s="841">
        <f t="shared" si="74"/>
        <v>1</v>
      </c>
      <c r="C217" s="859" t="s">
        <v>2328</v>
      </c>
      <c r="D217" s="859" t="s">
        <v>2329</v>
      </c>
      <c r="E217" s="859">
        <v>117</v>
      </c>
      <c r="F217" s="859"/>
      <c r="G217" s="860"/>
      <c r="H217" s="861">
        <v>1872</v>
      </c>
      <c r="I217" s="861">
        <v>1404</v>
      </c>
      <c r="J217" s="861">
        <v>1404</v>
      </c>
      <c r="K217" s="861">
        <v>2223</v>
      </c>
      <c r="L217" s="861">
        <v>1287</v>
      </c>
      <c r="M217" s="861">
        <v>2457</v>
      </c>
      <c r="N217" s="861">
        <v>1638</v>
      </c>
      <c r="O217" s="861">
        <v>1521</v>
      </c>
      <c r="P217" s="861">
        <v>2340</v>
      </c>
      <c r="Q217" s="861">
        <v>1053</v>
      </c>
      <c r="R217" s="861">
        <v>3393</v>
      </c>
      <c r="S217" s="861">
        <v>1755</v>
      </c>
      <c r="T217" s="865">
        <f t="shared" si="79"/>
        <v>22347</v>
      </c>
      <c r="U217" s="865"/>
      <c r="V217" s="865">
        <f t="shared" si="80"/>
        <v>16</v>
      </c>
      <c r="W217" s="865">
        <f t="shared" si="80"/>
        <v>12</v>
      </c>
      <c r="X217" s="865">
        <f t="shared" si="80"/>
        <v>12</v>
      </c>
      <c r="Y217" s="865">
        <f t="shared" si="80"/>
        <v>19</v>
      </c>
      <c r="Z217" s="865">
        <f t="shared" si="80"/>
        <v>11</v>
      </c>
      <c r="AA217" s="865">
        <f t="shared" si="80"/>
        <v>21</v>
      </c>
      <c r="AB217" s="865">
        <f t="shared" si="80"/>
        <v>14</v>
      </c>
      <c r="AC217" s="865">
        <f t="shared" si="80"/>
        <v>13</v>
      </c>
      <c r="AD217" s="865">
        <f t="shared" si="80"/>
        <v>20</v>
      </c>
      <c r="AE217" s="865">
        <f t="shared" si="80"/>
        <v>9</v>
      </c>
      <c r="AF217" s="865">
        <f t="shared" si="80"/>
        <v>29</v>
      </c>
      <c r="AG217" s="865">
        <f t="shared" si="80"/>
        <v>15</v>
      </c>
      <c r="AH217" s="865">
        <f t="shared" si="81"/>
        <v>15.916666666666666</v>
      </c>
      <c r="AK217" s="936">
        <f t="shared" ca="1" si="82"/>
        <v>3.2335433409650642</v>
      </c>
      <c r="AL217" s="865">
        <f t="shared" si="83"/>
        <v>191</v>
      </c>
      <c r="AM217" s="865">
        <v>33</v>
      </c>
      <c r="AN217" s="843">
        <f t="shared" si="84"/>
        <v>224</v>
      </c>
      <c r="AO217" s="937">
        <f t="shared" ca="1" si="85"/>
        <v>724.31370837617442</v>
      </c>
      <c r="AP217" s="936">
        <f t="shared" ca="1" si="86"/>
        <v>120.23354334096507</v>
      </c>
      <c r="AQ217" s="936">
        <f t="shared" ca="1" si="87"/>
        <v>22964.606778124329</v>
      </c>
      <c r="AS217" s="936">
        <f>+IFERROR(VLOOKUP(C217,'Rural - Price Out '!$C:$F,3,FALSE),0)</f>
        <v>147.25</v>
      </c>
      <c r="AT217" s="909">
        <f t="shared" ca="1" si="88"/>
        <v>-27.01645665903493</v>
      </c>
    </row>
    <row r="218" spans="1:46">
      <c r="A218" s="841" t="str">
        <f t="shared" si="78"/>
        <v>PacificRolloffHAUL40TEMP-RO</v>
      </c>
      <c r="B218" s="841">
        <f t="shared" si="74"/>
        <v>1</v>
      </c>
      <c r="C218" s="859" t="s">
        <v>2330</v>
      </c>
      <c r="D218" s="859" t="s">
        <v>2331</v>
      </c>
      <c r="E218" s="859">
        <v>128</v>
      </c>
      <c r="F218" s="859"/>
      <c r="G218" s="860"/>
      <c r="H218" s="861">
        <v>4864</v>
      </c>
      <c r="I218" s="861">
        <v>3584</v>
      </c>
      <c r="J218" s="861">
        <v>4096</v>
      </c>
      <c r="K218" s="861">
        <v>7168</v>
      </c>
      <c r="L218" s="861">
        <v>3328</v>
      </c>
      <c r="M218" s="861">
        <v>3456</v>
      </c>
      <c r="N218" s="861">
        <v>4352</v>
      </c>
      <c r="O218" s="861">
        <v>5248</v>
      </c>
      <c r="P218" s="861">
        <v>3200</v>
      </c>
      <c r="Q218" s="861">
        <v>1536</v>
      </c>
      <c r="R218" s="861">
        <v>2688</v>
      </c>
      <c r="S218" s="861">
        <v>2304</v>
      </c>
      <c r="T218" s="865">
        <f t="shared" si="79"/>
        <v>45824</v>
      </c>
      <c r="U218" s="865"/>
      <c r="V218" s="865">
        <f t="shared" si="80"/>
        <v>38</v>
      </c>
      <c r="W218" s="865">
        <f t="shared" si="80"/>
        <v>28</v>
      </c>
      <c r="X218" s="865">
        <f t="shared" si="80"/>
        <v>32</v>
      </c>
      <c r="Y218" s="865">
        <f t="shared" si="80"/>
        <v>56</v>
      </c>
      <c r="Z218" s="865">
        <f t="shared" si="80"/>
        <v>26</v>
      </c>
      <c r="AA218" s="865">
        <f t="shared" si="80"/>
        <v>27</v>
      </c>
      <c r="AB218" s="865">
        <f t="shared" si="80"/>
        <v>34</v>
      </c>
      <c r="AC218" s="865">
        <f t="shared" si="80"/>
        <v>41</v>
      </c>
      <c r="AD218" s="865">
        <f t="shared" si="80"/>
        <v>25</v>
      </c>
      <c r="AE218" s="865">
        <f t="shared" si="80"/>
        <v>12</v>
      </c>
      <c r="AF218" s="865">
        <f t="shared" si="80"/>
        <v>21</v>
      </c>
      <c r="AG218" s="865">
        <f t="shared" si="80"/>
        <v>18</v>
      </c>
      <c r="AH218" s="865">
        <f t="shared" si="81"/>
        <v>29.833333333333332</v>
      </c>
      <c r="AK218" s="936">
        <f t="shared" ca="1" si="82"/>
        <v>3.5375516892609249</v>
      </c>
      <c r="AL218" s="865">
        <f t="shared" si="83"/>
        <v>358</v>
      </c>
      <c r="AM218" s="865">
        <v>10</v>
      </c>
      <c r="AN218" s="843">
        <f t="shared" si="84"/>
        <v>368</v>
      </c>
      <c r="AO218" s="937">
        <f t="shared" ca="1" si="85"/>
        <v>1301.8190216480205</v>
      </c>
      <c r="AP218" s="936">
        <f t="shared" ca="1" si="86"/>
        <v>131.53755168926094</v>
      </c>
      <c r="AQ218" s="936">
        <f t="shared" ca="1" si="87"/>
        <v>47090.443504755414</v>
      </c>
      <c r="AS218" s="936">
        <f>+IFERROR(VLOOKUP(C218,'Rural - Price Out '!$C:$F,3,FALSE),0)</f>
        <v>165</v>
      </c>
      <c r="AT218" s="909">
        <f t="shared" ca="1" si="88"/>
        <v>-33.462448310739063</v>
      </c>
    </row>
    <row r="219" spans="1:46">
      <c r="A219" s="841" t="str">
        <f t="shared" si="78"/>
        <v>PacificRolloffFINAL40TEMP-RO</v>
      </c>
      <c r="B219" s="841">
        <f t="shared" si="74"/>
        <v>1</v>
      </c>
      <c r="C219" s="859" t="s">
        <v>2332</v>
      </c>
      <c r="D219" s="859" t="s">
        <v>2333</v>
      </c>
      <c r="E219" s="859">
        <v>128</v>
      </c>
      <c r="F219" s="859"/>
      <c r="G219" s="860"/>
      <c r="H219" s="861">
        <v>2432</v>
      </c>
      <c r="I219" s="861">
        <v>2176</v>
      </c>
      <c r="J219" s="861">
        <v>1920</v>
      </c>
      <c r="K219" s="861">
        <v>1920</v>
      </c>
      <c r="L219" s="861">
        <v>1792</v>
      </c>
      <c r="M219" s="861">
        <v>2048</v>
      </c>
      <c r="N219" s="861">
        <v>1024</v>
      </c>
      <c r="O219" s="861">
        <v>896</v>
      </c>
      <c r="P219" s="861">
        <v>768</v>
      </c>
      <c r="Q219" s="861">
        <v>512</v>
      </c>
      <c r="R219" s="861">
        <v>640</v>
      </c>
      <c r="S219" s="861">
        <v>640</v>
      </c>
      <c r="T219" s="865">
        <f t="shared" si="79"/>
        <v>16768</v>
      </c>
      <c r="U219" s="865"/>
      <c r="V219" s="865">
        <f t="shared" si="80"/>
        <v>19</v>
      </c>
      <c r="W219" s="865">
        <f t="shared" si="80"/>
        <v>17</v>
      </c>
      <c r="X219" s="865">
        <f t="shared" si="80"/>
        <v>15</v>
      </c>
      <c r="Y219" s="865">
        <f t="shared" si="80"/>
        <v>15</v>
      </c>
      <c r="Z219" s="865">
        <f t="shared" si="80"/>
        <v>14</v>
      </c>
      <c r="AA219" s="865">
        <f t="shared" si="80"/>
        <v>16</v>
      </c>
      <c r="AB219" s="865">
        <f t="shared" si="80"/>
        <v>8</v>
      </c>
      <c r="AC219" s="865">
        <f t="shared" si="80"/>
        <v>7</v>
      </c>
      <c r="AD219" s="865">
        <f t="shared" si="80"/>
        <v>6</v>
      </c>
      <c r="AE219" s="865">
        <f t="shared" si="80"/>
        <v>4</v>
      </c>
      <c r="AF219" s="865">
        <f t="shared" si="80"/>
        <v>5</v>
      </c>
      <c r="AG219" s="865">
        <f t="shared" si="80"/>
        <v>5</v>
      </c>
      <c r="AH219" s="865">
        <f t="shared" si="81"/>
        <v>10.916666666666666</v>
      </c>
      <c r="AK219" s="936">
        <f t="shared" ca="1" si="82"/>
        <v>3.5375516892609249</v>
      </c>
      <c r="AL219" s="865">
        <f t="shared" si="83"/>
        <v>131</v>
      </c>
      <c r="AM219" s="865">
        <v>15</v>
      </c>
      <c r="AN219" s="843">
        <f t="shared" si="84"/>
        <v>146</v>
      </c>
      <c r="AO219" s="937">
        <f t="shared" ca="1" si="85"/>
        <v>516.48254663209502</v>
      </c>
      <c r="AP219" s="936">
        <f t="shared" ca="1" si="86"/>
        <v>131.53755168926094</v>
      </c>
      <c r="AQ219" s="936">
        <f t="shared" ca="1" si="87"/>
        <v>17231.419271293184</v>
      </c>
      <c r="AS219" s="936">
        <f>+IFERROR(VLOOKUP(C219,'Rural - Price Out '!$C:$F,3,FALSE),0)</f>
        <v>165</v>
      </c>
      <c r="AT219" s="909">
        <f t="shared" ca="1" si="88"/>
        <v>-33.462448310739063</v>
      </c>
    </row>
    <row r="220" spans="1:46">
      <c r="A220" s="841" t="str">
        <f t="shared" si="78"/>
        <v>PacificRolloffHAUL15-CP</v>
      </c>
      <c r="B220" s="841">
        <f t="shared" si="74"/>
        <v>1</v>
      </c>
      <c r="C220" s="859" t="s">
        <v>2334</v>
      </c>
      <c r="D220" s="859" t="s">
        <v>2335</v>
      </c>
      <c r="E220" s="859">
        <v>126</v>
      </c>
      <c r="F220" s="859"/>
      <c r="G220" s="860"/>
      <c r="H220" s="861">
        <v>504</v>
      </c>
      <c r="I220" s="861">
        <v>630</v>
      </c>
      <c r="J220" s="861">
        <v>504</v>
      </c>
      <c r="K220" s="861">
        <v>378</v>
      </c>
      <c r="L220" s="861">
        <v>126</v>
      </c>
      <c r="M220" s="861">
        <v>630</v>
      </c>
      <c r="N220" s="861">
        <v>504</v>
      </c>
      <c r="O220" s="861">
        <v>378</v>
      </c>
      <c r="P220" s="861">
        <v>252</v>
      </c>
      <c r="Q220" s="861">
        <v>504</v>
      </c>
      <c r="R220" s="861">
        <v>630</v>
      </c>
      <c r="S220" s="861">
        <v>378</v>
      </c>
      <c r="T220" s="865">
        <f t="shared" si="79"/>
        <v>5418</v>
      </c>
      <c r="U220" s="865"/>
      <c r="V220" s="865">
        <f t="shared" si="80"/>
        <v>4</v>
      </c>
      <c r="W220" s="865">
        <f t="shared" si="80"/>
        <v>5</v>
      </c>
      <c r="X220" s="865">
        <f t="shared" si="80"/>
        <v>4</v>
      </c>
      <c r="Y220" s="865">
        <f t="shared" si="80"/>
        <v>3</v>
      </c>
      <c r="Z220" s="865">
        <f t="shared" si="80"/>
        <v>1</v>
      </c>
      <c r="AA220" s="865">
        <f t="shared" si="80"/>
        <v>5</v>
      </c>
      <c r="AB220" s="865">
        <f t="shared" si="80"/>
        <v>4</v>
      </c>
      <c r="AC220" s="865">
        <f t="shared" si="80"/>
        <v>3</v>
      </c>
      <c r="AD220" s="865">
        <f t="shared" si="80"/>
        <v>2</v>
      </c>
      <c r="AE220" s="865">
        <f t="shared" si="80"/>
        <v>4</v>
      </c>
      <c r="AF220" s="865">
        <f t="shared" si="80"/>
        <v>5</v>
      </c>
      <c r="AG220" s="865">
        <f t="shared" si="80"/>
        <v>3</v>
      </c>
      <c r="AH220" s="865">
        <f t="shared" si="81"/>
        <v>3.5833333333333335</v>
      </c>
      <c r="AK220" s="936">
        <f t="shared" ca="1" si="82"/>
        <v>3.4822774441162228</v>
      </c>
      <c r="AL220" s="865">
        <f t="shared" si="83"/>
        <v>43</v>
      </c>
      <c r="AM220" s="865">
        <v>12</v>
      </c>
      <c r="AN220" s="843">
        <f t="shared" si="84"/>
        <v>55</v>
      </c>
      <c r="AO220" s="937">
        <f t="shared" ca="1" si="85"/>
        <v>191.52525942639224</v>
      </c>
      <c r="AP220" s="936">
        <f t="shared" ca="1" si="86"/>
        <v>129.48227744411622</v>
      </c>
      <c r="AQ220" s="936">
        <f t="shared" ca="1" si="87"/>
        <v>5567.7379300969978</v>
      </c>
      <c r="AS220" s="936">
        <f>+IFERROR(VLOOKUP(C220,'Rural - Price Out '!$C:$F,3,FALSE),0)</f>
        <v>130</v>
      </c>
      <c r="AT220" s="909">
        <f t="shared" ca="1" si="88"/>
        <v>-0.51772255588377902</v>
      </c>
    </row>
    <row r="221" spans="1:46">
      <c r="A221" s="841" t="str">
        <f t="shared" si="78"/>
        <v>PacificRolloffHAUL20-CP</v>
      </c>
      <c r="B221" s="841">
        <f t="shared" si="74"/>
        <v>1</v>
      </c>
      <c r="C221" s="859" t="s">
        <v>2336</v>
      </c>
      <c r="D221" s="859" t="s">
        <v>2337</v>
      </c>
      <c r="E221" s="859">
        <v>145</v>
      </c>
      <c r="F221" s="859"/>
      <c r="G221" s="860"/>
      <c r="H221" s="861">
        <v>3770</v>
      </c>
      <c r="I221" s="861">
        <v>3190</v>
      </c>
      <c r="J221" s="861">
        <v>3190</v>
      </c>
      <c r="K221" s="861">
        <v>3190</v>
      </c>
      <c r="L221" s="861">
        <v>2465</v>
      </c>
      <c r="M221" s="861">
        <v>4060</v>
      </c>
      <c r="N221" s="861">
        <v>3335</v>
      </c>
      <c r="O221" s="861">
        <v>3335</v>
      </c>
      <c r="P221" s="861">
        <v>2900</v>
      </c>
      <c r="Q221" s="861">
        <v>3045</v>
      </c>
      <c r="R221" s="861">
        <v>2900</v>
      </c>
      <c r="S221" s="861">
        <v>3335</v>
      </c>
      <c r="T221" s="865">
        <f t="shared" si="79"/>
        <v>38715</v>
      </c>
      <c r="U221" s="865"/>
      <c r="V221" s="865">
        <f t="shared" si="80"/>
        <v>26</v>
      </c>
      <c r="W221" s="865">
        <f t="shared" si="80"/>
        <v>22</v>
      </c>
      <c r="X221" s="865">
        <f t="shared" si="80"/>
        <v>22</v>
      </c>
      <c r="Y221" s="865">
        <f t="shared" si="80"/>
        <v>22</v>
      </c>
      <c r="Z221" s="865">
        <f t="shared" si="80"/>
        <v>17</v>
      </c>
      <c r="AA221" s="865">
        <f t="shared" si="80"/>
        <v>28</v>
      </c>
      <c r="AB221" s="865">
        <f t="shared" si="80"/>
        <v>23</v>
      </c>
      <c r="AC221" s="865">
        <f t="shared" si="80"/>
        <v>23</v>
      </c>
      <c r="AD221" s="865">
        <f t="shared" si="80"/>
        <v>20</v>
      </c>
      <c r="AE221" s="865">
        <f t="shared" si="80"/>
        <v>21</v>
      </c>
      <c r="AF221" s="865">
        <f t="shared" si="80"/>
        <v>20</v>
      </c>
      <c r="AG221" s="865">
        <f t="shared" si="80"/>
        <v>23</v>
      </c>
      <c r="AH221" s="865">
        <f t="shared" si="81"/>
        <v>22.25</v>
      </c>
      <c r="AK221" s="936">
        <f t="shared" ca="1" si="82"/>
        <v>4.0073827729908915</v>
      </c>
      <c r="AL221" s="865">
        <f t="shared" si="83"/>
        <v>267</v>
      </c>
      <c r="AM221" s="865">
        <v>12</v>
      </c>
      <c r="AN221" s="843">
        <f t="shared" si="84"/>
        <v>279</v>
      </c>
      <c r="AO221" s="937">
        <f t="shared" ca="1" si="85"/>
        <v>1118.0597936644588</v>
      </c>
      <c r="AP221" s="936">
        <f t="shared" ca="1" si="86"/>
        <v>149.00738277299089</v>
      </c>
      <c r="AQ221" s="936">
        <f t="shared" ca="1" si="87"/>
        <v>39784.971200388565</v>
      </c>
      <c r="AS221" s="936">
        <f>+IFERROR(VLOOKUP(C221,'Rural - Price Out '!$C:$F,3,FALSE),0)</f>
        <v>161.80000000000001</v>
      </c>
      <c r="AT221" s="909">
        <f t="shared" ca="1" si="88"/>
        <v>-12.792617227009117</v>
      </c>
    </row>
    <row r="222" spans="1:46">
      <c r="A222" s="841" t="str">
        <f t="shared" si="78"/>
        <v>PacificRolloffHAUL25-CP</v>
      </c>
      <c r="B222" s="841">
        <f t="shared" si="74"/>
        <v>1</v>
      </c>
      <c r="C222" s="859" t="s">
        <v>2338</v>
      </c>
      <c r="D222" s="859" t="s">
        <v>2339</v>
      </c>
      <c r="E222" s="859">
        <v>165</v>
      </c>
      <c r="F222" s="859"/>
      <c r="G222" s="860"/>
      <c r="H222" s="861">
        <v>5445</v>
      </c>
      <c r="I222" s="861">
        <v>4785</v>
      </c>
      <c r="J222" s="861">
        <v>5775</v>
      </c>
      <c r="K222" s="861">
        <v>5775</v>
      </c>
      <c r="L222" s="861">
        <v>5280</v>
      </c>
      <c r="M222" s="861">
        <v>6270</v>
      </c>
      <c r="N222" s="861">
        <v>5610</v>
      </c>
      <c r="O222" s="861">
        <v>6105</v>
      </c>
      <c r="P222" s="861">
        <v>6270</v>
      </c>
      <c r="Q222" s="861">
        <v>5115</v>
      </c>
      <c r="R222" s="861">
        <v>5445</v>
      </c>
      <c r="S222" s="861">
        <v>5940</v>
      </c>
      <c r="T222" s="865">
        <f t="shared" si="79"/>
        <v>67815</v>
      </c>
      <c r="U222" s="865"/>
      <c r="V222" s="865">
        <f t="shared" si="80"/>
        <v>33</v>
      </c>
      <c r="W222" s="865">
        <f t="shared" si="80"/>
        <v>29</v>
      </c>
      <c r="X222" s="865">
        <f t="shared" si="80"/>
        <v>35</v>
      </c>
      <c r="Y222" s="865">
        <f t="shared" si="80"/>
        <v>35</v>
      </c>
      <c r="Z222" s="865">
        <f t="shared" si="80"/>
        <v>32</v>
      </c>
      <c r="AA222" s="865">
        <f t="shared" si="80"/>
        <v>38</v>
      </c>
      <c r="AB222" s="865">
        <f t="shared" si="80"/>
        <v>34</v>
      </c>
      <c r="AC222" s="865">
        <f t="shared" si="80"/>
        <v>37</v>
      </c>
      <c r="AD222" s="865">
        <f t="shared" si="80"/>
        <v>38</v>
      </c>
      <c r="AE222" s="865">
        <f t="shared" si="80"/>
        <v>31</v>
      </c>
      <c r="AF222" s="865">
        <f t="shared" si="80"/>
        <v>33</v>
      </c>
      <c r="AG222" s="865">
        <f t="shared" si="80"/>
        <v>36</v>
      </c>
      <c r="AH222" s="865">
        <f t="shared" si="81"/>
        <v>34.25</v>
      </c>
      <c r="AK222" s="936">
        <f t="shared" ca="1" si="82"/>
        <v>4.5601252244379111</v>
      </c>
      <c r="AL222" s="865">
        <f t="shared" si="83"/>
        <v>411</v>
      </c>
      <c r="AM222" s="865">
        <v>180</v>
      </c>
      <c r="AN222" s="843">
        <f t="shared" si="84"/>
        <v>591</v>
      </c>
      <c r="AO222" s="937">
        <f t="shared" ca="1" si="85"/>
        <v>2695.0340076428056</v>
      </c>
      <c r="AP222" s="936">
        <f t="shared" ca="1" si="86"/>
        <v>169.56012522443791</v>
      </c>
      <c r="AQ222" s="936">
        <f t="shared" ca="1" si="87"/>
        <v>69689.211467243978</v>
      </c>
      <c r="AS222" s="936">
        <f>+IFERROR(VLOOKUP(C222,'Rural - Price Out '!$C:$F,3,FALSE),0)</f>
        <v>186.1</v>
      </c>
      <c r="AT222" s="909">
        <f t="shared" ca="1" si="88"/>
        <v>-16.539874775562083</v>
      </c>
    </row>
    <row r="223" spans="1:46">
      <c r="A223" s="841" t="str">
        <f t="shared" si="78"/>
        <v>PacificRolloffHAUL30-CP</v>
      </c>
      <c r="B223" s="841">
        <f t="shared" si="74"/>
        <v>1</v>
      </c>
      <c r="C223" s="859" t="s">
        <v>2340</v>
      </c>
      <c r="D223" s="859" t="s">
        <v>2341</v>
      </c>
      <c r="E223" s="859">
        <v>180</v>
      </c>
      <c r="F223" s="859"/>
      <c r="G223" s="860"/>
      <c r="H223" s="861">
        <v>2880</v>
      </c>
      <c r="I223" s="861">
        <v>2880</v>
      </c>
      <c r="J223" s="861">
        <v>3960</v>
      </c>
      <c r="K223" s="861">
        <v>3600</v>
      </c>
      <c r="L223" s="861">
        <v>3240</v>
      </c>
      <c r="M223" s="861">
        <v>3600</v>
      </c>
      <c r="N223" s="861">
        <v>3780</v>
      </c>
      <c r="O223" s="861">
        <v>3240</v>
      </c>
      <c r="P223" s="861">
        <v>3960</v>
      </c>
      <c r="Q223" s="861">
        <v>3780</v>
      </c>
      <c r="R223" s="861">
        <v>4320</v>
      </c>
      <c r="S223" s="861">
        <v>4320</v>
      </c>
      <c r="T223" s="865">
        <f t="shared" si="79"/>
        <v>43560</v>
      </c>
      <c r="U223" s="865"/>
      <c r="V223" s="865">
        <f t="shared" si="80"/>
        <v>16</v>
      </c>
      <c r="W223" s="865">
        <f t="shared" si="80"/>
        <v>16</v>
      </c>
      <c r="X223" s="865">
        <f t="shared" si="80"/>
        <v>22</v>
      </c>
      <c r="Y223" s="865">
        <f t="shared" si="80"/>
        <v>20</v>
      </c>
      <c r="Z223" s="865">
        <f t="shared" si="80"/>
        <v>18</v>
      </c>
      <c r="AA223" s="865">
        <f t="shared" si="80"/>
        <v>20</v>
      </c>
      <c r="AB223" s="865">
        <f t="shared" si="80"/>
        <v>21</v>
      </c>
      <c r="AC223" s="865">
        <f t="shared" si="80"/>
        <v>18</v>
      </c>
      <c r="AD223" s="865">
        <f t="shared" si="80"/>
        <v>22</v>
      </c>
      <c r="AE223" s="865">
        <f t="shared" si="80"/>
        <v>21</v>
      </c>
      <c r="AF223" s="865">
        <f t="shared" si="80"/>
        <v>24</v>
      </c>
      <c r="AG223" s="865">
        <f t="shared" si="80"/>
        <v>24</v>
      </c>
      <c r="AH223" s="865">
        <f t="shared" si="81"/>
        <v>20.166666666666668</v>
      </c>
      <c r="AK223" s="936">
        <f t="shared" ca="1" si="82"/>
        <v>4.9746820630231756</v>
      </c>
      <c r="AL223" s="865">
        <f t="shared" si="83"/>
        <v>242</v>
      </c>
      <c r="AM223" s="865">
        <v>13</v>
      </c>
      <c r="AN223" s="843">
        <f t="shared" si="84"/>
        <v>255</v>
      </c>
      <c r="AO223" s="937">
        <f t="shared" ca="1" si="85"/>
        <v>1268.5439260709097</v>
      </c>
      <c r="AP223" s="936">
        <f t="shared" ca="1" si="86"/>
        <v>184.97468206302318</v>
      </c>
      <c r="AQ223" s="936">
        <f t="shared" ca="1" si="87"/>
        <v>44763.873059251608</v>
      </c>
      <c r="AS223" s="936">
        <f>+IFERROR(VLOOKUP(C223,'Rural - Price Out '!$C:$F,3,FALSE),0)</f>
        <v>194.15</v>
      </c>
      <c r="AT223" s="909">
        <f t="shared" ca="1" si="88"/>
        <v>-9.1753179369768247</v>
      </c>
    </row>
    <row r="224" spans="1:46">
      <c r="A224" s="841" t="str">
        <f t="shared" si="78"/>
        <v>PacificRolloffHAUL35-CP</v>
      </c>
      <c r="B224" s="841">
        <f t="shared" si="74"/>
        <v>1</v>
      </c>
      <c r="C224" s="859" t="s">
        <v>2342</v>
      </c>
      <c r="D224" s="859" t="s">
        <v>2343</v>
      </c>
      <c r="E224" s="859">
        <v>190</v>
      </c>
      <c r="F224" s="859"/>
      <c r="G224" s="860"/>
      <c r="H224" s="861">
        <v>2850</v>
      </c>
      <c r="I224" s="861">
        <v>1710</v>
      </c>
      <c r="J224" s="861">
        <v>1710</v>
      </c>
      <c r="K224" s="861">
        <v>2470</v>
      </c>
      <c r="L224" s="861">
        <v>2470</v>
      </c>
      <c r="M224" s="861">
        <v>2660</v>
      </c>
      <c r="N224" s="861">
        <v>2850</v>
      </c>
      <c r="O224" s="861">
        <v>2470</v>
      </c>
      <c r="P224" s="861">
        <v>2660</v>
      </c>
      <c r="Q224" s="861">
        <v>1900</v>
      </c>
      <c r="R224" s="861">
        <v>2470</v>
      </c>
      <c r="S224" s="861">
        <v>2660</v>
      </c>
      <c r="T224" s="865">
        <f t="shared" si="79"/>
        <v>28880</v>
      </c>
      <c r="U224" s="865"/>
      <c r="V224" s="865">
        <f t="shared" si="80"/>
        <v>15</v>
      </c>
      <c r="W224" s="865">
        <f t="shared" si="80"/>
        <v>9</v>
      </c>
      <c r="X224" s="865">
        <f t="shared" si="80"/>
        <v>9</v>
      </c>
      <c r="Y224" s="865">
        <f t="shared" si="80"/>
        <v>13</v>
      </c>
      <c r="Z224" s="865">
        <f t="shared" si="80"/>
        <v>13</v>
      </c>
      <c r="AA224" s="865">
        <f t="shared" si="80"/>
        <v>14</v>
      </c>
      <c r="AB224" s="865">
        <f t="shared" si="80"/>
        <v>15</v>
      </c>
      <c r="AC224" s="865">
        <f t="shared" si="80"/>
        <v>13</v>
      </c>
      <c r="AD224" s="865">
        <f t="shared" si="80"/>
        <v>14</v>
      </c>
      <c r="AE224" s="865">
        <f t="shared" si="80"/>
        <v>10</v>
      </c>
      <c r="AF224" s="865">
        <f t="shared" si="80"/>
        <v>13</v>
      </c>
      <c r="AG224" s="865">
        <f t="shared" si="80"/>
        <v>14</v>
      </c>
      <c r="AH224" s="865">
        <f t="shared" si="81"/>
        <v>12.666666666666666</v>
      </c>
      <c r="AK224" s="936">
        <f t="shared" ca="1" si="82"/>
        <v>5.251053288746685</v>
      </c>
      <c r="AL224" s="865">
        <f t="shared" si="83"/>
        <v>152</v>
      </c>
      <c r="AM224" s="865">
        <v>0</v>
      </c>
      <c r="AN224" s="843">
        <f t="shared" si="84"/>
        <v>152</v>
      </c>
      <c r="AO224" s="937">
        <f t="shared" ca="1" si="85"/>
        <v>798.16009988949611</v>
      </c>
      <c r="AP224" s="936">
        <f t="shared" ca="1" si="86"/>
        <v>195.25105328874668</v>
      </c>
      <c r="AQ224" s="936">
        <f t="shared" ca="1" si="87"/>
        <v>29678.160099889494</v>
      </c>
      <c r="AS224" s="936">
        <f>+IFERROR(VLOOKUP(C224,'Rural - Price Out '!$C:$F,3,FALSE),0)</f>
        <v>0</v>
      </c>
      <c r="AT224" s="909">
        <f t="shared" ca="1" si="88"/>
        <v>195.25105328874668</v>
      </c>
    </row>
    <row r="225" spans="1:46">
      <c r="A225" s="841" t="str">
        <f t="shared" si="78"/>
        <v>PacificRolloffHAUL40-CP</v>
      </c>
      <c r="B225" s="841">
        <f t="shared" si="74"/>
        <v>1</v>
      </c>
      <c r="C225" s="859" t="s">
        <v>2344</v>
      </c>
      <c r="D225" s="859" t="s">
        <v>2345</v>
      </c>
      <c r="E225" s="859">
        <v>200</v>
      </c>
      <c r="F225" s="859"/>
      <c r="G225" s="860"/>
      <c r="H225" s="861">
        <v>7200</v>
      </c>
      <c r="I225" s="861">
        <v>5800</v>
      </c>
      <c r="J225" s="861">
        <v>7200</v>
      </c>
      <c r="K225" s="861">
        <v>7600</v>
      </c>
      <c r="L225" s="861">
        <v>6800</v>
      </c>
      <c r="M225" s="861">
        <v>8200</v>
      </c>
      <c r="N225" s="861">
        <v>6600</v>
      </c>
      <c r="O225" s="861">
        <v>7400</v>
      </c>
      <c r="P225" s="861">
        <v>7200</v>
      </c>
      <c r="Q225" s="861">
        <v>7000</v>
      </c>
      <c r="R225" s="861">
        <v>7400</v>
      </c>
      <c r="S225" s="861">
        <v>8400</v>
      </c>
      <c r="T225" s="865">
        <f t="shared" si="79"/>
        <v>86800</v>
      </c>
      <c r="U225" s="865"/>
      <c r="V225" s="865">
        <f t="shared" si="80"/>
        <v>36</v>
      </c>
      <c r="W225" s="865">
        <f t="shared" si="80"/>
        <v>29</v>
      </c>
      <c r="X225" s="865">
        <f t="shared" si="80"/>
        <v>36</v>
      </c>
      <c r="Y225" s="865">
        <f t="shared" ref="Y225:AG229" si="89">IFERROR(K225/$E225,0)</f>
        <v>38</v>
      </c>
      <c r="Z225" s="865">
        <f t="shared" si="89"/>
        <v>34</v>
      </c>
      <c r="AA225" s="865">
        <f t="shared" si="89"/>
        <v>41</v>
      </c>
      <c r="AB225" s="865">
        <f t="shared" si="89"/>
        <v>33</v>
      </c>
      <c r="AC225" s="865">
        <f t="shared" si="89"/>
        <v>37</v>
      </c>
      <c r="AD225" s="865">
        <f t="shared" si="89"/>
        <v>36</v>
      </c>
      <c r="AE225" s="865">
        <f t="shared" si="89"/>
        <v>35</v>
      </c>
      <c r="AF225" s="865">
        <f t="shared" si="89"/>
        <v>37</v>
      </c>
      <c r="AG225" s="865">
        <f t="shared" si="89"/>
        <v>42</v>
      </c>
      <c r="AH225" s="865">
        <f t="shared" si="81"/>
        <v>36.166666666666664</v>
      </c>
      <c r="AK225" s="936">
        <f t="shared" ca="1" si="82"/>
        <v>5.5274245144701952</v>
      </c>
      <c r="AL225" s="865">
        <f t="shared" si="83"/>
        <v>434</v>
      </c>
      <c r="AM225" s="865">
        <v>0</v>
      </c>
      <c r="AN225" s="843">
        <f t="shared" si="84"/>
        <v>434</v>
      </c>
      <c r="AO225" s="937">
        <f t="shared" ca="1" si="85"/>
        <v>2398.9022392800648</v>
      </c>
      <c r="AP225" s="936">
        <f t="shared" ca="1" si="86"/>
        <v>205.5274245144702</v>
      </c>
      <c r="AQ225" s="936">
        <f t="shared" ca="1" si="87"/>
        <v>89198.902239280054</v>
      </c>
      <c r="AS225" s="936">
        <f>+IFERROR(VLOOKUP(C225,'Rural - Price Out '!$C:$F,3,FALSE),0)</f>
        <v>0</v>
      </c>
      <c r="AT225" s="909">
        <f t="shared" ca="1" si="88"/>
        <v>205.5274245144702</v>
      </c>
    </row>
    <row r="226" spans="1:46" s="888" customFormat="1">
      <c r="A226" s="888" t="str">
        <f t="shared" si="78"/>
        <v>PacificRolloffRENT10MO-RO</v>
      </c>
      <c r="B226" s="888">
        <f t="shared" si="74"/>
        <v>1</v>
      </c>
      <c r="C226" s="889" t="s">
        <v>2346</v>
      </c>
      <c r="D226" s="889" t="s">
        <v>2347</v>
      </c>
      <c r="E226" s="889">
        <v>65</v>
      </c>
      <c r="F226" s="889"/>
      <c r="G226" s="890"/>
      <c r="H226" s="891">
        <v>130</v>
      </c>
      <c r="I226" s="891">
        <v>130</v>
      </c>
      <c r="J226" s="891">
        <v>130</v>
      </c>
      <c r="K226" s="891">
        <v>130</v>
      </c>
      <c r="L226" s="891">
        <v>130</v>
      </c>
      <c r="M226" s="891">
        <v>130</v>
      </c>
      <c r="N226" s="891">
        <v>130</v>
      </c>
      <c r="O226" s="891">
        <v>130</v>
      </c>
      <c r="P226" s="891">
        <v>130</v>
      </c>
      <c r="Q226" s="891">
        <v>130</v>
      </c>
      <c r="R226" s="891">
        <v>130</v>
      </c>
      <c r="S226" s="891">
        <v>130</v>
      </c>
      <c r="T226" s="892">
        <f t="shared" si="79"/>
        <v>1560</v>
      </c>
      <c r="U226" s="892"/>
      <c r="V226" s="892">
        <f t="shared" ref="V226:X229" si="90">IFERROR(H226/$E226,0)</f>
        <v>2</v>
      </c>
      <c r="W226" s="892">
        <f t="shared" si="90"/>
        <v>2</v>
      </c>
      <c r="X226" s="892">
        <f t="shared" si="90"/>
        <v>2</v>
      </c>
      <c r="Y226" s="892">
        <f t="shared" si="89"/>
        <v>2</v>
      </c>
      <c r="Z226" s="892">
        <f t="shared" si="89"/>
        <v>2</v>
      </c>
      <c r="AA226" s="892">
        <f t="shared" si="89"/>
        <v>2</v>
      </c>
      <c r="AB226" s="892">
        <f t="shared" si="89"/>
        <v>2</v>
      </c>
      <c r="AC226" s="892">
        <f t="shared" si="89"/>
        <v>2</v>
      </c>
      <c r="AD226" s="892">
        <f t="shared" si="89"/>
        <v>2</v>
      </c>
      <c r="AE226" s="892">
        <f t="shared" si="89"/>
        <v>2</v>
      </c>
      <c r="AF226" s="892">
        <f t="shared" si="89"/>
        <v>2</v>
      </c>
      <c r="AG226" s="892">
        <f t="shared" si="89"/>
        <v>2</v>
      </c>
      <c r="AH226" s="892">
        <f t="shared" si="81"/>
        <v>2</v>
      </c>
      <c r="AJ226" s="893"/>
      <c r="AK226" s="936">
        <f t="shared" ca="1" si="82"/>
        <v>1.7964129672028135</v>
      </c>
      <c r="AL226" s="892">
        <f t="shared" si="83"/>
        <v>24</v>
      </c>
      <c r="AM226" s="892">
        <v>0</v>
      </c>
      <c r="AN226" s="894">
        <f t="shared" si="84"/>
        <v>24</v>
      </c>
      <c r="AO226" s="941">
        <f t="shared" ca="1" si="85"/>
        <v>43.113911212867521</v>
      </c>
      <c r="AP226" s="936">
        <f t="shared" ca="1" si="86"/>
        <v>66.796412967202812</v>
      </c>
      <c r="AQ226" s="936">
        <f t="shared" ca="1" si="87"/>
        <v>1603.1139112128676</v>
      </c>
      <c r="AS226" s="936">
        <f>+IFERROR(VLOOKUP(C226,'Rural - Price Out '!$C:$F,3,FALSE),0)</f>
        <v>0</v>
      </c>
      <c r="AT226" s="909">
        <f t="shared" ca="1" si="88"/>
        <v>66.796412967202812</v>
      </c>
    </row>
    <row r="227" spans="1:46" s="888" customFormat="1">
      <c r="A227" s="888" t="str">
        <f t="shared" si="78"/>
        <v>PacificRolloffRENT20MO-RO</v>
      </c>
      <c r="B227" s="888">
        <f t="shared" si="74"/>
        <v>1</v>
      </c>
      <c r="C227" s="889" t="s">
        <v>2348</v>
      </c>
      <c r="D227" s="889" t="s">
        <v>2349</v>
      </c>
      <c r="E227" s="889">
        <v>75</v>
      </c>
      <c r="F227" s="889"/>
      <c r="G227" s="890"/>
      <c r="H227" s="891">
        <v>5455.65</v>
      </c>
      <c r="I227" s="891">
        <v>5495</v>
      </c>
      <c r="J227" s="891">
        <v>4918.55</v>
      </c>
      <c r="K227" s="891">
        <v>5286.3</v>
      </c>
      <c r="L227" s="891">
        <v>5582.5</v>
      </c>
      <c r="M227" s="891">
        <v>5605.66</v>
      </c>
      <c r="N227" s="891">
        <v>5475</v>
      </c>
      <c r="O227" s="891">
        <v>5455.65</v>
      </c>
      <c r="P227" s="891">
        <v>5784.68</v>
      </c>
      <c r="Q227" s="891">
        <v>5793.75</v>
      </c>
      <c r="R227" s="891">
        <v>5680.64</v>
      </c>
      <c r="S227" s="891">
        <v>5925</v>
      </c>
      <c r="T227" s="892">
        <f t="shared" si="79"/>
        <v>66458.38</v>
      </c>
      <c r="U227" s="892"/>
      <c r="V227" s="892">
        <f t="shared" si="90"/>
        <v>72.74199999999999</v>
      </c>
      <c r="W227" s="892">
        <f t="shared" si="90"/>
        <v>73.266666666666666</v>
      </c>
      <c r="X227" s="892">
        <f t="shared" si="90"/>
        <v>65.580666666666673</v>
      </c>
      <c r="Y227" s="892">
        <f t="shared" si="89"/>
        <v>70.484000000000009</v>
      </c>
      <c r="Z227" s="892">
        <f t="shared" si="89"/>
        <v>74.433333333333337</v>
      </c>
      <c r="AA227" s="892">
        <f t="shared" si="89"/>
        <v>74.742133333333328</v>
      </c>
      <c r="AB227" s="892">
        <f t="shared" si="89"/>
        <v>73</v>
      </c>
      <c r="AC227" s="892">
        <f t="shared" si="89"/>
        <v>72.74199999999999</v>
      </c>
      <c r="AD227" s="892">
        <f t="shared" si="89"/>
        <v>77.129066666666674</v>
      </c>
      <c r="AE227" s="892">
        <f t="shared" si="89"/>
        <v>77.25</v>
      </c>
      <c r="AF227" s="892">
        <f t="shared" si="89"/>
        <v>75.741866666666667</v>
      </c>
      <c r="AG227" s="892">
        <f t="shared" si="89"/>
        <v>79</v>
      </c>
      <c r="AH227" s="892">
        <f t="shared" si="81"/>
        <v>73.842644444444446</v>
      </c>
      <c r="AJ227" s="893"/>
      <c r="AK227" s="936">
        <f t="shared" ca="1" si="82"/>
        <v>2.0727841929263233</v>
      </c>
      <c r="AL227" s="892">
        <f t="shared" si="83"/>
        <v>886.1117333333334</v>
      </c>
      <c r="AM227" s="892">
        <v>82.377924944812378</v>
      </c>
      <c r="AN227" s="894">
        <f t="shared" si="84"/>
        <v>968.48965827814573</v>
      </c>
      <c r="AO227" s="941">
        <f t="shared" ca="1" si="85"/>
        <v>2007.4700546915569</v>
      </c>
      <c r="AP227" s="936">
        <f t="shared" ca="1" si="86"/>
        <v>77.072784192926321</v>
      </c>
      <c r="AQ227" s="936">
        <f t="shared" ca="1" si="87"/>
        <v>68295.098394019878</v>
      </c>
      <c r="AS227" s="936">
        <f>+IFERROR(VLOOKUP(C227,'Rural - Price Out '!$C:$F,3,FALSE),0)</f>
        <v>90.6</v>
      </c>
      <c r="AT227" s="909">
        <f t="shared" ca="1" si="88"/>
        <v>-13.527215807073674</v>
      </c>
    </row>
    <row r="228" spans="1:46" s="888" customFormat="1">
      <c r="A228" s="888" t="str">
        <f t="shared" si="78"/>
        <v>PacificRolloffRENT30MO-RO</v>
      </c>
      <c r="B228" s="888">
        <f t="shared" si="74"/>
        <v>1</v>
      </c>
      <c r="C228" s="889" t="s">
        <v>2350</v>
      </c>
      <c r="D228" s="889" t="s">
        <v>2351</v>
      </c>
      <c r="E228" s="889">
        <v>85</v>
      </c>
      <c r="F228" s="889"/>
      <c r="G228" s="890"/>
      <c r="H228" s="891">
        <v>4093.7000000000003</v>
      </c>
      <c r="I228" s="891">
        <v>4114</v>
      </c>
      <c r="J228" s="891">
        <v>4137.58</v>
      </c>
      <c r="K228" s="891">
        <v>4055.32</v>
      </c>
      <c r="L228" s="891">
        <v>3995</v>
      </c>
      <c r="M228" s="891">
        <v>3934.6800000000003</v>
      </c>
      <c r="N228" s="891">
        <v>3870.33</v>
      </c>
      <c r="O228" s="891">
        <v>3816.77</v>
      </c>
      <c r="P228" s="891">
        <v>4080</v>
      </c>
      <c r="Q228" s="891">
        <v>4083.0299999999997</v>
      </c>
      <c r="R228" s="891">
        <v>3829.91</v>
      </c>
      <c r="S228" s="891">
        <v>4252.83</v>
      </c>
      <c r="T228" s="892">
        <f t="shared" si="79"/>
        <v>48263.150000000009</v>
      </c>
      <c r="U228" s="892"/>
      <c r="V228" s="892">
        <f t="shared" si="90"/>
        <v>48.161176470588238</v>
      </c>
      <c r="W228" s="892">
        <f t="shared" si="90"/>
        <v>48.4</v>
      </c>
      <c r="X228" s="892">
        <f t="shared" si="90"/>
        <v>48.67741176470588</v>
      </c>
      <c r="Y228" s="892">
        <f t="shared" si="89"/>
        <v>47.709647058823535</v>
      </c>
      <c r="Z228" s="892">
        <f t="shared" si="89"/>
        <v>47</v>
      </c>
      <c r="AA228" s="892">
        <f t="shared" si="89"/>
        <v>46.290352941176472</v>
      </c>
      <c r="AB228" s="892">
        <f t="shared" si="89"/>
        <v>45.53329411764706</v>
      </c>
      <c r="AC228" s="892">
        <f t="shared" si="89"/>
        <v>44.903176470588235</v>
      </c>
      <c r="AD228" s="892">
        <f t="shared" si="89"/>
        <v>48</v>
      </c>
      <c r="AE228" s="892">
        <f t="shared" si="89"/>
        <v>48.035647058823528</v>
      </c>
      <c r="AF228" s="892">
        <f t="shared" si="89"/>
        <v>45.057764705882349</v>
      </c>
      <c r="AG228" s="892">
        <f t="shared" si="89"/>
        <v>50.03329411764706</v>
      </c>
      <c r="AH228" s="892">
        <f t="shared" si="81"/>
        <v>47.316813725490199</v>
      </c>
      <c r="AJ228" s="893"/>
      <c r="AK228" s="936">
        <f t="shared" ca="1" si="82"/>
        <v>2.3491554186498331</v>
      </c>
      <c r="AL228" s="892">
        <f t="shared" si="83"/>
        <v>567.80176470588242</v>
      </c>
      <c r="AM228" s="892">
        <v>32.593726937269373</v>
      </c>
      <c r="AN228" s="894">
        <f t="shared" si="84"/>
        <v>600.39549164315179</v>
      </c>
      <c r="AO228" s="941">
        <f t="shared" ca="1" si="85"/>
        <v>1410.4223225264407</v>
      </c>
      <c r="AP228" s="936">
        <f t="shared" ca="1" si="86"/>
        <v>87.349155418649829</v>
      </c>
      <c r="AQ228" s="936">
        <f t="shared" ca="1" si="87"/>
        <v>49597.004592277757</v>
      </c>
      <c r="AS228" s="936">
        <f>+IFERROR(VLOOKUP(C228,'Rural - Price Out '!$C:$F,3,FALSE),0)</f>
        <v>108.4</v>
      </c>
      <c r="AT228" s="909">
        <f t="shared" ca="1" si="88"/>
        <v>-21.050844581350177</v>
      </c>
    </row>
    <row r="229" spans="1:46" s="888" customFormat="1">
      <c r="A229" s="888" t="str">
        <f t="shared" si="78"/>
        <v>PacificRolloffRENT40MO-RO</v>
      </c>
      <c r="B229" s="888">
        <f t="shared" si="74"/>
        <v>1</v>
      </c>
      <c r="C229" s="889" t="s">
        <v>2352</v>
      </c>
      <c r="D229" s="889" t="s">
        <v>2353</v>
      </c>
      <c r="E229" s="889">
        <v>95</v>
      </c>
      <c r="F229" s="889"/>
      <c r="G229" s="890"/>
      <c r="H229" s="891">
        <v>2607.9</v>
      </c>
      <c r="I229" s="891">
        <v>2555.5</v>
      </c>
      <c r="J229" s="891">
        <v>2902.1000000000004</v>
      </c>
      <c r="K229" s="891">
        <v>2914.36</v>
      </c>
      <c r="L229" s="891">
        <v>3040</v>
      </c>
      <c r="M229" s="891">
        <v>2865.3199999999997</v>
      </c>
      <c r="N229" s="891">
        <v>2777.16</v>
      </c>
      <c r="O229" s="891">
        <v>2595.6400000000003</v>
      </c>
      <c r="P229" s="891">
        <v>2945</v>
      </c>
      <c r="Q229" s="891">
        <v>2948.3900000000003</v>
      </c>
      <c r="R229" s="891">
        <v>3049.19</v>
      </c>
      <c r="S229" s="891">
        <v>3375</v>
      </c>
      <c r="T229" s="892">
        <f t="shared" si="79"/>
        <v>34575.56</v>
      </c>
      <c r="U229" s="892"/>
      <c r="V229" s="892">
        <f t="shared" si="90"/>
        <v>27.451578947368422</v>
      </c>
      <c r="W229" s="892">
        <f t="shared" si="90"/>
        <v>26.9</v>
      </c>
      <c r="X229" s="892">
        <f t="shared" si="90"/>
        <v>30.548421052631582</v>
      </c>
      <c r="Y229" s="892">
        <f t="shared" si="89"/>
        <v>30.677473684210529</v>
      </c>
      <c r="Z229" s="892">
        <f t="shared" si="89"/>
        <v>32</v>
      </c>
      <c r="AA229" s="892">
        <f t="shared" si="89"/>
        <v>30.161263157894734</v>
      </c>
      <c r="AB229" s="892">
        <f t="shared" si="89"/>
        <v>29.233263157894736</v>
      </c>
      <c r="AC229" s="892">
        <f t="shared" si="89"/>
        <v>27.322526315789478</v>
      </c>
      <c r="AD229" s="892">
        <f t="shared" si="89"/>
        <v>31</v>
      </c>
      <c r="AE229" s="892">
        <f t="shared" si="89"/>
        <v>31.03568421052632</v>
      </c>
      <c r="AF229" s="892">
        <f t="shared" si="89"/>
        <v>32.096736842105265</v>
      </c>
      <c r="AG229" s="892">
        <f t="shared" si="89"/>
        <v>35.526315789473685</v>
      </c>
      <c r="AH229" s="892">
        <f t="shared" si="81"/>
        <v>30.329438596491226</v>
      </c>
      <c r="AJ229" s="893"/>
      <c r="AK229" s="936">
        <f t="shared" ca="1" si="82"/>
        <v>2.6255266443733425</v>
      </c>
      <c r="AL229" s="892">
        <f t="shared" si="83"/>
        <v>363.9532631578947</v>
      </c>
      <c r="AM229" s="892">
        <v>0</v>
      </c>
      <c r="AN229" s="894">
        <f t="shared" si="84"/>
        <v>363.9532631578947</v>
      </c>
      <c r="AO229" s="941">
        <f t="shared" ca="1" si="85"/>
        <v>955.56898972767533</v>
      </c>
      <c r="AP229" s="936">
        <f t="shared" ca="1" si="86"/>
        <v>97.625526644373338</v>
      </c>
      <c r="AQ229" s="936">
        <f t="shared" ca="1" si="87"/>
        <v>35531.128989727673</v>
      </c>
      <c r="AS229" s="936">
        <f>+IFERROR(VLOOKUP(C229,'Rural - Price Out '!$C:$F,3,FALSE),0)</f>
        <v>0</v>
      </c>
      <c r="AT229" s="909">
        <f t="shared" ca="1" si="88"/>
        <v>97.625526644373338</v>
      </c>
    </row>
    <row r="230" spans="1:46" s="898" customFormat="1">
      <c r="A230" s="895" t="str">
        <f t="shared" si="78"/>
        <v>PacificRolloffRENT10TEMP-RO</v>
      </c>
      <c r="B230" s="895">
        <f t="shared" si="74"/>
        <v>1</v>
      </c>
      <c r="C230" s="896" t="s">
        <v>2354</v>
      </c>
      <c r="D230" s="896" t="s">
        <v>2355</v>
      </c>
      <c r="E230" s="889">
        <v>3.7</v>
      </c>
      <c r="F230" s="889"/>
      <c r="G230" s="890"/>
      <c r="H230" s="891">
        <v>25.9</v>
      </c>
      <c r="I230" s="891">
        <v>225.70000000000002</v>
      </c>
      <c r="J230" s="891">
        <v>-111</v>
      </c>
      <c r="K230" s="891">
        <v>136.9</v>
      </c>
      <c r="L230" s="891">
        <v>225.7</v>
      </c>
      <c r="M230" s="891">
        <v>41.75</v>
      </c>
      <c r="N230" s="891">
        <v>103.6</v>
      </c>
      <c r="O230" s="891">
        <v>0</v>
      </c>
      <c r="P230" s="891">
        <v>0</v>
      </c>
      <c r="Q230" s="891">
        <v>22.2</v>
      </c>
      <c r="R230" s="891">
        <v>40.700000000000003</v>
      </c>
      <c r="S230" s="891">
        <v>18.5</v>
      </c>
      <c r="T230" s="891">
        <f t="shared" si="79"/>
        <v>729.95000000000016</v>
      </c>
      <c r="U230" s="891"/>
      <c r="V230" s="897">
        <f>IFERROR(H230/$E230,0)/30</f>
        <v>0.23333333333333331</v>
      </c>
      <c r="W230" s="897">
        <f t="shared" ref="W230:AG233" si="91">IFERROR(I230/$E230,0)/30</f>
        <v>2.0333333333333332</v>
      </c>
      <c r="X230" s="897">
        <f t="shared" si="91"/>
        <v>-1</v>
      </c>
      <c r="Y230" s="897">
        <f t="shared" si="91"/>
        <v>1.2333333333333334</v>
      </c>
      <c r="Z230" s="897">
        <f t="shared" si="91"/>
        <v>2.0333333333333332</v>
      </c>
      <c r="AA230" s="897">
        <f t="shared" si="91"/>
        <v>0.37612612612612606</v>
      </c>
      <c r="AB230" s="897">
        <f t="shared" si="91"/>
        <v>0.93333333333333324</v>
      </c>
      <c r="AC230" s="897">
        <f t="shared" si="91"/>
        <v>0</v>
      </c>
      <c r="AD230" s="897">
        <f t="shared" si="91"/>
        <v>0</v>
      </c>
      <c r="AE230" s="897">
        <f t="shared" si="91"/>
        <v>0.19999999999999998</v>
      </c>
      <c r="AF230" s="897">
        <f t="shared" si="91"/>
        <v>0.36666666666666664</v>
      </c>
      <c r="AG230" s="897">
        <f t="shared" si="91"/>
        <v>0.16666666666666666</v>
      </c>
      <c r="AH230" s="892">
        <f t="shared" si="81"/>
        <v>0.54801051051051053</v>
      </c>
      <c r="AJ230" s="899"/>
      <c r="AK230" s="936">
        <f t="shared" ca="1" si="82"/>
        <v>0.10225735351769862</v>
      </c>
      <c r="AL230" s="891">
        <f t="shared" si="83"/>
        <v>6.5761261261261268</v>
      </c>
      <c r="AM230" s="891">
        <v>0</v>
      </c>
      <c r="AN230" s="900">
        <f t="shared" si="84"/>
        <v>6.5761261261261268</v>
      </c>
      <c r="AO230" s="942">
        <f t="shared" ca="1" si="85"/>
        <v>0.67245725405625323</v>
      </c>
      <c r="AP230" s="936">
        <f t="shared" ca="1" si="86"/>
        <v>3.8022573535176987</v>
      </c>
      <c r="AQ230" s="936">
        <f t="shared" ca="1" si="87"/>
        <v>25.004123920722918</v>
      </c>
      <c r="AS230" s="936">
        <f>+IFERROR(VLOOKUP(C230,'Rural - Price Out '!$C:$F,3,FALSE),0)</f>
        <v>0</v>
      </c>
      <c r="AT230" s="909">
        <f t="shared" ca="1" si="88"/>
        <v>3.8022573535176987</v>
      </c>
    </row>
    <row r="231" spans="1:46" s="898" customFormat="1">
      <c r="A231" s="895" t="str">
        <f t="shared" si="78"/>
        <v>PacificRolloffRENT20TEMP-RO</v>
      </c>
      <c r="B231" s="895">
        <f t="shared" ref="B231:B257" si="92">COUNTIF(C:C,C231)</f>
        <v>1</v>
      </c>
      <c r="C231" s="896" t="s">
        <v>2356</v>
      </c>
      <c r="D231" s="896" t="s">
        <v>2357</v>
      </c>
      <c r="E231" s="889">
        <v>3.8</v>
      </c>
      <c r="F231" s="889"/>
      <c r="G231" s="890"/>
      <c r="H231" s="891">
        <v>2945</v>
      </c>
      <c r="I231" s="891">
        <v>2648.6000000000004</v>
      </c>
      <c r="J231" s="891">
        <v>3484.6000000000004</v>
      </c>
      <c r="K231" s="891">
        <v>4358.5999999999995</v>
      </c>
      <c r="L231" s="891">
        <v>3374.3999999999996</v>
      </c>
      <c r="M231" s="891">
        <v>3085.61</v>
      </c>
      <c r="N231" s="891">
        <v>2986.8</v>
      </c>
      <c r="O231" s="891">
        <v>2690.4</v>
      </c>
      <c r="P231" s="891">
        <v>2466.1999999999998</v>
      </c>
      <c r="Q231" s="891">
        <v>2413</v>
      </c>
      <c r="R231" s="891">
        <v>2599</v>
      </c>
      <c r="S231" s="891">
        <v>3534.0000000000005</v>
      </c>
      <c r="T231" s="891">
        <f t="shared" si="79"/>
        <v>36586.21</v>
      </c>
      <c r="U231" s="891"/>
      <c r="V231" s="897">
        <f>IFERROR(H231/$E231,0)/30</f>
        <v>25.833333333333332</v>
      </c>
      <c r="W231" s="897">
        <f t="shared" si="91"/>
        <v>23.233333333333338</v>
      </c>
      <c r="X231" s="897">
        <f t="shared" si="91"/>
        <v>30.56666666666667</v>
      </c>
      <c r="Y231" s="897">
        <f t="shared" si="91"/>
        <v>38.233333333333334</v>
      </c>
      <c r="Z231" s="897">
        <f t="shared" si="91"/>
        <v>29.6</v>
      </c>
      <c r="AA231" s="897">
        <f t="shared" si="91"/>
        <v>27.066754385964916</v>
      </c>
      <c r="AB231" s="897">
        <f t="shared" si="91"/>
        <v>26.200000000000003</v>
      </c>
      <c r="AC231" s="897">
        <f t="shared" si="91"/>
        <v>23.600000000000005</v>
      </c>
      <c r="AD231" s="897">
        <f t="shared" si="91"/>
        <v>21.633333333333333</v>
      </c>
      <c r="AE231" s="897">
        <f t="shared" si="91"/>
        <v>21.166666666666668</v>
      </c>
      <c r="AF231" s="897">
        <f t="shared" si="91"/>
        <v>22.798245614035089</v>
      </c>
      <c r="AG231" s="897">
        <f t="shared" si="91"/>
        <v>31.000000000000004</v>
      </c>
      <c r="AH231" s="892">
        <f t="shared" si="81"/>
        <v>26.744305555555552</v>
      </c>
      <c r="AJ231" s="899"/>
      <c r="AK231" s="936">
        <f t="shared" ca="1" si="82"/>
        <v>0.1050210657749337</v>
      </c>
      <c r="AL231" s="891">
        <f t="shared" si="83"/>
        <v>320.93166666666662</v>
      </c>
      <c r="AM231" s="891">
        <v>554.28161888701527</v>
      </c>
      <c r="AN231" s="900">
        <f t="shared" si="84"/>
        <v>875.21328555368189</v>
      </c>
      <c r="AO231" s="942">
        <f t="shared" ca="1" si="85"/>
        <v>91.915832029229051</v>
      </c>
      <c r="AP231" s="936">
        <f t="shared" ca="1" si="86"/>
        <v>3.9050210657749336</v>
      </c>
      <c r="AQ231" s="936">
        <f t="shared" ca="1" si="87"/>
        <v>1253.2449190075922</v>
      </c>
      <c r="AS231" s="936">
        <f>+IFERROR(VLOOKUP(C231,'Rural - Price Out '!$C:$F,3,FALSE),0)</f>
        <v>5.93</v>
      </c>
      <c r="AT231" s="909">
        <f t="shared" ca="1" si="88"/>
        <v>-2.0249789342250661</v>
      </c>
    </row>
    <row r="232" spans="1:46" s="898" customFormat="1">
      <c r="A232" s="895" t="str">
        <f t="shared" si="78"/>
        <v>PacificRolloffRENT30TEMP-RO</v>
      </c>
      <c r="B232" s="895">
        <f t="shared" si="92"/>
        <v>1</v>
      </c>
      <c r="C232" s="896" t="s">
        <v>2358</v>
      </c>
      <c r="D232" s="896" t="s">
        <v>2359</v>
      </c>
      <c r="E232" s="889">
        <v>4.0999999999999996</v>
      </c>
      <c r="F232" s="889"/>
      <c r="G232" s="890"/>
      <c r="H232" s="891">
        <v>2255</v>
      </c>
      <c r="I232" s="891">
        <v>1713.8000000000002</v>
      </c>
      <c r="J232" s="891">
        <v>2665</v>
      </c>
      <c r="K232" s="891">
        <v>3099.6000000000004</v>
      </c>
      <c r="L232" s="891">
        <v>2078.6999999999998</v>
      </c>
      <c r="M232" s="891">
        <v>2386.1999999999998</v>
      </c>
      <c r="N232" s="891">
        <v>2423.1</v>
      </c>
      <c r="O232" s="891">
        <v>2337</v>
      </c>
      <c r="P232" s="891">
        <v>1869.6</v>
      </c>
      <c r="Q232" s="891">
        <v>2196.3999999999996</v>
      </c>
      <c r="R232" s="891">
        <v>3849.8999999999996</v>
      </c>
      <c r="S232" s="891">
        <v>2902.8</v>
      </c>
      <c r="T232" s="891">
        <f t="shared" si="79"/>
        <v>29777.100000000002</v>
      </c>
      <c r="U232" s="891"/>
      <c r="V232" s="897">
        <f>IFERROR(H232/$E232,0)/30</f>
        <v>18.333333333333332</v>
      </c>
      <c r="W232" s="897">
        <f t="shared" si="91"/>
        <v>13.933333333333335</v>
      </c>
      <c r="X232" s="897">
        <f t="shared" si="91"/>
        <v>21.666666666666668</v>
      </c>
      <c r="Y232" s="897">
        <f t="shared" si="91"/>
        <v>25.200000000000003</v>
      </c>
      <c r="Z232" s="897">
        <f t="shared" si="91"/>
        <v>16.899999999999999</v>
      </c>
      <c r="AA232" s="897">
        <f t="shared" si="91"/>
        <v>19.399999999999999</v>
      </c>
      <c r="AB232" s="897">
        <f t="shared" si="91"/>
        <v>19.7</v>
      </c>
      <c r="AC232" s="897">
        <f t="shared" si="91"/>
        <v>19</v>
      </c>
      <c r="AD232" s="897">
        <f t="shared" si="91"/>
        <v>15.2</v>
      </c>
      <c r="AE232" s="897">
        <f t="shared" si="91"/>
        <v>17.85691056910569</v>
      </c>
      <c r="AF232" s="897">
        <f t="shared" si="91"/>
        <v>31.3</v>
      </c>
      <c r="AG232" s="897">
        <f t="shared" si="91"/>
        <v>23.600000000000005</v>
      </c>
      <c r="AH232" s="892">
        <f t="shared" si="81"/>
        <v>20.174186991869917</v>
      </c>
      <c r="AJ232" s="899"/>
      <c r="AK232" s="936">
        <f t="shared" ca="1" si="82"/>
        <v>0.11331220254663898</v>
      </c>
      <c r="AL232" s="891">
        <f t="shared" si="83"/>
        <v>242.090243902439</v>
      </c>
      <c r="AM232" s="891">
        <v>1160.9999999999998</v>
      </c>
      <c r="AN232" s="900">
        <f t="shared" si="84"/>
        <v>1403.0902439024387</v>
      </c>
      <c r="AO232" s="942">
        <f t="shared" ca="1" si="85"/>
        <v>158.98724590828624</v>
      </c>
      <c r="AP232" s="936">
        <f t="shared" ca="1" si="86"/>
        <v>4.2133122025466383</v>
      </c>
      <c r="AQ232" s="936">
        <f t="shared" ca="1" si="87"/>
        <v>1020.0017787516381</v>
      </c>
      <c r="AS232" s="936">
        <f>+IFERROR(VLOOKUP(C232,'Rural - Price Out '!$C:$F,3,FALSE),0)</f>
        <v>7.11</v>
      </c>
      <c r="AT232" s="909">
        <f t="shared" ca="1" si="88"/>
        <v>-2.896687797453362</v>
      </c>
    </row>
    <row r="233" spans="1:46" s="898" customFormat="1">
      <c r="A233" s="895" t="str">
        <f t="shared" si="78"/>
        <v>PacificRolloffRENT40TEMP-RO</v>
      </c>
      <c r="B233" s="895">
        <f t="shared" si="92"/>
        <v>1</v>
      </c>
      <c r="C233" s="896" t="s">
        <v>2360</v>
      </c>
      <c r="D233" s="896" t="s">
        <v>2361</v>
      </c>
      <c r="E233" s="889">
        <v>4.5</v>
      </c>
      <c r="F233" s="889"/>
      <c r="G233" s="890"/>
      <c r="H233" s="891">
        <v>2196</v>
      </c>
      <c r="I233" s="891">
        <v>2407.5</v>
      </c>
      <c r="J233" s="891">
        <v>2164.5</v>
      </c>
      <c r="K233" s="891">
        <v>1593</v>
      </c>
      <c r="L233" s="891">
        <v>2160</v>
      </c>
      <c r="M233" s="891">
        <v>2043</v>
      </c>
      <c r="N233" s="891">
        <v>1656</v>
      </c>
      <c r="O233" s="891">
        <v>2596.5</v>
      </c>
      <c r="P233" s="891">
        <v>1723.5</v>
      </c>
      <c r="Q233" s="891">
        <v>1156.5</v>
      </c>
      <c r="R233" s="891">
        <v>913.5</v>
      </c>
      <c r="S233" s="891">
        <v>-364.5</v>
      </c>
      <c r="T233" s="891">
        <f t="shared" si="79"/>
        <v>20245.5</v>
      </c>
      <c r="U233" s="891"/>
      <c r="V233" s="897">
        <f>IFERROR(H233/$E233,0)/30</f>
        <v>16.266666666666666</v>
      </c>
      <c r="W233" s="897">
        <f t="shared" si="91"/>
        <v>17.833333333333332</v>
      </c>
      <c r="X233" s="897">
        <f t="shared" si="91"/>
        <v>16.033333333333335</v>
      </c>
      <c r="Y233" s="897">
        <f t="shared" si="91"/>
        <v>11.8</v>
      </c>
      <c r="Z233" s="897">
        <f t="shared" si="91"/>
        <v>16</v>
      </c>
      <c r="AA233" s="897">
        <f t="shared" si="91"/>
        <v>15.133333333333333</v>
      </c>
      <c r="AB233" s="897">
        <f t="shared" si="91"/>
        <v>12.266666666666667</v>
      </c>
      <c r="AC233" s="897">
        <f t="shared" si="91"/>
        <v>19.233333333333334</v>
      </c>
      <c r="AD233" s="897">
        <f t="shared" si="91"/>
        <v>12.766666666666667</v>
      </c>
      <c r="AE233" s="897">
        <f t="shared" si="91"/>
        <v>8.5666666666666664</v>
      </c>
      <c r="AF233" s="897">
        <f t="shared" si="91"/>
        <v>6.7666666666666666</v>
      </c>
      <c r="AG233" s="897">
        <f t="shared" si="91"/>
        <v>-2.7</v>
      </c>
      <c r="AH233" s="892">
        <f t="shared" si="81"/>
        <v>12.497222222222225</v>
      </c>
      <c r="AJ233" s="899"/>
      <c r="AK233" s="936">
        <f t="shared" ca="1" si="82"/>
        <v>0.1243670515755794</v>
      </c>
      <c r="AL233" s="891">
        <f t="shared" si="83"/>
        <v>149.9666666666667</v>
      </c>
      <c r="AM233" s="891">
        <v>373.99999999999994</v>
      </c>
      <c r="AN233" s="900">
        <f t="shared" si="84"/>
        <v>523.9666666666667</v>
      </c>
      <c r="AO233" s="942">
        <f t="shared" ca="1" si="85"/>
        <v>65.164189457217759</v>
      </c>
      <c r="AP233" s="936">
        <f t="shared" ca="1" si="86"/>
        <v>4.6243670515755797</v>
      </c>
      <c r="AQ233" s="936">
        <f t="shared" ca="1" si="87"/>
        <v>693.50091216795136</v>
      </c>
      <c r="AS233" s="936">
        <f>+IFERROR(VLOOKUP(C233,'Rural - Price Out '!$C:$F,3,FALSE),0)</f>
        <v>8.3000000000000007</v>
      </c>
      <c r="AT233" s="909">
        <f t="shared" ca="1" si="88"/>
        <v>-3.675632948424421</v>
      </c>
    </row>
    <row r="234" spans="1:46" s="888" customFormat="1">
      <c r="A234" s="888" t="str">
        <f t="shared" si="78"/>
        <v>PacificRolloffRENTMO-CP</v>
      </c>
      <c r="B234" s="888">
        <f t="shared" si="92"/>
        <v>1</v>
      </c>
      <c r="C234" s="889" t="s">
        <v>2362</v>
      </c>
      <c r="D234" s="889" t="s">
        <v>2363</v>
      </c>
      <c r="E234" s="889">
        <v>0</v>
      </c>
      <c r="F234" s="889"/>
      <c r="G234" s="890"/>
      <c r="H234" s="891">
        <v>0</v>
      </c>
      <c r="I234" s="891">
        <v>0</v>
      </c>
      <c r="J234" s="891">
        <v>0</v>
      </c>
      <c r="K234" s="891">
        <v>0</v>
      </c>
      <c r="L234" s="891">
        <v>0</v>
      </c>
      <c r="M234" s="891">
        <v>0</v>
      </c>
      <c r="N234" s="891">
        <v>0</v>
      </c>
      <c r="O234" s="891">
        <v>25.81</v>
      </c>
      <c r="P234" s="891">
        <v>200</v>
      </c>
      <c r="Q234" s="891">
        <v>92.86</v>
      </c>
      <c r="R234" s="891">
        <v>0</v>
      </c>
      <c r="S234" s="891">
        <v>0</v>
      </c>
      <c r="T234" s="892">
        <f t="shared" si="79"/>
        <v>318.67</v>
      </c>
      <c r="U234" s="892"/>
      <c r="V234" s="892">
        <f t="shared" ref="V234:AG249" si="93">IFERROR(H234/$E234,0)</f>
        <v>0</v>
      </c>
      <c r="W234" s="892">
        <f t="shared" si="93"/>
        <v>0</v>
      </c>
      <c r="X234" s="892">
        <f t="shared" si="93"/>
        <v>0</v>
      </c>
      <c r="Y234" s="892">
        <f t="shared" si="93"/>
        <v>0</v>
      </c>
      <c r="Z234" s="892">
        <f t="shared" si="93"/>
        <v>0</v>
      </c>
      <c r="AA234" s="892">
        <f t="shared" si="93"/>
        <v>0</v>
      </c>
      <c r="AB234" s="892">
        <f t="shared" si="93"/>
        <v>0</v>
      </c>
      <c r="AC234" s="892">
        <f t="shared" si="93"/>
        <v>0</v>
      </c>
      <c r="AD234" s="892">
        <f t="shared" si="93"/>
        <v>0</v>
      </c>
      <c r="AE234" s="892">
        <f t="shared" si="93"/>
        <v>0</v>
      </c>
      <c r="AF234" s="892">
        <f t="shared" si="93"/>
        <v>0</v>
      </c>
      <c r="AG234" s="892">
        <f t="shared" si="93"/>
        <v>0</v>
      </c>
      <c r="AH234" s="892">
        <f>AVERAGE(V234:AG234)</f>
        <v>0</v>
      </c>
      <c r="AJ234" s="893"/>
      <c r="AK234" s="936">
        <f t="shared" ca="1" si="82"/>
        <v>0</v>
      </c>
      <c r="AL234" s="892">
        <f t="shared" si="83"/>
        <v>0</v>
      </c>
      <c r="AM234" s="892">
        <v>0</v>
      </c>
      <c r="AN234" s="894">
        <f t="shared" si="84"/>
        <v>0</v>
      </c>
      <c r="AO234" s="941">
        <f t="shared" ca="1" si="85"/>
        <v>0</v>
      </c>
      <c r="AP234" s="936">
        <f t="shared" ca="1" si="86"/>
        <v>0</v>
      </c>
      <c r="AQ234" s="936">
        <f t="shared" ca="1" si="87"/>
        <v>0</v>
      </c>
      <c r="AS234" s="936">
        <f>+IFERROR(VLOOKUP(C234,'Rural - Price Out '!$C:$F,3,FALSE),0)</f>
        <v>0</v>
      </c>
      <c r="AT234" s="909">
        <f t="shared" ca="1" si="88"/>
        <v>0</v>
      </c>
    </row>
    <row r="235" spans="1:46">
      <c r="A235" s="841" t="str">
        <f t="shared" si="78"/>
        <v>PacificRolloffRENTDAY-RO</v>
      </c>
      <c r="B235" s="841">
        <f t="shared" si="92"/>
        <v>1</v>
      </c>
      <c r="C235" s="859" t="s">
        <v>2364</v>
      </c>
      <c r="D235" s="859" t="s">
        <v>2365</v>
      </c>
      <c r="E235" s="859">
        <v>0</v>
      </c>
      <c r="F235" s="859"/>
      <c r="G235" s="860"/>
      <c r="H235" s="861">
        <v>1367.73</v>
      </c>
      <c r="I235" s="861">
        <v>1521.3700000000001</v>
      </c>
      <c r="J235" s="861">
        <v>1882.09</v>
      </c>
      <c r="K235" s="861">
        <v>2549.36</v>
      </c>
      <c r="L235" s="861">
        <v>2803.87</v>
      </c>
      <c r="M235" s="861">
        <v>2366.3900000000003</v>
      </c>
      <c r="N235" s="861">
        <v>1930.52</v>
      </c>
      <c r="O235" s="861">
        <v>1649.96</v>
      </c>
      <c r="P235" s="861">
        <v>1654.9699999999998</v>
      </c>
      <c r="Q235" s="861">
        <v>1459.5800000000002</v>
      </c>
      <c r="R235" s="861">
        <v>1566.46</v>
      </c>
      <c r="S235" s="861">
        <v>1118.9000000000001</v>
      </c>
      <c r="T235" s="865">
        <f t="shared" ref="T235:T257" si="94">SUM(H235:S235)</f>
        <v>21871.200000000004</v>
      </c>
      <c r="U235" s="865"/>
      <c r="V235" s="865">
        <f t="shared" si="93"/>
        <v>0</v>
      </c>
      <c r="W235" s="865">
        <f t="shared" si="93"/>
        <v>0</v>
      </c>
      <c r="X235" s="865">
        <f t="shared" si="93"/>
        <v>0</v>
      </c>
      <c r="Y235" s="865">
        <f t="shared" si="93"/>
        <v>0</v>
      </c>
      <c r="Z235" s="865">
        <f t="shared" si="93"/>
        <v>0</v>
      </c>
      <c r="AA235" s="865">
        <f t="shared" si="93"/>
        <v>0</v>
      </c>
      <c r="AB235" s="865">
        <f t="shared" si="93"/>
        <v>0</v>
      </c>
      <c r="AC235" s="865">
        <f t="shared" si="93"/>
        <v>0</v>
      </c>
      <c r="AD235" s="865">
        <f t="shared" si="93"/>
        <v>0</v>
      </c>
      <c r="AE235" s="865">
        <f t="shared" si="93"/>
        <v>0</v>
      </c>
      <c r="AF235" s="865">
        <f t="shared" si="93"/>
        <v>0</v>
      </c>
      <c r="AG235" s="865">
        <f t="shared" si="93"/>
        <v>0</v>
      </c>
      <c r="AH235" s="865">
        <f t="shared" ref="AH235" si="95">AVERAGE(V235:AG235)</f>
        <v>0</v>
      </c>
      <c r="AK235" s="936">
        <f t="shared" ca="1" si="82"/>
        <v>0</v>
      </c>
      <c r="AL235" s="865">
        <f t="shared" si="83"/>
        <v>0</v>
      </c>
      <c r="AM235" s="865">
        <v>0</v>
      </c>
      <c r="AN235" s="843">
        <f t="shared" si="84"/>
        <v>0</v>
      </c>
      <c r="AO235" s="937">
        <f t="shared" ca="1" si="85"/>
        <v>0</v>
      </c>
      <c r="AP235" s="936">
        <f t="shared" ca="1" si="86"/>
        <v>0</v>
      </c>
      <c r="AQ235" s="936">
        <f t="shared" ca="1" si="87"/>
        <v>0</v>
      </c>
      <c r="AS235" s="936">
        <f>+IFERROR(VLOOKUP(C235,'Rural - Price Out '!$C:$F,3,FALSE),0)</f>
        <v>0</v>
      </c>
      <c r="AT235" s="909">
        <f t="shared" ca="1" si="88"/>
        <v>0</v>
      </c>
    </row>
    <row r="236" spans="1:46">
      <c r="A236" s="841" t="str">
        <f t="shared" si="78"/>
        <v>PacificRolloffDEL20-RO</v>
      </c>
      <c r="B236" s="841">
        <f t="shared" si="92"/>
        <v>1</v>
      </c>
      <c r="C236" s="859" t="s">
        <v>2366</v>
      </c>
      <c r="D236" s="859" t="s">
        <v>2367</v>
      </c>
      <c r="E236" s="859">
        <v>0</v>
      </c>
      <c r="F236" s="859"/>
      <c r="G236" s="860"/>
      <c r="H236" s="861">
        <v>75</v>
      </c>
      <c r="I236" s="861">
        <v>0</v>
      </c>
      <c r="J236" s="861">
        <v>0</v>
      </c>
      <c r="K236" s="861">
        <v>0</v>
      </c>
      <c r="L236" s="861">
        <v>0</v>
      </c>
      <c r="M236" s="861">
        <v>0</v>
      </c>
      <c r="N236" s="861">
        <v>0</v>
      </c>
      <c r="O236" s="861">
        <v>0</v>
      </c>
      <c r="P236" s="861">
        <v>0</v>
      </c>
      <c r="Q236" s="861">
        <v>0</v>
      </c>
      <c r="R236" s="861">
        <v>0</v>
      </c>
      <c r="S236" s="861">
        <v>0</v>
      </c>
      <c r="T236" s="865">
        <f>SUM(H236:S236)</f>
        <v>75</v>
      </c>
      <c r="U236" s="865"/>
      <c r="V236" s="865">
        <f t="shared" si="93"/>
        <v>0</v>
      </c>
      <c r="W236" s="865">
        <f t="shared" si="93"/>
        <v>0</v>
      </c>
      <c r="X236" s="865">
        <f t="shared" si="93"/>
        <v>0</v>
      </c>
      <c r="Y236" s="865">
        <f t="shared" si="93"/>
        <v>0</v>
      </c>
      <c r="Z236" s="865">
        <f t="shared" si="93"/>
        <v>0</v>
      </c>
      <c r="AA236" s="865">
        <f t="shared" si="93"/>
        <v>0</v>
      </c>
      <c r="AB236" s="865">
        <f t="shared" si="93"/>
        <v>0</v>
      </c>
      <c r="AC236" s="865">
        <f t="shared" si="93"/>
        <v>0</v>
      </c>
      <c r="AD236" s="865">
        <f t="shared" si="93"/>
        <v>0</v>
      </c>
      <c r="AE236" s="865">
        <f t="shared" si="93"/>
        <v>0</v>
      </c>
      <c r="AF236" s="865">
        <f t="shared" si="93"/>
        <v>0</v>
      </c>
      <c r="AG236" s="865">
        <f t="shared" si="93"/>
        <v>0</v>
      </c>
      <c r="AH236" s="865">
        <f>AVERAGE(V236:AG236)</f>
        <v>0</v>
      </c>
      <c r="AK236" s="936">
        <f t="shared" ca="1" si="82"/>
        <v>0</v>
      </c>
      <c r="AL236" s="865">
        <f>+AH236*12</f>
        <v>0</v>
      </c>
      <c r="AM236" s="865">
        <v>0</v>
      </c>
      <c r="AN236" s="843">
        <f t="shared" si="84"/>
        <v>0</v>
      </c>
      <c r="AO236" s="937">
        <f t="shared" ref="AO236:AO257" ca="1" si="96">+AN236*AK236</f>
        <v>0</v>
      </c>
      <c r="AP236" s="936">
        <f t="shared" ref="AP236:AP257" ca="1" si="97">+E236+AK236</f>
        <v>0</v>
      </c>
      <c r="AQ236" s="936">
        <f t="shared" ref="AQ236:AQ257" ca="1" si="98">+AP236*12*AH236</f>
        <v>0</v>
      </c>
      <c r="AS236" s="936">
        <f>+IFERROR(VLOOKUP(C236,'Rural - Price Out '!$C:$F,3,FALSE),0)</f>
        <v>0</v>
      </c>
      <c r="AT236" s="909">
        <f t="shared" ref="AT236:AT257" ca="1" si="99">+AP236-AS236</f>
        <v>0</v>
      </c>
    </row>
    <row r="237" spans="1:46">
      <c r="A237" s="841" t="str">
        <f t="shared" si="78"/>
        <v>PacificRolloffDEL40-RO</v>
      </c>
      <c r="B237" s="841">
        <f t="shared" si="92"/>
        <v>1</v>
      </c>
      <c r="C237" s="859" t="s">
        <v>2368</v>
      </c>
      <c r="D237" s="859" t="s">
        <v>2369</v>
      </c>
      <c r="E237" s="859">
        <v>0</v>
      </c>
      <c r="F237" s="859"/>
      <c r="G237" s="860"/>
      <c r="H237" s="861">
        <v>0</v>
      </c>
      <c r="I237" s="861">
        <v>150</v>
      </c>
      <c r="J237" s="861">
        <v>0</v>
      </c>
      <c r="K237" s="861">
        <v>0</v>
      </c>
      <c r="L237" s="861">
        <v>0</v>
      </c>
      <c r="M237" s="861">
        <v>0</v>
      </c>
      <c r="N237" s="861">
        <v>0</v>
      </c>
      <c r="O237" s="861">
        <v>0</v>
      </c>
      <c r="P237" s="861">
        <v>0</v>
      </c>
      <c r="Q237" s="861">
        <v>0</v>
      </c>
      <c r="R237" s="861">
        <v>0</v>
      </c>
      <c r="S237" s="861">
        <v>0</v>
      </c>
      <c r="T237" s="865">
        <f>SUM(H237:S237)</f>
        <v>150</v>
      </c>
      <c r="U237" s="865"/>
      <c r="V237" s="865">
        <f t="shared" si="93"/>
        <v>0</v>
      </c>
      <c r="W237" s="865">
        <f t="shared" si="93"/>
        <v>0</v>
      </c>
      <c r="X237" s="865">
        <f t="shared" si="93"/>
        <v>0</v>
      </c>
      <c r="Y237" s="865">
        <f t="shared" si="93"/>
        <v>0</v>
      </c>
      <c r="Z237" s="865">
        <f t="shared" si="93"/>
        <v>0</v>
      </c>
      <c r="AA237" s="865">
        <f t="shared" si="93"/>
        <v>0</v>
      </c>
      <c r="AB237" s="865">
        <f t="shared" si="93"/>
        <v>0</v>
      </c>
      <c r="AC237" s="865">
        <f t="shared" si="93"/>
        <v>0</v>
      </c>
      <c r="AD237" s="865">
        <f t="shared" si="93"/>
        <v>0</v>
      </c>
      <c r="AE237" s="865">
        <f t="shared" si="93"/>
        <v>0</v>
      </c>
      <c r="AF237" s="865">
        <f t="shared" si="93"/>
        <v>0</v>
      </c>
      <c r="AG237" s="865">
        <f t="shared" si="93"/>
        <v>0</v>
      </c>
      <c r="AH237" s="865">
        <f t="shared" ref="AH237:AH254" si="100">AVERAGE(V237:AG237)</f>
        <v>0</v>
      </c>
      <c r="AK237" s="936">
        <f t="shared" ca="1" si="82"/>
        <v>0</v>
      </c>
      <c r="AL237" s="865">
        <f>+AH237*12</f>
        <v>0</v>
      </c>
      <c r="AM237" s="865">
        <v>0</v>
      </c>
      <c r="AN237" s="843">
        <f t="shared" si="84"/>
        <v>0</v>
      </c>
      <c r="AO237" s="937">
        <f t="shared" ca="1" si="96"/>
        <v>0</v>
      </c>
      <c r="AP237" s="936">
        <f t="shared" ca="1" si="97"/>
        <v>0</v>
      </c>
      <c r="AQ237" s="936">
        <f t="shared" ca="1" si="98"/>
        <v>0</v>
      </c>
      <c r="AS237" s="936">
        <f>+IFERROR(VLOOKUP(C237,'Rural - Price Out '!$C:$F,3,FALSE),0)</f>
        <v>0</v>
      </c>
      <c r="AT237" s="909">
        <f t="shared" ca="1" si="99"/>
        <v>0</v>
      </c>
    </row>
    <row r="238" spans="1:46">
      <c r="A238" s="841" t="str">
        <f t="shared" si="78"/>
        <v>PacificRolloffDEL10TEMP-RO</v>
      </c>
      <c r="B238" s="841">
        <f t="shared" si="92"/>
        <v>1</v>
      </c>
      <c r="C238" s="859" t="s">
        <v>2370</v>
      </c>
      <c r="D238" s="859" t="s">
        <v>2371</v>
      </c>
      <c r="E238" s="859">
        <v>75</v>
      </c>
      <c r="F238" s="859"/>
      <c r="G238" s="860"/>
      <c r="H238" s="861">
        <v>75</v>
      </c>
      <c r="I238" s="861">
        <v>0</v>
      </c>
      <c r="J238" s="861">
        <v>0</v>
      </c>
      <c r="K238" s="861">
        <v>225</v>
      </c>
      <c r="L238" s="861">
        <v>375</v>
      </c>
      <c r="M238" s="861">
        <v>150</v>
      </c>
      <c r="N238" s="861">
        <v>0</v>
      </c>
      <c r="O238" s="861">
        <v>75</v>
      </c>
      <c r="P238" s="861">
        <v>0</v>
      </c>
      <c r="Q238" s="861">
        <v>0</v>
      </c>
      <c r="R238" s="861">
        <v>75</v>
      </c>
      <c r="S238" s="861">
        <v>0</v>
      </c>
      <c r="T238" s="865">
        <f t="shared" si="94"/>
        <v>975</v>
      </c>
      <c r="U238" s="865"/>
      <c r="V238" s="865">
        <f t="shared" si="93"/>
        <v>1</v>
      </c>
      <c r="W238" s="865">
        <f t="shared" si="93"/>
        <v>0</v>
      </c>
      <c r="X238" s="865">
        <f t="shared" si="93"/>
        <v>0</v>
      </c>
      <c r="Y238" s="865">
        <f t="shared" si="93"/>
        <v>3</v>
      </c>
      <c r="Z238" s="865">
        <f t="shared" si="93"/>
        <v>5</v>
      </c>
      <c r="AA238" s="865">
        <f t="shared" si="93"/>
        <v>2</v>
      </c>
      <c r="AB238" s="865">
        <f t="shared" si="93"/>
        <v>0</v>
      </c>
      <c r="AC238" s="865">
        <f t="shared" si="93"/>
        <v>1</v>
      </c>
      <c r="AD238" s="865">
        <f t="shared" si="93"/>
        <v>0</v>
      </c>
      <c r="AE238" s="865">
        <f t="shared" si="93"/>
        <v>0</v>
      </c>
      <c r="AF238" s="865">
        <f t="shared" si="93"/>
        <v>1</v>
      </c>
      <c r="AG238" s="865">
        <f t="shared" si="93"/>
        <v>0</v>
      </c>
      <c r="AH238" s="865">
        <f t="shared" si="100"/>
        <v>1.0833333333333333</v>
      </c>
      <c r="AK238" s="936">
        <f t="shared" ca="1" si="82"/>
        <v>2.0727841929263233</v>
      </c>
      <c r="AL238" s="865">
        <f t="shared" si="83"/>
        <v>13</v>
      </c>
      <c r="AM238" s="865">
        <v>0</v>
      </c>
      <c r="AN238" s="843">
        <f t="shared" si="84"/>
        <v>13</v>
      </c>
      <c r="AO238" s="937">
        <f t="shared" ca="1" si="96"/>
        <v>26.946194508042204</v>
      </c>
      <c r="AP238" s="936">
        <f t="shared" ca="1" si="97"/>
        <v>77.072784192926321</v>
      </c>
      <c r="AQ238" s="936">
        <f t="shared" ca="1" si="98"/>
        <v>1001.9461945080421</v>
      </c>
      <c r="AS238" s="936">
        <f>+IFERROR(VLOOKUP(C238,'Rural - Price Out '!$C:$F,3,FALSE),0)</f>
        <v>0</v>
      </c>
      <c r="AT238" s="909">
        <f t="shared" ca="1" si="99"/>
        <v>77.072784192926321</v>
      </c>
    </row>
    <row r="239" spans="1:46">
      <c r="A239" s="841" t="str">
        <f t="shared" si="78"/>
        <v>PacificRolloffDEL20TEMP-RO</v>
      </c>
      <c r="B239" s="841">
        <f t="shared" si="92"/>
        <v>1</v>
      </c>
      <c r="C239" s="859" t="s">
        <v>2372</v>
      </c>
      <c r="D239" s="859" t="s">
        <v>2373</v>
      </c>
      <c r="E239" s="859">
        <v>75</v>
      </c>
      <c r="F239" s="859"/>
      <c r="G239" s="860"/>
      <c r="H239" s="861">
        <v>2700</v>
      </c>
      <c r="I239" s="861">
        <v>2250</v>
      </c>
      <c r="J239" s="861">
        <v>3525</v>
      </c>
      <c r="K239" s="861">
        <v>3300</v>
      </c>
      <c r="L239" s="861">
        <v>2400</v>
      </c>
      <c r="M239" s="861">
        <v>1950</v>
      </c>
      <c r="N239" s="861">
        <v>1350</v>
      </c>
      <c r="O239" s="861">
        <v>975</v>
      </c>
      <c r="P239" s="861">
        <v>1725</v>
      </c>
      <c r="Q239" s="861">
        <v>1050</v>
      </c>
      <c r="R239" s="861">
        <v>1275</v>
      </c>
      <c r="S239" s="861">
        <v>2550</v>
      </c>
      <c r="T239" s="865">
        <f t="shared" si="94"/>
        <v>25050</v>
      </c>
      <c r="U239" s="865"/>
      <c r="V239" s="865">
        <f t="shared" si="93"/>
        <v>36</v>
      </c>
      <c r="W239" s="865">
        <f t="shared" si="93"/>
        <v>30</v>
      </c>
      <c r="X239" s="865">
        <f t="shared" si="93"/>
        <v>47</v>
      </c>
      <c r="Y239" s="865">
        <f t="shared" si="93"/>
        <v>44</v>
      </c>
      <c r="Z239" s="865">
        <f t="shared" si="93"/>
        <v>32</v>
      </c>
      <c r="AA239" s="865">
        <f t="shared" si="93"/>
        <v>26</v>
      </c>
      <c r="AB239" s="865">
        <f t="shared" si="93"/>
        <v>18</v>
      </c>
      <c r="AC239" s="865">
        <f t="shared" si="93"/>
        <v>13</v>
      </c>
      <c r="AD239" s="865">
        <f t="shared" si="93"/>
        <v>23</v>
      </c>
      <c r="AE239" s="865">
        <f t="shared" si="93"/>
        <v>14</v>
      </c>
      <c r="AF239" s="865">
        <f t="shared" si="93"/>
        <v>17</v>
      </c>
      <c r="AG239" s="865">
        <f t="shared" si="93"/>
        <v>34</v>
      </c>
      <c r="AH239" s="865">
        <f t="shared" si="100"/>
        <v>27.833333333333332</v>
      </c>
      <c r="AK239" s="936">
        <f t="shared" ca="1" si="82"/>
        <v>2.0727841929263233</v>
      </c>
      <c r="AL239" s="865">
        <f t="shared" si="83"/>
        <v>334</v>
      </c>
      <c r="AM239" s="865">
        <v>30.785751702462022</v>
      </c>
      <c r="AN239" s="843">
        <f t="shared" si="84"/>
        <v>364.78575170246199</v>
      </c>
      <c r="AO239" s="937">
        <f t="shared" ca="1" si="96"/>
        <v>756.1221399336099</v>
      </c>
      <c r="AP239" s="936">
        <f t="shared" ca="1" si="97"/>
        <v>77.072784192926321</v>
      </c>
      <c r="AQ239" s="936">
        <f t="shared" ca="1" si="98"/>
        <v>25742.30992043739</v>
      </c>
      <c r="AS239" s="936">
        <f>+IFERROR(VLOOKUP(C239,'Rural - Price Out '!$C:$F,3,FALSE),0)</f>
        <v>95.45</v>
      </c>
      <c r="AT239" s="909">
        <f t="shared" ca="1" si="99"/>
        <v>-18.377215807073682</v>
      </c>
    </row>
    <row r="240" spans="1:46">
      <c r="A240" s="841" t="str">
        <f t="shared" si="78"/>
        <v>PacificRolloffDEL30TEMP-RO</v>
      </c>
      <c r="B240" s="841">
        <f t="shared" si="92"/>
        <v>1</v>
      </c>
      <c r="C240" s="859" t="s">
        <v>2374</v>
      </c>
      <c r="D240" s="859" t="s">
        <v>2375</v>
      </c>
      <c r="E240" s="859">
        <v>75</v>
      </c>
      <c r="F240" s="859"/>
      <c r="G240" s="860"/>
      <c r="H240" s="861">
        <v>1200</v>
      </c>
      <c r="I240" s="861">
        <v>1125</v>
      </c>
      <c r="J240" s="861">
        <v>1500</v>
      </c>
      <c r="K240" s="861">
        <v>825</v>
      </c>
      <c r="L240" s="861">
        <v>1050</v>
      </c>
      <c r="M240" s="861">
        <v>1650</v>
      </c>
      <c r="N240" s="861">
        <v>1500</v>
      </c>
      <c r="O240" s="861">
        <v>975</v>
      </c>
      <c r="P240" s="861">
        <v>1650</v>
      </c>
      <c r="Q240" s="861">
        <v>1275</v>
      </c>
      <c r="R240" s="861">
        <v>1650</v>
      </c>
      <c r="S240" s="861">
        <v>1200</v>
      </c>
      <c r="T240" s="865">
        <f t="shared" si="94"/>
        <v>15600</v>
      </c>
      <c r="U240" s="865"/>
      <c r="V240" s="865">
        <f t="shared" si="93"/>
        <v>16</v>
      </c>
      <c r="W240" s="865">
        <f t="shared" si="93"/>
        <v>15</v>
      </c>
      <c r="X240" s="865">
        <f t="shared" si="93"/>
        <v>20</v>
      </c>
      <c r="Y240" s="865">
        <f t="shared" si="93"/>
        <v>11</v>
      </c>
      <c r="Z240" s="865">
        <f t="shared" si="93"/>
        <v>14</v>
      </c>
      <c r="AA240" s="865">
        <f t="shared" si="93"/>
        <v>22</v>
      </c>
      <c r="AB240" s="865">
        <f t="shared" si="93"/>
        <v>20</v>
      </c>
      <c r="AC240" s="865">
        <f t="shared" si="93"/>
        <v>13</v>
      </c>
      <c r="AD240" s="865">
        <f t="shared" si="93"/>
        <v>22</v>
      </c>
      <c r="AE240" s="865">
        <f t="shared" si="93"/>
        <v>17</v>
      </c>
      <c r="AF240" s="865">
        <f t="shared" si="93"/>
        <v>22</v>
      </c>
      <c r="AG240" s="865">
        <f t="shared" si="93"/>
        <v>16</v>
      </c>
      <c r="AH240" s="865">
        <f t="shared" si="100"/>
        <v>17.333333333333332</v>
      </c>
      <c r="AK240" s="936">
        <f t="shared" ca="1" si="82"/>
        <v>2.0727841929263233</v>
      </c>
      <c r="AL240" s="865">
        <f t="shared" si="83"/>
        <v>208</v>
      </c>
      <c r="AM240" s="865">
        <v>37</v>
      </c>
      <c r="AN240" s="843">
        <f t="shared" si="84"/>
        <v>245</v>
      </c>
      <c r="AO240" s="937">
        <f t="shared" ca="1" si="96"/>
        <v>507.83212726694921</v>
      </c>
      <c r="AP240" s="936">
        <f t="shared" ca="1" si="97"/>
        <v>77.072784192926321</v>
      </c>
      <c r="AQ240" s="936">
        <f t="shared" ca="1" si="98"/>
        <v>16031.139112128674</v>
      </c>
      <c r="AS240" s="936">
        <f>+IFERROR(VLOOKUP(C240,'Rural - Price Out '!$C:$F,3,FALSE),0)</f>
        <v>95.45</v>
      </c>
      <c r="AT240" s="909">
        <f t="shared" ca="1" si="99"/>
        <v>-18.377215807073682</v>
      </c>
    </row>
    <row r="241" spans="1:46">
      <c r="A241" s="841" t="str">
        <f t="shared" si="78"/>
        <v>PacificRolloffDEL40TEMP-RO</v>
      </c>
      <c r="B241" s="841">
        <f t="shared" si="92"/>
        <v>1</v>
      </c>
      <c r="C241" s="859" t="s">
        <v>2376</v>
      </c>
      <c r="D241" s="859" t="s">
        <v>2377</v>
      </c>
      <c r="E241" s="859">
        <v>75</v>
      </c>
      <c r="F241" s="859"/>
      <c r="G241" s="860"/>
      <c r="H241" s="861">
        <v>1800</v>
      </c>
      <c r="I241" s="861">
        <v>1050</v>
      </c>
      <c r="J241" s="861">
        <v>1050</v>
      </c>
      <c r="K241" s="861">
        <v>1200</v>
      </c>
      <c r="L241" s="861">
        <v>1350</v>
      </c>
      <c r="M241" s="861">
        <v>975</v>
      </c>
      <c r="N241" s="861">
        <v>975</v>
      </c>
      <c r="O241" s="861">
        <v>375</v>
      </c>
      <c r="P241" s="861">
        <v>600</v>
      </c>
      <c r="Q241" s="861">
        <v>150</v>
      </c>
      <c r="R241" s="861">
        <v>450</v>
      </c>
      <c r="S241" s="861">
        <v>900</v>
      </c>
      <c r="T241" s="865">
        <f t="shared" si="94"/>
        <v>10875</v>
      </c>
      <c r="U241" s="865"/>
      <c r="V241" s="865">
        <f t="shared" si="93"/>
        <v>24</v>
      </c>
      <c r="W241" s="865">
        <f t="shared" si="93"/>
        <v>14</v>
      </c>
      <c r="X241" s="865">
        <f t="shared" si="93"/>
        <v>14</v>
      </c>
      <c r="Y241" s="865">
        <f t="shared" si="93"/>
        <v>16</v>
      </c>
      <c r="Z241" s="865">
        <f t="shared" si="93"/>
        <v>18</v>
      </c>
      <c r="AA241" s="865">
        <f t="shared" si="93"/>
        <v>13</v>
      </c>
      <c r="AB241" s="865">
        <f t="shared" si="93"/>
        <v>13</v>
      </c>
      <c r="AC241" s="865">
        <f t="shared" si="93"/>
        <v>5</v>
      </c>
      <c r="AD241" s="865">
        <f t="shared" si="93"/>
        <v>8</v>
      </c>
      <c r="AE241" s="865">
        <f t="shared" si="93"/>
        <v>2</v>
      </c>
      <c r="AF241" s="865">
        <f t="shared" si="93"/>
        <v>6</v>
      </c>
      <c r="AG241" s="865">
        <f t="shared" si="93"/>
        <v>12</v>
      </c>
      <c r="AH241" s="865">
        <f t="shared" si="100"/>
        <v>12.083333333333334</v>
      </c>
      <c r="AK241" s="936">
        <f t="shared" ca="1" si="82"/>
        <v>2.0727841929263233</v>
      </c>
      <c r="AL241" s="865">
        <f t="shared" si="83"/>
        <v>145</v>
      </c>
      <c r="AM241" s="865">
        <v>15</v>
      </c>
      <c r="AN241" s="843">
        <f t="shared" si="84"/>
        <v>160</v>
      </c>
      <c r="AO241" s="937">
        <f t="shared" ca="1" si="96"/>
        <v>331.64547086821176</v>
      </c>
      <c r="AP241" s="936">
        <f t="shared" ca="1" si="97"/>
        <v>77.072784192926321</v>
      </c>
      <c r="AQ241" s="936">
        <f t="shared" ca="1" si="98"/>
        <v>11175.553707974317</v>
      </c>
      <c r="AS241" s="936">
        <f>+IFERROR(VLOOKUP(C241,'Rural - Price Out '!$C:$F,3,FALSE),0)</f>
        <v>95.45</v>
      </c>
      <c r="AT241" s="909">
        <f t="shared" ca="1" si="99"/>
        <v>-18.377215807073682</v>
      </c>
    </row>
    <row r="242" spans="1:46">
      <c r="A242" s="841" t="str">
        <f t="shared" si="78"/>
        <v>PacificRolloffDEL-RO</v>
      </c>
      <c r="B242" s="841">
        <f t="shared" si="92"/>
        <v>1</v>
      </c>
      <c r="C242" s="859" t="s">
        <v>2378</v>
      </c>
      <c r="D242" s="859" t="s">
        <v>2379</v>
      </c>
      <c r="E242" s="859">
        <v>0</v>
      </c>
      <c r="F242" s="859"/>
      <c r="G242" s="860"/>
      <c r="H242" s="861">
        <v>0</v>
      </c>
      <c r="I242" s="861">
        <v>0</v>
      </c>
      <c r="J242" s="861">
        <v>0</v>
      </c>
      <c r="K242" s="861">
        <v>0</v>
      </c>
      <c r="L242" s="861">
        <v>375</v>
      </c>
      <c r="M242" s="861">
        <v>0</v>
      </c>
      <c r="N242" s="861">
        <v>0</v>
      </c>
      <c r="O242" s="861">
        <v>0</v>
      </c>
      <c r="P242" s="861">
        <v>0</v>
      </c>
      <c r="Q242" s="861">
        <v>0</v>
      </c>
      <c r="R242" s="861">
        <v>0</v>
      </c>
      <c r="S242" s="861">
        <v>0</v>
      </c>
      <c r="T242" s="865">
        <f t="shared" si="94"/>
        <v>375</v>
      </c>
      <c r="U242" s="865"/>
      <c r="V242" s="865">
        <f t="shared" si="93"/>
        <v>0</v>
      </c>
      <c r="W242" s="865">
        <f t="shared" si="93"/>
        <v>0</v>
      </c>
      <c r="X242" s="865">
        <f t="shared" si="93"/>
        <v>0</v>
      </c>
      <c r="Y242" s="865">
        <f t="shared" si="93"/>
        <v>0</v>
      </c>
      <c r="Z242" s="865">
        <f t="shared" si="93"/>
        <v>0</v>
      </c>
      <c r="AA242" s="865">
        <f t="shared" si="93"/>
        <v>0</v>
      </c>
      <c r="AB242" s="865">
        <f t="shared" si="93"/>
        <v>0</v>
      </c>
      <c r="AC242" s="865">
        <f t="shared" si="93"/>
        <v>0</v>
      </c>
      <c r="AD242" s="865">
        <f t="shared" si="93"/>
        <v>0</v>
      </c>
      <c r="AE242" s="865">
        <f t="shared" si="93"/>
        <v>0</v>
      </c>
      <c r="AF242" s="865">
        <f t="shared" si="93"/>
        <v>0</v>
      </c>
      <c r="AG242" s="865">
        <f t="shared" si="93"/>
        <v>0</v>
      </c>
      <c r="AH242" s="865">
        <f t="shared" si="100"/>
        <v>0</v>
      </c>
      <c r="AK242" s="936">
        <f t="shared" ca="1" si="82"/>
        <v>0</v>
      </c>
      <c r="AL242" s="865">
        <f t="shared" si="83"/>
        <v>0</v>
      </c>
      <c r="AM242" s="865">
        <v>0</v>
      </c>
      <c r="AN242" s="843">
        <f t="shared" si="84"/>
        <v>0</v>
      </c>
      <c r="AO242" s="937">
        <f t="shared" ca="1" si="96"/>
        <v>0</v>
      </c>
      <c r="AP242" s="936">
        <f t="shared" ca="1" si="97"/>
        <v>0</v>
      </c>
      <c r="AQ242" s="936">
        <f t="shared" ca="1" si="98"/>
        <v>0</v>
      </c>
      <c r="AS242" s="936">
        <f>+IFERROR(VLOOKUP(C242,'Rural - Price Out '!$C:$F,3,FALSE),0)</f>
        <v>0</v>
      </c>
      <c r="AT242" s="909">
        <f t="shared" ca="1" si="99"/>
        <v>0</v>
      </c>
    </row>
    <row r="243" spans="1:46">
      <c r="A243" s="841" t="str">
        <f t="shared" si="78"/>
        <v>PacificRolloffCLEAN20-RO</v>
      </c>
      <c r="B243" s="841">
        <f t="shared" si="92"/>
        <v>1</v>
      </c>
      <c r="C243" s="859" t="s">
        <v>2380</v>
      </c>
      <c r="D243" s="859" t="s">
        <v>2381</v>
      </c>
      <c r="E243" s="859">
        <v>150</v>
      </c>
      <c r="F243" s="859"/>
      <c r="G243" s="860"/>
      <c r="H243" s="861">
        <v>0</v>
      </c>
      <c r="I243" s="861">
        <v>0</v>
      </c>
      <c r="J243" s="861">
        <v>0</v>
      </c>
      <c r="K243" s="861">
        <v>0</v>
      </c>
      <c r="L243" s="861">
        <v>0</v>
      </c>
      <c r="M243" s="861">
        <v>0</v>
      </c>
      <c r="N243" s="861">
        <v>150</v>
      </c>
      <c r="O243" s="861">
        <v>150</v>
      </c>
      <c r="P243" s="861">
        <v>0</v>
      </c>
      <c r="Q243" s="861">
        <v>0</v>
      </c>
      <c r="R243" s="861">
        <v>0</v>
      </c>
      <c r="S243" s="861">
        <v>0</v>
      </c>
      <c r="T243" s="865">
        <f t="shared" si="94"/>
        <v>300</v>
      </c>
      <c r="U243" s="865"/>
      <c r="V243" s="865">
        <f t="shared" si="93"/>
        <v>0</v>
      </c>
      <c r="W243" s="865">
        <f t="shared" si="93"/>
        <v>0</v>
      </c>
      <c r="X243" s="865">
        <f t="shared" si="93"/>
        <v>0</v>
      </c>
      <c r="Y243" s="865">
        <f t="shared" si="93"/>
        <v>0</v>
      </c>
      <c r="Z243" s="865">
        <f t="shared" si="93"/>
        <v>0</v>
      </c>
      <c r="AA243" s="865">
        <f t="shared" si="93"/>
        <v>0</v>
      </c>
      <c r="AB243" s="865">
        <f t="shared" si="93"/>
        <v>1</v>
      </c>
      <c r="AC243" s="865">
        <f t="shared" si="93"/>
        <v>1</v>
      </c>
      <c r="AD243" s="865">
        <f t="shared" si="93"/>
        <v>0</v>
      </c>
      <c r="AE243" s="865">
        <f t="shared" si="93"/>
        <v>0</v>
      </c>
      <c r="AF243" s="865">
        <f t="shared" si="93"/>
        <v>0</v>
      </c>
      <c r="AG243" s="865">
        <f t="shared" si="93"/>
        <v>0</v>
      </c>
      <c r="AH243" s="865">
        <f t="shared" si="100"/>
        <v>0.16666666666666666</v>
      </c>
      <c r="AK243" s="936">
        <f t="shared" ca="1" si="82"/>
        <v>4.1455683858526466</v>
      </c>
      <c r="AL243" s="865">
        <f t="shared" si="83"/>
        <v>2</v>
      </c>
      <c r="AM243" s="865">
        <v>0</v>
      </c>
      <c r="AN243" s="843">
        <f t="shared" si="84"/>
        <v>2</v>
      </c>
      <c r="AO243" s="937">
        <f t="shared" ca="1" si="96"/>
        <v>8.2911367717052933</v>
      </c>
      <c r="AP243" s="936">
        <f t="shared" ca="1" si="97"/>
        <v>154.14556838585264</v>
      </c>
      <c r="AQ243" s="936">
        <f t="shared" ca="1" si="98"/>
        <v>308.29113677170528</v>
      </c>
      <c r="AS243" s="936">
        <f>+IFERROR(VLOOKUP(C243,'Rural - Price Out '!$C:$F,3,FALSE),0)</f>
        <v>0</v>
      </c>
      <c r="AT243" s="909">
        <f t="shared" ca="1" si="99"/>
        <v>154.14556838585264</v>
      </c>
    </row>
    <row r="244" spans="1:46">
      <c r="A244" s="841" t="str">
        <f t="shared" si="78"/>
        <v>PacificRolloffCLEAN30-RO</v>
      </c>
      <c r="B244" s="841">
        <f t="shared" si="92"/>
        <v>1</v>
      </c>
      <c r="C244" s="859" t="s">
        <v>2382</v>
      </c>
      <c r="D244" s="859" t="s">
        <v>2383</v>
      </c>
      <c r="E244" s="859">
        <v>225</v>
      </c>
      <c r="F244" s="859"/>
      <c r="G244" s="860"/>
      <c r="H244" s="861">
        <v>0</v>
      </c>
      <c r="I244" s="861">
        <v>0</v>
      </c>
      <c r="J244" s="861">
        <v>0</v>
      </c>
      <c r="K244" s="861">
        <v>225</v>
      </c>
      <c r="L244" s="861">
        <v>0</v>
      </c>
      <c r="M244" s="861">
        <v>0</v>
      </c>
      <c r="N244" s="861">
        <v>0</v>
      </c>
      <c r="O244" s="861">
        <v>0</v>
      </c>
      <c r="P244" s="861">
        <v>0</v>
      </c>
      <c r="Q244" s="861">
        <v>0</v>
      </c>
      <c r="R244" s="861">
        <v>0</v>
      </c>
      <c r="S244" s="861">
        <v>0</v>
      </c>
      <c r="T244" s="865">
        <f t="shared" si="94"/>
        <v>225</v>
      </c>
      <c r="U244" s="865"/>
      <c r="V244" s="865">
        <f t="shared" si="93"/>
        <v>0</v>
      </c>
      <c r="W244" s="865">
        <f t="shared" si="93"/>
        <v>0</v>
      </c>
      <c r="X244" s="865">
        <f t="shared" si="93"/>
        <v>0</v>
      </c>
      <c r="Y244" s="865">
        <f t="shared" si="93"/>
        <v>1</v>
      </c>
      <c r="Z244" s="865">
        <f t="shared" si="93"/>
        <v>0</v>
      </c>
      <c r="AA244" s="865">
        <f t="shared" si="93"/>
        <v>0</v>
      </c>
      <c r="AB244" s="865">
        <f t="shared" si="93"/>
        <v>0</v>
      </c>
      <c r="AC244" s="865">
        <f t="shared" si="93"/>
        <v>0</v>
      </c>
      <c r="AD244" s="865">
        <f t="shared" si="93"/>
        <v>0</v>
      </c>
      <c r="AE244" s="865">
        <f t="shared" si="93"/>
        <v>0</v>
      </c>
      <c r="AF244" s="865">
        <f t="shared" si="93"/>
        <v>0</v>
      </c>
      <c r="AG244" s="865">
        <f t="shared" si="93"/>
        <v>0</v>
      </c>
      <c r="AH244" s="865">
        <f t="shared" si="100"/>
        <v>8.3333333333333329E-2</v>
      </c>
      <c r="AK244" s="936">
        <f t="shared" ca="1" si="82"/>
        <v>6.21835257877897</v>
      </c>
      <c r="AL244" s="865">
        <f t="shared" si="83"/>
        <v>1</v>
      </c>
      <c r="AM244" s="865">
        <v>0</v>
      </c>
      <c r="AN244" s="843">
        <f t="shared" si="84"/>
        <v>1</v>
      </c>
      <c r="AO244" s="937">
        <f t="shared" ca="1" si="96"/>
        <v>6.21835257877897</v>
      </c>
      <c r="AP244" s="936">
        <f t="shared" ca="1" si="97"/>
        <v>231.21835257877896</v>
      </c>
      <c r="AQ244" s="936">
        <f t="shared" ca="1" si="98"/>
        <v>231.21835257877893</v>
      </c>
      <c r="AS244" s="936">
        <f>+IFERROR(VLOOKUP(C244,'Rural - Price Out '!$C:$F,3,FALSE),0)</f>
        <v>0</v>
      </c>
      <c r="AT244" s="909">
        <f t="shared" ca="1" si="99"/>
        <v>231.21835257877896</v>
      </c>
    </row>
    <row r="245" spans="1:46">
      <c r="A245" s="841" t="str">
        <f t="shared" si="78"/>
        <v>PacificRolloffCLEAN40-RO</v>
      </c>
      <c r="B245" s="841">
        <f t="shared" si="92"/>
        <v>1</v>
      </c>
      <c r="C245" s="859" t="s">
        <v>2384</v>
      </c>
      <c r="D245" s="859" t="s">
        <v>2385</v>
      </c>
      <c r="E245" s="859">
        <v>300</v>
      </c>
      <c r="F245" s="859"/>
      <c r="G245" s="860"/>
      <c r="H245" s="861">
        <v>300</v>
      </c>
      <c r="I245" s="861">
        <v>0</v>
      </c>
      <c r="J245" s="861">
        <v>0</v>
      </c>
      <c r="K245" s="861">
        <v>0</v>
      </c>
      <c r="L245" s="861">
        <v>0</v>
      </c>
      <c r="M245" s="861">
        <v>0</v>
      </c>
      <c r="N245" s="861">
        <v>0</v>
      </c>
      <c r="O245" s="861">
        <v>0</v>
      </c>
      <c r="P245" s="861">
        <v>0</v>
      </c>
      <c r="Q245" s="861">
        <v>0</v>
      </c>
      <c r="R245" s="861">
        <v>0</v>
      </c>
      <c r="S245" s="861">
        <v>0</v>
      </c>
      <c r="T245" s="865">
        <f t="shared" si="94"/>
        <v>300</v>
      </c>
      <c r="U245" s="865"/>
      <c r="V245" s="865">
        <f t="shared" si="93"/>
        <v>1</v>
      </c>
      <c r="W245" s="865">
        <f t="shared" si="93"/>
        <v>0</v>
      </c>
      <c r="X245" s="865">
        <f t="shared" si="93"/>
        <v>0</v>
      </c>
      <c r="Y245" s="865">
        <f t="shared" si="93"/>
        <v>0</v>
      </c>
      <c r="Z245" s="865">
        <f t="shared" si="93"/>
        <v>0</v>
      </c>
      <c r="AA245" s="865">
        <f t="shared" si="93"/>
        <v>0</v>
      </c>
      <c r="AB245" s="865">
        <f t="shared" si="93"/>
        <v>0</v>
      </c>
      <c r="AC245" s="865">
        <f t="shared" si="93"/>
        <v>0</v>
      </c>
      <c r="AD245" s="865">
        <f t="shared" si="93"/>
        <v>0</v>
      </c>
      <c r="AE245" s="865">
        <f t="shared" si="93"/>
        <v>0</v>
      </c>
      <c r="AF245" s="865">
        <f t="shared" si="93"/>
        <v>0</v>
      </c>
      <c r="AG245" s="865">
        <f t="shared" si="93"/>
        <v>0</v>
      </c>
      <c r="AH245" s="865">
        <f t="shared" si="100"/>
        <v>8.3333333333333329E-2</v>
      </c>
      <c r="AK245" s="936">
        <f t="shared" ca="1" si="82"/>
        <v>8.2911367717052933</v>
      </c>
      <c r="AL245" s="865">
        <f t="shared" si="83"/>
        <v>1</v>
      </c>
      <c r="AM245" s="865">
        <v>0</v>
      </c>
      <c r="AN245" s="843">
        <f t="shared" si="84"/>
        <v>1</v>
      </c>
      <c r="AO245" s="937">
        <f t="shared" ca="1" si="96"/>
        <v>8.2911367717052933</v>
      </c>
      <c r="AP245" s="936">
        <f t="shared" ca="1" si="97"/>
        <v>308.29113677170528</v>
      </c>
      <c r="AQ245" s="936">
        <f t="shared" ca="1" si="98"/>
        <v>308.29113677170528</v>
      </c>
      <c r="AS245" s="936">
        <f>+IFERROR(VLOOKUP(C245,'Rural - Price Out '!$C:$F,3,FALSE),0)</f>
        <v>0</v>
      </c>
      <c r="AT245" s="909">
        <f t="shared" ca="1" si="99"/>
        <v>308.29113677170528</v>
      </c>
    </row>
    <row r="246" spans="1:46">
      <c r="A246" s="841" t="str">
        <f t="shared" si="78"/>
        <v>PacificRolloffCLEAN-RO</v>
      </c>
      <c r="B246" s="841">
        <f t="shared" si="92"/>
        <v>1</v>
      </c>
      <c r="C246" s="859" t="s">
        <v>2386</v>
      </c>
      <c r="D246" s="859" t="s">
        <v>2387</v>
      </c>
      <c r="E246" s="859">
        <v>0</v>
      </c>
      <c r="F246" s="859"/>
      <c r="G246" s="860"/>
      <c r="H246" s="861">
        <v>0</v>
      </c>
      <c r="I246" s="861">
        <v>0</v>
      </c>
      <c r="J246" s="861">
        <v>0</v>
      </c>
      <c r="K246" s="861">
        <v>0</v>
      </c>
      <c r="L246" s="861">
        <v>50</v>
      </c>
      <c r="M246" s="861">
        <v>0</v>
      </c>
      <c r="N246" s="861">
        <v>0</v>
      </c>
      <c r="O246" s="861">
        <v>0</v>
      </c>
      <c r="P246" s="861">
        <v>0</v>
      </c>
      <c r="Q246" s="861">
        <v>0</v>
      </c>
      <c r="R246" s="861">
        <v>0</v>
      </c>
      <c r="S246" s="861">
        <v>0</v>
      </c>
      <c r="T246" s="865">
        <f t="shared" si="94"/>
        <v>50</v>
      </c>
      <c r="U246" s="865"/>
      <c r="V246" s="865">
        <f t="shared" si="93"/>
        <v>0</v>
      </c>
      <c r="W246" s="865">
        <f t="shared" si="93"/>
        <v>0</v>
      </c>
      <c r="X246" s="865">
        <f t="shared" si="93"/>
        <v>0</v>
      </c>
      <c r="Y246" s="865">
        <f t="shared" si="93"/>
        <v>0</v>
      </c>
      <c r="Z246" s="865">
        <f t="shared" si="93"/>
        <v>0</v>
      </c>
      <c r="AA246" s="865">
        <f t="shared" si="93"/>
        <v>0</v>
      </c>
      <c r="AB246" s="865">
        <f t="shared" si="93"/>
        <v>0</v>
      </c>
      <c r="AC246" s="865">
        <f t="shared" si="93"/>
        <v>0</v>
      </c>
      <c r="AD246" s="865">
        <f t="shared" si="93"/>
        <v>0</v>
      </c>
      <c r="AE246" s="865">
        <f t="shared" si="93"/>
        <v>0</v>
      </c>
      <c r="AF246" s="865">
        <f t="shared" si="93"/>
        <v>0</v>
      </c>
      <c r="AG246" s="865">
        <f t="shared" si="93"/>
        <v>0</v>
      </c>
      <c r="AH246" s="865">
        <f t="shared" si="100"/>
        <v>0</v>
      </c>
      <c r="AK246" s="936">
        <f t="shared" ca="1" si="82"/>
        <v>0</v>
      </c>
      <c r="AL246" s="865">
        <f t="shared" si="83"/>
        <v>0</v>
      </c>
      <c r="AM246" s="865">
        <v>0</v>
      </c>
      <c r="AN246" s="843">
        <f t="shared" si="84"/>
        <v>0</v>
      </c>
      <c r="AO246" s="937">
        <f t="shared" ca="1" si="96"/>
        <v>0</v>
      </c>
      <c r="AP246" s="936">
        <f t="shared" ca="1" si="97"/>
        <v>0</v>
      </c>
      <c r="AQ246" s="936">
        <f t="shared" ca="1" si="98"/>
        <v>0</v>
      </c>
      <c r="AS246" s="936">
        <f>+IFERROR(VLOOKUP(C246,'Rural - Price Out '!$C:$F,3,FALSE),0)</f>
        <v>0</v>
      </c>
      <c r="AT246" s="909">
        <f t="shared" ca="1" si="99"/>
        <v>0</v>
      </c>
    </row>
    <row r="247" spans="1:46">
      <c r="A247" s="841" t="str">
        <f t="shared" si="78"/>
        <v>PacificRolloffLOCK-RO</v>
      </c>
      <c r="B247" s="841">
        <f t="shared" si="92"/>
        <v>1</v>
      </c>
      <c r="C247" s="859" t="s">
        <v>2388</v>
      </c>
      <c r="D247" s="859" t="s">
        <v>2389</v>
      </c>
      <c r="E247" s="859">
        <v>0</v>
      </c>
      <c r="F247" s="859"/>
      <c r="G247" s="860"/>
      <c r="H247" s="861">
        <v>0</v>
      </c>
      <c r="I247" s="861">
        <v>0</v>
      </c>
      <c r="J247" s="861">
        <v>0</v>
      </c>
      <c r="K247" s="861">
        <v>0</v>
      </c>
      <c r="L247" s="861">
        <v>0</v>
      </c>
      <c r="M247" s="861">
        <v>24</v>
      </c>
      <c r="N247" s="861">
        <v>36</v>
      </c>
      <c r="O247" s="861">
        <v>12</v>
      </c>
      <c r="P247" s="861">
        <v>12</v>
      </c>
      <c r="Q247" s="861">
        <v>0</v>
      </c>
      <c r="R247" s="861">
        <v>0</v>
      </c>
      <c r="S247" s="861">
        <v>0</v>
      </c>
      <c r="T247" s="865">
        <f t="shared" si="94"/>
        <v>84</v>
      </c>
      <c r="U247" s="865"/>
      <c r="V247" s="865">
        <f t="shared" si="93"/>
        <v>0</v>
      </c>
      <c r="W247" s="865">
        <f t="shared" si="93"/>
        <v>0</v>
      </c>
      <c r="X247" s="865">
        <f t="shared" si="93"/>
        <v>0</v>
      </c>
      <c r="Y247" s="865">
        <f t="shared" si="93"/>
        <v>0</v>
      </c>
      <c r="Z247" s="865">
        <f t="shared" si="93"/>
        <v>0</v>
      </c>
      <c r="AA247" s="865">
        <f t="shared" si="93"/>
        <v>0</v>
      </c>
      <c r="AB247" s="865">
        <f t="shared" si="93"/>
        <v>0</v>
      </c>
      <c r="AC247" s="865">
        <f t="shared" si="93"/>
        <v>0</v>
      </c>
      <c r="AD247" s="865">
        <f t="shared" si="93"/>
        <v>0</v>
      </c>
      <c r="AE247" s="865">
        <f t="shared" si="93"/>
        <v>0</v>
      </c>
      <c r="AF247" s="865">
        <f t="shared" si="93"/>
        <v>0</v>
      </c>
      <c r="AG247" s="865">
        <f t="shared" si="93"/>
        <v>0</v>
      </c>
      <c r="AH247" s="865">
        <f t="shared" si="100"/>
        <v>0</v>
      </c>
      <c r="AK247" s="936">
        <f t="shared" ca="1" si="82"/>
        <v>0</v>
      </c>
      <c r="AL247" s="865">
        <f t="shared" si="83"/>
        <v>0</v>
      </c>
      <c r="AM247" s="865">
        <v>0</v>
      </c>
      <c r="AN247" s="843">
        <f t="shared" si="84"/>
        <v>0</v>
      </c>
      <c r="AO247" s="937">
        <f t="shared" ca="1" si="96"/>
        <v>0</v>
      </c>
      <c r="AP247" s="936">
        <f t="shared" ca="1" si="97"/>
        <v>0</v>
      </c>
      <c r="AQ247" s="936">
        <f t="shared" ca="1" si="98"/>
        <v>0</v>
      </c>
      <c r="AS247" s="936">
        <f>+IFERROR(VLOOKUP(C247,'Rural - Price Out '!$C:$F,3,FALSE),0)</f>
        <v>0</v>
      </c>
      <c r="AT247" s="909">
        <f t="shared" ca="1" si="99"/>
        <v>0</v>
      </c>
    </row>
    <row r="248" spans="1:46">
      <c r="A248" s="841" t="str">
        <f t="shared" si="78"/>
        <v>PacificRolloffMILE-RO</v>
      </c>
      <c r="B248" s="841">
        <f t="shared" si="92"/>
        <v>1</v>
      </c>
      <c r="C248" s="859" t="s">
        <v>2390</v>
      </c>
      <c r="D248" s="859" t="s">
        <v>2391</v>
      </c>
      <c r="E248" s="859">
        <v>3.3</v>
      </c>
      <c r="F248" s="859"/>
      <c r="G248" s="860"/>
      <c r="H248" s="861">
        <v>6979.5</v>
      </c>
      <c r="I248" s="861">
        <v>6006</v>
      </c>
      <c r="J248" s="861">
        <v>6811.2000000000007</v>
      </c>
      <c r="K248" s="861">
        <v>7250.1</v>
      </c>
      <c r="L248" s="861">
        <v>6365.7</v>
      </c>
      <c r="M248" s="861">
        <v>6880.5</v>
      </c>
      <c r="N248" s="861">
        <v>6276.6</v>
      </c>
      <c r="O248" s="861">
        <v>5321.58</v>
      </c>
      <c r="P248" s="861">
        <v>6462.39</v>
      </c>
      <c r="Q248" s="861">
        <v>5192.45</v>
      </c>
      <c r="R248" s="861">
        <v>6470.97</v>
      </c>
      <c r="S248" s="861">
        <v>6854.1</v>
      </c>
      <c r="T248" s="865">
        <f t="shared" si="94"/>
        <v>76871.09</v>
      </c>
      <c r="U248" s="865"/>
      <c r="V248" s="865">
        <f t="shared" si="93"/>
        <v>2115</v>
      </c>
      <c r="W248" s="865">
        <f t="shared" si="93"/>
        <v>1820</v>
      </c>
      <c r="X248" s="865">
        <f t="shared" si="93"/>
        <v>2064.0000000000005</v>
      </c>
      <c r="Y248" s="865">
        <f t="shared" si="93"/>
        <v>2197.0000000000005</v>
      </c>
      <c r="Z248" s="865">
        <f t="shared" si="93"/>
        <v>1929</v>
      </c>
      <c r="AA248" s="865">
        <f t="shared" si="93"/>
        <v>2085</v>
      </c>
      <c r="AB248" s="865">
        <f t="shared" si="93"/>
        <v>1902.0000000000002</v>
      </c>
      <c r="AC248" s="865">
        <f t="shared" si="93"/>
        <v>1612.6000000000001</v>
      </c>
      <c r="AD248" s="865">
        <f t="shared" si="93"/>
        <v>1958.3000000000002</v>
      </c>
      <c r="AE248" s="865">
        <f t="shared" si="93"/>
        <v>1573.469696969697</v>
      </c>
      <c r="AF248" s="865">
        <f t="shared" si="93"/>
        <v>1960.9</v>
      </c>
      <c r="AG248" s="865">
        <f t="shared" si="93"/>
        <v>2077</v>
      </c>
      <c r="AH248" s="865">
        <f t="shared" si="100"/>
        <v>1941.1891414141417</v>
      </c>
      <c r="AK248" s="936">
        <f t="shared" ca="1" si="82"/>
        <v>9.1202504488758218E-2</v>
      </c>
      <c r="AL248" s="865">
        <f t="shared" si="83"/>
        <v>23294.269696969699</v>
      </c>
      <c r="AM248" s="865">
        <v>4461.9999999999991</v>
      </c>
      <c r="AN248" s="843">
        <f t="shared" si="84"/>
        <v>27756.269696969699</v>
      </c>
      <c r="AO248" s="937">
        <f t="shared" ca="1" si="96"/>
        <v>2531.4413116290625</v>
      </c>
      <c r="AP248" s="936">
        <f t="shared" ca="1" si="97"/>
        <v>3.3912025044887582</v>
      </c>
      <c r="AQ248" s="936">
        <f t="shared" ca="1" si="98"/>
        <v>78995.585736600231</v>
      </c>
      <c r="AS248" s="936">
        <f>+IFERROR(VLOOKUP(C248,'Rural - Price Out '!$C:$F,3,FALSE),0)</f>
        <v>3.2</v>
      </c>
      <c r="AT248" s="909">
        <f t="shared" ca="1" si="99"/>
        <v>0.19120250448875797</v>
      </c>
    </row>
    <row r="249" spans="1:46">
      <c r="A249" s="841" t="str">
        <f t="shared" si="78"/>
        <v>PacificRolloffREDEL-RO</v>
      </c>
      <c r="B249" s="841">
        <f t="shared" si="92"/>
        <v>1</v>
      </c>
      <c r="C249" s="859" t="s">
        <v>2392</v>
      </c>
      <c r="D249" s="859" t="s">
        <v>2393</v>
      </c>
      <c r="E249" s="859">
        <v>37</v>
      </c>
      <c r="F249" s="859"/>
      <c r="G249" s="860"/>
      <c r="H249" s="861">
        <v>0</v>
      </c>
      <c r="I249" s="861">
        <v>0</v>
      </c>
      <c r="J249" s="861">
        <v>0</v>
      </c>
      <c r="K249" s="861">
        <v>37</v>
      </c>
      <c r="L249" s="861">
        <v>0</v>
      </c>
      <c r="M249" s="861">
        <v>0</v>
      </c>
      <c r="N249" s="861">
        <v>0</v>
      </c>
      <c r="O249" s="861">
        <v>0</v>
      </c>
      <c r="P249" s="861">
        <v>0</v>
      </c>
      <c r="Q249" s="861">
        <v>0</v>
      </c>
      <c r="R249" s="861">
        <v>0</v>
      </c>
      <c r="S249" s="861">
        <v>0</v>
      </c>
      <c r="T249" s="865">
        <f t="shared" si="94"/>
        <v>37</v>
      </c>
      <c r="U249" s="865"/>
      <c r="V249" s="865">
        <f t="shared" si="93"/>
        <v>0</v>
      </c>
      <c r="W249" s="865">
        <f t="shared" si="93"/>
        <v>0</v>
      </c>
      <c r="X249" s="865">
        <f t="shared" si="93"/>
        <v>0</v>
      </c>
      <c r="Y249" s="865">
        <f t="shared" si="93"/>
        <v>1</v>
      </c>
      <c r="Z249" s="865">
        <f t="shared" si="93"/>
        <v>0</v>
      </c>
      <c r="AA249" s="865">
        <f t="shared" si="93"/>
        <v>0</v>
      </c>
      <c r="AB249" s="865">
        <f t="shared" si="93"/>
        <v>0</v>
      </c>
      <c r="AC249" s="865">
        <f t="shared" si="93"/>
        <v>0</v>
      </c>
      <c r="AD249" s="865">
        <f t="shared" si="93"/>
        <v>0</v>
      </c>
      <c r="AE249" s="865">
        <f t="shared" si="93"/>
        <v>0</v>
      </c>
      <c r="AF249" s="865">
        <f t="shared" si="93"/>
        <v>0</v>
      </c>
      <c r="AG249" s="865">
        <f t="shared" si="93"/>
        <v>0</v>
      </c>
      <c r="AH249" s="865">
        <f t="shared" si="100"/>
        <v>8.3333333333333329E-2</v>
      </c>
      <c r="AK249" s="936">
        <f t="shared" ca="1" si="82"/>
        <v>1.022573535176986</v>
      </c>
      <c r="AL249" s="865">
        <f t="shared" si="83"/>
        <v>1</v>
      </c>
      <c r="AM249" s="865">
        <v>0</v>
      </c>
      <c r="AN249" s="843">
        <f t="shared" si="84"/>
        <v>1</v>
      </c>
      <c r="AO249" s="937">
        <f t="shared" ca="1" si="96"/>
        <v>1.022573535176986</v>
      </c>
      <c r="AP249" s="936">
        <f t="shared" ca="1" si="97"/>
        <v>38.022573535176988</v>
      </c>
      <c r="AQ249" s="936">
        <f t="shared" ca="1" si="98"/>
        <v>38.022573535176988</v>
      </c>
      <c r="AS249" s="936">
        <f>+IFERROR(VLOOKUP(C249,'Rural - Price Out '!$C:$F,3,FALSE),0)</f>
        <v>0</v>
      </c>
      <c r="AT249" s="909">
        <f t="shared" ca="1" si="99"/>
        <v>38.022573535176988</v>
      </c>
    </row>
    <row r="250" spans="1:46">
      <c r="A250" s="841" t="str">
        <f t="shared" si="78"/>
        <v>PacificRolloffRELO-RO</v>
      </c>
      <c r="B250" s="841">
        <f t="shared" si="92"/>
        <v>1</v>
      </c>
      <c r="C250" s="859" t="s">
        <v>2394</v>
      </c>
      <c r="D250" s="859" t="s">
        <v>2395</v>
      </c>
      <c r="E250" s="859">
        <v>30</v>
      </c>
      <c r="F250" s="859"/>
      <c r="G250" s="860"/>
      <c r="H250" s="861">
        <v>0</v>
      </c>
      <c r="I250" s="861">
        <v>0</v>
      </c>
      <c r="J250" s="861">
        <v>90</v>
      </c>
      <c r="K250" s="861">
        <v>210</v>
      </c>
      <c r="L250" s="861">
        <v>30</v>
      </c>
      <c r="M250" s="861">
        <v>30</v>
      </c>
      <c r="N250" s="861">
        <v>0</v>
      </c>
      <c r="O250" s="861">
        <v>120</v>
      </c>
      <c r="P250" s="861">
        <v>60</v>
      </c>
      <c r="Q250" s="861">
        <v>60</v>
      </c>
      <c r="R250" s="861">
        <v>0</v>
      </c>
      <c r="S250" s="861">
        <v>60</v>
      </c>
      <c r="T250" s="865">
        <f t="shared" si="94"/>
        <v>660</v>
      </c>
      <c r="U250" s="865"/>
      <c r="V250" s="865">
        <f t="shared" ref="V250:AG257" si="101">IFERROR(H250/$E250,0)</f>
        <v>0</v>
      </c>
      <c r="W250" s="865">
        <f t="shared" si="101"/>
        <v>0</v>
      </c>
      <c r="X250" s="865">
        <f t="shared" si="101"/>
        <v>3</v>
      </c>
      <c r="Y250" s="865">
        <f t="shared" si="101"/>
        <v>7</v>
      </c>
      <c r="Z250" s="865">
        <f t="shared" si="101"/>
        <v>1</v>
      </c>
      <c r="AA250" s="865">
        <f t="shared" si="101"/>
        <v>1</v>
      </c>
      <c r="AB250" s="865">
        <f t="shared" si="101"/>
        <v>0</v>
      </c>
      <c r="AC250" s="865">
        <f t="shared" si="101"/>
        <v>4</v>
      </c>
      <c r="AD250" s="865">
        <f t="shared" si="101"/>
        <v>2</v>
      </c>
      <c r="AE250" s="865">
        <f t="shared" si="101"/>
        <v>2</v>
      </c>
      <c r="AF250" s="865">
        <f t="shared" si="101"/>
        <v>0</v>
      </c>
      <c r="AG250" s="865">
        <f t="shared" si="101"/>
        <v>2</v>
      </c>
      <c r="AH250" s="865">
        <f t="shared" si="100"/>
        <v>1.8333333333333333</v>
      </c>
      <c r="AK250" s="936">
        <f t="shared" ca="1" si="82"/>
        <v>0.82911367717052931</v>
      </c>
      <c r="AL250" s="865">
        <f t="shared" si="83"/>
        <v>22</v>
      </c>
      <c r="AM250" s="865">
        <v>0</v>
      </c>
      <c r="AN250" s="843">
        <f t="shared" si="84"/>
        <v>22</v>
      </c>
      <c r="AO250" s="937">
        <f t="shared" ca="1" si="96"/>
        <v>18.240500897751645</v>
      </c>
      <c r="AP250" s="936">
        <f t="shared" ca="1" si="97"/>
        <v>30.829113677170529</v>
      </c>
      <c r="AQ250" s="936">
        <f t="shared" ca="1" si="98"/>
        <v>678.24050089775164</v>
      </c>
      <c r="AS250" s="936">
        <f>+IFERROR(VLOOKUP(C250,'Rural - Price Out '!$C:$F,3,FALSE),0)</f>
        <v>0</v>
      </c>
      <c r="AT250" s="909">
        <f t="shared" ca="1" si="99"/>
        <v>30.829113677170529</v>
      </c>
    </row>
    <row r="251" spans="1:46">
      <c r="A251" s="841" t="str">
        <f t="shared" si="78"/>
        <v>PacificRolloffRTRNTRIP-RO</v>
      </c>
      <c r="B251" s="841">
        <f t="shared" si="92"/>
        <v>1</v>
      </c>
      <c r="C251" s="859" t="s">
        <v>2396</v>
      </c>
      <c r="D251" s="859" t="s">
        <v>2397</v>
      </c>
      <c r="E251" s="859">
        <v>30</v>
      </c>
      <c r="F251" s="859"/>
      <c r="G251" s="860"/>
      <c r="H251" s="861">
        <v>420</v>
      </c>
      <c r="I251" s="861">
        <v>450</v>
      </c>
      <c r="J251" s="861">
        <v>660</v>
      </c>
      <c r="K251" s="861">
        <v>690</v>
      </c>
      <c r="L251" s="861">
        <v>840</v>
      </c>
      <c r="M251" s="861">
        <v>870</v>
      </c>
      <c r="N251" s="861">
        <v>510</v>
      </c>
      <c r="O251" s="861">
        <v>690</v>
      </c>
      <c r="P251" s="861">
        <v>360</v>
      </c>
      <c r="Q251" s="861">
        <v>660</v>
      </c>
      <c r="R251" s="861">
        <v>480</v>
      </c>
      <c r="S251" s="861">
        <v>900</v>
      </c>
      <c r="T251" s="865">
        <f t="shared" si="94"/>
        <v>7530</v>
      </c>
      <c r="U251" s="865"/>
      <c r="V251" s="865">
        <f t="shared" si="101"/>
        <v>14</v>
      </c>
      <c r="W251" s="865">
        <f t="shared" si="101"/>
        <v>15</v>
      </c>
      <c r="X251" s="865">
        <f t="shared" si="101"/>
        <v>22</v>
      </c>
      <c r="Y251" s="865">
        <f t="shared" si="101"/>
        <v>23</v>
      </c>
      <c r="Z251" s="865">
        <f t="shared" si="101"/>
        <v>28</v>
      </c>
      <c r="AA251" s="865">
        <f t="shared" si="101"/>
        <v>29</v>
      </c>
      <c r="AB251" s="865">
        <f t="shared" si="101"/>
        <v>17</v>
      </c>
      <c r="AC251" s="865">
        <f t="shared" si="101"/>
        <v>23</v>
      </c>
      <c r="AD251" s="865">
        <f t="shared" si="101"/>
        <v>12</v>
      </c>
      <c r="AE251" s="865">
        <f t="shared" si="101"/>
        <v>22</v>
      </c>
      <c r="AF251" s="865">
        <f t="shared" si="101"/>
        <v>16</v>
      </c>
      <c r="AG251" s="865">
        <f t="shared" si="101"/>
        <v>30</v>
      </c>
      <c r="AH251" s="865">
        <f t="shared" si="100"/>
        <v>20.916666666666668</v>
      </c>
      <c r="AK251" s="936">
        <f t="shared" ca="1" si="82"/>
        <v>0.82911367717052931</v>
      </c>
      <c r="AL251" s="865">
        <f t="shared" si="83"/>
        <v>251</v>
      </c>
      <c r="AM251" s="865">
        <v>12</v>
      </c>
      <c r="AN251" s="843">
        <f t="shared" si="84"/>
        <v>263</v>
      </c>
      <c r="AO251" s="937">
        <f t="shared" ca="1" si="96"/>
        <v>218.05689709584919</v>
      </c>
      <c r="AP251" s="936">
        <f t="shared" ca="1" si="97"/>
        <v>30.829113677170529</v>
      </c>
      <c r="AQ251" s="936">
        <f t="shared" ca="1" si="98"/>
        <v>7738.1075329698033</v>
      </c>
      <c r="AS251" s="936">
        <f>+IFERROR(VLOOKUP(C251,'Rural - Price Out '!$C:$F,3,FALSE),0)</f>
        <v>48.5</v>
      </c>
      <c r="AT251" s="909">
        <f t="shared" ca="1" si="99"/>
        <v>-17.670886322829471</v>
      </c>
    </row>
    <row r="252" spans="1:46" ht="13.5" customHeight="1">
      <c r="A252" s="841" t="str">
        <f t="shared" si="78"/>
        <v>PacificRolloffTARP-RO</v>
      </c>
      <c r="B252" s="841">
        <f t="shared" si="92"/>
        <v>1</v>
      </c>
      <c r="C252" s="859" t="s">
        <v>2398</v>
      </c>
      <c r="D252" s="859" t="s">
        <v>2399</v>
      </c>
      <c r="E252" s="859">
        <v>22.6</v>
      </c>
      <c r="F252" s="859"/>
      <c r="G252" s="860"/>
      <c r="H252" s="861">
        <v>1334.08</v>
      </c>
      <c r="I252" s="861">
        <v>1131.3599999999999</v>
      </c>
      <c r="J252" s="861">
        <v>1221.0800000000002</v>
      </c>
      <c r="K252" s="861">
        <v>1086.8399999999999</v>
      </c>
      <c r="L252" s="861">
        <v>1108.08</v>
      </c>
      <c r="M252" s="861">
        <v>1176.56</v>
      </c>
      <c r="N252" s="861">
        <v>1334.76</v>
      </c>
      <c r="O252" s="861">
        <v>1401.8799999999999</v>
      </c>
      <c r="P252" s="861">
        <v>1469.68</v>
      </c>
      <c r="Q252" s="861">
        <v>973.16</v>
      </c>
      <c r="R252" s="861">
        <v>1717.6</v>
      </c>
      <c r="S252" s="861">
        <v>1537.48</v>
      </c>
      <c r="T252" s="865">
        <f t="shared" si="94"/>
        <v>15492.56</v>
      </c>
      <c r="U252" s="865"/>
      <c r="V252" s="865">
        <f t="shared" si="101"/>
        <v>59.030088495575214</v>
      </c>
      <c r="W252" s="865">
        <f t="shared" si="101"/>
        <v>50.060176991150435</v>
      </c>
      <c r="X252" s="865">
        <f t="shared" si="101"/>
        <v>54.030088495575228</v>
      </c>
      <c r="Y252" s="865">
        <f t="shared" si="101"/>
        <v>48.090265486725656</v>
      </c>
      <c r="Z252" s="865">
        <f t="shared" si="101"/>
        <v>49.030088495575214</v>
      </c>
      <c r="AA252" s="865">
        <f t="shared" si="101"/>
        <v>52.060176991150435</v>
      </c>
      <c r="AB252" s="865">
        <f t="shared" si="101"/>
        <v>59.060176991150435</v>
      </c>
      <c r="AC252" s="865">
        <f t="shared" si="101"/>
        <v>62.030088495575214</v>
      </c>
      <c r="AD252" s="865">
        <f t="shared" si="101"/>
        <v>65.030088495575214</v>
      </c>
      <c r="AE252" s="865">
        <f t="shared" si="101"/>
        <v>43.060176991150435</v>
      </c>
      <c r="AF252" s="865">
        <f t="shared" si="101"/>
        <v>75.999999999999986</v>
      </c>
      <c r="AG252" s="865">
        <f t="shared" si="101"/>
        <v>68.030088495575214</v>
      </c>
      <c r="AH252" s="865">
        <f t="shared" si="100"/>
        <v>57.125958702064899</v>
      </c>
      <c r="AK252" s="936">
        <f t="shared" ca="1" si="82"/>
        <v>0.6245989701351321</v>
      </c>
      <c r="AL252" s="865">
        <f t="shared" si="83"/>
        <v>685.51150442477876</v>
      </c>
      <c r="AM252" s="865">
        <v>11</v>
      </c>
      <c r="AN252" s="843">
        <f t="shared" si="84"/>
        <v>696.51150442477876</v>
      </c>
      <c r="AO252" s="937">
        <f t="shared" ca="1" si="96"/>
        <v>435.04036835098833</v>
      </c>
      <c r="AP252" s="936">
        <f t="shared" ca="1" si="97"/>
        <v>23.224598970135133</v>
      </c>
      <c r="AQ252" s="936">
        <f t="shared" ca="1" si="98"/>
        <v>15920.729779679503</v>
      </c>
      <c r="AS252" s="936">
        <f>+IFERROR(VLOOKUP(C252,'Rural - Price Out '!$C:$F,3,FALSE),0)</f>
        <v>17.8</v>
      </c>
      <c r="AT252" s="909">
        <f t="shared" ca="1" si="99"/>
        <v>5.4245989701351327</v>
      </c>
    </row>
    <row r="253" spans="1:46" ht="13.5" customHeight="1">
      <c r="A253" s="841" t="str">
        <f t="shared" si="78"/>
        <v>PacificRolloffTIME-RO</v>
      </c>
      <c r="B253" s="841">
        <f t="shared" si="92"/>
        <v>1</v>
      </c>
      <c r="C253" s="859" t="s">
        <v>2400</v>
      </c>
      <c r="D253" s="859" t="s">
        <v>2401</v>
      </c>
      <c r="E253" s="859">
        <v>0</v>
      </c>
      <c r="F253" s="859"/>
      <c r="G253" s="860"/>
      <c r="H253" s="861">
        <v>582.25</v>
      </c>
      <c r="I253" s="861">
        <v>840.5</v>
      </c>
      <c r="J253" s="861">
        <v>389.5</v>
      </c>
      <c r="K253" s="861">
        <v>471.5</v>
      </c>
      <c r="L253" s="861">
        <v>328</v>
      </c>
      <c r="M253" s="861">
        <v>553.5</v>
      </c>
      <c r="N253" s="861">
        <v>594.5</v>
      </c>
      <c r="O253" s="861">
        <v>1271</v>
      </c>
      <c r="P253" s="861">
        <v>861</v>
      </c>
      <c r="Q253" s="861">
        <v>1066</v>
      </c>
      <c r="R253" s="861">
        <v>676.5</v>
      </c>
      <c r="S253" s="861">
        <v>369</v>
      </c>
      <c r="T253" s="865">
        <f t="shared" si="94"/>
        <v>8003.25</v>
      </c>
      <c r="U253" s="865"/>
      <c r="V253" s="865">
        <f t="shared" si="101"/>
        <v>0</v>
      </c>
      <c r="W253" s="865">
        <f t="shared" si="101"/>
        <v>0</v>
      </c>
      <c r="X253" s="865">
        <f t="shared" si="101"/>
        <v>0</v>
      </c>
      <c r="Y253" s="865">
        <f t="shared" si="101"/>
        <v>0</v>
      </c>
      <c r="Z253" s="865">
        <f t="shared" si="101"/>
        <v>0</v>
      </c>
      <c r="AA253" s="865">
        <f t="shared" si="101"/>
        <v>0</v>
      </c>
      <c r="AB253" s="865">
        <f t="shared" si="101"/>
        <v>0</v>
      </c>
      <c r="AC253" s="865">
        <f t="shared" si="101"/>
        <v>0</v>
      </c>
      <c r="AD253" s="865">
        <f t="shared" si="101"/>
        <v>0</v>
      </c>
      <c r="AE253" s="865">
        <f t="shared" si="101"/>
        <v>0</v>
      </c>
      <c r="AF253" s="865">
        <f t="shared" si="101"/>
        <v>0</v>
      </c>
      <c r="AG253" s="865">
        <f t="shared" si="101"/>
        <v>0</v>
      </c>
      <c r="AH253" s="865">
        <f t="shared" si="100"/>
        <v>0</v>
      </c>
      <c r="AK253" s="936">
        <f t="shared" ca="1" si="82"/>
        <v>0</v>
      </c>
      <c r="AL253" s="865">
        <f t="shared" si="83"/>
        <v>0</v>
      </c>
      <c r="AM253" s="865">
        <v>0</v>
      </c>
      <c r="AN253" s="843">
        <f t="shared" si="84"/>
        <v>0</v>
      </c>
      <c r="AO253" s="937">
        <f t="shared" ca="1" si="96"/>
        <v>0</v>
      </c>
      <c r="AP253" s="936">
        <f t="shared" ca="1" si="97"/>
        <v>0</v>
      </c>
      <c r="AQ253" s="936">
        <f t="shared" ca="1" si="98"/>
        <v>0</v>
      </c>
      <c r="AS253" s="936">
        <f>+IFERROR(VLOOKUP(C253,'Rural - Price Out '!$C:$F,3,FALSE),0)</f>
        <v>0</v>
      </c>
      <c r="AT253" s="909">
        <f t="shared" ca="1" si="99"/>
        <v>0</v>
      </c>
    </row>
    <row r="254" spans="1:46">
      <c r="A254" s="841" t="str">
        <f t="shared" si="78"/>
        <v>PacificRolloffEXWGHT-RO</v>
      </c>
      <c r="B254" s="841">
        <f t="shared" si="92"/>
        <v>1</v>
      </c>
      <c r="C254" s="859" t="s">
        <v>2402</v>
      </c>
      <c r="D254" s="859" t="s">
        <v>2402</v>
      </c>
      <c r="E254" s="859">
        <v>0.14000000000000001</v>
      </c>
      <c r="F254" s="859"/>
      <c r="G254" s="860"/>
      <c r="H254" s="861">
        <v>3348.8</v>
      </c>
      <c r="I254" s="861">
        <v>1422.3999999999999</v>
      </c>
      <c r="J254" s="861">
        <v>3043.6000000000004</v>
      </c>
      <c r="K254" s="861">
        <v>2352</v>
      </c>
      <c r="L254" s="861">
        <v>0</v>
      </c>
      <c r="M254" s="861">
        <v>1005.2</v>
      </c>
      <c r="N254" s="861">
        <v>380.8</v>
      </c>
      <c r="O254" s="861">
        <v>2870</v>
      </c>
      <c r="P254" s="861">
        <v>1447.6</v>
      </c>
      <c r="Q254" s="861">
        <v>215.6</v>
      </c>
      <c r="R254" s="861">
        <v>257.60000000000002</v>
      </c>
      <c r="S254" s="861">
        <v>263.2</v>
      </c>
      <c r="T254" s="865">
        <f t="shared" si="94"/>
        <v>16606.8</v>
      </c>
      <c r="U254" s="865"/>
      <c r="V254" s="865">
        <f t="shared" si="101"/>
        <v>23920</v>
      </c>
      <c r="W254" s="865">
        <f t="shared" si="101"/>
        <v>10159.999999999998</v>
      </c>
      <c r="X254" s="865">
        <f t="shared" si="101"/>
        <v>21740</v>
      </c>
      <c r="Y254" s="865">
        <f t="shared" si="101"/>
        <v>16800</v>
      </c>
      <c r="Z254" s="865">
        <f t="shared" si="101"/>
        <v>0</v>
      </c>
      <c r="AA254" s="865">
        <f t="shared" si="101"/>
        <v>7180</v>
      </c>
      <c r="AB254" s="865">
        <f t="shared" si="101"/>
        <v>2720</v>
      </c>
      <c r="AC254" s="865">
        <f t="shared" si="101"/>
        <v>20499.999999999996</v>
      </c>
      <c r="AD254" s="865">
        <f t="shared" si="101"/>
        <v>10339.999999999998</v>
      </c>
      <c r="AE254" s="865">
        <f t="shared" si="101"/>
        <v>1539.9999999999998</v>
      </c>
      <c r="AF254" s="865">
        <f t="shared" si="101"/>
        <v>1840</v>
      </c>
      <c r="AG254" s="865">
        <f t="shared" si="101"/>
        <v>1879.9999999999998</v>
      </c>
      <c r="AH254" s="865">
        <f t="shared" si="100"/>
        <v>9885</v>
      </c>
      <c r="AK254" s="936">
        <f t="shared" ca="1" si="82"/>
        <v>3.8691971601291369E-3</v>
      </c>
      <c r="AL254" s="865">
        <f t="shared" si="83"/>
        <v>118620</v>
      </c>
      <c r="AM254" s="865">
        <v>2200</v>
      </c>
      <c r="AN254" s="843">
        <f t="shared" si="84"/>
        <v>120820</v>
      </c>
      <c r="AO254" s="937">
        <f t="shared" ca="1" si="96"/>
        <v>467.47640088680231</v>
      </c>
      <c r="AP254" s="936">
        <f t="shared" ca="1" si="97"/>
        <v>0.14386919716012914</v>
      </c>
      <c r="AQ254" s="936">
        <f t="shared" ca="1" si="98"/>
        <v>17065.764167134519</v>
      </c>
      <c r="AS254" s="936">
        <f>+IFERROR(VLOOKUP(C254,'Rural - Price Out '!$C:$F,3,FALSE),0)</f>
        <v>0.14000000000000001</v>
      </c>
      <c r="AT254" s="909">
        <f t="shared" ca="1" si="99"/>
        <v>3.8691971601291231E-3</v>
      </c>
    </row>
    <row r="255" spans="1:46">
      <c r="A255" s="841" t="str">
        <f t="shared" si="78"/>
        <v>PacificRolloffADJTAX-RO</v>
      </c>
      <c r="B255" s="841">
        <f t="shared" si="92"/>
        <v>1</v>
      </c>
      <c r="C255" s="859" t="s">
        <v>2403</v>
      </c>
      <c r="D255" s="859" t="s">
        <v>2404</v>
      </c>
      <c r="E255" s="859">
        <v>0</v>
      </c>
      <c r="F255" s="859"/>
      <c r="G255" s="860"/>
      <c r="H255" s="861">
        <v>-2.89</v>
      </c>
      <c r="I255" s="861">
        <v>0</v>
      </c>
      <c r="J255" s="861">
        <v>0</v>
      </c>
      <c r="K255" s="861">
        <v>0</v>
      </c>
      <c r="L255" s="861">
        <v>-3.63</v>
      </c>
      <c r="M255" s="861">
        <v>0</v>
      </c>
      <c r="N255" s="861">
        <v>-2.02</v>
      </c>
      <c r="O255" s="861">
        <v>0</v>
      </c>
      <c r="P255" s="861">
        <v>0</v>
      </c>
      <c r="Q255" s="861">
        <v>-311.92</v>
      </c>
      <c r="R255" s="861">
        <v>0</v>
      </c>
      <c r="S255" s="861">
        <v>0</v>
      </c>
      <c r="T255" s="865">
        <f t="shared" si="94"/>
        <v>-320.46000000000004</v>
      </c>
      <c r="U255" s="865"/>
      <c r="V255" s="865">
        <f t="shared" si="101"/>
        <v>0</v>
      </c>
      <c r="W255" s="865">
        <f t="shared" si="101"/>
        <v>0</v>
      </c>
      <c r="X255" s="865">
        <f t="shared" si="101"/>
        <v>0</v>
      </c>
      <c r="Y255" s="865">
        <f t="shared" si="101"/>
        <v>0</v>
      </c>
      <c r="Z255" s="865">
        <f t="shared" si="101"/>
        <v>0</v>
      </c>
      <c r="AA255" s="865">
        <f t="shared" si="101"/>
        <v>0</v>
      </c>
      <c r="AB255" s="865">
        <f t="shared" si="101"/>
        <v>0</v>
      </c>
      <c r="AC255" s="865">
        <f t="shared" si="101"/>
        <v>0</v>
      </c>
      <c r="AD255" s="865">
        <f t="shared" si="101"/>
        <v>0</v>
      </c>
      <c r="AE255" s="865">
        <f t="shared" si="101"/>
        <v>0</v>
      </c>
      <c r="AF255" s="865">
        <f t="shared" si="101"/>
        <v>0</v>
      </c>
      <c r="AG255" s="865">
        <f t="shared" si="101"/>
        <v>0</v>
      </c>
      <c r="AH255" s="865">
        <f>AVERAGE(V255:AG255)</f>
        <v>0</v>
      </c>
      <c r="AK255" s="936">
        <f t="shared" ca="1" si="82"/>
        <v>0</v>
      </c>
      <c r="AL255" s="865">
        <f t="shared" si="83"/>
        <v>0</v>
      </c>
      <c r="AM255" s="865">
        <v>0</v>
      </c>
      <c r="AN255" s="843">
        <f t="shared" si="84"/>
        <v>0</v>
      </c>
      <c r="AO255" s="937">
        <f t="shared" ca="1" si="96"/>
        <v>0</v>
      </c>
      <c r="AP255" s="936">
        <f t="shared" ca="1" si="97"/>
        <v>0</v>
      </c>
      <c r="AQ255" s="936">
        <f t="shared" ca="1" si="98"/>
        <v>0</v>
      </c>
      <c r="AS255" s="936">
        <f>+IFERROR(VLOOKUP(C255,'Rural - Price Out '!$C:$F,3,FALSE),0)</f>
        <v>0</v>
      </c>
      <c r="AT255" s="909">
        <f t="shared" ca="1" si="99"/>
        <v>0</v>
      </c>
    </row>
    <row r="256" spans="1:46">
      <c r="A256" s="841" t="str">
        <f t="shared" si="78"/>
        <v>PacificRolloffDISCO-CP</v>
      </c>
      <c r="B256" s="841">
        <f t="shared" si="92"/>
        <v>1</v>
      </c>
      <c r="C256" s="859" t="s">
        <v>2405</v>
      </c>
      <c r="D256" s="859" t="s">
        <v>2406</v>
      </c>
      <c r="E256" s="859">
        <v>12</v>
      </c>
      <c r="F256" s="859"/>
      <c r="G256" s="860"/>
      <c r="H256" s="861">
        <v>852</v>
      </c>
      <c r="I256" s="861">
        <v>720</v>
      </c>
      <c r="J256" s="861">
        <v>744</v>
      </c>
      <c r="K256" s="861">
        <v>876</v>
      </c>
      <c r="L256" s="861">
        <v>708</v>
      </c>
      <c r="M256" s="861">
        <v>912</v>
      </c>
      <c r="N256" s="861">
        <v>972</v>
      </c>
      <c r="O256" s="861">
        <v>792</v>
      </c>
      <c r="P256" s="861">
        <v>1008</v>
      </c>
      <c r="Q256" s="861">
        <v>840</v>
      </c>
      <c r="R256" s="861">
        <v>1104</v>
      </c>
      <c r="S256" s="861">
        <v>1272</v>
      </c>
      <c r="T256" s="865">
        <f t="shared" si="94"/>
        <v>10800</v>
      </c>
      <c r="U256" s="865"/>
      <c r="V256" s="865">
        <f t="shared" si="101"/>
        <v>71</v>
      </c>
      <c r="W256" s="865">
        <f t="shared" si="101"/>
        <v>60</v>
      </c>
      <c r="X256" s="865">
        <f t="shared" si="101"/>
        <v>62</v>
      </c>
      <c r="Y256" s="865">
        <f t="shared" si="101"/>
        <v>73</v>
      </c>
      <c r="Z256" s="865">
        <f t="shared" si="101"/>
        <v>59</v>
      </c>
      <c r="AA256" s="865">
        <f t="shared" si="101"/>
        <v>76</v>
      </c>
      <c r="AB256" s="865">
        <f t="shared" si="101"/>
        <v>81</v>
      </c>
      <c r="AC256" s="865">
        <f t="shared" si="101"/>
        <v>66</v>
      </c>
      <c r="AD256" s="865">
        <f t="shared" si="101"/>
        <v>84</v>
      </c>
      <c r="AE256" s="865">
        <f t="shared" si="101"/>
        <v>70</v>
      </c>
      <c r="AF256" s="865">
        <f t="shared" si="101"/>
        <v>92</v>
      </c>
      <c r="AG256" s="865">
        <f t="shared" si="101"/>
        <v>106</v>
      </c>
      <c r="AH256" s="865">
        <f>AVERAGE(V256:AG256)</f>
        <v>75</v>
      </c>
      <c r="AK256" s="936">
        <f t="shared" ca="1" si="82"/>
        <v>0.33164547086821172</v>
      </c>
      <c r="AL256" s="865">
        <f t="shared" si="83"/>
        <v>900</v>
      </c>
      <c r="AM256" s="865">
        <v>0</v>
      </c>
      <c r="AN256" s="843">
        <f t="shared" si="84"/>
        <v>900</v>
      </c>
      <c r="AO256" s="937">
        <f t="shared" ca="1" si="96"/>
        <v>298.48092378139057</v>
      </c>
      <c r="AP256" s="936">
        <f t="shared" ca="1" si="97"/>
        <v>12.331645470868212</v>
      </c>
      <c r="AQ256" s="936">
        <f t="shared" ca="1" si="98"/>
        <v>11098.480923781392</v>
      </c>
      <c r="AS256" s="936">
        <f>+IFERROR(VLOOKUP(C256,'Rural - Price Out '!$C:$F,3,FALSE),0)</f>
        <v>0</v>
      </c>
      <c r="AT256" s="909">
        <f t="shared" ca="1" si="99"/>
        <v>12.331645470868212</v>
      </c>
    </row>
    <row r="257" spans="1:46">
      <c r="A257" s="841" t="str">
        <f t="shared" si="78"/>
        <v>PacificRolloffLIDRO</v>
      </c>
      <c r="B257" s="841">
        <f t="shared" si="92"/>
        <v>1</v>
      </c>
      <c r="C257" s="859" t="s">
        <v>2407</v>
      </c>
      <c r="D257" s="901" t="s">
        <v>2408</v>
      </c>
      <c r="E257" s="859">
        <v>0</v>
      </c>
      <c r="F257" s="859"/>
      <c r="G257" s="860"/>
      <c r="H257" s="861">
        <v>0</v>
      </c>
      <c r="I257" s="861">
        <v>0</v>
      </c>
      <c r="J257" s="861">
        <v>0</v>
      </c>
      <c r="K257" s="861">
        <v>0</v>
      </c>
      <c r="L257" s="861">
        <v>0</v>
      </c>
      <c r="M257" s="861">
        <v>0</v>
      </c>
      <c r="N257" s="861">
        <v>0</v>
      </c>
      <c r="O257" s="861">
        <v>0</v>
      </c>
      <c r="P257" s="861">
        <v>0</v>
      </c>
      <c r="Q257" s="861">
        <v>0</v>
      </c>
      <c r="R257" s="861">
        <v>0</v>
      </c>
      <c r="S257" s="861">
        <v>0</v>
      </c>
      <c r="T257" s="865">
        <f t="shared" si="94"/>
        <v>0</v>
      </c>
      <c r="U257" s="865"/>
      <c r="V257" s="865">
        <f t="shared" si="101"/>
        <v>0</v>
      </c>
      <c r="W257" s="865">
        <f t="shared" si="101"/>
        <v>0</v>
      </c>
      <c r="X257" s="865">
        <f t="shared" si="101"/>
        <v>0</v>
      </c>
      <c r="Y257" s="865">
        <f t="shared" si="101"/>
        <v>0</v>
      </c>
      <c r="Z257" s="865">
        <f t="shared" si="101"/>
        <v>0</v>
      </c>
      <c r="AA257" s="865">
        <f t="shared" si="101"/>
        <v>0</v>
      </c>
      <c r="AB257" s="865">
        <f t="shared" si="101"/>
        <v>0</v>
      </c>
      <c r="AC257" s="865">
        <f t="shared" si="101"/>
        <v>0</v>
      </c>
      <c r="AD257" s="865">
        <f t="shared" si="101"/>
        <v>0</v>
      </c>
      <c r="AE257" s="865">
        <f t="shared" si="101"/>
        <v>0</v>
      </c>
      <c r="AF257" s="865">
        <f t="shared" si="101"/>
        <v>0</v>
      </c>
      <c r="AG257" s="865">
        <f t="shared" si="101"/>
        <v>0</v>
      </c>
      <c r="AH257" s="865">
        <f>AVERAGE(V257:AG257)</f>
        <v>0</v>
      </c>
      <c r="AK257" s="936">
        <f t="shared" ca="1" si="82"/>
        <v>0</v>
      </c>
      <c r="AL257" s="865">
        <f t="shared" si="83"/>
        <v>0</v>
      </c>
      <c r="AM257" s="865">
        <v>10</v>
      </c>
      <c r="AN257" s="843">
        <f t="shared" si="84"/>
        <v>10</v>
      </c>
      <c r="AO257" s="937">
        <f t="shared" ca="1" si="96"/>
        <v>0</v>
      </c>
      <c r="AP257" s="936">
        <f t="shared" ca="1" si="97"/>
        <v>0</v>
      </c>
      <c r="AQ257" s="936">
        <f t="shared" ca="1" si="98"/>
        <v>0</v>
      </c>
      <c r="AS257" s="936">
        <f>+IFERROR(VLOOKUP(C257,'Rural - Price Out '!$C:$F,3,FALSE),0)</f>
        <v>17.8</v>
      </c>
      <c r="AT257" s="909">
        <f t="shared" ca="1" si="99"/>
        <v>-17.8</v>
      </c>
    </row>
    <row r="258" spans="1:46">
      <c r="C258" s="868"/>
      <c r="D258" s="868"/>
      <c r="E258" s="859"/>
      <c r="F258" s="859"/>
      <c r="G258" s="860"/>
      <c r="H258" s="902"/>
      <c r="I258" s="877"/>
      <c r="J258" s="877"/>
      <c r="K258" s="878"/>
      <c r="L258" s="878"/>
      <c r="M258" s="878"/>
      <c r="N258" s="878"/>
      <c r="O258" s="878"/>
      <c r="P258" s="878"/>
      <c r="Q258" s="878"/>
      <c r="R258" s="878"/>
      <c r="S258" s="878"/>
      <c r="T258" s="878"/>
      <c r="V258" s="865"/>
      <c r="W258" s="865"/>
      <c r="X258" s="865"/>
      <c r="Y258" s="865"/>
      <c r="Z258" s="865"/>
      <c r="AA258" s="865"/>
      <c r="AB258" s="865"/>
      <c r="AC258" s="865"/>
      <c r="AD258" s="865"/>
      <c r="AE258" s="865"/>
      <c r="AF258" s="865"/>
      <c r="AG258" s="865"/>
      <c r="AH258" s="865"/>
      <c r="AK258" s="937"/>
      <c r="AL258" s="865"/>
      <c r="AM258" s="865"/>
      <c r="AN258" s="843"/>
      <c r="AO258" s="937"/>
      <c r="AP258" s="937"/>
    </row>
    <row r="259" spans="1:46">
      <c r="B259" s="841">
        <f>COUNTIF(C:C,C259)</f>
        <v>0</v>
      </c>
      <c r="C259" s="868"/>
      <c r="D259" s="869" t="s">
        <v>2409</v>
      </c>
      <c r="E259" s="859">
        <v>0</v>
      </c>
      <c r="F259" s="859"/>
      <c r="G259" s="860"/>
      <c r="H259" s="870">
        <f t="shared" ref="H259:T259" si="102">SUM(H204:H258)</f>
        <v>120521.61999999998</v>
      </c>
      <c r="I259" s="870">
        <f t="shared" si="102"/>
        <v>103917.73</v>
      </c>
      <c r="J259" s="870">
        <f t="shared" si="102"/>
        <v>116727.80000000002</v>
      </c>
      <c r="K259" s="870">
        <f t="shared" si="102"/>
        <v>126283.88000000002</v>
      </c>
      <c r="L259" s="870">
        <f t="shared" si="102"/>
        <v>111922.31999999998</v>
      </c>
      <c r="M259" s="870">
        <f t="shared" si="102"/>
        <v>123908.37</v>
      </c>
      <c r="N259" s="870">
        <f t="shared" si="102"/>
        <v>110050.15000000002</v>
      </c>
      <c r="O259" s="870">
        <f t="shared" si="102"/>
        <v>105409.19</v>
      </c>
      <c r="P259" s="870">
        <f t="shared" si="102"/>
        <v>111501.62</v>
      </c>
      <c r="Q259" s="870">
        <f t="shared" si="102"/>
        <v>93482.3</v>
      </c>
      <c r="R259" s="870">
        <f t="shared" si="102"/>
        <v>113681.97000000002</v>
      </c>
      <c r="S259" s="870">
        <f t="shared" si="102"/>
        <v>118015.31</v>
      </c>
      <c r="T259" s="871">
        <f t="shared" si="102"/>
        <v>1355422.2600000002</v>
      </c>
      <c r="U259" s="876">
        <f>T259-SUM(H259:S259)</f>
        <v>0</v>
      </c>
      <c r="V259" s="872">
        <f>+SUM(V226:V235)</f>
        <v>211.02142208462334</v>
      </c>
      <c r="W259" s="872">
        <f t="shared" ref="W259:AH259" si="103">+SUM(W226:W235)</f>
        <v>207.60000000000002</v>
      </c>
      <c r="X259" s="872">
        <f t="shared" si="103"/>
        <v>214.07316615067077</v>
      </c>
      <c r="Y259" s="872">
        <f t="shared" si="103"/>
        <v>227.33778740970075</v>
      </c>
      <c r="Z259" s="872">
        <f t="shared" si="103"/>
        <v>219.96666666666667</v>
      </c>
      <c r="AA259" s="872">
        <f t="shared" si="103"/>
        <v>215.16996327782891</v>
      </c>
      <c r="AB259" s="872">
        <f t="shared" si="103"/>
        <v>208.86655727554179</v>
      </c>
      <c r="AC259" s="872">
        <f t="shared" si="103"/>
        <v>208.80103611971106</v>
      </c>
      <c r="AD259" s="872">
        <f t="shared" si="103"/>
        <v>207.72906666666668</v>
      </c>
      <c r="AE259" s="872">
        <f t="shared" si="103"/>
        <v>206.11157517178884</v>
      </c>
      <c r="AF259" s="872">
        <f t="shared" si="103"/>
        <v>216.12794716202274</v>
      </c>
      <c r="AG259" s="872">
        <f t="shared" si="103"/>
        <v>218.62627657378744</v>
      </c>
      <c r="AH259" s="872">
        <f t="shared" si="103"/>
        <v>213.45262204658408</v>
      </c>
      <c r="AK259" s="937"/>
      <c r="AL259" s="872">
        <f>SUM(AL204:AL258)</f>
        <v>154087.36052920134</v>
      </c>
      <c r="AM259" s="872">
        <f>SUM(AM204:AM258)</f>
        <v>9490.0390224715593</v>
      </c>
      <c r="AN259" s="872">
        <f>SUM(AN204:AN258)</f>
        <v>163577.39955167292</v>
      </c>
      <c r="AO259" s="940">
        <f ca="1">SUM(AO204:AO258)</f>
        <v>37265.79781801936</v>
      </c>
      <c r="AP259" s="937"/>
      <c r="AQ259" s="872">
        <f ca="1">SUM(AQ204:AQ258)</f>
        <v>1274668.8908413739</v>
      </c>
    </row>
    <row r="260" spans="1:46">
      <c r="C260" s="868"/>
      <c r="D260" s="868"/>
      <c r="E260" s="859"/>
      <c r="F260" s="859"/>
      <c r="G260" s="860"/>
      <c r="H260" s="862"/>
      <c r="I260" s="861"/>
      <c r="J260" s="861"/>
      <c r="V260" s="865"/>
      <c r="W260" s="865"/>
      <c r="X260" s="865"/>
      <c r="Y260" s="865"/>
      <c r="Z260" s="865"/>
      <c r="AA260" s="865"/>
      <c r="AB260" s="865"/>
      <c r="AC260" s="865"/>
      <c r="AD260" s="865"/>
      <c r="AE260" s="865"/>
      <c r="AF260" s="865"/>
      <c r="AG260" s="865"/>
      <c r="AH260" s="865"/>
      <c r="AK260" s="937"/>
      <c r="AL260" s="865"/>
      <c r="AM260" s="865"/>
      <c r="AO260" s="937"/>
      <c r="AP260" s="937"/>
    </row>
    <row r="261" spans="1:46">
      <c r="B261" s="841">
        <f>COUNTIF(C:C,C261)</f>
        <v>1</v>
      </c>
      <c r="C261" s="875" t="s">
        <v>2410</v>
      </c>
      <c r="D261" s="875" t="s">
        <v>2410</v>
      </c>
      <c r="E261" s="859">
        <v>0</v>
      </c>
      <c r="F261" s="859"/>
      <c r="G261" s="860"/>
      <c r="H261" s="862"/>
      <c r="I261" s="861"/>
      <c r="J261" s="861"/>
      <c r="V261" s="865"/>
      <c r="W261" s="865"/>
      <c r="X261" s="865"/>
      <c r="Y261" s="865"/>
      <c r="Z261" s="865"/>
      <c r="AA261" s="865"/>
      <c r="AB261" s="865"/>
      <c r="AC261" s="865"/>
      <c r="AD261" s="865"/>
      <c r="AE261" s="865"/>
      <c r="AF261" s="865"/>
      <c r="AG261" s="865"/>
      <c r="AH261" s="865"/>
      <c r="AK261" s="937"/>
      <c r="AL261" s="865"/>
      <c r="AM261" s="865"/>
      <c r="AO261" s="937"/>
      <c r="AP261" s="937"/>
    </row>
    <row r="262" spans="1:46">
      <c r="A262" s="841" t="str">
        <f t="shared" ref="A262" si="104">$A$1&amp;"Rolloff"&amp;C262</f>
        <v>PacificRolloffDISP-RO</v>
      </c>
      <c r="B262" s="841">
        <f>COUNTIF(C:C,C262)</f>
        <v>1</v>
      </c>
      <c r="C262" s="859" t="s">
        <v>2411</v>
      </c>
      <c r="D262" s="859" t="s">
        <v>2412</v>
      </c>
      <c r="E262" s="859">
        <v>119</v>
      </c>
      <c r="F262" s="859"/>
      <c r="G262" s="860"/>
      <c r="H262" s="861">
        <v>215306.80000000002</v>
      </c>
      <c r="I262" s="861">
        <v>180517.86</v>
      </c>
      <c r="J262" s="861">
        <v>199392.43000000002</v>
      </c>
      <c r="K262" s="861">
        <v>219832.44999999998</v>
      </c>
      <c r="L262" s="861">
        <v>189258.81</v>
      </c>
      <c r="M262" s="861">
        <v>219441.49</v>
      </c>
      <c r="N262" s="861">
        <v>218192.22999999998</v>
      </c>
      <c r="O262" s="861">
        <v>193622.94</v>
      </c>
      <c r="P262" s="861">
        <v>209549.41000000003</v>
      </c>
      <c r="Q262" s="861">
        <v>156787.60999999999</v>
      </c>
      <c r="R262" s="861">
        <v>201310.7</v>
      </c>
      <c r="S262" s="861">
        <v>196501.77000000002</v>
      </c>
      <c r="T262" s="865">
        <f t="shared" ref="T262" si="105">SUM(H262:S262)</f>
        <v>2399714.5</v>
      </c>
      <c r="U262" s="865"/>
      <c r="V262" s="865">
        <f t="shared" ref="V262:AG262" si="106">IFERROR(H262/$E262,0)</f>
        <v>1809.3008403361346</v>
      </c>
      <c r="W262" s="865">
        <f t="shared" si="106"/>
        <v>1516.956806722689</v>
      </c>
      <c r="X262" s="865">
        <f t="shared" si="106"/>
        <v>1675.5666386554624</v>
      </c>
      <c r="Y262" s="865">
        <f t="shared" si="106"/>
        <v>1847.3315126050418</v>
      </c>
      <c r="Z262" s="865">
        <f t="shared" si="106"/>
        <v>1590.4101680672268</v>
      </c>
      <c r="AA262" s="865">
        <f t="shared" si="106"/>
        <v>1844.0461344537814</v>
      </c>
      <c r="AB262" s="865">
        <f t="shared" si="106"/>
        <v>1833.548151260504</v>
      </c>
      <c r="AC262" s="865">
        <f t="shared" si="106"/>
        <v>1627.0835294117646</v>
      </c>
      <c r="AD262" s="865">
        <f t="shared" si="106"/>
        <v>1760.9194117647062</v>
      </c>
      <c r="AE262" s="865">
        <f t="shared" si="106"/>
        <v>1317.5429411764705</v>
      </c>
      <c r="AF262" s="865">
        <f t="shared" si="106"/>
        <v>1691.6865546218489</v>
      </c>
      <c r="AG262" s="865">
        <f t="shared" si="106"/>
        <v>1651.2753781512606</v>
      </c>
      <c r="AH262" s="865">
        <f>AVERAGE(V262:AG262)</f>
        <v>1680.4723389355743</v>
      </c>
      <c r="AK262" s="937"/>
      <c r="AL262" s="865"/>
      <c r="AM262" s="865"/>
      <c r="AO262" s="937"/>
      <c r="AP262" s="937"/>
    </row>
    <row r="263" spans="1:46">
      <c r="C263" s="868"/>
      <c r="D263" s="868"/>
      <c r="E263" s="859"/>
      <c r="F263" s="859"/>
      <c r="G263" s="862"/>
      <c r="H263" s="862"/>
      <c r="I263" s="861"/>
      <c r="J263" s="861"/>
      <c r="V263" s="865"/>
      <c r="W263" s="865"/>
      <c r="X263" s="865"/>
      <c r="Y263" s="865"/>
      <c r="Z263" s="865"/>
      <c r="AA263" s="865"/>
      <c r="AB263" s="865"/>
      <c r="AC263" s="865"/>
      <c r="AD263" s="865"/>
      <c r="AE263" s="865"/>
      <c r="AF263" s="865"/>
      <c r="AG263" s="865"/>
      <c r="AH263" s="865"/>
      <c r="AK263" s="937"/>
      <c r="AL263" s="865"/>
      <c r="AM263" s="865"/>
      <c r="AO263" s="937"/>
      <c r="AP263" s="937"/>
    </row>
    <row r="264" spans="1:46">
      <c r="B264" s="841">
        <f>COUNTIF(C:C,C264)</f>
        <v>0</v>
      </c>
      <c r="C264" s="868"/>
      <c r="D264" s="869" t="s">
        <v>2417</v>
      </c>
      <c r="E264" s="859">
        <v>0</v>
      </c>
      <c r="F264" s="859"/>
      <c r="G264" s="862"/>
      <c r="H264" s="870">
        <f t="shared" ref="H264:T264" si="107">SUM(H262:H263)</f>
        <v>215306.80000000002</v>
      </c>
      <c r="I264" s="870">
        <f t="shared" si="107"/>
        <v>180517.86</v>
      </c>
      <c r="J264" s="870">
        <f t="shared" si="107"/>
        <v>199392.43000000002</v>
      </c>
      <c r="K264" s="870">
        <f t="shared" si="107"/>
        <v>219832.44999999998</v>
      </c>
      <c r="L264" s="870">
        <f t="shared" si="107"/>
        <v>189258.81</v>
      </c>
      <c r="M264" s="870">
        <f t="shared" si="107"/>
        <v>219441.49</v>
      </c>
      <c r="N264" s="870">
        <f t="shared" si="107"/>
        <v>218192.22999999998</v>
      </c>
      <c r="O264" s="870">
        <f t="shared" si="107"/>
        <v>193622.94</v>
      </c>
      <c r="P264" s="870">
        <f t="shared" si="107"/>
        <v>209549.41000000003</v>
      </c>
      <c r="Q264" s="870">
        <f t="shared" si="107"/>
        <v>156787.60999999999</v>
      </c>
      <c r="R264" s="870">
        <f t="shared" si="107"/>
        <v>201310.7</v>
      </c>
      <c r="S264" s="870">
        <f t="shared" si="107"/>
        <v>196501.77000000002</v>
      </c>
      <c r="T264" s="871">
        <f t="shared" si="107"/>
        <v>2399714.5</v>
      </c>
      <c r="U264" s="876">
        <f>T264-SUM(H264:S264)</f>
        <v>0</v>
      </c>
      <c r="V264" s="872">
        <f t="shared" ref="V264:AH264" si="108">SUM(V262:V263)</f>
        <v>1809.3008403361346</v>
      </c>
      <c r="W264" s="872">
        <f t="shared" si="108"/>
        <v>1516.956806722689</v>
      </c>
      <c r="X264" s="872">
        <f t="shared" si="108"/>
        <v>1675.5666386554624</v>
      </c>
      <c r="Y264" s="872">
        <f t="shared" si="108"/>
        <v>1847.3315126050418</v>
      </c>
      <c r="Z264" s="872">
        <f t="shared" si="108"/>
        <v>1590.4101680672268</v>
      </c>
      <c r="AA264" s="872">
        <f t="shared" si="108"/>
        <v>1844.0461344537814</v>
      </c>
      <c r="AB264" s="872">
        <f t="shared" si="108"/>
        <v>1833.548151260504</v>
      </c>
      <c r="AC264" s="872">
        <f t="shared" si="108"/>
        <v>1627.0835294117646</v>
      </c>
      <c r="AD264" s="872">
        <f t="shared" si="108"/>
        <v>1760.9194117647062</v>
      </c>
      <c r="AE264" s="872">
        <f t="shared" si="108"/>
        <v>1317.5429411764705</v>
      </c>
      <c r="AF264" s="872">
        <f t="shared" si="108"/>
        <v>1691.6865546218489</v>
      </c>
      <c r="AG264" s="872">
        <f t="shared" si="108"/>
        <v>1651.2753781512606</v>
      </c>
      <c r="AH264" s="872">
        <f t="shared" si="108"/>
        <v>1680.4723389355743</v>
      </c>
      <c r="AK264" s="937"/>
      <c r="AL264" s="866"/>
      <c r="AM264" s="866"/>
      <c r="AO264" s="937"/>
      <c r="AP264" s="937"/>
    </row>
    <row r="265" spans="1:46">
      <c r="B265" s="841">
        <f>COUNTIF(C:C,C265)</f>
        <v>0</v>
      </c>
      <c r="C265" s="868"/>
      <c r="E265" s="859">
        <v>0</v>
      </c>
      <c r="F265" s="859"/>
      <c r="G265" s="862"/>
      <c r="I265" s="863"/>
      <c r="V265" s="865">
        <f t="shared" ref="V265:AG272" si="109">IFERROR(H265/$E265,0)</f>
        <v>0</v>
      </c>
      <c r="W265" s="865">
        <f t="shared" si="109"/>
        <v>0</v>
      </c>
      <c r="X265" s="865">
        <f t="shared" si="109"/>
        <v>0</v>
      </c>
      <c r="Y265" s="865">
        <f t="shared" si="109"/>
        <v>0</v>
      </c>
      <c r="Z265" s="865">
        <f t="shared" si="109"/>
        <v>0</v>
      </c>
      <c r="AA265" s="865">
        <f t="shared" si="109"/>
        <v>0</v>
      </c>
      <c r="AB265" s="865">
        <f t="shared" si="109"/>
        <v>0</v>
      </c>
      <c r="AC265" s="865">
        <f t="shared" si="109"/>
        <v>0</v>
      </c>
      <c r="AD265" s="865">
        <f t="shared" si="109"/>
        <v>0</v>
      </c>
      <c r="AE265" s="865">
        <f t="shared" si="109"/>
        <v>0</v>
      </c>
      <c r="AF265" s="865">
        <f t="shared" si="109"/>
        <v>0</v>
      </c>
      <c r="AG265" s="865">
        <f t="shared" si="109"/>
        <v>0</v>
      </c>
      <c r="AH265" s="865">
        <f t="shared" ref="AH265:AH272" si="110">AVERAGE(V265:AG265)</f>
        <v>0</v>
      </c>
      <c r="AK265" s="937"/>
      <c r="AL265" s="865"/>
      <c r="AM265" s="865"/>
      <c r="AO265" s="937"/>
      <c r="AP265" s="937"/>
    </row>
    <row r="266" spans="1:46">
      <c r="A266" s="841" t="str">
        <f>$A$1&amp;"Commercial"&amp;C266</f>
        <v>PacificCommercialHAULFLAT-COMM</v>
      </c>
      <c r="B266" s="841">
        <f>COUNTIF(C:C,C266)</f>
        <v>1</v>
      </c>
      <c r="C266" s="859" t="s">
        <v>2418</v>
      </c>
      <c r="D266" s="859" t="s">
        <v>2419</v>
      </c>
      <c r="E266" s="859">
        <v>105</v>
      </c>
      <c r="F266" s="859"/>
      <c r="G266" s="860"/>
      <c r="H266" s="861">
        <v>0</v>
      </c>
      <c r="I266" s="861">
        <v>0</v>
      </c>
      <c r="J266" s="861">
        <v>0</v>
      </c>
      <c r="K266" s="861">
        <v>0</v>
      </c>
      <c r="L266" s="861">
        <v>0</v>
      </c>
      <c r="M266" s="861">
        <v>0</v>
      </c>
      <c r="N266" s="861">
        <v>0</v>
      </c>
      <c r="O266" s="861">
        <v>0</v>
      </c>
      <c r="P266" s="861">
        <v>0</v>
      </c>
      <c r="Q266" s="861">
        <v>0</v>
      </c>
      <c r="R266" s="861">
        <v>0</v>
      </c>
      <c r="S266" s="861">
        <v>0</v>
      </c>
      <c r="T266" s="865">
        <f t="shared" ref="T266" si="111">SUM(H266:S266)</f>
        <v>0</v>
      </c>
      <c r="U266" s="865"/>
      <c r="V266" s="865">
        <f t="shared" si="109"/>
        <v>0</v>
      </c>
      <c r="W266" s="865">
        <f t="shared" si="109"/>
        <v>0</v>
      </c>
      <c r="X266" s="865">
        <f t="shared" si="109"/>
        <v>0</v>
      </c>
      <c r="Y266" s="865">
        <f t="shared" si="109"/>
        <v>0</v>
      </c>
      <c r="Z266" s="865">
        <f t="shared" si="109"/>
        <v>0</v>
      </c>
      <c r="AA266" s="865">
        <f t="shared" si="109"/>
        <v>0</v>
      </c>
      <c r="AB266" s="865">
        <f t="shared" si="109"/>
        <v>0</v>
      </c>
      <c r="AC266" s="865">
        <f t="shared" si="109"/>
        <v>0</v>
      </c>
      <c r="AD266" s="865">
        <f t="shared" si="109"/>
        <v>0</v>
      </c>
      <c r="AE266" s="865">
        <f t="shared" si="109"/>
        <v>0</v>
      </c>
      <c r="AF266" s="865">
        <f t="shared" si="109"/>
        <v>0</v>
      </c>
      <c r="AG266" s="865">
        <f t="shared" si="109"/>
        <v>0</v>
      </c>
      <c r="AH266" s="865">
        <f>AVERAGE(V266:AG266)</f>
        <v>0</v>
      </c>
      <c r="AK266" s="937"/>
      <c r="AL266" s="865"/>
      <c r="AM266" s="865"/>
      <c r="AO266" s="937"/>
      <c r="AP266" s="937"/>
    </row>
    <row r="267" spans="1:46">
      <c r="E267" s="859"/>
      <c r="F267" s="859"/>
      <c r="G267" s="862"/>
      <c r="H267" s="868"/>
      <c r="I267" s="868"/>
      <c r="J267" s="868"/>
      <c r="K267" s="878"/>
      <c r="L267" s="878"/>
      <c r="M267" s="878"/>
      <c r="N267" s="878"/>
      <c r="O267" s="878"/>
      <c r="P267" s="878"/>
      <c r="Q267" s="878"/>
      <c r="R267" s="878"/>
      <c r="S267" s="878"/>
      <c r="T267" s="878"/>
      <c r="V267" s="865"/>
      <c r="W267" s="865"/>
      <c r="X267" s="865"/>
      <c r="Y267" s="865"/>
      <c r="Z267" s="865"/>
      <c r="AA267" s="865"/>
      <c r="AB267" s="865"/>
      <c r="AC267" s="865"/>
      <c r="AD267" s="865"/>
      <c r="AE267" s="865"/>
      <c r="AF267" s="865"/>
      <c r="AG267" s="865"/>
      <c r="AH267" s="865"/>
      <c r="AK267" s="937"/>
      <c r="AL267" s="865"/>
      <c r="AM267" s="865"/>
      <c r="AO267" s="937"/>
      <c r="AP267" s="937"/>
    </row>
    <row r="268" spans="1:46">
      <c r="B268" s="841">
        <f t="shared" ref="B268:B275" si="112">COUNTIF(C:C,C268)</f>
        <v>1</v>
      </c>
      <c r="C268" s="857" t="s">
        <v>631</v>
      </c>
      <c r="D268" s="857" t="s">
        <v>631</v>
      </c>
      <c r="E268" s="859">
        <v>0</v>
      </c>
      <c r="F268" s="859"/>
      <c r="G268" s="862"/>
      <c r="H268" s="862"/>
      <c r="V268" s="865"/>
      <c r="W268" s="865"/>
      <c r="X268" s="865"/>
      <c r="Y268" s="865"/>
      <c r="Z268" s="865"/>
      <c r="AA268" s="865"/>
      <c r="AB268" s="865"/>
      <c r="AC268" s="865"/>
      <c r="AD268" s="865"/>
      <c r="AE268" s="865"/>
      <c r="AF268" s="865"/>
      <c r="AG268" s="865"/>
      <c r="AH268" s="865"/>
      <c r="AK268" s="937"/>
      <c r="AL268" s="865"/>
      <c r="AM268" s="865"/>
      <c r="AO268" s="937"/>
      <c r="AP268" s="937"/>
    </row>
    <row r="269" spans="1:46">
      <c r="A269" s="841" t="str">
        <f>$A$1&amp;"accounting adjustments"&amp;C269</f>
        <v>Pacificaccounting adjustmentsFINCHG</v>
      </c>
      <c r="B269" s="841">
        <f t="shared" si="112"/>
        <v>1</v>
      </c>
      <c r="C269" s="859" t="s">
        <v>2420</v>
      </c>
      <c r="D269" s="859" t="s">
        <v>2421</v>
      </c>
      <c r="E269" s="859">
        <v>0</v>
      </c>
      <c r="F269" s="859"/>
      <c r="G269" s="860"/>
      <c r="H269" s="861">
        <v>2463.58</v>
      </c>
      <c r="I269" s="861">
        <v>2672.52</v>
      </c>
      <c r="J269" s="861">
        <v>2225.64</v>
      </c>
      <c r="K269" s="861">
        <v>2344.5300000000002</v>
      </c>
      <c r="L269" s="861">
        <v>4279.92</v>
      </c>
      <c r="M269" s="861">
        <v>2948.6000000000004</v>
      </c>
      <c r="N269" s="861">
        <v>3108.1300000000006</v>
      </c>
      <c r="O269" s="861">
        <v>3260.44</v>
      </c>
      <c r="P269" s="861">
        <v>2830.96</v>
      </c>
      <c r="Q269" s="861">
        <v>3134.6800000000003</v>
      </c>
      <c r="R269" s="861">
        <v>2692.9100000000003</v>
      </c>
      <c r="S269" s="861">
        <v>2585.2300000000005</v>
      </c>
      <c r="T269" s="865">
        <f>SUM(H269:S269)</f>
        <v>34547.14</v>
      </c>
      <c r="U269" s="865"/>
      <c r="V269" s="865">
        <f t="shared" si="109"/>
        <v>0</v>
      </c>
      <c r="W269" s="865">
        <f t="shared" si="109"/>
        <v>0</v>
      </c>
      <c r="X269" s="865">
        <f t="shared" si="109"/>
        <v>0</v>
      </c>
      <c r="Y269" s="865">
        <f t="shared" si="109"/>
        <v>0</v>
      </c>
      <c r="Z269" s="865">
        <f t="shared" si="109"/>
        <v>0</v>
      </c>
      <c r="AA269" s="865">
        <f t="shared" si="109"/>
        <v>0</v>
      </c>
      <c r="AB269" s="865">
        <f t="shared" si="109"/>
        <v>0</v>
      </c>
      <c r="AC269" s="865">
        <f t="shared" si="109"/>
        <v>0</v>
      </c>
      <c r="AD269" s="865">
        <f t="shared" si="109"/>
        <v>0</v>
      </c>
      <c r="AE269" s="865">
        <f t="shared" si="109"/>
        <v>0</v>
      </c>
      <c r="AF269" s="865">
        <f t="shared" si="109"/>
        <v>0</v>
      </c>
      <c r="AG269" s="865">
        <f t="shared" si="109"/>
        <v>0</v>
      </c>
      <c r="AH269" s="865">
        <f t="shared" si="110"/>
        <v>0</v>
      </c>
      <c r="AK269" s="937"/>
      <c r="AL269" s="865"/>
      <c r="AM269" s="865"/>
      <c r="AO269" s="937"/>
      <c r="AP269" s="937"/>
    </row>
    <row r="270" spans="1:46">
      <c r="A270" s="841" t="str">
        <f>$A$1&amp;"accounting adjustments"&amp;C270</f>
        <v>Pacificaccounting adjustmentsRETCKC</v>
      </c>
      <c r="B270" s="841">
        <f t="shared" si="112"/>
        <v>1</v>
      </c>
      <c r="C270" s="859" t="s">
        <v>2422</v>
      </c>
      <c r="D270" s="859" t="s">
        <v>2423</v>
      </c>
      <c r="E270" s="859">
        <v>20</v>
      </c>
      <c r="F270" s="859"/>
      <c r="G270" s="860"/>
      <c r="H270" s="861">
        <v>180</v>
      </c>
      <c r="I270" s="861">
        <v>30</v>
      </c>
      <c r="J270" s="861">
        <v>80</v>
      </c>
      <c r="K270" s="861">
        <v>60</v>
      </c>
      <c r="L270" s="861">
        <v>160</v>
      </c>
      <c r="M270" s="861">
        <v>100</v>
      </c>
      <c r="N270" s="861">
        <v>120</v>
      </c>
      <c r="O270" s="861">
        <v>80</v>
      </c>
      <c r="P270" s="861">
        <v>100</v>
      </c>
      <c r="Q270" s="861">
        <v>120</v>
      </c>
      <c r="R270" s="861">
        <v>20</v>
      </c>
      <c r="S270" s="861">
        <v>120</v>
      </c>
      <c r="T270" s="865">
        <f>SUM(H270:S270)</f>
        <v>1170</v>
      </c>
      <c r="U270" s="865"/>
      <c r="V270" s="865">
        <f t="shared" si="109"/>
        <v>9</v>
      </c>
      <c r="W270" s="865">
        <f t="shared" si="109"/>
        <v>1.5</v>
      </c>
      <c r="X270" s="865">
        <f t="shared" si="109"/>
        <v>4</v>
      </c>
      <c r="Y270" s="865">
        <f t="shared" si="109"/>
        <v>3</v>
      </c>
      <c r="Z270" s="865">
        <f t="shared" si="109"/>
        <v>8</v>
      </c>
      <c r="AA270" s="865">
        <f t="shared" si="109"/>
        <v>5</v>
      </c>
      <c r="AB270" s="865">
        <f t="shared" si="109"/>
        <v>6</v>
      </c>
      <c r="AC270" s="865">
        <f t="shared" si="109"/>
        <v>4</v>
      </c>
      <c r="AD270" s="865">
        <f t="shared" si="109"/>
        <v>5</v>
      </c>
      <c r="AE270" s="865">
        <f t="shared" si="109"/>
        <v>6</v>
      </c>
      <c r="AF270" s="865">
        <f t="shared" si="109"/>
        <v>1</v>
      </c>
      <c r="AG270" s="865">
        <f t="shared" si="109"/>
        <v>6</v>
      </c>
      <c r="AH270" s="865">
        <f t="shared" si="110"/>
        <v>4.875</v>
      </c>
      <c r="AK270" s="937"/>
      <c r="AL270" s="865">
        <f>+AH270*12</f>
        <v>58.5</v>
      </c>
      <c r="AM270" s="865">
        <v>8</v>
      </c>
      <c r="AN270" s="843">
        <f t="shared" ref="AN270" si="113">+AL270+AM270</f>
        <v>66.5</v>
      </c>
      <c r="AO270" s="937">
        <f>+AN270*AK270</f>
        <v>0</v>
      </c>
      <c r="AP270" s="936">
        <f>+E270+AK270</f>
        <v>20</v>
      </c>
      <c r="AQ270" s="936">
        <f>+AP270*12*AH270</f>
        <v>1170</v>
      </c>
      <c r="AS270" s="936">
        <f>+IFERROR(VLOOKUP(C270,'Rural - Price Out '!$C:$F,3,FALSE),0)</f>
        <v>20</v>
      </c>
      <c r="AT270" s="909">
        <f>+AP270-AS270</f>
        <v>0</v>
      </c>
    </row>
    <row r="271" spans="1:46">
      <c r="A271" s="841" t="str">
        <f>$A$1&amp;"accounting adjustments"&amp;C271</f>
        <v>Pacificaccounting adjustmentsCOLLFEE</v>
      </c>
      <c r="B271" s="841">
        <f t="shared" si="112"/>
        <v>1</v>
      </c>
      <c r="C271" s="859" t="s">
        <v>2424</v>
      </c>
      <c r="D271" s="709" t="s">
        <v>2425</v>
      </c>
      <c r="E271" s="859">
        <v>0</v>
      </c>
      <c r="F271" s="859"/>
      <c r="G271" s="860"/>
      <c r="H271" s="861">
        <v>-484.65</v>
      </c>
      <c r="I271" s="861">
        <v>0</v>
      </c>
      <c r="J271" s="861">
        <v>-656.30000000000007</v>
      </c>
      <c r="K271" s="861">
        <v>0</v>
      </c>
      <c r="L271" s="861">
        <v>-142.44</v>
      </c>
      <c r="M271" s="861">
        <v>0</v>
      </c>
      <c r="N271" s="861">
        <v>0</v>
      </c>
      <c r="O271" s="861">
        <v>-346.74</v>
      </c>
      <c r="P271" s="861">
        <v>0</v>
      </c>
      <c r="Q271" s="861">
        <v>-268.03999999999996</v>
      </c>
      <c r="R271" s="861">
        <v>0</v>
      </c>
      <c r="S271" s="861">
        <v>-393.22</v>
      </c>
      <c r="T271" s="865">
        <f>SUM(H271:S271)</f>
        <v>-2291.3900000000003</v>
      </c>
      <c r="U271" s="865"/>
      <c r="V271" s="865">
        <f t="shared" si="109"/>
        <v>0</v>
      </c>
      <c r="W271" s="865">
        <f t="shared" si="109"/>
        <v>0</v>
      </c>
      <c r="X271" s="865">
        <f t="shared" si="109"/>
        <v>0</v>
      </c>
      <c r="Y271" s="865">
        <f t="shared" si="109"/>
        <v>0</v>
      </c>
      <c r="Z271" s="865">
        <f t="shared" si="109"/>
        <v>0</v>
      </c>
      <c r="AA271" s="865">
        <f t="shared" si="109"/>
        <v>0</v>
      </c>
      <c r="AB271" s="865">
        <f t="shared" si="109"/>
        <v>0</v>
      </c>
      <c r="AC271" s="865">
        <f t="shared" si="109"/>
        <v>0</v>
      </c>
      <c r="AD271" s="865">
        <f t="shared" si="109"/>
        <v>0</v>
      </c>
      <c r="AE271" s="865">
        <f t="shared" si="109"/>
        <v>0</v>
      </c>
      <c r="AF271" s="865">
        <f t="shared" si="109"/>
        <v>0</v>
      </c>
      <c r="AG271" s="865">
        <f t="shared" si="109"/>
        <v>0</v>
      </c>
      <c r="AH271" s="865">
        <f t="shared" si="110"/>
        <v>0</v>
      </c>
      <c r="AK271" s="937"/>
      <c r="AL271" s="865">
        <f>+AH271*12</f>
        <v>0</v>
      </c>
      <c r="AM271" s="865">
        <v>0</v>
      </c>
      <c r="AN271" s="843">
        <f>+AL271+AM271</f>
        <v>0</v>
      </c>
      <c r="AO271" s="937">
        <f>+AN271*AK271</f>
        <v>0</v>
      </c>
      <c r="AP271" s="936">
        <f>+E271+AK271</f>
        <v>0</v>
      </c>
      <c r="AQ271" s="936">
        <f>+AP271*12*AH271</f>
        <v>0</v>
      </c>
      <c r="AS271" s="936">
        <f>+IFERROR(VLOOKUP(C271,'Rural - Price Out '!$C:$F,3,FALSE),0)</f>
        <v>0</v>
      </c>
      <c r="AT271" s="909">
        <f>+AP271-AS271</f>
        <v>0</v>
      </c>
    </row>
    <row r="272" spans="1:46">
      <c r="B272" s="841">
        <f t="shared" si="112"/>
        <v>0</v>
      </c>
      <c r="C272" s="868"/>
      <c r="D272" s="868"/>
      <c r="E272" s="868"/>
      <c r="F272" s="868"/>
      <c r="G272" s="862"/>
      <c r="H272" s="862"/>
      <c r="I272" s="861" t="str">
        <f>IF(G272="","",(#REF!/G272)+(#REF!/#REF!))</f>
        <v/>
      </c>
      <c r="J272" s="861"/>
      <c r="V272" s="865">
        <f t="shared" si="109"/>
        <v>0</v>
      </c>
      <c r="W272" s="865">
        <f t="shared" si="109"/>
        <v>0</v>
      </c>
      <c r="X272" s="865">
        <f t="shared" si="109"/>
        <v>0</v>
      </c>
      <c r="Y272" s="865">
        <f t="shared" si="109"/>
        <v>0</v>
      </c>
      <c r="Z272" s="865">
        <f t="shared" si="109"/>
        <v>0</v>
      </c>
      <c r="AA272" s="865">
        <f t="shared" si="109"/>
        <v>0</v>
      </c>
      <c r="AB272" s="865">
        <f t="shared" si="109"/>
        <v>0</v>
      </c>
      <c r="AC272" s="865">
        <f t="shared" si="109"/>
        <v>0</v>
      </c>
      <c r="AD272" s="865">
        <f t="shared" si="109"/>
        <v>0</v>
      </c>
      <c r="AE272" s="865">
        <f t="shared" si="109"/>
        <v>0</v>
      </c>
      <c r="AF272" s="865">
        <f t="shared" si="109"/>
        <v>0</v>
      </c>
      <c r="AG272" s="865">
        <f t="shared" si="109"/>
        <v>0</v>
      </c>
      <c r="AH272" s="865">
        <f t="shared" si="110"/>
        <v>0</v>
      </c>
      <c r="AK272" s="937"/>
      <c r="AL272" s="865">
        <f>+AH272*12</f>
        <v>0</v>
      </c>
      <c r="AM272" s="865">
        <v>0</v>
      </c>
      <c r="AN272" s="843">
        <f>+AL272+AM272</f>
        <v>0</v>
      </c>
      <c r="AO272" s="937">
        <f>+AN272*AK272</f>
        <v>0</v>
      </c>
      <c r="AP272" s="936">
        <f>+E272+AK272</f>
        <v>0</v>
      </c>
      <c r="AQ272" s="936">
        <f>+AP272*12*AH272</f>
        <v>0</v>
      </c>
      <c r="AS272" s="936">
        <f>+IFERROR(VLOOKUP(C272,'Rural - Price Out '!$C:$F,3,FALSE),0)</f>
        <v>0</v>
      </c>
      <c r="AT272" s="909">
        <f>+AP272-AS272</f>
        <v>0</v>
      </c>
    </row>
    <row r="273" spans="2:45">
      <c r="B273" s="841">
        <f t="shared" si="112"/>
        <v>0</v>
      </c>
      <c r="C273" s="868"/>
      <c r="D273" s="903" t="s">
        <v>2426</v>
      </c>
      <c r="E273" s="903"/>
      <c r="F273" s="903"/>
      <c r="H273" s="870">
        <f t="shared" ref="H273:T273" si="114">SUM(H269:H272)</f>
        <v>2158.9299999999998</v>
      </c>
      <c r="I273" s="870">
        <f t="shared" si="114"/>
        <v>2702.52</v>
      </c>
      <c r="J273" s="870">
        <f t="shared" si="114"/>
        <v>1649.3399999999997</v>
      </c>
      <c r="K273" s="870">
        <f t="shared" si="114"/>
        <v>2404.5300000000002</v>
      </c>
      <c r="L273" s="870">
        <f t="shared" si="114"/>
        <v>4297.4800000000005</v>
      </c>
      <c r="M273" s="870">
        <f t="shared" si="114"/>
        <v>3048.6000000000004</v>
      </c>
      <c r="N273" s="870">
        <f t="shared" si="114"/>
        <v>3228.1300000000006</v>
      </c>
      <c r="O273" s="870">
        <f t="shared" si="114"/>
        <v>2993.7</v>
      </c>
      <c r="P273" s="870">
        <f t="shared" si="114"/>
        <v>2930.96</v>
      </c>
      <c r="Q273" s="870">
        <f t="shared" si="114"/>
        <v>2986.6400000000003</v>
      </c>
      <c r="R273" s="870">
        <f t="shared" si="114"/>
        <v>2712.9100000000003</v>
      </c>
      <c r="S273" s="870">
        <f t="shared" si="114"/>
        <v>2312.0100000000002</v>
      </c>
      <c r="T273" s="871">
        <f t="shared" si="114"/>
        <v>33425.75</v>
      </c>
      <c r="V273" s="872">
        <f t="shared" ref="V273:AH273" si="115">SUM(V269:V272)</f>
        <v>9</v>
      </c>
      <c r="W273" s="872">
        <f t="shared" si="115"/>
        <v>1.5</v>
      </c>
      <c r="X273" s="872">
        <f t="shared" si="115"/>
        <v>4</v>
      </c>
      <c r="Y273" s="872">
        <f t="shared" si="115"/>
        <v>3</v>
      </c>
      <c r="Z273" s="872">
        <f t="shared" si="115"/>
        <v>8</v>
      </c>
      <c r="AA273" s="872">
        <f t="shared" si="115"/>
        <v>5</v>
      </c>
      <c r="AB273" s="872">
        <f t="shared" si="115"/>
        <v>6</v>
      </c>
      <c r="AC273" s="872">
        <f t="shared" si="115"/>
        <v>4</v>
      </c>
      <c r="AD273" s="872">
        <f t="shared" si="115"/>
        <v>5</v>
      </c>
      <c r="AE273" s="872">
        <f t="shared" si="115"/>
        <v>6</v>
      </c>
      <c r="AF273" s="872">
        <f t="shared" si="115"/>
        <v>1</v>
      </c>
      <c r="AG273" s="872">
        <f t="shared" si="115"/>
        <v>6</v>
      </c>
      <c r="AH273" s="872">
        <f t="shared" si="115"/>
        <v>4.875</v>
      </c>
      <c r="AK273" s="937"/>
      <c r="AL273" s="872">
        <f>SUM(AL269:AL272)</f>
        <v>58.5</v>
      </c>
      <c r="AM273" s="872">
        <f>SUM(AM269:AM272)</f>
        <v>8</v>
      </c>
      <c r="AN273" s="872">
        <f>SUM(AN269:AN272)</f>
        <v>66.5</v>
      </c>
      <c r="AO273" s="940">
        <f>SUM(AO269:AO272)</f>
        <v>0</v>
      </c>
      <c r="AP273" s="937"/>
      <c r="AQ273" s="872">
        <f>SUM(AQ269:AQ272)</f>
        <v>1170</v>
      </c>
    </row>
    <row r="274" spans="2:45">
      <c r="B274" s="841">
        <f t="shared" si="112"/>
        <v>0</v>
      </c>
      <c r="C274" s="868"/>
      <c r="V274" s="865">
        <f t="shared" ref="V274:AG274" si="116">IFERROR(H274/$E274,0)</f>
        <v>0</v>
      </c>
      <c r="W274" s="865">
        <f t="shared" si="116"/>
        <v>0</v>
      </c>
      <c r="X274" s="865">
        <f t="shared" si="116"/>
        <v>0</v>
      </c>
      <c r="Y274" s="865">
        <f t="shared" si="116"/>
        <v>0</v>
      </c>
      <c r="Z274" s="865">
        <f t="shared" si="116"/>
        <v>0</v>
      </c>
      <c r="AA274" s="865">
        <f t="shared" si="116"/>
        <v>0</v>
      </c>
      <c r="AB274" s="865">
        <f t="shared" si="116"/>
        <v>0</v>
      </c>
      <c r="AC274" s="865">
        <f t="shared" si="116"/>
        <v>0</v>
      </c>
      <c r="AD274" s="865">
        <f t="shared" si="116"/>
        <v>0</v>
      </c>
      <c r="AE274" s="865">
        <f t="shared" si="116"/>
        <v>0</v>
      </c>
      <c r="AF274" s="865">
        <f t="shared" si="116"/>
        <v>0</v>
      </c>
      <c r="AG274" s="865">
        <f t="shared" si="116"/>
        <v>0</v>
      </c>
      <c r="AH274" s="865">
        <f>AVERAGE(V274:AG274)</f>
        <v>0</v>
      </c>
      <c r="AK274" s="937"/>
      <c r="AL274" s="865"/>
      <c r="AM274" s="865"/>
      <c r="AO274" s="937"/>
      <c r="AP274" s="937"/>
    </row>
    <row r="275" spans="2:45" s="842" customFormat="1" ht="12.75" thickBot="1">
      <c r="B275" s="841">
        <f t="shared" si="112"/>
        <v>0</v>
      </c>
      <c r="C275" s="839"/>
      <c r="D275" s="903" t="s">
        <v>2427</v>
      </c>
      <c r="E275" s="903"/>
      <c r="F275" s="903"/>
      <c r="G275" s="839"/>
      <c r="H275" s="904">
        <f t="shared" ref="H275:T275" si="117">+H273+H264+H259+H199+H193+H60+H54+H47</f>
        <v>2197648.9949999996</v>
      </c>
      <c r="I275" s="904">
        <f t="shared" si="117"/>
        <v>2153076.5</v>
      </c>
      <c r="J275" s="904">
        <f t="shared" si="117"/>
        <v>2140291.2600000002</v>
      </c>
      <c r="K275" s="904">
        <f t="shared" si="117"/>
        <v>2151832.02</v>
      </c>
      <c r="L275" s="904">
        <f t="shared" si="117"/>
        <v>2107266.0449999995</v>
      </c>
      <c r="M275" s="904">
        <f t="shared" si="117"/>
        <v>2165209.96</v>
      </c>
      <c r="N275" s="904">
        <f t="shared" si="117"/>
        <v>2151756.6149999998</v>
      </c>
      <c r="O275" s="904">
        <f t="shared" si="117"/>
        <v>2125298.48</v>
      </c>
      <c r="P275" s="904">
        <f t="shared" si="117"/>
        <v>2148230.0250000004</v>
      </c>
      <c r="Q275" s="904">
        <f t="shared" si="117"/>
        <v>2065882.4050000003</v>
      </c>
      <c r="R275" s="904">
        <f t="shared" si="117"/>
        <v>2145199.7000000002</v>
      </c>
      <c r="S275" s="904">
        <f t="shared" si="117"/>
        <v>2152202.8500000006</v>
      </c>
      <c r="T275" s="904">
        <f t="shared" si="117"/>
        <v>25703894.855000004</v>
      </c>
      <c r="V275" s="905">
        <f t="shared" ref="V275:AH275" si="118">+V273+V264+V259+V199+V193+V60+V54+V47</f>
        <v>138206.76704220386</v>
      </c>
      <c r="W275" s="905">
        <f t="shared" si="118"/>
        <v>138781.74088795501</v>
      </c>
      <c r="X275" s="905">
        <f t="shared" si="118"/>
        <v>142461.428679898</v>
      </c>
      <c r="Y275" s="905">
        <f t="shared" si="118"/>
        <v>137196.81325084512</v>
      </c>
      <c r="Z275" s="905">
        <f t="shared" si="118"/>
        <v>136825.14800129118</v>
      </c>
      <c r="AA275" s="905">
        <f t="shared" si="118"/>
        <v>139107.57979932864</v>
      </c>
      <c r="AB275" s="905">
        <f t="shared" si="118"/>
        <v>138541.11490420636</v>
      </c>
      <c r="AC275" s="905">
        <f t="shared" si="118"/>
        <v>138336.89703535885</v>
      </c>
      <c r="AD275" s="905">
        <f t="shared" si="118"/>
        <v>138286.43962328235</v>
      </c>
      <c r="AE275" s="905">
        <f t="shared" si="118"/>
        <v>137574.65694721404</v>
      </c>
      <c r="AF275" s="905">
        <f t="shared" si="118"/>
        <v>138919.04728041272</v>
      </c>
      <c r="AG275" s="905">
        <f t="shared" si="118"/>
        <v>139420.85721976205</v>
      </c>
      <c r="AH275" s="905">
        <f t="shared" si="118"/>
        <v>138638.20755597984</v>
      </c>
      <c r="AI275" s="841"/>
      <c r="AK275" s="937"/>
      <c r="AL275" s="905">
        <f>+AL273+AL264+AL259+AL199+AL193+AL60+AL54+AL47</f>
        <v>1858614.9244017834</v>
      </c>
      <c r="AM275" s="905">
        <f>+AM273+AM264+AM259+AM199+AM193+AM60+AM54+AM47</f>
        <v>146153.89310046483</v>
      </c>
      <c r="AN275" s="905">
        <f>+AN273+AN264+AN259+AN199+AN193+AN60+AN54+AN47</f>
        <v>2004768.8175022483</v>
      </c>
      <c r="AO275" s="943">
        <f ca="1">+AO273+AO264+AO259+AO199+AO193+AO60+AO54+AO47</f>
        <v>856357.1229906003</v>
      </c>
      <c r="AP275" s="939"/>
      <c r="AQ275" s="905">
        <f ca="1">+AQ273+AQ264+AQ259+AQ199+AQ193+AQ60+AQ54+AQ47</f>
        <v>24435943.929408155</v>
      </c>
      <c r="AS275" s="939"/>
    </row>
    <row r="276" spans="2:45" s="842" customFormat="1" ht="12.75" thickTop="1">
      <c r="C276" s="839"/>
      <c r="D276" s="839"/>
      <c r="E276" s="839"/>
      <c r="F276" s="839"/>
      <c r="G276" s="903"/>
      <c r="H276" s="903"/>
      <c r="I276" s="839"/>
      <c r="J276" s="839"/>
      <c r="AO276" s="939"/>
      <c r="AP276" s="939"/>
      <c r="AS276" s="939"/>
    </row>
    <row r="277" spans="2:45" s="842" customFormat="1" ht="12">
      <c r="C277" s="839"/>
      <c r="D277" s="839"/>
      <c r="E277" s="839"/>
      <c r="F277" s="839"/>
      <c r="G277" s="903"/>
      <c r="H277" s="906"/>
      <c r="I277" s="907"/>
      <c r="J277" s="839"/>
      <c r="T277" s="908"/>
      <c r="AS277" s="939"/>
    </row>
    <row r="278" spans="2:45">
      <c r="C278" s="868"/>
      <c r="AM278" s="842"/>
      <c r="AN278" s="945" t="s">
        <v>2509</v>
      </c>
      <c r="AO278" s="945" t="s">
        <v>2510</v>
      </c>
      <c r="AP278" s="946" t="s">
        <v>2511</v>
      </c>
    </row>
    <row r="279" spans="2:45">
      <c r="H279" s="909"/>
      <c r="I279" s="909"/>
      <c r="T279" s="867"/>
      <c r="AM279" s="944" t="s">
        <v>2508</v>
      </c>
      <c r="AN279" s="929">
        <f ca="1">'LG Public 2018 V5.0c MSW'!J20</f>
        <v>513158.52643063292</v>
      </c>
      <c r="AO279" s="929">
        <f ca="1">$AO$259+$AO$193+$AO$47</f>
        <v>509447.04665035097</v>
      </c>
      <c r="AP279" s="937">
        <f ca="1">AO279-AN279</f>
        <v>-3711.4797802819521</v>
      </c>
    </row>
    <row r="280" spans="2:45" s="842" customFormat="1" ht="12">
      <c r="C280" s="839"/>
      <c r="D280" s="903"/>
      <c r="E280" s="906"/>
      <c r="F280" s="906"/>
      <c r="G280" s="839"/>
      <c r="H280" s="839"/>
      <c r="I280" s="839"/>
      <c r="J280" s="910"/>
      <c r="AM280" s="944" t="s">
        <v>3</v>
      </c>
      <c r="AN280" s="929">
        <f ca="1">'LG Public 2018 V5.0c Rec'!J20</f>
        <v>322874.84581827372</v>
      </c>
      <c r="AO280" s="929">
        <f ca="1">$AO$199+$AO$54</f>
        <v>322520.15270781424</v>
      </c>
      <c r="AP280" s="937">
        <f ca="1">AO280-AN280</f>
        <v>-354.69311045948416</v>
      </c>
      <c r="AS280" s="939"/>
    </row>
    <row r="281" spans="2:45" s="842" customFormat="1" ht="12">
      <c r="C281" s="839"/>
      <c r="D281" s="839"/>
      <c r="E281" s="911"/>
      <c r="F281" s="911"/>
      <c r="G281" s="903"/>
      <c r="H281" s="903"/>
      <c r="I281" s="839"/>
      <c r="J281" s="839"/>
      <c r="AM281" s="944" t="s">
        <v>625</v>
      </c>
      <c r="AN281" s="929">
        <f ca="1">'LG Public 2018 V5.0c YW'!J20</f>
        <v>24463.101782220881</v>
      </c>
      <c r="AO281" s="929">
        <f ca="1">$AO$60</f>
        <v>24389.923632435137</v>
      </c>
      <c r="AP281" s="1084">
        <f ca="1">AO281-AN281</f>
        <v>-73.178149785744608</v>
      </c>
      <c r="AS281" s="939"/>
    </row>
    <row r="282" spans="2:45" s="842" customFormat="1" ht="12">
      <c r="C282" s="839"/>
      <c r="D282" s="839"/>
      <c r="E282" s="907"/>
      <c r="F282" s="907"/>
      <c r="G282" s="903"/>
      <c r="H282" s="903"/>
      <c r="I282" s="839"/>
      <c r="J282" s="839"/>
      <c r="AP282" s="939">
        <f ca="1">SUM(AP279:AP281)</f>
        <v>-4139.3510405271809</v>
      </c>
      <c r="AS282" s="939"/>
    </row>
    <row r="283" spans="2:45">
      <c r="E283" s="862"/>
      <c r="F283" s="862"/>
      <c r="AP283" s="937"/>
    </row>
    <row r="284" spans="2:45">
      <c r="E284" s="862"/>
      <c r="F284" s="862"/>
      <c r="AP284" s="937"/>
    </row>
    <row r="285" spans="2:45">
      <c r="E285" s="862"/>
      <c r="F285" s="862"/>
      <c r="AP285" s="937"/>
    </row>
    <row r="286" spans="2:45">
      <c r="E286" s="907"/>
      <c r="F286" s="907"/>
      <c r="AP286" s="937"/>
    </row>
    <row r="287" spans="2:45">
      <c r="AP287" s="937"/>
    </row>
    <row r="288" spans="2:45">
      <c r="AP288" s="937"/>
    </row>
    <row r="289" spans="42:42">
      <c r="AP289" s="937"/>
    </row>
    <row r="290" spans="42:42">
      <c r="AP290" s="937"/>
    </row>
    <row r="291" spans="42:42">
      <c r="AP291" s="937"/>
    </row>
    <row r="292" spans="42:42">
      <c r="AP292" s="937"/>
    </row>
    <row r="293" spans="42:42">
      <c r="AP293" s="937"/>
    </row>
    <row r="294" spans="42:42">
      <c r="AP294" s="937"/>
    </row>
    <row r="295" spans="42:42">
      <c r="AP295" s="937"/>
    </row>
    <row r="296" spans="42:42">
      <c r="AP296" s="937"/>
    </row>
    <row r="297" spans="42:42">
      <c r="AP297" s="937"/>
    </row>
    <row r="298" spans="42:42">
      <c r="AP298" s="937"/>
    </row>
    <row r="299" spans="42:42">
      <c r="AP299" s="937"/>
    </row>
    <row r="300" spans="42:42">
      <c r="AP300" s="937"/>
    </row>
    <row r="301" spans="42:42">
      <c r="AP301" s="937"/>
    </row>
    <row r="302" spans="42:42">
      <c r="AP302" s="937"/>
    </row>
    <row r="303" spans="42:42">
      <c r="AP303" s="937"/>
    </row>
    <row r="304" spans="42:42">
      <c r="AP304" s="937"/>
    </row>
    <row r="305" spans="11:45" s="840" customFormat="1" ht="12">
      <c r="K305" s="841"/>
      <c r="L305" s="841"/>
      <c r="M305" s="841"/>
      <c r="N305" s="841"/>
      <c r="O305" s="841"/>
      <c r="AP305" s="936"/>
      <c r="AS305" s="936"/>
    </row>
    <row r="306" spans="11:45" s="840" customFormat="1" ht="12">
      <c r="K306" s="841"/>
      <c r="L306" s="841"/>
      <c r="M306" s="841"/>
      <c r="N306" s="841"/>
      <c r="O306" s="841"/>
      <c r="AP306" s="936"/>
      <c r="AS306" s="936"/>
    </row>
    <row r="307" spans="11:45">
      <c r="AP307" s="937"/>
    </row>
    <row r="308" spans="11:45" s="840" customFormat="1" ht="12">
      <c r="K308" s="841"/>
      <c r="L308" s="841"/>
      <c r="M308" s="841"/>
      <c r="N308" s="841"/>
      <c r="O308" s="841"/>
      <c r="AP308" s="936"/>
      <c r="AS308" s="936"/>
    </row>
    <row r="309" spans="11:45" s="840" customFormat="1" ht="12">
      <c r="K309" s="841"/>
      <c r="L309" s="841"/>
      <c r="M309" s="841"/>
      <c r="N309" s="841"/>
      <c r="O309" s="841"/>
      <c r="AP309" s="936"/>
      <c r="AS309" s="936"/>
    </row>
    <row r="310" spans="11:45" s="840" customFormat="1" ht="12">
      <c r="K310" s="841"/>
      <c r="L310" s="841"/>
      <c r="M310" s="841"/>
      <c r="N310" s="841"/>
      <c r="O310" s="841"/>
      <c r="AP310" s="936"/>
      <c r="AS310" s="936"/>
    </row>
    <row r="311" spans="11:45">
      <c r="AP311" s="937"/>
    </row>
    <row r="312" spans="11:45" s="840" customFormat="1" ht="12">
      <c r="K312" s="841"/>
      <c r="L312" s="841"/>
      <c r="M312" s="841"/>
      <c r="N312" s="841"/>
      <c r="O312" s="841"/>
      <c r="AP312" s="936"/>
      <c r="AS312" s="936"/>
    </row>
    <row r="313" spans="11:45" s="840" customFormat="1" ht="12">
      <c r="K313" s="841"/>
      <c r="L313" s="841"/>
      <c r="M313" s="841"/>
      <c r="N313" s="841"/>
      <c r="O313" s="841"/>
      <c r="AS313" s="936"/>
    </row>
    <row r="314" spans="11:45" s="840" customFormat="1" ht="12">
      <c r="K314" s="841"/>
      <c r="L314" s="841"/>
      <c r="M314" s="841"/>
      <c r="N314" s="841"/>
      <c r="O314" s="841"/>
      <c r="AS314" s="936"/>
    </row>
    <row r="315" spans="11:45" s="840" customFormat="1" ht="12">
      <c r="K315" s="841"/>
      <c r="L315" s="841"/>
      <c r="M315" s="841"/>
      <c r="N315" s="841"/>
      <c r="O315" s="841"/>
      <c r="AS315" s="936"/>
    </row>
    <row r="316" spans="11:45" s="840" customFormat="1" ht="12">
      <c r="K316" s="841"/>
      <c r="L316" s="841"/>
      <c r="M316" s="841"/>
      <c r="N316" s="841"/>
      <c r="O316" s="841"/>
      <c r="AS316" s="936"/>
    </row>
  </sheetData>
  <mergeCells count="2">
    <mergeCell ref="AP3:AQ3"/>
    <mergeCell ref="AS5:AT5"/>
  </mergeCells>
  <conditionalFormatting sqref="H47:S47">
    <cfRule type="cellIs" dxfId="27" priority="1" operator="equal">
      <formula>0</formula>
    </cfRule>
  </conditionalFormatting>
  <pageMargins left="0.7" right="0.7" top="0.75" bottom="0.75" header="0.3" footer="0.3"/>
  <pageSetup scale="40" fitToHeight="5" pageOrder="overThenDown" orientation="landscape" r:id="rId1"/>
  <headerFooter alignWithMargins="0">
    <oddHeader xml:space="preserve">&amp;R
</oddHeader>
    <oddFooter>&amp;L&amp;D&amp;C&amp;P&amp;R&amp;T</oddFooter>
  </headerFooter>
  <colBreaks count="2" manualBreakCount="2">
    <brk id="20" max="281" man="1"/>
    <brk id="36" max="281"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19"/>
  <sheetViews>
    <sheetView showGridLines="0" tabSelected="1" view="pageBreakPreview" topLeftCell="B1" zoomScale="70" zoomScaleNormal="85" zoomScaleSheetLayoutView="70" workbookViewId="0">
      <selection activeCell="AR41" sqref="AR41"/>
    </sheetView>
  </sheetViews>
  <sheetFormatPr defaultColWidth="10.28515625" defaultRowHeight="15" outlineLevelCol="1"/>
  <cols>
    <col min="1" max="1" width="34.140625" style="841" hidden="1" customWidth="1"/>
    <col min="2" max="2" width="4.28515625" style="841" customWidth="1"/>
    <col min="3" max="3" width="20.28515625" style="841" customWidth="1"/>
    <col min="4" max="4" width="27.5703125" style="840" bestFit="1" customWidth="1"/>
    <col min="5" max="5" width="8.5703125" style="840" bestFit="1" customWidth="1"/>
    <col min="6" max="6" width="8.5703125" style="840" customWidth="1"/>
    <col min="7" max="7" width="1.85546875" style="840" customWidth="1"/>
    <col min="8" max="10" width="14.42578125" style="840" customWidth="1"/>
    <col min="11" max="19" width="14.42578125" style="841" customWidth="1"/>
    <col min="20" max="20" width="16.42578125" style="841" bestFit="1" customWidth="1"/>
    <col min="21" max="21" width="3.42578125" style="841" customWidth="1"/>
    <col min="22" max="24" width="11.7109375" style="841" bestFit="1" customWidth="1" outlineLevel="1"/>
    <col min="25" max="26" width="12.140625" style="841" bestFit="1" customWidth="1" outlineLevel="1"/>
    <col min="27" max="27" width="11.42578125" style="841" bestFit="1" customWidth="1" outlineLevel="1"/>
    <col min="28" max="28" width="11.7109375" style="841" bestFit="1" customWidth="1" outlineLevel="1"/>
    <col min="29" max="34" width="11.42578125" style="841" bestFit="1" customWidth="1" outlineLevel="1"/>
    <col min="35" max="35" width="2.5703125" style="704" customWidth="1"/>
    <col min="36" max="36" width="2.42578125" style="841" customWidth="1"/>
    <col min="37" max="37" width="10.28515625" style="841"/>
    <col min="38" max="38" width="13.28515625" style="841" bestFit="1" customWidth="1"/>
    <col min="39" max="39" width="15.28515625" style="841" bestFit="1" customWidth="1"/>
    <col min="40" max="40" width="13.140625" style="841" bestFit="1" customWidth="1"/>
    <col min="41" max="16384" width="10.28515625" style="840"/>
  </cols>
  <sheetData>
    <row r="1" spans="1:40" ht="12" customHeight="1">
      <c r="A1" s="838" t="s">
        <v>306</v>
      </c>
      <c r="B1" s="839"/>
      <c r="C1" s="839" t="s">
        <v>1948</v>
      </c>
      <c r="E1" s="1238" t="s">
        <v>2964</v>
      </c>
      <c r="AB1" s="841">
        <v>4118</v>
      </c>
    </row>
    <row r="2" spans="1:40" ht="12" customHeight="1">
      <c r="C2" s="839" t="s">
        <v>2428</v>
      </c>
      <c r="AK2" s="1267" t="s">
        <v>2429</v>
      </c>
      <c r="AL2" s="1267"/>
      <c r="AM2" s="1267"/>
      <c r="AN2" s="1267"/>
    </row>
    <row r="3" spans="1:40" ht="12" customHeight="1">
      <c r="C3" s="839" t="s">
        <v>1950</v>
      </c>
      <c r="K3" s="844"/>
      <c r="AK3" s="1267"/>
      <c r="AL3" s="1267"/>
      <c r="AM3" s="1267"/>
      <c r="AN3" s="1267"/>
    </row>
    <row r="4" spans="1:40" ht="12" customHeight="1">
      <c r="A4" s="1072"/>
      <c r="B4" s="1072"/>
      <c r="C4" s="1074"/>
      <c r="K4" s="844"/>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0"/>
      <c r="AJ4" s="1072"/>
      <c r="AK4" s="963"/>
      <c r="AL4" s="963"/>
      <c r="AM4" s="963"/>
      <c r="AN4" s="963"/>
    </row>
    <row r="5" spans="1:40" ht="12" customHeight="1">
      <c r="D5" s="845"/>
      <c r="E5" s="846" t="s">
        <v>1951</v>
      </c>
      <c r="F5" s="847">
        <v>43282</v>
      </c>
      <c r="H5" s="848">
        <v>43221</v>
      </c>
      <c r="I5" s="848">
        <f t="shared" ref="I5:S5" si="0">EDATE(H5,1)</f>
        <v>43252</v>
      </c>
      <c r="J5" s="848">
        <f t="shared" si="0"/>
        <v>43282</v>
      </c>
      <c r="K5" s="848">
        <f t="shared" si="0"/>
        <v>43313</v>
      </c>
      <c r="L5" s="848">
        <f t="shared" si="0"/>
        <v>43344</v>
      </c>
      <c r="M5" s="848">
        <f t="shared" si="0"/>
        <v>43374</v>
      </c>
      <c r="N5" s="848">
        <f t="shared" si="0"/>
        <v>43405</v>
      </c>
      <c r="O5" s="848">
        <f t="shared" si="0"/>
        <v>43435</v>
      </c>
      <c r="P5" s="848">
        <f t="shared" si="0"/>
        <v>43466</v>
      </c>
      <c r="Q5" s="848">
        <f t="shared" si="0"/>
        <v>43497</v>
      </c>
      <c r="R5" s="848">
        <f t="shared" si="0"/>
        <v>43525</v>
      </c>
      <c r="S5" s="848">
        <f t="shared" si="0"/>
        <v>43556</v>
      </c>
      <c r="T5" s="845" t="s">
        <v>13</v>
      </c>
      <c r="V5" s="849">
        <f t="shared" ref="V5:AG5" si="1">+H5</f>
        <v>43221</v>
      </c>
      <c r="W5" s="849">
        <f t="shared" si="1"/>
        <v>43252</v>
      </c>
      <c r="X5" s="849">
        <f t="shared" si="1"/>
        <v>43282</v>
      </c>
      <c r="Y5" s="849">
        <f t="shared" si="1"/>
        <v>43313</v>
      </c>
      <c r="Z5" s="849">
        <f t="shared" si="1"/>
        <v>43344</v>
      </c>
      <c r="AA5" s="849">
        <f t="shared" si="1"/>
        <v>43374</v>
      </c>
      <c r="AB5" s="849">
        <f t="shared" si="1"/>
        <v>43405</v>
      </c>
      <c r="AC5" s="849">
        <f t="shared" si="1"/>
        <v>43435</v>
      </c>
      <c r="AD5" s="849">
        <f t="shared" si="1"/>
        <v>43466</v>
      </c>
      <c r="AE5" s="849">
        <f t="shared" si="1"/>
        <v>43497</v>
      </c>
      <c r="AF5" s="849">
        <f t="shared" si="1"/>
        <v>43525</v>
      </c>
      <c r="AG5" s="849">
        <f t="shared" si="1"/>
        <v>43556</v>
      </c>
      <c r="AH5" s="849"/>
      <c r="AK5" s="850" t="s">
        <v>2430</v>
      </c>
      <c r="AL5" s="850" t="s">
        <v>1956</v>
      </c>
      <c r="AM5" s="850" t="s">
        <v>1956</v>
      </c>
    </row>
    <row r="6" spans="1:40" ht="12" customHeight="1">
      <c r="C6" s="850" t="s">
        <v>1957</v>
      </c>
      <c r="D6" s="845" t="s">
        <v>1958</v>
      </c>
      <c r="E6" s="852" t="s">
        <v>1773</v>
      </c>
      <c r="F6" s="852" t="s">
        <v>1959</v>
      </c>
      <c r="G6" s="845"/>
      <c r="H6" s="853" t="s">
        <v>174</v>
      </c>
      <c r="I6" s="853" t="s">
        <v>174</v>
      </c>
      <c r="J6" s="853" t="s">
        <v>174</v>
      </c>
      <c r="K6" s="853" t="s">
        <v>174</v>
      </c>
      <c r="L6" s="853" t="s">
        <v>174</v>
      </c>
      <c r="M6" s="853" t="s">
        <v>174</v>
      </c>
      <c r="N6" s="853" t="s">
        <v>174</v>
      </c>
      <c r="O6" s="853" t="s">
        <v>174</v>
      </c>
      <c r="P6" s="853" t="s">
        <v>174</v>
      </c>
      <c r="Q6" s="853" t="s">
        <v>174</v>
      </c>
      <c r="R6" s="853" t="s">
        <v>174</v>
      </c>
      <c r="S6" s="853" t="s">
        <v>174</v>
      </c>
      <c r="T6" s="845" t="s">
        <v>174</v>
      </c>
      <c r="V6" s="854" t="s">
        <v>1960</v>
      </c>
      <c r="W6" s="854" t="s">
        <v>1960</v>
      </c>
      <c r="X6" s="854" t="s">
        <v>1960</v>
      </c>
      <c r="Y6" s="854" t="s">
        <v>1960</v>
      </c>
      <c r="Z6" s="854" t="s">
        <v>1960</v>
      </c>
      <c r="AA6" s="854" t="s">
        <v>1960</v>
      </c>
      <c r="AB6" s="854" t="s">
        <v>1960</v>
      </c>
      <c r="AC6" s="854" t="s">
        <v>1960</v>
      </c>
      <c r="AD6" s="854" t="s">
        <v>1960</v>
      </c>
      <c r="AE6" s="854" t="s">
        <v>1960</v>
      </c>
      <c r="AF6" s="854" t="s">
        <v>1960</v>
      </c>
      <c r="AG6" s="854" t="s">
        <v>1960</v>
      </c>
      <c r="AH6" s="854" t="s">
        <v>371</v>
      </c>
      <c r="AI6" s="854"/>
      <c r="AK6" s="850" t="s">
        <v>2431</v>
      </c>
      <c r="AL6" s="850" t="s">
        <v>1960</v>
      </c>
      <c r="AM6" s="850" t="s">
        <v>174</v>
      </c>
      <c r="AN6" s="850" t="s">
        <v>393</v>
      </c>
    </row>
    <row r="7" spans="1:40" ht="12" customHeight="1"/>
    <row r="8" spans="1:40" ht="12" customHeight="1">
      <c r="C8" s="918"/>
      <c r="D8" s="918"/>
      <c r="E8" s="918"/>
      <c r="F8" s="918"/>
      <c r="G8" s="856"/>
      <c r="H8" s="856"/>
    </row>
    <row r="9" spans="1:40" ht="12" customHeight="1">
      <c r="C9" s="919" t="s">
        <v>1962</v>
      </c>
      <c r="D9" s="919" t="s">
        <v>1962</v>
      </c>
      <c r="E9" s="919"/>
      <c r="F9" s="919"/>
      <c r="G9" s="856"/>
      <c r="H9" s="856"/>
    </row>
    <row r="10" spans="1:40" ht="12" customHeight="1">
      <c r="C10" s="919"/>
      <c r="D10" s="920"/>
      <c r="E10" s="920"/>
      <c r="F10" s="920"/>
      <c r="G10" s="860"/>
      <c r="H10" s="862"/>
      <c r="I10" s="861" t="str">
        <f>IF(G10="","",(#REF!/G10)+(#REF!/#REF!))</f>
        <v/>
      </c>
      <c r="J10" s="861" t="str">
        <f>IF(G10="","",I10/12)</f>
        <v/>
      </c>
      <c r="K10" s="866"/>
      <c r="L10" s="867"/>
      <c r="T10" s="867"/>
      <c r="V10" s="865"/>
      <c r="W10" s="865"/>
      <c r="X10" s="865"/>
      <c r="Y10" s="865"/>
      <c r="Z10" s="865"/>
      <c r="AA10" s="865"/>
      <c r="AB10" s="865"/>
      <c r="AC10" s="865"/>
      <c r="AD10" s="865"/>
      <c r="AE10" s="865"/>
      <c r="AF10" s="865"/>
      <c r="AG10" s="865"/>
      <c r="AH10" s="865"/>
    </row>
    <row r="11" spans="1:40" ht="12" customHeight="1">
      <c r="A11" s="842" t="s">
        <v>1963</v>
      </c>
      <c r="B11" s="842" t="s">
        <v>1964</v>
      </c>
      <c r="C11" s="921" t="s">
        <v>1965</v>
      </c>
      <c r="D11" s="921" t="s">
        <v>1965</v>
      </c>
      <c r="E11" s="921"/>
      <c r="F11" s="921"/>
      <c r="G11" s="860"/>
      <c r="H11" s="862"/>
      <c r="I11" s="861" t="str">
        <f>IF(G11="","",(#REF!/G11)+(#REF!/#REF!))</f>
        <v/>
      </c>
      <c r="J11" s="861" t="str">
        <f>IF(G11="","",I11/12)</f>
        <v/>
      </c>
      <c r="K11" s="866"/>
      <c r="L11" s="867"/>
      <c r="T11" s="867"/>
      <c r="V11" s="865"/>
      <c r="W11" s="865"/>
      <c r="X11" s="865"/>
      <c r="Y11" s="865"/>
      <c r="Z11" s="865"/>
      <c r="AA11" s="865"/>
      <c r="AB11" s="865"/>
      <c r="AC11" s="865"/>
      <c r="AD11" s="865"/>
      <c r="AE11" s="865"/>
      <c r="AF11" s="865"/>
      <c r="AG11" s="865"/>
      <c r="AH11" s="865"/>
    </row>
    <row r="12" spans="1:40" ht="12" customHeight="1">
      <c r="A12" s="840" t="str">
        <f t="shared" ref="A12:A37" si="2">$A$1&amp;"Residential"&amp;C12</f>
        <v>RuralResidentialRL020.0G1W001</v>
      </c>
      <c r="B12" s="840">
        <f t="shared" ref="B12:B37" si="3">COUNTIF(C:C,C12)</f>
        <v>1</v>
      </c>
      <c r="C12" s="883" t="s">
        <v>1966</v>
      </c>
      <c r="D12" s="883" t="s">
        <v>1967</v>
      </c>
      <c r="E12" s="883">
        <v>9.76</v>
      </c>
      <c r="F12" s="883"/>
      <c r="G12" s="860"/>
      <c r="H12" s="861">
        <v>107.35999999999999</v>
      </c>
      <c r="I12" s="861">
        <v>107.35999999999999</v>
      </c>
      <c r="J12" s="861">
        <v>107.35999999999999</v>
      </c>
      <c r="K12" s="861">
        <v>107.35999999999999</v>
      </c>
      <c r="L12" s="861">
        <v>107.35999999999999</v>
      </c>
      <c r="M12" s="861">
        <v>107.35999999999999</v>
      </c>
      <c r="N12" s="861">
        <v>107.35999999999999</v>
      </c>
      <c r="O12" s="861">
        <v>107.35999999999999</v>
      </c>
      <c r="P12" s="861">
        <v>107.35999999999999</v>
      </c>
      <c r="Q12" s="861">
        <v>107.35999999999999</v>
      </c>
      <c r="R12" s="861">
        <v>107.35999999999999</v>
      </c>
      <c r="S12" s="861">
        <v>107.35999999999999</v>
      </c>
      <c r="T12" s="863">
        <f t="shared" ref="T12:T37" si="4">SUM(H12:S12)</f>
        <v>1288.3199999999997</v>
      </c>
      <c r="U12" s="861"/>
      <c r="V12" s="861">
        <f t="shared" ref="V12:AG33" si="5">IFERROR(H12/$E12,0)</f>
        <v>10.999999999999998</v>
      </c>
      <c r="W12" s="861">
        <f t="shared" si="5"/>
        <v>10.999999999999998</v>
      </c>
      <c r="X12" s="861">
        <f t="shared" si="5"/>
        <v>10.999999999999998</v>
      </c>
      <c r="Y12" s="861">
        <f t="shared" si="5"/>
        <v>10.999999999999998</v>
      </c>
      <c r="Z12" s="861">
        <f t="shared" si="5"/>
        <v>10.999999999999998</v>
      </c>
      <c r="AA12" s="861">
        <f t="shared" si="5"/>
        <v>10.999999999999998</v>
      </c>
      <c r="AB12" s="861">
        <f t="shared" si="5"/>
        <v>10.999999999999998</v>
      </c>
      <c r="AC12" s="861">
        <f t="shared" si="5"/>
        <v>10.999999999999998</v>
      </c>
      <c r="AD12" s="861">
        <f t="shared" si="5"/>
        <v>10.999999999999998</v>
      </c>
      <c r="AE12" s="861">
        <f t="shared" si="5"/>
        <v>10.999999999999998</v>
      </c>
      <c r="AF12" s="861">
        <f t="shared" si="5"/>
        <v>10.999999999999998</v>
      </c>
      <c r="AG12" s="861">
        <f t="shared" si="5"/>
        <v>10.999999999999998</v>
      </c>
      <c r="AH12" s="861">
        <f t="shared" ref="AH12:AH37" si="6">AVERAGE(V12:AG12)</f>
        <v>10.999999999999998</v>
      </c>
      <c r="AI12" s="1071"/>
      <c r="AJ12" s="840"/>
      <c r="AK12" s="840">
        <v>9.32</v>
      </c>
      <c r="AL12" s="863">
        <f t="shared" ref="AL12:AL37" si="7">+SUM(V12:AG12)</f>
        <v>131.99999999999997</v>
      </c>
      <c r="AM12" s="861">
        <f t="shared" ref="AM12:AM37" si="8">+AK12*AL12</f>
        <v>1230.2399999999998</v>
      </c>
      <c r="AN12" s="863">
        <f t="shared" ref="AN12:AN37" si="9">+AM12-T12</f>
        <v>-58.079999999999927</v>
      </c>
    </row>
    <row r="13" spans="1:40" ht="12" customHeight="1">
      <c r="A13" s="840" t="str">
        <f t="shared" si="2"/>
        <v>RuralResidentialRL032.0G1M001</v>
      </c>
      <c r="B13" s="840">
        <f t="shared" si="3"/>
        <v>1</v>
      </c>
      <c r="C13" s="883" t="s">
        <v>1968</v>
      </c>
      <c r="D13" s="883" t="s">
        <v>1969</v>
      </c>
      <c r="E13" s="883">
        <v>6.6</v>
      </c>
      <c r="F13" s="883"/>
      <c r="G13" s="860"/>
      <c r="H13" s="861">
        <v>6.6</v>
      </c>
      <c r="I13" s="861">
        <v>6.6</v>
      </c>
      <c r="J13" s="861">
        <v>6.6</v>
      </c>
      <c r="K13" s="861">
        <v>6.6</v>
      </c>
      <c r="L13" s="861">
        <v>6.6</v>
      </c>
      <c r="M13" s="861">
        <v>6.6</v>
      </c>
      <c r="N13" s="861">
        <v>6.6</v>
      </c>
      <c r="O13" s="861">
        <v>6.6</v>
      </c>
      <c r="P13" s="861">
        <v>6.6</v>
      </c>
      <c r="Q13" s="861">
        <v>6.6</v>
      </c>
      <c r="R13" s="861">
        <v>6.6</v>
      </c>
      <c r="S13" s="861">
        <v>6.6</v>
      </c>
      <c r="T13" s="863">
        <f t="shared" si="4"/>
        <v>79.199999999999989</v>
      </c>
      <c r="U13" s="861"/>
      <c r="V13" s="861">
        <f t="shared" si="5"/>
        <v>1</v>
      </c>
      <c r="W13" s="861">
        <f t="shared" si="5"/>
        <v>1</v>
      </c>
      <c r="X13" s="861">
        <f t="shared" si="5"/>
        <v>1</v>
      </c>
      <c r="Y13" s="861">
        <f t="shared" si="5"/>
        <v>1</v>
      </c>
      <c r="Z13" s="861">
        <f t="shared" si="5"/>
        <v>1</v>
      </c>
      <c r="AA13" s="861">
        <f t="shared" si="5"/>
        <v>1</v>
      </c>
      <c r="AB13" s="861">
        <f t="shared" si="5"/>
        <v>1</v>
      </c>
      <c r="AC13" s="861">
        <f t="shared" si="5"/>
        <v>1</v>
      </c>
      <c r="AD13" s="861">
        <f t="shared" si="5"/>
        <v>1</v>
      </c>
      <c r="AE13" s="861">
        <f t="shared" si="5"/>
        <v>1</v>
      </c>
      <c r="AF13" s="861">
        <f t="shared" si="5"/>
        <v>1</v>
      </c>
      <c r="AG13" s="861">
        <f t="shared" si="5"/>
        <v>1</v>
      </c>
      <c r="AH13" s="861">
        <f t="shared" si="6"/>
        <v>1</v>
      </c>
      <c r="AI13" s="1071"/>
      <c r="AJ13" s="840"/>
      <c r="AK13" s="840">
        <v>6.45</v>
      </c>
      <c r="AL13" s="863">
        <f t="shared" si="7"/>
        <v>12</v>
      </c>
      <c r="AM13" s="861">
        <f t="shared" si="8"/>
        <v>77.400000000000006</v>
      </c>
      <c r="AN13" s="863">
        <f t="shared" si="9"/>
        <v>-1.7999999999999829</v>
      </c>
    </row>
    <row r="14" spans="1:40" ht="12" customHeight="1">
      <c r="A14" s="840" t="str">
        <f t="shared" si="2"/>
        <v>RuralResidentialRL032.0G1W001</v>
      </c>
      <c r="B14" s="840">
        <f t="shared" si="3"/>
        <v>1</v>
      </c>
      <c r="C14" s="883" t="s">
        <v>1970</v>
      </c>
      <c r="D14" s="883" t="s">
        <v>1971</v>
      </c>
      <c r="E14" s="883">
        <v>13.11</v>
      </c>
      <c r="F14" s="883"/>
      <c r="G14" s="860"/>
      <c r="H14" s="861">
        <v>950.47500000000014</v>
      </c>
      <c r="I14" s="861">
        <v>939.005</v>
      </c>
      <c r="J14" s="861">
        <v>943.92000000000007</v>
      </c>
      <c r="K14" s="861">
        <v>923.71</v>
      </c>
      <c r="L14" s="861">
        <v>878.55499999999984</v>
      </c>
      <c r="M14" s="861">
        <v>859.43499999999995</v>
      </c>
      <c r="N14" s="861">
        <v>865.26</v>
      </c>
      <c r="O14" s="861">
        <v>858.70499999999993</v>
      </c>
      <c r="P14" s="861">
        <v>852.87499999999989</v>
      </c>
      <c r="Q14" s="861">
        <v>865.26</v>
      </c>
      <c r="R14" s="861">
        <v>865.26</v>
      </c>
      <c r="S14" s="861">
        <v>865.26</v>
      </c>
      <c r="T14" s="863">
        <f t="shared" si="4"/>
        <v>10667.720000000001</v>
      </c>
      <c r="U14" s="861"/>
      <c r="V14" s="861">
        <f t="shared" si="5"/>
        <v>72.500000000000014</v>
      </c>
      <c r="W14" s="861">
        <f t="shared" si="5"/>
        <v>71.625095347063308</v>
      </c>
      <c r="X14" s="861">
        <f t="shared" si="5"/>
        <v>72.000000000000014</v>
      </c>
      <c r="Y14" s="861">
        <f t="shared" si="5"/>
        <v>70.458428680396651</v>
      </c>
      <c r="Z14" s="861">
        <f t="shared" si="5"/>
        <v>67.014111365369942</v>
      </c>
      <c r="AA14" s="861">
        <f t="shared" si="5"/>
        <v>65.555682684973306</v>
      </c>
      <c r="AB14" s="861">
        <f t="shared" si="5"/>
        <v>66</v>
      </c>
      <c r="AC14" s="861">
        <f t="shared" si="5"/>
        <v>65.5</v>
      </c>
      <c r="AD14" s="861">
        <f t="shared" si="5"/>
        <v>65.05530129672006</v>
      </c>
      <c r="AE14" s="861">
        <f t="shared" si="5"/>
        <v>66</v>
      </c>
      <c r="AF14" s="861">
        <f t="shared" si="5"/>
        <v>66</v>
      </c>
      <c r="AG14" s="861">
        <f t="shared" si="5"/>
        <v>66</v>
      </c>
      <c r="AH14" s="861">
        <f t="shared" si="6"/>
        <v>67.809051614543606</v>
      </c>
      <c r="AI14" s="1071"/>
      <c r="AJ14" s="840"/>
      <c r="AK14" s="840">
        <v>13.22</v>
      </c>
      <c r="AL14" s="863">
        <f t="shared" si="7"/>
        <v>813.70861937452332</v>
      </c>
      <c r="AM14" s="861">
        <f t="shared" si="8"/>
        <v>10757.227948131198</v>
      </c>
      <c r="AN14" s="863">
        <f t="shared" si="9"/>
        <v>89.507948131196827</v>
      </c>
    </row>
    <row r="15" spans="1:40" ht="12" customHeight="1">
      <c r="A15" s="840" t="str">
        <f t="shared" si="2"/>
        <v>RuralResidentialRL032.0G1W002</v>
      </c>
      <c r="B15" s="840">
        <f t="shared" si="3"/>
        <v>1</v>
      </c>
      <c r="C15" s="883" t="s">
        <v>1974</v>
      </c>
      <c r="D15" s="883" t="s">
        <v>1975</v>
      </c>
      <c r="E15" s="883">
        <v>20.399999999999999</v>
      </c>
      <c r="F15" s="883"/>
      <c r="G15" s="860"/>
      <c r="H15" s="861">
        <v>81.599999999999994</v>
      </c>
      <c r="I15" s="861">
        <v>81.599999999999994</v>
      </c>
      <c r="J15" s="861">
        <v>81.599999999999994</v>
      </c>
      <c r="K15" s="861">
        <v>81.599999999999994</v>
      </c>
      <c r="L15" s="861">
        <v>81.599999999999994</v>
      </c>
      <c r="M15" s="861">
        <v>81.599999999999994</v>
      </c>
      <c r="N15" s="861">
        <v>81.599999999999994</v>
      </c>
      <c r="O15" s="861">
        <v>81.599999999999994</v>
      </c>
      <c r="P15" s="861">
        <v>81.599999999999994</v>
      </c>
      <c r="Q15" s="861">
        <v>81.599999999999994</v>
      </c>
      <c r="R15" s="861">
        <v>81.599999999999994</v>
      </c>
      <c r="S15" s="861">
        <v>81.599999999999994</v>
      </c>
      <c r="T15" s="863">
        <f t="shared" si="4"/>
        <v>979.20000000000016</v>
      </c>
      <c r="U15" s="861"/>
      <c r="V15" s="861">
        <f t="shared" si="5"/>
        <v>4</v>
      </c>
      <c r="W15" s="861">
        <f t="shared" si="5"/>
        <v>4</v>
      </c>
      <c r="X15" s="861">
        <f t="shared" si="5"/>
        <v>4</v>
      </c>
      <c r="Y15" s="861">
        <f t="shared" si="5"/>
        <v>4</v>
      </c>
      <c r="Z15" s="861">
        <f t="shared" si="5"/>
        <v>4</v>
      </c>
      <c r="AA15" s="861">
        <f t="shared" si="5"/>
        <v>4</v>
      </c>
      <c r="AB15" s="861">
        <f t="shared" si="5"/>
        <v>4</v>
      </c>
      <c r="AC15" s="861">
        <f t="shared" si="5"/>
        <v>4</v>
      </c>
      <c r="AD15" s="861">
        <f t="shared" si="5"/>
        <v>4</v>
      </c>
      <c r="AE15" s="861">
        <f t="shared" si="5"/>
        <v>4</v>
      </c>
      <c r="AF15" s="861">
        <f t="shared" si="5"/>
        <v>4</v>
      </c>
      <c r="AG15" s="861">
        <f t="shared" si="5"/>
        <v>4</v>
      </c>
      <c r="AH15" s="861">
        <f t="shared" si="6"/>
        <v>4</v>
      </c>
      <c r="AI15" s="1071"/>
      <c r="AJ15" s="840"/>
      <c r="AK15" s="840">
        <v>20.21</v>
      </c>
      <c r="AL15" s="863">
        <f t="shared" si="7"/>
        <v>48</v>
      </c>
      <c r="AM15" s="861">
        <f t="shared" si="8"/>
        <v>970.08</v>
      </c>
      <c r="AN15" s="863">
        <f t="shared" si="9"/>
        <v>-9.1200000000001182</v>
      </c>
    </row>
    <row r="16" spans="1:40" ht="12" customHeight="1">
      <c r="A16" s="840" t="str">
        <f t="shared" si="2"/>
        <v>RuralResidentialRL032.0G1W003</v>
      </c>
      <c r="B16" s="840">
        <f t="shared" si="3"/>
        <v>1</v>
      </c>
      <c r="C16" s="883" t="s">
        <v>1976</v>
      </c>
      <c r="D16" s="883" t="s">
        <v>1977</v>
      </c>
      <c r="E16" s="883">
        <v>28.38</v>
      </c>
      <c r="F16" s="883"/>
      <c r="G16" s="860"/>
      <c r="H16" s="861">
        <v>56.76</v>
      </c>
      <c r="I16" s="861">
        <v>56.76</v>
      </c>
      <c r="J16" s="861">
        <v>56.76</v>
      </c>
      <c r="K16" s="861">
        <v>56.76</v>
      </c>
      <c r="L16" s="861">
        <v>56.76</v>
      </c>
      <c r="M16" s="861">
        <v>56.76</v>
      </c>
      <c r="N16" s="861">
        <v>56.76</v>
      </c>
      <c r="O16" s="861">
        <v>56.76</v>
      </c>
      <c r="P16" s="861">
        <v>56.76</v>
      </c>
      <c r="Q16" s="861">
        <v>56.76</v>
      </c>
      <c r="R16" s="861">
        <v>28.38</v>
      </c>
      <c r="S16" s="861">
        <v>28.38</v>
      </c>
      <c r="T16" s="863">
        <f t="shared" si="4"/>
        <v>624.36</v>
      </c>
      <c r="U16" s="861"/>
      <c r="V16" s="861">
        <f t="shared" si="5"/>
        <v>2</v>
      </c>
      <c r="W16" s="861">
        <f t="shared" si="5"/>
        <v>2</v>
      </c>
      <c r="X16" s="861">
        <f t="shared" si="5"/>
        <v>2</v>
      </c>
      <c r="Y16" s="861">
        <f t="shared" si="5"/>
        <v>2</v>
      </c>
      <c r="Z16" s="861">
        <f t="shared" si="5"/>
        <v>2</v>
      </c>
      <c r="AA16" s="861">
        <f t="shared" si="5"/>
        <v>2</v>
      </c>
      <c r="AB16" s="861">
        <f t="shared" si="5"/>
        <v>2</v>
      </c>
      <c r="AC16" s="861">
        <f t="shared" si="5"/>
        <v>2</v>
      </c>
      <c r="AD16" s="861">
        <f t="shared" si="5"/>
        <v>2</v>
      </c>
      <c r="AE16" s="861">
        <f t="shared" si="5"/>
        <v>2</v>
      </c>
      <c r="AF16" s="861">
        <f t="shared" si="5"/>
        <v>1</v>
      </c>
      <c r="AG16" s="861">
        <f t="shared" si="5"/>
        <v>1</v>
      </c>
      <c r="AH16" s="861">
        <f t="shared" si="6"/>
        <v>1.8333333333333333</v>
      </c>
      <c r="AI16" s="1071"/>
      <c r="AJ16" s="840"/>
      <c r="AK16" s="840">
        <v>28.47</v>
      </c>
      <c r="AL16" s="863">
        <f t="shared" si="7"/>
        <v>22</v>
      </c>
      <c r="AM16" s="861">
        <f t="shared" si="8"/>
        <v>626.33999999999992</v>
      </c>
      <c r="AN16" s="863">
        <f t="shared" si="9"/>
        <v>1.9799999999999045</v>
      </c>
    </row>
    <row r="17" spans="1:41" ht="12" customHeight="1">
      <c r="A17" s="840" t="str">
        <f t="shared" si="2"/>
        <v>RuralResidentialSL020.0G1W001</v>
      </c>
      <c r="B17" s="840">
        <f t="shared" si="3"/>
        <v>1</v>
      </c>
      <c r="C17" s="883" t="s">
        <v>1978</v>
      </c>
      <c r="D17" s="883" t="s">
        <v>1967</v>
      </c>
      <c r="E17" s="883">
        <v>9.76</v>
      </c>
      <c r="F17" s="883"/>
      <c r="G17" s="860"/>
      <c r="H17" s="861">
        <v>1435.115</v>
      </c>
      <c r="I17" s="861">
        <v>1451.3850000000002</v>
      </c>
      <c r="J17" s="861">
        <v>1434.7150000000001</v>
      </c>
      <c r="K17" s="861">
        <v>1439.6250000000002</v>
      </c>
      <c r="L17" s="861">
        <v>1417.95</v>
      </c>
      <c r="M17" s="861">
        <v>1442.9349999999999</v>
      </c>
      <c r="N17" s="861">
        <v>1447.27</v>
      </c>
      <c r="O17" s="861">
        <v>1411.2649999999999</v>
      </c>
      <c r="P17" s="861">
        <v>1405.2999999999997</v>
      </c>
      <c r="Q17" s="861">
        <v>1385.92</v>
      </c>
      <c r="R17" s="861">
        <v>1404.2750000000001</v>
      </c>
      <c r="S17" s="861">
        <v>1383.2649999999999</v>
      </c>
      <c r="T17" s="863">
        <f t="shared" si="4"/>
        <v>17059.02</v>
      </c>
      <c r="U17" s="861"/>
      <c r="V17" s="861">
        <f t="shared" si="5"/>
        <v>147.04047131147541</v>
      </c>
      <c r="W17" s="861">
        <f t="shared" si="5"/>
        <v>148.70747950819674</v>
      </c>
      <c r="X17" s="861">
        <f t="shared" si="5"/>
        <v>146.99948770491804</v>
      </c>
      <c r="Y17" s="861">
        <f t="shared" si="5"/>
        <v>147.50256147540986</v>
      </c>
      <c r="Z17" s="861">
        <f t="shared" si="5"/>
        <v>145.28176229508196</v>
      </c>
      <c r="AA17" s="861">
        <f t="shared" si="5"/>
        <v>147.84170081967213</v>
      </c>
      <c r="AB17" s="861">
        <f t="shared" si="5"/>
        <v>148.28586065573771</v>
      </c>
      <c r="AC17" s="861">
        <f t="shared" si="5"/>
        <v>144.5968237704918</v>
      </c>
      <c r="AD17" s="861">
        <f t="shared" si="5"/>
        <v>143.98565573770489</v>
      </c>
      <c r="AE17" s="861">
        <f t="shared" si="5"/>
        <v>142</v>
      </c>
      <c r="AF17" s="861">
        <f t="shared" si="5"/>
        <v>143.88063524590166</v>
      </c>
      <c r="AG17" s="861">
        <f t="shared" si="5"/>
        <v>141.72797131147539</v>
      </c>
      <c r="AH17" s="861">
        <f t="shared" si="6"/>
        <v>145.65420081967213</v>
      </c>
      <c r="AI17" s="1071"/>
      <c r="AJ17" s="840"/>
      <c r="AK17" s="840">
        <v>9.32</v>
      </c>
      <c r="AL17" s="863">
        <f t="shared" si="7"/>
        <v>1747.8504098360656</v>
      </c>
      <c r="AM17" s="861">
        <f t="shared" si="8"/>
        <v>16289.965819672132</v>
      </c>
      <c r="AN17" s="863">
        <f t="shared" si="9"/>
        <v>-769.05418032786838</v>
      </c>
    </row>
    <row r="18" spans="1:41" ht="12" customHeight="1">
      <c r="A18" s="840" t="str">
        <f t="shared" si="2"/>
        <v>RuralResidentialSL035.0G1M001</v>
      </c>
      <c r="B18" s="840">
        <f t="shared" si="3"/>
        <v>1</v>
      </c>
      <c r="C18" s="883" t="s">
        <v>1979</v>
      </c>
      <c r="D18" s="883" t="s">
        <v>1980</v>
      </c>
      <c r="E18" s="883">
        <v>6.6</v>
      </c>
      <c r="F18" s="883"/>
      <c r="G18" s="860"/>
      <c r="H18" s="861">
        <v>477.76499999999999</v>
      </c>
      <c r="I18" s="861">
        <v>458.7</v>
      </c>
      <c r="J18" s="861">
        <v>448.8</v>
      </c>
      <c r="K18" s="861">
        <v>438.9</v>
      </c>
      <c r="L18" s="861">
        <v>442.56499999999994</v>
      </c>
      <c r="M18" s="861">
        <v>439.26499999999999</v>
      </c>
      <c r="N18" s="861">
        <v>445.5</v>
      </c>
      <c r="O18" s="861">
        <v>452.1</v>
      </c>
      <c r="P18" s="861">
        <v>452.1</v>
      </c>
      <c r="Q18" s="861">
        <v>458.7</v>
      </c>
      <c r="R18" s="861">
        <v>462</v>
      </c>
      <c r="S18" s="861">
        <v>491.69999999999993</v>
      </c>
      <c r="T18" s="863">
        <f t="shared" si="4"/>
        <v>5468.0949999999993</v>
      </c>
      <c r="U18" s="861"/>
      <c r="V18" s="861">
        <f t="shared" si="5"/>
        <v>72.388636363636365</v>
      </c>
      <c r="W18" s="861">
        <f t="shared" si="5"/>
        <v>69.5</v>
      </c>
      <c r="X18" s="861">
        <f t="shared" si="5"/>
        <v>68</v>
      </c>
      <c r="Y18" s="861">
        <f t="shared" si="5"/>
        <v>66.5</v>
      </c>
      <c r="Z18" s="861">
        <f t="shared" si="5"/>
        <v>67.055303030303023</v>
      </c>
      <c r="AA18" s="861">
        <f t="shared" si="5"/>
        <v>66.555303030303037</v>
      </c>
      <c r="AB18" s="861">
        <f t="shared" si="5"/>
        <v>67.5</v>
      </c>
      <c r="AC18" s="861">
        <f t="shared" si="5"/>
        <v>68.500000000000014</v>
      </c>
      <c r="AD18" s="861">
        <f t="shared" si="5"/>
        <v>68.500000000000014</v>
      </c>
      <c r="AE18" s="861">
        <f t="shared" si="5"/>
        <v>69.5</v>
      </c>
      <c r="AF18" s="861">
        <f t="shared" si="5"/>
        <v>70</v>
      </c>
      <c r="AG18" s="861">
        <f t="shared" si="5"/>
        <v>74.5</v>
      </c>
      <c r="AH18" s="861">
        <f t="shared" si="6"/>
        <v>69.041603535353531</v>
      </c>
      <c r="AI18" s="1071"/>
      <c r="AJ18" s="840"/>
      <c r="AK18" s="840">
        <v>6.45</v>
      </c>
      <c r="AL18" s="863">
        <f t="shared" si="7"/>
        <v>828.49924242424242</v>
      </c>
      <c r="AM18" s="861">
        <f t="shared" si="8"/>
        <v>5343.8201136363641</v>
      </c>
      <c r="AN18" s="863">
        <f t="shared" si="9"/>
        <v>-124.27488636363523</v>
      </c>
    </row>
    <row r="19" spans="1:41" ht="12" customHeight="1">
      <c r="A19" s="840" t="str">
        <f t="shared" si="2"/>
        <v>RuralResidentialSL035.0G1W001</v>
      </c>
      <c r="B19" s="840">
        <f t="shared" si="3"/>
        <v>1</v>
      </c>
      <c r="C19" s="883" t="s">
        <v>1981</v>
      </c>
      <c r="D19" s="883" t="s">
        <v>1982</v>
      </c>
      <c r="E19" s="883">
        <v>13.11</v>
      </c>
      <c r="F19" s="883"/>
      <c r="G19" s="860"/>
      <c r="H19" s="861">
        <v>29101.59</v>
      </c>
      <c r="I19" s="861">
        <v>29179.32</v>
      </c>
      <c r="J19" s="861">
        <v>28988.274999999998</v>
      </c>
      <c r="K19" s="861">
        <v>29020.014999999999</v>
      </c>
      <c r="L19" s="861">
        <v>29049.81</v>
      </c>
      <c r="M19" s="861">
        <v>29139.095000000001</v>
      </c>
      <c r="N19" s="861">
        <v>28837.234999999997</v>
      </c>
      <c r="O19" s="861">
        <v>28672.564999999999</v>
      </c>
      <c r="P19" s="861">
        <v>28899.174999999996</v>
      </c>
      <c r="Q19" s="861">
        <v>28668.730000000003</v>
      </c>
      <c r="R19" s="861">
        <v>28789.404999999999</v>
      </c>
      <c r="S19" s="861">
        <v>28389.865000000002</v>
      </c>
      <c r="T19" s="863">
        <f t="shared" si="4"/>
        <v>346735.07999999996</v>
      </c>
      <c r="U19" s="861"/>
      <c r="V19" s="861">
        <f t="shared" si="5"/>
        <v>2219.800915331808</v>
      </c>
      <c r="W19" s="861">
        <f t="shared" si="5"/>
        <v>2225.729977116705</v>
      </c>
      <c r="X19" s="861">
        <f t="shared" si="5"/>
        <v>2211.157513348589</v>
      </c>
      <c r="Y19" s="861">
        <f t="shared" si="5"/>
        <v>2213.5785659801677</v>
      </c>
      <c r="Z19" s="861">
        <f t="shared" si="5"/>
        <v>2215.8512585812359</v>
      </c>
      <c r="AA19" s="861">
        <f t="shared" si="5"/>
        <v>2222.6617086193746</v>
      </c>
      <c r="AB19" s="861">
        <f t="shared" si="5"/>
        <v>2199.6365369946602</v>
      </c>
      <c r="AC19" s="861">
        <f t="shared" si="5"/>
        <v>2187.075896262395</v>
      </c>
      <c r="AD19" s="861">
        <f t="shared" si="5"/>
        <v>2204.3611746758197</v>
      </c>
      <c r="AE19" s="861">
        <f t="shared" si="5"/>
        <v>2186.7833714721592</v>
      </c>
      <c r="AF19" s="861">
        <f t="shared" si="5"/>
        <v>2195.9881769641497</v>
      </c>
      <c r="AG19" s="861">
        <f t="shared" si="5"/>
        <v>2165.5122044241039</v>
      </c>
      <c r="AH19" s="861">
        <f t="shared" si="6"/>
        <v>2204.0114416475972</v>
      </c>
      <c r="AI19" s="1071"/>
      <c r="AJ19" s="840"/>
      <c r="AK19" s="840">
        <v>13.25</v>
      </c>
      <c r="AL19" s="863">
        <f t="shared" si="7"/>
        <v>26448.137299771166</v>
      </c>
      <c r="AM19" s="861">
        <f t="shared" si="8"/>
        <v>350437.81922196795</v>
      </c>
      <c r="AN19" s="863">
        <f t="shared" si="9"/>
        <v>3702.7392219679896</v>
      </c>
    </row>
    <row r="20" spans="1:41" ht="12" customHeight="1">
      <c r="A20" s="840" t="str">
        <f t="shared" si="2"/>
        <v>RuralResidentialSL065.0G1M001</v>
      </c>
      <c r="B20" s="840">
        <f t="shared" si="3"/>
        <v>1</v>
      </c>
      <c r="C20" s="883" t="s">
        <v>2032</v>
      </c>
      <c r="D20" s="883" t="s">
        <v>2033</v>
      </c>
      <c r="E20" s="883">
        <v>7.75</v>
      </c>
      <c r="F20" s="883"/>
      <c r="G20" s="860"/>
      <c r="H20" s="861">
        <v>259.77499999999998</v>
      </c>
      <c r="I20" s="861">
        <v>275.125</v>
      </c>
      <c r="J20" s="861">
        <v>271.25</v>
      </c>
      <c r="K20" s="861">
        <v>302.25</v>
      </c>
      <c r="L20" s="861">
        <v>321.625</v>
      </c>
      <c r="M20" s="861">
        <v>321.625</v>
      </c>
      <c r="N20" s="861">
        <v>310</v>
      </c>
      <c r="O20" s="861">
        <v>290.625</v>
      </c>
      <c r="P20" s="861">
        <v>286.75</v>
      </c>
      <c r="Q20" s="861">
        <v>299.34500000000003</v>
      </c>
      <c r="R20" s="861">
        <v>273.08</v>
      </c>
      <c r="S20" s="861">
        <v>275.98500000000001</v>
      </c>
      <c r="T20" s="863">
        <f t="shared" si="4"/>
        <v>3487.4349999999999</v>
      </c>
      <c r="U20" s="861"/>
      <c r="V20" s="861">
        <f t="shared" si="5"/>
        <v>33.519354838709674</v>
      </c>
      <c r="W20" s="861">
        <f t="shared" si="5"/>
        <v>35.5</v>
      </c>
      <c r="X20" s="861">
        <f t="shared" si="5"/>
        <v>35</v>
      </c>
      <c r="Y20" s="861">
        <f t="shared" si="5"/>
        <v>39</v>
      </c>
      <c r="Z20" s="861">
        <f t="shared" si="5"/>
        <v>41.5</v>
      </c>
      <c r="AA20" s="861">
        <f t="shared" si="5"/>
        <v>41.5</v>
      </c>
      <c r="AB20" s="861">
        <f t="shared" si="5"/>
        <v>40</v>
      </c>
      <c r="AC20" s="861">
        <f t="shared" si="5"/>
        <v>37.5</v>
      </c>
      <c r="AD20" s="861">
        <f t="shared" si="5"/>
        <v>37</v>
      </c>
      <c r="AE20" s="861">
        <f t="shared" si="5"/>
        <v>38.625161290322588</v>
      </c>
      <c r="AF20" s="861">
        <f t="shared" si="5"/>
        <v>35.236129032258063</v>
      </c>
      <c r="AG20" s="861">
        <f t="shared" si="5"/>
        <v>35.610967741935482</v>
      </c>
      <c r="AH20" s="861">
        <f t="shared" si="6"/>
        <v>37.499301075268818</v>
      </c>
      <c r="AI20" s="1071"/>
      <c r="AJ20" s="840"/>
      <c r="AK20" s="840">
        <v>0</v>
      </c>
      <c r="AL20" s="863">
        <f t="shared" si="7"/>
        <v>449.99161290322581</v>
      </c>
      <c r="AM20" s="861">
        <f t="shared" si="8"/>
        <v>0</v>
      </c>
      <c r="AN20" s="863">
        <f t="shared" si="9"/>
        <v>-3487.4349999999999</v>
      </c>
      <c r="AO20" s="922"/>
    </row>
    <row r="21" spans="1:41" ht="12" customHeight="1">
      <c r="A21" s="840" t="str">
        <f t="shared" si="2"/>
        <v>RuralResidentialSL065.0G1W001</v>
      </c>
      <c r="B21" s="840">
        <f t="shared" si="3"/>
        <v>1</v>
      </c>
      <c r="C21" s="883" t="s">
        <v>1983</v>
      </c>
      <c r="D21" s="883" t="s">
        <v>1984</v>
      </c>
      <c r="E21" s="883">
        <v>20.100000000000001</v>
      </c>
      <c r="F21" s="883"/>
      <c r="G21" s="860"/>
      <c r="H21" s="861">
        <v>33193.24</v>
      </c>
      <c r="I21" s="861">
        <v>32916.28</v>
      </c>
      <c r="J21" s="861">
        <v>33101.894999999997</v>
      </c>
      <c r="K21" s="861">
        <v>33393.130000000005</v>
      </c>
      <c r="L21" s="861">
        <v>33616.879999999997</v>
      </c>
      <c r="M21" s="861">
        <v>33841.305</v>
      </c>
      <c r="N21" s="861">
        <v>34158.709999999992</v>
      </c>
      <c r="O21" s="861">
        <v>34165.990000000005</v>
      </c>
      <c r="P21" s="861">
        <v>34557.9</v>
      </c>
      <c r="Q21" s="861">
        <v>34584.635000000009</v>
      </c>
      <c r="R21" s="861">
        <v>34543.240000000005</v>
      </c>
      <c r="S21" s="861">
        <v>34325.224999999991</v>
      </c>
      <c r="T21" s="863">
        <f t="shared" si="4"/>
        <v>406398.43</v>
      </c>
      <c r="U21" s="861"/>
      <c r="V21" s="861">
        <f t="shared" si="5"/>
        <v>1651.4049751243779</v>
      </c>
      <c r="W21" s="861">
        <f t="shared" si="5"/>
        <v>1637.6258706467661</v>
      </c>
      <c r="X21" s="861">
        <f t="shared" si="5"/>
        <v>1646.8604477611937</v>
      </c>
      <c r="Y21" s="861">
        <f t="shared" si="5"/>
        <v>1661.3497512437812</v>
      </c>
      <c r="Z21" s="861">
        <f t="shared" si="5"/>
        <v>1672.4815920398007</v>
      </c>
      <c r="AA21" s="861">
        <f t="shared" si="5"/>
        <v>1683.647014925373</v>
      </c>
      <c r="AB21" s="861">
        <f t="shared" si="5"/>
        <v>1699.4383084577109</v>
      </c>
      <c r="AC21" s="861">
        <f t="shared" si="5"/>
        <v>1699.8004975124379</v>
      </c>
      <c r="AD21" s="861">
        <f t="shared" si="5"/>
        <v>1719.2985074626865</v>
      </c>
      <c r="AE21" s="861">
        <f t="shared" si="5"/>
        <v>1720.6286069651744</v>
      </c>
      <c r="AF21" s="861">
        <f t="shared" si="5"/>
        <v>1718.569154228856</v>
      </c>
      <c r="AG21" s="861">
        <f t="shared" si="5"/>
        <v>1707.7226368159199</v>
      </c>
      <c r="AH21" s="861">
        <f t="shared" si="6"/>
        <v>1684.9022802653401</v>
      </c>
      <c r="AI21" s="1071"/>
      <c r="AJ21" s="840"/>
      <c r="AK21" s="840">
        <v>19.940000000000001</v>
      </c>
      <c r="AL21" s="863">
        <f t="shared" si="7"/>
        <v>20218.827363184082</v>
      </c>
      <c r="AM21" s="861">
        <f t="shared" si="8"/>
        <v>403163.41762189061</v>
      </c>
      <c r="AN21" s="863">
        <f t="shared" si="9"/>
        <v>-3235.0123781093862</v>
      </c>
    </row>
    <row r="22" spans="1:41" ht="12" customHeight="1">
      <c r="A22" s="840" t="str">
        <f t="shared" si="2"/>
        <v>RuralResidentialSL095.0G1M001</v>
      </c>
      <c r="B22" s="840">
        <f t="shared" si="3"/>
        <v>1</v>
      </c>
      <c r="C22" s="883" t="s">
        <v>1985</v>
      </c>
      <c r="D22" s="883" t="s">
        <v>1986</v>
      </c>
      <c r="E22" s="883">
        <v>8.98</v>
      </c>
      <c r="F22" s="883"/>
      <c r="G22" s="860"/>
      <c r="H22" s="861">
        <v>425.05500000000001</v>
      </c>
      <c r="I22" s="861">
        <v>435.53</v>
      </c>
      <c r="J22" s="861">
        <v>431.04</v>
      </c>
      <c r="K22" s="861">
        <v>431.04</v>
      </c>
      <c r="L22" s="861">
        <v>440.02</v>
      </c>
      <c r="M22" s="861">
        <v>448</v>
      </c>
      <c r="N22" s="861">
        <v>443.51</v>
      </c>
      <c r="O22" s="861">
        <v>453.49</v>
      </c>
      <c r="P22" s="861">
        <v>484.92</v>
      </c>
      <c r="Q22" s="861">
        <v>489.41</v>
      </c>
      <c r="R22" s="861">
        <v>484.92</v>
      </c>
      <c r="S22" s="861">
        <v>466.96</v>
      </c>
      <c r="T22" s="863">
        <f t="shared" si="4"/>
        <v>5433.8949999999995</v>
      </c>
      <c r="U22" s="861"/>
      <c r="V22" s="861">
        <f t="shared" si="5"/>
        <v>47.33351893095768</v>
      </c>
      <c r="W22" s="861">
        <f t="shared" si="5"/>
        <v>48.499999999999993</v>
      </c>
      <c r="X22" s="861">
        <f t="shared" si="5"/>
        <v>48</v>
      </c>
      <c r="Y22" s="861">
        <f t="shared" si="5"/>
        <v>48</v>
      </c>
      <c r="Z22" s="861">
        <f t="shared" si="5"/>
        <v>48.999999999999993</v>
      </c>
      <c r="AA22" s="861">
        <f t="shared" si="5"/>
        <v>49.88864142538975</v>
      </c>
      <c r="AB22" s="861">
        <f t="shared" si="5"/>
        <v>49.38864142538975</v>
      </c>
      <c r="AC22" s="861">
        <f t="shared" si="5"/>
        <v>50.5</v>
      </c>
      <c r="AD22" s="861">
        <f t="shared" si="5"/>
        <v>54</v>
      </c>
      <c r="AE22" s="861">
        <f t="shared" si="5"/>
        <v>54.5</v>
      </c>
      <c r="AF22" s="861">
        <f t="shared" si="5"/>
        <v>54</v>
      </c>
      <c r="AG22" s="861">
        <f t="shared" si="5"/>
        <v>51.999999999999993</v>
      </c>
      <c r="AH22" s="861">
        <f t="shared" si="6"/>
        <v>50.4259001484781</v>
      </c>
      <c r="AI22" s="1071"/>
      <c r="AJ22" s="840"/>
      <c r="AK22" s="840">
        <v>9.7899999999999991</v>
      </c>
      <c r="AL22" s="863">
        <f t="shared" si="7"/>
        <v>605.11080178173722</v>
      </c>
      <c r="AM22" s="861">
        <f t="shared" si="8"/>
        <v>5924.0347494432071</v>
      </c>
      <c r="AN22" s="863">
        <f t="shared" si="9"/>
        <v>490.13974944320762</v>
      </c>
    </row>
    <row r="23" spans="1:41" ht="12" customHeight="1">
      <c r="A23" s="840" t="str">
        <f t="shared" si="2"/>
        <v>RuralResidentialSL095.0G1W001</v>
      </c>
      <c r="B23" s="840">
        <f t="shared" si="3"/>
        <v>1</v>
      </c>
      <c r="C23" s="883" t="s">
        <v>1987</v>
      </c>
      <c r="D23" s="883" t="s">
        <v>1988</v>
      </c>
      <c r="E23" s="883">
        <v>27.66</v>
      </c>
      <c r="F23" s="883"/>
      <c r="G23" s="860"/>
      <c r="H23" s="861">
        <v>14773.13</v>
      </c>
      <c r="I23" s="861">
        <v>14911.824999999999</v>
      </c>
      <c r="J23" s="861">
        <v>15021.305</v>
      </c>
      <c r="K23" s="861">
        <v>15212.445</v>
      </c>
      <c r="L23" s="861">
        <v>15621.074999999999</v>
      </c>
      <c r="M23" s="861">
        <v>15987.025000000001</v>
      </c>
      <c r="N23" s="861">
        <v>15882.334999999999</v>
      </c>
      <c r="O23" s="861">
        <v>15997.8</v>
      </c>
      <c r="P23" s="861">
        <v>15870.73</v>
      </c>
      <c r="Q23" s="861">
        <v>16252.199999999999</v>
      </c>
      <c r="R23" s="861">
        <v>16496.02</v>
      </c>
      <c r="S23" s="861">
        <v>15590.494999999999</v>
      </c>
      <c r="T23" s="863">
        <f t="shared" si="4"/>
        <v>187616.38499999998</v>
      </c>
      <c r="U23" s="861"/>
      <c r="V23" s="861">
        <f t="shared" si="5"/>
        <v>534.09725234996381</v>
      </c>
      <c r="W23" s="861">
        <f t="shared" si="5"/>
        <v>539.1115328994938</v>
      </c>
      <c r="X23" s="861">
        <f t="shared" si="5"/>
        <v>543.06959508315254</v>
      </c>
      <c r="Y23" s="861">
        <f t="shared" si="5"/>
        <v>549.97993492407807</v>
      </c>
      <c r="Z23" s="861">
        <f t="shared" si="5"/>
        <v>564.75325379609535</v>
      </c>
      <c r="AA23" s="861">
        <f t="shared" si="5"/>
        <v>577.98355025307308</v>
      </c>
      <c r="AB23" s="861">
        <f t="shared" si="5"/>
        <v>574.19866232827189</v>
      </c>
      <c r="AC23" s="861">
        <f t="shared" si="5"/>
        <v>578.37310195227758</v>
      </c>
      <c r="AD23" s="861">
        <f t="shared" si="5"/>
        <v>573.77910339840923</v>
      </c>
      <c r="AE23" s="861">
        <f t="shared" si="5"/>
        <v>587.57049891540123</v>
      </c>
      <c r="AF23" s="861">
        <f t="shared" si="5"/>
        <v>596.38539407086046</v>
      </c>
      <c r="AG23" s="861">
        <f t="shared" si="5"/>
        <v>563.64768618944322</v>
      </c>
      <c r="AH23" s="861">
        <f t="shared" si="6"/>
        <v>565.24579718004338</v>
      </c>
      <c r="AI23" s="1071"/>
      <c r="AJ23" s="840"/>
      <c r="AK23" s="840">
        <v>27.89</v>
      </c>
      <c r="AL23" s="863">
        <f t="shared" si="7"/>
        <v>6782.9495661605206</v>
      </c>
      <c r="AM23" s="861">
        <f t="shared" si="8"/>
        <v>189176.46340021692</v>
      </c>
      <c r="AN23" s="863">
        <f t="shared" si="9"/>
        <v>1560.0784002169385</v>
      </c>
    </row>
    <row r="24" spans="1:41" ht="12" customHeight="1">
      <c r="A24" s="840" t="str">
        <f t="shared" si="2"/>
        <v>RuralResidentialSP35-RES</v>
      </c>
      <c r="B24" s="840">
        <f t="shared" si="3"/>
        <v>1</v>
      </c>
      <c r="C24" s="1073" t="s">
        <v>1992</v>
      </c>
      <c r="D24" s="883"/>
      <c r="E24" s="883">
        <v>8.65</v>
      </c>
      <c r="F24" s="883"/>
      <c r="G24" s="860"/>
      <c r="H24" s="861">
        <v>8.65</v>
      </c>
      <c r="I24" s="861">
        <v>8.65</v>
      </c>
      <c r="J24" s="861">
        <v>17.3</v>
      </c>
      <c r="K24" s="861">
        <v>0</v>
      </c>
      <c r="L24" s="861">
        <v>17.3</v>
      </c>
      <c r="M24" s="861">
        <v>8.65</v>
      </c>
      <c r="N24" s="861">
        <v>17.3</v>
      </c>
      <c r="O24" s="861">
        <v>8.65</v>
      </c>
      <c r="P24" s="861">
        <v>17.3</v>
      </c>
      <c r="Q24" s="861">
        <v>0</v>
      </c>
      <c r="R24" s="861">
        <v>0</v>
      </c>
      <c r="S24" s="861">
        <v>0</v>
      </c>
      <c r="T24" s="863">
        <f t="shared" si="4"/>
        <v>103.80000000000001</v>
      </c>
      <c r="U24" s="861"/>
      <c r="V24" s="861">
        <f t="shared" si="5"/>
        <v>1</v>
      </c>
      <c r="W24" s="861">
        <f t="shared" si="5"/>
        <v>1</v>
      </c>
      <c r="X24" s="861">
        <f t="shared" si="5"/>
        <v>2</v>
      </c>
      <c r="Y24" s="861">
        <f t="shared" si="5"/>
        <v>0</v>
      </c>
      <c r="Z24" s="861">
        <f t="shared" si="5"/>
        <v>2</v>
      </c>
      <c r="AA24" s="861">
        <f t="shared" si="5"/>
        <v>1</v>
      </c>
      <c r="AB24" s="861">
        <f t="shared" si="5"/>
        <v>2</v>
      </c>
      <c r="AC24" s="861">
        <f t="shared" si="5"/>
        <v>1</v>
      </c>
      <c r="AD24" s="861">
        <f t="shared" si="5"/>
        <v>2</v>
      </c>
      <c r="AE24" s="861">
        <f t="shared" si="5"/>
        <v>0</v>
      </c>
      <c r="AF24" s="861">
        <f t="shared" si="5"/>
        <v>0</v>
      </c>
      <c r="AG24" s="861">
        <f t="shared" si="5"/>
        <v>0</v>
      </c>
      <c r="AH24" s="861">
        <f t="shared" si="6"/>
        <v>1</v>
      </c>
      <c r="AI24" s="1071"/>
      <c r="AJ24" s="840"/>
      <c r="AK24" s="840">
        <v>11.47</v>
      </c>
      <c r="AL24" s="863">
        <f t="shared" si="7"/>
        <v>12</v>
      </c>
      <c r="AM24" s="861">
        <f t="shared" si="8"/>
        <v>137.64000000000001</v>
      </c>
      <c r="AN24" s="863">
        <f t="shared" si="9"/>
        <v>33.840000000000003</v>
      </c>
    </row>
    <row r="25" spans="1:41" ht="12" customHeight="1">
      <c r="A25" s="840" t="str">
        <f t="shared" si="2"/>
        <v>RuralResidentialSP65-RES</v>
      </c>
      <c r="B25" s="840">
        <f t="shared" si="3"/>
        <v>1</v>
      </c>
      <c r="C25" s="1073" t="s">
        <v>1994</v>
      </c>
      <c r="D25" s="883"/>
      <c r="E25" s="883">
        <v>12.39</v>
      </c>
      <c r="F25" s="883"/>
      <c r="G25" s="860"/>
      <c r="H25" s="861">
        <v>12.39</v>
      </c>
      <c r="I25" s="861">
        <v>12.39</v>
      </c>
      <c r="J25" s="861">
        <v>74.34</v>
      </c>
      <c r="K25" s="861">
        <v>12.39</v>
      </c>
      <c r="L25" s="861">
        <v>12.39</v>
      </c>
      <c r="M25" s="861">
        <v>12.39</v>
      </c>
      <c r="N25" s="861">
        <v>0</v>
      </c>
      <c r="O25" s="861">
        <v>12.39</v>
      </c>
      <c r="P25" s="861">
        <v>24.78</v>
      </c>
      <c r="Q25" s="861">
        <v>0</v>
      </c>
      <c r="R25" s="861">
        <v>0</v>
      </c>
      <c r="S25" s="861">
        <v>12.39</v>
      </c>
      <c r="T25" s="863">
        <f t="shared" si="4"/>
        <v>185.85000000000002</v>
      </c>
      <c r="U25" s="861"/>
      <c r="V25" s="861">
        <f t="shared" si="5"/>
        <v>1</v>
      </c>
      <c r="W25" s="861">
        <f t="shared" si="5"/>
        <v>1</v>
      </c>
      <c r="X25" s="861">
        <f t="shared" si="5"/>
        <v>6</v>
      </c>
      <c r="Y25" s="861">
        <f t="shared" si="5"/>
        <v>1</v>
      </c>
      <c r="Z25" s="861">
        <f t="shared" si="5"/>
        <v>1</v>
      </c>
      <c r="AA25" s="861">
        <f t="shared" si="5"/>
        <v>1</v>
      </c>
      <c r="AB25" s="861">
        <f t="shared" si="5"/>
        <v>0</v>
      </c>
      <c r="AC25" s="861">
        <f t="shared" si="5"/>
        <v>1</v>
      </c>
      <c r="AD25" s="861">
        <f t="shared" si="5"/>
        <v>2</v>
      </c>
      <c r="AE25" s="861">
        <f t="shared" si="5"/>
        <v>0</v>
      </c>
      <c r="AF25" s="861">
        <f t="shared" si="5"/>
        <v>0</v>
      </c>
      <c r="AG25" s="861">
        <f t="shared" si="5"/>
        <v>1</v>
      </c>
      <c r="AH25" s="861">
        <f t="shared" si="6"/>
        <v>1.25</v>
      </c>
      <c r="AI25" s="1071"/>
      <c r="AJ25" s="840"/>
      <c r="AK25" s="840">
        <v>15.04</v>
      </c>
      <c r="AL25" s="863">
        <f t="shared" si="7"/>
        <v>15</v>
      </c>
      <c r="AM25" s="861">
        <f t="shared" si="8"/>
        <v>225.6</v>
      </c>
      <c r="AN25" s="863">
        <f t="shared" si="9"/>
        <v>39.749999999999972</v>
      </c>
    </row>
    <row r="26" spans="1:41" ht="12" customHeight="1">
      <c r="A26" s="840" t="str">
        <f t="shared" si="2"/>
        <v>RuralResidentialSP95-RES</v>
      </c>
      <c r="B26" s="840">
        <f t="shared" si="3"/>
        <v>1</v>
      </c>
      <c r="C26" s="1073" t="s">
        <v>1996</v>
      </c>
      <c r="D26" s="883"/>
      <c r="E26" s="883">
        <v>16.13</v>
      </c>
      <c r="F26" s="883"/>
      <c r="G26" s="860"/>
      <c r="H26" s="861">
        <v>16.13</v>
      </c>
      <c r="I26" s="861">
        <v>0</v>
      </c>
      <c r="J26" s="861">
        <v>0</v>
      </c>
      <c r="K26" s="861">
        <v>0</v>
      </c>
      <c r="L26" s="861">
        <v>64.52</v>
      </c>
      <c r="M26" s="861">
        <v>32.26</v>
      </c>
      <c r="N26" s="861">
        <v>32.26</v>
      </c>
      <c r="O26" s="861">
        <v>16.13</v>
      </c>
      <c r="P26" s="861">
        <v>32.26</v>
      </c>
      <c r="Q26" s="861">
        <v>32.26</v>
      </c>
      <c r="R26" s="861">
        <v>0</v>
      </c>
      <c r="S26" s="861">
        <v>48.39</v>
      </c>
      <c r="T26" s="863">
        <f t="shared" si="4"/>
        <v>274.20999999999998</v>
      </c>
      <c r="U26" s="861"/>
      <c r="V26" s="861">
        <f t="shared" si="5"/>
        <v>1</v>
      </c>
      <c r="W26" s="861">
        <f t="shared" si="5"/>
        <v>0</v>
      </c>
      <c r="X26" s="861">
        <f t="shared" si="5"/>
        <v>0</v>
      </c>
      <c r="Y26" s="861">
        <f t="shared" si="5"/>
        <v>0</v>
      </c>
      <c r="Z26" s="861">
        <f t="shared" si="5"/>
        <v>4</v>
      </c>
      <c r="AA26" s="861">
        <f t="shared" si="5"/>
        <v>2</v>
      </c>
      <c r="AB26" s="861">
        <f t="shared" si="5"/>
        <v>2</v>
      </c>
      <c r="AC26" s="861">
        <f t="shared" si="5"/>
        <v>1</v>
      </c>
      <c r="AD26" s="861">
        <f t="shared" si="5"/>
        <v>2</v>
      </c>
      <c r="AE26" s="861">
        <f t="shared" si="5"/>
        <v>2</v>
      </c>
      <c r="AF26" s="861">
        <f t="shared" si="5"/>
        <v>0</v>
      </c>
      <c r="AG26" s="861">
        <f t="shared" si="5"/>
        <v>3</v>
      </c>
      <c r="AH26" s="861">
        <f t="shared" si="6"/>
        <v>1.4166666666666667</v>
      </c>
      <c r="AI26" s="1071"/>
      <c r="AJ26" s="840"/>
      <c r="AK26" s="840">
        <v>18.61</v>
      </c>
      <c r="AL26" s="863">
        <f t="shared" si="7"/>
        <v>17</v>
      </c>
      <c r="AM26" s="861">
        <f t="shared" si="8"/>
        <v>316.37</v>
      </c>
      <c r="AN26" s="863">
        <f t="shared" si="9"/>
        <v>42.160000000000025</v>
      </c>
    </row>
    <row r="27" spans="1:41" ht="12" customHeight="1">
      <c r="A27" s="840" t="str">
        <f t="shared" si="2"/>
        <v>RuralResidentialSPREC-RES</v>
      </c>
      <c r="B27" s="840">
        <f t="shared" si="3"/>
        <v>1</v>
      </c>
      <c r="C27" s="883" t="s">
        <v>2040</v>
      </c>
      <c r="D27" s="883" t="s">
        <v>2041</v>
      </c>
      <c r="E27" s="883">
        <v>8.65</v>
      </c>
      <c r="F27" s="883"/>
      <c r="G27" s="860"/>
      <c r="H27" s="861">
        <v>8.65</v>
      </c>
      <c r="I27" s="861">
        <v>8.65</v>
      </c>
      <c r="J27" s="861">
        <v>43.25</v>
      </c>
      <c r="K27" s="861">
        <v>25.950000000000003</v>
      </c>
      <c r="L27" s="861">
        <v>17.3</v>
      </c>
      <c r="M27" s="861">
        <v>17.3</v>
      </c>
      <c r="N27" s="861">
        <v>8.65</v>
      </c>
      <c r="O27" s="861">
        <v>8.65</v>
      </c>
      <c r="P27" s="861">
        <v>43.25</v>
      </c>
      <c r="Q27" s="861">
        <v>8.65</v>
      </c>
      <c r="R27" s="861">
        <v>0</v>
      </c>
      <c r="S27" s="861">
        <v>0</v>
      </c>
      <c r="T27" s="863">
        <f t="shared" si="4"/>
        <v>190.3</v>
      </c>
      <c r="U27" s="861"/>
      <c r="V27" s="861">
        <f t="shared" si="5"/>
        <v>1</v>
      </c>
      <c r="W27" s="861">
        <f t="shared" si="5"/>
        <v>1</v>
      </c>
      <c r="X27" s="861">
        <f t="shared" si="5"/>
        <v>5</v>
      </c>
      <c r="Y27" s="861">
        <f t="shared" si="5"/>
        <v>3</v>
      </c>
      <c r="Z27" s="861">
        <f t="shared" si="5"/>
        <v>2</v>
      </c>
      <c r="AA27" s="861">
        <f t="shared" si="5"/>
        <v>2</v>
      </c>
      <c r="AB27" s="861">
        <f t="shared" si="5"/>
        <v>1</v>
      </c>
      <c r="AC27" s="861">
        <f t="shared" si="5"/>
        <v>1</v>
      </c>
      <c r="AD27" s="861">
        <f t="shared" si="5"/>
        <v>5</v>
      </c>
      <c r="AE27" s="861">
        <f t="shared" si="5"/>
        <v>1</v>
      </c>
      <c r="AF27" s="861">
        <f t="shared" si="5"/>
        <v>0</v>
      </c>
      <c r="AG27" s="861">
        <f t="shared" si="5"/>
        <v>0</v>
      </c>
      <c r="AH27" s="861">
        <f t="shared" si="6"/>
        <v>1.8333333333333333</v>
      </c>
      <c r="AI27" s="1071"/>
      <c r="AJ27" s="840"/>
      <c r="AK27" s="840">
        <v>11.47</v>
      </c>
      <c r="AL27" s="863">
        <f t="shared" si="7"/>
        <v>22</v>
      </c>
      <c r="AM27" s="861">
        <f t="shared" si="8"/>
        <v>252.34</v>
      </c>
      <c r="AN27" s="863">
        <f t="shared" si="9"/>
        <v>62.039999999999992</v>
      </c>
    </row>
    <row r="28" spans="1:41" ht="12" customHeight="1">
      <c r="A28" s="840" t="str">
        <f t="shared" si="2"/>
        <v>RuralResidentialEXTRA-RES</v>
      </c>
      <c r="B28" s="840">
        <f t="shared" si="3"/>
        <v>1</v>
      </c>
      <c r="C28" s="883" t="s">
        <v>2004</v>
      </c>
      <c r="D28" s="883" t="s">
        <v>2005</v>
      </c>
      <c r="E28" s="883">
        <v>3.79</v>
      </c>
      <c r="F28" s="883"/>
      <c r="G28" s="860"/>
      <c r="H28" s="861">
        <v>1447.9800000000002</v>
      </c>
      <c r="I28" s="861">
        <v>1735.8200000000002</v>
      </c>
      <c r="J28" s="861">
        <v>1489.47</v>
      </c>
      <c r="K28" s="861">
        <v>1296.1799999999998</v>
      </c>
      <c r="L28" s="861">
        <v>803.48</v>
      </c>
      <c r="M28" s="861">
        <v>773.16</v>
      </c>
      <c r="N28" s="861">
        <v>1474.3500000000001</v>
      </c>
      <c r="O28" s="861">
        <v>1398.51</v>
      </c>
      <c r="P28" s="861">
        <v>1349.36</v>
      </c>
      <c r="Q28" s="861">
        <v>1027.04</v>
      </c>
      <c r="R28" s="861">
        <v>1099.01</v>
      </c>
      <c r="S28" s="861">
        <v>1048.8400000000001</v>
      </c>
      <c r="T28" s="863">
        <f t="shared" si="4"/>
        <v>14943.200000000003</v>
      </c>
      <c r="U28" s="861"/>
      <c r="V28" s="861">
        <f t="shared" si="5"/>
        <v>382.05277044854887</v>
      </c>
      <c r="W28" s="861">
        <f t="shared" si="5"/>
        <v>458.00000000000006</v>
      </c>
      <c r="X28" s="861">
        <f t="shared" si="5"/>
        <v>393</v>
      </c>
      <c r="Y28" s="861">
        <f t="shared" si="5"/>
        <v>341.99999999999994</v>
      </c>
      <c r="Z28" s="861">
        <f t="shared" si="5"/>
        <v>212</v>
      </c>
      <c r="AA28" s="861">
        <f t="shared" si="5"/>
        <v>204</v>
      </c>
      <c r="AB28" s="861">
        <f t="shared" si="5"/>
        <v>389.01055408970979</v>
      </c>
      <c r="AC28" s="861">
        <f t="shared" si="5"/>
        <v>369</v>
      </c>
      <c r="AD28" s="861">
        <f t="shared" si="5"/>
        <v>356.03166226912924</v>
      </c>
      <c r="AE28" s="861">
        <f t="shared" si="5"/>
        <v>270.98680738786277</v>
      </c>
      <c r="AF28" s="861">
        <f t="shared" si="5"/>
        <v>289.97625329815304</v>
      </c>
      <c r="AG28" s="861">
        <f t="shared" si="5"/>
        <v>276.73878627968344</v>
      </c>
      <c r="AH28" s="861">
        <f t="shared" si="6"/>
        <v>328.56640281442395</v>
      </c>
      <c r="AI28" s="1071"/>
      <c r="AJ28" s="840"/>
      <c r="AK28" s="840">
        <v>3.83</v>
      </c>
      <c r="AL28" s="863">
        <f t="shared" si="7"/>
        <v>3942.7968337730877</v>
      </c>
      <c r="AM28" s="861">
        <f t="shared" si="8"/>
        <v>15100.911873350926</v>
      </c>
      <c r="AN28" s="863">
        <f t="shared" si="9"/>
        <v>157.71187335092327</v>
      </c>
    </row>
    <row r="29" spans="1:41" ht="12" customHeight="1">
      <c r="A29" s="840" t="str">
        <f t="shared" si="2"/>
        <v>RuralResidentialDISP-RES</v>
      </c>
      <c r="B29" s="840">
        <f t="shared" si="3"/>
        <v>1</v>
      </c>
      <c r="C29" s="1073" t="s">
        <v>1998</v>
      </c>
      <c r="D29" s="883"/>
      <c r="E29" s="883">
        <v>0</v>
      </c>
      <c r="F29" s="883"/>
      <c r="G29" s="860"/>
      <c r="H29" s="861">
        <v>0</v>
      </c>
      <c r="I29" s="861">
        <v>29</v>
      </c>
      <c r="J29" s="861">
        <v>0</v>
      </c>
      <c r="K29" s="861">
        <v>0</v>
      </c>
      <c r="L29" s="861">
        <v>18</v>
      </c>
      <c r="M29" s="861">
        <v>0</v>
      </c>
      <c r="N29" s="861">
        <v>0</v>
      </c>
      <c r="O29" s="861">
        <v>0</v>
      </c>
      <c r="P29" s="861">
        <v>0</v>
      </c>
      <c r="Q29" s="861">
        <v>0</v>
      </c>
      <c r="R29" s="861">
        <v>37</v>
      </c>
      <c r="S29" s="861">
        <v>18</v>
      </c>
      <c r="T29" s="863">
        <f t="shared" si="4"/>
        <v>102</v>
      </c>
      <c r="U29" s="861"/>
      <c r="V29" s="861">
        <f t="shared" si="5"/>
        <v>0</v>
      </c>
      <c r="W29" s="861">
        <f t="shared" si="5"/>
        <v>0</v>
      </c>
      <c r="X29" s="861">
        <f t="shared" si="5"/>
        <v>0</v>
      </c>
      <c r="Y29" s="861">
        <f t="shared" si="5"/>
        <v>0</v>
      </c>
      <c r="Z29" s="861">
        <f t="shared" si="5"/>
        <v>0</v>
      </c>
      <c r="AA29" s="861">
        <f t="shared" si="5"/>
        <v>0</v>
      </c>
      <c r="AB29" s="861">
        <f t="shared" si="5"/>
        <v>0</v>
      </c>
      <c r="AC29" s="861">
        <f t="shared" si="5"/>
        <v>0</v>
      </c>
      <c r="AD29" s="861">
        <f t="shared" si="5"/>
        <v>0</v>
      </c>
      <c r="AE29" s="861">
        <f t="shared" si="5"/>
        <v>0</v>
      </c>
      <c r="AF29" s="861">
        <f t="shared" si="5"/>
        <v>0</v>
      </c>
      <c r="AG29" s="861">
        <f t="shared" si="5"/>
        <v>0</v>
      </c>
      <c r="AH29" s="861">
        <f t="shared" si="6"/>
        <v>0</v>
      </c>
      <c r="AI29" s="1071"/>
      <c r="AJ29" s="840"/>
      <c r="AK29" s="840">
        <v>0</v>
      </c>
      <c r="AL29" s="863">
        <f t="shared" si="7"/>
        <v>0</v>
      </c>
      <c r="AM29" s="861">
        <f t="shared" si="8"/>
        <v>0</v>
      </c>
      <c r="AN29" s="863">
        <f t="shared" si="9"/>
        <v>-102</v>
      </c>
    </row>
    <row r="30" spans="1:41" ht="12" customHeight="1">
      <c r="A30" s="840" t="str">
        <f t="shared" si="2"/>
        <v>RuralResidentialDRIVEIN1-RES</v>
      </c>
      <c r="B30" s="840">
        <f t="shared" si="3"/>
        <v>1</v>
      </c>
      <c r="C30" s="883" t="s">
        <v>2000</v>
      </c>
      <c r="D30" s="883" t="s">
        <v>2001</v>
      </c>
      <c r="E30" s="883">
        <v>6.5</v>
      </c>
      <c r="F30" s="883"/>
      <c r="G30" s="860"/>
      <c r="H30" s="861">
        <v>58.5</v>
      </c>
      <c r="I30" s="861">
        <v>58.5</v>
      </c>
      <c r="J30" s="861">
        <v>58.5</v>
      </c>
      <c r="K30" s="861">
        <v>65</v>
      </c>
      <c r="L30" s="861">
        <v>65</v>
      </c>
      <c r="M30" s="861">
        <v>71.5</v>
      </c>
      <c r="N30" s="861">
        <v>74.75</v>
      </c>
      <c r="O30" s="861">
        <v>74.75</v>
      </c>
      <c r="P30" s="861">
        <v>78</v>
      </c>
      <c r="Q30" s="861">
        <v>78</v>
      </c>
      <c r="R30" s="861">
        <v>78</v>
      </c>
      <c r="S30" s="861">
        <v>78</v>
      </c>
      <c r="T30" s="863">
        <f t="shared" si="4"/>
        <v>838.5</v>
      </c>
      <c r="U30" s="861"/>
      <c r="V30" s="861">
        <f t="shared" si="5"/>
        <v>9</v>
      </c>
      <c r="W30" s="861">
        <f t="shared" si="5"/>
        <v>9</v>
      </c>
      <c r="X30" s="861">
        <f t="shared" si="5"/>
        <v>9</v>
      </c>
      <c r="Y30" s="861">
        <f t="shared" si="5"/>
        <v>10</v>
      </c>
      <c r="Z30" s="861">
        <f t="shared" si="5"/>
        <v>10</v>
      </c>
      <c r="AA30" s="861">
        <f t="shared" si="5"/>
        <v>11</v>
      </c>
      <c r="AB30" s="861">
        <f t="shared" si="5"/>
        <v>11.5</v>
      </c>
      <c r="AC30" s="861">
        <f t="shared" si="5"/>
        <v>11.5</v>
      </c>
      <c r="AD30" s="861">
        <f t="shared" si="5"/>
        <v>12</v>
      </c>
      <c r="AE30" s="861">
        <f t="shared" si="5"/>
        <v>12</v>
      </c>
      <c r="AF30" s="861">
        <f t="shared" si="5"/>
        <v>12</v>
      </c>
      <c r="AG30" s="861">
        <f t="shared" si="5"/>
        <v>12</v>
      </c>
      <c r="AH30" s="861">
        <f t="shared" si="6"/>
        <v>10.75</v>
      </c>
      <c r="AI30" s="1071"/>
      <c r="AJ30" s="840"/>
      <c r="AK30" s="840">
        <v>6.3</v>
      </c>
      <c r="AL30" s="863">
        <f t="shared" si="7"/>
        <v>129</v>
      </c>
      <c r="AM30" s="861">
        <f t="shared" si="8"/>
        <v>812.69999999999993</v>
      </c>
      <c r="AN30" s="863">
        <f t="shared" si="9"/>
        <v>-25.800000000000068</v>
      </c>
    </row>
    <row r="31" spans="1:41" ht="12" customHeight="1">
      <c r="A31" s="840" t="str">
        <f t="shared" si="2"/>
        <v>RuralResidentialDRIVEIN2-RES</v>
      </c>
      <c r="B31" s="840">
        <f t="shared" si="3"/>
        <v>1</v>
      </c>
      <c r="C31" s="883" t="s">
        <v>2002</v>
      </c>
      <c r="D31" s="883" t="s">
        <v>2003</v>
      </c>
      <c r="E31" s="883">
        <v>9.15</v>
      </c>
      <c r="F31" s="883"/>
      <c r="G31" s="860"/>
      <c r="H31" s="861">
        <v>9.15</v>
      </c>
      <c r="I31" s="861">
        <v>9.15</v>
      </c>
      <c r="J31" s="861">
        <v>9.15</v>
      </c>
      <c r="K31" s="861">
        <v>9.15</v>
      </c>
      <c r="L31" s="861">
        <v>9.15</v>
      </c>
      <c r="M31" s="861">
        <v>9.15</v>
      </c>
      <c r="N31" s="861">
        <v>9.15</v>
      </c>
      <c r="O31" s="861">
        <v>9.15</v>
      </c>
      <c r="P31" s="861">
        <v>9.15</v>
      </c>
      <c r="Q31" s="861">
        <v>9.15</v>
      </c>
      <c r="R31" s="861">
        <v>9.15</v>
      </c>
      <c r="S31" s="861">
        <v>9.15</v>
      </c>
      <c r="T31" s="863">
        <f t="shared" si="4"/>
        <v>109.80000000000003</v>
      </c>
      <c r="U31" s="861"/>
      <c r="V31" s="861">
        <f t="shared" si="5"/>
        <v>1</v>
      </c>
      <c r="W31" s="861">
        <f t="shared" si="5"/>
        <v>1</v>
      </c>
      <c r="X31" s="861">
        <f t="shared" si="5"/>
        <v>1</v>
      </c>
      <c r="Y31" s="861">
        <f t="shared" si="5"/>
        <v>1</v>
      </c>
      <c r="Z31" s="861">
        <f t="shared" si="5"/>
        <v>1</v>
      </c>
      <c r="AA31" s="861">
        <f t="shared" si="5"/>
        <v>1</v>
      </c>
      <c r="AB31" s="861">
        <f t="shared" si="5"/>
        <v>1</v>
      </c>
      <c r="AC31" s="861">
        <f t="shared" si="5"/>
        <v>1</v>
      </c>
      <c r="AD31" s="861">
        <f t="shared" si="5"/>
        <v>1</v>
      </c>
      <c r="AE31" s="861">
        <f t="shared" si="5"/>
        <v>1</v>
      </c>
      <c r="AF31" s="861">
        <f t="shared" si="5"/>
        <v>1</v>
      </c>
      <c r="AG31" s="861">
        <f t="shared" si="5"/>
        <v>1</v>
      </c>
      <c r="AH31" s="861">
        <f t="shared" si="6"/>
        <v>1</v>
      </c>
      <c r="AI31" s="1071"/>
      <c r="AJ31" s="840"/>
      <c r="AK31" s="840">
        <v>9.5</v>
      </c>
      <c r="AL31" s="863">
        <f t="shared" si="7"/>
        <v>12</v>
      </c>
      <c r="AM31" s="861">
        <f t="shared" si="8"/>
        <v>114</v>
      </c>
      <c r="AN31" s="863">
        <f t="shared" si="9"/>
        <v>4.1999999999999744</v>
      </c>
    </row>
    <row r="32" spans="1:41" ht="12" customHeight="1">
      <c r="A32" s="840" t="str">
        <f t="shared" si="2"/>
        <v>RuralResidentialREDEL-RES</v>
      </c>
      <c r="B32" s="840">
        <f t="shared" si="3"/>
        <v>1</v>
      </c>
      <c r="C32" s="883" t="s">
        <v>2012</v>
      </c>
      <c r="D32" s="883" t="s">
        <v>2013</v>
      </c>
      <c r="E32" s="883">
        <v>16.8</v>
      </c>
      <c r="F32" s="883"/>
      <c r="G32" s="860"/>
      <c r="H32" s="861">
        <v>16.8</v>
      </c>
      <c r="I32" s="861">
        <v>16.8</v>
      </c>
      <c r="J32" s="861">
        <v>16.8</v>
      </c>
      <c r="K32" s="861">
        <v>16.8</v>
      </c>
      <c r="L32" s="861">
        <v>33.6</v>
      </c>
      <c r="M32" s="861">
        <v>67.2</v>
      </c>
      <c r="N32" s="861">
        <v>16.8</v>
      </c>
      <c r="O32" s="861">
        <v>16.8</v>
      </c>
      <c r="P32" s="861">
        <v>16.8</v>
      </c>
      <c r="Q32" s="861">
        <v>16.8</v>
      </c>
      <c r="R32" s="861">
        <v>50.4</v>
      </c>
      <c r="S32" s="861">
        <v>67.2</v>
      </c>
      <c r="T32" s="863">
        <f t="shared" si="4"/>
        <v>352.8</v>
      </c>
      <c r="U32" s="861"/>
      <c r="V32" s="861">
        <f t="shared" si="5"/>
        <v>1</v>
      </c>
      <c r="W32" s="861">
        <f t="shared" si="5"/>
        <v>1</v>
      </c>
      <c r="X32" s="861">
        <f t="shared" si="5"/>
        <v>1</v>
      </c>
      <c r="Y32" s="861">
        <f t="shared" si="5"/>
        <v>1</v>
      </c>
      <c r="Z32" s="861">
        <f t="shared" si="5"/>
        <v>2</v>
      </c>
      <c r="AA32" s="861">
        <f t="shared" si="5"/>
        <v>4</v>
      </c>
      <c r="AB32" s="861">
        <f t="shared" si="5"/>
        <v>1</v>
      </c>
      <c r="AC32" s="861">
        <f t="shared" si="5"/>
        <v>1</v>
      </c>
      <c r="AD32" s="861">
        <f t="shared" si="5"/>
        <v>1</v>
      </c>
      <c r="AE32" s="861">
        <f t="shared" si="5"/>
        <v>1</v>
      </c>
      <c r="AF32" s="861">
        <f t="shared" si="5"/>
        <v>3</v>
      </c>
      <c r="AG32" s="861">
        <f t="shared" si="5"/>
        <v>4</v>
      </c>
      <c r="AH32" s="861">
        <f t="shared" si="6"/>
        <v>1.75</v>
      </c>
      <c r="AI32" s="1071"/>
      <c r="AJ32" s="840"/>
      <c r="AK32" s="840">
        <v>16.8</v>
      </c>
      <c r="AL32" s="863">
        <f t="shared" si="7"/>
        <v>21</v>
      </c>
      <c r="AM32" s="861">
        <f t="shared" si="8"/>
        <v>352.8</v>
      </c>
      <c r="AN32" s="863">
        <f t="shared" si="9"/>
        <v>0</v>
      </c>
    </row>
    <row r="33" spans="1:40" ht="12" customHeight="1">
      <c r="A33" s="840" t="str">
        <f t="shared" si="2"/>
        <v>RuralResidentialREINSTATE-RES</v>
      </c>
      <c r="B33" s="840">
        <f t="shared" si="3"/>
        <v>1</v>
      </c>
      <c r="C33" s="883" t="s">
        <v>2014</v>
      </c>
      <c r="D33" s="883" t="s">
        <v>2015</v>
      </c>
      <c r="E33" s="883">
        <v>11</v>
      </c>
      <c r="F33" s="883"/>
      <c r="G33" s="860"/>
      <c r="H33" s="861">
        <v>187</v>
      </c>
      <c r="I33" s="861">
        <v>242</v>
      </c>
      <c r="J33" s="861">
        <v>363</v>
      </c>
      <c r="K33" s="861">
        <v>242</v>
      </c>
      <c r="L33" s="861">
        <v>187</v>
      </c>
      <c r="M33" s="861">
        <v>220</v>
      </c>
      <c r="N33" s="861">
        <v>187</v>
      </c>
      <c r="O33" s="861">
        <v>264</v>
      </c>
      <c r="P33" s="861">
        <v>209</v>
      </c>
      <c r="Q33" s="861">
        <v>176</v>
      </c>
      <c r="R33" s="861">
        <v>253</v>
      </c>
      <c r="S33" s="861">
        <v>286</v>
      </c>
      <c r="T33" s="863">
        <f t="shared" si="4"/>
        <v>2816</v>
      </c>
      <c r="U33" s="861"/>
      <c r="V33" s="861">
        <f t="shared" si="5"/>
        <v>17</v>
      </c>
      <c r="W33" s="861">
        <f t="shared" si="5"/>
        <v>22</v>
      </c>
      <c r="X33" s="861">
        <f t="shared" si="5"/>
        <v>33</v>
      </c>
      <c r="Y33" s="861">
        <f t="shared" ref="Y33:AG37" si="10">IFERROR(K33/$E33,0)</f>
        <v>22</v>
      </c>
      <c r="Z33" s="861">
        <f t="shared" si="10"/>
        <v>17</v>
      </c>
      <c r="AA33" s="861">
        <f t="shared" si="10"/>
        <v>20</v>
      </c>
      <c r="AB33" s="861">
        <f t="shared" si="10"/>
        <v>17</v>
      </c>
      <c r="AC33" s="861">
        <f t="shared" si="10"/>
        <v>24</v>
      </c>
      <c r="AD33" s="861">
        <f t="shared" si="10"/>
        <v>19</v>
      </c>
      <c r="AE33" s="861">
        <f t="shared" si="10"/>
        <v>16</v>
      </c>
      <c r="AF33" s="861">
        <f t="shared" si="10"/>
        <v>23</v>
      </c>
      <c r="AG33" s="861">
        <f t="shared" si="10"/>
        <v>26</v>
      </c>
      <c r="AH33" s="861">
        <f t="shared" si="6"/>
        <v>21.333333333333332</v>
      </c>
      <c r="AI33" s="1071"/>
      <c r="AJ33" s="840"/>
      <c r="AK33" s="840">
        <v>11</v>
      </c>
      <c r="AL33" s="863">
        <f t="shared" si="7"/>
        <v>256</v>
      </c>
      <c r="AM33" s="861">
        <f t="shared" si="8"/>
        <v>2816</v>
      </c>
      <c r="AN33" s="863">
        <f t="shared" si="9"/>
        <v>0</v>
      </c>
    </row>
    <row r="34" spans="1:40" ht="12" customHeight="1">
      <c r="A34" s="840" t="str">
        <f t="shared" si="2"/>
        <v>RuralResidentialRTRNCART-RES</v>
      </c>
      <c r="B34" s="840">
        <f t="shared" si="3"/>
        <v>1</v>
      </c>
      <c r="C34" s="883" t="s">
        <v>2018</v>
      </c>
      <c r="D34" s="883" t="s">
        <v>2019</v>
      </c>
      <c r="E34" s="883">
        <v>5</v>
      </c>
      <c r="F34" s="883"/>
      <c r="G34" s="860"/>
      <c r="H34" s="861">
        <v>5</v>
      </c>
      <c r="I34" s="861">
        <v>5</v>
      </c>
      <c r="J34" s="861">
        <v>5</v>
      </c>
      <c r="K34" s="861">
        <v>5</v>
      </c>
      <c r="L34" s="861">
        <v>5</v>
      </c>
      <c r="M34" s="861">
        <v>15</v>
      </c>
      <c r="N34" s="861">
        <v>10</v>
      </c>
      <c r="O34" s="861">
        <v>10</v>
      </c>
      <c r="P34" s="861">
        <v>20</v>
      </c>
      <c r="Q34" s="861">
        <v>20</v>
      </c>
      <c r="R34" s="861">
        <v>10</v>
      </c>
      <c r="S34" s="861">
        <v>5</v>
      </c>
      <c r="T34" s="863">
        <f t="shared" si="4"/>
        <v>115</v>
      </c>
      <c r="U34" s="861"/>
      <c r="V34" s="861">
        <f t="shared" ref="V34:X37" si="11">IFERROR(H34/$E34,0)</f>
        <v>1</v>
      </c>
      <c r="W34" s="861">
        <f t="shared" si="11"/>
        <v>1</v>
      </c>
      <c r="X34" s="861">
        <f t="shared" si="11"/>
        <v>1</v>
      </c>
      <c r="Y34" s="861">
        <f t="shared" si="10"/>
        <v>1</v>
      </c>
      <c r="Z34" s="861">
        <f t="shared" si="10"/>
        <v>1</v>
      </c>
      <c r="AA34" s="861">
        <f t="shared" si="10"/>
        <v>3</v>
      </c>
      <c r="AB34" s="861">
        <f t="shared" si="10"/>
        <v>2</v>
      </c>
      <c r="AC34" s="861">
        <f t="shared" si="10"/>
        <v>2</v>
      </c>
      <c r="AD34" s="861">
        <f t="shared" si="10"/>
        <v>4</v>
      </c>
      <c r="AE34" s="861">
        <f t="shared" si="10"/>
        <v>4</v>
      </c>
      <c r="AF34" s="861">
        <f t="shared" si="10"/>
        <v>2</v>
      </c>
      <c r="AG34" s="861">
        <f t="shared" si="10"/>
        <v>1</v>
      </c>
      <c r="AH34" s="861">
        <f t="shared" si="6"/>
        <v>1.9166666666666667</v>
      </c>
      <c r="AI34" s="1071"/>
      <c r="AJ34" s="840"/>
      <c r="AK34" s="840">
        <v>5.75</v>
      </c>
      <c r="AL34" s="863">
        <f t="shared" si="7"/>
        <v>23</v>
      </c>
      <c r="AM34" s="861">
        <f t="shared" si="8"/>
        <v>132.25</v>
      </c>
      <c r="AN34" s="863">
        <f t="shared" si="9"/>
        <v>17.25</v>
      </c>
    </row>
    <row r="35" spans="1:40" ht="12" customHeight="1">
      <c r="A35" s="840" t="str">
        <f t="shared" si="2"/>
        <v>RuralResidentialRTRNTRIP-RES</v>
      </c>
      <c r="B35" s="840">
        <f t="shared" si="3"/>
        <v>1</v>
      </c>
      <c r="C35" s="883" t="s">
        <v>2020</v>
      </c>
      <c r="D35" s="883" t="s">
        <v>2021</v>
      </c>
      <c r="E35" s="883">
        <v>5</v>
      </c>
      <c r="F35" s="883"/>
      <c r="G35" s="860"/>
      <c r="H35" s="861">
        <v>5</v>
      </c>
      <c r="I35" s="861">
        <v>0</v>
      </c>
      <c r="J35" s="861">
        <v>0</v>
      </c>
      <c r="K35" s="861">
        <v>5</v>
      </c>
      <c r="L35" s="861">
        <v>0</v>
      </c>
      <c r="M35" s="861">
        <v>5</v>
      </c>
      <c r="N35" s="861">
        <v>5</v>
      </c>
      <c r="O35" s="861">
        <v>5</v>
      </c>
      <c r="P35" s="861">
        <v>10</v>
      </c>
      <c r="Q35" s="861">
        <v>5</v>
      </c>
      <c r="R35" s="861">
        <v>0</v>
      </c>
      <c r="S35" s="861">
        <v>5</v>
      </c>
      <c r="T35" s="863">
        <f t="shared" si="4"/>
        <v>45</v>
      </c>
      <c r="U35" s="861"/>
      <c r="V35" s="861">
        <f t="shared" si="11"/>
        <v>1</v>
      </c>
      <c r="W35" s="861">
        <f t="shared" si="11"/>
        <v>0</v>
      </c>
      <c r="X35" s="861">
        <f t="shared" si="11"/>
        <v>0</v>
      </c>
      <c r="Y35" s="861">
        <f t="shared" si="10"/>
        <v>1</v>
      </c>
      <c r="Z35" s="861">
        <f t="shared" si="10"/>
        <v>0</v>
      </c>
      <c r="AA35" s="861">
        <f t="shared" si="10"/>
        <v>1</v>
      </c>
      <c r="AB35" s="861">
        <f t="shared" si="10"/>
        <v>1</v>
      </c>
      <c r="AC35" s="861">
        <f t="shared" si="10"/>
        <v>1</v>
      </c>
      <c r="AD35" s="861">
        <f t="shared" si="10"/>
        <v>2</v>
      </c>
      <c r="AE35" s="861">
        <f t="shared" si="10"/>
        <v>1</v>
      </c>
      <c r="AF35" s="861">
        <f t="shared" si="10"/>
        <v>0</v>
      </c>
      <c r="AG35" s="861">
        <f t="shared" si="10"/>
        <v>1</v>
      </c>
      <c r="AH35" s="861">
        <f t="shared" si="6"/>
        <v>0.75</v>
      </c>
      <c r="AI35" s="1071"/>
      <c r="AJ35" s="840"/>
      <c r="AK35" s="840">
        <v>5.75</v>
      </c>
      <c r="AL35" s="863">
        <f t="shared" si="7"/>
        <v>9</v>
      </c>
      <c r="AM35" s="861">
        <f t="shared" si="8"/>
        <v>51.75</v>
      </c>
      <c r="AN35" s="863">
        <f t="shared" si="9"/>
        <v>6.75</v>
      </c>
    </row>
    <row r="36" spans="1:40" ht="12" customHeight="1">
      <c r="A36" s="840" t="str">
        <f t="shared" si="2"/>
        <v>RuralResidentialTIME-RES</v>
      </c>
      <c r="B36" s="840">
        <f t="shared" si="3"/>
        <v>1</v>
      </c>
      <c r="C36" s="883" t="s">
        <v>2022</v>
      </c>
      <c r="D36" s="883" t="s">
        <v>2023</v>
      </c>
      <c r="E36" s="883">
        <v>0</v>
      </c>
      <c r="F36" s="883"/>
      <c r="G36" s="860"/>
      <c r="H36" s="861">
        <v>0</v>
      </c>
      <c r="I36" s="861">
        <v>237</v>
      </c>
      <c r="J36" s="861">
        <v>181.32</v>
      </c>
      <c r="K36" s="861">
        <v>0</v>
      </c>
      <c r="L36" s="861">
        <v>118.5</v>
      </c>
      <c r="M36" s="861">
        <v>0</v>
      </c>
      <c r="N36" s="861">
        <v>0</v>
      </c>
      <c r="O36" s="861">
        <v>0</v>
      </c>
      <c r="P36" s="861">
        <v>0</v>
      </c>
      <c r="Q36" s="861">
        <v>0</v>
      </c>
      <c r="R36" s="861">
        <v>0</v>
      </c>
      <c r="S36" s="861">
        <v>0</v>
      </c>
      <c r="T36" s="863">
        <f t="shared" si="4"/>
        <v>536.81999999999994</v>
      </c>
      <c r="U36" s="861"/>
      <c r="V36" s="861">
        <f t="shared" si="11"/>
        <v>0</v>
      </c>
      <c r="W36" s="861">
        <f t="shared" si="11"/>
        <v>0</v>
      </c>
      <c r="X36" s="861">
        <f t="shared" si="11"/>
        <v>0</v>
      </c>
      <c r="Y36" s="861">
        <f t="shared" si="10"/>
        <v>0</v>
      </c>
      <c r="Z36" s="861">
        <f t="shared" si="10"/>
        <v>0</v>
      </c>
      <c r="AA36" s="861">
        <f t="shared" si="10"/>
        <v>0</v>
      </c>
      <c r="AB36" s="861">
        <f t="shared" si="10"/>
        <v>0</v>
      </c>
      <c r="AC36" s="861">
        <f t="shared" si="10"/>
        <v>0</v>
      </c>
      <c r="AD36" s="861">
        <f t="shared" si="10"/>
        <v>0</v>
      </c>
      <c r="AE36" s="861">
        <f t="shared" si="10"/>
        <v>0</v>
      </c>
      <c r="AF36" s="861">
        <f t="shared" si="10"/>
        <v>0</v>
      </c>
      <c r="AG36" s="861">
        <f t="shared" si="10"/>
        <v>0</v>
      </c>
      <c r="AH36" s="861">
        <f t="shared" si="6"/>
        <v>0</v>
      </c>
      <c r="AI36" s="1071"/>
      <c r="AJ36" s="840"/>
      <c r="AK36" s="840">
        <v>0</v>
      </c>
      <c r="AL36" s="863">
        <f t="shared" si="7"/>
        <v>0</v>
      </c>
      <c r="AM36" s="861">
        <f t="shared" si="8"/>
        <v>0</v>
      </c>
      <c r="AN36" s="863">
        <f t="shared" si="9"/>
        <v>-536.81999999999994</v>
      </c>
    </row>
    <row r="37" spans="1:40" ht="12" customHeight="1">
      <c r="A37" s="840" t="str">
        <f t="shared" si="2"/>
        <v>RuralResidentialWI1-RES</v>
      </c>
      <c r="B37" s="840">
        <f t="shared" si="3"/>
        <v>1</v>
      </c>
      <c r="C37" s="883" t="s">
        <v>2024</v>
      </c>
      <c r="D37" s="883" t="s">
        <v>2025</v>
      </c>
      <c r="E37" s="883">
        <v>1.9</v>
      </c>
      <c r="F37" s="883"/>
      <c r="G37" s="860"/>
      <c r="H37" s="861">
        <v>0</v>
      </c>
      <c r="I37" s="861">
        <v>0</v>
      </c>
      <c r="J37" s="861">
        <v>0</v>
      </c>
      <c r="K37" s="861">
        <v>2.85</v>
      </c>
      <c r="L37" s="861">
        <v>2.85</v>
      </c>
      <c r="M37" s="861">
        <v>7.6</v>
      </c>
      <c r="N37" s="861">
        <v>7.6</v>
      </c>
      <c r="O37" s="861">
        <v>7.6</v>
      </c>
      <c r="P37" s="861">
        <v>7.6</v>
      </c>
      <c r="Q37" s="861">
        <v>7.6</v>
      </c>
      <c r="R37" s="861">
        <v>7.6</v>
      </c>
      <c r="S37" s="861">
        <v>7.6</v>
      </c>
      <c r="T37" s="863">
        <f t="shared" si="4"/>
        <v>58.900000000000006</v>
      </c>
      <c r="U37" s="861"/>
      <c r="V37" s="861">
        <f t="shared" si="11"/>
        <v>0</v>
      </c>
      <c r="W37" s="861">
        <f t="shared" si="11"/>
        <v>0</v>
      </c>
      <c r="X37" s="861">
        <f t="shared" si="11"/>
        <v>0</v>
      </c>
      <c r="Y37" s="861">
        <f t="shared" si="10"/>
        <v>1.5000000000000002</v>
      </c>
      <c r="Z37" s="861">
        <f t="shared" si="10"/>
        <v>1.5000000000000002</v>
      </c>
      <c r="AA37" s="861">
        <f t="shared" si="10"/>
        <v>4</v>
      </c>
      <c r="AB37" s="861">
        <f t="shared" si="10"/>
        <v>4</v>
      </c>
      <c r="AC37" s="861">
        <f t="shared" si="10"/>
        <v>4</v>
      </c>
      <c r="AD37" s="861">
        <f t="shared" si="10"/>
        <v>4</v>
      </c>
      <c r="AE37" s="861">
        <f t="shared" si="10"/>
        <v>4</v>
      </c>
      <c r="AF37" s="861">
        <f t="shared" si="10"/>
        <v>4</v>
      </c>
      <c r="AG37" s="861">
        <f t="shared" si="10"/>
        <v>4</v>
      </c>
      <c r="AH37" s="861">
        <f t="shared" si="6"/>
        <v>2.5833333333333335</v>
      </c>
      <c r="AI37" s="1071"/>
      <c r="AJ37" s="840"/>
      <c r="AK37" s="840">
        <v>1.9</v>
      </c>
      <c r="AL37" s="863">
        <f t="shared" si="7"/>
        <v>31</v>
      </c>
      <c r="AM37" s="861">
        <f t="shared" si="8"/>
        <v>58.9</v>
      </c>
      <c r="AN37" s="863">
        <f t="shared" si="9"/>
        <v>0</v>
      </c>
    </row>
    <row r="38" spans="1:40" ht="12" customHeight="1">
      <c r="C38" s="912"/>
      <c r="D38" s="912"/>
      <c r="E38" s="901"/>
      <c r="F38" s="901"/>
      <c r="G38" s="860"/>
      <c r="H38" s="862"/>
      <c r="I38" s="861"/>
      <c r="J38" s="861"/>
      <c r="K38" s="862"/>
      <c r="L38" s="864"/>
      <c r="M38" s="862"/>
      <c r="N38" s="840"/>
      <c r="O38" s="840"/>
      <c r="P38" s="840"/>
      <c r="Q38" s="840"/>
      <c r="R38" s="840"/>
      <c r="S38" s="840"/>
      <c r="T38" s="867"/>
      <c r="U38" s="840"/>
      <c r="V38" s="865"/>
      <c r="W38" s="865"/>
      <c r="X38" s="865"/>
      <c r="Y38" s="865"/>
      <c r="Z38" s="865"/>
      <c r="AA38" s="865"/>
      <c r="AB38" s="865"/>
      <c r="AC38" s="865"/>
      <c r="AD38" s="865"/>
      <c r="AE38" s="865"/>
      <c r="AF38" s="865"/>
      <c r="AG38" s="865"/>
      <c r="AH38" s="865"/>
      <c r="AJ38" s="840"/>
      <c r="AL38" s="843"/>
      <c r="AM38" s="865"/>
      <c r="AN38" s="843"/>
    </row>
    <row r="39" spans="1:40" ht="12" customHeight="1">
      <c r="B39" s="841">
        <f>COUNTIF(C:C,C39)</f>
        <v>0</v>
      </c>
      <c r="C39" s="912"/>
      <c r="D39" s="923" t="s">
        <v>2034</v>
      </c>
      <c r="E39" s="901">
        <v>0</v>
      </c>
      <c r="F39" s="901"/>
      <c r="G39" s="860"/>
      <c r="H39" s="870">
        <f t="shared" ref="H39:T39" si="12">SUM(H12:H38)</f>
        <v>82643.714999999982</v>
      </c>
      <c r="I39" s="870">
        <f t="shared" si="12"/>
        <v>83182.449999999983</v>
      </c>
      <c r="J39" s="870">
        <f t="shared" si="12"/>
        <v>83151.649999999994</v>
      </c>
      <c r="K39" s="870">
        <f t="shared" si="12"/>
        <v>83093.75499999999</v>
      </c>
      <c r="L39" s="870">
        <f t="shared" si="12"/>
        <v>83394.890000000014</v>
      </c>
      <c r="M39" s="870">
        <f t="shared" si="12"/>
        <v>83970.214999999997</v>
      </c>
      <c r="N39" s="870">
        <f t="shared" si="12"/>
        <v>84484.999999999985</v>
      </c>
      <c r="O39" s="870">
        <f t="shared" si="12"/>
        <v>84386.49</v>
      </c>
      <c r="P39" s="870">
        <f t="shared" si="12"/>
        <v>84879.569999999992</v>
      </c>
      <c r="Q39" s="870">
        <f t="shared" si="12"/>
        <v>84637.02</v>
      </c>
      <c r="R39" s="870">
        <f t="shared" si="12"/>
        <v>85086.3</v>
      </c>
      <c r="S39" s="870">
        <f t="shared" si="12"/>
        <v>83598.264999999985</v>
      </c>
      <c r="T39" s="870">
        <f t="shared" si="12"/>
        <v>1006509.32</v>
      </c>
      <c r="U39" s="840"/>
      <c r="V39" s="886">
        <f t="shared" ref="V39:AH39" si="13">SUM(V12:V23)</f>
        <v>4796.0851242509289</v>
      </c>
      <c r="W39" s="886">
        <f t="shared" si="13"/>
        <v>4794.299955518225</v>
      </c>
      <c r="X39" s="886">
        <f t="shared" si="13"/>
        <v>4789.0870438978527</v>
      </c>
      <c r="Y39" s="886">
        <f t="shared" si="13"/>
        <v>4814.3692423038337</v>
      </c>
      <c r="Z39" s="886">
        <f t="shared" si="13"/>
        <v>4840.9372811078865</v>
      </c>
      <c r="AA39" s="886">
        <f t="shared" si="13"/>
        <v>4873.6336017581589</v>
      </c>
      <c r="AB39" s="886">
        <f t="shared" si="13"/>
        <v>4862.4480098617705</v>
      </c>
      <c r="AC39" s="886">
        <f t="shared" si="13"/>
        <v>4849.8463194976021</v>
      </c>
      <c r="AD39" s="886">
        <f t="shared" si="13"/>
        <v>4883.9797425713405</v>
      </c>
      <c r="AE39" s="886">
        <f t="shared" si="13"/>
        <v>4883.6076386430568</v>
      </c>
      <c r="AF39" s="886">
        <f t="shared" si="13"/>
        <v>4897.0594895420254</v>
      </c>
      <c r="AG39" s="886">
        <f t="shared" si="13"/>
        <v>4823.721466482878</v>
      </c>
      <c r="AH39" s="886">
        <f t="shared" si="13"/>
        <v>4842.4229096196295</v>
      </c>
      <c r="AJ39" s="840"/>
      <c r="AL39" s="886">
        <f>SUM(AL12:AL38)</f>
        <v>62598.871749208651</v>
      </c>
      <c r="AM39" s="886">
        <f>SUM(AM12:AM38)</f>
        <v>1004368.0707483093</v>
      </c>
      <c r="AN39" s="886">
        <f>SUM(AN12:AN38)</f>
        <v>-2141.2492516906341</v>
      </c>
    </row>
    <row r="40" spans="1:40" ht="12" customHeight="1">
      <c r="C40" s="924"/>
      <c r="D40" s="924"/>
      <c r="E40" s="901"/>
      <c r="F40" s="901"/>
      <c r="G40" s="860"/>
      <c r="H40" s="862"/>
      <c r="I40" s="861"/>
      <c r="J40" s="861"/>
      <c r="K40" s="862"/>
      <c r="L40" s="864"/>
      <c r="M40" s="862"/>
      <c r="N40" s="840"/>
      <c r="O40" s="840"/>
      <c r="P40" s="840"/>
      <c r="Q40" s="840"/>
      <c r="R40" s="840"/>
      <c r="S40" s="840"/>
      <c r="T40" s="867"/>
      <c r="U40" s="840"/>
      <c r="V40" s="865"/>
      <c r="W40" s="865"/>
      <c r="X40" s="865"/>
      <c r="Y40" s="865"/>
      <c r="Z40" s="865"/>
      <c r="AA40" s="865"/>
      <c r="AB40" s="865"/>
      <c r="AC40" s="865"/>
      <c r="AD40" s="865"/>
      <c r="AE40" s="865"/>
      <c r="AF40" s="865"/>
      <c r="AG40" s="865"/>
      <c r="AH40" s="865"/>
      <c r="AJ40" s="840"/>
      <c r="AL40" s="843"/>
      <c r="AM40" s="865"/>
      <c r="AN40" s="843"/>
    </row>
    <row r="41" spans="1:40" ht="12" customHeight="1">
      <c r="B41" s="841">
        <f>COUNTIF(C:C,C41)</f>
        <v>1</v>
      </c>
      <c r="C41" s="925" t="s">
        <v>2035</v>
      </c>
      <c r="D41" s="925" t="s">
        <v>2035</v>
      </c>
      <c r="E41" s="901">
        <v>0</v>
      </c>
      <c r="F41" s="901"/>
      <c r="G41" s="860"/>
      <c r="H41" s="862"/>
      <c r="I41" s="861" t="str">
        <f>IF(G41="","",(#REF!/G41)+(#REF!/#REF!))</f>
        <v/>
      </c>
      <c r="J41" s="861" t="str">
        <f>IF(G41="","",I41/12)</f>
        <v/>
      </c>
      <c r="V41" s="865"/>
      <c r="W41" s="865"/>
      <c r="X41" s="865"/>
      <c r="Y41" s="865"/>
      <c r="Z41" s="865"/>
      <c r="AA41" s="865"/>
      <c r="AB41" s="865"/>
      <c r="AC41" s="865"/>
      <c r="AD41" s="865"/>
      <c r="AE41" s="865"/>
      <c r="AF41" s="865"/>
      <c r="AG41" s="865"/>
      <c r="AH41" s="865"/>
      <c r="AL41" s="843"/>
      <c r="AM41" s="865"/>
      <c r="AN41" s="843"/>
    </row>
    <row r="42" spans="1:40" ht="12" customHeight="1">
      <c r="A42" s="840" t="str">
        <f>$A$1&amp;"Residential"&amp;C42</f>
        <v>RuralResidentialRECPROGADJ-RES</v>
      </c>
      <c r="B42" s="840">
        <f>COUNTIF(C:C,C42)</f>
        <v>1</v>
      </c>
      <c r="C42" s="883" t="s">
        <v>2036</v>
      </c>
      <c r="D42" s="883" t="s">
        <v>2037</v>
      </c>
      <c r="E42" s="883">
        <v>7.49</v>
      </c>
      <c r="F42" s="883">
        <f>13.1/2</f>
        <v>6.55</v>
      </c>
      <c r="G42" s="860"/>
      <c r="H42" s="861">
        <v>35836.224999999999</v>
      </c>
      <c r="I42" s="861">
        <v>35821.370000000003</v>
      </c>
      <c r="J42" s="861">
        <v>33612.235000000001</v>
      </c>
      <c r="K42" s="861">
        <v>30355.809999999998</v>
      </c>
      <c r="L42" s="861">
        <v>30503.884999999998</v>
      </c>
      <c r="M42" s="861">
        <v>31835.454999999998</v>
      </c>
      <c r="N42" s="861">
        <v>31782.36</v>
      </c>
      <c r="O42" s="861">
        <v>31726.215</v>
      </c>
      <c r="P42" s="861">
        <v>31932.63</v>
      </c>
      <c r="Q42" s="861">
        <v>31921.834999999999</v>
      </c>
      <c r="R42" s="861">
        <v>32017.85</v>
      </c>
      <c r="S42" s="861">
        <v>31577.184999999998</v>
      </c>
      <c r="T42" s="863">
        <f>SUM(H42:S42)</f>
        <v>388923.05499999999</v>
      </c>
      <c r="U42" s="861"/>
      <c r="V42" s="861">
        <f>IFERROR(H42/$E42,0)</f>
        <v>4784.5427236315081</v>
      </c>
      <c r="W42" s="861">
        <f>IFERROR(I42/$E42,0)</f>
        <v>4782.5594125500666</v>
      </c>
      <c r="X42" s="861">
        <f t="shared" ref="X42:AG43" si="14">IFERROR(J42/$F42,0)</f>
        <v>5131.6389312977099</v>
      </c>
      <c r="Y42" s="861">
        <f t="shared" si="14"/>
        <v>4634.4748091603051</v>
      </c>
      <c r="Z42" s="861">
        <f t="shared" si="14"/>
        <v>4657.0816793893127</v>
      </c>
      <c r="AA42" s="861">
        <f t="shared" si="14"/>
        <v>4860.3748091603056</v>
      </c>
      <c r="AB42" s="861">
        <f t="shared" si="14"/>
        <v>4852.2687022900764</v>
      </c>
      <c r="AC42" s="861">
        <f t="shared" si="14"/>
        <v>4843.6969465648854</v>
      </c>
      <c r="AD42" s="861">
        <f t="shared" si="14"/>
        <v>4875.2106870229009</v>
      </c>
      <c r="AE42" s="861">
        <f t="shared" si="14"/>
        <v>4873.5625954198476</v>
      </c>
      <c r="AF42" s="861">
        <f t="shared" si="14"/>
        <v>4888.221374045801</v>
      </c>
      <c r="AG42" s="861">
        <f t="shared" si="14"/>
        <v>4820.9442748091597</v>
      </c>
      <c r="AH42" s="861">
        <f>AVERAGE(V42:AG42)</f>
        <v>4833.714745445157</v>
      </c>
      <c r="AI42" s="1071"/>
      <c r="AJ42" s="840"/>
      <c r="AK42" s="840">
        <v>6.25</v>
      </c>
      <c r="AL42" s="863">
        <f>+SUM(V42:AG42)</f>
        <v>58004.576945341883</v>
      </c>
      <c r="AM42" s="861">
        <f>+AK42*AL42</f>
        <v>362528.60590838676</v>
      </c>
      <c r="AN42" s="863">
        <f>+AM42-T42</f>
        <v>-26394.449091613234</v>
      </c>
    </row>
    <row r="43" spans="1:40" ht="12" customHeight="1">
      <c r="A43" s="840" t="str">
        <f>$A$1&amp;"Residential"&amp;C43</f>
        <v>RuralResidentialRECBINONLYR</v>
      </c>
      <c r="B43" s="840">
        <f>COUNTIF(C:C,C43)</f>
        <v>1</v>
      </c>
      <c r="C43" s="883" t="s">
        <v>2038</v>
      </c>
      <c r="D43" s="883" t="s">
        <v>2039</v>
      </c>
      <c r="E43" s="883">
        <v>8.49</v>
      </c>
      <c r="F43" s="883">
        <f>15.1/2</f>
        <v>7.55</v>
      </c>
      <c r="G43" s="860"/>
      <c r="H43" s="861">
        <v>135.84</v>
      </c>
      <c r="I43" s="861">
        <v>135.84</v>
      </c>
      <c r="J43" s="861">
        <v>131.57499999999999</v>
      </c>
      <c r="K43" s="861">
        <v>136.80500000000001</v>
      </c>
      <c r="L43" s="861">
        <v>147.70999999999998</v>
      </c>
      <c r="M43" s="861">
        <v>151</v>
      </c>
      <c r="N43" s="861">
        <v>156.66500000000002</v>
      </c>
      <c r="O43" s="861">
        <v>156.66500000000002</v>
      </c>
      <c r="P43" s="861">
        <v>164.59</v>
      </c>
      <c r="Q43" s="861">
        <v>164.59</v>
      </c>
      <c r="R43" s="861">
        <v>184.97499999999999</v>
      </c>
      <c r="S43" s="861">
        <v>200.07499999999999</v>
      </c>
      <c r="T43" s="863">
        <f>SUM(H43:S43)</f>
        <v>1866.3299999999997</v>
      </c>
      <c r="U43" s="861"/>
      <c r="V43" s="861">
        <f>IFERROR(H43/$E43,0)</f>
        <v>16</v>
      </c>
      <c r="W43" s="861">
        <f>IFERROR(I43/$E43,0)</f>
        <v>16</v>
      </c>
      <c r="X43" s="861">
        <f t="shared" si="14"/>
        <v>17.427152317880793</v>
      </c>
      <c r="Y43" s="861">
        <f t="shared" si="14"/>
        <v>18.119867549668875</v>
      </c>
      <c r="Z43" s="861">
        <f t="shared" si="14"/>
        <v>19.564238410596023</v>
      </c>
      <c r="AA43" s="861">
        <f t="shared" si="14"/>
        <v>20</v>
      </c>
      <c r="AB43" s="861">
        <f t="shared" si="14"/>
        <v>20.750331125827817</v>
      </c>
      <c r="AC43" s="861">
        <f t="shared" si="14"/>
        <v>20.750331125827817</v>
      </c>
      <c r="AD43" s="861">
        <f t="shared" si="14"/>
        <v>21.8</v>
      </c>
      <c r="AE43" s="861">
        <f t="shared" si="14"/>
        <v>21.8</v>
      </c>
      <c r="AF43" s="861">
        <f t="shared" si="14"/>
        <v>24.5</v>
      </c>
      <c r="AG43" s="861">
        <f t="shared" si="14"/>
        <v>26.5</v>
      </c>
      <c r="AH43" s="861">
        <f>AVERAGE(V43:AG43)</f>
        <v>20.267660044150112</v>
      </c>
      <c r="AI43" s="1071"/>
      <c r="AJ43" s="840"/>
      <c r="AK43" s="840">
        <v>7.25</v>
      </c>
      <c r="AL43" s="863">
        <f>+SUM(V43:AG43)</f>
        <v>243.21192052980135</v>
      </c>
      <c r="AM43" s="861">
        <f>+AK43*AL43</f>
        <v>1763.2864238410598</v>
      </c>
      <c r="AN43" s="863">
        <f>+AM43-T43</f>
        <v>-103.04357615893991</v>
      </c>
    </row>
    <row r="44" spans="1:40" ht="12" customHeight="1">
      <c r="A44" s="840"/>
      <c r="B44" s="840"/>
      <c r="C44" s="912"/>
      <c r="D44" s="912"/>
      <c r="E44" s="883"/>
      <c r="F44" s="883"/>
      <c r="G44" s="860"/>
      <c r="H44" s="862"/>
      <c r="I44" s="861"/>
      <c r="J44" s="861"/>
      <c r="K44" s="862"/>
      <c r="L44" s="864"/>
      <c r="M44" s="840"/>
      <c r="N44" s="840"/>
      <c r="O44" s="840"/>
      <c r="P44" s="840"/>
      <c r="Q44" s="840"/>
      <c r="R44" s="840"/>
      <c r="S44" s="840"/>
      <c r="T44" s="864"/>
      <c r="U44" s="840"/>
      <c r="V44" s="861"/>
      <c r="W44" s="861"/>
      <c r="X44" s="861"/>
      <c r="Y44" s="861"/>
      <c r="Z44" s="861"/>
      <c r="AA44" s="861"/>
      <c r="AB44" s="861"/>
      <c r="AC44" s="861"/>
      <c r="AD44" s="861"/>
      <c r="AE44" s="861"/>
      <c r="AF44" s="861"/>
      <c r="AG44" s="861"/>
      <c r="AH44" s="861"/>
      <c r="AI44" s="1071"/>
      <c r="AJ44" s="840"/>
      <c r="AK44" s="840"/>
      <c r="AL44" s="863"/>
      <c r="AM44" s="861"/>
      <c r="AN44" s="863"/>
    </row>
    <row r="45" spans="1:40" ht="12" customHeight="1">
      <c r="A45" s="840"/>
      <c r="B45" s="840">
        <f>COUNTIF(C:C,C45)</f>
        <v>0</v>
      </c>
      <c r="C45" s="912"/>
      <c r="D45" s="1063" t="s">
        <v>2042</v>
      </c>
      <c r="E45" s="883">
        <v>0</v>
      </c>
      <c r="F45" s="883"/>
      <c r="G45" s="860"/>
      <c r="H45" s="870">
        <f t="shared" ref="H45:T45" si="15">SUM(H42:H44)</f>
        <v>35972.064999999995</v>
      </c>
      <c r="I45" s="870">
        <f t="shared" si="15"/>
        <v>35957.21</v>
      </c>
      <c r="J45" s="870">
        <f t="shared" si="15"/>
        <v>33743.81</v>
      </c>
      <c r="K45" s="870">
        <f t="shared" si="15"/>
        <v>30492.614999999998</v>
      </c>
      <c r="L45" s="870">
        <f t="shared" si="15"/>
        <v>30651.594999999998</v>
      </c>
      <c r="M45" s="870">
        <f t="shared" si="15"/>
        <v>31986.454999999998</v>
      </c>
      <c r="N45" s="870">
        <f t="shared" si="15"/>
        <v>31939.025000000001</v>
      </c>
      <c r="O45" s="870">
        <f t="shared" si="15"/>
        <v>31882.880000000001</v>
      </c>
      <c r="P45" s="870">
        <f t="shared" si="15"/>
        <v>32097.22</v>
      </c>
      <c r="Q45" s="870">
        <f t="shared" si="15"/>
        <v>32086.424999999999</v>
      </c>
      <c r="R45" s="870">
        <f t="shared" si="15"/>
        <v>32202.824999999997</v>
      </c>
      <c r="S45" s="870">
        <f t="shared" si="15"/>
        <v>31777.26</v>
      </c>
      <c r="T45" s="870">
        <f t="shared" si="15"/>
        <v>390789.38500000001</v>
      </c>
      <c r="U45" s="840"/>
      <c r="V45" s="886">
        <f t="shared" ref="V45:AH45" si="16">SUM(V42:V44)</f>
        <v>4800.5427236315081</v>
      </c>
      <c r="W45" s="886">
        <f t="shared" si="16"/>
        <v>4798.5594125500666</v>
      </c>
      <c r="X45" s="886">
        <f t="shared" si="16"/>
        <v>5149.0660836155903</v>
      </c>
      <c r="Y45" s="886">
        <f t="shared" si="16"/>
        <v>4652.594676709974</v>
      </c>
      <c r="Z45" s="886">
        <f t="shared" si="16"/>
        <v>4676.6459177999086</v>
      </c>
      <c r="AA45" s="886">
        <f t="shared" si="16"/>
        <v>4880.3748091603056</v>
      </c>
      <c r="AB45" s="886">
        <f t="shared" si="16"/>
        <v>4873.0190334159042</v>
      </c>
      <c r="AC45" s="886">
        <f t="shared" si="16"/>
        <v>4864.4472776907132</v>
      </c>
      <c r="AD45" s="886">
        <f t="shared" si="16"/>
        <v>4897.010687022901</v>
      </c>
      <c r="AE45" s="886">
        <f t="shared" si="16"/>
        <v>4895.3625954198478</v>
      </c>
      <c r="AF45" s="886">
        <f t="shared" si="16"/>
        <v>4912.721374045801</v>
      </c>
      <c r="AG45" s="886">
        <f t="shared" si="16"/>
        <v>4847.4442748091597</v>
      </c>
      <c r="AH45" s="886">
        <f t="shared" si="16"/>
        <v>4853.982405489307</v>
      </c>
      <c r="AI45" s="1071"/>
      <c r="AJ45" s="840"/>
      <c r="AK45" s="840"/>
      <c r="AL45" s="886">
        <f>SUM(AL42:AL44)</f>
        <v>58247.788865871684</v>
      </c>
      <c r="AM45" s="886">
        <f>SUM(AM42:AM44)</f>
        <v>364291.89233222784</v>
      </c>
      <c r="AN45" s="886">
        <f>SUM(AN42:AN44)</f>
        <v>-26497.492667772174</v>
      </c>
    </row>
    <row r="46" spans="1:40" ht="12" customHeight="1">
      <c r="A46" s="840"/>
      <c r="B46" s="840">
        <f>COUNTIF(C:C,C46)</f>
        <v>0</v>
      </c>
      <c r="C46" s="912"/>
      <c r="D46" s="1063"/>
      <c r="E46" s="883">
        <v>0</v>
      </c>
      <c r="F46" s="883"/>
      <c r="G46" s="860"/>
      <c r="H46" s="862"/>
      <c r="I46" s="861" t="str">
        <f>IF(G46="","",(#REF!/G46)+(#REF!/#REF!))</f>
        <v/>
      </c>
      <c r="J46" s="861" t="str">
        <f>IF(G46="","",I46/12)</f>
        <v/>
      </c>
      <c r="K46" s="862"/>
      <c r="L46" s="864"/>
      <c r="M46" s="840"/>
      <c r="N46" s="840"/>
      <c r="O46" s="840"/>
      <c r="P46" s="840"/>
      <c r="Q46" s="840"/>
      <c r="R46" s="840"/>
      <c r="S46" s="840"/>
      <c r="T46" s="864"/>
      <c r="U46" s="840"/>
      <c r="V46" s="861">
        <f t="shared" ref="V46:AG49" si="17">IFERROR(H46/$E46,0)</f>
        <v>0</v>
      </c>
      <c r="W46" s="861">
        <f t="shared" si="17"/>
        <v>0</v>
      </c>
      <c r="X46" s="861">
        <f t="shared" si="17"/>
        <v>0</v>
      </c>
      <c r="Y46" s="861">
        <f t="shared" si="17"/>
        <v>0</v>
      </c>
      <c r="Z46" s="861">
        <f t="shared" si="17"/>
        <v>0</v>
      </c>
      <c r="AA46" s="861">
        <f t="shared" si="17"/>
        <v>0</v>
      </c>
      <c r="AB46" s="861">
        <f t="shared" si="17"/>
        <v>0</v>
      </c>
      <c r="AC46" s="861">
        <f t="shared" si="17"/>
        <v>0</v>
      </c>
      <c r="AD46" s="861">
        <f t="shared" si="17"/>
        <v>0</v>
      </c>
      <c r="AE46" s="861">
        <f t="shared" si="17"/>
        <v>0</v>
      </c>
      <c r="AF46" s="861">
        <f t="shared" si="17"/>
        <v>0</v>
      </c>
      <c r="AG46" s="861">
        <f t="shared" si="17"/>
        <v>0</v>
      </c>
      <c r="AH46" s="861">
        <f>AVERAGE(V46:AG46)</f>
        <v>0</v>
      </c>
      <c r="AI46" s="1071"/>
      <c r="AJ46" s="840"/>
      <c r="AK46" s="840"/>
      <c r="AL46" s="863">
        <f>+SUM(V46:AG46)</f>
        <v>0</v>
      </c>
      <c r="AM46" s="861">
        <f>+AK46*AL46</f>
        <v>0</v>
      </c>
      <c r="AN46" s="863">
        <f>+AM46-T46</f>
        <v>0</v>
      </c>
    </row>
    <row r="47" spans="1:40" ht="12" customHeight="1">
      <c r="A47" s="840"/>
      <c r="B47" s="840">
        <f>COUNTIF(C:C,C47)</f>
        <v>1</v>
      </c>
      <c r="C47" s="913" t="s">
        <v>2043</v>
      </c>
      <c r="D47" s="913" t="s">
        <v>2043</v>
      </c>
      <c r="E47" s="883">
        <v>0</v>
      </c>
      <c r="F47" s="883"/>
      <c r="G47" s="860"/>
      <c r="H47" s="862"/>
      <c r="I47" s="861" t="str">
        <f>IF(G47="","",(#REF!/G47)+(#REF!/#REF!))</f>
        <v/>
      </c>
      <c r="J47" s="861" t="str">
        <f>IF(G47="","",I47/12)</f>
        <v/>
      </c>
      <c r="K47" s="862"/>
      <c r="L47" s="864"/>
      <c r="M47" s="840"/>
      <c r="N47" s="840"/>
      <c r="O47" s="840"/>
      <c r="P47" s="840"/>
      <c r="Q47" s="840"/>
      <c r="R47" s="840"/>
      <c r="S47" s="840"/>
      <c r="T47" s="864"/>
      <c r="U47" s="840"/>
      <c r="V47" s="861">
        <f t="shared" si="17"/>
        <v>0</v>
      </c>
      <c r="W47" s="861">
        <f t="shared" si="17"/>
        <v>0</v>
      </c>
      <c r="X47" s="861">
        <f t="shared" si="17"/>
        <v>0</v>
      </c>
      <c r="Y47" s="861">
        <f t="shared" si="17"/>
        <v>0</v>
      </c>
      <c r="Z47" s="861">
        <f t="shared" si="17"/>
        <v>0</v>
      </c>
      <c r="AA47" s="861">
        <f t="shared" si="17"/>
        <v>0</v>
      </c>
      <c r="AB47" s="861">
        <f t="shared" si="17"/>
        <v>0</v>
      </c>
      <c r="AC47" s="861">
        <f t="shared" si="17"/>
        <v>0</v>
      </c>
      <c r="AD47" s="861">
        <f t="shared" si="17"/>
        <v>0</v>
      </c>
      <c r="AE47" s="861">
        <f t="shared" si="17"/>
        <v>0</v>
      </c>
      <c r="AF47" s="861">
        <f t="shared" si="17"/>
        <v>0</v>
      </c>
      <c r="AG47" s="861">
        <f t="shared" si="17"/>
        <v>0</v>
      </c>
      <c r="AH47" s="861">
        <f>AVERAGE(V47:AG47)</f>
        <v>0</v>
      </c>
      <c r="AI47" s="1071"/>
      <c r="AJ47" s="840"/>
      <c r="AK47" s="840"/>
      <c r="AL47" s="863">
        <f>+SUM(V47:AG47)</f>
        <v>0</v>
      </c>
      <c r="AM47" s="861">
        <f>+AK47*AL47</f>
        <v>0</v>
      </c>
      <c r="AN47" s="863">
        <f>+AM47-T47</f>
        <v>0</v>
      </c>
    </row>
    <row r="48" spans="1:40" ht="12" customHeight="1">
      <c r="A48" s="840" t="str">
        <f>$A$1&amp;"Residential"&amp;C48</f>
        <v>RuralResidentialGWRES</v>
      </c>
      <c r="B48" s="840">
        <f>COUNTIF(C:C,C48)</f>
        <v>1</v>
      </c>
      <c r="C48" s="883" t="s">
        <v>2044</v>
      </c>
      <c r="D48" s="883" t="s">
        <v>2045</v>
      </c>
      <c r="E48" s="883">
        <v>11.01</v>
      </c>
      <c r="F48" s="883"/>
      <c r="G48" s="862"/>
      <c r="H48" s="861">
        <v>5502.8550000000005</v>
      </c>
      <c r="I48" s="861">
        <v>5840.8549999999996</v>
      </c>
      <c r="J48" s="861">
        <v>5937.75</v>
      </c>
      <c r="K48" s="861">
        <v>5885.9699999999993</v>
      </c>
      <c r="L48" s="861">
        <v>5888.86</v>
      </c>
      <c r="M48" s="861">
        <v>5836.38</v>
      </c>
      <c r="N48" s="861">
        <v>5771.1350000000002</v>
      </c>
      <c r="O48" s="861">
        <v>5717.65</v>
      </c>
      <c r="P48" s="861">
        <v>5452.4650000000001</v>
      </c>
      <c r="Q48" s="861">
        <v>5427.41</v>
      </c>
      <c r="R48" s="861">
        <v>5395.78</v>
      </c>
      <c r="S48" s="861">
        <v>5135.2349999999997</v>
      </c>
      <c r="T48" s="863">
        <f>SUM(H48:S48)</f>
        <v>67792.345000000001</v>
      </c>
      <c r="U48" s="861"/>
      <c r="V48" s="861">
        <f t="shared" si="17"/>
        <v>499.80517711171666</v>
      </c>
      <c r="W48" s="861">
        <f t="shared" si="17"/>
        <v>530.50454132606717</v>
      </c>
      <c r="X48" s="861">
        <f t="shared" si="17"/>
        <v>539.3051771117166</v>
      </c>
      <c r="Y48" s="861">
        <f t="shared" si="17"/>
        <v>534.60217983651216</v>
      </c>
      <c r="Z48" s="861">
        <f t="shared" si="17"/>
        <v>534.86466848319708</v>
      </c>
      <c r="AA48" s="861">
        <f t="shared" si="17"/>
        <v>530.09809264305181</v>
      </c>
      <c r="AB48" s="861">
        <f t="shared" si="17"/>
        <v>524.17211625794732</v>
      </c>
      <c r="AC48" s="861">
        <f t="shared" si="17"/>
        <v>519.31425976385106</v>
      </c>
      <c r="AD48" s="861">
        <f t="shared" si="17"/>
        <v>495.22842870118075</v>
      </c>
      <c r="AE48" s="861">
        <f t="shared" si="17"/>
        <v>492.95277020890097</v>
      </c>
      <c r="AF48" s="861">
        <f t="shared" si="17"/>
        <v>490.07992733878291</v>
      </c>
      <c r="AG48" s="861">
        <f t="shared" si="17"/>
        <v>466.41553133514986</v>
      </c>
      <c r="AH48" s="861">
        <f>AVERAGE(V48:AG48)</f>
        <v>513.11190584317285</v>
      </c>
      <c r="AI48" s="1071"/>
      <c r="AJ48" s="840"/>
      <c r="AK48" s="840">
        <v>7.6</v>
      </c>
      <c r="AL48" s="863">
        <f>+SUM(V48:AG48)</f>
        <v>6157.3428701180746</v>
      </c>
      <c r="AM48" s="861">
        <f>+AK48*AL48</f>
        <v>46795.805812897364</v>
      </c>
      <c r="AN48" s="863">
        <f>+AM48-T48</f>
        <v>-20996.539187102637</v>
      </c>
    </row>
    <row r="49" spans="1:40" ht="12" customHeight="1">
      <c r="A49" s="840" t="str">
        <f>$A$1&amp;"Residential"&amp;C49</f>
        <v>RuralResidentialEXTRAGWC-RES</v>
      </c>
      <c r="B49" s="840">
        <f>COUNTIF(C:C,C49)</f>
        <v>1</v>
      </c>
      <c r="C49" s="883" t="s">
        <v>2046</v>
      </c>
      <c r="D49" s="883" t="s">
        <v>2047</v>
      </c>
      <c r="E49" s="883">
        <v>3.1</v>
      </c>
      <c r="F49" s="883"/>
      <c r="G49" s="879"/>
      <c r="H49" s="861">
        <v>0</v>
      </c>
      <c r="I49" s="861">
        <v>0</v>
      </c>
      <c r="J49" s="861">
        <v>0</v>
      </c>
      <c r="K49" s="861">
        <v>0</v>
      </c>
      <c r="L49" s="861">
        <v>0</v>
      </c>
      <c r="M49" s="861">
        <v>0</v>
      </c>
      <c r="N49" s="861">
        <v>27.900000000000002</v>
      </c>
      <c r="O49" s="861">
        <v>0</v>
      </c>
      <c r="P49" s="861">
        <v>0</v>
      </c>
      <c r="Q49" s="861">
        <v>0</v>
      </c>
      <c r="R49" s="861">
        <v>0</v>
      </c>
      <c r="S49" s="861">
        <v>0</v>
      </c>
      <c r="T49" s="863">
        <f>SUM(H49:S49)</f>
        <v>27.900000000000002</v>
      </c>
      <c r="U49" s="861"/>
      <c r="V49" s="861">
        <f t="shared" si="17"/>
        <v>0</v>
      </c>
      <c r="W49" s="861">
        <f t="shared" si="17"/>
        <v>0</v>
      </c>
      <c r="X49" s="861">
        <f t="shared" si="17"/>
        <v>0</v>
      </c>
      <c r="Y49" s="861">
        <f t="shared" si="17"/>
        <v>0</v>
      </c>
      <c r="Z49" s="861">
        <f t="shared" si="17"/>
        <v>0</v>
      </c>
      <c r="AA49" s="861">
        <f t="shared" si="17"/>
        <v>0</v>
      </c>
      <c r="AB49" s="861">
        <f t="shared" si="17"/>
        <v>9</v>
      </c>
      <c r="AC49" s="861">
        <f t="shared" si="17"/>
        <v>0</v>
      </c>
      <c r="AD49" s="861">
        <f t="shared" si="17"/>
        <v>0</v>
      </c>
      <c r="AE49" s="861">
        <f t="shared" si="17"/>
        <v>0</v>
      </c>
      <c r="AF49" s="861">
        <f t="shared" si="17"/>
        <v>0</v>
      </c>
      <c r="AG49" s="861">
        <f t="shared" si="17"/>
        <v>0</v>
      </c>
      <c r="AH49" s="861">
        <f>AVERAGE(V49:AG49)</f>
        <v>0.75</v>
      </c>
      <c r="AI49" s="1071"/>
      <c r="AJ49" s="840"/>
      <c r="AK49" s="840">
        <v>2.25</v>
      </c>
      <c r="AL49" s="863">
        <f>+SUM(V49:AG49)</f>
        <v>9</v>
      </c>
      <c r="AM49" s="861">
        <f>+AK49*AL49</f>
        <v>20.25</v>
      </c>
      <c r="AN49" s="863">
        <f>+AM49-T49</f>
        <v>-7.6500000000000021</v>
      </c>
    </row>
    <row r="50" spans="1:40" ht="12" customHeight="1">
      <c r="A50" s="840"/>
      <c r="B50" s="840"/>
      <c r="C50" s="912"/>
      <c r="D50" s="912"/>
      <c r="E50" s="883"/>
      <c r="F50" s="883"/>
      <c r="G50" s="880"/>
      <c r="H50" s="914"/>
      <c r="K50" s="864"/>
      <c r="L50" s="840"/>
      <c r="M50" s="840"/>
      <c r="N50" s="840"/>
      <c r="O50" s="840"/>
      <c r="P50" s="840"/>
      <c r="Q50" s="840"/>
      <c r="R50" s="840"/>
      <c r="S50" s="840"/>
      <c r="T50" s="840"/>
      <c r="U50" s="840"/>
      <c r="V50" s="861"/>
      <c r="W50" s="861"/>
      <c r="X50" s="861"/>
      <c r="Y50" s="861"/>
      <c r="Z50" s="861"/>
      <c r="AA50" s="861"/>
      <c r="AB50" s="861"/>
      <c r="AC50" s="861"/>
      <c r="AD50" s="861"/>
      <c r="AE50" s="861"/>
      <c r="AF50" s="861"/>
      <c r="AG50" s="861"/>
      <c r="AH50" s="861"/>
      <c r="AI50" s="1071"/>
      <c r="AJ50" s="840"/>
      <c r="AK50" s="840"/>
      <c r="AL50" s="863"/>
      <c r="AM50" s="861"/>
      <c r="AN50" s="863"/>
    </row>
    <row r="51" spans="1:40" ht="12" customHeight="1">
      <c r="A51" s="840"/>
      <c r="B51" s="840">
        <f>COUNTIF(C:C,C51)</f>
        <v>0</v>
      </c>
      <c r="C51" s="912"/>
      <c r="D51" s="1063" t="s">
        <v>2048</v>
      </c>
      <c r="E51" s="883">
        <v>0</v>
      </c>
      <c r="F51" s="883"/>
      <c r="G51" s="880"/>
      <c r="H51" s="870">
        <f t="shared" ref="H51:T51" si="18">SUM(H48:H50)</f>
        <v>5502.8550000000005</v>
      </c>
      <c r="I51" s="870">
        <f t="shared" si="18"/>
        <v>5840.8549999999996</v>
      </c>
      <c r="J51" s="870">
        <f t="shared" si="18"/>
        <v>5937.75</v>
      </c>
      <c r="K51" s="870">
        <f t="shared" si="18"/>
        <v>5885.9699999999993</v>
      </c>
      <c r="L51" s="870">
        <f t="shared" si="18"/>
        <v>5888.86</v>
      </c>
      <c r="M51" s="870">
        <f t="shared" si="18"/>
        <v>5836.38</v>
      </c>
      <c r="N51" s="870">
        <f t="shared" si="18"/>
        <v>5799.0349999999999</v>
      </c>
      <c r="O51" s="870">
        <f t="shared" si="18"/>
        <v>5717.65</v>
      </c>
      <c r="P51" s="870">
        <f t="shared" si="18"/>
        <v>5452.4650000000001</v>
      </c>
      <c r="Q51" s="870">
        <f t="shared" si="18"/>
        <v>5427.41</v>
      </c>
      <c r="R51" s="870">
        <f t="shared" si="18"/>
        <v>5395.78</v>
      </c>
      <c r="S51" s="870">
        <f t="shared" si="18"/>
        <v>5135.2349999999997</v>
      </c>
      <c r="T51" s="870">
        <f t="shared" si="18"/>
        <v>67820.244999999995</v>
      </c>
      <c r="U51" s="840"/>
      <c r="V51" s="886">
        <v>502.80517711171666</v>
      </c>
      <c r="W51" s="886">
        <v>539.50454132606717</v>
      </c>
      <c r="X51" s="886">
        <v>548.3051771117166</v>
      </c>
      <c r="Y51" s="886">
        <v>543.60217983651216</v>
      </c>
      <c r="Z51" s="886">
        <v>543.86466848319708</v>
      </c>
      <c r="AA51" s="886">
        <v>539.09809264305181</v>
      </c>
      <c r="AB51" s="886">
        <v>533.17211625794732</v>
      </c>
      <c r="AC51" s="886">
        <v>528.31425976385106</v>
      </c>
      <c r="AD51" s="886">
        <v>504.22842870118075</v>
      </c>
      <c r="AE51" s="886">
        <v>501.95277020890097</v>
      </c>
      <c r="AF51" s="886">
        <v>499.07992733878291</v>
      </c>
      <c r="AG51" s="886">
        <v>475.41553133514986</v>
      </c>
      <c r="AH51" s="886">
        <v>521.61190584317285</v>
      </c>
      <c r="AI51" s="1071"/>
      <c r="AJ51" s="840"/>
      <c r="AK51" s="886">
        <f>SUM(AK48:AK50)</f>
        <v>9.85</v>
      </c>
      <c r="AL51" s="886">
        <f>SUM(AL48:AL50)</f>
        <v>6166.3428701180746</v>
      </c>
      <c r="AM51" s="886">
        <f>SUM(AM48:AM50)</f>
        <v>46816.055812897364</v>
      </c>
      <c r="AN51" s="886">
        <f>SUM(AN48:AN50)</f>
        <v>-21004.189187102638</v>
      </c>
    </row>
    <row r="52" spans="1:40" ht="12" customHeight="1">
      <c r="A52" s="840"/>
      <c r="B52" s="840"/>
      <c r="C52" s="1062"/>
      <c r="D52" s="1062"/>
      <c r="E52" s="883"/>
      <c r="F52" s="883"/>
      <c r="G52" s="860"/>
      <c r="H52" s="862"/>
      <c r="I52" s="861"/>
      <c r="J52" s="861"/>
      <c r="K52" s="840"/>
      <c r="L52" s="840"/>
      <c r="M52" s="840"/>
      <c r="N52" s="840"/>
      <c r="O52" s="840"/>
      <c r="P52" s="840"/>
      <c r="Q52" s="840"/>
      <c r="R52" s="840"/>
      <c r="S52" s="840"/>
      <c r="T52" s="864"/>
      <c r="U52" s="840"/>
      <c r="V52" s="861"/>
      <c r="W52" s="861"/>
      <c r="X52" s="861"/>
      <c r="Y52" s="861"/>
      <c r="Z52" s="861"/>
      <c r="AA52" s="861"/>
      <c r="AB52" s="861"/>
      <c r="AC52" s="861"/>
      <c r="AD52" s="861"/>
      <c r="AE52" s="861"/>
      <c r="AF52" s="861"/>
      <c r="AG52" s="861"/>
      <c r="AH52" s="861"/>
      <c r="AI52" s="1071"/>
      <c r="AJ52" s="840"/>
      <c r="AK52" s="840"/>
      <c r="AL52" s="863"/>
      <c r="AM52" s="861"/>
      <c r="AN52" s="863"/>
    </row>
    <row r="53" spans="1:40" ht="12" customHeight="1">
      <c r="A53" s="840"/>
      <c r="B53" s="840">
        <f>COUNTIF(C:C,C53)</f>
        <v>1</v>
      </c>
      <c r="C53" s="1065" t="s">
        <v>2049</v>
      </c>
      <c r="D53" s="1065" t="s">
        <v>2049</v>
      </c>
      <c r="E53" s="883">
        <v>0</v>
      </c>
      <c r="F53" s="883"/>
      <c r="G53" s="860"/>
      <c r="H53" s="862"/>
      <c r="I53" s="861" t="str">
        <f>IF(G53="","",(#REF!/G53)+(#REF!/#REF!))</f>
        <v/>
      </c>
      <c r="J53" s="861" t="str">
        <f>IF(G53="","",I53/12)</f>
        <v/>
      </c>
      <c r="K53" s="840"/>
      <c r="L53" s="840"/>
      <c r="M53" s="840"/>
      <c r="N53" s="840"/>
      <c r="O53" s="840"/>
      <c r="P53" s="840"/>
      <c r="Q53" s="840"/>
      <c r="R53" s="840"/>
      <c r="S53" s="840"/>
      <c r="T53" s="864"/>
      <c r="U53" s="840"/>
      <c r="V53" s="861"/>
      <c r="W53" s="861"/>
      <c r="X53" s="861"/>
      <c r="Y53" s="861"/>
      <c r="Z53" s="861"/>
      <c r="AA53" s="861"/>
      <c r="AB53" s="861"/>
      <c r="AC53" s="861"/>
      <c r="AD53" s="861"/>
      <c r="AE53" s="861"/>
      <c r="AF53" s="861"/>
      <c r="AG53" s="861"/>
      <c r="AH53" s="861"/>
      <c r="AI53" s="1071"/>
      <c r="AJ53" s="840"/>
      <c r="AK53" s="840"/>
      <c r="AL53" s="863"/>
      <c r="AM53" s="861"/>
      <c r="AN53" s="863"/>
    </row>
    <row r="54" spans="1:40" ht="12" customHeight="1">
      <c r="A54" s="840"/>
      <c r="B54" s="840"/>
      <c r="C54" s="1065"/>
      <c r="D54" s="1065"/>
      <c r="E54" s="883"/>
      <c r="F54" s="883"/>
      <c r="G54" s="860"/>
      <c r="H54" s="862"/>
      <c r="I54" s="861"/>
      <c r="J54" s="861"/>
      <c r="K54" s="840"/>
      <c r="L54" s="840"/>
      <c r="M54" s="840"/>
      <c r="N54" s="840"/>
      <c r="O54" s="840"/>
      <c r="P54" s="840"/>
      <c r="Q54" s="840"/>
      <c r="R54" s="840"/>
      <c r="S54" s="840"/>
      <c r="T54" s="864"/>
      <c r="U54" s="840"/>
      <c r="V54" s="861"/>
      <c r="W54" s="861"/>
      <c r="X54" s="861"/>
      <c r="Y54" s="861"/>
      <c r="Z54" s="861"/>
      <c r="AA54" s="861"/>
      <c r="AB54" s="861"/>
      <c r="AC54" s="861"/>
      <c r="AD54" s="861"/>
      <c r="AE54" s="861"/>
      <c r="AF54" s="861"/>
      <c r="AG54" s="861"/>
      <c r="AH54" s="861"/>
      <c r="AI54" s="1071"/>
      <c r="AJ54" s="840"/>
      <c r="AK54" s="840"/>
      <c r="AL54" s="863"/>
      <c r="AM54" s="861"/>
      <c r="AN54" s="863"/>
    </row>
    <row r="55" spans="1:40" ht="12" customHeight="1">
      <c r="A55" s="840"/>
      <c r="B55" s="840">
        <f t="shared" ref="B55:B86" si="19">COUNTIF(C:C,C55)</f>
        <v>1</v>
      </c>
      <c r="C55" s="1067" t="s">
        <v>2050</v>
      </c>
      <c r="D55" s="1067" t="s">
        <v>2050</v>
      </c>
      <c r="E55" s="883">
        <v>0</v>
      </c>
      <c r="F55" s="883"/>
      <c r="G55" s="860"/>
      <c r="H55" s="862"/>
      <c r="I55" s="861" t="str">
        <f>IF(G55="","",(#REF!/G55)+(#REF!/#REF!))</f>
        <v/>
      </c>
      <c r="J55" s="861" t="str">
        <f>IF(G55="","",I55/12)</f>
        <v/>
      </c>
      <c r="K55" s="840"/>
      <c r="L55" s="840"/>
      <c r="M55" s="840"/>
      <c r="N55" s="840"/>
      <c r="O55" s="840"/>
      <c r="P55" s="840"/>
      <c r="Q55" s="840"/>
      <c r="R55" s="840"/>
      <c r="S55" s="840"/>
      <c r="T55" s="864"/>
      <c r="U55" s="840"/>
      <c r="V55" s="861"/>
      <c r="W55" s="861"/>
      <c r="X55" s="861"/>
      <c r="Y55" s="861"/>
      <c r="Z55" s="861"/>
      <c r="AA55" s="861"/>
      <c r="AB55" s="861"/>
      <c r="AC55" s="861"/>
      <c r="AD55" s="861"/>
      <c r="AE55" s="861"/>
      <c r="AF55" s="861"/>
      <c r="AG55" s="861"/>
      <c r="AH55" s="861"/>
      <c r="AI55" s="1071"/>
      <c r="AJ55" s="840"/>
      <c r="AK55" s="840"/>
      <c r="AL55" s="863"/>
      <c r="AM55" s="861"/>
      <c r="AN55" s="863"/>
    </row>
    <row r="56" spans="1:40" ht="12" customHeight="1">
      <c r="A56" s="840" t="str">
        <f t="shared" ref="A56:A118" si="20">$A$1&amp;"Commercial"&amp;C56</f>
        <v>RuralCommercialFL001.0Y1W001</v>
      </c>
      <c r="B56" s="840">
        <f t="shared" si="19"/>
        <v>1</v>
      </c>
      <c r="C56" s="883" t="s">
        <v>2055</v>
      </c>
      <c r="D56" s="883" t="s">
        <v>2056</v>
      </c>
      <c r="E56" s="883">
        <v>78.16</v>
      </c>
      <c r="F56" s="883"/>
      <c r="G56" s="860"/>
      <c r="H56" s="861">
        <v>7472.1</v>
      </c>
      <c r="I56" s="861">
        <v>7288.42</v>
      </c>
      <c r="J56" s="861">
        <v>7292.33</v>
      </c>
      <c r="K56" s="861">
        <v>7409.57</v>
      </c>
      <c r="L56" s="861">
        <v>7229.8</v>
      </c>
      <c r="M56" s="861">
        <v>7347.04</v>
      </c>
      <c r="N56" s="861">
        <v>7425.2</v>
      </c>
      <c r="O56" s="861">
        <v>7347.04</v>
      </c>
      <c r="P56" s="861">
        <v>7362.67</v>
      </c>
      <c r="Q56" s="861">
        <v>7229.8</v>
      </c>
      <c r="R56" s="861">
        <v>7190.72</v>
      </c>
      <c r="S56" s="861">
        <v>7210.26</v>
      </c>
      <c r="T56" s="863">
        <f t="shared" ref="T56:T87" si="21">SUM(H56:S56)</f>
        <v>87804.95</v>
      </c>
      <c r="U56" s="861"/>
      <c r="V56" s="861">
        <f t="shared" ref="V56:AG77" si="22">IFERROR(H56/$E56,0)</f>
        <v>95.600051177072686</v>
      </c>
      <c r="W56" s="861">
        <f t="shared" si="22"/>
        <v>93.25</v>
      </c>
      <c r="X56" s="861">
        <f t="shared" si="22"/>
        <v>93.300025588536343</v>
      </c>
      <c r="Y56" s="861">
        <f t="shared" si="22"/>
        <v>94.800025588536343</v>
      </c>
      <c r="Z56" s="861">
        <f t="shared" si="22"/>
        <v>92.5</v>
      </c>
      <c r="AA56" s="861">
        <f t="shared" si="22"/>
        <v>94</v>
      </c>
      <c r="AB56" s="861">
        <f t="shared" si="22"/>
        <v>95</v>
      </c>
      <c r="AC56" s="861">
        <f t="shared" si="22"/>
        <v>94</v>
      </c>
      <c r="AD56" s="861">
        <f t="shared" si="22"/>
        <v>94.199974411463671</v>
      </c>
      <c r="AE56" s="861">
        <f t="shared" si="22"/>
        <v>92.5</v>
      </c>
      <c r="AF56" s="861">
        <f t="shared" si="22"/>
        <v>92.000000000000014</v>
      </c>
      <c r="AG56" s="861">
        <f t="shared" si="22"/>
        <v>92.25</v>
      </c>
      <c r="AH56" s="861">
        <f t="shared" ref="AH56:AH118" si="23">AVERAGE(V56:AG56)</f>
        <v>93.616673063800761</v>
      </c>
      <c r="AI56" s="1071"/>
      <c r="AJ56" s="840"/>
      <c r="AK56" s="840">
        <v>80.36</v>
      </c>
      <c r="AL56" s="863">
        <f t="shared" ref="AL56:AL102" si="24">+SUM(V56:AG56)</f>
        <v>1123.4000767656091</v>
      </c>
      <c r="AM56" s="861">
        <f t="shared" ref="AM56:AM102" si="25">+AK56*AL56</f>
        <v>90276.430168884355</v>
      </c>
      <c r="AN56" s="863">
        <f t="shared" ref="AN56:AN102" si="26">+AM56-T56</f>
        <v>2471.4801688843581</v>
      </c>
    </row>
    <row r="57" spans="1:40" ht="12" customHeight="1">
      <c r="A57" s="840" t="str">
        <f t="shared" si="20"/>
        <v>RuralCommercialRL001.0Y2W001</v>
      </c>
      <c r="B57" s="840">
        <f t="shared" si="19"/>
        <v>1</v>
      </c>
      <c r="C57" s="883" t="s">
        <v>2115</v>
      </c>
      <c r="D57" s="883" t="s">
        <v>2058</v>
      </c>
      <c r="E57" s="883">
        <v>148.52000000000001</v>
      </c>
      <c r="F57" s="883"/>
      <c r="G57" s="860"/>
      <c r="H57" s="861">
        <v>0</v>
      </c>
      <c r="I57" s="861">
        <v>0</v>
      </c>
      <c r="J57" s="861">
        <v>0</v>
      </c>
      <c r="K57" s="861">
        <v>0</v>
      </c>
      <c r="L57" s="861">
        <v>0</v>
      </c>
      <c r="M57" s="861">
        <v>0</v>
      </c>
      <c r="N57" s="861">
        <v>0</v>
      </c>
      <c r="O57" s="861">
        <v>148.52000000000001</v>
      </c>
      <c r="P57" s="861">
        <v>148.52000000000001</v>
      </c>
      <c r="Q57" s="861">
        <v>129.96</v>
      </c>
      <c r="R57" s="861">
        <v>0</v>
      </c>
      <c r="S57" s="861">
        <v>0</v>
      </c>
      <c r="T57" s="863">
        <f t="shared" si="21"/>
        <v>427</v>
      </c>
      <c r="U57" s="861"/>
      <c r="V57" s="861">
        <f t="shared" si="22"/>
        <v>0</v>
      </c>
      <c r="W57" s="861">
        <f t="shared" si="22"/>
        <v>0</v>
      </c>
      <c r="X57" s="861">
        <f t="shared" si="22"/>
        <v>0</v>
      </c>
      <c r="Y57" s="861">
        <f t="shared" si="22"/>
        <v>0</v>
      </c>
      <c r="Z57" s="861">
        <f t="shared" si="22"/>
        <v>0</v>
      </c>
      <c r="AA57" s="861">
        <f t="shared" si="22"/>
        <v>0</v>
      </c>
      <c r="AB57" s="861">
        <f t="shared" si="22"/>
        <v>0</v>
      </c>
      <c r="AC57" s="861">
        <f t="shared" si="22"/>
        <v>1</v>
      </c>
      <c r="AD57" s="861">
        <f t="shared" si="22"/>
        <v>1</v>
      </c>
      <c r="AE57" s="861">
        <f t="shared" si="22"/>
        <v>0.87503366549959605</v>
      </c>
      <c r="AF57" s="861">
        <f t="shared" si="22"/>
        <v>0</v>
      </c>
      <c r="AG57" s="861">
        <f t="shared" si="22"/>
        <v>0</v>
      </c>
      <c r="AH57" s="861">
        <f t="shared" si="23"/>
        <v>0.23958613879163301</v>
      </c>
      <c r="AI57" s="1071"/>
      <c r="AJ57" s="840"/>
      <c r="AK57" s="840">
        <v>147.13</v>
      </c>
      <c r="AL57" s="863">
        <f t="shared" si="24"/>
        <v>2.875033665499596</v>
      </c>
      <c r="AM57" s="861">
        <f t="shared" si="25"/>
        <v>423.00370320495557</v>
      </c>
      <c r="AN57" s="863">
        <f t="shared" si="26"/>
        <v>-3.9962967950444295</v>
      </c>
    </row>
    <row r="58" spans="1:40" ht="12" customHeight="1">
      <c r="A58" s="840" t="str">
        <f t="shared" si="20"/>
        <v>RuralCommercialFL001.5Y1W001</v>
      </c>
      <c r="B58" s="840">
        <f t="shared" si="19"/>
        <v>1</v>
      </c>
      <c r="C58" s="883" t="s">
        <v>2063</v>
      </c>
      <c r="D58" s="883" t="s">
        <v>2064</v>
      </c>
      <c r="E58" s="883">
        <v>106.53</v>
      </c>
      <c r="F58" s="883"/>
      <c r="G58" s="860"/>
      <c r="H58" s="861">
        <v>2194.52</v>
      </c>
      <c r="I58" s="861">
        <v>2130.6</v>
      </c>
      <c r="J58" s="861">
        <v>2130.6</v>
      </c>
      <c r="K58" s="861">
        <v>2130.6</v>
      </c>
      <c r="L58" s="861">
        <v>2130.6</v>
      </c>
      <c r="M58" s="861">
        <v>2024.07</v>
      </c>
      <c r="N58" s="861">
        <v>2024.07</v>
      </c>
      <c r="O58" s="861">
        <v>2024.07</v>
      </c>
      <c r="P58" s="861">
        <v>2024.07</v>
      </c>
      <c r="Q58" s="861">
        <v>2024.07</v>
      </c>
      <c r="R58" s="861">
        <v>2024.07</v>
      </c>
      <c r="S58" s="861">
        <v>2024.07</v>
      </c>
      <c r="T58" s="863">
        <f t="shared" si="21"/>
        <v>24885.41</v>
      </c>
      <c r="U58" s="861"/>
      <c r="V58" s="861">
        <f t="shared" si="22"/>
        <v>20.600018774054256</v>
      </c>
      <c r="W58" s="861">
        <f t="shared" si="22"/>
        <v>20</v>
      </c>
      <c r="X58" s="861">
        <f t="shared" si="22"/>
        <v>20</v>
      </c>
      <c r="Y58" s="861">
        <f t="shared" si="22"/>
        <v>20</v>
      </c>
      <c r="Z58" s="861">
        <f t="shared" si="22"/>
        <v>20</v>
      </c>
      <c r="AA58" s="861">
        <f t="shared" si="22"/>
        <v>19</v>
      </c>
      <c r="AB58" s="861">
        <f t="shared" si="22"/>
        <v>19</v>
      </c>
      <c r="AC58" s="861">
        <f t="shared" si="22"/>
        <v>19</v>
      </c>
      <c r="AD58" s="861">
        <f t="shared" si="22"/>
        <v>19</v>
      </c>
      <c r="AE58" s="861">
        <f t="shared" si="22"/>
        <v>19</v>
      </c>
      <c r="AF58" s="861">
        <f t="shared" si="22"/>
        <v>19</v>
      </c>
      <c r="AG58" s="861">
        <f t="shared" si="22"/>
        <v>19</v>
      </c>
      <c r="AH58" s="861">
        <f t="shared" si="23"/>
        <v>19.466668231171187</v>
      </c>
      <c r="AI58" s="1071"/>
      <c r="AJ58" s="840"/>
      <c r="AK58" s="840">
        <v>103.23</v>
      </c>
      <c r="AL58" s="863">
        <f t="shared" si="24"/>
        <v>233.60001877405426</v>
      </c>
      <c r="AM58" s="861">
        <f t="shared" si="25"/>
        <v>24114.529938045624</v>
      </c>
      <c r="AN58" s="863">
        <f t="shared" si="26"/>
        <v>-770.88006195437629</v>
      </c>
    </row>
    <row r="59" spans="1:40" ht="12" customHeight="1">
      <c r="A59" s="840" t="str">
        <f t="shared" si="20"/>
        <v>RuralCommercialRL001.5Y2W001</v>
      </c>
      <c r="B59" s="840">
        <f t="shared" si="19"/>
        <v>1</v>
      </c>
      <c r="C59" s="883" t="s">
        <v>2117</v>
      </c>
      <c r="D59" s="883" t="s">
        <v>2066</v>
      </c>
      <c r="E59" s="883">
        <v>205.04</v>
      </c>
      <c r="F59" s="883"/>
      <c r="G59" s="860"/>
      <c r="H59" s="861">
        <v>205.04</v>
      </c>
      <c r="I59" s="861">
        <v>205.04</v>
      </c>
      <c r="J59" s="861">
        <v>205.04</v>
      </c>
      <c r="K59" s="861">
        <v>205.04</v>
      </c>
      <c r="L59" s="861">
        <v>205.04</v>
      </c>
      <c r="M59" s="861">
        <v>205.04</v>
      </c>
      <c r="N59" s="861">
        <v>205.04</v>
      </c>
      <c r="O59" s="861">
        <v>205.04</v>
      </c>
      <c r="P59" s="861">
        <v>205.04</v>
      </c>
      <c r="Q59" s="861">
        <v>205.04</v>
      </c>
      <c r="R59" s="861">
        <v>102.52</v>
      </c>
      <c r="S59" s="861">
        <v>0</v>
      </c>
      <c r="T59" s="863">
        <f t="shared" si="21"/>
        <v>2152.92</v>
      </c>
      <c r="U59" s="861"/>
      <c r="V59" s="861">
        <f t="shared" si="22"/>
        <v>1</v>
      </c>
      <c r="W59" s="861">
        <f t="shared" si="22"/>
        <v>1</v>
      </c>
      <c r="X59" s="861">
        <f t="shared" si="22"/>
        <v>1</v>
      </c>
      <c r="Y59" s="861">
        <f t="shared" si="22"/>
        <v>1</v>
      </c>
      <c r="Z59" s="861">
        <f t="shared" si="22"/>
        <v>1</v>
      </c>
      <c r="AA59" s="861">
        <f t="shared" si="22"/>
        <v>1</v>
      </c>
      <c r="AB59" s="861">
        <f t="shared" si="22"/>
        <v>1</v>
      </c>
      <c r="AC59" s="861">
        <f t="shared" si="22"/>
        <v>1</v>
      </c>
      <c r="AD59" s="861">
        <f t="shared" si="22"/>
        <v>1</v>
      </c>
      <c r="AE59" s="861">
        <f t="shared" si="22"/>
        <v>1</v>
      </c>
      <c r="AF59" s="861">
        <f t="shared" si="22"/>
        <v>0.5</v>
      </c>
      <c r="AG59" s="861">
        <f t="shared" si="22"/>
        <v>0</v>
      </c>
      <c r="AH59" s="861">
        <f t="shared" si="23"/>
        <v>0.875</v>
      </c>
      <c r="AI59" s="1071"/>
      <c r="AJ59" s="840"/>
      <c r="AK59" s="840">
        <v>189.96</v>
      </c>
      <c r="AL59" s="863">
        <f t="shared" si="24"/>
        <v>10.5</v>
      </c>
      <c r="AM59" s="861">
        <f t="shared" si="25"/>
        <v>1994.5800000000002</v>
      </c>
      <c r="AN59" s="863">
        <f t="shared" si="26"/>
        <v>-158.33999999999992</v>
      </c>
    </row>
    <row r="60" spans="1:40" ht="12" customHeight="1">
      <c r="A60" s="840" t="str">
        <f t="shared" si="20"/>
        <v>RuralCommercialRL001.5Y3W001</v>
      </c>
      <c r="B60" s="840">
        <f t="shared" si="19"/>
        <v>1</v>
      </c>
      <c r="C60" s="883" t="s">
        <v>2118</v>
      </c>
      <c r="D60" s="883" t="s">
        <v>2119</v>
      </c>
      <c r="E60" s="883">
        <v>303.55</v>
      </c>
      <c r="F60" s="883"/>
      <c r="G60" s="860"/>
      <c r="H60" s="861">
        <v>0</v>
      </c>
      <c r="I60" s="861">
        <v>0</v>
      </c>
      <c r="J60" s="861">
        <v>0</v>
      </c>
      <c r="K60" s="861">
        <v>0</v>
      </c>
      <c r="L60" s="861">
        <v>0</v>
      </c>
      <c r="M60" s="861">
        <v>0</v>
      </c>
      <c r="N60" s="861">
        <v>0</v>
      </c>
      <c r="O60" s="861">
        <v>0</v>
      </c>
      <c r="P60" s="861">
        <v>0</v>
      </c>
      <c r="Q60" s="861">
        <v>0</v>
      </c>
      <c r="R60" s="861">
        <v>186.8</v>
      </c>
      <c r="S60" s="861">
        <v>303.55</v>
      </c>
      <c r="T60" s="863">
        <f t="shared" si="21"/>
        <v>490.35</v>
      </c>
      <c r="U60" s="861"/>
      <c r="V60" s="861">
        <f t="shared" si="22"/>
        <v>0</v>
      </c>
      <c r="W60" s="861">
        <f t="shared" si="22"/>
        <v>0</v>
      </c>
      <c r="X60" s="861">
        <f t="shared" si="22"/>
        <v>0</v>
      </c>
      <c r="Y60" s="861">
        <f t="shared" si="22"/>
        <v>0</v>
      </c>
      <c r="Z60" s="861">
        <f t="shared" si="22"/>
        <v>0</v>
      </c>
      <c r="AA60" s="861">
        <f t="shared" si="22"/>
        <v>0</v>
      </c>
      <c r="AB60" s="861">
        <f t="shared" si="22"/>
        <v>0</v>
      </c>
      <c r="AC60" s="861">
        <f t="shared" si="22"/>
        <v>0</v>
      </c>
      <c r="AD60" s="861">
        <f t="shared" si="22"/>
        <v>0</v>
      </c>
      <c r="AE60" s="861">
        <f t="shared" si="22"/>
        <v>0</v>
      </c>
      <c r="AF60" s="861">
        <f t="shared" si="22"/>
        <v>0.61538461538461542</v>
      </c>
      <c r="AG60" s="861">
        <f t="shared" si="22"/>
        <v>1</v>
      </c>
      <c r="AH60" s="861">
        <f t="shared" si="23"/>
        <v>0.13461538461538461</v>
      </c>
      <c r="AI60" s="1071"/>
      <c r="AJ60" s="840"/>
      <c r="AK60" s="840">
        <v>276.69</v>
      </c>
      <c r="AL60" s="863">
        <f t="shared" si="24"/>
        <v>1.6153846153846154</v>
      </c>
      <c r="AM60" s="861">
        <f t="shared" si="25"/>
        <v>446.96076923076924</v>
      </c>
      <c r="AN60" s="863">
        <f t="shared" si="26"/>
        <v>-43.389230769230778</v>
      </c>
    </row>
    <row r="61" spans="1:40" ht="12" customHeight="1">
      <c r="A61" s="840" t="str">
        <f t="shared" si="20"/>
        <v>RuralCommercialRL001.5Y1W001</v>
      </c>
      <c r="B61" s="840">
        <f t="shared" si="19"/>
        <v>1</v>
      </c>
      <c r="C61" s="883" t="s">
        <v>2116</v>
      </c>
      <c r="D61" s="883" t="s">
        <v>2064</v>
      </c>
      <c r="E61" s="883">
        <v>106.53</v>
      </c>
      <c r="F61" s="883"/>
      <c r="G61" s="860"/>
      <c r="H61" s="861">
        <v>1757.75</v>
      </c>
      <c r="I61" s="861">
        <v>1757.75</v>
      </c>
      <c r="J61" s="861">
        <v>1704.48</v>
      </c>
      <c r="K61" s="861">
        <v>1704.48</v>
      </c>
      <c r="L61" s="861">
        <v>1611.2650000000001</v>
      </c>
      <c r="M61" s="861">
        <v>1664.53</v>
      </c>
      <c r="N61" s="861">
        <v>1704.48</v>
      </c>
      <c r="O61" s="861">
        <v>1704.48</v>
      </c>
      <c r="P61" s="861">
        <v>1800.355</v>
      </c>
      <c r="Q61" s="861">
        <v>1667.1899999999998</v>
      </c>
      <c r="R61" s="861">
        <v>1784.38</v>
      </c>
      <c r="S61" s="861">
        <v>1704.48</v>
      </c>
      <c r="T61" s="863">
        <f t="shared" si="21"/>
        <v>20565.62</v>
      </c>
      <c r="U61" s="861"/>
      <c r="V61" s="861">
        <f t="shared" si="22"/>
        <v>16.500046935135643</v>
      </c>
      <c r="W61" s="861">
        <f t="shared" si="22"/>
        <v>16.500046935135643</v>
      </c>
      <c r="X61" s="861">
        <f t="shared" si="22"/>
        <v>16</v>
      </c>
      <c r="Y61" s="861">
        <f t="shared" si="22"/>
        <v>16</v>
      </c>
      <c r="Z61" s="861">
        <f t="shared" si="22"/>
        <v>15.124988266216089</v>
      </c>
      <c r="AA61" s="861">
        <f t="shared" si="22"/>
        <v>15.624988266216089</v>
      </c>
      <c r="AB61" s="861">
        <f t="shared" si="22"/>
        <v>16</v>
      </c>
      <c r="AC61" s="861">
        <f t="shared" si="22"/>
        <v>16</v>
      </c>
      <c r="AD61" s="861">
        <f t="shared" si="22"/>
        <v>16.899981225945744</v>
      </c>
      <c r="AE61" s="861">
        <f t="shared" si="22"/>
        <v>15.649957758377919</v>
      </c>
      <c r="AF61" s="861">
        <f t="shared" si="22"/>
        <v>16.750023467567821</v>
      </c>
      <c r="AG61" s="861">
        <f t="shared" si="22"/>
        <v>16</v>
      </c>
      <c r="AH61" s="861">
        <f t="shared" si="23"/>
        <v>16.087502737882911</v>
      </c>
      <c r="AI61" s="1071"/>
      <c r="AJ61" s="840"/>
      <c r="AK61" s="840">
        <v>103.23</v>
      </c>
      <c r="AL61" s="863">
        <f t="shared" si="24"/>
        <v>193.05003285459495</v>
      </c>
      <c r="AM61" s="861">
        <f t="shared" si="25"/>
        <v>19928.554891579835</v>
      </c>
      <c r="AN61" s="863">
        <f t="shared" si="26"/>
        <v>-637.0651084201636</v>
      </c>
    </row>
    <row r="62" spans="1:40" ht="12" customHeight="1">
      <c r="A62" s="840" t="str">
        <f t="shared" si="20"/>
        <v>RuralCommercialRL002.0Y1W001</v>
      </c>
      <c r="B62" s="840">
        <f t="shared" si="19"/>
        <v>1</v>
      </c>
      <c r="C62" s="883" t="s">
        <v>2122</v>
      </c>
      <c r="D62" s="883" t="s">
        <v>2070</v>
      </c>
      <c r="E62" s="883">
        <v>140.44</v>
      </c>
      <c r="F62" s="883"/>
      <c r="G62" s="860"/>
      <c r="H62" s="861">
        <v>3209.06</v>
      </c>
      <c r="I62" s="861">
        <v>3230.12</v>
      </c>
      <c r="J62" s="861">
        <v>3236.35</v>
      </c>
      <c r="K62" s="861">
        <v>3412.69</v>
      </c>
      <c r="L62" s="861">
        <v>3440.78</v>
      </c>
      <c r="M62" s="861">
        <v>3314.38</v>
      </c>
      <c r="N62" s="861">
        <v>3152.88</v>
      </c>
      <c r="O62" s="861">
        <v>2836.89</v>
      </c>
      <c r="P62" s="861">
        <v>2949.24</v>
      </c>
      <c r="Q62" s="861">
        <v>2879.02</v>
      </c>
      <c r="R62" s="861">
        <v>2818.8599999999997</v>
      </c>
      <c r="S62" s="861">
        <v>3282.27</v>
      </c>
      <c r="T62" s="863">
        <f t="shared" si="21"/>
        <v>37762.539999999994</v>
      </c>
      <c r="U62" s="861"/>
      <c r="V62" s="861">
        <f t="shared" si="22"/>
        <v>22.850042722870977</v>
      </c>
      <c r="W62" s="861">
        <f t="shared" si="22"/>
        <v>23</v>
      </c>
      <c r="X62" s="861">
        <f t="shared" si="22"/>
        <v>23.044360581031047</v>
      </c>
      <c r="Y62" s="861">
        <f t="shared" si="22"/>
        <v>24.299985759043008</v>
      </c>
      <c r="Z62" s="861">
        <f t="shared" si="22"/>
        <v>24.500000000000004</v>
      </c>
      <c r="AA62" s="861">
        <f t="shared" si="22"/>
        <v>23.599971518086015</v>
      </c>
      <c r="AB62" s="861">
        <f t="shared" si="22"/>
        <v>22.450014240956992</v>
      </c>
      <c r="AC62" s="861">
        <f t="shared" si="22"/>
        <v>20.200014240956992</v>
      </c>
      <c r="AD62" s="861">
        <f t="shared" si="22"/>
        <v>21</v>
      </c>
      <c r="AE62" s="861">
        <f t="shared" si="22"/>
        <v>20.5</v>
      </c>
      <c r="AF62" s="861">
        <f t="shared" si="22"/>
        <v>20.071632013671316</v>
      </c>
      <c r="AG62" s="861">
        <f t="shared" si="22"/>
        <v>23.37133295357448</v>
      </c>
      <c r="AH62" s="861">
        <f t="shared" si="23"/>
        <v>22.407279502515902</v>
      </c>
      <c r="AI62" s="1071"/>
      <c r="AJ62" s="840"/>
      <c r="AK62" s="840">
        <v>134.52000000000001</v>
      </c>
      <c r="AL62" s="863">
        <f t="shared" si="24"/>
        <v>268.88735403019081</v>
      </c>
      <c r="AM62" s="861">
        <f t="shared" si="25"/>
        <v>36170.726864141267</v>
      </c>
      <c r="AN62" s="863">
        <f t="shared" si="26"/>
        <v>-1591.813135858727</v>
      </c>
    </row>
    <row r="63" spans="1:40" ht="12" customHeight="1">
      <c r="A63" s="840" t="str">
        <f t="shared" si="20"/>
        <v>RuralCommercialRL002.0Y2W001</v>
      </c>
      <c r="B63" s="840">
        <f t="shared" si="19"/>
        <v>1</v>
      </c>
      <c r="C63" s="883" t="s">
        <v>2123</v>
      </c>
      <c r="D63" s="883" t="s">
        <v>2074</v>
      </c>
      <c r="E63" s="883">
        <v>265.19</v>
      </c>
      <c r="F63" s="883"/>
      <c r="G63" s="860"/>
      <c r="H63" s="861">
        <v>795.57</v>
      </c>
      <c r="I63" s="861">
        <v>795.57</v>
      </c>
      <c r="J63" s="861">
        <v>795.57</v>
      </c>
      <c r="K63" s="861">
        <v>795.57</v>
      </c>
      <c r="L63" s="861">
        <v>795.57</v>
      </c>
      <c r="M63" s="861">
        <v>795.57</v>
      </c>
      <c r="N63" s="861">
        <v>795.57</v>
      </c>
      <c r="O63" s="861">
        <v>795.57</v>
      </c>
      <c r="P63" s="861">
        <v>795.57</v>
      </c>
      <c r="Q63" s="861">
        <v>795.57</v>
      </c>
      <c r="R63" s="861">
        <v>795.57</v>
      </c>
      <c r="S63" s="861">
        <v>795.57</v>
      </c>
      <c r="T63" s="863">
        <f t="shared" si="21"/>
        <v>9546.8399999999983</v>
      </c>
      <c r="U63" s="861"/>
      <c r="V63" s="861">
        <f t="shared" si="22"/>
        <v>3</v>
      </c>
      <c r="W63" s="861">
        <f t="shared" si="22"/>
        <v>3</v>
      </c>
      <c r="X63" s="861">
        <f t="shared" si="22"/>
        <v>3</v>
      </c>
      <c r="Y63" s="861">
        <f t="shared" si="22"/>
        <v>3</v>
      </c>
      <c r="Z63" s="861">
        <f t="shared" si="22"/>
        <v>3</v>
      </c>
      <c r="AA63" s="861">
        <f t="shared" si="22"/>
        <v>3</v>
      </c>
      <c r="AB63" s="861">
        <f t="shared" si="22"/>
        <v>3</v>
      </c>
      <c r="AC63" s="861">
        <f t="shared" si="22"/>
        <v>3</v>
      </c>
      <c r="AD63" s="861">
        <f t="shared" si="22"/>
        <v>3</v>
      </c>
      <c r="AE63" s="861">
        <f t="shared" si="22"/>
        <v>3</v>
      </c>
      <c r="AF63" s="861">
        <f t="shared" si="22"/>
        <v>3</v>
      </c>
      <c r="AG63" s="861">
        <f t="shared" si="22"/>
        <v>3</v>
      </c>
      <c r="AH63" s="861">
        <f t="shared" si="23"/>
        <v>3</v>
      </c>
      <c r="AI63" s="1071"/>
      <c r="AJ63" s="840"/>
      <c r="AK63" s="840">
        <v>244.55</v>
      </c>
      <c r="AL63" s="863">
        <f t="shared" si="24"/>
        <v>36</v>
      </c>
      <c r="AM63" s="861">
        <f t="shared" si="25"/>
        <v>8803.8000000000011</v>
      </c>
      <c r="AN63" s="863">
        <f t="shared" si="26"/>
        <v>-743.03999999999724</v>
      </c>
    </row>
    <row r="64" spans="1:40" ht="12" customHeight="1">
      <c r="A64" s="840" t="str">
        <f t="shared" si="20"/>
        <v>RuralCommercialFL002.0Y1W001</v>
      </c>
      <c r="B64" s="840">
        <f t="shared" si="19"/>
        <v>1</v>
      </c>
      <c r="C64" s="883" t="s">
        <v>2069</v>
      </c>
      <c r="D64" s="883" t="s">
        <v>2070</v>
      </c>
      <c r="E64" s="883">
        <v>140.44</v>
      </c>
      <c r="F64" s="883"/>
      <c r="G64" s="860"/>
      <c r="H64" s="861">
        <v>3370.56</v>
      </c>
      <c r="I64" s="861">
        <v>3511</v>
      </c>
      <c r="J64" s="861">
        <v>3595.26</v>
      </c>
      <c r="K64" s="861">
        <v>3651.44</v>
      </c>
      <c r="L64" s="861">
        <v>4494.08</v>
      </c>
      <c r="M64" s="861">
        <v>3651.44</v>
      </c>
      <c r="N64" s="861">
        <v>3651.44</v>
      </c>
      <c r="O64" s="861">
        <v>3511</v>
      </c>
      <c r="P64" s="861">
        <v>3398.65</v>
      </c>
      <c r="Q64" s="861">
        <v>3511</v>
      </c>
      <c r="R64" s="861">
        <v>3370.56</v>
      </c>
      <c r="S64" s="861">
        <v>3370.56</v>
      </c>
      <c r="T64" s="863">
        <f t="shared" si="21"/>
        <v>43086.989999999991</v>
      </c>
      <c r="U64" s="861"/>
      <c r="V64" s="861">
        <f t="shared" si="22"/>
        <v>24</v>
      </c>
      <c r="W64" s="861">
        <f t="shared" si="22"/>
        <v>25</v>
      </c>
      <c r="X64" s="861">
        <f t="shared" si="22"/>
        <v>25.599971518086019</v>
      </c>
      <c r="Y64" s="861">
        <f t="shared" si="22"/>
        <v>26</v>
      </c>
      <c r="Z64" s="861">
        <f t="shared" si="22"/>
        <v>32</v>
      </c>
      <c r="AA64" s="861">
        <f t="shared" si="22"/>
        <v>26</v>
      </c>
      <c r="AB64" s="861">
        <f t="shared" si="22"/>
        <v>26</v>
      </c>
      <c r="AC64" s="861">
        <f t="shared" si="22"/>
        <v>25</v>
      </c>
      <c r="AD64" s="861">
        <f t="shared" si="22"/>
        <v>24.200014240956992</v>
      </c>
      <c r="AE64" s="861">
        <f t="shared" si="22"/>
        <v>25</v>
      </c>
      <c r="AF64" s="861">
        <f t="shared" si="22"/>
        <v>24</v>
      </c>
      <c r="AG64" s="861">
        <f t="shared" si="22"/>
        <v>24</v>
      </c>
      <c r="AH64" s="861">
        <f t="shared" si="23"/>
        <v>25.56666547992025</v>
      </c>
      <c r="AI64" s="1071"/>
      <c r="AJ64" s="840"/>
      <c r="AK64" s="840">
        <v>134.52000000000001</v>
      </c>
      <c r="AL64" s="863">
        <f t="shared" si="24"/>
        <v>306.79998575904301</v>
      </c>
      <c r="AM64" s="861">
        <f t="shared" si="25"/>
        <v>41270.734084306467</v>
      </c>
      <c r="AN64" s="863">
        <f t="shared" si="26"/>
        <v>-1816.255915693524</v>
      </c>
    </row>
    <row r="65" spans="1:40" ht="12" customHeight="1">
      <c r="A65" s="840" t="str">
        <f t="shared" si="20"/>
        <v>RuralCommercialRL002.0Y3W001</v>
      </c>
      <c r="B65" s="840">
        <f t="shared" si="19"/>
        <v>1</v>
      </c>
      <c r="C65" s="883" t="s">
        <v>2124</v>
      </c>
      <c r="D65" s="883" t="s">
        <v>2076</v>
      </c>
      <c r="E65" s="883">
        <v>389.94</v>
      </c>
      <c r="F65" s="883"/>
      <c r="G65" s="860"/>
      <c r="H65" s="861">
        <v>0</v>
      </c>
      <c r="I65" s="861">
        <v>0</v>
      </c>
      <c r="J65" s="861">
        <v>0</v>
      </c>
      <c r="K65" s="861">
        <v>0</v>
      </c>
      <c r="L65" s="861">
        <v>0</v>
      </c>
      <c r="M65" s="861">
        <v>0</v>
      </c>
      <c r="N65" s="861">
        <v>0</v>
      </c>
      <c r="O65" s="861">
        <v>0</v>
      </c>
      <c r="P65" s="861">
        <v>0</v>
      </c>
      <c r="Q65" s="861">
        <v>162.47999999999999</v>
      </c>
      <c r="R65" s="861">
        <v>0</v>
      </c>
      <c r="S65" s="861">
        <v>0</v>
      </c>
      <c r="T65" s="863">
        <f t="shared" si="21"/>
        <v>162.47999999999999</v>
      </c>
      <c r="U65" s="861"/>
      <c r="V65" s="861">
        <f t="shared" si="22"/>
        <v>0</v>
      </c>
      <c r="W65" s="861">
        <f t="shared" si="22"/>
        <v>0</v>
      </c>
      <c r="X65" s="861">
        <f t="shared" si="22"/>
        <v>0</v>
      </c>
      <c r="Y65" s="861">
        <f t="shared" si="22"/>
        <v>0</v>
      </c>
      <c r="Z65" s="861">
        <f t="shared" si="22"/>
        <v>0</v>
      </c>
      <c r="AA65" s="861">
        <f t="shared" si="22"/>
        <v>0</v>
      </c>
      <c r="AB65" s="861">
        <f t="shared" si="22"/>
        <v>0</v>
      </c>
      <c r="AC65" s="861">
        <f t="shared" si="22"/>
        <v>0</v>
      </c>
      <c r="AD65" s="861">
        <f t="shared" si="22"/>
        <v>0</v>
      </c>
      <c r="AE65" s="861">
        <f t="shared" si="22"/>
        <v>0.41667948915217723</v>
      </c>
      <c r="AF65" s="861">
        <f t="shared" si="22"/>
        <v>0</v>
      </c>
      <c r="AG65" s="861">
        <f t="shared" si="22"/>
        <v>0</v>
      </c>
      <c r="AH65" s="861">
        <f t="shared" si="23"/>
        <v>3.4723290762681436E-2</v>
      </c>
      <c r="AI65" s="1071"/>
      <c r="AJ65" s="840"/>
      <c r="AK65" s="840">
        <v>354.58</v>
      </c>
      <c r="AL65" s="863">
        <f t="shared" si="24"/>
        <v>0.41667948915217723</v>
      </c>
      <c r="AM65" s="861">
        <f t="shared" si="25"/>
        <v>147.74621326357899</v>
      </c>
      <c r="AN65" s="863">
        <f t="shared" si="26"/>
        <v>-14.733786736420996</v>
      </c>
    </row>
    <row r="66" spans="1:40" ht="12" customHeight="1">
      <c r="A66" s="840" t="str">
        <f t="shared" si="20"/>
        <v>RuralCommercialFL003.0Y1W001</v>
      </c>
      <c r="B66" s="840">
        <f t="shared" si="19"/>
        <v>1</v>
      </c>
      <c r="C66" s="883" t="s">
        <v>2078</v>
      </c>
      <c r="D66" s="883" t="s">
        <v>2079</v>
      </c>
      <c r="E66" s="883">
        <v>201.6</v>
      </c>
      <c r="F66" s="883"/>
      <c r="G66" s="860"/>
      <c r="H66" s="861">
        <v>2419.1999999999998</v>
      </c>
      <c r="I66" s="861">
        <v>2419.1999999999998</v>
      </c>
      <c r="J66" s="861">
        <v>2419.1999999999998</v>
      </c>
      <c r="K66" s="861">
        <v>2419.1999999999998</v>
      </c>
      <c r="L66" s="861">
        <v>2923.2</v>
      </c>
      <c r="M66" s="861">
        <v>2298.2399999999998</v>
      </c>
      <c r="N66" s="861">
        <v>2217.6</v>
      </c>
      <c r="O66" s="861">
        <v>2419.1999999999998</v>
      </c>
      <c r="P66" s="861">
        <v>2217.6</v>
      </c>
      <c r="Q66" s="861">
        <v>2016</v>
      </c>
      <c r="R66" s="861">
        <v>1915.2</v>
      </c>
      <c r="S66" s="861">
        <v>1814.4</v>
      </c>
      <c r="T66" s="863">
        <f t="shared" si="21"/>
        <v>27498.240000000002</v>
      </c>
      <c r="U66" s="861"/>
      <c r="V66" s="861">
        <f t="shared" si="22"/>
        <v>12</v>
      </c>
      <c r="W66" s="861">
        <f t="shared" si="22"/>
        <v>12</v>
      </c>
      <c r="X66" s="861">
        <f t="shared" si="22"/>
        <v>12</v>
      </c>
      <c r="Y66" s="861">
        <f t="shared" si="22"/>
        <v>12</v>
      </c>
      <c r="Z66" s="861">
        <f t="shared" si="22"/>
        <v>14.5</v>
      </c>
      <c r="AA66" s="861">
        <f t="shared" si="22"/>
        <v>11.399999999999999</v>
      </c>
      <c r="AB66" s="861">
        <f t="shared" si="22"/>
        <v>11</v>
      </c>
      <c r="AC66" s="861">
        <f t="shared" si="22"/>
        <v>12</v>
      </c>
      <c r="AD66" s="861">
        <f t="shared" si="22"/>
        <v>11</v>
      </c>
      <c r="AE66" s="861">
        <f t="shared" si="22"/>
        <v>10</v>
      </c>
      <c r="AF66" s="861">
        <f t="shared" si="22"/>
        <v>9.5</v>
      </c>
      <c r="AG66" s="861">
        <f t="shared" si="22"/>
        <v>9</v>
      </c>
      <c r="AH66" s="861">
        <f t="shared" si="23"/>
        <v>11.366666666666667</v>
      </c>
      <c r="AI66" s="1071"/>
      <c r="AJ66" s="840"/>
      <c r="AK66" s="840">
        <v>179.66</v>
      </c>
      <c r="AL66" s="863">
        <f t="shared" si="24"/>
        <v>136.4</v>
      </c>
      <c r="AM66" s="861">
        <f t="shared" si="25"/>
        <v>24505.624</v>
      </c>
      <c r="AN66" s="863">
        <f t="shared" si="26"/>
        <v>-2992.6160000000018</v>
      </c>
    </row>
    <row r="67" spans="1:40" ht="12" customHeight="1">
      <c r="A67" s="840" t="str">
        <f t="shared" si="20"/>
        <v>RuralCommercialFL004.0Y1W001</v>
      </c>
      <c r="B67" s="840">
        <f t="shared" si="19"/>
        <v>1</v>
      </c>
      <c r="C67" s="883" t="s">
        <v>2086</v>
      </c>
      <c r="D67" s="883" t="s">
        <v>2087</v>
      </c>
      <c r="E67" s="883">
        <v>259.02999999999997</v>
      </c>
      <c r="F67" s="883"/>
      <c r="G67" s="860"/>
      <c r="H67" s="861">
        <v>1036.1199999999999</v>
      </c>
      <c r="I67" s="861">
        <v>1036.1199999999999</v>
      </c>
      <c r="J67" s="861">
        <v>1036.1199999999999</v>
      </c>
      <c r="K67" s="861">
        <v>1036.1199999999999</v>
      </c>
      <c r="L67" s="861">
        <v>1036.1199999999999</v>
      </c>
      <c r="M67" s="861">
        <v>1036.1199999999999</v>
      </c>
      <c r="N67" s="861">
        <v>1087.93</v>
      </c>
      <c r="O67" s="861">
        <v>1295.1500000000001</v>
      </c>
      <c r="P67" s="861">
        <v>1165.6400000000001</v>
      </c>
      <c r="Q67" s="861">
        <v>841.85</v>
      </c>
      <c r="R67" s="861">
        <v>906.61</v>
      </c>
      <c r="S67" s="861">
        <v>1036.1199999999999</v>
      </c>
      <c r="T67" s="863">
        <f t="shared" si="21"/>
        <v>12550.02</v>
      </c>
      <c r="U67" s="861"/>
      <c r="V67" s="861">
        <f t="shared" si="22"/>
        <v>4</v>
      </c>
      <c r="W67" s="861">
        <f t="shared" si="22"/>
        <v>4</v>
      </c>
      <c r="X67" s="861">
        <f t="shared" si="22"/>
        <v>4</v>
      </c>
      <c r="Y67" s="861">
        <f t="shared" si="22"/>
        <v>4</v>
      </c>
      <c r="Z67" s="861">
        <f t="shared" si="22"/>
        <v>4</v>
      </c>
      <c r="AA67" s="861">
        <f t="shared" si="22"/>
        <v>4</v>
      </c>
      <c r="AB67" s="861">
        <f t="shared" si="22"/>
        <v>4.2000154422267695</v>
      </c>
      <c r="AC67" s="861">
        <f t="shared" si="22"/>
        <v>5.0000000000000009</v>
      </c>
      <c r="AD67" s="861">
        <f t="shared" si="22"/>
        <v>4.5000193027834623</v>
      </c>
      <c r="AE67" s="861">
        <f t="shared" si="22"/>
        <v>3.2500096513917311</v>
      </c>
      <c r="AF67" s="861">
        <f t="shared" si="22"/>
        <v>3.5000193027834618</v>
      </c>
      <c r="AG67" s="861">
        <f t="shared" si="22"/>
        <v>4</v>
      </c>
      <c r="AH67" s="861">
        <f t="shared" si="23"/>
        <v>4.0375053082654526</v>
      </c>
      <c r="AI67" s="1071"/>
      <c r="AJ67" s="840"/>
      <c r="AK67" s="840">
        <v>232.45</v>
      </c>
      <c r="AL67" s="863">
        <f t="shared" si="24"/>
        <v>48.450063699185428</v>
      </c>
      <c r="AM67" s="861">
        <f t="shared" si="25"/>
        <v>11262.217306875653</v>
      </c>
      <c r="AN67" s="863">
        <f t="shared" si="26"/>
        <v>-1287.8026931243476</v>
      </c>
    </row>
    <row r="68" spans="1:40" ht="12" customHeight="1">
      <c r="A68" s="840" t="str">
        <f t="shared" si="20"/>
        <v>RuralCommercialFL004.0Y3W001</v>
      </c>
      <c r="B68" s="840">
        <f t="shared" si="19"/>
        <v>1</v>
      </c>
      <c r="C68" s="883" t="s">
        <v>2092</v>
      </c>
      <c r="D68" s="883" t="s">
        <v>2093</v>
      </c>
      <c r="E68" s="883">
        <v>731.69</v>
      </c>
      <c r="F68" s="883"/>
      <c r="G68" s="860"/>
      <c r="H68" s="861">
        <v>731.69</v>
      </c>
      <c r="I68" s="861">
        <v>731.69</v>
      </c>
      <c r="J68" s="861">
        <v>731.69</v>
      </c>
      <c r="K68" s="861">
        <v>731.69</v>
      </c>
      <c r="L68" s="861">
        <v>731.69</v>
      </c>
      <c r="M68" s="861">
        <v>731.69</v>
      </c>
      <c r="N68" s="861">
        <v>731.69</v>
      </c>
      <c r="O68" s="861">
        <v>731.69</v>
      </c>
      <c r="P68" s="861">
        <v>731.69</v>
      </c>
      <c r="Q68" s="861">
        <v>731.69</v>
      </c>
      <c r="R68" s="861">
        <v>731.69</v>
      </c>
      <c r="S68" s="861">
        <v>731.69</v>
      </c>
      <c r="T68" s="863">
        <f t="shared" si="21"/>
        <v>8780.2800000000025</v>
      </c>
      <c r="U68" s="861"/>
      <c r="V68" s="861">
        <f t="shared" si="22"/>
        <v>1</v>
      </c>
      <c r="W68" s="861">
        <f t="shared" si="22"/>
        <v>1</v>
      </c>
      <c r="X68" s="861">
        <f t="shared" si="22"/>
        <v>1</v>
      </c>
      <c r="Y68" s="861">
        <f t="shared" si="22"/>
        <v>1</v>
      </c>
      <c r="Z68" s="861">
        <f t="shared" si="22"/>
        <v>1</v>
      </c>
      <c r="AA68" s="861">
        <f t="shared" si="22"/>
        <v>1</v>
      </c>
      <c r="AB68" s="861">
        <f t="shared" si="22"/>
        <v>1</v>
      </c>
      <c r="AC68" s="861">
        <f t="shared" si="22"/>
        <v>1</v>
      </c>
      <c r="AD68" s="861">
        <f t="shared" si="22"/>
        <v>1</v>
      </c>
      <c r="AE68" s="861">
        <f t="shared" si="22"/>
        <v>1</v>
      </c>
      <c r="AF68" s="861">
        <f t="shared" si="22"/>
        <v>1</v>
      </c>
      <c r="AG68" s="861">
        <f t="shared" si="22"/>
        <v>1</v>
      </c>
      <c r="AH68" s="861">
        <f t="shared" si="23"/>
        <v>1</v>
      </c>
      <c r="AI68" s="1071"/>
      <c r="AJ68" s="840"/>
      <c r="AK68" s="840">
        <v>618.85</v>
      </c>
      <c r="AL68" s="863">
        <f t="shared" si="24"/>
        <v>12</v>
      </c>
      <c r="AM68" s="861">
        <f t="shared" si="25"/>
        <v>7426.2000000000007</v>
      </c>
      <c r="AN68" s="863">
        <f t="shared" si="26"/>
        <v>-1354.0800000000017</v>
      </c>
    </row>
    <row r="69" spans="1:40" ht="12" customHeight="1">
      <c r="A69" s="840" t="str">
        <f t="shared" si="20"/>
        <v>RuralCommercialFL006.0Y1W001</v>
      </c>
      <c r="B69" s="840">
        <f t="shared" si="19"/>
        <v>1</v>
      </c>
      <c r="C69" s="883" t="s">
        <v>2104</v>
      </c>
      <c r="D69" s="883" t="s">
        <v>2105</v>
      </c>
      <c r="E69" s="883">
        <v>375.14</v>
      </c>
      <c r="F69" s="883"/>
      <c r="G69" s="860"/>
      <c r="H69" s="861">
        <v>5627.1</v>
      </c>
      <c r="I69" s="861">
        <v>5627.1</v>
      </c>
      <c r="J69" s="861">
        <v>5627.1</v>
      </c>
      <c r="K69" s="861">
        <v>5627.1</v>
      </c>
      <c r="L69" s="861">
        <v>5627.1</v>
      </c>
      <c r="M69" s="861">
        <v>5852.18</v>
      </c>
      <c r="N69" s="861">
        <v>6002.24</v>
      </c>
      <c r="O69" s="861">
        <v>6002.24</v>
      </c>
      <c r="P69" s="861">
        <v>6002.24</v>
      </c>
      <c r="Q69" s="861">
        <v>6283.6</v>
      </c>
      <c r="R69" s="861">
        <v>6377.38</v>
      </c>
      <c r="S69" s="861">
        <v>6377.38</v>
      </c>
      <c r="T69" s="863">
        <f t="shared" si="21"/>
        <v>71032.759999999995</v>
      </c>
      <c r="U69" s="861"/>
      <c r="V69" s="861">
        <f t="shared" si="22"/>
        <v>15.000000000000002</v>
      </c>
      <c r="W69" s="861">
        <f t="shared" si="22"/>
        <v>15.000000000000002</v>
      </c>
      <c r="X69" s="861">
        <f t="shared" si="22"/>
        <v>15.000000000000002</v>
      </c>
      <c r="Y69" s="861">
        <f t="shared" si="22"/>
        <v>15.000000000000002</v>
      </c>
      <c r="Z69" s="861">
        <f t="shared" si="22"/>
        <v>15.000000000000002</v>
      </c>
      <c r="AA69" s="861">
        <f t="shared" si="22"/>
        <v>15.599989337314071</v>
      </c>
      <c r="AB69" s="861">
        <f t="shared" si="22"/>
        <v>16</v>
      </c>
      <c r="AC69" s="861">
        <f t="shared" si="22"/>
        <v>16</v>
      </c>
      <c r="AD69" s="861">
        <f t="shared" si="22"/>
        <v>16</v>
      </c>
      <c r="AE69" s="861">
        <f t="shared" si="22"/>
        <v>16.750013328357415</v>
      </c>
      <c r="AF69" s="861">
        <f t="shared" si="22"/>
        <v>17</v>
      </c>
      <c r="AG69" s="861">
        <f t="shared" si="22"/>
        <v>17</v>
      </c>
      <c r="AH69" s="861">
        <f t="shared" si="23"/>
        <v>15.779166888805959</v>
      </c>
      <c r="AI69" s="1071"/>
      <c r="AJ69" s="840"/>
      <c r="AK69" s="840">
        <v>316.87</v>
      </c>
      <c r="AL69" s="863">
        <f t="shared" si="24"/>
        <v>189.3500026656715</v>
      </c>
      <c r="AM69" s="861">
        <f t="shared" si="25"/>
        <v>59999.33534467133</v>
      </c>
      <c r="AN69" s="863">
        <f t="shared" si="26"/>
        <v>-11033.424655328665</v>
      </c>
    </row>
    <row r="70" spans="1:40" ht="12" customHeight="1">
      <c r="A70" s="840" t="str">
        <f t="shared" si="20"/>
        <v>RuralCommercialFL006.0Y3W001</v>
      </c>
      <c r="B70" s="840">
        <f t="shared" si="19"/>
        <v>1</v>
      </c>
      <c r="C70" s="883" t="s">
        <v>2108</v>
      </c>
      <c r="D70" s="883" t="s">
        <v>2109</v>
      </c>
      <c r="E70" s="883">
        <v>1058.58</v>
      </c>
      <c r="F70" s="883"/>
      <c r="G70" s="860"/>
      <c r="H70" s="861">
        <v>1058.58</v>
      </c>
      <c r="I70" s="861">
        <v>1058.58</v>
      </c>
      <c r="J70" s="861">
        <v>1058.58</v>
      </c>
      <c r="K70" s="861">
        <v>1058.58</v>
      </c>
      <c r="L70" s="861">
        <v>1058.58</v>
      </c>
      <c r="M70" s="861">
        <v>1058.58</v>
      </c>
      <c r="N70" s="861">
        <v>1058.58</v>
      </c>
      <c r="O70" s="861">
        <v>1058.58</v>
      </c>
      <c r="P70" s="861">
        <v>1058.58</v>
      </c>
      <c r="Q70" s="861">
        <v>1058.58</v>
      </c>
      <c r="R70" s="861">
        <v>1058.58</v>
      </c>
      <c r="S70" s="861">
        <v>1058.58</v>
      </c>
      <c r="T70" s="863">
        <f t="shared" si="21"/>
        <v>12702.96</v>
      </c>
      <c r="U70" s="861"/>
      <c r="V70" s="861">
        <f t="shared" si="22"/>
        <v>1</v>
      </c>
      <c r="W70" s="861">
        <f t="shared" si="22"/>
        <v>1</v>
      </c>
      <c r="X70" s="861">
        <f t="shared" si="22"/>
        <v>1</v>
      </c>
      <c r="Y70" s="861">
        <f t="shared" si="22"/>
        <v>1</v>
      </c>
      <c r="Z70" s="861">
        <f t="shared" si="22"/>
        <v>1</v>
      </c>
      <c r="AA70" s="861">
        <f t="shared" si="22"/>
        <v>1</v>
      </c>
      <c r="AB70" s="861">
        <f t="shared" si="22"/>
        <v>1</v>
      </c>
      <c r="AC70" s="861">
        <f t="shared" si="22"/>
        <v>1</v>
      </c>
      <c r="AD70" s="861">
        <f t="shared" si="22"/>
        <v>1</v>
      </c>
      <c r="AE70" s="861">
        <f t="shared" si="22"/>
        <v>1</v>
      </c>
      <c r="AF70" s="861">
        <f t="shared" si="22"/>
        <v>1</v>
      </c>
      <c r="AG70" s="861">
        <f t="shared" si="22"/>
        <v>1</v>
      </c>
      <c r="AH70" s="861">
        <f t="shared" si="23"/>
        <v>1</v>
      </c>
      <c r="AI70" s="1071"/>
      <c r="AJ70" s="840"/>
      <c r="AK70" s="840">
        <v>851.79</v>
      </c>
      <c r="AL70" s="863">
        <f t="shared" si="24"/>
        <v>12</v>
      </c>
      <c r="AM70" s="861">
        <f t="shared" si="25"/>
        <v>10221.48</v>
      </c>
      <c r="AN70" s="863">
        <f t="shared" si="26"/>
        <v>-2481.4799999999996</v>
      </c>
    </row>
    <row r="71" spans="1:40" ht="12" customHeight="1">
      <c r="A71" s="840" t="str">
        <f t="shared" si="20"/>
        <v>RuralCommercialRL001.0Y1W001</v>
      </c>
      <c r="B71" s="840">
        <f t="shared" si="19"/>
        <v>1</v>
      </c>
      <c r="C71" s="883" t="s">
        <v>2114</v>
      </c>
      <c r="D71" s="883" t="s">
        <v>2056</v>
      </c>
      <c r="E71" s="883">
        <v>78.16</v>
      </c>
      <c r="F71" s="883"/>
      <c r="G71" s="860"/>
      <c r="H71" s="861">
        <v>6784.28</v>
      </c>
      <c r="I71" s="861">
        <v>6799.92</v>
      </c>
      <c r="J71" s="861">
        <v>6627.97</v>
      </c>
      <c r="K71" s="861">
        <v>6850.72</v>
      </c>
      <c r="L71" s="861">
        <v>6967.96</v>
      </c>
      <c r="M71" s="861">
        <v>6897.62</v>
      </c>
      <c r="N71" s="861">
        <v>6823.37</v>
      </c>
      <c r="O71" s="861">
        <v>7012.91</v>
      </c>
      <c r="P71" s="861">
        <v>6997.27</v>
      </c>
      <c r="Q71" s="861">
        <v>7190.7199999999993</v>
      </c>
      <c r="R71" s="861">
        <v>7504.86</v>
      </c>
      <c r="S71" s="861">
        <v>7347.04</v>
      </c>
      <c r="T71" s="863">
        <f t="shared" si="21"/>
        <v>83804.640000000014</v>
      </c>
      <c r="U71" s="861"/>
      <c r="V71" s="861">
        <f t="shared" si="22"/>
        <v>86.799897645854657</v>
      </c>
      <c r="W71" s="861">
        <f t="shared" si="22"/>
        <v>87</v>
      </c>
      <c r="X71" s="861">
        <f t="shared" si="22"/>
        <v>84.800025588536343</v>
      </c>
      <c r="Y71" s="861">
        <f t="shared" si="22"/>
        <v>87.649948822927342</v>
      </c>
      <c r="Z71" s="861">
        <f t="shared" si="22"/>
        <v>89.149948822927328</v>
      </c>
      <c r="AA71" s="861">
        <f t="shared" si="22"/>
        <v>88.25</v>
      </c>
      <c r="AB71" s="861">
        <f t="shared" si="22"/>
        <v>87.300025588536343</v>
      </c>
      <c r="AC71" s="861">
        <f t="shared" si="22"/>
        <v>89.725051177072672</v>
      </c>
      <c r="AD71" s="861">
        <f t="shared" si="22"/>
        <v>89.524948822927342</v>
      </c>
      <c r="AE71" s="861">
        <f t="shared" si="22"/>
        <v>92</v>
      </c>
      <c r="AF71" s="861">
        <f t="shared" si="22"/>
        <v>96.019191402251792</v>
      </c>
      <c r="AG71" s="861">
        <f t="shared" si="22"/>
        <v>94</v>
      </c>
      <c r="AH71" s="861">
        <f t="shared" si="23"/>
        <v>89.351586489252824</v>
      </c>
      <c r="AI71" s="1071"/>
      <c r="AJ71" s="840"/>
      <c r="AK71" s="840">
        <v>80.36</v>
      </c>
      <c r="AL71" s="863">
        <f t="shared" si="24"/>
        <v>1072.2190378710338</v>
      </c>
      <c r="AM71" s="861">
        <f t="shared" si="25"/>
        <v>86163.52188331628</v>
      </c>
      <c r="AN71" s="863">
        <f t="shared" si="26"/>
        <v>2358.8818833162659</v>
      </c>
    </row>
    <row r="72" spans="1:40" ht="12" customHeight="1">
      <c r="A72" s="840" t="str">
        <f t="shared" si="20"/>
        <v>RuralCommercialRL006.0Y1W001</v>
      </c>
      <c r="B72" s="840">
        <f t="shared" si="19"/>
        <v>1</v>
      </c>
      <c r="C72" s="883" t="s">
        <v>2128</v>
      </c>
      <c r="D72" s="883" t="s">
        <v>2105</v>
      </c>
      <c r="E72" s="883">
        <v>375.14</v>
      </c>
      <c r="F72" s="883"/>
      <c r="G72" s="860"/>
      <c r="H72" s="861">
        <v>0</v>
      </c>
      <c r="I72" s="861">
        <v>0</v>
      </c>
      <c r="J72" s="861">
        <v>0</v>
      </c>
      <c r="K72" s="861">
        <v>0</v>
      </c>
      <c r="L72" s="861">
        <v>187.57</v>
      </c>
      <c r="M72" s="861">
        <v>0</v>
      </c>
      <c r="N72" s="861">
        <v>0</v>
      </c>
      <c r="O72" s="861">
        <v>0</v>
      </c>
      <c r="P72" s="861">
        <v>0</v>
      </c>
      <c r="Q72" s="861">
        <v>0</v>
      </c>
      <c r="R72" s="861">
        <v>0</v>
      </c>
      <c r="S72" s="861">
        <v>0</v>
      </c>
      <c r="T72" s="863">
        <f t="shared" si="21"/>
        <v>187.57</v>
      </c>
      <c r="U72" s="861"/>
      <c r="V72" s="861">
        <f t="shared" si="22"/>
        <v>0</v>
      </c>
      <c r="W72" s="861">
        <f t="shared" si="22"/>
        <v>0</v>
      </c>
      <c r="X72" s="861">
        <f t="shared" si="22"/>
        <v>0</v>
      </c>
      <c r="Y72" s="861">
        <f t="shared" si="22"/>
        <v>0</v>
      </c>
      <c r="Z72" s="861">
        <f t="shared" si="22"/>
        <v>0.5</v>
      </c>
      <c r="AA72" s="861">
        <f t="shared" si="22"/>
        <v>0</v>
      </c>
      <c r="AB72" s="861">
        <f t="shared" si="22"/>
        <v>0</v>
      </c>
      <c r="AC72" s="861">
        <f t="shared" si="22"/>
        <v>0</v>
      </c>
      <c r="AD72" s="861">
        <f t="shared" si="22"/>
        <v>0</v>
      </c>
      <c r="AE72" s="861">
        <f t="shared" si="22"/>
        <v>0</v>
      </c>
      <c r="AF72" s="861">
        <f t="shared" si="22"/>
        <v>0</v>
      </c>
      <c r="AG72" s="861">
        <f t="shared" si="22"/>
        <v>0</v>
      </c>
      <c r="AH72" s="861">
        <f t="shared" si="23"/>
        <v>4.1666666666666664E-2</v>
      </c>
      <c r="AI72" s="1071"/>
      <c r="AJ72" s="840"/>
      <c r="AK72" s="840">
        <v>316.87</v>
      </c>
      <c r="AL72" s="863">
        <f t="shared" si="24"/>
        <v>0.5</v>
      </c>
      <c r="AM72" s="861">
        <f t="shared" si="25"/>
        <v>158.435</v>
      </c>
      <c r="AN72" s="863">
        <f t="shared" si="26"/>
        <v>-29.134999999999991</v>
      </c>
    </row>
    <row r="73" spans="1:40" ht="12" customHeight="1">
      <c r="A73" s="840" t="str">
        <f t="shared" si="20"/>
        <v>RuralCommercialCANCOUNT5+-COMM</v>
      </c>
      <c r="B73" s="840">
        <f t="shared" si="19"/>
        <v>1</v>
      </c>
      <c r="C73" s="883" t="s">
        <v>2146</v>
      </c>
      <c r="D73" s="883" t="s">
        <v>2147</v>
      </c>
      <c r="E73" s="883">
        <v>2.4900000000000002</v>
      </c>
      <c r="F73" s="883"/>
      <c r="G73" s="860"/>
      <c r="H73" s="861">
        <v>216.63</v>
      </c>
      <c r="I73" s="861">
        <v>196.71</v>
      </c>
      <c r="J73" s="861">
        <v>261.45</v>
      </c>
      <c r="K73" s="861">
        <v>353.58</v>
      </c>
      <c r="L73" s="861">
        <v>268.92</v>
      </c>
      <c r="M73" s="861">
        <v>348.6</v>
      </c>
      <c r="N73" s="861">
        <v>438.24</v>
      </c>
      <c r="O73" s="861">
        <v>261.45</v>
      </c>
      <c r="P73" s="861">
        <v>435.75</v>
      </c>
      <c r="Q73" s="861">
        <v>253.98</v>
      </c>
      <c r="R73" s="861">
        <v>263.94</v>
      </c>
      <c r="S73" s="861">
        <v>256.47000000000003</v>
      </c>
      <c r="T73" s="863">
        <f t="shared" si="21"/>
        <v>3555.7200000000003</v>
      </c>
      <c r="U73" s="861"/>
      <c r="V73" s="861">
        <f t="shared" si="22"/>
        <v>86.999999999999986</v>
      </c>
      <c r="W73" s="861">
        <f t="shared" si="22"/>
        <v>79</v>
      </c>
      <c r="X73" s="861">
        <f t="shared" si="22"/>
        <v>104.99999999999999</v>
      </c>
      <c r="Y73" s="861">
        <f t="shared" si="22"/>
        <v>141.99999999999997</v>
      </c>
      <c r="Z73" s="861">
        <f t="shared" si="22"/>
        <v>108</v>
      </c>
      <c r="AA73" s="861">
        <f t="shared" si="22"/>
        <v>140</v>
      </c>
      <c r="AB73" s="861">
        <f t="shared" si="22"/>
        <v>176</v>
      </c>
      <c r="AC73" s="861">
        <f t="shared" si="22"/>
        <v>104.99999999999999</v>
      </c>
      <c r="AD73" s="861">
        <f t="shared" si="22"/>
        <v>174.99999999999997</v>
      </c>
      <c r="AE73" s="861">
        <f t="shared" si="22"/>
        <v>101.99999999999999</v>
      </c>
      <c r="AF73" s="861">
        <f t="shared" si="22"/>
        <v>105.99999999999999</v>
      </c>
      <c r="AG73" s="861">
        <f t="shared" si="22"/>
        <v>103</v>
      </c>
      <c r="AH73" s="861">
        <f t="shared" si="23"/>
        <v>119</v>
      </c>
      <c r="AI73" s="1071"/>
      <c r="AJ73" s="840">
        <f>AH73/4.33</f>
        <v>27.482678983833718</v>
      </c>
      <c r="AK73" s="840">
        <v>2.27</v>
      </c>
      <c r="AL73" s="863">
        <f t="shared" si="24"/>
        <v>1428</v>
      </c>
      <c r="AM73" s="861">
        <f t="shared" si="25"/>
        <v>3241.56</v>
      </c>
      <c r="AN73" s="863">
        <f t="shared" si="26"/>
        <v>-314.16000000000031</v>
      </c>
    </row>
    <row r="74" spans="1:40" ht="12" customHeight="1">
      <c r="A74" s="840" t="str">
        <f t="shared" si="20"/>
        <v>RuralCommercialCANCOUNT5-COMM</v>
      </c>
      <c r="B74" s="840">
        <f t="shared" si="19"/>
        <v>1</v>
      </c>
      <c r="C74" s="883" t="s">
        <v>2148</v>
      </c>
      <c r="D74" s="883"/>
      <c r="E74" s="883">
        <v>2.57</v>
      </c>
      <c r="F74" s="883"/>
      <c r="G74" s="860"/>
      <c r="H74" s="861">
        <v>0</v>
      </c>
      <c r="I74" s="861">
        <v>0</v>
      </c>
      <c r="J74" s="861">
        <v>0</v>
      </c>
      <c r="K74" s="861">
        <v>0</v>
      </c>
      <c r="L74" s="861">
        <v>0</v>
      </c>
      <c r="M74" s="861">
        <v>0</v>
      </c>
      <c r="N74" s="861">
        <v>0</v>
      </c>
      <c r="O74" s="861">
        <v>0</v>
      </c>
      <c r="P74" s="861">
        <v>0</v>
      </c>
      <c r="Q74" s="861">
        <v>82.24</v>
      </c>
      <c r="R74" s="861">
        <v>154.11000000000001</v>
      </c>
      <c r="S74" s="861">
        <v>0</v>
      </c>
      <c r="T74" s="863">
        <f t="shared" si="21"/>
        <v>236.35000000000002</v>
      </c>
      <c r="U74" s="861"/>
      <c r="V74" s="861">
        <f t="shared" si="22"/>
        <v>0</v>
      </c>
      <c r="W74" s="861">
        <f t="shared" si="22"/>
        <v>0</v>
      </c>
      <c r="X74" s="861">
        <f t="shared" si="22"/>
        <v>0</v>
      </c>
      <c r="Y74" s="861">
        <f t="shared" si="22"/>
        <v>0</v>
      </c>
      <c r="Z74" s="861">
        <f t="shared" si="22"/>
        <v>0</v>
      </c>
      <c r="AA74" s="861">
        <f t="shared" si="22"/>
        <v>0</v>
      </c>
      <c r="AB74" s="861">
        <f t="shared" si="22"/>
        <v>0</v>
      </c>
      <c r="AC74" s="861">
        <f t="shared" si="22"/>
        <v>0</v>
      </c>
      <c r="AD74" s="861">
        <f t="shared" si="22"/>
        <v>0</v>
      </c>
      <c r="AE74" s="861">
        <f t="shared" si="22"/>
        <v>32</v>
      </c>
      <c r="AF74" s="861">
        <f t="shared" si="22"/>
        <v>59.964980544747092</v>
      </c>
      <c r="AG74" s="861">
        <f t="shared" si="22"/>
        <v>0</v>
      </c>
      <c r="AH74" s="861">
        <f t="shared" si="23"/>
        <v>7.6637483787289247</v>
      </c>
      <c r="AI74" s="1071"/>
      <c r="AJ74" s="840"/>
      <c r="AK74" s="840">
        <v>2.4700000000000002</v>
      </c>
      <c r="AL74" s="863">
        <f t="shared" si="24"/>
        <v>91.964980544747092</v>
      </c>
      <c r="AM74" s="861">
        <f t="shared" si="25"/>
        <v>227.15350194552533</v>
      </c>
      <c r="AN74" s="863">
        <f t="shared" si="26"/>
        <v>-9.1964980544746879</v>
      </c>
    </row>
    <row r="75" spans="1:40" ht="12" customHeight="1">
      <c r="A75" s="840" t="str">
        <f t="shared" si="20"/>
        <v>RuralCommercialRL032.0G1W001COMM</v>
      </c>
      <c r="B75" s="840">
        <f t="shared" si="19"/>
        <v>1</v>
      </c>
      <c r="C75" s="883" t="s">
        <v>2129</v>
      </c>
      <c r="D75" s="883" t="s">
        <v>2130</v>
      </c>
      <c r="E75" s="883">
        <v>12.23</v>
      </c>
      <c r="F75" s="883"/>
      <c r="G75" s="860"/>
      <c r="H75" s="861">
        <v>12.23</v>
      </c>
      <c r="I75" s="861">
        <v>12.23</v>
      </c>
      <c r="J75" s="861">
        <v>12.23</v>
      </c>
      <c r="K75" s="861">
        <v>0</v>
      </c>
      <c r="L75" s="861">
        <v>0</v>
      </c>
      <c r="M75" s="861">
        <v>0</v>
      </c>
      <c r="N75" s="861">
        <v>0</v>
      </c>
      <c r="O75" s="861">
        <v>0</v>
      </c>
      <c r="P75" s="861">
        <v>0</v>
      </c>
      <c r="Q75" s="861">
        <v>0</v>
      </c>
      <c r="R75" s="861">
        <v>0</v>
      </c>
      <c r="S75" s="861">
        <v>0</v>
      </c>
      <c r="T75" s="863">
        <f t="shared" si="21"/>
        <v>36.69</v>
      </c>
      <c r="U75" s="861"/>
      <c r="V75" s="861">
        <f t="shared" si="22"/>
        <v>1</v>
      </c>
      <c r="W75" s="861">
        <f t="shared" si="22"/>
        <v>1</v>
      </c>
      <c r="X75" s="861">
        <f t="shared" si="22"/>
        <v>1</v>
      </c>
      <c r="Y75" s="861">
        <f t="shared" si="22"/>
        <v>0</v>
      </c>
      <c r="Z75" s="861">
        <f t="shared" si="22"/>
        <v>0</v>
      </c>
      <c r="AA75" s="861">
        <f t="shared" si="22"/>
        <v>0</v>
      </c>
      <c r="AB75" s="861">
        <f t="shared" si="22"/>
        <v>0</v>
      </c>
      <c r="AC75" s="861">
        <f t="shared" si="22"/>
        <v>0</v>
      </c>
      <c r="AD75" s="861">
        <f t="shared" si="22"/>
        <v>0</v>
      </c>
      <c r="AE75" s="861">
        <f t="shared" si="22"/>
        <v>0</v>
      </c>
      <c r="AF75" s="861">
        <f t="shared" si="22"/>
        <v>0</v>
      </c>
      <c r="AG75" s="861">
        <f t="shared" si="22"/>
        <v>0</v>
      </c>
      <c r="AH75" s="861">
        <f t="shared" si="23"/>
        <v>0.25</v>
      </c>
      <c r="AI75" s="1071"/>
      <c r="AJ75" s="840"/>
      <c r="AK75" s="840">
        <v>13.48</v>
      </c>
      <c r="AL75" s="863">
        <f t="shared" si="24"/>
        <v>3</v>
      </c>
      <c r="AM75" s="861">
        <f t="shared" si="25"/>
        <v>40.44</v>
      </c>
      <c r="AN75" s="863">
        <f t="shared" si="26"/>
        <v>3.75</v>
      </c>
    </row>
    <row r="76" spans="1:40" ht="12" customHeight="1">
      <c r="A76" s="840" t="str">
        <f t="shared" si="20"/>
        <v>RuralCommercialRL032.0G1W002COMM</v>
      </c>
      <c r="B76" s="840">
        <f t="shared" si="19"/>
        <v>1</v>
      </c>
      <c r="C76" s="883" t="s">
        <v>2131</v>
      </c>
      <c r="D76" s="883" t="s">
        <v>2132</v>
      </c>
      <c r="E76" s="883">
        <v>22.26</v>
      </c>
      <c r="F76" s="883"/>
      <c r="G76" s="860"/>
      <c r="H76" s="861">
        <v>22.26</v>
      </c>
      <c r="I76" s="861">
        <v>22.26</v>
      </c>
      <c r="J76" s="861">
        <v>22.26</v>
      </c>
      <c r="K76" s="861">
        <v>22.26</v>
      </c>
      <c r="L76" s="861">
        <v>22.26</v>
      </c>
      <c r="M76" s="861">
        <v>22.26</v>
      </c>
      <c r="N76" s="861">
        <v>22.26</v>
      </c>
      <c r="O76" s="861">
        <v>22.26</v>
      </c>
      <c r="P76" s="861">
        <v>22.26</v>
      </c>
      <c r="Q76" s="861">
        <v>22.26</v>
      </c>
      <c r="R76" s="861">
        <v>22.26</v>
      </c>
      <c r="S76" s="861">
        <v>22.26</v>
      </c>
      <c r="T76" s="863">
        <f t="shared" si="21"/>
        <v>267.11999999999995</v>
      </c>
      <c r="U76" s="861"/>
      <c r="V76" s="861">
        <f t="shared" si="22"/>
        <v>1</v>
      </c>
      <c r="W76" s="861">
        <f t="shared" si="22"/>
        <v>1</v>
      </c>
      <c r="X76" s="861">
        <f t="shared" si="22"/>
        <v>1</v>
      </c>
      <c r="Y76" s="861">
        <f t="shared" si="22"/>
        <v>1</v>
      </c>
      <c r="Z76" s="861">
        <f t="shared" si="22"/>
        <v>1</v>
      </c>
      <c r="AA76" s="861">
        <f t="shared" si="22"/>
        <v>1</v>
      </c>
      <c r="AB76" s="861">
        <f t="shared" si="22"/>
        <v>1</v>
      </c>
      <c r="AC76" s="861">
        <f t="shared" si="22"/>
        <v>1</v>
      </c>
      <c r="AD76" s="861">
        <f t="shared" si="22"/>
        <v>1</v>
      </c>
      <c r="AE76" s="861">
        <f t="shared" si="22"/>
        <v>1</v>
      </c>
      <c r="AF76" s="861">
        <f t="shared" si="22"/>
        <v>1</v>
      </c>
      <c r="AG76" s="861">
        <f t="shared" si="22"/>
        <v>1</v>
      </c>
      <c r="AH76" s="861">
        <f t="shared" si="23"/>
        <v>1</v>
      </c>
      <c r="AI76" s="1071"/>
      <c r="AJ76" s="840"/>
      <c r="AK76" s="840">
        <v>21.39</v>
      </c>
      <c r="AL76" s="863">
        <f t="shared" si="24"/>
        <v>12</v>
      </c>
      <c r="AM76" s="861">
        <f t="shared" si="25"/>
        <v>256.68</v>
      </c>
      <c r="AN76" s="863">
        <f t="shared" si="26"/>
        <v>-10.439999999999941</v>
      </c>
    </row>
    <row r="77" spans="1:40" ht="12" customHeight="1">
      <c r="A77" s="840" t="str">
        <f t="shared" si="20"/>
        <v>RuralCommercialRL032.0G1W003COMM</v>
      </c>
      <c r="B77" s="840">
        <f t="shared" si="19"/>
        <v>1</v>
      </c>
      <c r="C77" s="883" t="s">
        <v>2133</v>
      </c>
      <c r="D77" s="883" t="s">
        <v>2134</v>
      </c>
      <c r="E77" s="883">
        <v>33.380000000000003</v>
      </c>
      <c r="F77" s="883"/>
      <c r="G77" s="860"/>
      <c r="H77" s="861">
        <v>33.380000000000003</v>
      </c>
      <c r="I77" s="861">
        <v>33.380000000000003</v>
      </c>
      <c r="J77" s="861">
        <v>33.380000000000003</v>
      </c>
      <c r="K77" s="861">
        <v>33.380000000000003</v>
      </c>
      <c r="L77" s="861">
        <v>33.380000000000003</v>
      </c>
      <c r="M77" s="861">
        <v>33.380000000000003</v>
      </c>
      <c r="N77" s="861">
        <v>33.380000000000003</v>
      </c>
      <c r="O77" s="861">
        <v>33.380000000000003</v>
      </c>
      <c r="P77" s="861">
        <v>33.380000000000003</v>
      </c>
      <c r="Q77" s="861">
        <v>33.380000000000003</v>
      </c>
      <c r="R77" s="861">
        <v>33.380000000000003</v>
      </c>
      <c r="S77" s="861">
        <v>33.380000000000003</v>
      </c>
      <c r="T77" s="863">
        <f t="shared" si="21"/>
        <v>400.56</v>
      </c>
      <c r="U77" s="861"/>
      <c r="V77" s="861">
        <f t="shared" si="22"/>
        <v>1</v>
      </c>
      <c r="W77" s="861">
        <f t="shared" si="22"/>
        <v>1</v>
      </c>
      <c r="X77" s="861">
        <f t="shared" si="22"/>
        <v>1</v>
      </c>
      <c r="Y77" s="861">
        <f t="shared" ref="Y77:AG105" si="27">IFERROR(K77/$E77,0)</f>
        <v>1</v>
      </c>
      <c r="Z77" s="861">
        <f t="shared" si="27"/>
        <v>1</v>
      </c>
      <c r="AA77" s="861">
        <f t="shared" si="27"/>
        <v>1</v>
      </c>
      <c r="AB77" s="861">
        <f t="shared" si="27"/>
        <v>1</v>
      </c>
      <c r="AC77" s="861">
        <f t="shared" si="27"/>
        <v>1</v>
      </c>
      <c r="AD77" s="861">
        <f t="shared" si="27"/>
        <v>1</v>
      </c>
      <c r="AE77" s="861">
        <f t="shared" si="27"/>
        <v>1</v>
      </c>
      <c r="AF77" s="861">
        <f t="shared" si="27"/>
        <v>1</v>
      </c>
      <c r="AG77" s="861">
        <f t="shared" si="27"/>
        <v>1</v>
      </c>
      <c r="AH77" s="861">
        <f t="shared" si="23"/>
        <v>1</v>
      </c>
      <c r="AI77" s="1071"/>
      <c r="AJ77" s="840"/>
      <c r="AK77" s="840">
        <v>32.090000000000003</v>
      </c>
      <c r="AL77" s="863">
        <f t="shared" si="24"/>
        <v>12</v>
      </c>
      <c r="AM77" s="861">
        <f t="shared" si="25"/>
        <v>385.08000000000004</v>
      </c>
      <c r="AN77" s="863">
        <f t="shared" si="26"/>
        <v>-15.479999999999961</v>
      </c>
    </row>
    <row r="78" spans="1:40" ht="12" customHeight="1">
      <c r="A78" s="840" t="str">
        <f t="shared" si="20"/>
        <v>RuralCommercialRL032.0G1W004COMM</v>
      </c>
      <c r="B78" s="840">
        <f t="shared" si="19"/>
        <v>1</v>
      </c>
      <c r="C78" s="883" t="s">
        <v>2135</v>
      </c>
      <c r="D78" s="883" t="s">
        <v>2136</v>
      </c>
      <c r="E78" s="883">
        <v>44.51</v>
      </c>
      <c r="F78" s="883"/>
      <c r="G78" s="860"/>
      <c r="H78" s="861">
        <v>89.02</v>
      </c>
      <c r="I78" s="861">
        <v>89.02</v>
      </c>
      <c r="J78" s="861">
        <v>89.02</v>
      </c>
      <c r="K78" s="861">
        <v>89.02</v>
      </c>
      <c r="L78" s="861">
        <v>89.02</v>
      </c>
      <c r="M78" s="861">
        <v>89.02</v>
      </c>
      <c r="N78" s="861">
        <v>89.02</v>
      </c>
      <c r="O78" s="861">
        <v>89.02</v>
      </c>
      <c r="P78" s="861">
        <v>89.02</v>
      </c>
      <c r="Q78" s="861">
        <v>89.02</v>
      </c>
      <c r="R78" s="861">
        <v>89.02</v>
      </c>
      <c r="S78" s="861">
        <v>89.02</v>
      </c>
      <c r="T78" s="863">
        <f t="shared" si="21"/>
        <v>1068.24</v>
      </c>
      <c r="U78" s="861"/>
      <c r="V78" s="861">
        <f t="shared" ref="V78:AA109" si="28">IFERROR(H78/$E78,0)</f>
        <v>2</v>
      </c>
      <c r="W78" s="861">
        <f t="shared" si="28"/>
        <v>2</v>
      </c>
      <c r="X78" s="861">
        <f t="shared" si="28"/>
        <v>2</v>
      </c>
      <c r="Y78" s="861">
        <f t="shared" si="27"/>
        <v>2</v>
      </c>
      <c r="Z78" s="861">
        <f t="shared" si="27"/>
        <v>2</v>
      </c>
      <c r="AA78" s="861">
        <f t="shared" si="27"/>
        <v>2</v>
      </c>
      <c r="AB78" s="861">
        <f t="shared" si="27"/>
        <v>2</v>
      </c>
      <c r="AC78" s="861">
        <f t="shared" si="27"/>
        <v>2</v>
      </c>
      <c r="AD78" s="861">
        <f t="shared" si="27"/>
        <v>2</v>
      </c>
      <c r="AE78" s="861">
        <f t="shared" si="27"/>
        <v>2</v>
      </c>
      <c r="AF78" s="861">
        <f t="shared" si="27"/>
        <v>2</v>
      </c>
      <c r="AG78" s="861">
        <f t="shared" si="27"/>
        <v>2</v>
      </c>
      <c r="AH78" s="861">
        <f t="shared" si="23"/>
        <v>2</v>
      </c>
      <c r="AI78" s="1071"/>
      <c r="AJ78" s="840"/>
      <c r="AK78" s="840">
        <v>42.78</v>
      </c>
      <c r="AL78" s="863">
        <f t="shared" si="24"/>
        <v>24</v>
      </c>
      <c r="AM78" s="861">
        <f t="shared" si="25"/>
        <v>1026.72</v>
      </c>
      <c r="AN78" s="863">
        <f t="shared" si="26"/>
        <v>-41.519999999999982</v>
      </c>
    </row>
    <row r="79" spans="1:40" ht="12" customHeight="1">
      <c r="A79" s="840" t="str">
        <f t="shared" si="20"/>
        <v>RuralCommercialSL035.0G1W001COMM</v>
      </c>
      <c r="B79" s="840">
        <f t="shared" si="19"/>
        <v>1</v>
      </c>
      <c r="C79" s="883" t="s">
        <v>2139</v>
      </c>
      <c r="D79" s="883" t="s">
        <v>2138</v>
      </c>
      <c r="E79" s="883">
        <v>13.68</v>
      </c>
      <c r="F79" s="883"/>
      <c r="G79" s="860"/>
      <c r="H79" s="861">
        <v>796.86</v>
      </c>
      <c r="I79" s="861">
        <v>820.8</v>
      </c>
      <c r="J79" s="861">
        <v>820.8</v>
      </c>
      <c r="K79" s="861">
        <v>820.8</v>
      </c>
      <c r="L79" s="861">
        <v>820.8</v>
      </c>
      <c r="M79" s="861">
        <v>826.27</v>
      </c>
      <c r="N79" s="861">
        <v>813.96</v>
      </c>
      <c r="O79" s="861">
        <v>807.12</v>
      </c>
      <c r="P79" s="861">
        <v>807.12</v>
      </c>
      <c r="Q79" s="861">
        <v>807.12</v>
      </c>
      <c r="R79" s="861">
        <v>807.12</v>
      </c>
      <c r="S79" s="861">
        <v>807.12</v>
      </c>
      <c r="T79" s="863">
        <f t="shared" si="21"/>
        <v>9755.8900000000012</v>
      </c>
      <c r="U79" s="861"/>
      <c r="V79" s="861">
        <f t="shared" si="28"/>
        <v>58.25</v>
      </c>
      <c r="W79" s="861">
        <f t="shared" si="28"/>
        <v>60</v>
      </c>
      <c r="X79" s="861">
        <f t="shared" si="28"/>
        <v>60</v>
      </c>
      <c r="Y79" s="861">
        <f t="shared" si="27"/>
        <v>60</v>
      </c>
      <c r="Z79" s="861">
        <f t="shared" si="27"/>
        <v>60</v>
      </c>
      <c r="AA79" s="861">
        <f t="shared" si="27"/>
        <v>60.399853801169591</v>
      </c>
      <c r="AB79" s="861">
        <f t="shared" si="27"/>
        <v>59.500000000000007</v>
      </c>
      <c r="AC79" s="861">
        <f t="shared" si="27"/>
        <v>59</v>
      </c>
      <c r="AD79" s="861">
        <f t="shared" si="27"/>
        <v>59</v>
      </c>
      <c r="AE79" s="861">
        <f t="shared" si="27"/>
        <v>59</v>
      </c>
      <c r="AF79" s="861">
        <f t="shared" si="27"/>
        <v>59</v>
      </c>
      <c r="AG79" s="861">
        <f t="shared" si="27"/>
        <v>59</v>
      </c>
      <c r="AH79" s="861">
        <f t="shared" si="23"/>
        <v>59.4291544834308</v>
      </c>
      <c r="AI79" s="1071"/>
      <c r="AJ79" s="840"/>
      <c r="AK79" s="840">
        <v>13.89</v>
      </c>
      <c r="AL79" s="863">
        <f t="shared" si="24"/>
        <v>713.14985380116957</v>
      </c>
      <c r="AM79" s="861">
        <f t="shared" si="25"/>
        <v>9905.6514692982455</v>
      </c>
      <c r="AN79" s="863">
        <f t="shared" si="26"/>
        <v>149.76146929824426</v>
      </c>
    </row>
    <row r="80" spans="1:40" ht="12" customHeight="1">
      <c r="A80" s="840" t="str">
        <f t="shared" si="20"/>
        <v>RuralCommercialSL065.0G1W001COMM</v>
      </c>
      <c r="B80" s="840">
        <f t="shared" si="19"/>
        <v>1</v>
      </c>
      <c r="C80" s="883" t="s">
        <v>2140</v>
      </c>
      <c r="D80" s="883" t="s">
        <v>2141</v>
      </c>
      <c r="E80" s="883">
        <v>20.22</v>
      </c>
      <c r="F80" s="883"/>
      <c r="G80" s="860"/>
      <c r="H80" s="861">
        <v>481.24</v>
      </c>
      <c r="I80" s="861">
        <v>485.28</v>
      </c>
      <c r="J80" s="861">
        <v>489.33</v>
      </c>
      <c r="K80" s="861">
        <v>525.72</v>
      </c>
      <c r="L80" s="861">
        <v>520.66999999999996</v>
      </c>
      <c r="M80" s="861">
        <v>428.64</v>
      </c>
      <c r="N80" s="861">
        <v>303.3</v>
      </c>
      <c r="O80" s="861">
        <v>303.3</v>
      </c>
      <c r="P80" s="861">
        <v>303.3</v>
      </c>
      <c r="Q80" s="861">
        <v>262.86</v>
      </c>
      <c r="R80" s="861">
        <v>262.86</v>
      </c>
      <c r="S80" s="861">
        <v>262.86</v>
      </c>
      <c r="T80" s="863">
        <f t="shared" si="21"/>
        <v>4629.3599999999997</v>
      </c>
      <c r="U80" s="861"/>
      <c r="V80" s="861">
        <f t="shared" si="28"/>
        <v>23.800197823936699</v>
      </c>
      <c r="W80" s="861">
        <f t="shared" si="28"/>
        <v>24</v>
      </c>
      <c r="X80" s="861">
        <f t="shared" si="28"/>
        <v>24.200296735905045</v>
      </c>
      <c r="Y80" s="861">
        <f t="shared" si="27"/>
        <v>26.000000000000004</v>
      </c>
      <c r="Z80" s="861">
        <f t="shared" si="27"/>
        <v>25.75024727992087</v>
      </c>
      <c r="AA80" s="861">
        <f t="shared" si="27"/>
        <v>21.198813056379823</v>
      </c>
      <c r="AB80" s="861">
        <f t="shared" si="27"/>
        <v>15.000000000000002</v>
      </c>
      <c r="AC80" s="861">
        <f t="shared" si="27"/>
        <v>15.000000000000002</v>
      </c>
      <c r="AD80" s="861">
        <f t="shared" si="27"/>
        <v>15.000000000000002</v>
      </c>
      <c r="AE80" s="861">
        <f t="shared" si="27"/>
        <v>13.000000000000002</v>
      </c>
      <c r="AF80" s="861">
        <f t="shared" si="27"/>
        <v>13.000000000000002</v>
      </c>
      <c r="AG80" s="861">
        <f t="shared" si="27"/>
        <v>13.000000000000002</v>
      </c>
      <c r="AH80" s="861">
        <f t="shared" si="23"/>
        <v>19.079129574678536</v>
      </c>
      <c r="AI80" s="1071"/>
      <c r="AJ80" s="840"/>
      <c r="AK80" s="840">
        <v>20.52</v>
      </c>
      <c r="AL80" s="863">
        <f t="shared" si="24"/>
        <v>228.94955489614244</v>
      </c>
      <c r="AM80" s="861">
        <f t="shared" si="25"/>
        <v>4698.0448664688429</v>
      </c>
      <c r="AN80" s="863">
        <f t="shared" si="26"/>
        <v>68.684866468843211</v>
      </c>
    </row>
    <row r="81" spans="1:40" ht="12" customHeight="1">
      <c r="A81" s="840" t="str">
        <f t="shared" si="20"/>
        <v>RuralCommercialSL095.0G1W001COMM</v>
      </c>
      <c r="B81" s="840">
        <f t="shared" si="19"/>
        <v>1</v>
      </c>
      <c r="C81" s="883" t="s">
        <v>2142</v>
      </c>
      <c r="D81" s="883" t="s">
        <v>2143</v>
      </c>
      <c r="E81" s="883">
        <v>26.98</v>
      </c>
      <c r="F81" s="883"/>
      <c r="G81" s="860"/>
      <c r="H81" s="861">
        <v>323.76</v>
      </c>
      <c r="I81" s="861">
        <v>323.76</v>
      </c>
      <c r="J81" s="861">
        <v>323.76</v>
      </c>
      <c r="K81" s="861">
        <v>356.14</v>
      </c>
      <c r="L81" s="861">
        <v>384.47</v>
      </c>
      <c r="M81" s="861">
        <v>404.7</v>
      </c>
      <c r="N81" s="861">
        <v>404.7</v>
      </c>
      <c r="O81" s="861">
        <v>437.08</v>
      </c>
      <c r="P81" s="861">
        <v>458.66</v>
      </c>
      <c r="Q81" s="861">
        <v>458.66</v>
      </c>
      <c r="R81" s="861">
        <v>458.66</v>
      </c>
      <c r="S81" s="861">
        <v>350.74</v>
      </c>
      <c r="T81" s="863">
        <f t="shared" si="21"/>
        <v>4685.0899999999992</v>
      </c>
      <c r="U81" s="861"/>
      <c r="V81" s="861">
        <f t="shared" si="28"/>
        <v>12</v>
      </c>
      <c r="W81" s="861">
        <f t="shared" si="28"/>
        <v>12</v>
      </c>
      <c r="X81" s="861">
        <f t="shared" si="28"/>
        <v>12</v>
      </c>
      <c r="Y81" s="861">
        <f t="shared" si="27"/>
        <v>13.200148257968864</v>
      </c>
      <c r="Z81" s="861">
        <f t="shared" si="27"/>
        <v>14.250185322461084</v>
      </c>
      <c r="AA81" s="861">
        <f t="shared" si="27"/>
        <v>15</v>
      </c>
      <c r="AB81" s="861">
        <f t="shared" si="27"/>
        <v>15</v>
      </c>
      <c r="AC81" s="861">
        <f t="shared" si="27"/>
        <v>16.200148257968866</v>
      </c>
      <c r="AD81" s="861">
        <f t="shared" si="27"/>
        <v>17</v>
      </c>
      <c r="AE81" s="861">
        <f t="shared" si="27"/>
        <v>17</v>
      </c>
      <c r="AF81" s="861">
        <f t="shared" si="27"/>
        <v>17</v>
      </c>
      <c r="AG81" s="861">
        <f t="shared" si="27"/>
        <v>13</v>
      </c>
      <c r="AH81" s="861">
        <f t="shared" si="23"/>
        <v>14.470873486533234</v>
      </c>
      <c r="AI81" s="1071"/>
      <c r="AJ81" s="840"/>
      <c r="AK81" s="840">
        <v>27.45</v>
      </c>
      <c r="AL81" s="863">
        <f t="shared" si="24"/>
        <v>173.6504818383988</v>
      </c>
      <c r="AM81" s="861">
        <f t="shared" si="25"/>
        <v>4766.7057264640471</v>
      </c>
      <c r="AN81" s="863">
        <f t="shared" si="26"/>
        <v>81.615726464047839</v>
      </c>
    </row>
    <row r="82" spans="1:40" ht="12" customHeight="1">
      <c r="A82" s="840" t="str">
        <f t="shared" si="20"/>
        <v>RuralCommercialFL001.0YXX001TEMPC</v>
      </c>
      <c r="B82" s="840">
        <f t="shared" si="19"/>
        <v>1</v>
      </c>
      <c r="C82" s="883" t="s">
        <v>2158</v>
      </c>
      <c r="D82" s="883" t="s">
        <v>2159</v>
      </c>
      <c r="E82" s="883">
        <v>21.08</v>
      </c>
      <c r="F82" s="883"/>
      <c r="G82" s="860"/>
      <c r="H82" s="861">
        <v>0</v>
      </c>
      <c r="I82" s="861">
        <v>0</v>
      </c>
      <c r="J82" s="861">
        <v>21.08</v>
      </c>
      <c r="K82" s="861">
        <v>0</v>
      </c>
      <c r="L82" s="861">
        <v>0</v>
      </c>
      <c r="M82" s="861">
        <v>0</v>
      </c>
      <c r="N82" s="861">
        <v>0</v>
      </c>
      <c r="O82" s="861">
        <v>0</v>
      </c>
      <c r="P82" s="861">
        <v>0</v>
      </c>
      <c r="Q82" s="861">
        <v>0</v>
      </c>
      <c r="R82" s="861">
        <v>0</v>
      </c>
      <c r="S82" s="861">
        <v>0</v>
      </c>
      <c r="T82" s="863">
        <f t="shared" si="21"/>
        <v>21.08</v>
      </c>
      <c r="U82" s="861"/>
      <c r="V82" s="861">
        <f t="shared" si="28"/>
        <v>0</v>
      </c>
      <c r="W82" s="861">
        <f t="shared" si="28"/>
        <v>0</v>
      </c>
      <c r="X82" s="861">
        <f t="shared" si="28"/>
        <v>1</v>
      </c>
      <c r="Y82" s="861">
        <f t="shared" si="27"/>
        <v>0</v>
      </c>
      <c r="Z82" s="861">
        <f t="shared" si="27"/>
        <v>0</v>
      </c>
      <c r="AA82" s="861">
        <f t="shared" si="27"/>
        <v>0</v>
      </c>
      <c r="AB82" s="861">
        <f t="shared" si="27"/>
        <v>0</v>
      </c>
      <c r="AC82" s="861">
        <f t="shared" si="27"/>
        <v>0</v>
      </c>
      <c r="AD82" s="861">
        <f t="shared" si="27"/>
        <v>0</v>
      </c>
      <c r="AE82" s="861">
        <f t="shared" si="27"/>
        <v>0</v>
      </c>
      <c r="AF82" s="861">
        <f t="shared" si="27"/>
        <v>0</v>
      </c>
      <c r="AG82" s="861">
        <f t="shared" si="27"/>
        <v>0</v>
      </c>
      <c r="AH82" s="861">
        <f t="shared" si="23"/>
        <v>8.3333333333333329E-2</v>
      </c>
      <c r="AI82" s="1071"/>
      <c r="AJ82" s="840"/>
      <c r="AK82" s="840">
        <v>16.670000000000002</v>
      </c>
      <c r="AL82" s="863">
        <f t="shared" si="24"/>
        <v>1</v>
      </c>
      <c r="AM82" s="861">
        <f t="shared" si="25"/>
        <v>16.670000000000002</v>
      </c>
      <c r="AN82" s="863">
        <f t="shared" si="26"/>
        <v>-4.4099999999999966</v>
      </c>
    </row>
    <row r="83" spans="1:40" ht="12" customHeight="1">
      <c r="A83" s="840" t="str">
        <f t="shared" si="20"/>
        <v>RuralCommercialFL002.0YXX001TEMPC</v>
      </c>
      <c r="B83" s="840">
        <f t="shared" si="19"/>
        <v>1</v>
      </c>
      <c r="C83" s="883" t="s">
        <v>2160</v>
      </c>
      <c r="D83" s="883"/>
      <c r="E83" s="883">
        <v>35.92</v>
      </c>
      <c r="F83" s="883"/>
      <c r="G83" s="860"/>
      <c r="H83" s="861">
        <v>35.92</v>
      </c>
      <c r="I83" s="861">
        <v>35.92</v>
      </c>
      <c r="J83" s="861">
        <v>71.84</v>
      </c>
      <c r="K83" s="861">
        <v>143.68</v>
      </c>
      <c r="L83" s="861">
        <v>323.27999999999997</v>
      </c>
      <c r="M83" s="861">
        <v>35.92</v>
      </c>
      <c r="N83" s="861">
        <v>0</v>
      </c>
      <c r="O83" s="861">
        <v>0</v>
      </c>
      <c r="P83" s="861">
        <v>0</v>
      </c>
      <c r="Q83" s="861">
        <v>0</v>
      </c>
      <c r="R83" s="861">
        <v>0</v>
      </c>
      <c r="S83" s="861">
        <v>35.92</v>
      </c>
      <c r="T83" s="863">
        <f t="shared" si="21"/>
        <v>682.4799999999999</v>
      </c>
      <c r="U83" s="861"/>
      <c r="V83" s="861">
        <f t="shared" si="28"/>
        <v>1</v>
      </c>
      <c r="W83" s="861">
        <f t="shared" si="28"/>
        <v>1</v>
      </c>
      <c r="X83" s="861">
        <f t="shared" si="28"/>
        <v>2</v>
      </c>
      <c r="Y83" s="861">
        <f t="shared" si="27"/>
        <v>4</v>
      </c>
      <c r="Z83" s="861">
        <f t="shared" si="27"/>
        <v>8.9999999999999982</v>
      </c>
      <c r="AA83" s="861">
        <f t="shared" si="27"/>
        <v>1</v>
      </c>
      <c r="AB83" s="861">
        <f t="shared" si="27"/>
        <v>0</v>
      </c>
      <c r="AC83" s="861">
        <f t="shared" si="27"/>
        <v>0</v>
      </c>
      <c r="AD83" s="861">
        <f t="shared" si="27"/>
        <v>0</v>
      </c>
      <c r="AE83" s="861">
        <f t="shared" si="27"/>
        <v>0</v>
      </c>
      <c r="AF83" s="861">
        <f t="shared" si="27"/>
        <v>0</v>
      </c>
      <c r="AG83" s="861">
        <f t="shared" si="27"/>
        <v>1</v>
      </c>
      <c r="AH83" s="861">
        <f t="shared" si="23"/>
        <v>1.5833333333333333</v>
      </c>
      <c r="AI83" s="1071"/>
      <c r="AJ83" s="840"/>
      <c r="AK83" s="840">
        <v>29.11</v>
      </c>
      <c r="AL83" s="863">
        <f t="shared" si="24"/>
        <v>19</v>
      </c>
      <c r="AM83" s="861">
        <f t="shared" si="25"/>
        <v>553.09</v>
      </c>
      <c r="AN83" s="863">
        <f t="shared" si="26"/>
        <v>-129.38999999999987</v>
      </c>
    </row>
    <row r="84" spans="1:40" ht="12" customHeight="1">
      <c r="A84" s="840" t="str">
        <f t="shared" si="20"/>
        <v>RuralCommercialRL001.0YXX001TEMPC</v>
      </c>
      <c r="B84" s="840">
        <f t="shared" si="19"/>
        <v>1</v>
      </c>
      <c r="C84" s="883" t="s">
        <v>2168</v>
      </c>
      <c r="D84" s="883" t="s">
        <v>2169</v>
      </c>
      <c r="E84" s="883">
        <v>21.08</v>
      </c>
      <c r="F84" s="883"/>
      <c r="G84" s="860"/>
      <c r="H84" s="861">
        <v>0</v>
      </c>
      <c r="I84" s="861">
        <v>21.08</v>
      </c>
      <c r="J84" s="861">
        <v>21.08</v>
      </c>
      <c r="K84" s="861">
        <v>42.16</v>
      </c>
      <c r="L84" s="861">
        <v>0</v>
      </c>
      <c r="M84" s="861">
        <v>0</v>
      </c>
      <c r="N84" s="861">
        <v>0</v>
      </c>
      <c r="O84" s="861">
        <v>0</v>
      </c>
      <c r="P84" s="861">
        <v>0</v>
      </c>
      <c r="Q84" s="861">
        <v>0</v>
      </c>
      <c r="R84" s="861">
        <v>0</v>
      </c>
      <c r="S84" s="861">
        <v>0</v>
      </c>
      <c r="T84" s="863">
        <f t="shared" si="21"/>
        <v>84.32</v>
      </c>
      <c r="U84" s="861"/>
      <c r="V84" s="861">
        <f t="shared" si="28"/>
        <v>0</v>
      </c>
      <c r="W84" s="861">
        <f t="shared" si="28"/>
        <v>1</v>
      </c>
      <c r="X84" s="861">
        <f t="shared" si="28"/>
        <v>1</v>
      </c>
      <c r="Y84" s="861">
        <f t="shared" si="27"/>
        <v>2</v>
      </c>
      <c r="Z84" s="861">
        <f t="shared" si="27"/>
        <v>0</v>
      </c>
      <c r="AA84" s="861">
        <f t="shared" si="27"/>
        <v>0</v>
      </c>
      <c r="AB84" s="861">
        <f t="shared" si="27"/>
        <v>0</v>
      </c>
      <c r="AC84" s="861">
        <f t="shared" si="27"/>
        <v>0</v>
      </c>
      <c r="AD84" s="861">
        <f t="shared" si="27"/>
        <v>0</v>
      </c>
      <c r="AE84" s="861">
        <f t="shared" si="27"/>
        <v>0</v>
      </c>
      <c r="AF84" s="861">
        <f t="shared" si="27"/>
        <v>0</v>
      </c>
      <c r="AG84" s="861">
        <f t="shared" si="27"/>
        <v>0</v>
      </c>
      <c r="AH84" s="861">
        <f t="shared" si="23"/>
        <v>0.33333333333333331</v>
      </c>
      <c r="AI84" s="1071"/>
      <c r="AJ84" s="840"/>
      <c r="AK84" s="840">
        <v>16.670000000000002</v>
      </c>
      <c r="AL84" s="863">
        <f t="shared" si="24"/>
        <v>4</v>
      </c>
      <c r="AM84" s="861">
        <f t="shared" si="25"/>
        <v>66.680000000000007</v>
      </c>
      <c r="AN84" s="863">
        <f t="shared" si="26"/>
        <v>-17.639999999999986</v>
      </c>
    </row>
    <row r="85" spans="1:40" ht="12" customHeight="1">
      <c r="A85" s="840" t="str">
        <f t="shared" si="20"/>
        <v>RuralCommercialRL001.5YXX001TEMPC</v>
      </c>
      <c r="B85" s="840">
        <f t="shared" si="19"/>
        <v>1</v>
      </c>
      <c r="C85" s="883" t="s">
        <v>2170</v>
      </c>
      <c r="D85" s="883" t="s">
        <v>2171</v>
      </c>
      <c r="E85" s="883">
        <v>33.47</v>
      </c>
      <c r="F85" s="883"/>
      <c r="G85" s="860"/>
      <c r="H85" s="861">
        <v>0</v>
      </c>
      <c r="I85" s="861">
        <v>0</v>
      </c>
      <c r="J85" s="861">
        <v>0</v>
      </c>
      <c r="K85" s="861">
        <v>0</v>
      </c>
      <c r="L85" s="861">
        <v>0</v>
      </c>
      <c r="M85" s="861">
        <v>0</v>
      </c>
      <c r="N85" s="861">
        <v>0</v>
      </c>
      <c r="O85" s="861">
        <v>33.47</v>
      </c>
      <c r="P85" s="861">
        <v>0</v>
      </c>
      <c r="Q85" s="861">
        <v>0</v>
      </c>
      <c r="R85" s="861">
        <v>0</v>
      </c>
      <c r="S85" s="861">
        <v>0</v>
      </c>
      <c r="T85" s="863">
        <f t="shared" si="21"/>
        <v>33.47</v>
      </c>
      <c r="U85" s="861"/>
      <c r="V85" s="861">
        <f t="shared" si="28"/>
        <v>0</v>
      </c>
      <c r="W85" s="861">
        <f t="shared" si="28"/>
        <v>0</v>
      </c>
      <c r="X85" s="861">
        <f t="shared" si="28"/>
        <v>0</v>
      </c>
      <c r="Y85" s="861">
        <f t="shared" si="27"/>
        <v>0</v>
      </c>
      <c r="Z85" s="861">
        <f t="shared" si="27"/>
        <v>0</v>
      </c>
      <c r="AA85" s="861">
        <f t="shared" si="27"/>
        <v>0</v>
      </c>
      <c r="AB85" s="861">
        <f t="shared" si="27"/>
        <v>0</v>
      </c>
      <c r="AC85" s="861">
        <f t="shared" si="27"/>
        <v>1</v>
      </c>
      <c r="AD85" s="861">
        <f t="shared" si="27"/>
        <v>0</v>
      </c>
      <c r="AE85" s="861">
        <f t="shared" si="27"/>
        <v>0</v>
      </c>
      <c r="AF85" s="861">
        <f t="shared" si="27"/>
        <v>0</v>
      </c>
      <c r="AG85" s="861">
        <f t="shared" si="27"/>
        <v>0</v>
      </c>
      <c r="AH85" s="861">
        <f t="shared" si="23"/>
        <v>8.3333333333333329E-2</v>
      </c>
      <c r="AI85" s="1071"/>
      <c r="AJ85" s="840"/>
      <c r="AK85" s="840">
        <v>22.88</v>
      </c>
      <c r="AL85" s="863">
        <f t="shared" si="24"/>
        <v>1</v>
      </c>
      <c r="AM85" s="861">
        <f t="shared" si="25"/>
        <v>22.88</v>
      </c>
      <c r="AN85" s="863">
        <f t="shared" si="26"/>
        <v>-10.59</v>
      </c>
    </row>
    <row r="86" spans="1:40" ht="12" customHeight="1">
      <c r="A86" s="840" t="str">
        <f t="shared" si="20"/>
        <v>RuralCommercialRL002.0YXX001TEMPC</v>
      </c>
      <c r="B86" s="840">
        <f t="shared" si="19"/>
        <v>1</v>
      </c>
      <c r="C86" s="883" t="s">
        <v>2172</v>
      </c>
      <c r="D86" s="883" t="s">
        <v>2161</v>
      </c>
      <c r="E86" s="883">
        <v>35.92</v>
      </c>
      <c r="F86" s="883"/>
      <c r="G86" s="860"/>
      <c r="H86" s="861">
        <v>107.76</v>
      </c>
      <c r="I86" s="861">
        <v>754.32</v>
      </c>
      <c r="J86" s="861">
        <v>466.96</v>
      </c>
      <c r="K86" s="861">
        <v>610.64</v>
      </c>
      <c r="L86" s="861">
        <v>143.68</v>
      </c>
      <c r="M86" s="861">
        <v>323.27999999999997</v>
      </c>
      <c r="N86" s="861">
        <v>287.36</v>
      </c>
      <c r="O86" s="861">
        <v>71.84</v>
      </c>
      <c r="P86" s="861">
        <v>323.27999999999997</v>
      </c>
      <c r="Q86" s="861">
        <v>35.92</v>
      </c>
      <c r="R86" s="861">
        <v>287.36</v>
      </c>
      <c r="S86" s="861">
        <v>215.52</v>
      </c>
      <c r="T86" s="863">
        <f t="shared" si="21"/>
        <v>3627.92</v>
      </c>
      <c r="U86" s="861"/>
      <c r="V86" s="861">
        <f t="shared" si="28"/>
        <v>3</v>
      </c>
      <c r="W86" s="861">
        <f t="shared" si="28"/>
        <v>21</v>
      </c>
      <c r="X86" s="861">
        <f t="shared" si="28"/>
        <v>12.999999999999998</v>
      </c>
      <c r="Y86" s="861">
        <f t="shared" si="27"/>
        <v>17</v>
      </c>
      <c r="Z86" s="861">
        <f t="shared" si="27"/>
        <v>4</v>
      </c>
      <c r="AA86" s="861">
        <f t="shared" si="27"/>
        <v>8.9999999999999982</v>
      </c>
      <c r="AB86" s="861">
        <f t="shared" si="27"/>
        <v>8</v>
      </c>
      <c r="AC86" s="861">
        <f t="shared" si="27"/>
        <v>2</v>
      </c>
      <c r="AD86" s="861">
        <f t="shared" si="27"/>
        <v>8.9999999999999982</v>
      </c>
      <c r="AE86" s="861">
        <f t="shared" si="27"/>
        <v>1</v>
      </c>
      <c r="AF86" s="861">
        <f t="shared" si="27"/>
        <v>8</v>
      </c>
      <c r="AG86" s="861">
        <f t="shared" si="27"/>
        <v>6</v>
      </c>
      <c r="AH86" s="861">
        <f t="shared" si="23"/>
        <v>8.4166666666666661</v>
      </c>
      <c r="AI86" s="1071"/>
      <c r="AJ86" s="840"/>
      <c r="AK86" s="840">
        <v>29.11</v>
      </c>
      <c r="AL86" s="863">
        <f t="shared" si="24"/>
        <v>101</v>
      </c>
      <c r="AM86" s="861">
        <f t="shared" si="25"/>
        <v>2940.11</v>
      </c>
      <c r="AN86" s="863">
        <f t="shared" si="26"/>
        <v>-687.81</v>
      </c>
    </row>
    <row r="87" spans="1:40" ht="12" customHeight="1">
      <c r="A87" s="840" t="str">
        <f t="shared" si="20"/>
        <v>RuralCommercialFL003.0YXX001TEMPC</v>
      </c>
      <c r="B87" s="840">
        <f t="shared" ref="B87:B118" si="29">COUNTIF(C:C,C87)</f>
        <v>1</v>
      </c>
      <c r="C87" s="883" t="s">
        <v>2162</v>
      </c>
      <c r="D87" s="883" t="s">
        <v>2163</v>
      </c>
      <c r="E87" s="883">
        <v>52.12</v>
      </c>
      <c r="F87" s="883"/>
      <c r="G87" s="860"/>
      <c r="H87" s="861">
        <v>0</v>
      </c>
      <c r="I87" s="861">
        <v>260.60000000000002</v>
      </c>
      <c r="J87" s="861">
        <v>0</v>
      </c>
      <c r="K87" s="861">
        <v>0</v>
      </c>
      <c r="L87" s="861">
        <v>0</v>
      </c>
      <c r="M87" s="861">
        <v>0</v>
      </c>
      <c r="N87" s="861">
        <v>0</v>
      </c>
      <c r="O87" s="861">
        <v>0</v>
      </c>
      <c r="P87" s="861">
        <v>0</v>
      </c>
      <c r="Q87" s="861">
        <v>0</v>
      </c>
      <c r="R87" s="861">
        <v>0</v>
      </c>
      <c r="S87" s="861">
        <v>0</v>
      </c>
      <c r="T87" s="863">
        <f t="shared" si="21"/>
        <v>260.60000000000002</v>
      </c>
      <c r="U87" s="861"/>
      <c r="V87" s="861">
        <f t="shared" si="28"/>
        <v>0</v>
      </c>
      <c r="W87" s="861">
        <f t="shared" si="28"/>
        <v>5.0000000000000009</v>
      </c>
      <c r="X87" s="861">
        <f t="shared" si="28"/>
        <v>0</v>
      </c>
      <c r="Y87" s="861">
        <f t="shared" si="27"/>
        <v>0</v>
      </c>
      <c r="Z87" s="861">
        <f t="shared" si="27"/>
        <v>0</v>
      </c>
      <c r="AA87" s="861">
        <f t="shared" si="27"/>
        <v>0</v>
      </c>
      <c r="AB87" s="861">
        <f t="shared" si="27"/>
        <v>0</v>
      </c>
      <c r="AC87" s="861">
        <f t="shared" si="27"/>
        <v>0</v>
      </c>
      <c r="AD87" s="861">
        <f t="shared" si="27"/>
        <v>0</v>
      </c>
      <c r="AE87" s="861">
        <f t="shared" si="27"/>
        <v>0</v>
      </c>
      <c r="AF87" s="861">
        <f t="shared" si="27"/>
        <v>0</v>
      </c>
      <c r="AG87" s="861">
        <f t="shared" si="27"/>
        <v>0</v>
      </c>
      <c r="AH87" s="861">
        <f t="shared" si="23"/>
        <v>0.41666666666666674</v>
      </c>
      <c r="AI87" s="1071"/>
      <c r="AJ87" s="840"/>
      <c r="AK87" s="840">
        <v>43.96</v>
      </c>
      <c r="AL87" s="863">
        <f t="shared" si="24"/>
        <v>5.0000000000000009</v>
      </c>
      <c r="AM87" s="861">
        <f t="shared" si="25"/>
        <v>219.80000000000004</v>
      </c>
      <c r="AN87" s="863">
        <f t="shared" si="26"/>
        <v>-40.799999999999983</v>
      </c>
    </row>
    <row r="88" spans="1:40" ht="12" customHeight="1">
      <c r="A88" s="840" t="str">
        <f t="shared" si="20"/>
        <v>RuralCommercialFL006.0YXX001TEMPC</v>
      </c>
      <c r="B88" s="840">
        <f t="shared" si="29"/>
        <v>1</v>
      </c>
      <c r="C88" s="883" t="s">
        <v>2166</v>
      </c>
      <c r="D88" s="883" t="s">
        <v>2167</v>
      </c>
      <c r="E88" s="883">
        <v>90.67</v>
      </c>
      <c r="F88" s="883"/>
      <c r="G88" s="860"/>
      <c r="H88" s="861">
        <v>0</v>
      </c>
      <c r="I88" s="861">
        <v>181.34</v>
      </c>
      <c r="J88" s="861">
        <v>0</v>
      </c>
      <c r="K88" s="861">
        <v>0</v>
      </c>
      <c r="L88" s="861">
        <v>0</v>
      </c>
      <c r="M88" s="861">
        <v>0</v>
      </c>
      <c r="N88" s="861">
        <v>0</v>
      </c>
      <c r="O88" s="861">
        <v>0</v>
      </c>
      <c r="P88" s="861">
        <v>0</v>
      </c>
      <c r="Q88" s="861">
        <v>0</v>
      </c>
      <c r="R88" s="861">
        <v>0</v>
      </c>
      <c r="S88" s="861">
        <v>0</v>
      </c>
      <c r="T88" s="863">
        <f t="shared" ref="T88:T118" si="30">SUM(H88:S88)</f>
        <v>181.34</v>
      </c>
      <c r="U88" s="861"/>
      <c r="V88" s="861">
        <f t="shared" si="28"/>
        <v>0</v>
      </c>
      <c r="W88" s="861">
        <f t="shared" si="28"/>
        <v>2</v>
      </c>
      <c r="X88" s="861">
        <f t="shared" si="28"/>
        <v>0</v>
      </c>
      <c r="Y88" s="861">
        <f t="shared" si="27"/>
        <v>0</v>
      </c>
      <c r="Z88" s="861">
        <f t="shared" si="27"/>
        <v>0</v>
      </c>
      <c r="AA88" s="861">
        <f t="shared" si="27"/>
        <v>0</v>
      </c>
      <c r="AB88" s="861">
        <f t="shared" si="27"/>
        <v>0</v>
      </c>
      <c r="AC88" s="861">
        <f t="shared" si="27"/>
        <v>0</v>
      </c>
      <c r="AD88" s="861">
        <f t="shared" si="27"/>
        <v>0</v>
      </c>
      <c r="AE88" s="861">
        <f t="shared" si="27"/>
        <v>0</v>
      </c>
      <c r="AF88" s="861">
        <f t="shared" si="27"/>
        <v>0</v>
      </c>
      <c r="AG88" s="861">
        <f t="shared" si="27"/>
        <v>0</v>
      </c>
      <c r="AH88" s="861">
        <f t="shared" si="23"/>
        <v>0.16666666666666666</v>
      </c>
      <c r="AI88" s="1071"/>
      <c r="AJ88" s="840"/>
      <c r="AK88" s="840">
        <v>74.77</v>
      </c>
      <c r="AL88" s="863">
        <f t="shared" si="24"/>
        <v>2</v>
      </c>
      <c r="AM88" s="861">
        <f t="shared" si="25"/>
        <v>149.54</v>
      </c>
      <c r="AN88" s="863">
        <f t="shared" si="26"/>
        <v>-31.800000000000011</v>
      </c>
    </row>
    <row r="89" spans="1:40" ht="12" customHeight="1">
      <c r="A89" s="840" t="str">
        <f t="shared" si="20"/>
        <v>RuralCommercialEP1.5-COMM</v>
      </c>
      <c r="B89" s="840">
        <f t="shared" si="29"/>
        <v>1</v>
      </c>
      <c r="C89" s="883" t="s">
        <v>2207</v>
      </c>
      <c r="D89" s="883" t="s">
        <v>2208</v>
      </c>
      <c r="E89" s="883">
        <v>32.049999999999997</v>
      </c>
      <c r="F89" s="883"/>
      <c r="G89" s="860"/>
      <c r="H89" s="861">
        <v>0</v>
      </c>
      <c r="I89" s="861">
        <v>0</v>
      </c>
      <c r="J89" s="861">
        <v>0</v>
      </c>
      <c r="K89" s="861">
        <v>0</v>
      </c>
      <c r="L89" s="861">
        <v>32.049999999999997</v>
      </c>
      <c r="M89" s="861">
        <v>0</v>
      </c>
      <c r="N89" s="861">
        <v>0</v>
      </c>
      <c r="O89" s="861">
        <v>0</v>
      </c>
      <c r="P89" s="861">
        <v>0</v>
      </c>
      <c r="Q89" s="861">
        <v>0</v>
      </c>
      <c r="R89" s="861">
        <v>0</v>
      </c>
      <c r="S89" s="861">
        <v>0</v>
      </c>
      <c r="T89" s="863">
        <f t="shared" si="30"/>
        <v>32.049999999999997</v>
      </c>
      <c r="U89" s="861"/>
      <c r="V89" s="861">
        <f t="shared" si="28"/>
        <v>0</v>
      </c>
      <c r="W89" s="861">
        <f t="shared" si="28"/>
        <v>0</v>
      </c>
      <c r="X89" s="861">
        <f t="shared" si="28"/>
        <v>0</v>
      </c>
      <c r="Y89" s="861">
        <f t="shared" si="27"/>
        <v>0</v>
      </c>
      <c r="Z89" s="861">
        <f t="shared" si="27"/>
        <v>1</v>
      </c>
      <c r="AA89" s="861">
        <f t="shared" si="27"/>
        <v>0</v>
      </c>
      <c r="AB89" s="861">
        <f t="shared" si="27"/>
        <v>0</v>
      </c>
      <c r="AC89" s="861">
        <f t="shared" si="27"/>
        <v>0</v>
      </c>
      <c r="AD89" s="861">
        <f t="shared" si="27"/>
        <v>0</v>
      </c>
      <c r="AE89" s="861">
        <f t="shared" si="27"/>
        <v>0</v>
      </c>
      <c r="AF89" s="861">
        <f t="shared" si="27"/>
        <v>0</v>
      </c>
      <c r="AG89" s="861">
        <f t="shared" si="27"/>
        <v>0</v>
      </c>
      <c r="AH89" s="861">
        <f t="shared" si="23"/>
        <v>8.3333333333333329E-2</v>
      </c>
      <c r="AI89" s="1071"/>
      <c r="AJ89" s="840"/>
      <c r="AK89" s="840">
        <v>25.58</v>
      </c>
      <c r="AL89" s="863">
        <f t="shared" si="24"/>
        <v>1</v>
      </c>
      <c r="AM89" s="861">
        <f t="shared" si="25"/>
        <v>25.58</v>
      </c>
      <c r="AN89" s="863">
        <f t="shared" si="26"/>
        <v>-6.4699999999999989</v>
      </c>
    </row>
    <row r="90" spans="1:40" ht="12" customHeight="1">
      <c r="A90" s="840" t="str">
        <f t="shared" si="20"/>
        <v>RuralCommercialEP1-COMM</v>
      </c>
      <c r="B90" s="840">
        <f t="shared" si="29"/>
        <v>1</v>
      </c>
      <c r="C90" s="883" t="s">
        <v>2209</v>
      </c>
      <c r="D90" s="883" t="s">
        <v>2210</v>
      </c>
      <c r="E90" s="883">
        <v>20.190000000000001</v>
      </c>
      <c r="F90" s="883"/>
      <c r="G90" s="860"/>
      <c r="H90" s="861">
        <v>40.380000000000003</v>
      </c>
      <c r="I90" s="861">
        <v>80.760000000000005</v>
      </c>
      <c r="J90" s="861">
        <v>60.57</v>
      </c>
      <c r="K90" s="861">
        <v>121.14</v>
      </c>
      <c r="L90" s="861">
        <v>40.380000000000003</v>
      </c>
      <c r="M90" s="861">
        <v>20.190000000000001</v>
      </c>
      <c r="N90" s="861">
        <v>20.190000000000001</v>
      </c>
      <c r="O90" s="861">
        <v>0</v>
      </c>
      <c r="P90" s="861">
        <v>20.190000000000001</v>
      </c>
      <c r="Q90" s="861">
        <v>20.190000000000001</v>
      </c>
      <c r="R90" s="861">
        <v>40.380000000000003</v>
      </c>
      <c r="S90" s="861">
        <v>0</v>
      </c>
      <c r="T90" s="863">
        <f t="shared" si="30"/>
        <v>464.37</v>
      </c>
      <c r="U90" s="861"/>
      <c r="V90" s="861">
        <f t="shared" si="28"/>
        <v>2</v>
      </c>
      <c r="W90" s="861">
        <f t="shared" si="28"/>
        <v>4</v>
      </c>
      <c r="X90" s="861">
        <f t="shared" si="28"/>
        <v>3</v>
      </c>
      <c r="Y90" s="861">
        <f t="shared" si="27"/>
        <v>6</v>
      </c>
      <c r="Z90" s="861">
        <f t="shared" si="27"/>
        <v>2</v>
      </c>
      <c r="AA90" s="861">
        <f t="shared" si="27"/>
        <v>1</v>
      </c>
      <c r="AB90" s="861">
        <f t="shared" si="27"/>
        <v>1</v>
      </c>
      <c r="AC90" s="861">
        <f t="shared" si="27"/>
        <v>0</v>
      </c>
      <c r="AD90" s="861">
        <f t="shared" si="27"/>
        <v>1</v>
      </c>
      <c r="AE90" s="861">
        <f t="shared" si="27"/>
        <v>1</v>
      </c>
      <c r="AF90" s="861">
        <f t="shared" si="27"/>
        <v>2</v>
      </c>
      <c r="AG90" s="861">
        <f t="shared" si="27"/>
        <v>0</v>
      </c>
      <c r="AH90" s="861">
        <f t="shared" si="23"/>
        <v>1.9166666666666667</v>
      </c>
      <c r="AI90" s="1071"/>
      <c r="AJ90" s="840"/>
      <c r="AK90" s="840">
        <v>19.72</v>
      </c>
      <c r="AL90" s="863">
        <f t="shared" si="24"/>
        <v>23</v>
      </c>
      <c r="AM90" s="861">
        <f t="shared" si="25"/>
        <v>453.55999999999995</v>
      </c>
      <c r="AN90" s="863">
        <f t="shared" si="26"/>
        <v>-10.810000000000059</v>
      </c>
    </row>
    <row r="91" spans="1:40" ht="12" customHeight="1">
      <c r="A91" s="840" t="str">
        <f t="shared" si="20"/>
        <v>RuralCommercialEP2-COMM</v>
      </c>
      <c r="B91" s="840">
        <f t="shared" si="29"/>
        <v>1</v>
      </c>
      <c r="C91" s="883" t="s">
        <v>2213</v>
      </c>
      <c r="D91" s="883" t="s">
        <v>2214</v>
      </c>
      <c r="E91" s="883">
        <v>35.74</v>
      </c>
      <c r="F91" s="883"/>
      <c r="G91" s="860"/>
      <c r="H91" s="861">
        <v>35.74</v>
      </c>
      <c r="I91" s="861">
        <v>71.48</v>
      </c>
      <c r="J91" s="861">
        <v>0</v>
      </c>
      <c r="K91" s="861">
        <v>0</v>
      </c>
      <c r="L91" s="861">
        <v>0</v>
      </c>
      <c r="M91" s="861">
        <v>0</v>
      </c>
      <c r="N91" s="861">
        <v>0</v>
      </c>
      <c r="O91" s="861">
        <v>0</v>
      </c>
      <c r="P91" s="861">
        <v>35.74</v>
      </c>
      <c r="Q91" s="861">
        <v>0</v>
      </c>
      <c r="R91" s="861">
        <v>0</v>
      </c>
      <c r="S91" s="861">
        <v>0</v>
      </c>
      <c r="T91" s="863">
        <f t="shared" si="30"/>
        <v>142.96</v>
      </c>
      <c r="U91" s="861"/>
      <c r="V91" s="861">
        <f t="shared" si="28"/>
        <v>1</v>
      </c>
      <c r="W91" s="861">
        <f t="shared" si="28"/>
        <v>2</v>
      </c>
      <c r="X91" s="861">
        <f t="shared" si="28"/>
        <v>0</v>
      </c>
      <c r="Y91" s="861">
        <f t="shared" si="27"/>
        <v>0</v>
      </c>
      <c r="Z91" s="861">
        <f t="shared" si="27"/>
        <v>0</v>
      </c>
      <c r="AA91" s="861">
        <f t="shared" si="27"/>
        <v>0</v>
      </c>
      <c r="AB91" s="861">
        <f t="shared" si="27"/>
        <v>0</v>
      </c>
      <c r="AC91" s="861">
        <f t="shared" si="27"/>
        <v>0</v>
      </c>
      <c r="AD91" s="861">
        <f t="shared" si="27"/>
        <v>1</v>
      </c>
      <c r="AE91" s="861">
        <f t="shared" si="27"/>
        <v>0</v>
      </c>
      <c r="AF91" s="861">
        <f t="shared" si="27"/>
        <v>0</v>
      </c>
      <c r="AG91" s="861">
        <f t="shared" si="27"/>
        <v>0</v>
      </c>
      <c r="AH91" s="861">
        <f t="shared" si="23"/>
        <v>0.33333333333333331</v>
      </c>
      <c r="AI91" s="1071"/>
      <c r="AJ91" s="840"/>
      <c r="AK91" s="840">
        <v>31.7</v>
      </c>
      <c r="AL91" s="863">
        <f t="shared" si="24"/>
        <v>4</v>
      </c>
      <c r="AM91" s="861">
        <f t="shared" si="25"/>
        <v>126.8</v>
      </c>
      <c r="AN91" s="863">
        <f t="shared" si="26"/>
        <v>-16.160000000000011</v>
      </c>
    </row>
    <row r="92" spans="1:40" ht="12" customHeight="1">
      <c r="A92" s="840" t="str">
        <f t="shared" si="20"/>
        <v>RuralCommercialEP3-COMM</v>
      </c>
      <c r="B92" s="840">
        <f t="shared" si="29"/>
        <v>1</v>
      </c>
      <c r="C92" s="883" t="s">
        <v>2215</v>
      </c>
      <c r="D92" s="883" t="s">
        <v>2216</v>
      </c>
      <c r="E92" s="883">
        <v>52.12</v>
      </c>
      <c r="F92" s="883"/>
      <c r="G92" s="860"/>
      <c r="H92" s="861">
        <v>0</v>
      </c>
      <c r="I92" s="861">
        <v>0</v>
      </c>
      <c r="J92" s="861">
        <v>0</v>
      </c>
      <c r="K92" s="861">
        <v>0</v>
      </c>
      <c r="L92" s="861">
        <v>0</v>
      </c>
      <c r="M92" s="861">
        <v>0</v>
      </c>
      <c r="N92" s="861">
        <v>0</v>
      </c>
      <c r="O92" s="861">
        <v>0</v>
      </c>
      <c r="P92" s="861">
        <v>0</v>
      </c>
      <c r="Q92" s="861">
        <v>0</v>
      </c>
      <c r="R92" s="861">
        <v>0</v>
      </c>
      <c r="S92" s="861">
        <v>52.12</v>
      </c>
      <c r="T92" s="863">
        <f t="shared" si="30"/>
        <v>52.12</v>
      </c>
      <c r="U92" s="861"/>
      <c r="V92" s="861">
        <f t="shared" si="28"/>
        <v>0</v>
      </c>
      <c r="W92" s="861">
        <f t="shared" si="28"/>
        <v>0</v>
      </c>
      <c r="X92" s="861">
        <f t="shared" si="28"/>
        <v>0</v>
      </c>
      <c r="Y92" s="861">
        <f t="shared" si="27"/>
        <v>0</v>
      </c>
      <c r="Z92" s="861">
        <f t="shared" si="27"/>
        <v>0</v>
      </c>
      <c r="AA92" s="861">
        <f t="shared" si="27"/>
        <v>0</v>
      </c>
      <c r="AB92" s="861">
        <f t="shared" si="27"/>
        <v>0</v>
      </c>
      <c r="AC92" s="861">
        <f t="shared" si="27"/>
        <v>0</v>
      </c>
      <c r="AD92" s="861">
        <f t="shared" si="27"/>
        <v>0</v>
      </c>
      <c r="AE92" s="861">
        <f t="shared" si="27"/>
        <v>0</v>
      </c>
      <c r="AF92" s="861">
        <f t="shared" si="27"/>
        <v>0</v>
      </c>
      <c r="AG92" s="861">
        <f t="shared" si="27"/>
        <v>1</v>
      </c>
      <c r="AH92" s="861">
        <f t="shared" si="23"/>
        <v>8.3333333333333329E-2</v>
      </c>
      <c r="AI92" s="1071"/>
      <c r="AJ92" s="840"/>
      <c r="AK92" s="840">
        <v>46.41</v>
      </c>
      <c r="AL92" s="863">
        <f t="shared" si="24"/>
        <v>1</v>
      </c>
      <c r="AM92" s="861">
        <f t="shared" si="25"/>
        <v>46.41</v>
      </c>
      <c r="AN92" s="863">
        <f t="shared" si="26"/>
        <v>-5.7100000000000009</v>
      </c>
    </row>
    <row r="93" spans="1:40" ht="12" customHeight="1">
      <c r="A93" s="840" t="str">
        <f t="shared" si="20"/>
        <v>RuralCommercialEP4-COMM</v>
      </c>
      <c r="B93" s="840">
        <f t="shared" si="29"/>
        <v>1</v>
      </c>
      <c r="C93" s="883" t="s">
        <v>2219</v>
      </c>
      <c r="D93" s="883" t="s">
        <v>2220</v>
      </c>
      <c r="E93" s="883">
        <v>62.83</v>
      </c>
      <c r="F93" s="883"/>
      <c r="G93" s="860"/>
      <c r="H93" s="861">
        <v>0</v>
      </c>
      <c r="I93" s="861">
        <v>0</v>
      </c>
      <c r="J93" s="861">
        <v>0</v>
      </c>
      <c r="K93" s="861">
        <v>0</v>
      </c>
      <c r="L93" s="861">
        <v>0</v>
      </c>
      <c r="M93" s="861">
        <v>0</v>
      </c>
      <c r="N93" s="861">
        <v>62.83</v>
      </c>
      <c r="O93" s="861">
        <v>125.66</v>
      </c>
      <c r="P93" s="861">
        <v>0</v>
      </c>
      <c r="Q93" s="861">
        <v>0</v>
      </c>
      <c r="R93" s="861">
        <v>0</v>
      </c>
      <c r="S93" s="861">
        <v>0</v>
      </c>
      <c r="T93" s="863">
        <f t="shared" si="30"/>
        <v>188.49</v>
      </c>
      <c r="U93" s="861"/>
      <c r="V93" s="861">
        <f t="shared" si="28"/>
        <v>0</v>
      </c>
      <c r="W93" s="861">
        <f t="shared" si="28"/>
        <v>0</v>
      </c>
      <c r="X93" s="861">
        <f t="shared" si="28"/>
        <v>0</v>
      </c>
      <c r="Y93" s="861">
        <f t="shared" si="27"/>
        <v>0</v>
      </c>
      <c r="Z93" s="861">
        <f t="shared" si="27"/>
        <v>0</v>
      </c>
      <c r="AA93" s="861">
        <f t="shared" si="27"/>
        <v>0</v>
      </c>
      <c r="AB93" s="861">
        <f t="shared" si="27"/>
        <v>1</v>
      </c>
      <c r="AC93" s="861">
        <f t="shared" si="27"/>
        <v>2</v>
      </c>
      <c r="AD93" s="861">
        <f t="shared" si="27"/>
        <v>0</v>
      </c>
      <c r="AE93" s="861">
        <f t="shared" si="27"/>
        <v>0</v>
      </c>
      <c r="AF93" s="861">
        <f t="shared" si="27"/>
        <v>0</v>
      </c>
      <c r="AG93" s="861">
        <f t="shared" si="27"/>
        <v>0</v>
      </c>
      <c r="AH93" s="861">
        <f t="shared" si="23"/>
        <v>0.25</v>
      </c>
      <c r="AI93" s="1071"/>
      <c r="AJ93" s="840"/>
      <c r="AK93" s="840">
        <v>56.92</v>
      </c>
      <c r="AL93" s="863">
        <f t="shared" si="24"/>
        <v>3</v>
      </c>
      <c r="AM93" s="861">
        <f t="shared" si="25"/>
        <v>170.76</v>
      </c>
      <c r="AN93" s="863">
        <f t="shared" si="26"/>
        <v>-17.730000000000018</v>
      </c>
    </row>
    <row r="94" spans="1:40" ht="12" customHeight="1">
      <c r="A94" s="840" t="str">
        <f t="shared" si="20"/>
        <v>RuralCommercialEP6-COMM</v>
      </c>
      <c r="B94" s="840">
        <f t="shared" si="29"/>
        <v>1</v>
      </c>
      <c r="C94" s="1073" t="s">
        <v>2223</v>
      </c>
      <c r="D94" s="883"/>
      <c r="E94" s="883">
        <v>90.67</v>
      </c>
      <c r="F94" s="883"/>
      <c r="G94" s="860"/>
      <c r="H94" s="861">
        <v>0</v>
      </c>
      <c r="I94" s="861">
        <v>0</v>
      </c>
      <c r="J94" s="861">
        <v>0</v>
      </c>
      <c r="K94" s="861">
        <v>0</v>
      </c>
      <c r="L94" s="861">
        <v>90.67</v>
      </c>
      <c r="M94" s="861">
        <v>0</v>
      </c>
      <c r="N94" s="861">
        <v>0</v>
      </c>
      <c r="O94" s="861">
        <v>0</v>
      </c>
      <c r="P94" s="861">
        <v>0</v>
      </c>
      <c r="Q94" s="861">
        <v>0</v>
      </c>
      <c r="R94" s="861">
        <v>0</v>
      </c>
      <c r="S94" s="861">
        <v>0</v>
      </c>
      <c r="T94" s="863">
        <f t="shared" si="30"/>
        <v>90.67</v>
      </c>
      <c r="U94" s="861"/>
      <c r="V94" s="861">
        <f t="shared" si="28"/>
        <v>0</v>
      </c>
      <c r="W94" s="861">
        <f t="shared" si="28"/>
        <v>0</v>
      </c>
      <c r="X94" s="861">
        <f t="shared" si="28"/>
        <v>0</v>
      </c>
      <c r="Y94" s="861">
        <f t="shared" si="27"/>
        <v>0</v>
      </c>
      <c r="Z94" s="861">
        <f t="shared" si="27"/>
        <v>1</v>
      </c>
      <c r="AA94" s="861">
        <f t="shared" si="27"/>
        <v>0</v>
      </c>
      <c r="AB94" s="861">
        <f t="shared" si="27"/>
        <v>0</v>
      </c>
      <c r="AC94" s="861">
        <f t="shared" si="27"/>
        <v>0</v>
      </c>
      <c r="AD94" s="861">
        <f t="shared" si="27"/>
        <v>0</v>
      </c>
      <c r="AE94" s="861">
        <f t="shared" si="27"/>
        <v>0</v>
      </c>
      <c r="AF94" s="861">
        <f t="shared" si="27"/>
        <v>0</v>
      </c>
      <c r="AG94" s="861">
        <f t="shared" si="27"/>
        <v>0</v>
      </c>
      <c r="AH94" s="861">
        <f t="shared" si="23"/>
        <v>8.3333333333333329E-2</v>
      </c>
      <c r="AI94" s="1071"/>
      <c r="AJ94" s="840"/>
      <c r="AK94" s="840">
        <v>76.88</v>
      </c>
      <c r="AL94" s="863">
        <f t="shared" si="24"/>
        <v>1</v>
      </c>
      <c r="AM94" s="861">
        <f t="shared" si="25"/>
        <v>76.88</v>
      </c>
      <c r="AN94" s="863">
        <f t="shared" si="26"/>
        <v>-13.790000000000006</v>
      </c>
    </row>
    <row r="95" spans="1:40" ht="12" customHeight="1">
      <c r="A95" s="840" t="str">
        <f t="shared" si="20"/>
        <v>RuralCommercialEXTRA-COMM</v>
      </c>
      <c r="B95" s="840">
        <f t="shared" si="29"/>
        <v>1</v>
      </c>
      <c r="C95" s="883" t="s">
        <v>2227</v>
      </c>
      <c r="D95" s="883" t="s">
        <v>2228</v>
      </c>
      <c r="E95" s="883">
        <v>2.57</v>
      </c>
      <c r="F95" s="883"/>
      <c r="G95" s="860"/>
      <c r="H95" s="861">
        <v>138.78</v>
      </c>
      <c r="I95" s="861">
        <v>146.49</v>
      </c>
      <c r="J95" s="861">
        <v>208.17</v>
      </c>
      <c r="K95" s="861">
        <v>305.83</v>
      </c>
      <c r="L95" s="861">
        <v>146.49</v>
      </c>
      <c r="M95" s="861">
        <v>131.07</v>
      </c>
      <c r="N95" s="861">
        <v>43.69</v>
      </c>
      <c r="O95" s="861">
        <v>146.49</v>
      </c>
      <c r="P95" s="861">
        <v>102.8</v>
      </c>
      <c r="Q95" s="861">
        <v>66.819999999999993</v>
      </c>
      <c r="R95" s="861">
        <v>133.63999999999999</v>
      </c>
      <c r="S95" s="861">
        <v>84.809999999999988</v>
      </c>
      <c r="T95" s="863">
        <f t="shared" si="30"/>
        <v>1655.08</v>
      </c>
      <c r="U95" s="861"/>
      <c r="V95" s="861">
        <f t="shared" si="28"/>
        <v>54.000000000000007</v>
      </c>
      <c r="W95" s="861">
        <f t="shared" si="28"/>
        <v>57.000000000000007</v>
      </c>
      <c r="X95" s="861">
        <f t="shared" si="28"/>
        <v>81</v>
      </c>
      <c r="Y95" s="861">
        <f t="shared" si="27"/>
        <v>119</v>
      </c>
      <c r="Z95" s="861">
        <f t="shared" si="27"/>
        <v>57.000000000000007</v>
      </c>
      <c r="AA95" s="861">
        <f t="shared" si="27"/>
        <v>51</v>
      </c>
      <c r="AB95" s="861">
        <f t="shared" si="27"/>
        <v>17</v>
      </c>
      <c r="AC95" s="861">
        <f t="shared" si="27"/>
        <v>57.000000000000007</v>
      </c>
      <c r="AD95" s="861">
        <f t="shared" si="27"/>
        <v>40</v>
      </c>
      <c r="AE95" s="861">
        <f t="shared" si="27"/>
        <v>26</v>
      </c>
      <c r="AF95" s="861">
        <f t="shared" si="27"/>
        <v>52</v>
      </c>
      <c r="AG95" s="861">
        <f t="shared" si="27"/>
        <v>33</v>
      </c>
      <c r="AH95" s="861">
        <f t="shared" si="23"/>
        <v>53.666666666666664</v>
      </c>
      <c r="AI95" s="1071"/>
      <c r="AJ95" s="840"/>
      <c r="AK95" s="840">
        <v>3.83</v>
      </c>
      <c r="AL95" s="863">
        <f t="shared" si="24"/>
        <v>644</v>
      </c>
      <c r="AM95" s="861">
        <f t="shared" si="25"/>
        <v>2466.52</v>
      </c>
      <c r="AN95" s="863">
        <f t="shared" si="26"/>
        <v>811.44</v>
      </c>
    </row>
    <row r="96" spans="1:40" ht="12" customHeight="1">
      <c r="A96" s="840" t="str">
        <f t="shared" si="20"/>
        <v>RuralCommercialEXTRAYDG-COM</v>
      </c>
      <c r="B96" s="840">
        <f t="shared" si="29"/>
        <v>1</v>
      </c>
      <c r="C96" s="883" t="s">
        <v>2229</v>
      </c>
      <c r="D96" s="883" t="s">
        <v>2230</v>
      </c>
      <c r="E96" s="883">
        <v>18.47</v>
      </c>
      <c r="F96" s="883"/>
      <c r="G96" s="860"/>
      <c r="H96" s="861">
        <v>240.11</v>
      </c>
      <c r="I96" s="861">
        <v>92.35</v>
      </c>
      <c r="J96" s="861">
        <v>120.06</v>
      </c>
      <c r="K96" s="861">
        <v>267.82</v>
      </c>
      <c r="L96" s="861">
        <v>120.06</v>
      </c>
      <c r="M96" s="861">
        <v>143.15</v>
      </c>
      <c r="N96" s="861">
        <v>41.56</v>
      </c>
      <c r="O96" s="861">
        <v>124.67</v>
      </c>
      <c r="P96" s="861">
        <v>147.76</v>
      </c>
      <c r="Q96" s="861">
        <v>-18.47</v>
      </c>
      <c r="R96" s="861">
        <v>55.41</v>
      </c>
      <c r="S96" s="861">
        <v>73.88</v>
      </c>
      <c r="T96" s="863">
        <f t="shared" si="30"/>
        <v>1408.3600000000001</v>
      </c>
      <c r="U96" s="861"/>
      <c r="V96" s="861">
        <f t="shared" si="28"/>
        <v>13.000000000000002</v>
      </c>
      <c r="W96" s="861">
        <f t="shared" si="28"/>
        <v>5</v>
      </c>
      <c r="X96" s="861">
        <f t="shared" si="28"/>
        <v>6.500270709258257</v>
      </c>
      <c r="Y96" s="861">
        <f t="shared" si="27"/>
        <v>14.500270709258258</v>
      </c>
      <c r="Z96" s="861">
        <f t="shared" si="27"/>
        <v>6.500270709258257</v>
      </c>
      <c r="AA96" s="861">
        <f t="shared" si="27"/>
        <v>7.750406063887386</v>
      </c>
      <c r="AB96" s="861">
        <f t="shared" si="27"/>
        <v>2.2501353546291285</v>
      </c>
      <c r="AC96" s="861">
        <f t="shared" si="27"/>
        <v>6.7498646453708719</v>
      </c>
      <c r="AD96" s="861">
        <f t="shared" si="27"/>
        <v>8</v>
      </c>
      <c r="AE96" s="861">
        <f t="shared" si="27"/>
        <v>-1</v>
      </c>
      <c r="AF96" s="861">
        <f t="shared" si="27"/>
        <v>3</v>
      </c>
      <c r="AG96" s="861">
        <f t="shared" si="27"/>
        <v>4</v>
      </c>
      <c r="AH96" s="861">
        <f t="shared" si="23"/>
        <v>6.3542681826385135</v>
      </c>
      <c r="AI96" s="1071"/>
      <c r="AJ96" s="840"/>
      <c r="AK96" s="840">
        <v>17.82</v>
      </c>
      <c r="AL96" s="863">
        <f t="shared" si="24"/>
        <v>76.251218191662161</v>
      </c>
      <c r="AM96" s="861">
        <f t="shared" si="25"/>
        <v>1358.7967081754198</v>
      </c>
      <c r="AN96" s="863">
        <f t="shared" si="26"/>
        <v>-49.563291824580347</v>
      </c>
    </row>
    <row r="97" spans="1:40" ht="12" customHeight="1">
      <c r="A97" s="840" t="str">
        <f t="shared" si="20"/>
        <v>RuralCommercialACCESS-COMM</v>
      </c>
      <c r="B97" s="840">
        <f t="shared" si="29"/>
        <v>1</v>
      </c>
      <c r="C97" s="883" t="s">
        <v>2173</v>
      </c>
      <c r="D97" s="883" t="s">
        <v>2174</v>
      </c>
      <c r="E97" s="883">
        <v>3.12</v>
      </c>
      <c r="F97" s="883"/>
      <c r="G97" s="860"/>
      <c r="H97" s="861">
        <v>106.08</v>
      </c>
      <c r="I97" s="861">
        <v>106.08</v>
      </c>
      <c r="J97" s="861">
        <v>102.96</v>
      </c>
      <c r="K97" s="861">
        <v>102.96</v>
      </c>
      <c r="L97" s="861">
        <v>102.96</v>
      </c>
      <c r="M97" s="861">
        <v>102.96</v>
      </c>
      <c r="N97" s="861">
        <v>102.96</v>
      </c>
      <c r="O97" s="861">
        <v>99.84</v>
      </c>
      <c r="P97" s="861">
        <v>99.84</v>
      </c>
      <c r="Q97" s="861">
        <v>94.38</v>
      </c>
      <c r="R97" s="861">
        <v>96.72</v>
      </c>
      <c r="S97" s="861">
        <v>94.38</v>
      </c>
      <c r="T97" s="863">
        <f t="shared" si="30"/>
        <v>1212.1199999999999</v>
      </c>
      <c r="U97" s="861"/>
      <c r="V97" s="861">
        <f t="shared" si="28"/>
        <v>34</v>
      </c>
      <c r="W97" s="861">
        <f t="shared" si="28"/>
        <v>34</v>
      </c>
      <c r="X97" s="861">
        <f t="shared" si="28"/>
        <v>33</v>
      </c>
      <c r="Y97" s="861">
        <f t="shared" si="27"/>
        <v>33</v>
      </c>
      <c r="Z97" s="861">
        <f t="shared" si="27"/>
        <v>33</v>
      </c>
      <c r="AA97" s="861">
        <f t="shared" si="27"/>
        <v>33</v>
      </c>
      <c r="AB97" s="861">
        <f t="shared" si="27"/>
        <v>33</v>
      </c>
      <c r="AC97" s="861">
        <f t="shared" si="27"/>
        <v>32</v>
      </c>
      <c r="AD97" s="861">
        <f t="shared" si="27"/>
        <v>32</v>
      </c>
      <c r="AE97" s="861">
        <f t="shared" si="27"/>
        <v>30.249999999999996</v>
      </c>
      <c r="AF97" s="861">
        <f t="shared" si="27"/>
        <v>31</v>
      </c>
      <c r="AG97" s="861">
        <f t="shared" si="27"/>
        <v>30.249999999999996</v>
      </c>
      <c r="AH97" s="861">
        <f t="shared" si="23"/>
        <v>32.375</v>
      </c>
      <c r="AI97" s="1071"/>
      <c r="AJ97" s="840"/>
      <c r="AK97" s="840">
        <v>12</v>
      </c>
      <c r="AL97" s="863">
        <f t="shared" si="24"/>
        <v>388.5</v>
      </c>
      <c r="AM97" s="861">
        <f t="shared" si="25"/>
        <v>4662</v>
      </c>
      <c r="AN97" s="863">
        <f t="shared" si="26"/>
        <v>3449.88</v>
      </c>
    </row>
    <row r="98" spans="1:40" ht="12" customHeight="1">
      <c r="A98" s="840" t="str">
        <f t="shared" si="20"/>
        <v>RuralCommercialDEL1.5TEMP-COMM</v>
      </c>
      <c r="B98" s="840">
        <f t="shared" si="29"/>
        <v>1</v>
      </c>
      <c r="C98" s="883" t="s">
        <v>2189</v>
      </c>
      <c r="D98" s="883" t="s">
        <v>2190</v>
      </c>
      <c r="E98" s="883">
        <v>24</v>
      </c>
      <c r="F98" s="883"/>
      <c r="G98" s="860"/>
      <c r="H98" s="861">
        <v>0</v>
      </c>
      <c r="I98" s="861">
        <v>0</v>
      </c>
      <c r="J98" s="861">
        <v>0</v>
      </c>
      <c r="K98" s="861">
        <v>0</v>
      </c>
      <c r="L98" s="861">
        <v>0</v>
      </c>
      <c r="M98" s="861">
        <v>0</v>
      </c>
      <c r="N98" s="861">
        <v>0</v>
      </c>
      <c r="O98" s="861">
        <v>24</v>
      </c>
      <c r="P98" s="861">
        <v>0</v>
      </c>
      <c r="Q98" s="861">
        <v>0</v>
      </c>
      <c r="R98" s="861">
        <v>0</v>
      </c>
      <c r="S98" s="861">
        <v>0</v>
      </c>
      <c r="T98" s="863">
        <f t="shared" si="30"/>
        <v>24</v>
      </c>
      <c r="U98" s="861"/>
      <c r="V98" s="861">
        <f t="shared" si="28"/>
        <v>0</v>
      </c>
      <c r="W98" s="861">
        <f t="shared" si="28"/>
        <v>0</v>
      </c>
      <c r="X98" s="861">
        <f t="shared" si="28"/>
        <v>0</v>
      </c>
      <c r="Y98" s="861">
        <f t="shared" si="27"/>
        <v>0</v>
      </c>
      <c r="Z98" s="861">
        <f t="shared" si="27"/>
        <v>0</v>
      </c>
      <c r="AA98" s="861">
        <f t="shared" si="27"/>
        <v>0</v>
      </c>
      <c r="AB98" s="861">
        <f t="shared" si="27"/>
        <v>0</v>
      </c>
      <c r="AC98" s="861">
        <f t="shared" si="27"/>
        <v>1</v>
      </c>
      <c r="AD98" s="861">
        <f t="shared" si="27"/>
        <v>0</v>
      </c>
      <c r="AE98" s="861">
        <f t="shared" si="27"/>
        <v>0</v>
      </c>
      <c r="AF98" s="861">
        <f t="shared" si="27"/>
        <v>0</v>
      </c>
      <c r="AG98" s="861">
        <f t="shared" si="27"/>
        <v>0</v>
      </c>
      <c r="AH98" s="861">
        <f t="shared" si="23"/>
        <v>8.3333333333333329E-2</v>
      </c>
      <c r="AI98" s="1071"/>
      <c r="AJ98" s="840"/>
      <c r="AK98" s="840">
        <v>31.7</v>
      </c>
      <c r="AL98" s="863">
        <f t="shared" si="24"/>
        <v>1</v>
      </c>
      <c r="AM98" s="861">
        <f t="shared" si="25"/>
        <v>31.7</v>
      </c>
      <c r="AN98" s="863">
        <f t="shared" si="26"/>
        <v>7.6999999999999993</v>
      </c>
    </row>
    <row r="99" spans="1:40" ht="12" customHeight="1">
      <c r="A99" s="840" t="str">
        <f t="shared" si="20"/>
        <v>RuralCommercialDEL1TEMP-COMM</v>
      </c>
      <c r="B99" s="840">
        <f t="shared" si="29"/>
        <v>1</v>
      </c>
      <c r="C99" s="883" t="s">
        <v>2191</v>
      </c>
      <c r="D99" s="883" t="s">
        <v>2192</v>
      </c>
      <c r="E99" s="883">
        <v>24</v>
      </c>
      <c r="F99" s="883"/>
      <c r="G99" s="860"/>
      <c r="H99" s="861">
        <v>0</v>
      </c>
      <c r="I99" s="861">
        <v>24</v>
      </c>
      <c r="J99" s="861">
        <v>0</v>
      </c>
      <c r="K99" s="861">
        <v>0</v>
      </c>
      <c r="L99" s="861">
        <v>0</v>
      </c>
      <c r="M99" s="861">
        <v>0</v>
      </c>
      <c r="N99" s="861">
        <v>0</v>
      </c>
      <c r="O99" s="861">
        <v>0</v>
      </c>
      <c r="P99" s="861">
        <v>0</v>
      </c>
      <c r="Q99" s="861">
        <v>0</v>
      </c>
      <c r="R99" s="861">
        <v>0</v>
      </c>
      <c r="S99" s="861">
        <v>0</v>
      </c>
      <c r="T99" s="863">
        <f t="shared" si="30"/>
        <v>24</v>
      </c>
      <c r="U99" s="861"/>
      <c r="V99" s="861">
        <f t="shared" si="28"/>
        <v>0</v>
      </c>
      <c r="W99" s="861">
        <f t="shared" si="28"/>
        <v>1</v>
      </c>
      <c r="X99" s="861">
        <f t="shared" si="28"/>
        <v>0</v>
      </c>
      <c r="Y99" s="861">
        <f t="shared" si="27"/>
        <v>0</v>
      </c>
      <c r="Z99" s="861">
        <f t="shared" si="27"/>
        <v>0</v>
      </c>
      <c r="AA99" s="861">
        <f t="shared" si="27"/>
        <v>0</v>
      </c>
      <c r="AB99" s="861">
        <f t="shared" si="27"/>
        <v>0</v>
      </c>
      <c r="AC99" s="861">
        <f t="shared" si="27"/>
        <v>0</v>
      </c>
      <c r="AD99" s="861">
        <f t="shared" si="27"/>
        <v>0</v>
      </c>
      <c r="AE99" s="861">
        <f t="shared" si="27"/>
        <v>0</v>
      </c>
      <c r="AF99" s="861">
        <f t="shared" si="27"/>
        <v>0</v>
      </c>
      <c r="AG99" s="861">
        <f t="shared" si="27"/>
        <v>0</v>
      </c>
      <c r="AH99" s="861">
        <f t="shared" si="23"/>
        <v>8.3333333333333329E-2</v>
      </c>
      <c r="AI99" s="1071"/>
      <c r="AJ99" s="840"/>
      <c r="AK99" s="840">
        <v>31.7</v>
      </c>
      <c r="AL99" s="863">
        <f t="shared" si="24"/>
        <v>1</v>
      </c>
      <c r="AM99" s="861">
        <f t="shared" si="25"/>
        <v>31.7</v>
      </c>
      <c r="AN99" s="863">
        <f t="shared" si="26"/>
        <v>7.6999999999999993</v>
      </c>
    </row>
    <row r="100" spans="1:40" ht="12" customHeight="1">
      <c r="A100" s="840" t="str">
        <f t="shared" si="20"/>
        <v>RuralCommercialDEL2TEMP-COMM</v>
      </c>
      <c r="B100" s="840">
        <f t="shared" si="29"/>
        <v>1</v>
      </c>
      <c r="C100" s="883" t="s">
        <v>2193</v>
      </c>
      <c r="D100" s="883" t="s">
        <v>2194</v>
      </c>
      <c r="E100" s="883">
        <v>24</v>
      </c>
      <c r="F100" s="883"/>
      <c r="G100" s="860"/>
      <c r="H100" s="861">
        <v>367.7</v>
      </c>
      <c r="I100" s="861">
        <v>120</v>
      </c>
      <c r="J100" s="861">
        <v>48</v>
      </c>
      <c r="K100" s="861">
        <v>48</v>
      </c>
      <c r="L100" s="861">
        <v>144</v>
      </c>
      <c r="M100" s="861">
        <v>96</v>
      </c>
      <c r="N100" s="861">
        <v>48</v>
      </c>
      <c r="O100" s="861">
        <v>48</v>
      </c>
      <c r="P100" s="861">
        <v>0</v>
      </c>
      <c r="Q100" s="861">
        <v>24</v>
      </c>
      <c r="R100" s="861">
        <v>72</v>
      </c>
      <c r="S100" s="861">
        <v>48</v>
      </c>
      <c r="T100" s="863">
        <f t="shared" si="30"/>
        <v>1063.7</v>
      </c>
      <c r="U100" s="861"/>
      <c r="V100" s="861">
        <f t="shared" si="28"/>
        <v>15.320833333333333</v>
      </c>
      <c r="W100" s="861">
        <f t="shared" si="28"/>
        <v>5</v>
      </c>
      <c r="X100" s="861">
        <f t="shared" si="28"/>
        <v>2</v>
      </c>
      <c r="Y100" s="861">
        <f t="shared" si="27"/>
        <v>2</v>
      </c>
      <c r="Z100" s="861">
        <f t="shared" si="27"/>
        <v>6</v>
      </c>
      <c r="AA100" s="861">
        <f t="shared" si="27"/>
        <v>4</v>
      </c>
      <c r="AB100" s="861">
        <f t="shared" si="27"/>
        <v>2</v>
      </c>
      <c r="AC100" s="861">
        <f t="shared" si="27"/>
        <v>2</v>
      </c>
      <c r="AD100" s="861">
        <f t="shared" si="27"/>
        <v>0</v>
      </c>
      <c r="AE100" s="861">
        <f t="shared" si="27"/>
        <v>1</v>
      </c>
      <c r="AF100" s="861">
        <f t="shared" si="27"/>
        <v>3</v>
      </c>
      <c r="AG100" s="861">
        <f t="shared" si="27"/>
        <v>2</v>
      </c>
      <c r="AH100" s="861">
        <f t="shared" si="23"/>
        <v>3.6934027777777776</v>
      </c>
      <c r="AI100" s="1071"/>
      <c r="AJ100" s="840"/>
      <c r="AK100" s="840">
        <v>31.7</v>
      </c>
      <c r="AL100" s="863">
        <f t="shared" si="24"/>
        <v>44.320833333333333</v>
      </c>
      <c r="AM100" s="861">
        <f t="shared" si="25"/>
        <v>1404.9704166666666</v>
      </c>
      <c r="AN100" s="863">
        <f t="shared" si="26"/>
        <v>341.27041666666651</v>
      </c>
    </row>
    <row r="101" spans="1:40" ht="12" customHeight="1">
      <c r="A101" s="840" t="str">
        <f t="shared" si="20"/>
        <v>RuralCommercialDEL3TEMP-COMM</v>
      </c>
      <c r="B101" s="840">
        <f t="shared" si="29"/>
        <v>1</v>
      </c>
      <c r="C101" s="883" t="s">
        <v>2195</v>
      </c>
      <c r="D101" s="883" t="s">
        <v>2196</v>
      </c>
      <c r="E101" s="883">
        <v>24</v>
      </c>
      <c r="F101" s="883"/>
      <c r="G101" s="860"/>
      <c r="H101" s="861">
        <v>120</v>
      </c>
      <c r="I101" s="861">
        <v>0</v>
      </c>
      <c r="J101" s="861">
        <v>0</v>
      </c>
      <c r="K101" s="861">
        <v>0</v>
      </c>
      <c r="L101" s="861">
        <v>0</v>
      </c>
      <c r="M101" s="861">
        <v>0</v>
      </c>
      <c r="N101" s="861">
        <v>0</v>
      </c>
      <c r="O101" s="861">
        <v>0</v>
      </c>
      <c r="P101" s="861">
        <v>0</v>
      </c>
      <c r="Q101" s="861">
        <v>0</v>
      </c>
      <c r="R101" s="861">
        <v>0</v>
      </c>
      <c r="S101" s="861">
        <v>0</v>
      </c>
      <c r="T101" s="863">
        <f t="shared" si="30"/>
        <v>120</v>
      </c>
      <c r="U101" s="861"/>
      <c r="V101" s="861">
        <f t="shared" si="28"/>
        <v>5</v>
      </c>
      <c r="W101" s="861">
        <f t="shared" si="28"/>
        <v>0</v>
      </c>
      <c r="X101" s="861">
        <f t="shared" si="28"/>
        <v>0</v>
      </c>
      <c r="Y101" s="861">
        <f t="shared" si="27"/>
        <v>0</v>
      </c>
      <c r="Z101" s="861">
        <f t="shared" si="27"/>
        <v>0</v>
      </c>
      <c r="AA101" s="861">
        <f t="shared" si="27"/>
        <v>0</v>
      </c>
      <c r="AB101" s="861">
        <f t="shared" si="27"/>
        <v>0</v>
      </c>
      <c r="AC101" s="861">
        <f t="shared" si="27"/>
        <v>0</v>
      </c>
      <c r="AD101" s="861">
        <f t="shared" si="27"/>
        <v>0</v>
      </c>
      <c r="AE101" s="861">
        <f t="shared" si="27"/>
        <v>0</v>
      </c>
      <c r="AF101" s="861">
        <f t="shared" si="27"/>
        <v>0</v>
      </c>
      <c r="AG101" s="861">
        <f t="shared" si="27"/>
        <v>0</v>
      </c>
      <c r="AH101" s="861">
        <f t="shared" si="23"/>
        <v>0.41666666666666669</v>
      </c>
      <c r="AI101" s="1071"/>
      <c r="AJ101" s="840"/>
      <c r="AK101" s="840">
        <v>31.7</v>
      </c>
      <c r="AL101" s="863">
        <f t="shared" si="24"/>
        <v>5</v>
      </c>
      <c r="AM101" s="861">
        <f t="shared" si="25"/>
        <v>158.5</v>
      </c>
      <c r="AN101" s="863">
        <f t="shared" si="26"/>
        <v>38.5</v>
      </c>
    </row>
    <row r="102" spans="1:40" ht="12" customHeight="1">
      <c r="A102" s="840" t="str">
        <f t="shared" si="20"/>
        <v>RuralCommercialDEL6TEMP-COMM</v>
      </c>
      <c r="B102" s="840">
        <f t="shared" si="29"/>
        <v>1</v>
      </c>
      <c r="C102" s="883" t="s">
        <v>2199</v>
      </c>
      <c r="D102" s="883" t="s">
        <v>2200</v>
      </c>
      <c r="E102" s="883">
        <v>39.6</v>
      </c>
      <c r="F102" s="883"/>
      <c r="G102" s="860"/>
      <c r="H102" s="861">
        <v>39.6</v>
      </c>
      <c r="I102" s="861">
        <v>0</v>
      </c>
      <c r="J102" s="861">
        <v>39.6</v>
      </c>
      <c r="K102" s="861">
        <v>0</v>
      </c>
      <c r="L102" s="861">
        <v>0</v>
      </c>
      <c r="M102" s="861">
        <v>0</v>
      </c>
      <c r="N102" s="861">
        <v>0</v>
      </c>
      <c r="O102" s="861">
        <v>0</v>
      </c>
      <c r="P102" s="861">
        <v>0</v>
      </c>
      <c r="Q102" s="861">
        <v>0</v>
      </c>
      <c r="R102" s="861">
        <v>0</v>
      </c>
      <c r="S102" s="861">
        <v>0</v>
      </c>
      <c r="T102" s="863">
        <f t="shared" si="30"/>
        <v>79.2</v>
      </c>
      <c r="U102" s="861"/>
      <c r="V102" s="861">
        <f t="shared" si="28"/>
        <v>1</v>
      </c>
      <c r="W102" s="861">
        <f t="shared" si="28"/>
        <v>0</v>
      </c>
      <c r="X102" s="861">
        <f t="shared" si="28"/>
        <v>1</v>
      </c>
      <c r="Y102" s="861">
        <f t="shared" si="27"/>
        <v>0</v>
      </c>
      <c r="Z102" s="861">
        <f t="shared" si="27"/>
        <v>0</v>
      </c>
      <c r="AA102" s="861">
        <f t="shared" si="27"/>
        <v>0</v>
      </c>
      <c r="AB102" s="861">
        <f t="shared" si="27"/>
        <v>0</v>
      </c>
      <c r="AC102" s="861">
        <f t="shared" si="27"/>
        <v>0</v>
      </c>
      <c r="AD102" s="861">
        <f t="shared" si="27"/>
        <v>0</v>
      </c>
      <c r="AE102" s="861">
        <f t="shared" si="27"/>
        <v>0</v>
      </c>
      <c r="AF102" s="861">
        <f t="shared" si="27"/>
        <v>0</v>
      </c>
      <c r="AG102" s="861">
        <f t="shared" si="27"/>
        <v>0</v>
      </c>
      <c r="AH102" s="861">
        <f t="shared" si="23"/>
        <v>0.16666666666666666</v>
      </c>
      <c r="AI102" s="1071"/>
      <c r="AJ102" s="840"/>
      <c r="AK102" s="840">
        <v>31.7</v>
      </c>
      <c r="AL102" s="863">
        <f t="shared" si="24"/>
        <v>2</v>
      </c>
      <c r="AM102" s="861">
        <f t="shared" si="25"/>
        <v>63.4</v>
      </c>
      <c r="AN102" s="863">
        <f t="shared" si="26"/>
        <v>-15.800000000000004</v>
      </c>
    </row>
    <row r="103" spans="1:40" ht="12" customHeight="1">
      <c r="A103" s="840" t="str">
        <f t="shared" si="20"/>
        <v>RuralCommercialDISP-COMM</v>
      </c>
      <c r="B103" s="840">
        <f t="shared" si="29"/>
        <v>1</v>
      </c>
      <c r="C103" s="883" t="s">
        <v>2203</v>
      </c>
      <c r="D103" s="883" t="s">
        <v>2204</v>
      </c>
      <c r="E103" s="883">
        <v>0</v>
      </c>
      <c r="F103" s="883"/>
      <c r="G103" s="860"/>
      <c r="H103" s="861">
        <v>0</v>
      </c>
      <c r="I103" s="861">
        <v>0</v>
      </c>
      <c r="J103" s="861">
        <v>0</v>
      </c>
      <c r="K103" s="861">
        <v>0</v>
      </c>
      <c r="L103" s="861">
        <v>31</v>
      </c>
      <c r="M103" s="861">
        <v>33</v>
      </c>
      <c r="N103" s="861">
        <v>37</v>
      </c>
      <c r="O103" s="861">
        <v>0</v>
      </c>
      <c r="P103" s="861">
        <v>36</v>
      </c>
      <c r="Q103" s="861">
        <v>0</v>
      </c>
      <c r="R103" s="861">
        <v>27</v>
      </c>
      <c r="S103" s="861">
        <v>0</v>
      </c>
      <c r="T103" s="863">
        <f t="shared" si="30"/>
        <v>164</v>
      </c>
      <c r="U103" s="861"/>
      <c r="V103" s="861">
        <f t="shared" si="28"/>
        <v>0</v>
      </c>
      <c r="W103" s="861">
        <f t="shared" si="28"/>
        <v>0</v>
      </c>
      <c r="X103" s="861">
        <f t="shared" si="28"/>
        <v>0</v>
      </c>
      <c r="Y103" s="861">
        <f t="shared" si="27"/>
        <v>0</v>
      </c>
      <c r="Z103" s="861">
        <f t="shared" si="27"/>
        <v>0</v>
      </c>
      <c r="AA103" s="861">
        <f t="shared" si="27"/>
        <v>0</v>
      </c>
      <c r="AB103" s="861">
        <f t="shared" si="27"/>
        <v>0</v>
      </c>
      <c r="AC103" s="861">
        <f t="shared" si="27"/>
        <v>0</v>
      </c>
      <c r="AD103" s="861">
        <f t="shared" si="27"/>
        <v>0</v>
      </c>
      <c r="AE103" s="861">
        <f t="shared" si="27"/>
        <v>0</v>
      </c>
      <c r="AF103" s="861">
        <f t="shared" si="27"/>
        <v>0</v>
      </c>
      <c r="AG103" s="861">
        <f t="shared" si="27"/>
        <v>0</v>
      </c>
      <c r="AH103" s="861">
        <f t="shared" si="23"/>
        <v>0</v>
      </c>
      <c r="AI103" s="1071"/>
      <c r="AJ103" s="840"/>
      <c r="AK103" s="840"/>
      <c r="AL103" s="863"/>
      <c r="AM103" s="861"/>
      <c r="AN103" s="863"/>
    </row>
    <row r="104" spans="1:40" ht="12" customHeight="1">
      <c r="A104" s="840" t="str">
        <f t="shared" si="20"/>
        <v>RuralCommercialDRIVEIN-COMM</v>
      </c>
      <c r="B104" s="840">
        <f t="shared" si="29"/>
        <v>1</v>
      </c>
      <c r="C104" s="883" t="s">
        <v>2205</v>
      </c>
      <c r="D104" s="883" t="s">
        <v>2206</v>
      </c>
      <c r="E104" s="883">
        <v>6.5</v>
      </c>
      <c r="F104" s="883"/>
      <c r="G104" s="860"/>
      <c r="H104" s="861">
        <v>19.5</v>
      </c>
      <c r="I104" s="861">
        <v>19.5</v>
      </c>
      <c r="J104" s="861">
        <v>19.5</v>
      </c>
      <c r="K104" s="861">
        <v>19.5</v>
      </c>
      <c r="L104" s="861">
        <v>19.5</v>
      </c>
      <c r="M104" s="861">
        <v>19.5</v>
      </c>
      <c r="N104" s="861">
        <v>19.5</v>
      </c>
      <c r="O104" s="861">
        <v>19.5</v>
      </c>
      <c r="P104" s="861">
        <v>19.5</v>
      </c>
      <c r="Q104" s="861">
        <v>19.5</v>
      </c>
      <c r="R104" s="861">
        <v>19.5</v>
      </c>
      <c r="S104" s="861">
        <v>19.5</v>
      </c>
      <c r="T104" s="863">
        <f t="shared" si="30"/>
        <v>234</v>
      </c>
      <c r="U104" s="861"/>
      <c r="V104" s="861">
        <f t="shared" si="28"/>
        <v>3</v>
      </c>
      <c r="W104" s="861">
        <f t="shared" si="28"/>
        <v>3</v>
      </c>
      <c r="X104" s="861">
        <f t="shared" si="28"/>
        <v>3</v>
      </c>
      <c r="Y104" s="861">
        <f t="shared" si="27"/>
        <v>3</v>
      </c>
      <c r="Z104" s="861">
        <f t="shared" si="27"/>
        <v>3</v>
      </c>
      <c r="AA104" s="861">
        <f t="shared" si="27"/>
        <v>3</v>
      </c>
      <c r="AB104" s="861">
        <f t="shared" si="27"/>
        <v>3</v>
      </c>
      <c r="AC104" s="861">
        <f t="shared" si="27"/>
        <v>3</v>
      </c>
      <c r="AD104" s="861">
        <f t="shared" si="27"/>
        <v>3</v>
      </c>
      <c r="AE104" s="861">
        <f t="shared" si="27"/>
        <v>3</v>
      </c>
      <c r="AF104" s="861">
        <f t="shared" si="27"/>
        <v>3</v>
      </c>
      <c r="AG104" s="861">
        <f t="shared" si="27"/>
        <v>3</v>
      </c>
      <c r="AH104" s="861">
        <f t="shared" si="23"/>
        <v>3</v>
      </c>
      <c r="AI104" s="1071"/>
      <c r="AJ104" s="840"/>
      <c r="AK104" s="840">
        <v>6.28</v>
      </c>
      <c r="AL104" s="863">
        <f t="shared" ref="AL104:AL118" si="31">+SUM(V104:AG104)</f>
        <v>36</v>
      </c>
      <c r="AM104" s="861">
        <f t="shared" ref="AM104:AM118" si="32">+AK104*AL104</f>
        <v>226.08</v>
      </c>
      <c r="AN104" s="863">
        <f t="shared" ref="AN104:AN118" si="33">+AM104-T104</f>
        <v>-7.9199999999999875</v>
      </c>
    </row>
    <row r="105" spans="1:40" ht="12" customHeight="1">
      <c r="A105" s="840" t="str">
        <f t="shared" si="20"/>
        <v>RuralCommercialREDELCART-COMM</v>
      </c>
      <c r="B105" s="840">
        <f t="shared" si="29"/>
        <v>1</v>
      </c>
      <c r="C105" s="883" t="s">
        <v>2233</v>
      </c>
      <c r="D105" s="883" t="s">
        <v>2234</v>
      </c>
      <c r="E105" s="883">
        <v>16.8</v>
      </c>
      <c r="F105" s="883"/>
      <c r="G105" s="860"/>
      <c r="H105" s="861">
        <v>16.8</v>
      </c>
      <c r="I105" s="861">
        <v>16.8</v>
      </c>
      <c r="J105" s="861">
        <v>0</v>
      </c>
      <c r="K105" s="861">
        <v>16.8</v>
      </c>
      <c r="L105" s="861">
        <v>0</v>
      </c>
      <c r="M105" s="861">
        <v>0</v>
      </c>
      <c r="N105" s="861">
        <v>0</v>
      </c>
      <c r="O105" s="861">
        <v>0</v>
      </c>
      <c r="P105" s="861">
        <v>0</v>
      </c>
      <c r="Q105" s="861">
        <v>0</v>
      </c>
      <c r="R105" s="861">
        <v>0</v>
      </c>
      <c r="S105" s="861">
        <v>0</v>
      </c>
      <c r="T105" s="863">
        <f t="shared" si="30"/>
        <v>50.400000000000006</v>
      </c>
      <c r="U105" s="861"/>
      <c r="V105" s="861">
        <f t="shared" si="28"/>
        <v>1</v>
      </c>
      <c r="W105" s="861">
        <f t="shared" si="28"/>
        <v>1</v>
      </c>
      <c r="X105" s="861">
        <f t="shared" si="28"/>
        <v>0</v>
      </c>
      <c r="Y105" s="861">
        <f t="shared" si="27"/>
        <v>1</v>
      </c>
      <c r="Z105" s="861">
        <f t="shared" si="27"/>
        <v>0</v>
      </c>
      <c r="AA105" s="861">
        <f t="shared" si="27"/>
        <v>0</v>
      </c>
      <c r="AB105" s="861">
        <f t="shared" ref="AB105:AG118" si="34">IFERROR(N105/$E105,0)</f>
        <v>0</v>
      </c>
      <c r="AC105" s="861">
        <f t="shared" si="34"/>
        <v>0</v>
      </c>
      <c r="AD105" s="861">
        <f t="shared" si="34"/>
        <v>0</v>
      </c>
      <c r="AE105" s="861">
        <f t="shared" si="34"/>
        <v>0</v>
      </c>
      <c r="AF105" s="861">
        <f t="shared" si="34"/>
        <v>0</v>
      </c>
      <c r="AG105" s="861">
        <f t="shared" si="34"/>
        <v>0</v>
      </c>
      <c r="AH105" s="861">
        <f t="shared" si="23"/>
        <v>0.25</v>
      </c>
      <c r="AI105" s="1071"/>
      <c r="AJ105" s="840"/>
      <c r="AK105" s="840">
        <v>16.8</v>
      </c>
      <c r="AL105" s="863">
        <f t="shared" si="31"/>
        <v>3</v>
      </c>
      <c r="AM105" s="861">
        <f t="shared" si="32"/>
        <v>50.400000000000006</v>
      </c>
      <c r="AN105" s="863">
        <f t="shared" si="33"/>
        <v>0</v>
      </c>
    </row>
    <row r="106" spans="1:40" ht="12" customHeight="1">
      <c r="A106" s="840" t="str">
        <f t="shared" si="20"/>
        <v>RuralCommercialREDEL-COMM</v>
      </c>
      <c r="B106" s="840">
        <f t="shared" si="29"/>
        <v>1</v>
      </c>
      <c r="C106" s="883" t="s">
        <v>2235</v>
      </c>
      <c r="D106" s="883" t="s">
        <v>2236</v>
      </c>
      <c r="E106" s="883">
        <v>0</v>
      </c>
      <c r="F106" s="883"/>
      <c r="G106" s="860"/>
      <c r="H106" s="861">
        <v>0</v>
      </c>
      <c r="I106" s="861">
        <v>0</v>
      </c>
      <c r="J106" s="861">
        <v>16.8</v>
      </c>
      <c r="K106" s="861">
        <v>0</v>
      </c>
      <c r="L106" s="861">
        <v>0</v>
      </c>
      <c r="M106" s="861">
        <v>0</v>
      </c>
      <c r="N106" s="861">
        <v>0</v>
      </c>
      <c r="O106" s="861">
        <v>0</v>
      </c>
      <c r="P106" s="861">
        <v>0</v>
      </c>
      <c r="Q106" s="861">
        <v>0</v>
      </c>
      <c r="R106" s="861">
        <v>0</v>
      </c>
      <c r="S106" s="861">
        <v>0</v>
      </c>
      <c r="T106" s="863">
        <f t="shared" si="30"/>
        <v>16.8</v>
      </c>
      <c r="U106" s="861"/>
      <c r="V106" s="861">
        <f t="shared" si="28"/>
        <v>0</v>
      </c>
      <c r="W106" s="861">
        <f t="shared" si="28"/>
        <v>0</v>
      </c>
      <c r="X106" s="861">
        <f t="shared" si="28"/>
        <v>0</v>
      </c>
      <c r="Y106" s="861">
        <f t="shared" si="28"/>
        <v>0</v>
      </c>
      <c r="Z106" s="861">
        <f t="shared" si="28"/>
        <v>0</v>
      </c>
      <c r="AA106" s="861">
        <f t="shared" si="28"/>
        <v>0</v>
      </c>
      <c r="AB106" s="861">
        <f t="shared" si="34"/>
        <v>0</v>
      </c>
      <c r="AC106" s="861">
        <f t="shared" si="34"/>
        <v>0</v>
      </c>
      <c r="AD106" s="861">
        <f t="shared" si="34"/>
        <v>0</v>
      </c>
      <c r="AE106" s="861">
        <f t="shared" si="34"/>
        <v>0</v>
      </c>
      <c r="AF106" s="861">
        <f t="shared" si="34"/>
        <v>0</v>
      </c>
      <c r="AG106" s="861">
        <f t="shared" si="34"/>
        <v>0</v>
      </c>
      <c r="AH106" s="861">
        <f t="shared" si="23"/>
        <v>0</v>
      </c>
      <c r="AI106" s="1071"/>
      <c r="AJ106" s="840"/>
      <c r="AK106" s="840">
        <v>0</v>
      </c>
      <c r="AL106" s="863">
        <f t="shared" si="31"/>
        <v>0</v>
      </c>
      <c r="AM106" s="861">
        <f t="shared" si="32"/>
        <v>0</v>
      </c>
      <c r="AN106" s="863">
        <f t="shared" si="33"/>
        <v>-16.8</v>
      </c>
    </row>
    <row r="107" spans="1:40" ht="12" customHeight="1">
      <c r="A107" s="840" t="str">
        <f t="shared" si="20"/>
        <v>RuralCommercialRTRNCAN-COMM</v>
      </c>
      <c r="B107" s="840">
        <f t="shared" si="29"/>
        <v>1</v>
      </c>
      <c r="C107" s="883" t="s">
        <v>2259</v>
      </c>
      <c r="D107" s="883" t="s">
        <v>2260</v>
      </c>
      <c r="E107" s="883">
        <v>5</v>
      </c>
      <c r="F107" s="883"/>
      <c r="G107" s="860"/>
      <c r="H107" s="861">
        <v>0</v>
      </c>
      <c r="I107" s="861">
        <v>0</v>
      </c>
      <c r="J107" s="861">
        <v>0</v>
      </c>
      <c r="K107" s="861">
        <v>0</v>
      </c>
      <c r="L107" s="861">
        <v>5</v>
      </c>
      <c r="M107" s="861">
        <v>0</v>
      </c>
      <c r="N107" s="861">
        <v>0</v>
      </c>
      <c r="O107" s="861">
        <v>0</v>
      </c>
      <c r="P107" s="861">
        <v>0</v>
      </c>
      <c r="Q107" s="861">
        <v>0</v>
      </c>
      <c r="R107" s="861">
        <v>0</v>
      </c>
      <c r="S107" s="861">
        <v>5</v>
      </c>
      <c r="T107" s="863">
        <f t="shared" si="30"/>
        <v>10</v>
      </c>
      <c r="U107" s="861"/>
      <c r="V107" s="861">
        <f t="shared" si="28"/>
        <v>0</v>
      </c>
      <c r="W107" s="861">
        <f t="shared" si="28"/>
        <v>0</v>
      </c>
      <c r="X107" s="861">
        <f t="shared" si="28"/>
        <v>0</v>
      </c>
      <c r="Y107" s="861">
        <f t="shared" si="28"/>
        <v>0</v>
      </c>
      <c r="Z107" s="861">
        <f t="shared" si="28"/>
        <v>1</v>
      </c>
      <c r="AA107" s="861">
        <f t="shared" si="28"/>
        <v>0</v>
      </c>
      <c r="AB107" s="861">
        <f t="shared" si="34"/>
        <v>0</v>
      </c>
      <c r="AC107" s="861">
        <f t="shared" si="34"/>
        <v>0</v>
      </c>
      <c r="AD107" s="861">
        <f t="shared" si="34"/>
        <v>0</v>
      </c>
      <c r="AE107" s="861">
        <f t="shared" si="34"/>
        <v>0</v>
      </c>
      <c r="AF107" s="861">
        <f t="shared" si="34"/>
        <v>0</v>
      </c>
      <c r="AG107" s="861">
        <f t="shared" si="34"/>
        <v>1</v>
      </c>
      <c r="AH107" s="861">
        <f t="shared" si="23"/>
        <v>0.16666666666666666</v>
      </c>
      <c r="AI107" s="1071"/>
      <c r="AJ107" s="840"/>
      <c r="AK107" s="840">
        <v>5.75</v>
      </c>
      <c r="AL107" s="863">
        <f t="shared" si="31"/>
        <v>2</v>
      </c>
      <c r="AM107" s="861">
        <f t="shared" si="32"/>
        <v>11.5</v>
      </c>
      <c r="AN107" s="863">
        <f t="shared" si="33"/>
        <v>1.5</v>
      </c>
    </row>
    <row r="108" spans="1:40" ht="12" customHeight="1">
      <c r="A108" s="840" t="str">
        <f t="shared" si="20"/>
        <v>RuralCommercialREINSTATE-COMM</v>
      </c>
      <c r="B108" s="840">
        <f t="shared" si="29"/>
        <v>1</v>
      </c>
      <c r="C108" s="883" t="s">
        <v>2237</v>
      </c>
      <c r="D108" s="883" t="s">
        <v>2238</v>
      </c>
      <c r="E108" s="883">
        <v>11</v>
      </c>
      <c r="F108" s="883"/>
      <c r="G108" s="860"/>
      <c r="H108" s="861">
        <v>22</v>
      </c>
      <c r="I108" s="861">
        <v>0</v>
      </c>
      <c r="J108" s="861">
        <v>11</v>
      </c>
      <c r="K108" s="861">
        <v>11</v>
      </c>
      <c r="L108" s="861">
        <v>22</v>
      </c>
      <c r="M108" s="861">
        <v>0</v>
      </c>
      <c r="N108" s="861">
        <v>22</v>
      </c>
      <c r="O108" s="861">
        <v>11</v>
      </c>
      <c r="P108" s="861">
        <v>22</v>
      </c>
      <c r="Q108" s="861">
        <v>33</v>
      </c>
      <c r="R108" s="861">
        <v>22</v>
      </c>
      <c r="S108" s="861">
        <v>33</v>
      </c>
      <c r="T108" s="863">
        <f t="shared" si="30"/>
        <v>209</v>
      </c>
      <c r="U108" s="861"/>
      <c r="V108" s="861">
        <f t="shared" si="28"/>
        <v>2</v>
      </c>
      <c r="W108" s="861">
        <f t="shared" si="28"/>
        <v>0</v>
      </c>
      <c r="X108" s="861">
        <f t="shared" si="28"/>
        <v>1</v>
      </c>
      <c r="Y108" s="861">
        <f t="shared" si="28"/>
        <v>1</v>
      </c>
      <c r="Z108" s="861">
        <f t="shared" si="28"/>
        <v>2</v>
      </c>
      <c r="AA108" s="861">
        <f t="shared" si="28"/>
        <v>0</v>
      </c>
      <c r="AB108" s="861">
        <f t="shared" si="34"/>
        <v>2</v>
      </c>
      <c r="AC108" s="861">
        <f t="shared" si="34"/>
        <v>1</v>
      </c>
      <c r="AD108" s="861">
        <f t="shared" si="34"/>
        <v>2</v>
      </c>
      <c r="AE108" s="861">
        <f t="shared" si="34"/>
        <v>3</v>
      </c>
      <c r="AF108" s="861">
        <f t="shared" si="34"/>
        <v>2</v>
      </c>
      <c r="AG108" s="861">
        <f t="shared" si="34"/>
        <v>3</v>
      </c>
      <c r="AH108" s="861">
        <f t="shared" si="23"/>
        <v>1.5833333333333333</v>
      </c>
      <c r="AI108" s="1071"/>
      <c r="AJ108" s="840"/>
      <c r="AK108" s="840">
        <v>11</v>
      </c>
      <c r="AL108" s="863">
        <f t="shared" si="31"/>
        <v>19</v>
      </c>
      <c r="AM108" s="861">
        <f t="shared" si="32"/>
        <v>209</v>
      </c>
      <c r="AN108" s="863">
        <f t="shared" si="33"/>
        <v>0</v>
      </c>
    </row>
    <row r="109" spans="1:40" ht="12" customHeight="1">
      <c r="A109" s="840" t="str">
        <f t="shared" si="20"/>
        <v>RuralCommercialRENT1.5TEMP-COMM</v>
      </c>
      <c r="B109" s="840">
        <f t="shared" si="29"/>
        <v>1</v>
      </c>
      <c r="C109" s="883" t="s">
        <v>2239</v>
      </c>
      <c r="D109" s="883" t="s">
        <v>2240</v>
      </c>
      <c r="E109" s="883">
        <v>0.5</v>
      </c>
      <c r="F109" s="883"/>
      <c r="G109" s="860"/>
      <c r="H109" s="861">
        <v>0</v>
      </c>
      <c r="I109" s="861">
        <v>0</v>
      </c>
      <c r="J109" s="861">
        <v>0</v>
      </c>
      <c r="K109" s="861">
        <v>0</v>
      </c>
      <c r="L109" s="861">
        <v>0</v>
      </c>
      <c r="M109" s="861">
        <v>0</v>
      </c>
      <c r="N109" s="861">
        <v>0</v>
      </c>
      <c r="O109" s="861">
        <v>6.5</v>
      </c>
      <c r="P109" s="861">
        <v>0</v>
      </c>
      <c r="Q109" s="861">
        <v>0</v>
      </c>
      <c r="R109" s="861">
        <v>0</v>
      </c>
      <c r="S109" s="861">
        <v>0</v>
      </c>
      <c r="T109" s="863">
        <f t="shared" si="30"/>
        <v>6.5</v>
      </c>
      <c r="U109" s="861"/>
      <c r="V109" s="861">
        <f t="shared" si="28"/>
        <v>0</v>
      </c>
      <c r="W109" s="861">
        <f t="shared" si="28"/>
        <v>0</v>
      </c>
      <c r="X109" s="861">
        <f t="shared" si="28"/>
        <v>0</v>
      </c>
      <c r="Y109" s="861">
        <f t="shared" si="28"/>
        <v>0</v>
      </c>
      <c r="Z109" s="861">
        <f t="shared" si="28"/>
        <v>0</v>
      </c>
      <c r="AA109" s="861">
        <f t="shared" si="28"/>
        <v>0</v>
      </c>
      <c r="AB109" s="861">
        <f t="shared" si="34"/>
        <v>0</v>
      </c>
      <c r="AC109" s="861">
        <f t="shared" si="34"/>
        <v>13</v>
      </c>
      <c r="AD109" s="861">
        <f t="shared" si="34"/>
        <v>0</v>
      </c>
      <c r="AE109" s="861">
        <f t="shared" si="34"/>
        <v>0</v>
      </c>
      <c r="AF109" s="861">
        <f t="shared" si="34"/>
        <v>0</v>
      </c>
      <c r="AG109" s="861">
        <f t="shared" si="34"/>
        <v>0</v>
      </c>
      <c r="AH109" s="861">
        <f t="shared" si="23"/>
        <v>1.0833333333333333</v>
      </c>
      <c r="AI109" s="1071"/>
      <c r="AJ109" s="840"/>
      <c r="AK109" s="840">
        <v>1</v>
      </c>
      <c r="AL109" s="863">
        <f t="shared" si="31"/>
        <v>13</v>
      </c>
      <c r="AM109" s="861">
        <f t="shared" si="32"/>
        <v>13</v>
      </c>
      <c r="AN109" s="863">
        <f t="shared" si="33"/>
        <v>6.5</v>
      </c>
    </row>
    <row r="110" spans="1:40" ht="12" customHeight="1">
      <c r="A110" s="840" t="str">
        <f t="shared" si="20"/>
        <v>RuralCommercialRENT1TEMP-COMM</v>
      </c>
      <c r="B110" s="840">
        <f t="shared" si="29"/>
        <v>1</v>
      </c>
      <c r="C110" s="883" t="s">
        <v>2241</v>
      </c>
      <c r="D110" s="883" t="s">
        <v>2242</v>
      </c>
      <c r="E110" s="883">
        <v>0.45</v>
      </c>
      <c r="F110" s="883"/>
      <c r="G110" s="860"/>
      <c r="H110" s="861">
        <v>0</v>
      </c>
      <c r="I110" s="861">
        <v>13.5</v>
      </c>
      <c r="J110" s="861">
        <v>13.95</v>
      </c>
      <c r="K110" s="861">
        <v>9.4499999999999993</v>
      </c>
      <c r="L110" s="861">
        <v>0</v>
      </c>
      <c r="M110" s="861">
        <v>0</v>
      </c>
      <c r="N110" s="861">
        <v>0</v>
      </c>
      <c r="O110" s="861">
        <v>0</v>
      </c>
      <c r="P110" s="861">
        <v>0</v>
      </c>
      <c r="Q110" s="861">
        <v>0</v>
      </c>
      <c r="R110" s="861">
        <v>0</v>
      </c>
      <c r="S110" s="861">
        <v>0</v>
      </c>
      <c r="T110" s="863">
        <f t="shared" si="30"/>
        <v>36.9</v>
      </c>
      <c r="U110" s="861"/>
      <c r="V110" s="861">
        <f t="shared" ref="V110:AA118" si="35">IFERROR(H110/$E110,0)</f>
        <v>0</v>
      </c>
      <c r="W110" s="861">
        <f t="shared" si="35"/>
        <v>30</v>
      </c>
      <c r="X110" s="861">
        <f t="shared" si="35"/>
        <v>30.999999999999996</v>
      </c>
      <c r="Y110" s="861">
        <f t="shared" si="35"/>
        <v>20.999999999999996</v>
      </c>
      <c r="Z110" s="861">
        <f t="shared" si="35"/>
        <v>0</v>
      </c>
      <c r="AA110" s="861">
        <f t="shared" si="35"/>
        <v>0</v>
      </c>
      <c r="AB110" s="861">
        <f t="shared" si="34"/>
        <v>0</v>
      </c>
      <c r="AC110" s="861">
        <f t="shared" si="34"/>
        <v>0</v>
      </c>
      <c r="AD110" s="861">
        <f t="shared" si="34"/>
        <v>0</v>
      </c>
      <c r="AE110" s="861">
        <f t="shared" si="34"/>
        <v>0</v>
      </c>
      <c r="AF110" s="861">
        <f t="shared" si="34"/>
        <v>0</v>
      </c>
      <c r="AG110" s="861">
        <f t="shared" si="34"/>
        <v>0</v>
      </c>
      <c r="AH110" s="861">
        <f t="shared" si="23"/>
        <v>6.833333333333333</v>
      </c>
      <c r="AI110" s="1071"/>
      <c r="AJ110" s="840"/>
      <c r="AK110" s="840">
        <v>0.75</v>
      </c>
      <c r="AL110" s="863">
        <f t="shared" si="31"/>
        <v>82</v>
      </c>
      <c r="AM110" s="861">
        <f t="shared" si="32"/>
        <v>61.5</v>
      </c>
      <c r="AN110" s="863">
        <f t="shared" si="33"/>
        <v>24.6</v>
      </c>
    </row>
    <row r="111" spans="1:40" ht="12" customHeight="1">
      <c r="A111" s="840" t="str">
        <f t="shared" si="20"/>
        <v>RuralCommercialRENT2TEMP-COMM</v>
      </c>
      <c r="B111" s="840">
        <f t="shared" si="29"/>
        <v>1</v>
      </c>
      <c r="C111" s="883" t="s">
        <v>2243</v>
      </c>
      <c r="D111" s="883" t="s">
        <v>2244</v>
      </c>
      <c r="E111" s="883">
        <v>0.6</v>
      </c>
      <c r="F111" s="883"/>
      <c r="G111" s="860"/>
      <c r="H111" s="861">
        <v>66.599999999999994</v>
      </c>
      <c r="I111" s="861">
        <v>184.8</v>
      </c>
      <c r="J111" s="861">
        <v>87.6</v>
      </c>
      <c r="K111" s="861">
        <v>72.599999999999994</v>
      </c>
      <c r="L111" s="861">
        <v>76.2</v>
      </c>
      <c r="M111" s="861">
        <v>73.2</v>
      </c>
      <c r="N111" s="861">
        <v>96</v>
      </c>
      <c r="O111" s="861">
        <v>105</v>
      </c>
      <c r="P111" s="861">
        <v>74.400000000000006</v>
      </c>
      <c r="Q111" s="861">
        <v>68.400000000000006</v>
      </c>
      <c r="R111" s="861">
        <v>76.2</v>
      </c>
      <c r="S111" s="861">
        <v>54</v>
      </c>
      <c r="T111" s="863">
        <f t="shared" si="30"/>
        <v>1035</v>
      </c>
      <c r="U111" s="861"/>
      <c r="V111" s="861">
        <f t="shared" si="35"/>
        <v>111</v>
      </c>
      <c r="W111" s="861">
        <f t="shared" si="35"/>
        <v>308.00000000000006</v>
      </c>
      <c r="X111" s="861">
        <f t="shared" si="35"/>
        <v>146</v>
      </c>
      <c r="Y111" s="861">
        <f t="shared" si="35"/>
        <v>121</v>
      </c>
      <c r="Z111" s="861">
        <f t="shared" si="35"/>
        <v>127.00000000000001</v>
      </c>
      <c r="AA111" s="861">
        <f t="shared" si="35"/>
        <v>122.00000000000001</v>
      </c>
      <c r="AB111" s="861">
        <f t="shared" si="34"/>
        <v>160</v>
      </c>
      <c r="AC111" s="861">
        <f t="shared" si="34"/>
        <v>175</v>
      </c>
      <c r="AD111" s="861">
        <f t="shared" si="34"/>
        <v>124.00000000000001</v>
      </c>
      <c r="AE111" s="861">
        <f t="shared" si="34"/>
        <v>114.00000000000001</v>
      </c>
      <c r="AF111" s="861">
        <f t="shared" si="34"/>
        <v>127.00000000000001</v>
      </c>
      <c r="AG111" s="861">
        <f t="shared" si="34"/>
        <v>90</v>
      </c>
      <c r="AH111" s="861">
        <f t="shared" si="23"/>
        <v>143.75</v>
      </c>
      <c r="AI111" s="1071"/>
      <c r="AJ111" s="840"/>
      <c r="AK111" s="840">
        <v>1.25</v>
      </c>
      <c r="AL111" s="863">
        <f t="shared" si="31"/>
        <v>1725</v>
      </c>
      <c r="AM111" s="861">
        <f t="shared" si="32"/>
        <v>2156.25</v>
      </c>
      <c r="AN111" s="863">
        <f t="shared" si="33"/>
        <v>1121.25</v>
      </c>
    </row>
    <row r="112" spans="1:40" ht="12" customHeight="1">
      <c r="A112" s="840" t="str">
        <f t="shared" si="20"/>
        <v>RuralCommercialRENT3TEMP-COMM</v>
      </c>
      <c r="B112" s="840">
        <f t="shared" si="29"/>
        <v>1</v>
      </c>
      <c r="C112" s="883" t="s">
        <v>2245</v>
      </c>
      <c r="D112" s="883" t="s">
        <v>2246</v>
      </c>
      <c r="E112" s="883">
        <v>0.65</v>
      </c>
      <c r="F112" s="883"/>
      <c r="G112" s="860"/>
      <c r="H112" s="861">
        <v>0</v>
      </c>
      <c r="I112" s="861">
        <v>39</v>
      </c>
      <c r="J112" s="861">
        <v>0</v>
      </c>
      <c r="K112" s="861">
        <v>0</v>
      </c>
      <c r="L112" s="861">
        <v>0</v>
      </c>
      <c r="M112" s="861">
        <v>0</v>
      </c>
      <c r="N112" s="861">
        <v>0</v>
      </c>
      <c r="O112" s="861">
        <v>0</v>
      </c>
      <c r="P112" s="861">
        <v>0</v>
      </c>
      <c r="Q112" s="861">
        <v>0</v>
      </c>
      <c r="R112" s="861">
        <v>0</v>
      </c>
      <c r="S112" s="861">
        <v>0</v>
      </c>
      <c r="T112" s="863">
        <f t="shared" si="30"/>
        <v>39</v>
      </c>
      <c r="U112" s="861"/>
      <c r="V112" s="861">
        <f t="shared" si="35"/>
        <v>0</v>
      </c>
      <c r="W112" s="861">
        <f t="shared" si="35"/>
        <v>60</v>
      </c>
      <c r="X112" s="861">
        <f t="shared" si="35"/>
        <v>0</v>
      </c>
      <c r="Y112" s="861">
        <f t="shared" si="35"/>
        <v>0</v>
      </c>
      <c r="Z112" s="861">
        <f t="shared" si="35"/>
        <v>0</v>
      </c>
      <c r="AA112" s="861">
        <f t="shared" si="35"/>
        <v>0</v>
      </c>
      <c r="AB112" s="861">
        <f t="shared" si="34"/>
        <v>0</v>
      </c>
      <c r="AC112" s="861">
        <f t="shared" si="34"/>
        <v>0</v>
      </c>
      <c r="AD112" s="861">
        <f t="shared" si="34"/>
        <v>0</v>
      </c>
      <c r="AE112" s="861">
        <f t="shared" si="34"/>
        <v>0</v>
      </c>
      <c r="AF112" s="861">
        <f t="shared" si="34"/>
        <v>0</v>
      </c>
      <c r="AG112" s="861">
        <f t="shared" si="34"/>
        <v>0</v>
      </c>
      <c r="AH112" s="861">
        <f t="shared" si="23"/>
        <v>5</v>
      </c>
      <c r="AI112" s="1071"/>
      <c r="AJ112" s="840"/>
      <c r="AK112" s="840">
        <v>1.65</v>
      </c>
      <c r="AL112" s="863">
        <f t="shared" si="31"/>
        <v>60</v>
      </c>
      <c r="AM112" s="861">
        <f t="shared" si="32"/>
        <v>99</v>
      </c>
      <c r="AN112" s="863">
        <f t="shared" si="33"/>
        <v>60</v>
      </c>
    </row>
    <row r="113" spans="1:40" ht="12" customHeight="1">
      <c r="A113" s="840" t="str">
        <f t="shared" si="20"/>
        <v>RuralCommercialRENT6TEMP-COMM</v>
      </c>
      <c r="B113" s="840">
        <f t="shared" si="29"/>
        <v>1</v>
      </c>
      <c r="C113" s="883" t="s">
        <v>2249</v>
      </c>
      <c r="D113" s="883" t="s">
        <v>2250</v>
      </c>
      <c r="E113" s="883">
        <v>1.25</v>
      </c>
      <c r="F113" s="883"/>
      <c r="G113" s="860"/>
      <c r="H113" s="861">
        <v>0</v>
      </c>
      <c r="I113" s="861">
        <v>15</v>
      </c>
      <c r="J113" s="861">
        <v>8.75</v>
      </c>
      <c r="K113" s="861">
        <v>0</v>
      </c>
      <c r="L113" s="861">
        <v>0</v>
      </c>
      <c r="M113" s="861">
        <v>0</v>
      </c>
      <c r="N113" s="861">
        <v>0</v>
      </c>
      <c r="O113" s="861">
        <v>0</v>
      </c>
      <c r="P113" s="861">
        <v>0</v>
      </c>
      <c r="Q113" s="861">
        <v>0</v>
      </c>
      <c r="R113" s="861">
        <v>0</v>
      </c>
      <c r="S113" s="861">
        <v>0</v>
      </c>
      <c r="T113" s="863">
        <f t="shared" si="30"/>
        <v>23.75</v>
      </c>
      <c r="U113" s="861"/>
      <c r="V113" s="861">
        <f t="shared" si="35"/>
        <v>0</v>
      </c>
      <c r="W113" s="861">
        <f t="shared" si="35"/>
        <v>12</v>
      </c>
      <c r="X113" s="861">
        <f t="shared" si="35"/>
        <v>7</v>
      </c>
      <c r="Y113" s="861">
        <f t="shared" si="35"/>
        <v>0</v>
      </c>
      <c r="Z113" s="861">
        <f t="shared" si="35"/>
        <v>0</v>
      </c>
      <c r="AA113" s="861">
        <f t="shared" si="35"/>
        <v>0</v>
      </c>
      <c r="AB113" s="861">
        <f t="shared" si="34"/>
        <v>0</v>
      </c>
      <c r="AC113" s="861">
        <f t="shared" si="34"/>
        <v>0</v>
      </c>
      <c r="AD113" s="861">
        <f t="shared" si="34"/>
        <v>0</v>
      </c>
      <c r="AE113" s="861">
        <f t="shared" si="34"/>
        <v>0</v>
      </c>
      <c r="AF113" s="861">
        <f t="shared" si="34"/>
        <v>0</v>
      </c>
      <c r="AG113" s="861">
        <f t="shared" si="34"/>
        <v>0</v>
      </c>
      <c r="AH113" s="861">
        <f t="shared" si="23"/>
        <v>1.5833333333333333</v>
      </c>
      <c r="AI113" s="1071"/>
      <c r="AJ113" s="840"/>
      <c r="AK113" s="840">
        <v>2.25</v>
      </c>
      <c r="AL113" s="863">
        <f t="shared" si="31"/>
        <v>19</v>
      </c>
      <c r="AM113" s="861">
        <f t="shared" si="32"/>
        <v>42.75</v>
      </c>
      <c r="AN113" s="863">
        <f t="shared" si="33"/>
        <v>19</v>
      </c>
    </row>
    <row r="114" spans="1:40" ht="12" customHeight="1">
      <c r="A114" s="840" t="str">
        <f t="shared" si="20"/>
        <v>RuralCommercialROLL1W-COMM</v>
      </c>
      <c r="B114" s="840">
        <f t="shared" si="29"/>
        <v>1</v>
      </c>
      <c r="C114" s="883" t="s">
        <v>2251</v>
      </c>
      <c r="D114" s="883" t="s">
        <v>2252</v>
      </c>
      <c r="E114" s="883">
        <v>15.16</v>
      </c>
      <c r="F114" s="883"/>
      <c r="G114" s="862"/>
      <c r="H114" s="861">
        <v>15.16</v>
      </c>
      <c r="I114" s="861">
        <v>15.16</v>
      </c>
      <c r="J114" s="861">
        <v>15.16</v>
      </c>
      <c r="K114" s="861">
        <v>15.16</v>
      </c>
      <c r="L114" s="861">
        <v>15.16</v>
      </c>
      <c r="M114" s="861">
        <v>15.16</v>
      </c>
      <c r="N114" s="861">
        <v>15.16</v>
      </c>
      <c r="O114" s="861">
        <v>15.16</v>
      </c>
      <c r="P114" s="861">
        <v>15.16</v>
      </c>
      <c r="Q114" s="861">
        <v>15.16</v>
      </c>
      <c r="R114" s="861">
        <v>15.16</v>
      </c>
      <c r="S114" s="861">
        <v>15.16</v>
      </c>
      <c r="T114" s="863">
        <f t="shared" si="30"/>
        <v>181.92</v>
      </c>
      <c r="U114" s="861"/>
      <c r="V114" s="861">
        <f t="shared" si="35"/>
        <v>1</v>
      </c>
      <c r="W114" s="861">
        <f t="shared" si="35"/>
        <v>1</v>
      </c>
      <c r="X114" s="861">
        <f t="shared" si="35"/>
        <v>1</v>
      </c>
      <c r="Y114" s="861">
        <f t="shared" si="35"/>
        <v>1</v>
      </c>
      <c r="Z114" s="861">
        <f t="shared" si="35"/>
        <v>1</v>
      </c>
      <c r="AA114" s="861">
        <f t="shared" si="35"/>
        <v>1</v>
      </c>
      <c r="AB114" s="861">
        <f t="shared" si="34"/>
        <v>1</v>
      </c>
      <c r="AC114" s="861">
        <f t="shared" si="34"/>
        <v>1</v>
      </c>
      <c r="AD114" s="861">
        <f t="shared" si="34"/>
        <v>1</v>
      </c>
      <c r="AE114" s="861">
        <f t="shared" si="34"/>
        <v>1</v>
      </c>
      <c r="AF114" s="861">
        <f t="shared" si="34"/>
        <v>1</v>
      </c>
      <c r="AG114" s="861">
        <f t="shared" si="34"/>
        <v>1</v>
      </c>
      <c r="AH114" s="861">
        <f t="shared" si="23"/>
        <v>1</v>
      </c>
      <c r="AI114" s="1071"/>
      <c r="AJ114" s="840"/>
      <c r="AK114" s="840">
        <v>2.5</v>
      </c>
      <c r="AL114" s="863">
        <f t="shared" si="31"/>
        <v>12</v>
      </c>
      <c r="AM114" s="861">
        <f t="shared" si="32"/>
        <v>30</v>
      </c>
      <c r="AN114" s="863">
        <f t="shared" si="33"/>
        <v>-151.91999999999999</v>
      </c>
    </row>
    <row r="115" spans="1:40" ht="12" customHeight="1">
      <c r="A115" s="840" t="str">
        <f t="shared" si="20"/>
        <v>RuralCommercialRTRNCART-COMM</v>
      </c>
      <c r="B115" s="840">
        <f t="shared" si="29"/>
        <v>1</v>
      </c>
      <c r="C115" s="883" t="s">
        <v>2263</v>
      </c>
      <c r="D115" s="883" t="s">
        <v>2264</v>
      </c>
      <c r="E115" s="883">
        <v>5</v>
      </c>
      <c r="F115" s="883"/>
      <c r="G115" s="862"/>
      <c r="H115" s="861">
        <v>10</v>
      </c>
      <c r="I115" s="861">
        <v>5</v>
      </c>
      <c r="J115" s="861">
        <v>0</v>
      </c>
      <c r="K115" s="861">
        <v>-5</v>
      </c>
      <c r="L115" s="861">
        <v>0</v>
      </c>
      <c r="M115" s="861">
        <v>0</v>
      </c>
      <c r="N115" s="861">
        <v>5</v>
      </c>
      <c r="O115" s="861">
        <v>20</v>
      </c>
      <c r="P115" s="861">
        <v>0</v>
      </c>
      <c r="Q115" s="861">
        <v>0</v>
      </c>
      <c r="R115" s="861">
        <v>0</v>
      </c>
      <c r="S115" s="861">
        <v>0</v>
      </c>
      <c r="T115" s="863">
        <f t="shared" si="30"/>
        <v>35</v>
      </c>
      <c r="U115" s="861"/>
      <c r="V115" s="861">
        <f t="shared" si="35"/>
        <v>2</v>
      </c>
      <c r="W115" s="861">
        <f t="shared" si="35"/>
        <v>1</v>
      </c>
      <c r="X115" s="861">
        <f t="shared" si="35"/>
        <v>0</v>
      </c>
      <c r="Y115" s="861">
        <f t="shared" si="35"/>
        <v>-1</v>
      </c>
      <c r="Z115" s="861">
        <f t="shared" si="35"/>
        <v>0</v>
      </c>
      <c r="AA115" s="861">
        <f t="shared" si="35"/>
        <v>0</v>
      </c>
      <c r="AB115" s="861">
        <f t="shared" si="34"/>
        <v>1</v>
      </c>
      <c r="AC115" s="861">
        <f t="shared" si="34"/>
        <v>4</v>
      </c>
      <c r="AD115" s="861">
        <f t="shared" si="34"/>
        <v>0</v>
      </c>
      <c r="AE115" s="861">
        <f t="shared" si="34"/>
        <v>0</v>
      </c>
      <c r="AF115" s="861">
        <f t="shared" si="34"/>
        <v>0</v>
      </c>
      <c r="AG115" s="861">
        <f t="shared" si="34"/>
        <v>0</v>
      </c>
      <c r="AH115" s="861">
        <f t="shared" si="23"/>
        <v>0.58333333333333337</v>
      </c>
      <c r="AI115" s="1071"/>
      <c r="AJ115" s="840"/>
      <c r="AK115" s="840">
        <v>5.75</v>
      </c>
      <c r="AL115" s="863">
        <f t="shared" si="31"/>
        <v>7</v>
      </c>
      <c r="AM115" s="861">
        <f t="shared" si="32"/>
        <v>40.25</v>
      </c>
      <c r="AN115" s="863">
        <f t="shared" si="33"/>
        <v>5.25</v>
      </c>
    </row>
    <row r="116" spans="1:40" ht="12" customHeight="1">
      <c r="A116" s="840" t="str">
        <f t="shared" si="20"/>
        <v>RuralCommercialRTRNTRIP1-COMM</v>
      </c>
      <c r="B116" s="840">
        <f t="shared" si="29"/>
        <v>1</v>
      </c>
      <c r="C116" s="883" t="s">
        <v>2267</v>
      </c>
      <c r="D116" s="883" t="s">
        <v>2268</v>
      </c>
      <c r="E116" s="883">
        <v>15</v>
      </c>
      <c r="F116" s="883"/>
      <c r="G116" s="860"/>
      <c r="H116" s="861">
        <v>0</v>
      </c>
      <c r="I116" s="861">
        <v>0</v>
      </c>
      <c r="J116" s="861">
        <v>0</v>
      </c>
      <c r="K116" s="861">
        <v>0</v>
      </c>
      <c r="L116" s="861">
        <v>0</v>
      </c>
      <c r="M116" s="861">
        <v>0</v>
      </c>
      <c r="N116" s="861">
        <v>15</v>
      </c>
      <c r="O116" s="861">
        <v>0</v>
      </c>
      <c r="P116" s="861">
        <v>0</v>
      </c>
      <c r="Q116" s="861">
        <v>15</v>
      </c>
      <c r="R116" s="861">
        <v>0</v>
      </c>
      <c r="S116" s="861">
        <v>0</v>
      </c>
      <c r="T116" s="863">
        <f t="shared" si="30"/>
        <v>30</v>
      </c>
      <c r="U116" s="861"/>
      <c r="V116" s="861">
        <f t="shared" si="35"/>
        <v>0</v>
      </c>
      <c r="W116" s="861">
        <f t="shared" si="35"/>
        <v>0</v>
      </c>
      <c r="X116" s="861">
        <f t="shared" si="35"/>
        <v>0</v>
      </c>
      <c r="Y116" s="861">
        <f t="shared" si="35"/>
        <v>0</v>
      </c>
      <c r="Z116" s="861">
        <f t="shared" si="35"/>
        <v>0</v>
      </c>
      <c r="AA116" s="861">
        <f t="shared" si="35"/>
        <v>0</v>
      </c>
      <c r="AB116" s="861">
        <f t="shared" si="34"/>
        <v>1</v>
      </c>
      <c r="AC116" s="861">
        <f t="shared" si="34"/>
        <v>0</v>
      </c>
      <c r="AD116" s="861">
        <f t="shared" si="34"/>
        <v>0</v>
      </c>
      <c r="AE116" s="861">
        <f t="shared" si="34"/>
        <v>1</v>
      </c>
      <c r="AF116" s="861">
        <f t="shared" si="34"/>
        <v>0</v>
      </c>
      <c r="AG116" s="861">
        <f t="shared" si="34"/>
        <v>0</v>
      </c>
      <c r="AH116" s="861">
        <f t="shared" si="23"/>
        <v>0.16666666666666666</v>
      </c>
      <c r="AI116" s="1071"/>
      <c r="AJ116" s="840"/>
      <c r="AK116" s="840">
        <v>15</v>
      </c>
      <c r="AL116" s="863">
        <f t="shared" si="31"/>
        <v>2</v>
      </c>
      <c r="AM116" s="861">
        <f t="shared" si="32"/>
        <v>30</v>
      </c>
      <c r="AN116" s="863">
        <f t="shared" si="33"/>
        <v>0</v>
      </c>
    </row>
    <row r="117" spans="1:40" ht="12" customHeight="1">
      <c r="A117" s="840" t="str">
        <f t="shared" si="20"/>
        <v>RuralCommercialRTRNTRIP-COMM</v>
      </c>
      <c r="B117" s="840">
        <f t="shared" si="29"/>
        <v>1</v>
      </c>
      <c r="C117" s="883" t="s">
        <v>2277</v>
      </c>
      <c r="D117" s="883" t="s">
        <v>2278</v>
      </c>
      <c r="E117" s="883">
        <v>0</v>
      </c>
      <c r="F117" s="883"/>
      <c r="G117" s="862"/>
      <c r="H117" s="861">
        <v>0</v>
      </c>
      <c r="I117" s="861">
        <v>0</v>
      </c>
      <c r="J117" s="861">
        <v>15</v>
      </c>
      <c r="K117" s="861">
        <v>0</v>
      </c>
      <c r="L117" s="861">
        <v>15</v>
      </c>
      <c r="M117" s="861">
        <v>0</v>
      </c>
      <c r="N117" s="861">
        <v>0</v>
      </c>
      <c r="O117" s="861">
        <v>0</v>
      </c>
      <c r="P117" s="861">
        <v>0</v>
      </c>
      <c r="Q117" s="861">
        <v>0</v>
      </c>
      <c r="R117" s="861">
        <v>0</v>
      </c>
      <c r="S117" s="861">
        <v>0</v>
      </c>
      <c r="T117" s="863">
        <f t="shared" si="30"/>
        <v>30</v>
      </c>
      <c r="U117" s="861"/>
      <c r="V117" s="861">
        <f t="shared" si="35"/>
        <v>0</v>
      </c>
      <c r="W117" s="861">
        <f t="shared" si="35"/>
        <v>0</v>
      </c>
      <c r="X117" s="861">
        <f t="shared" si="35"/>
        <v>0</v>
      </c>
      <c r="Y117" s="861">
        <f t="shared" si="35"/>
        <v>0</v>
      </c>
      <c r="Z117" s="861">
        <f t="shared" si="35"/>
        <v>0</v>
      </c>
      <c r="AA117" s="861">
        <f t="shared" si="35"/>
        <v>0</v>
      </c>
      <c r="AB117" s="861">
        <f t="shared" si="34"/>
        <v>0</v>
      </c>
      <c r="AC117" s="861">
        <f t="shared" si="34"/>
        <v>0</v>
      </c>
      <c r="AD117" s="861">
        <f t="shared" si="34"/>
        <v>0</v>
      </c>
      <c r="AE117" s="861">
        <f t="shared" si="34"/>
        <v>0</v>
      </c>
      <c r="AF117" s="861">
        <f t="shared" si="34"/>
        <v>0</v>
      </c>
      <c r="AG117" s="861">
        <f t="shared" si="34"/>
        <v>0</v>
      </c>
      <c r="AH117" s="861">
        <f t="shared" si="23"/>
        <v>0</v>
      </c>
      <c r="AI117" s="1071"/>
      <c r="AJ117" s="840"/>
      <c r="AK117" s="840">
        <v>15</v>
      </c>
      <c r="AL117" s="863">
        <f t="shared" si="31"/>
        <v>0</v>
      </c>
      <c r="AM117" s="861">
        <f t="shared" si="32"/>
        <v>0</v>
      </c>
      <c r="AN117" s="863">
        <f t="shared" si="33"/>
        <v>-30</v>
      </c>
    </row>
    <row r="118" spans="1:40" ht="12" customHeight="1">
      <c r="A118" s="840" t="str">
        <f t="shared" si="20"/>
        <v>RuralCommercialTIME-COMM</v>
      </c>
      <c r="B118" s="840">
        <f t="shared" si="29"/>
        <v>1</v>
      </c>
      <c r="C118" s="883" t="s">
        <v>2287</v>
      </c>
      <c r="D118" s="883" t="s">
        <v>2288</v>
      </c>
      <c r="E118" s="883">
        <v>0</v>
      </c>
      <c r="F118" s="883"/>
      <c r="G118" s="860"/>
      <c r="H118" s="861">
        <v>0</v>
      </c>
      <c r="I118" s="861">
        <v>0</v>
      </c>
      <c r="J118" s="861">
        <v>0</v>
      </c>
      <c r="K118" s="861">
        <v>0</v>
      </c>
      <c r="L118" s="861">
        <v>130.80000000000001</v>
      </c>
      <c r="M118" s="861">
        <v>0</v>
      </c>
      <c r="N118" s="861">
        <v>0</v>
      </c>
      <c r="O118" s="861">
        <v>0</v>
      </c>
      <c r="P118" s="861">
        <v>0</v>
      </c>
      <c r="Q118" s="861">
        <v>0</v>
      </c>
      <c r="R118" s="861">
        <v>0</v>
      </c>
      <c r="S118" s="861">
        <v>0</v>
      </c>
      <c r="T118" s="863">
        <f t="shared" si="30"/>
        <v>130.80000000000001</v>
      </c>
      <c r="U118" s="861"/>
      <c r="V118" s="861">
        <f t="shared" si="35"/>
        <v>0</v>
      </c>
      <c r="W118" s="861">
        <f t="shared" si="35"/>
        <v>0</v>
      </c>
      <c r="X118" s="861">
        <f t="shared" si="35"/>
        <v>0</v>
      </c>
      <c r="Y118" s="861">
        <f t="shared" si="35"/>
        <v>0</v>
      </c>
      <c r="Z118" s="861">
        <f t="shared" si="35"/>
        <v>0</v>
      </c>
      <c r="AA118" s="861">
        <f t="shared" si="35"/>
        <v>0</v>
      </c>
      <c r="AB118" s="861">
        <f t="shared" si="34"/>
        <v>0</v>
      </c>
      <c r="AC118" s="861">
        <f t="shared" si="34"/>
        <v>0</v>
      </c>
      <c r="AD118" s="861">
        <f t="shared" si="34"/>
        <v>0</v>
      </c>
      <c r="AE118" s="861">
        <f t="shared" si="34"/>
        <v>0</v>
      </c>
      <c r="AF118" s="861">
        <f t="shared" si="34"/>
        <v>0</v>
      </c>
      <c r="AG118" s="861">
        <f t="shared" si="34"/>
        <v>0</v>
      </c>
      <c r="AH118" s="861">
        <f t="shared" si="23"/>
        <v>0</v>
      </c>
      <c r="AI118" s="1071"/>
      <c r="AJ118" s="840"/>
      <c r="AK118" s="840">
        <v>0</v>
      </c>
      <c r="AL118" s="863">
        <f t="shared" si="31"/>
        <v>0</v>
      </c>
      <c r="AM118" s="861">
        <f t="shared" si="32"/>
        <v>0</v>
      </c>
      <c r="AN118" s="863">
        <f t="shared" si="33"/>
        <v>-130.80000000000001</v>
      </c>
    </row>
    <row r="119" spans="1:40" ht="12" customHeight="1">
      <c r="A119" s="840"/>
      <c r="B119" s="840"/>
      <c r="C119" s="1071"/>
      <c r="D119" s="1071"/>
      <c r="E119" s="883"/>
      <c r="F119" s="883"/>
      <c r="G119" s="860"/>
      <c r="H119" s="861"/>
      <c r="I119" s="861"/>
      <c r="J119" s="861"/>
      <c r="K119" s="861"/>
      <c r="L119" s="861"/>
      <c r="M119" s="861"/>
      <c r="N119" s="861"/>
      <c r="O119" s="861"/>
      <c r="P119" s="861"/>
      <c r="Q119" s="861"/>
      <c r="R119" s="861"/>
      <c r="S119" s="861"/>
      <c r="T119" s="863"/>
      <c r="U119" s="861"/>
      <c r="V119" s="862"/>
      <c r="W119" s="862"/>
      <c r="X119" s="862"/>
      <c r="Y119" s="862"/>
      <c r="Z119" s="862"/>
      <c r="AA119" s="862"/>
      <c r="AB119" s="862"/>
      <c r="AC119" s="862"/>
      <c r="AD119" s="862"/>
      <c r="AE119" s="862"/>
      <c r="AF119" s="862"/>
      <c r="AG119" s="862"/>
      <c r="AH119" s="862"/>
      <c r="AI119" s="1071"/>
      <c r="AJ119" s="840"/>
      <c r="AK119" s="840"/>
      <c r="AL119" s="863"/>
      <c r="AM119" s="861"/>
      <c r="AN119" s="863"/>
    </row>
    <row r="120" spans="1:40" ht="12" customHeight="1">
      <c r="A120" s="840"/>
      <c r="B120" s="840">
        <f>COUNTIF(C:C,C120)</f>
        <v>0</v>
      </c>
      <c r="C120" s="912"/>
      <c r="D120" s="1063" t="s">
        <v>2293</v>
      </c>
      <c r="E120" s="883">
        <v>0</v>
      </c>
      <c r="F120" s="883"/>
      <c r="G120" s="860"/>
      <c r="H120" s="870">
        <f t="shared" ref="H120:T120" si="36">SUM(H56:H119)</f>
        <v>40019.079999999994</v>
      </c>
      <c r="I120" s="870">
        <f t="shared" si="36"/>
        <v>40777.73000000001</v>
      </c>
      <c r="J120" s="870">
        <f t="shared" si="36"/>
        <v>39860.6</v>
      </c>
      <c r="K120" s="870">
        <f t="shared" si="36"/>
        <v>41015.44000000001</v>
      </c>
      <c r="L120" s="870">
        <f t="shared" si="36"/>
        <v>42037.104999999996</v>
      </c>
      <c r="M120" s="870">
        <f t="shared" si="36"/>
        <v>40022.799999999988</v>
      </c>
      <c r="N120" s="870">
        <f t="shared" si="36"/>
        <v>39801.200000000004</v>
      </c>
      <c r="O120" s="870">
        <f t="shared" si="36"/>
        <v>39897.120000000003</v>
      </c>
      <c r="P120" s="870">
        <f t="shared" si="36"/>
        <v>39903.295000000006</v>
      </c>
      <c r="Q120" s="870">
        <f t="shared" si="36"/>
        <v>39109.990000000005</v>
      </c>
      <c r="R120" s="870">
        <f t="shared" si="36"/>
        <v>39704.520000000011</v>
      </c>
      <c r="S120" s="870">
        <f t="shared" si="36"/>
        <v>39609.109999999993</v>
      </c>
      <c r="T120" s="870">
        <f t="shared" si="36"/>
        <v>481757.99</v>
      </c>
      <c r="U120" s="840"/>
      <c r="V120" s="872">
        <f t="shared" ref="V120:AH120" si="37">+SUM(V56:V88)</f>
        <v>493.40025507892489</v>
      </c>
      <c r="W120" s="872">
        <f t="shared" si="37"/>
        <v>511.75004693513563</v>
      </c>
      <c r="X120" s="872">
        <f t="shared" si="37"/>
        <v>522.94468001209475</v>
      </c>
      <c r="Y120" s="872">
        <f t="shared" si="37"/>
        <v>573.95010842847557</v>
      </c>
      <c r="Z120" s="872">
        <f t="shared" si="37"/>
        <v>538.27536969152538</v>
      </c>
      <c r="AA120" s="872">
        <f t="shared" si="37"/>
        <v>554.07361597916554</v>
      </c>
      <c r="AB120" s="872">
        <f t="shared" si="37"/>
        <v>580.45005527172009</v>
      </c>
      <c r="AC120" s="872">
        <f t="shared" si="37"/>
        <v>506.12521367599851</v>
      </c>
      <c r="AD120" s="872">
        <f t="shared" si="37"/>
        <v>582.32493800407724</v>
      </c>
      <c r="AE120" s="872">
        <f t="shared" si="37"/>
        <v>529.94169389277886</v>
      </c>
      <c r="AF120" s="872">
        <f t="shared" si="37"/>
        <v>570.9212313464061</v>
      </c>
      <c r="AG120" s="872">
        <f t="shared" si="37"/>
        <v>503.62133295357449</v>
      </c>
      <c r="AH120" s="872">
        <f t="shared" si="37"/>
        <v>538.98154510582322</v>
      </c>
      <c r="AI120" s="1071"/>
      <c r="AJ120" s="840"/>
      <c r="AK120" s="840"/>
      <c r="AL120" s="872">
        <f>SUM(AL56:AL119)</f>
        <v>9642.8505927948718</v>
      </c>
      <c r="AM120" s="872">
        <f>SUM(AM56:AM119)</f>
        <v>465877.99285653885</v>
      </c>
      <c r="AN120" s="872">
        <f>SUM(AN56:AN119)</f>
        <v>-15715.997143461123</v>
      </c>
    </row>
    <row r="121" spans="1:40" ht="12" customHeight="1">
      <c r="A121" s="840"/>
      <c r="B121" s="840"/>
      <c r="C121" s="912"/>
      <c r="D121" s="912"/>
      <c r="E121" s="883"/>
      <c r="F121" s="883"/>
      <c r="G121" s="860"/>
      <c r="H121" s="862"/>
      <c r="I121" s="861"/>
      <c r="J121" s="861"/>
      <c r="K121" s="840"/>
      <c r="L121" s="840"/>
      <c r="M121" s="840"/>
      <c r="N121" s="840"/>
      <c r="O121" s="840"/>
      <c r="P121" s="840"/>
      <c r="Q121" s="840"/>
      <c r="R121" s="840"/>
      <c r="S121" s="840"/>
      <c r="T121" s="864"/>
      <c r="U121" s="840"/>
      <c r="V121" s="862"/>
      <c r="W121" s="862"/>
      <c r="X121" s="862"/>
      <c r="Y121" s="862"/>
      <c r="Z121" s="862"/>
      <c r="AA121" s="862"/>
      <c r="AB121" s="862"/>
      <c r="AC121" s="862"/>
      <c r="AD121" s="862"/>
      <c r="AE121" s="862"/>
      <c r="AF121" s="862"/>
      <c r="AG121" s="862"/>
      <c r="AH121" s="862"/>
      <c r="AI121" s="1071"/>
      <c r="AJ121" s="840"/>
      <c r="AK121" s="840"/>
      <c r="AL121" s="840"/>
      <c r="AM121" s="840"/>
      <c r="AN121" s="840"/>
    </row>
    <row r="122" spans="1:40" ht="12" customHeight="1">
      <c r="A122" s="840"/>
      <c r="B122" s="840"/>
      <c r="C122" s="1062"/>
      <c r="D122" s="1062"/>
      <c r="E122" s="883"/>
      <c r="F122" s="883"/>
      <c r="G122" s="860"/>
      <c r="H122" s="862"/>
      <c r="I122" s="861"/>
      <c r="J122" s="861"/>
      <c r="K122" s="840"/>
      <c r="L122" s="840"/>
      <c r="M122" s="840"/>
      <c r="N122" s="840"/>
      <c r="O122" s="840"/>
      <c r="P122" s="840"/>
      <c r="Q122" s="840"/>
      <c r="R122" s="840"/>
      <c r="S122" s="840"/>
      <c r="T122" s="864"/>
      <c r="U122" s="840"/>
      <c r="V122" s="862"/>
      <c r="W122" s="862"/>
      <c r="X122" s="862"/>
      <c r="Y122" s="862"/>
      <c r="Z122" s="862"/>
      <c r="AA122" s="862"/>
      <c r="AB122" s="862"/>
      <c r="AC122" s="862"/>
      <c r="AD122" s="862"/>
      <c r="AE122" s="862"/>
      <c r="AF122" s="862"/>
      <c r="AG122" s="862"/>
      <c r="AH122" s="862"/>
      <c r="AI122" s="1071"/>
      <c r="AJ122" s="840"/>
      <c r="AK122" s="840"/>
      <c r="AL122" s="840"/>
      <c r="AM122" s="840"/>
      <c r="AN122" s="840"/>
    </row>
    <row r="123" spans="1:40" ht="12" customHeight="1">
      <c r="A123" s="840"/>
      <c r="B123" s="840">
        <f>COUNTIF(C:C,C123)</f>
        <v>1</v>
      </c>
      <c r="C123" s="1066" t="s">
        <v>2300</v>
      </c>
      <c r="D123" s="1065" t="s">
        <v>2300</v>
      </c>
      <c r="E123" s="883">
        <v>0</v>
      </c>
      <c r="F123" s="883"/>
      <c r="G123" s="860"/>
      <c r="H123" s="862"/>
      <c r="I123" s="861" t="str">
        <f>IF(G123="","",(#REF!/G123)+(#REF!/#REF!))</f>
        <v/>
      </c>
      <c r="J123" s="861" t="str">
        <f>IF(G123="","",I123/12)</f>
        <v/>
      </c>
      <c r="K123" s="840"/>
      <c r="L123" s="840"/>
      <c r="M123" s="840"/>
      <c r="N123" s="840"/>
      <c r="O123" s="840"/>
      <c r="P123" s="840"/>
      <c r="Q123" s="840"/>
      <c r="R123" s="840"/>
      <c r="S123" s="840"/>
      <c r="T123" s="864"/>
      <c r="U123" s="840"/>
      <c r="V123" s="862"/>
      <c r="W123" s="862"/>
      <c r="X123" s="862"/>
      <c r="Y123" s="862"/>
      <c r="Z123" s="862"/>
      <c r="AA123" s="862"/>
      <c r="AB123" s="862"/>
      <c r="AC123" s="862"/>
      <c r="AD123" s="862"/>
      <c r="AE123" s="862"/>
      <c r="AF123" s="862"/>
      <c r="AG123" s="862"/>
      <c r="AH123" s="862"/>
      <c r="AI123" s="1071"/>
      <c r="AJ123" s="840"/>
      <c r="AK123" s="840"/>
      <c r="AL123" s="840"/>
      <c r="AM123" s="840"/>
      <c r="AN123" s="840"/>
    </row>
    <row r="124" spans="1:40" ht="12" customHeight="1">
      <c r="A124" s="840"/>
      <c r="B124" s="840"/>
      <c r="C124" s="1066"/>
      <c r="D124" s="1066"/>
      <c r="E124" s="883"/>
      <c r="F124" s="883"/>
      <c r="G124" s="860"/>
      <c r="H124" s="862"/>
      <c r="I124" s="861"/>
      <c r="J124" s="861"/>
      <c r="K124" s="840"/>
      <c r="L124" s="840"/>
      <c r="M124" s="840"/>
      <c r="N124" s="840"/>
      <c r="O124" s="840"/>
      <c r="P124" s="840"/>
      <c r="Q124" s="840"/>
      <c r="R124" s="840"/>
      <c r="S124" s="840"/>
      <c r="T124" s="864"/>
      <c r="U124" s="840"/>
      <c r="V124" s="861"/>
      <c r="W124" s="861"/>
      <c r="X124" s="861"/>
      <c r="Y124" s="861"/>
      <c r="Z124" s="861"/>
      <c r="AA124" s="861"/>
      <c r="AB124" s="861"/>
      <c r="AC124" s="861"/>
      <c r="AD124" s="861"/>
      <c r="AE124" s="861"/>
      <c r="AF124" s="861"/>
      <c r="AG124" s="861"/>
      <c r="AH124" s="861"/>
      <c r="AI124" s="1071"/>
      <c r="AJ124" s="840"/>
      <c r="AK124" s="840"/>
      <c r="AL124" s="840"/>
      <c r="AM124" s="840"/>
      <c r="AN124" s="840"/>
    </row>
    <row r="125" spans="1:40" ht="12" customHeight="1">
      <c r="A125" s="840"/>
      <c r="B125" s="840">
        <f t="shared" ref="B125:B156" si="38">COUNTIF(C:C,C125)</f>
        <v>1</v>
      </c>
      <c r="C125" s="913" t="s">
        <v>2301</v>
      </c>
      <c r="D125" s="913" t="s">
        <v>2301</v>
      </c>
      <c r="E125" s="883">
        <v>0</v>
      </c>
      <c r="F125" s="883"/>
      <c r="G125" s="860"/>
      <c r="H125" s="862"/>
      <c r="I125" s="861" t="str">
        <f>IF(G125="","",(#REF!/G125)+(#REF!/#REF!))</f>
        <v/>
      </c>
      <c r="J125" s="861" t="str">
        <f>IF(G125="","",I125/12)</f>
        <v/>
      </c>
      <c r="K125" s="840"/>
      <c r="L125" s="840"/>
      <c r="M125" s="840"/>
      <c r="N125" s="840"/>
      <c r="O125" s="840"/>
      <c r="P125" s="840"/>
      <c r="Q125" s="840"/>
      <c r="R125" s="840"/>
      <c r="S125" s="840"/>
      <c r="T125" s="864"/>
      <c r="U125" s="840"/>
      <c r="V125" s="861">
        <f t="shared" ref="V125:AG142" si="39">IFERROR(H125/$E125,0)</f>
        <v>0</v>
      </c>
      <c r="W125" s="861">
        <f t="shared" si="39"/>
        <v>0</v>
      </c>
      <c r="X125" s="861">
        <f t="shared" si="39"/>
        <v>0</v>
      </c>
      <c r="Y125" s="861">
        <f t="shared" si="39"/>
        <v>0</v>
      </c>
      <c r="Z125" s="861">
        <f t="shared" si="39"/>
        <v>0</v>
      </c>
      <c r="AA125" s="861">
        <f t="shared" si="39"/>
        <v>0</v>
      </c>
      <c r="AB125" s="861">
        <f t="shared" si="39"/>
        <v>0</v>
      </c>
      <c r="AC125" s="861">
        <f t="shared" si="39"/>
        <v>0</v>
      </c>
      <c r="AD125" s="861">
        <f t="shared" si="39"/>
        <v>0</v>
      </c>
      <c r="AE125" s="861">
        <f t="shared" si="39"/>
        <v>0</v>
      </c>
      <c r="AF125" s="861">
        <f t="shared" si="39"/>
        <v>0</v>
      </c>
      <c r="AG125" s="861">
        <f t="shared" si="39"/>
        <v>0</v>
      </c>
      <c r="AH125" s="861">
        <f t="shared" ref="AH125:AH156" si="40">AVERAGE(V125:AG125)</f>
        <v>0</v>
      </c>
      <c r="AI125" s="1071"/>
      <c r="AJ125" s="840"/>
      <c r="AK125" s="840"/>
      <c r="AL125" s="840"/>
      <c r="AM125" s="840"/>
      <c r="AN125" s="840"/>
    </row>
    <row r="126" spans="1:40" ht="12" customHeight="1">
      <c r="A126" s="840" t="str">
        <f t="shared" ref="A126:A156" si="41">$A$1&amp;"Rolloff"&amp;C126</f>
        <v>RuralRolloffHAUL15-CP</v>
      </c>
      <c r="B126" s="840">
        <f t="shared" si="38"/>
        <v>1</v>
      </c>
      <c r="C126" s="883" t="s">
        <v>2334</v>
      </c>
      <c r="D126" s="883" t="s">
        <v>2335</v>
      </c>
      <c r="E126" s="883">
        <v>130</v>
      </c>
      <c r="F126" s="883"/>
      <c r="G126" s="860"/>
      <c r="H126" s="861">
        <v>0</v>
      </c>
      <c r="I126" s="861">
        <v>130</v>
      </c>
      <c r="J126" s="861">
        <v>260</v>
      </c>
      <c r="K126" s="861">
        <v>390</v>
      </c>
      <c r="L126" s="861">
        <v>0</v>
      </c>
      <c r="M126" s="861">
        <v>130</v>
      </c>
      <c r="N126" s="861">
        <v>130</v>
      </c>
      <c r="O126" s="861">
        <v>130</v>
      </c>
      <c r="P126" s="861">
        <v>130</v>
      </c>
      <c r="Q126" s="861">
        <v>0</v>
      </c>
      <c r="R126" s="861">
        <v>260</v>
      </c>
      <c r="S126" s="861">
        <v>0</v>
      </c>
      <c r="T126" s="863">
        <f t="shared" ref="T126:T156" si="42">SUM(H126:S126)</f>
        <v>1560</v>
      </c>
      <c r="U126" s="861"/>
      <c r="V126" s="861">
        <f t="shared" si="39"/>
        <v>0</v>
      </c>
      <c r="W126" s="861">
        <f t="shared" si="39"/>
        <v>1</v>
      </c>
      <c r="X126" s="861">
        <f t="shared" si="39"/>
        <v>2</v>
      </c>
      <c r="Y126" s="861">
        <f t="shared" si="39"/>
        <v>3</v>
      </c>
      <c r="Z126" s="861">
        <f t="shared" si="39"/>
        <v>0</v>
      </c>
      <c r="AA126" s="861">
        <f t="shared" si="39"/>
        <v>1</v>
      </c>
      <c r="AB126" s="861">
        <f t="shared" si="39"/>
        <v>1</v>
      </c>
      <c r="AC126" s="861">
        <f t="shared" si="39"/>
        <v>1</v>
      </c>
      <c r="AD126" s="861">
        <f t="shared" si="39"/>
        <v>1</v>
      </c>
      <c r="AE126" s="861">
        <f t="shared" si="39"/>
        <v>0</v>
      </c>
      <c r="AF126" s="861">
        <f t="shared" si="39"/>
        <v>2</v>
      </c>
      <c r="AG126" s="861">
        <f t="shared" si="39"/>
        <v>0</v>
      </c>
      <c r="AH126" s="861">
        <f t="shared" si="40"/>
        <v>1</v>
      </c>
      <c r="AI126" s="1071"/>
      <c r="AJ126" s="840"/>
      <c r="AK126" s="840">
        <v>126</v>
      </c>
      <c r="AL126" s="863">
        <f>+SUM(V126:AG126)</f>
        <v>12</v>
      </c>
      <c r="AM126" s="861">
        <f>+AK126*AL126</f>
        <v>1512</v>
      </c>
      <c r="AN126" s="863">
        <f>+AM126-T126</f>
        <v>-48</v>
      </c>
    </row>
    <row r="127" spans="1:40" ht="12" customHeight="1">
      <c r="A127" s="840" t="str">
        <f t="shared" si="41"/>
        <v>RuralRolloffHAUL20-RO</v>
      </c>
      <c r="B127" s="840">
        <f t="shared" si="38"/>
        <v>1</v>
      </c>
      <c r="C127" s="883" t="s">
        <v>2306</v>
      </c>
      <c r="D127" s="883" t="s">
        <v>2307</v>
      </c>
      <c r="E127" s="883">
        <v>119.75</v>
      </c>
      <c r="F127" s="883"/>
      <c r="G127" s="860"/>
      <c r="H127" s="861">
        <v>598.75</v>
      </c>
      <c r="I127" s="861">
        <v>838.25</v>
      </c>
      <c r="J127" s="861">
        <v>838.25</v>
      </c>
      <c r="K127" s="861">
        <v>598.75</v>
      </c>
      <c r="L127" s="861">
        <v>838.25</v>
      </c>
      <c r="M127" s="861">
        <v>958</v>
      </c>
      <c r="N127" s="861">
        <v>598.75</v>
      </c>
      <c r="O127" s="861">
        <v>958</v>
      </c>
      <c r="P127" s="861">
        <v>838.25</v>
      </c>
      <c r="Q127" s="861">
        <v>479</v>
      </c>
      <c r="R127" s="861">
        <v>359.25</v>
      </c>
      <c r="S127" s="861">
        <v>479</v>
      </c>
      <c r="T127" s="863">
        <f t="shared" si="42"/>
        <v>8382.5</v>
      </c>
      <c r="U127" s="861"/>
      <c r="V127" s="861">
        <f t="shared" si="39"/>
        <v>5</v>
      </c>
      <c r="W127" s="861">
        <f t="shared" si="39"/>
        <v>7</v>
      </c>
      <c r="X127" s="861">
        <f t="shared" si="39"/>
        <v>7</v>
      </c>
      <c r="Y127" s="861">
        <f t="shared" si="39"/>
        <v>5</v>
      </c>
      <c r="Z127" s="861">
        <f t="shared" si="39"/>
        <v>7</v>
      </c>
      <c r="AA127" s="861">
        <f t="shared" si="39"/>
        <v>8</v>
      </c>
      <c r="AB127" s="861">
        <f t="shared" si="39"/>
        <v>5</v>
      </c>
      <c r="AC127" s="861">
        <f t="shared" si="39"/>
        <v>8</v>
      </c>
      <c r="AD127" s="861">
        <f t="shared" si="39"/>
        <v>7</v>
      </c>
      <c r="AE127" s="861">
        <f t="shared" si="39"/>
        <v>4</v>
      </c>
      <c r="AF127" s="861">
        <f t="shared" si="39"/>
        <v>3</v>
      </c>
      <c r="AG127" s="861">
        <f t="shared" si="39"/>
        <v>4</v>
      </c>
      <c r="AH127" s="861">
        <f t="shared" si="40"/>
        <v>5.833333333333333</v>
      </c>
      <c r="AI127" s="1071"/>
      <c r="AJ127" s="840"/>
      <c r="AK127" s="840">
        <v>109</v>
      </c>
      <c r="AL127" s="863">
        <f t="shared" ref="AL127:AL156" si="43">+SUM(V127:AG127)</f>
        <v>70</v>
      </c>
      <c r="AM127" s="861">
        <f t="shared" ref="AM127:AM156" si="44">+AK127*AL127</f>
        <v>7630</v>
      </c>
      <c r="AN127" s="863">
        <f t="shared" ref="AN127:AN156" si="45">+AM127-T127</f>
        <v>-752.5</v>
      </c>
    </row>
    <row r="128" spans="1:40" ht="12" customHeight="1">
      <c r="A128" s="840" t="str">
        <f t="shared" si="41"/>
        <v>RuralRolloffFINAL20-RO</v>
      </c>
      <c r="B128" s="840">
        <f t="shared" si="38"/>
        <v>1</v>
      </c>
      <c r="C128" s="883" t="s">
        <v>2308</v>
      </c>
      <c r="D128" s="883" t="s">
        <v>2309</v>
      </c>
      <c r="E128" s="883">
        <v>119.75</v>
      </c>
      <c r="F128" s="883"/>
      <c r="G128" s="860"/>
      <c r="H128" s="861">
        <v>0</v>
      </c>
      <c r="I128" s="861">
        <v>0</v>
      </c>
      <c r="J128" s="861">
        <v>119.75</v>
      </c>
      <c r="K128" s="861">
        <v>0</v>
      </c>
      <c r="L128" s="861">
        <v>0</v>
      </c>
      <c r="M128" s="861">
        <v>0</v>
      </c>
      <c r="N128" s="861">
        <v>0</v>
      </c>
      <c r="O128" s="861">
        <v>0</v>
      </c>
      <c r="P128" s="861">
        <v>0</v>
      </c>
      <c r="Q128" s="861">
        <v>0</v>
      </c>
      <c r="R128" s="861">
        <v>0</v>
      </c>
      <c r="S128" s="861">
        <v>119.75</v>
      </c>
      <c r="T128" s="863">
        <f t="shared" si="42"/>
        <v>239.5</v>
      </c>
      <c r="U128" s="861"/>
      <c r="V128" s="861">
        <f t="shared" si="39"/>
        <v>0</v>
      </c>
      <c r="W128" s="861">
        <f t="shared" si="39"/>
        <v>0</v>
      </c>
      <c r="X128" s="861">
        <f t="shared" si="39"/>
        <v>1</v>
      </c>
      <c r="Y128" s="861">
        <f t="shared" si="39"/>
        <v>0</v>
      </c>
      <c r="Z128" s="861">
        <f t="shared" si="39"/>
        <v>0</v>
      </c>
      <c r="AA128" s="861">
        <f t="shared" si="39"/>
        <v>0</v>
      </c>
      <c r="AB128" s="861">
        <f t="shared" si="39"/>
        <v>0</v>
      </c>
      <c r="AC128" s="861">
        <f t="shared" si="39"/>
        <v>0</v>
      </c>
      <c r="AD128" s="861">
        <f t="shared" si="39"/>
        <v>0</v>
      </c>
      <c r="AE128" s="861">
        <f t="shared" si="39"/>
        <v>0</v>
      </c>
      <c r="AF128" s="861">
        <f t="shared" si="39"/>
        <v>0</v>
      </c>
      <c r="AG128" s="861">
        <f t="shared" si="39"/>
        <v>1</v>
      </c>
      <c r="AH128" s="861">
        <f t="shared" si="40"/>
        <v>0.16666666666666666</v>
      </c>
      <c r="AI128" s="1071"/>
      <c r="AJ128" s="840"/>
      <c r="AK128" s="840">
        <v>109</v>
      </c>
      <c r="AL128" s="863">
        <f t="shared" si="43"/>
        <v>2</v>
      </c>
      <c r="AM128" s="861">
        <f t="shared" si="44"/>
        <v>218</v>
      </c>
      <c r="AN128" s="863">
        <f t="shared" si="45"/>
        <v>-21.5</v>
      </c>
    </row>
    <row r="129" spans="1:40" ht="12" customHeight="1">
      <c r="A129" s="840" t="str">
        <f t="shared" si="41"/>
        <v>RuralRolloffHAUL20-CP</v>
      </c>
      <c r="B129" s="840">
        <f t="shared" si="38"/>
        <v>1</v>
      </c>
      <c r="C129" s="883" t="s">
        <v>2336</v>
      </c>
      <c r="D129" s="883" t="s">
        <v>2337</v>
      </c>
      <c r="E129" s="883">
        <v>161.80000000000001</v>
      </c>
      <c r="F129" s="883"/>
      <c r="G129" s="860"/>
      <c r="H129" s="861">
        <v>323.60000000000002</v>
      </c>
      <c r="I129" s="861">
        <v>323.60000000000002</v>
      </c>
      <c r="J129" s="861">
        <v>323.60000000000002</v>
      </c>
      <c r="K129" s="861">
        <v>485.4</v>
      </c>
      <c r="L129" s="861">
        <v>323.60000000000002</v>
      </c>
      <c r="M129" s="861">
        <v>161.80000000000001</v>
      </c>
      <c r="N129" s="861">
        <v>0</v>
      </c>
      <c r="O129" s="861">
        <v>0</v>
      </c>
      <c r="P129" s="861">
        <v>0</v>
      </c>
      <c r="Q129" s="861">
        <v>0</v>
      </c>
      <c r="R129" s="861">
        <v>0</v>
      </c>
      <c r="S129" s="861">
        <v>0</v>
      </c>
      <c r="T129" s="863">
        <f t="shared" si="42"/>
        <v>1941.6000000000001</v>
      </c>
      <c r="U129" s="861"/>
      <c r="V129" s="861">
        <f t="shared" si="39"/>
        <v>2</v>
      </c>
      <c r="W129" s="861">
        <f t="shared" si="39"/>
        <v>2</v>
      </c>
      <c r="X129" s="861">
        <f t="shared" si="39"/>
        <v>2</v>
      </c>
      <c r="Y129" s="861">
        <f t="shared" si="39"/>
        <v>2.9999999999999996</v>
      </c>
      <c r="Z129" s="861">
        <f t="shared" si="39"/>
        <v>2</v>
      </c>
      <c r="AA129" s="861">
        <f t="shared" si="39"/>
        <v>1</v>
      </c>
      <c r="AB129" s="861">
        <f t="shared" si="39"/>
        <v>0</v>
      </c>
      <c r="AC129" s="861">
        <f t="shared" si="39"/>
        <v>0</v>
      </c>
      <c r="AD129" s="861">
        <f t="shared" si="39"/>
        <v>0</v>
      </c>
      <c r="AE129" s="861">
        <f t="shared" si="39"/>
        <v>0</v>
      </c>
      <c r="AF129" s="861">
        <f t="shared" si="39"/>
        <v>0</v>
      </c>
      <c r="AG129" s="861">
        <f t="shared" si="39"/>
        <v>0</v>
      </c>
      <c r="AH129" s="861">
        <f t="shared" si="40"/>
        <v>1</v>
      </c>
      <c r="AI129" s="1071"/>
      <c r="AJ129" s="840"/>
      <c r="AK129" s="840">
        <v>145</v>
      </c>
      <c r="AL129" s="863">
        <f t="shared" si="43"/>
        <v>12</v>
      </c>
      <c r="AM129" s="861">
        <f t="shared" si="44"/>
        <v>1740</v>
      </c>
      <c r="AN129" s="863">
        <f t="shared" si="45"/>
        <v>-201.60000000000014</v>
      </c>
    </row>
    <row r="130" spans="1:40" ht="12" customHeight="1">
      <c r="A130" s="840" t="str">
        <f t="shared" si="41"/>
        <v>RuralRolloffHAUL25-CP</v>
      </c>
      <c r="B130" s="840">
        <f t="shared" si="38"/>
        <v>1</v>
      </c>
      <c r="C130" s="883" t="s">
        <v>2338</v>
      </c>
      <c r="D130" s="883" t="s">
        <v>2339</v>
      </c>
      <c r="E130" s="883">
        <v>186.1</v>
      </c>
      <c r="F130" s="883"/>
      <c r="G130" s="860"/>
      <c r="H130" s="861">
        <v>3163.7</v>
      </c>
      <c r="I130" s="861">
        <v>2605.4</v>
      </c>
      <c r="J130" s="861">
        <v>2977.6</v>
      </c>
      <c r="K130" s="861">
        <v>2791.5</v>
      </c>
      <c r="L130" s="861">
        <v>2605.4</v>
      </c>
      <c r="M130" s="861">
        <v>3163.7</v>
      </c>
      <c r="N130" s="861">
        <v>2791.5</v>
      </c>
      <c r="O130" s="861">
        <v>2791.5</v>
      </c>
      <c r="P130" s="861">
        <v>2419.3000000000002</v>
      </c>
      <c r="Q130" s="861">
        <v>2605.4</v>
      </c>
      <c r="R130" s="861">
        <v>2605.4</v>
      </c>
      <c r="S130" s="861">
        <v>2977.6</v>
      </c>
      <c r="T130" s="863">
        <f t="shared" si="42"/>
        <v>33498</v>
      </c>
      <c r="U130" s="861"/>
      <c r="V130" s="861">
        <f t="shared" si="39"/>
        <v>17</v>
      </c>
      <c r="W130" s="861">
        <f t="shared" si="39"/>
        <v>14.000000000000002</v>
      </c>
      <c r="X130" s="861">
        <f t="shared" si="39"/>
        <v>16</v>
      </c>
      <c r="Y130" s="861">
        <f t="shared" si="39"/>
        <v>15</v>
      </c>
      <c r="Z130" s="861">
        <f t="shared" si="39"/>
        <v>14.000000000000002</v>
      </c>
      <c r="AA130" s="861">
        <f t="shared" si="39"/>
        <v>17</v>
      </c>
      <c r="AB130" s="861">
        <f t="shared" si="39"/>
        <v>15</v>
      </c>
      <c r="AC130" s="861">
        <f t="shared" si="39"/>
        <v>15</v>
      </c>
      <c r="AD130" s="861">
        <f t="shared" si="39"/>
        <v>13.000000000000002</v>
      </c>
      <c r="AE130" s="861">
        <f t="shared" si="39"/>
        <v>14.000000000000002</v>
      </c>
      <c r="AF130" s="861">
        <f t="shared" si="39"/>
        <v>14.000000000000002</v>
      </c>
      <c r="AG130" s="861">
        <f t="shared" si="39"/>
        <v>16</v>
      </c>
      <c r="AH130" s="861">
        <f t="shared" si="40"/>
        <v>15</v>
      </c>
      <c r="AI130" s="1071"/>
      <c r="AJ130" s="840"/>
      <c r="AK130" s="840">
        <v>165</v>
      </c>
      <c r="AL130" s="863">
        <f t="shared" si="43"/>
        <v>180</v>
      </c>
      <c r="AM130" s="861">
        <f t="shared" si="44"/>
        <v>29700</v>
      </c>
      <c r="AN130" s="863">
        <f t="shared" si="45"/>
        <v>-3798</v>
      </c>
    </row>
    <row r="131" spans="1:40" ht="12" customHeight="1">
      <c r="A131" s="840" t="str">
        <f t="shared" si="41"/>
        <v>RuralRolloffHAUL30-CP</v>
      </c>
      <c r="B131" s="840">
        <f t="shared" si="38"/>
        <v>1</v>
      </c>
      <c r="C131" s="883" t="s">
        <v>2340</v>
      </c>
      <c r="D131" s="883" t="s">
        <v>2341</v>
      </c>
      <c r="E131" s="883">
        <v>194.15</v>
      </c>
      <c r="F131" s="883"/>
      <c r="G131" s="860"/>
      <c r="H131" s="861">
        <v>0</v>
      </c>
      <c r="I131" s="861">
        <v>0</v>
      </c>
      <c r="J131" s="861">
        <v>0</v>
      </c>
      <c r="K131" s="861">
        <v>0</v>
      </c>
      <c r="L131" s="861">
        <v>0</v>
      </c>
      <c r="M131" s="861">
        <v>194.15</v>
      </c>
      <c r="N131" s="861">
        <v>194.15</v>
      </c>
      <c r="O131" s="861">
        <v>388.3</v>
      </c>
      <c r="P131" s="861">
        <v>582.45000000000005</v>
      </c>
      <c r="Q131" s="861">
        <v>388.3</v>
      </c>
      <c r="R131" s="861">
        <v>388.3</v>
      </c>
      <c r="S131" s="861">
        <v>388.3</v>
      </c>
      <c r="T131" s="863">
        <f t="shared" si="42"/>
        <v>2523.9500000000003</v>
      </c>
      <c r="U131" s="861"/>
      <c r="V131" s="861">
        <f t="shared" si="39"/>
        <v>0</v>
      </c>
      <c r="W131" s="861">
        <f t="shared" si="39"/>
        <v>0</v>
      </c>
      <c r="X131" s="861">
        <f t="shared" si="39"/>
        <v>0</v>
      </c>
      <c r="Y131" s="861">
        <f t="shared" si="39"/>
        <v>0</v>
      </c>
      <c r="Z131" s="861">
        <f t="shared" si="39"/>
        <v>0</v>
      </c>
      <c r="AA131" s="861">
        <f t="shared" si="39"/>
        <v>1</v>
      </c>
      <c r="AB131" s="861">
        <f t="shared" si="39"/>
        <v>1</v>
      </c>
      <c r="AC131" s="861">
        <f t="shared" si="39"/>
        <v>2</v>
      </c>
      <c r="AD131" s="861">
        <f t="shared" si="39"/>
        <v>3</v>
      </c>
      <c r="AE131" s="861">
        <f t="shared" si="39"/>
        <v>2</v>
      </c>
      <c r="AF131" s="861">
        <f t="shared" si="39"/>
        <v>2</v>
      </c>
      <c r="AG131" s="861">
        <f t="shared" si="39"/>
        <v>2</v>
      </c>
      <c r="AH131" s="861">
        <f t="shared" si="40"/>
        <v>1.0833333333333333</v>
      </c>
      <c r="AI131" s="1071"/>
      <c r="AJ131" s="840"/>
      <c r="AK131" s="840">
        <v>180</v>
      </c>
      <c r="AL131" s="863">
        <f t="shared" si="43"/>
        <v>13</v>
      </c>
      <c r="AM131" s="861">
        <f t="shared" si="44"/>
        <v>2340</v>
      </c>
      <c r="AN131" s="863">
        <f t="shared" si="45"/>
        <v>-183.95000000000027</v>
      </c>
    </row>
    <row r="132" spans="1:40" ht="12" customHeight="1">
      <c r="A132" s="840" t="str">
        <f t="shared" si="41"/>
        <v>RuralRolloffHAUL30-RO</v>
      </c>
      <c r="B132" s="840">
        <f t="shared" si="38"/>
        <v>1</v>
      </c>
      <c r="C132" s="883" t="s">
        <v>2310</v>
      </c>
      <c r="D132" s="883" t="s">
        <v>2311</v>
      </c>
      <c r="E132" s="883">
        <v>134.30000000000001</v>
      </c>
      <c r="F132" s="883"/>
      <c r="G132" s="860"/>
      <c r="H132" s="861">
        <v>805.8</v>
      </c>
      <c r="I132" s="861">
        <v>671.5</v>
      </c>
      <c r="J132" s="861">
        <v>805.8</v>
      </c>
      <c r="K132" s="861">
        <v>940.1</v>
      </c>
      <c r="L132" s="861">
        <v>1074.4000000000001</v>
      </c>
      <c r="M132" s="861">
        <v>537.20000000000005</v>
      </c>
      <c r="N132" s="861">
        <v>402.9</v>
      </c>
      <c r="O132" s="861">
        <v>671.5</v>
      </c>
      <c r="P132" s="861">
        <v>805.8</v>
      </c>
      <c r="Q132" s="861">
        <v>268.60000000000002</v>
      </c>
      <c r="R132" s="861">
        <v>940.1</v>
      </c>
      <c r="S132" s="861">
        <v>940.1</v>
      </c>
      <c r="T132" s="863">
        <f t="shared" si="42"/>
        <v>8863.8000000000011</v>
      </c>
      <c r="U132" s="861"/>
      <c r="V132" s="861">
        <f t="shared" si="39"/>
        <v>5.9999999999999991</v>
      </c>
      <c r="W132" s="861">
        <f t="shared" si="39"/>
        <v>5</v>
      </c>
      <c r="X132" s="861">
        <f t="shared" si="39"/>
        <v>5.9999999999999991</v>
      </c>
      <c r="Y132" s="861">
        <f t="shared" si="39"/>
        <v>7</v>
      </c>
      <c r="Z132" s="861">
        <f t="shared" si="39"/>
        <v>8</v>
      </c>
      <c r="AA132" s="861">
        <f t="shared" si="39"/>
        <v>4</v>
      </c>
      <c r="AB132" s="861">
        <f t="shared" si="39"/>
        <v>2.9999999999999996</v>
      </c>
      <c r="AC132" s="861">
        <f t="shared" si="39"/>
        <v>5</v>
      </c>
      <c r="AD132" s="861">
        <f t="shared" si="39"/>
        <v>5.9999999999999991</v>
      </c>
      <c r="AE132" s="861">
        <f t="shared" si="39"/>
        <v>2</v>
      </c>
      <c r="AF132" s="861">
        <f t="shared" si="39"/>
        <v>7</v>
      </c>
      <c r="AG132" s="861">
        <f t="shared" si="39"/>
        <v>7</v>
      </c>
      <c r="AH132" s="861">
        <f t="shared" si="40"/>
        <v>5.5</v>
      </c>
      <c r="AI132" s="1071"/>
      <c r="AJ132" s="840"/>
      <c r="AK132" s="840">
        <v>117</v>
      </c>
      <c r="AL132" s="863">
        <f t="shared" si="43"/>
        <v>66</v>
      </c>
      <c r="AM132" s="861">
        <f t="shared" si="44"/>
        <v>7722</v>
      </c>
      <c r="AN132" s="863">
        <f t="shared" si="45"/>
        <v>-1141.8000000000011</v>
      </c>
    </row>
    <row r="133" spans="1:40" ht="12" customHeight="1">
      <c r="A133" s="840" t="str">
        <f t="shared" si="41"/>
        <v>RuralRolloffFINAL30-RO</v>
      </c>
      <c r="B133" s="840">
        <f t="shared" si="38"/>
        <v>1</v>
      </c>
      <c r="C133" s="1073" t="s">
        <v>2312</v>
      </c>
      <c r="D133" s="883" t="s">
        <v>2313</v>
      </c>
      <c r="E133" s="883">
        <v>134.30000000000001</v>
      </c>
      <c r="F133" s="883"/>
      <c r="G133" s="860"/>
      <c r="H133" s="861">
        <v>0</v>
      </c>
      <c r="I133" s="861">
        <v>0</v>
      </c>
      <c r="J133" s="861">
        <v>0</v>
      </c>
      <c r="K133" s="861">
        <v>0</v>
      </c>
      <c r="L133" s="861">
        <v>0</v>
      </c>
      <c r="M133" s="861">
        <v>0</v>
      </c>
      <c r="N133" s="861">
        <v>268.60000000000002</v>
      </c>
      <c r="O133" s="861">
        <v>0</v>
      </c>
      <c r="P133" s="861">
        <v>0</v>
      </c>
      <c r="Q133" s="861">
        <v>0</v>
      </c>
      <c r="R133" s="861">
        <v>0</v>
      </c>
      <c r="S133" s="861">
        <v>0</v>
      </c>
      <c r="T133" s="863">
        <f t="shared" si="42"/>
        <v>268.60000000000002</v>
      </c>
      <c r="U133" s="861"/>
      <c r="V133" s="861">
        <f t="shared" si="39"/>
        <v>0</v>
      </c>
      <c r="W133" s="861">
        <f t="shared" si="39"/>
        <v>0</v>
      </c>
      <c r="X133" s="861">
        <f t="shared" si="39"/>
        <v>0</v>
      </c>
      <c r="Y133" s="861">
        <f t="shared" si="39"/>
        <v>0</v>
      </c>
      <c r="Z133" s="861">
        <f t="shared" si="39"/>
        <v>0</v>
      </c>
      <c r="AA133" s="861">
        <f t="shared" si="39"/>
        <v>0</v>
      </c>
      <c r="AB133" s="861">
        <f t="shared" si="39"/>
        <v>2</v>
      </c>
      <c r="AC133" s="861">
        <f t="shared" si="39"/>
        <v>0</v>
      </c>
      <c r="AD133" s="861">
        <f t="shared" si="39"/>
        <v>0</v>
      </c>
      <c r="AE133" s="861">
        <f t="shared" si="39"/>
        <v>0</v>
      </c>
      <c r="AF133" s="861">
        <f t="shared" si="39"/>
        <v>0</v>
      </c>
      <c r="AG133" s="861">
        <f t="shared" si="39"/>
        <v>0</v>
      </c>
      <c r="AH133" s="861">
        <f t="shared" si="40"/>
        <v>0.16666666666666666</v>
      </c>
      <c r="AI133" s="1071"/>
      <c r="AJ133" s="840"/>
      <c r="AK133" s="840">
        <v>117</v>
      </c>
      <c r="AL133" s="863">
        <f t="shared" si="43"/>
        <v>2</v>
      </c>
      <c r="AM133" s="861">
        <f t="shared" si="44"/>
        <v>234</v>
      </c>
      <c r="AN133" s="863">
        <f t="shared" si="45"/>
        <v>-34.600000000000023</v>
      </c>
    </row>
    <row r="134" spans="1:40" ht="12" customHeight="1">
      <c r="A134" s="840" t="str">
        <f t="shared" si="41"/>
        <v>RuralRolloffFINAL40-RO</v>
      </c>
      <c r="B134" s="840">
        <f t="shared" si="38"/>
        <v>1</v>
      </c>
      <c r="C134" s="1073" t="s">
        <v>2316</v>
      </c>
      <c r="D134" s="883" t="s">
        <v>2317</v>
      </c>
      <c r="E134" s="883">
        <v>148.85</v>
      </c>
      <c r="F134" s="883"/>
      <c r="G134" s="860"/>
      <c r="H134" s="861">
        <v>0</v>
      </c>
      <c r="I134" s="861">
        <v>0</v>
      </c>
      <c r="J134" s="861">
        <v>0</v>
      </c>
      <c r="K134" s="861">
        <v>0</v>
      </c>
      <c r="L134" s="861">
        <v>148.85</v>
      </c>
      <c r="M134" s="861">
        <v>0</v>
      </c>
      <c r="N134" s="861">
        <v>0</v>
      </c>
      <c r="O134" s="861">
        <v>0</v>
      </c>
      <c r="P134" s="861">
        <v>0</v>
      </c>
      <c r="Q134" s="861">
        <v>0</v>
      </c>
      <c r="R134" s="861">
        <v>148.85</v>
      </c>
      <c r="S134" s="861">
        <v>0</v>
      </c>
      <c r="T134" s="863">
        <f t="shared" si="42"/>
        <v>297.7</v>
      </c>
      <c r="U134" s="861"/>
      <c r="V134" s="861">
        <f t="shared" si="39"/>
        <v>0</v>
      </c>
      <c r="W134" s="861">
        <f t="shared" si="39"/>
        <v>0</v>
      </c>
      <c r="X134" s="861">
        <f t="shared" si="39"/>
        <v>0</v>
      </c>
      <c r="Y134" s="861">
        <f t="shared" si="39"/>
        <v>0</v>
      </c>
      <c r="Z134" s="861">
        <f t="shared" si="39"/>
        <v>1</v>
      </c>
      <c r="AA134" s="861">
        <f t="shared" si="39"/>
        <v>0</v>
      </c>
      <c r="AB134" s="861">
        <f t="shared" si="39"/>
        <v>0</v>
      </c>
      <c r="AC134" s="861">
        <f t="shared" si="39"/>
        <v>0</v>
      </c>
      <c r="AD134" s="861">
        <f t="shared" si="39"/>
        <v>0</v>
      </c>
      <c r="AE134" s="861">
        <f t="shared" si="39"/>
        <v>0</v>
      </c>
      <c r="AF134" s="861">
        <f t="shared" si="39"/>
        <v>1</v>
      </c>
      <c r="AG134" s="861">
        <f t="shared" si="39"/>
        <v>0</v>
      </c>
      <c r="AH134" s="861">
        <f t="shared" si="40"/>
        <v>0.16666666666666666</v>
      </c>
      <c r="AI134" s="1071"/>
      <c r="AJ134" s="840"/>
      <c r="AK134" s="840">
        <v>128</v>
      </c>
      <c r="AL134" s="863">
        <f t="shared" si="43"/>
        <v>2</v>
      </c>
      <c r="AM134" s="861">
        <f t="shared" si="44"/>
        <v>256</v>
      </c>
      <c r="AN134" s="863">
        <f t="shared" si="45"/>
        <v>-41.699999999999989</v>
      </c>
    </row>
    <row r="135" spans="1:40" ht="12" customHeight="1">
      <c r="A135" s="840" t="str">
        <f t="shared" si="41"/>
        <v>RuralRolloffHAUL20TEMP-RO</v>
      </c>
      <c r="B135" s="840">
        <f t="shared" si="38"/>
        <v>1</v>
      </c>
      <c r="C135" s="883" t="s">
        <v>2322</v>
      </c>
      <c r="D135" s="883" t="s">
        <v>2323</v>
      </c>
      <c r="E135" s="883">
        <v>129.5</v>
      </c>
      <c r="F135" s="883"/>
      <c r="G135" s="860"/>
      <c r="H135" s="861">
        <v>129.5</v>
      </c>
      <c r="I135" s="861">
        <v>129.5</v>
      </c>
      <c r="J135" s="861">
        <v>129.5</v>
      </c>
      <c r="K135" s="861">
        <v>129.5</v>
      </c>
      <c r="L135" s="861">
        <v>0</v>
      </c>
      <c r="M135" s="861">
        <v>0</v>
      </c>
      <c r="N135" s="861">
        <v>129.5</v>
      </c>
      <c r="O135" s="861">
        <v>129.5</v>
      </c>
      <c r="P135" s="861">
        <v>0</v>
      </c>
      <c r="Q135" s="861">
        <v>129.5</v>
      </c>
      <c r="R135" s="861">
        <v>1295</v>
      </c>
      <c r="S135" s="861">
        <v>129.5</v>
      </c>
      <c r="T135" s="863">
        <f t="shared" si="42"/>
        <v>2331</v>
      </c>
      <c r="U135" s="861"/>
      <c r="V135" s="861">
        <f t="shared" si="39"/>
        <v>1</v>
      </c>
      <c r="W135" s="861">
        <f t="shared" si="39"/>
        <v>1</v>
      </c>
      <c r="X135" s="861">
        <f t="shared" si="39"/>
        <v>1</v>
      </c>
      <c r="Y135" s="861">
        <f t="shared" si="39"/>
        <v>1</v>
      </c>
      <c r="Z135" s="861">
        <f t="shared" si="39"/>
        <v>0</v>
      </c>
      <c r="AA135" s="861">
        <f t="shared" si="39"/>
        <v>0</v>
      </c>
      <c r="AB135" s="861">
        <f t="shared" si="39"/>
        <v>1</v>
      </c>
      <c r="AC135" s="861">
        <f t="shared" si="39"/>
        <v>1</v>
      </c>
      <c r="AD135" s="861">
        <f t="shared" si="39"/>
        <v>0</v>
      </c>
      <c r="AE135" s="861">
        <f t="shared" si="39"/>
        <v>1</v>
      </c>
      <c r="AF135" s="861">
        <f t="shared" si="39"/>
        <v>10</v>
      </c>
      <c r="AG135" s="861">
        <f t="shared" si="39"/>
        <v>1</v>
      </c>
      <c r="AH135" s="861">
        <f t="shared" si="40"/>
        <v>1.5</v>
      </c>
      <c r="AI135" s="1071"/>
      <c r="AJ135" s="840"/>
      <c r="AK135" s="840">
        <v>109</v>
      </c>
      <c r="AL135" s="863">
        <f t="shared" si="43"/>
        <v>18</v>
      </c>
      <c r="AM135" s="861">
        <f t="shared" si="44"/>
        <v>1962</v>
      </c>
      <c r="AN135" s="863">
        <f t="shared" si="45"/>
        <v>-369</v>
      </c>
    </row>
    <row r="136" spans="1:40" ht="12" customHeight="1">
      <c r="A136" s="840" t="str">
        <f t="shared" si="41"/>
        <v>RuralRolloffFINAL20TEMP-RO</v>
      </c>
      <c r="B136" s="840">
        <f t="shared" si="38"/>
        <v>1</v>
      </c>
      <c r="C136" s="883" t="s">
        <v>2324</v>
      </c>
      <c r="D136" s="883" t="s">
        <v>2325</v>
      </c>
      <c r="E136" s="883">
        <v>129.5</v>
      </c>
      <c r="F136" s="883"/>
      <c r="G136" s="860"/>
      <c r="H136" s="861">
        <v>388.5</v>
      </c>
      <c r="I136" s="861">
        <v>0</v>
      </c>
      <c r="J136" s="861">
        <v>777</v>
      </c>
      <c r="K136" s="861">
        <v>388.5</v>
      </c>
      <c r="L136" s="861">
        <v>259</v>
      </c>
      <c r="M136" s="861">
        <v>388.5</v>
      </c>
      <c r="N136" s="861">
        <v>518</v>
      </c>
      <c r="O136" s="861">
        <v>129.5</v>
      </c>
      <c r="P136" s="861">
        <v>259</v>
      </c>
      <c r="Q136" s="861">
        <v>0</v>
      </c>
      <c r="R136" s="861">
        <v>647.5</v>
      </c>
      <c r="S136" s="861">
        <v>388.5</v>
      </c>
      <c r="T136" s="863">
        <f t="shared" si="42"/>
        <v>4144</v>
      </c>
      <c r="U136" s="861"/>
      <c r="V136" s="861">
        <f t="shared" si="39"/>
        <v>3</v>
      </c>
      <c r="W136" s="861">
        <f t="shared" si="39"/>
        <v>0</v>
      </c>
      <c r="X136" s="861">
        <f t="shared" si="39"/>
        <v>6</v>
      </c>
      <c r="Y136" s="861">
        <f t="shared" si="39"/>
        <v>3</v>
      </c>
      <c r="Z136" s="861">
        <f t="shared" si="39"/>
        <v>2</v>
      </c>
      <c r="AA136" s="861">
        <f t="shared" si="39"/>
        <v>3</v>
      </c>
      <c r="AB136" s="861">
        <f t="shared" si="39"/>
        <v>4</v>
      </c>
      <c r="AC136" s="861">
        <f t="shared" si="39"/>
        <v>1</v>
      </c>
      <c r="AD136" s="861">
        <f t="shared" si="39"/>
        <v>2</v>
      </c>
      <c r="AE136" s="861">
        <f t="shared" si="39"/>
        <v>0</v>
      </c>
      <c r="AF136" s="861">
        <f t="shared" si="39"/>
        <v>5</v>
      </c>
      <c r="AG136" s="861">
        <f t="shared" si="39"/>
        <v>3</v>
      </c>
      <c r="AH136" s="861">
        <f t="shared" si="40"/>
        <v>2.6666666666666665</v>
      </c>
      <c r="AI136" s="1071"/>
      <c r="AJ136" s="840"/>
      <c r="AK136" s="840">
        <v>109</v>
      </c>
      <c r="AL136" s="863">
        <f t="shared" si="43"/>
        <v>32</v>
      </c>
      <c r="AM136" s="861">
        <f t="shared" si="44"/>
        <v>3488</v>
      </c>
      <c r="AN136" s="863">
        <f t="shared" si="45"/>
        <v>-656</v>
      </c>
    </row>
    <row r="137" spans="1:40" ht="12" customHeight="1">
      <c r="A137" s="840" t="str">
        <f t="shared" si="41"/>
        <v>RuralRolloffHAUL30TEMP-RO</v>
      </c>
      <c r="B137" s="840">
        <f t="shared" si="38"/>
        <v>1</v>
      </c>
      <c r="C137" s="883" t="s">
        <v>2326</v>
      </c>
      <c r="D137" s="883" t="s">
        <v>2327</v>
      </c>
      <c r="E137" s="883">
        <v>147.25</v>
      </c>
      <c r="F137" s="883"/>
      <c r="G137" s="860"/>
      <c r="H137" s="861">
        <v>0</v>
      </c>
      <c r="I137" s="861">
        <v>147.25</v>
      </c>
      <c r="J137" s="861">
        <v>147.25</v>
      </c>
      <c r="K137" s="861">
        <v>294.5</v>
      </c>
      <c r="L137" s="861">
        <v>0</v>
      </c>
      <c r="M137" s="861">
        <v>736.25</v>
      </c>
      <c r="N137" s="861">
        <v>0</v>
      </c>
      <c r="O137" s="861">
        <v>1767</v>
      </c>
      <c r="P137" s="861">
        <v>441.75</v>
      </c>
      <c r="Q137" s="861">
        <v>736.25</v>
      </c>
      <c r="R137" s="861">
        <v>883.5</v>
      </c>
      <c r="S137" s="861">
        <v>883.5</v>
      </c>
      <c r="T137" s="863">
        <f t="shared" si="42"/>
        <v>6037.25</v>
      </c>
      <c r="U137" s="861"/>
      <c r="V137" s="861">
        <f t="shared" si="39"/>
        <v>0</v>
      </c>
      <c r="W137" s="861">
        <f t="shared" si="39"/>
        <v>1</v>
      </c>
      <c r="X137" s="861">
        <f t="shared" si="39"/>
        <v>1</v>
      </c>
      <c r="Y137" s="861">
        <f t="shared" si="39"/>
        <v>2</v>
      </c>
      <c r="Z137" s="861">
        <f t="shared" si="39"/>
        <v>0</v>
      </c>
      <c r="AA137" s="861">
        <f t="shared" si="39"/>
        <v>5</v>
      </c>
      <c r="AB137" s="861">
        <f t="shared" si="39"/>
        <v>0</v>
      </c>
      <c r="AC137" s="861">
        <f t="shared" si="39"/>
        <v>12</v>
      </c>
      <c r="AD137" s="861">
        <f t="shared" si="39"/>
        <v>3</v>
      </c>
      <c r="AE137" s="861">
        <f t="shared" si="39"/>
        <v>5</v>
      </c>
      <c r="AF137" s="861">
        <f t="shared" si="39"/>
        <v>6</v>
      </c>
      <c r="AG137" s="861">
        <f t="shared" si="39"/>
        <v>6</v>
      </c>
      <c r="AH137" s="861">
        <f t="shared" si="40"/>
        <v>3.4166666666666665</v>
      </c>
      <c r="AI137" s="1071"/>
      <c r="AJ137" s="840"/>
      <c r="AK137" s="840">
        <v>117</v>
      </c>
      <c r="AL137" s="863">
        <f t="shared" si="43"/>
        <v>41</v>
      </c>
      <c r="AM137" s="861">
        <f t="shared" si="44"/>
        <v>4797</v>
      </c>
      <c r="AN137" s="863">
        <f t="shared" si="45"/>
        <v>-1240.25</v>
      </c>
    </row>
    <row r="138" spans="1:40" ht="12" customHeight="1">
      <c r="A138" s="840" t="str">
        <f t="shared" si="41"/>
        <v>RuralRolloffFINAL30TEMP-RO</v>
      </c>
      <c r="B138" s="840">
        <f t="shared" si="38"/>
        <v>1</v>
      </c>
      <c r="C138" s="883" t="s">
        <v>2328</v>
      </c>
      <c r="D138" s="883" t="s">
        <v>2329</v>
      </c>
      <c r="E138" s="883">
        <v>147.25</v>
      </c>
      <c r="F138" s="883"/>
      <c r="G138" s="860"/>
      <c r="H138" s="861">
        <v>589</v>
      </c>
      <c r="I138" s="861">
        <v>294.5</v>
      </c>
      <c r="J138" s="861">
        <v>589</v>
      </c>
      <c r="K138" s="861">
        <v>589</v>
      </c>
      <c r="L138" s="861">
        <v>294.5</v>
      </c>
      <c r="M138" s="861">
        <v>147.25</v>
      </c>
      <c r="N138" s="861">
        <v>441.75</v>
      </c>
      <c r="O138" s="861">
        <v>147.25</v>
      </c>
      <c r="P138" s="861">
        <v>589</v>
      </c>
      <c r="Q138" s="861">
        <v>147.25</v>
      </c>
      <c r="R138" s="861">
        <v>441.75</v>
      </c>
      <c r="S138" s="861">
        <v>589</v>
      </c>
      <c r="T138" s="863">
        <f t="shared" si="42"/>
        <v>4859.25</v>
      </c>
      <c r="U138" s="861"/>
      <c r="V138" s="861">
        <f t="shared" si="39"/>
        <v>4</v>
      </c>
      <c r="W138" s="861">
        <f t="shared" si="39"/>
        <v>2</v>
      </c>
      <c r="X138" s="861">
        <f t="shared" si="39"/>
        <v>4</v>
      </c>
      <c r="Y138" s="861">
        <f t="shared" si="39"/>
        <v>4</v>
      </c>
      <c r="Z138" s="861">
        <f t="shared" si="39"/>
        <v>2</v>
      </c>
      <c r="AA138" s="861">
        <f t="shared" si="39"/>
        <v>1</v>
      </c>
      <c r="AB138" s="861">
        <f t="shared" si="39"/>
        <v>3</v>
      </c>
      <c r="AC138" s="861">
        <f t="shared" si="39"/>
        <v>1</v>
      </c>
      <c r="AD138" s="861">
        <f t="shared" si="39"/>
        <v>4</v>
      </c>
      <c r="AE138" s="861">
        <f t="shared" si="39"/>
        <v>1</v>
      </c>
      <c r="AF138" s="861">
        <f t="shared" si="39"/>
        <v>3</v>
      </c>
      <c r="AG138" s="861">
        <f t="shared" si="39"/>
        <v>4</v>
      </c>
      <c r="AH138" s="861">
        <f t="shared" si="40"/>
        <v>2.75</v>
      </c>
      <c r="AI138" s="1071"/>
      <c r="AJ138" s="840"/>
      <c r="AK138" s="840">
        <v>117</v>
      </c>
      <c r="AL138" s="863">
        <f t="shared" si="43"/>
        <v>33</v>
      </c>
      <c r="AM138" s="861">
        <f t="shared" si="44"/>
        <v>3861</v>
      </c>
      <c r="AN138" s="863">
        <f t="shared" si="45"/>
        <v>-998.25</v>
      </c>
    </row>
    <row r="139" spans="1:40" ht="12" customHeight="1">
      <c r="A139" s="840" t="str">
        <f t="shared" si="41"/>
        <v>RuralRolloffHAUL40TEMP-RO</v>
      </c>
      <c r="B139" s="840">
        <f t="shared" si="38"/>
        <v>1</v>
      </c>
      <c r="C139" s="883" t="s">
        <v>2330</v>
      </c>
      <c r="D139" s="883" t="s">
        <v>2331</v>
      </c>
      <c r="E139" s="883">
        <v>165</v>
      </c>
      <c r="F139" s="883"/>
      <c r="G139" s="860"/>
      <c r="H139" s="861">
        <v>330</v>
      </c>
      <c r="I139" s="861">
        <v>165</v>
      </c>
      <c r="J139" s="861">
        <v>0</v>
      </c>
      <c r="K139" s="861">
        <v>0</v>
      </c>
      <c r="L139" s="861">
        <v>0</v>
      </c>
      <c r="M139" s="861">
        <v>495</v>
      </c>
      <c r="N139" s="861">
        <v>0</v>
      </c>
      <c r="O139" s="861">
        <v>165</v>
      </c>
      <c r="P139" s="861">
        <v>0</v>
      </c>
      <c r="Q139" s="861">
        <v>0</v>
      </c>
      <c r="R139" s="861">
        <v>0</v>
      </c>
      <c r="S139" s="861">
        <v>495</v>
      </c>
      <c r="T139" s="863">
        <f t="shared" si="42"/>
        <v>1650</v>
      </c>
      <c r="U139" s="861"/>
      <c r="V139" s="861">
        <f t="shared" si="39"/>
        <v>2</v>
      </c>
      <c r="W139" s="861">
        <f t="shared" si="39"/>
        <v>1</v>
      </c>
      <c r="X139" s="861">
        <f t="shared" si="39"/>
        <v>0</v>
      </c>
      <c r="Y139" s="861">
        <f t="shared" si="39"/>
        <v>0</v>
      </c>
      <c r="Z139" s="861">
        <f t="shared" si="39"/>
        <v>0</v>
      </c>
      <c r="AA139" s="861">
        <f t="shared" si="39"/>
        <v>3</v>
      </c>
      <c r="AB139" s="861">
        <f t="shared" si="39"/>
        <v>0</v>
      </c>
      <c r="AC139" s="861">
        <f t="shared" si="39"/>
        <v>1</v>
      </c>
      <c r="AD139" s="861">
        <f t="shared" si="39"/>
        <v>0</v>
      </c>
      <c r="AE139" s="861">
        <f t="shared" si="39"/>
        <v>0</v>
      </c>
      <c r="AF139" s="861">
        <f t="shared" si="39"/>
        <v>0</v>
      </c>
      <c r="AG139" s="861">
        <f t="shared" si="39"/>
        <v>3</v>
      </c>
      <c r="AH139" s="861">
        <f t="shared" si="40"/>
        <v>0.83333333333333337</v>
      </c>
      <c r="AI139" s="1071"/>
      <c r="AJ139" s="840"/>
      <c r="AK139" s="840">
        <v>128</v>
      </c>
      <c r="AL139" s="863">
        <f t="shared" si="43"/>
        <v>10</v>
      </c>
      <c r="AM139" s="861">
        <f t="shared" si="44"/>
        <v>1280</v>
      </c>
      <c r="AN139" s="863">
        <f t="shared" si="45"/>
        <v>-370</v>
      </c>
    </row>
    <row r="140" spans="1:40" ht="12" customHeight="1">
      <c r="A140" s="840" t="str">
        <f t="shared" si="41"/>
        <v>RuralRolloffFINAL40TEMP-RO</v>
      </c>
      <c r="B140" s="840">
        <f t="shared" si="38"/>
        <v>1</v>
      </c>
      <c r="C140" s="883" t="s">
        <v>2332</v>
      </c>
      <c r="D140" s="883" t="s">
        <v>2333</v>
      </c>
      <c r="E140" s="883">
        <v>165</v>
      </c>
      <c r="F140" s="883"/>
      <c r="G140" s="860"/>
      <c r="H140" s="861">
        <v>165</v>
      </c>
      <c r="I140" s="861">
        <v>495</v>
      </c>
      <c r="J140" s="861">
        <v>330</v>
      </c>
      <c r="K140" s="861">
        <v>0</v>
      </c>
      <c r="L140" s="861">
        <v>330</v>
      </c>
      <c r="M140" s="861">
        <v>330</v>
      </c>
      <c r="N140" s="861">
        <v>0</v>
      </c>
      <c r="O140" s="861">
        <v>165</v>
      </c>
      <c r="P140" s="861">
        <v>0</v>
      </c>
      <c r="Q140" s="861">
        <v>0</v>
      </c>
      <c r="R140" s="861">
        <v>165</v>
      </c>
      <c r="S140" s="861">
        <v>495</v>
      </c>
      <c r="T140" s="863">
        <f t="shared" si="42"/>
        <v>2475</v>
      </c>
      <c r="U140" s="861"/>
      <c r="V140" s="861">
        <f t="shared" si="39"/>
        <v>1</v>
      </c>
      <c r="W140" s="861">
        <f t="shared" si="39"/>
        <v>3</v>
      </c>
      <c r="X140" s="861">
        <f t="shared" si="39"/>
        <v>2</v>
      </c>
      <c r="Y140" s="861">
        <f t="shared" si="39"/>
        <v>0</v>
      </c>
      <c r="Z140" s="861">
        <f t="shared" si="39"/>
        <v>2</v>
      </c>
      <c r="AA140" s="861">
        <f t="shared" si="39"/>
        <v>2</v>
      </c>
      <c r="AB140" s="861">
        <f t="shared" si="39"/>
        <v>0</v>
      </c>
      <c r="AC140" s="861">
        <f t="shared" si="39"/>
        <v>1</v>
      </c>
      <c r="AD140" s="861">
        <f t="shared" si="39"/>
        <v>0</v>
      </c>
      <c r="AE140" s="861">
        <f t="shared" si="39"/>
        <v>0</v>
      </c>
      <c r="AF140" s="861">
        <f t="shared" si="39"/>
        <v>1</v>
      </c>
      <c r="AG140" s="861">
        <f t="shared" si="39"/>
        <v>3</v>
      </c>
      <c r="AH140" s="861">
        <f t="shared" si="40"/>
        <v>1.25</v>
      </c>
      <c r="AI140" s="1071"/>
      <c r="AJ140" s="840"/>
      <c r="AK140" s="840">
        <v>128</v>
      </c>
      <c r="AL140" s="863">
        <f t="shared" si="43"/>
        <v>15</v>
      </c>
      <c r="AM140" s="861">
        <f t="shared" si="44"/>
        <v>1920</v>
      </c>
      <c r="AN140" s="863">
        <f t="shared" si="45"/>
        <v>-555</v>
      </c>
    </row>
    <row r="141" spans="1:40" s="898" customFormat="1" ht="12" customHeight="1">
      <c r="A141" s="898" t="str">
        <f t="shared" si="41"/>
        <v>RuralRolloffRENT20MO-RO</v>
      </c>
      <c r="B141" s="898">
        <f t="shared" si="38"/>
        <v>1</v>
      </c>
      <c r="C141" s="1064" t="s">
        <v>2348</v>
      </c>
      <c r="D141" s="1064" t="s">
        <v>2349</v>
      </c>
      <c r="E141" s="1064">
        <v>90.6</v>
      </c>
      <c r="F141" s="1064"/>
      <c r="G141" s="890"/>
      <c r="H141" s="891">
        <v>634.20000000000005</v>
      </c>
      <c r="I141" s="891">
        <v>634.20000000000005</v>
      </c>
      <c r="J141" s="891">
        <v>634.20000000000005</v>
      </c>
      <c r="K141" s="891">
        <v>634.20000000000005</v>
      </c>
      <c r="L141" s="891">
        <v>634.20000000000005</v>
      </c>
      <c r="M141" s="891">
        <v>634.20000000000005</v>
      </c>
      <c r="N141" s="891">
        <v>634.20000000000005</v>
      </c>
      <c r="O141" s="891">
        <v>634.20000000000005</v>
      </c>
      <c r="P141" s="891">
        <v>634.20000000000005</v>
      </c>
      <c r="Q141" s="891">
        <v>608.30999999999995</v>
      </c>
      <c r="R141" s="891">
        <v>543.6</v>
      </c>
      <c r="S141" s="891">
        <v>603.7299999999999</v>
      </c>
      <c r="T141" s="900">
        <f t="shared" si="42"/>
        <v>7463.4399999999987</v>
      </c>
      <c r="U141" s="891"/>
      <c r="V141" s="891">
        <f t="shared" si="39"/>
        <v>7.0000000000000009</v>
      </c>
      <c r="W141" s="891">
        <f t="shared" si="39"/>
        <v>7.0000000000000009</v>
      </c>
      <c r="X141" s="891">
        <f t="shared" si="39"/>
        <v>7.0000000000000009</v>
      </c>
      <c r="Y141" s="891">
        <f t="shared" si="39"/>
        <v>7.0000000000000009</v>
      </c>
      <c r="Z141" s="891">
        <f t="shared" si="39"/>
        <v>7.0000000000000009</v>
      </c>
      <c r="AA141" s="891">
        <f t="shared" si="39"/>
        <v>7.0000000000000009</v>
      </c>
      <c r="AB141" s="891">
        <f t="shared" si="39"/>
        <v>7.0000000000000009</v>
      </c>
      <c r="AC141" s="891">
        <f t="shared" si="39"/>
        <v>7.0000000000000009</v>
      </c>
      <c r="AD141" s="891">
        <f t="shared" si="39"/>
        <v>7.0000000000000009</v>
      </c>
      <c r="AE141" s="891">
        <f t="shared" si="39"/>
        <v>6.7142384105960264</v>
      </c>
      <c r="AF141" s="891">
        <f t="shared" si="39"/>
        <v>6.0000000000000009</v>
      </c>
      <c r="AG141" s="891">
        <f t="shared" si="39"/>
        <v>6.6636865342163345</v>
      </c>
      <c r="AH141" s="891">
        <f t="shared" si="40"/>
        <v>6.8648270787343648</v>
      </c>
      <c r="AI141" s="899"/>
      <c r="AK141" s="898">
        <v>75</v>
      </c>
      <c r="AL141" s="900">
        <f t="shared" si="43"/>
        <v>82.377924944812378</v>
      </c>
      <c r="AM141" s="891">
        <f t="shared" si="44"/>
        <v>6178.3443708609284</v>
      </c>
      <c r="AN141" s="900">
        <f t="shared" si="45"/>
        <v>-1285.0956291390703</v>
      </c>
    </row>
    <row r="142" spans="1:40" s="898" customFormat="1" ht="12" customHeight="1">
      <c r="A142" s="898" t="str">
        <f t="shared" si="41"/>
        <v>RuralRolloffRENT30MO-RO</v>
      </c>
      <c r="B142" s="898">
        <f t="shared" si="38"/>
        <v>1</v>
      </c>
      <c r="C142" s="1064" t="s">
        <v>2350</v>
      </c>
      <c r="D142" s="1064" t="s">
        <v>2351</v>
      </c>
      <c r="E142" s="1064">
        <v>108.4</v>
      </c>
      <c r="F142" s="1064"/>
      <c r="G142" s="890"/>
      <c r="H142" s="891">
        <v>216.8</v>
      </c>
      <c r="I142" s="891">
        <v>325.2</v>
      </c>
      <c r="J142" s="891">
        <v>325.2</v>
      </c>
      <c r="K142" s="891">
        <v>325.2</v>
      </c>
      <c r="L142" s="891">
        <v>433.6</v>
      </c>
      <c r="M142" s="891">
        <v>433.6</v>
      </c>
      <c r="N142" s="891">
        <v>265.76</v>
      </c>
      <c r="O142" s="891">
        <v>216.8</v>
      </c>
      <c r="P142" s="891">
        <v>216.8</v>
      </c>
      <c r="Q142" s="891">
        <v>185.83</v>
      </c>
      <c r="R142" s="891">
        <v>325.2</v>
      </c>
      <c r="S142" s="891">
        <v>263.17</v>
      </c>
      <c r="T142" s="900">
        <f t="shared" si="42"/>
        <v>3533.16</v>
      </c>
      <c r="U142" s="891"/>
      <c r="V142" s="891">
        <f t="shared" si="39"/>
        <v>2</v>
      </c>
      <c r="W142" s="891">
        <f t="shared" si="39"/>
        <v>2.9999999999999996</v>
      </c>
      <c r="X142" s="891">
        <f t="shared" si="39"/>
        <v>2.9999999999999996</v>
      </c>
      <c r="Y142" s="891">
        <f t="shared" si="39"/>
        <v>2.9999999999999996</v>
      </c>
      <c r="Z142" s="891">
        <f t="shared" si="39"/>
        <v>4</v>
      </c>
      <c r="AA142" s="891">
        <f t="shared" si="39"/>
        <v>4</v>
      </c>
      <c r="AB142" s="891">
        <f t="shared" si="39"/>
        <v>2.4516605166051657</v>
      </c>
      <c r="AC142" s="891">
        <f t="shared" si="39"/>
        <v>2</v>
      </c>
      <c r="AD142" s="891">
        <f t="shared" si="39"/>
        <v>2</v>
      </c>
      <c r="AE142" s="891">
        <f t="shared" si="39"/>
        <v>1.71429889298893</v>
      </c>
      <c r="AF142" s="891">
        <f t="shared" si="39"/>
        <v>2.9999999999999996</v>
      </c>
      <c r="AG142" s="891">
        <f t="shared" si="39"/>
        <v>2.4277675276752766</v>
      </c>
      <c r="AH142" s="891">
        <f t="shared" si="40"/>
        <v>2.7161439114391146</v>
      </c>
      <c r="AI142" s="899"/>
      <c r="AK142" s="898">
        <v>85</v>
      </c>
      <c r="AL142" s="900">
        <f t="shared" si="43"/>
        <v>32.593726937269373</v>
      </c>
      <c r="AM142" s="891">
        <f t="shared" si="44"/>
        <v>2770.4667896678966</v>
      </c>
      <c r="AN142" s="900">
        <f t="shared" si="45"/>
        <v>-762.69321033210326</v>
      </c>
    </row>
    <row r="143" spans="1:40" s="895" customFormat="1" ht="12" customHeight="1">
      <c r="A143" s="895" t="str">
        <f t="shared" si="41"/>
        <v>RuralRolloffRENT20TEMP-RO</v>
      </c>
      <c r="B143" s="895">
        <f t="shared" si="38"/>
        <v>1</v>
      </c>
      <c r="C143" s="915" t="s">
        <v>2356</v>
      </c>
      <c r="D143" s="915" t="s">
        <v>2357</v>
      </c>
      <c r="E143" s="915">
        <v>5.93</v>
      </c>
      <c r="F143" s="915"/>
      <c r="G143" s="916"/>
      <c r="H143" s="897">
        <v>249.06</v>
      </c>
      <c r="I143" s="897">
        <v>321.89</v>
      </c>
      <c r="J143" s="897">
        <v>670.09</v>
      </c>
      <c r="K143" s="897">
        <v>225.34</v>
      </c>
      <c r="L143" s="897">
        <v>189.76</v>
      </c>
      <c r="M143" s="897">
        <v>415.1</v>
      </c>
      <c r="N143" s="897">
        <v>160.11000000000001</v>
      </c>
      <c r="O143" s="897">
        <v>166.04</v>
      </c>
      <c r="P143" s="897">
        <v>100.81</v>
      </c>
      <c r="Q143" s="897">
        <v>11.86</v>
      </c>
      <c r="R143" s="897">
        <v>515.91</v>
      </c>
      <c r="S143" s="897">
        <v>260.92</v>
      </c>
      <c r="T143" s="926">
        <f t="shared" si="42"/>
        <v>3286.89</v>
      </c>
      <c r="U143" s="897"/>
      <c r="V143" s="897">
        <f>IFERROR(H143/$E143,0)/30</f>
        <v>1.4</v>
      </c>
      <c r="W143" s="897">
        <f t="shared" ref="W143:AG145" si="46">IFERROR(I143/$E143,0)/30</f>
        <v>1.8093872962338393</v>
      </c>
      <c r="X143" s="897">
        <f t="shared" si="46"/>
        <v>3.7666666666666671</v>
      </c>
      <c r="Y143" s="897">
        <f t="shared" si="46"/>
        <v>1.2666666666666666</v>
      </c>
      <c r="Z143" s="897">
        <f t="shared" si="46"/>
        <v>1.0666666666666667</v>
      </c>
      <c r="AA143" s="897">
        <f t="shared" si="46"/>
        <v>2.3333333333333339</v>
      </c>
      <c r="AB143" s="897">
        <f t="shared" si="46"/>
        <v>0.90000000000000013</v>
      </c>
      <c r="AC143" s="897">
        <f t="shared" si="46"/>
        <v>0.93333333333333335</v>
      </c>
      <c r="AD143" s="897">
        <f t="shared" si="46"/>
        <v>0.56666666666666665</v>
      </c>
      <c r="AE143" s="897">
        <f t="shared" si="46"/>
        <v>6.6666666666666666E-2</v>
      </c>
      <c r="AF143" s="897">
        <f t="shared" si="46"/>
        <v>2.9</v>
      </c>
      <c r="AG143" s="897">
        <f t="shared" si="46"/>
        <v>1.466666666666667</v>
      </c>
      <c r="AH143" s="897">
        <f t="shared" si="40"/>
        <v>1.5396711635750424</v>
      </c>
      <c r="AI143" s="917"/>
      <c r="AK143" s="895">
        <v>3.8</v>
      </c>
      <c r="AL143" s="926">
        <f t="shared" si="43"/>
        <v>18.476053962900508</v>
      </c>
      <c r="AM143" s="897">
        <f t="shared" si="44"/>
        <v>70.209005059021933</v>
      </c>
      <c r="AN143" s="926">
        <f t="shared" si="45"/>
        <v>-3216.6809949409781</v>
      </c>
    </row>
    <row r="144" spans="1:40" s="895" customFormat="1" ht="12" customHeight="1">
      <c r="A144" s="895" t="str">
        <f t="shared" si="41"/>
        <v>RuralRolloffRENT30TEMP-RO</v>
      </c>
      <c r="B144" s="895">
        <f t="shared" si="38"/>
        <v>1</v>
      </c>
      <c r="C144" s="915" t="s">
        <v>2358</v>
      </c>
      <c r="D144" s="915" t="s">
        <v>2359</v>
      </c>
      <c r="E144" s="915">
        <v>7.11</v>
      </c>
      <c r="F144" s="915"/>
      <c r="G144" s="916"/>
      <c r="H144" s="897">
        <v>540.36</v>
      </c>
      <c r="I144" s="897">
        <v>241.74</v>
      </c>
      <c r="J144" s="897">
        <v>689.67</v>
      </c>
      <c r="K144" s="897">
        <v>675.45</v>
      </c>
      <c r="L144" s="897">
        <v>455.03999999999996</v>
      </c>
      <c r="M144" s="897">
        <v>533.25</v>
      </c>
      <c r="N144" s="897">
        <v>92.43</v>
      </c>
      <c r="O144" s="897">
        <v>853.2</v>
      </c>
      <c r="P144" s="897">
        <v>910.08</v>
      </c>
      <c r="Q144" s="897">
        <v>853.2</v>
      </c>
      <c r="R144" s="897">
        <v>1173.1500000000001</v>
      </c>
      <c r="S144" s="897">
        <v>1237.1400000000001</v>
      </c>
      <c r="T144" s="926">
        <f t="shared" si="42"/>
        <v>8254.7099999999991</v>
      </c>
      <c r="U144" s="897"/>
      <c r="V144" s="897">
        <f>IFERROR(H144/$E144,0)/30</f>
        <v>2.5333333333333332</v>
      </c>
      <c r="W144" s="897">
        <f t="shared" si="46"/>
        <v>1.1333333333333333</v>
      </c>
      <c r="X144" s="897">
        <f t="shared" si="46"/>
        <v>3.2333333333333329</v>
      </c>
      <c r="Y144" s="897">
        <f t="shared" si="46"/>
        <v>3.1666666666666665</v>
      </c>
      <c r="Z144" s="897">
        <f t="shared" si="46"/>
        <v>2.1333333333333333</v>
      </c>
      <c r="AA144" s="897">
        <f t="shared" si="46"/>
        <v>2.5</v>
      </c>
      <c r="AB144" s="897">
        <f t="shared" si="46"/>
        <v>0.43333333333333335</v>
      </c>
      <c r="AC144" s="897">
        <f t="shared" si="46"/>
        <v>4</v>
      </c>
      <c r="AD144" s="897">
        <f t="shared" si="46"/>
        <v>4.2666666666666666</v>
      </c>
      <c r="AE144" s="897">
        <f t="shared" si="46"/>
        <v>4</v>
      </c>
      <c r="AF144" s="897">
        <f t="shared" si="46"/>
        <v>5.5</v>
      </c>
      <c r="AG144" s="897">
        <f t="shared" si="46"/>
        <v>5.8</v>
      </c>
      <c r="AH144" s="897">
        <f t="shared" si="40"/>
        <v>3.2249999999999996</v>
      </c>
      <c r="AI144" s="917"/>
      <c r="AK144" s="895">
        <v>4.0999999999999996</v>
      </c>
      <c r="AL144" s="926">
        <f t="shared" si="43"/>
        <v>38.699999999999996</v>
      </c>
      <c r="AM144" s="897">
        <f t="shared" si="44"/>
        <v>158.66999999999996</v>
      </c>
      <c r="AN144" s="926">
        <f t="shared" si="45"/>
        <v>-8096.0399999999991</v>
      </c>
    </row>
    <row r="145" spans="1:40" s="895" customFormat="1" ht="12" customHeight="1">
      <c r="A145" s="895" t="str">
        <f t="shared" si="41"/>
        <v>RuralRolloffRENT40TEMP-RO</v>
      </c>
      <c r="B145" s="895">
        <f t="shared" si="38"/>
        <v>1</v>
      </c>
      <c r="C145" s="915" t="s">
        <v>2360</v>
      </c>
      <c r="D145" s="915" t="s">
        <v>2361</v>
      </c>
      <c r="E145" s="915">
        <v>8.3000000000000007</v>
      </c>
      <c r="F145" s="915"/>
      <c r="G145" s="916"/>
      <c r="H145" s="897">
        <v>464.8</v>
      </c>
      <c r="I145" s="897">
        <v>431.6</v>
      </c>
      <c r="J145" s="897">
        <v>215.8</v>
      </c>
      <c r="K145" s="897">
        <v>174.3</v>
      </c>
      <c r="L145" s="897">
        <v>398.4</v>
      </c>
      <c r="M145" s="897">
        <v>157.69999999999999</v>
      </c>
      <c r="N145" s="897">
        <v>8.3000000000000007</v>
      </c>
      <c r="O145" s="897">
        <v>348.6</v>
      </c>
      <c r="P145" s="897">
        <v>257.3</v>
      </c>
      <c r="Q145" s="897">
        <v>232.4</v>
      </c>
      <c r="R145" s="897">
        <v>132.80000000000001</v>
      </c>
      <c r="S145" s="897">
        <v>282.2</v>
      </c>
      <c r="T145" s="926">
        <f t="shared" si="42"/>
        <v>3104.2000000000003</v>
      </c>
      <c r="U145" s="897"/>
      <c r="V145" s="897">
        <f>IFERROR(H145/$E145,0)/30</f>
        <v>1.8666666666666667</v>
      </c>
      <c r="W145" s="897">
        <f t="shared" si="46"/>
        <v>1.7333333333333334</v>
      </c>
      <c r="X145" s="897">
        <f t="shared" si="46"/>
        <v>0.8666666666666667</v>
      </c>
      <c r="Y145" s="897">
        <f t="shared" si="46"/>
        <v>0.7</v>
      </c>
      <c r="Z145" s="897">
        <f t="shared" si="46"/>
        <v>1.5999999999999999</v>
      </c>
      <c r="AA145" s="897">
        <f t="shared" si="46"/>
        <v>0.63333333333333319</v>
      </c>
      <c r="AB145" s="897">
        <f t="shared" si="46"/>
        <v>3.3333333333333333E-2</v>
      </c>
      <c r="AC145" s="897">
        <f t="shared" si="46"/>
        <v>1.4</v>
      </c>
      <c r="AD145" s="897">
        <f t="shared" si="46"/>
        <v>1.0333333333333334</v>
      </c>
      <c r="AE145" s="897">
        <f t="shared" si="46"/>
        <v>0.93333333333333335</v>
      </c>
      <c r="AF145" s="897">
        <f t="shared" si="46"/>
        <v>0.53333333333333333</v>
      </c>
      <c r="AG145" s="897">
        <f t="shared" si="46"/>
        <v>1.1333333333333331</v>
      </c>
      <c r="AH145" s="897">
        <f t="shared" si="40"/>
        <v>1.0388888888888888</v>
      </c>
      <c r="AI145" s="917"/>
      <c r="AK145" s="895">
        <v>4.5</v>
      </c>
      <c r="AL145" s="926">
        <f t="shared" si="43"/>
        <v>12.466666666666665</v>
      </c>
      <c r="AM145" s="897">
        <f t="shared" si="44"/>
        <v>56.099999999999994</v>
      </c>
      <c r="AN145" s="926">
        <f t="shared" si="45"/>
        <v>-3048.1000000000004</v>
      </c>
    </row>
    <row r="146" spans="1:40" ht="12" customHeight="1">
      <c r="A146" s="840" t="str">
        <f t="shared" si="41"/>
        <v>RuralRolloffRENTDAY-RO</v>
      </c>
      <c r="B146" s="840">
        <f t="shared" si="38"/>
        <v>1</v>
      </c>
      <c r="C146" s="883" t="s">
        <v>2364</v>
      </c>
      <c r="D146" s="883" t="s">
        <v>2432</v>
      </c>
      <c r="E146" s="883">
        <v>0</v>
      </c>
      <c r="F146" s="883"/>
      <c r="G146" s="860"/>
      <c r="H146" s="861">
        <v>0</v>
      </c>
      <c r="I146" s="861">
        <v>0</v>
      </c>
      <c r="J146" s="861">
        <v>83.5</v>
      </c>
      <c r="K146" s="861">
        <v>51.77</v>
      </c>
      <c r="L146" s="861">
        <v>50.1</v>
      </c>
      <c r="M146" s="861">
        <v>51.77</v>
      </c>
      <c r="N146" s="861">
        <v>20.04</v>
      </c>
      <c r="O146" s="861">
        <v>36.74</v>
      </c>
      <c r="P146" s="861">
        <v>51.77</v>
      </c>
      <c r="Q146" s="861">
        <v>43.42</v>
      </c>
      <c r="R146" s="861">
        <v>40.08</v>
      </c>
      <c r="S146" s="861">
        <v>93.52</v>
      </c>
      <c r="T146" s="863">
        <f t="shared" si="42"/>
        <v>522.71</v>
      </c>
      <c r="U146" s="861"/>
      <c r="V146" s="861">
        <f t="shared" ref="V146:AG156" si="47">IFERROR(H146/$E146,0)</f>
        <v>0</v>
      </c>
      <c r="W146" s="861">
        <f t="shared" si="47"/>
        <v>0</v>
      </c>
      <c r="X146" s="861">
        <f t="shared" si="47"/>
        <v>0</v>
      </c>
      <c r="Y146" s="861">
        <f t="shared" si="47"/>
        <v>0</v>
      </c>
      <c r="Z146" s="861">
        <f t="shared" si="47"/>
        <v>0</v>
      </c>
      <c r="AA146" s="861">
        <f t="shared" si="47"/>
        <v>0</v>
      </c>
      <c r="AB146" s="861">
        <f t="shared" si="47"/>
        <v>0</v>
      </c>
      <c r="AC146" s="861">
        <f t="shared" si="47"/>
        <v>0</v>
      </c>
      <c r="AD146" s="861">
        <f t="shared" si="47"/>
        <v>0</v>
      </c>
      <c r="AE146" s="861">
        <f t="shared" si="47"/>
        <v>0</v>
      </c>
      <c r="AF146" s="861">
        <f t="shared" si="47"/>
        <v>0</v>
      </c>
      <c r="AG146" s="861">
        <f t="shared" si="47"/>
        <v>0</v>
      </c>
      <c r="AH146" s="861">
        <f t="shared" si="40"/>
        <v>0</v>
      </c>
      <c r="AI146" s="1071"/>
      <c r="AJ146" s="840"/>
      <c r="AK146" s="840">
        <v>0</v>
      </c>
      <c r="AL146" s="863">
        <f t="shared" si="43"/>
        <v>0</v>
      </c>
      <c r="AM146" s="861">
        <f t="shared" si="44"/>
        <v>0</v>
      </c>
      <c r="AN146" s="863">
        <f t="shared" si="45"/>
        <v>-522.71</v>
      </c>
    </row>
    <row r="147" spans="1:40" ht="12" customHeight="1">
      <c r="A147" s="840" t="str">
        <f t="shared" si="41"/>
        <v>RuralRolloffDEL20TEMP-RO</v>
      </c>
      <c r="B147" s="840">
        <f t="shared" si="38"/>
        <v>1</v>
      </c>
      <c r="C147" s="883" t="s">
        <v>2372</v>
      </c>
      <c r="D147" s="883" t="s">
        <v>2373</v>
      </c>
      <c r="E147" s="883">
        <v>95.45</v>
      </c>
      <c r="F147" s="883"/>
      <c r="G147" s="860"/>
      <c r="H147" s="861">
        <v>286.35000000000002</v>
      </c>
      <c r="I147" s="861">
        <v>95.45</v>
      </c>
      <c r="J147" s="861">
        <v>647.70000000000005</v>
      </c>
      <c r="K147" s="861">
        <v>286.35000000000002</v>
      </c>
      <c r="L147" s="861">
        <v>95.45</v>
      </c>
      <c r="M147" s="861">
        <v>286.35000000000002</v>
      </c>
      <c r="N147" s="861">
        <v>190.9</v>
      </c>
      <c r="O147" s="861">
        <v>95.45</v>
      </c>
      <c r="P147" s="861">
        <v>0</v>
      </c>
      <c r="Q147" s="861">
        <v>190.9</v>
      </c>
      <c r="R147" s="861">
        <v>381.8</v>
      </c>
      <c r="S147" s="861">
        <v>381.8</v>
      </c>
      <c r="T147" s="863">
        <f t="shared" si="42"/>
        <v>2938.5000000000005</v>
      </c>
      <c r="U147" s="861"/>
      <c r="V147" s="861">
        <f t="shared" si="47"/>
        <v>3</v>
      </c>
      <c r="W147" s="861">
        <f t="shared" si="47"/>
        <v>1</v>
      </c>
      <c r="X147" s="861">
        <f t="shared" si="47"/>
        <v>6.7857517024620222</v>
      </c>
      <c r="Y147" s="861">
        <f t="shared" si="47"/>
        <v>3</v>
      </c>
      <c r="Z147" s="861">
        <f t="shared" si="47"/>
        <v>1</v>
      </c>
      <c r="AA147" s="861">
        <f t="shared" si="47"/>
        <v>3</v>
      </c>
      <c r="AB147" s="861">
        <f t="shared" si="47"/>
        <v>2</v>
      </c>
      <c r="AC147" s="861">
        <f t="shared" si="47"/>
        <v>1</v>
      </c>
      <c r="AD147" s="861">
        <f t="shared" si="47"/>
        <v>0</v>
      </c>
      <c r="AE147" s="861">
        <f t="shared" si="47"/>
        <v>2</v>
      </c>
      <c r="AF147" s="861">
        <f t="shared" si="47"/>
        <v>4</v>
      </c>
      <c r="AG147" s="861">
        <f t="shared" si="47"/>
        <v>4</v>
      </c>
      <c r="AH147" s="861">
        <f t="shared" si="40"/>
        <v>2.5654793085385017</v>
      </c>
      <c r="AI147" s="1071"/>
      <c r="AJ147" s="840"/>
      <c r="AK147" s="840">
        <v>75</v>
      </c>
      <c r="AL147" s="863">
        <f t="shared" si="43"/>
        <v>30.785751702462022</v>
      </c>
      <c r="AM147" s="861">
        <f t="shared" si="44"/>
        <v>2308.9313776846516</v>
      </c>
      <c r="AN147" s="863">
        <f t="shared" si="45"/>
        <v>-629.56862231534888</v>
      </c>
    </row>
    <row r="148" spans="1:40" ht="12" customHeight="1">
      <c r="A148" s="840" t="str">
        <f t="shared" si="41"/>
        <v>RuralRolloffDEL30TEMP-RO</v>
      </c>
      <c r="B148" s="840">
        <f t="shared" si="38"/>
        <v>1</v>
      </c>
      <c r="C148" s="883" t="s">
        <v>2374</v>
      </c>
      <c r="D148" s="883" t="s">
        <v>2375</v>
      </c>
      <c r="E148" s="883">
        <v>95.45</v>
      </c>
      <c r="F148" s="883"/>
      <c r="G148" s="860"/>
      <c r="H148" s="861">
        <v>0</v>
      </c>
      <c r="I148" s="861">
        <v>381.8</v>
      </c>
      <c r="J148" s="861">
        <v>381.8</v>
      </c>
      <c r="K148" s="861">
        <v>286.35000000000002</v>
      </c>
      <c r="L148" s="861">
        <v>190.9</v>
      </c>
      <c r="M148" s="861">
        <v>190.9</v>
      </c>
      <c r="N148" s="861">
        <v>95.45</v>
      </c>
      <c r="O148" s="861">
        <v>381.8</v>
      </c>
      <c r="P148" s="861">
        <v>286.35000000000002</v>
      </c>
      <c r="Q148" s="861">
        <v>477.25</v>
      </c>
      <c r="R148" s="861">
        <v>190.9</v>
      </c>
      <c r="S148" s="861">
        <v>668.15</v>
      </c>
      <c r="T148" s="863">
        <f t="shared" si="42"/>
        <v>3531.6500000000005</v>
      </c>
      <c r="U148" s="861"/>
      <c r="V148" s="861">
        <f t="shared" si="47"/>
        <v>0</v>
      </c>
      <c r="W148" s="861">
        <f t="shared" si="47"/>
        <v>4</v>
      </c>
      <c r="X148" s="861">
        <f t="shared" si="47"/>
        <v>4</v>
      </c>
      <c r="Y148" s="861">
        <f t="shared" si="47"/>
        <v>3</v>
      </c>
      <c r="Z148" s="861">
        <f t="shared" si="47"/>
        <v>2</v>
      </c>
      <c r="AA148" s="861">
        <f t="shared" si="47"/>
        <v>2</v>
      </c>
      <c r="AB148" s="861">
        <f t="shared" si="47"/>
        <v>1</v>
      </c>
      <c r="AC148" s="861">
        <f t="shared" si="47"/>
        <v>4</v>
      </c>
      <c r="AD148" s="861">
        <f t="shared" si="47"/>
        <v>3</v>
      </c>
      <c r="AE148" s="861">
        <f t="shared" si="47"/>
        <v>5</v>
      </c>
      <c r="AF148" s="861">
        <f t="shared" si="47"/>
        <v>2</v>
      </c>
      <c r="AG148" s="861">
        <f t="shared" si="47"/>
        <v>6.9999999999999991</v>
      </c>
      <c r="AH148" s="861">
        <f t="shared" si="40"/>
        <v>3.0833333333333335</v>
      </c>
      <c r="AI148" s="1071"/>
      <c r="AJ148" s="840"/>
      <c r="AK148" s="840">
        <v>75</v>
      </c>
      <c r="AL148" s="863">
        <f t="shared" si="43"/>
        <v>37</v>
      </c>
      <c r="AM148" s="861">
        <f t="shared" si="44"/>
        <v>2775</v>
      </c>
      <c r="AN148" s="863">
        <f t="shared" si="45"/>
        <v>-756.65000000000055</v>
      </c>
    </row>
    <row r="149" spans="1:40" ht="12" customHeight="1">
      <c r="A149" s="840" t="str">
        <f t="shared" si="41"/>
        <v>RuralRolloffDEL40TEMP-RO</v>
      </c>
      <c r="B149" s="840">
        <f t="shared" si="38"/>
        <v>1</v>
      </c>
      <c r="C149" s="883" t="s">
        <v>2376</v>
      </c>
      <c r="D149" s="883" t="s">
        <v>2377</v>
      </c>
      <c r="E149" s="883">
        <v>95.45</v>
      </c>
      <c r="F149" s="883"/>
      <c r="G149" s="860"/>
      <c r="H149" s="861">
        <v>190.9</v>
      </c>
      <c r="I149" s="861">
        <v>190.9</v>
      </c>
      <c r="J149" s="861">
        <v>190.9</v>
      </c>
      <c r="K149" s="861">
        <v>286.35000000000002</v>
      </c>
      <c r="L149" s="861">
        <v>95.45</v>
      </c>
      <c r="M149" s="861">
        <v>95.45</v>
      </c>
      <c r="N149" s="861">
        <v>95.45</v>
      </c>
      <c r="O149" s="861">
        <v>0</v>
      </c>
      <c r="P149" s="861">
        <v>0</v>
      </c>
      <c r="Q149" s="861">
        <v>0</v>
      </c>
      <c r="R149" s="861">
        <v>286.35000000000002</v>
      </c>
      <c r="S149" s="861">
        <v>0</v>
      </c>
      <c r="T149" s="863">
        <f t="shared" si="42"/>
        <v>1431.75</v>
      </c>
      <c r="U149" s="861"/>
      <c r="V149" s="861">
        <f t="shared" si="47"/>
        <v>2</v>
      </c>
      <c r="W149" s="861">
        <f t="shared" si="47"/>
        <v>2</v>
      </c>
      <c r="X149" s="861">
        <f t="shared" si="47"/>
        <v>2</v>
      </c>
      <c r="Y149" s="861">
        <f t="shared" si="47"/>
        <v>3</v>
      </c>
      <c r="Z149" s="861">
        <f t="shared" si="47"/>
        <v>1</v>
      </c>
      <c r="AA149" s="861">
        <f t="shared" si="47"/>
        <v>1</v>
      </c>
      <c r="AB149" s="861">
        <f t="shared" si="47"/>
        <v>1</v>
      </c>
      <c r="AC149" s="861">
        <f t="shared" si="47"/>
        <v>0</v>
      </c>
      <c r="AD149" s="861">
        <f t="shared" si="47"/>
        <v>0</v>
      </c>
      <c r="AE149" s="861">
        <f t="shared" si="47"/>
        <v>0</v>
      </c>
      <c r="AF149" s="861">
        <f t="shared" si="47"/>
        <v>3</v>
      </c>
      <c r="AG149" s="861">
        <f t="shared" si="47"/>
        <v>0</v>
      </c>
      <c r="AH149" s="861">
        <f t="shared" si="40"/>
        <v>1.25</v>
      </c>
      <c r="AI149" s="1071"/>
      <c r="AJ149" s="840"/>
      <c r="AK149" s="840">
        <v>75</v>
      </c>
      <c r="AL149" s="863">
        <f t="shared" si="43"/>
        <v>15</v>
      </c>
      <c r="AM149" s="861">
        <f t="shared" si="44"/>
        <v>1125</v>
      </c>
      <c r="AN149" s="863">
        <f t="shared" si="45"/>
        <v>-306.75</v>
      </c>
    </row>
    <row r="150" spans="1:40" ht="12" customHeight="1">
      <c r="A150" s="840" t="str">
        <f t="shared" si="41"/>
        <v>RuralRolloffLIDRO</v>
      </c>
      <c r="B150" s="840">
        <f t="shared" si="38"/>
        <v>1</v>
      </c>
      <c r="C150" s="883" t="s">
        <v>2407</v>
      </c>
      <c r="D150" s="883" t="s">
        <v>2408</v>
      </c>
      <c r="E150" s="883">
        <v>17.8</v>
      </c>
      <c r="F150" s="883"/>
      <c r="G150" s="860"/>
      <c r="H150" s="861">
        <v>17.8</v>
      </c>
      <c r="I150" s="861">
        <v>17.8</v>
      </c>
      <c r="J150" s="861">
        <v>17.8</v>
      </c>
      <c r="K150" s="861">
        <v>35.6</v>
      </c>
      <c r="L150" s="861">
        <v>17.8</v>
      </c>
      <c r="M150" s="861">
        <v>17.8</v>
      </c>
      <c r="N150" s="861">
        <v>17.8</v>
      </c>
      <c r="O150" s="861">
        <v>17.8</v>
      </c>
      <c r="P150" s="861">
        <v>17.8</v>
      </c>
      <c r="Q150" s="861">
        <v>0</v>
      </c>
      <c r="R150" s="861">
        <v>0</v>
      </c>
      <c r="S150" s="861">
        <v>0</v>
      </c>
      <c r="T150" s="863">
        <f t="shared" si="42"/>
        <v>178.00000000000003</v>
      </c>
      <c r="U150" s="861"/>
      <c r="V150" s="861">
        <f t="shared" si="47"/>
        <v>1</v>
      </c>
      <c r="W150" s="861">
        <f t="shared" si="47"/>
        <v>1</v>
      </c>
      <c r="X150" s="861">
        <f t="shared" si="47"/>
        <v>1</v>
      </c>
      <c r="Y150" s="861">
        <f t="shared" si="47"/>
        <v>2</v>
      </c>
      <c r="Z150" s="861">
        <f t="shared" si="47"/>
        <v>1</v>
      </c>
      <c r="AA150" s="861">
        <f t="shared" si="47"/>
        <v>1</v>
      </c>
      <c r="AB150" s="861">
        <f t="shared" si="47"/>
        <v>1</v>
      </c>
      <c r="AC150" s="861">
        <f t="shared" si="47"/>
        <v>1</v>
      </c>
      <c r="AD150" s="861">
        <f t="shared" si="47"/>
        <v>1</v>
      </c>
      <c r="AE150" s="861">
        <f t="shared" si="47"/>
        <v>0</v>
      </c>
      <c r="AF150" s="861">
        <f t="shared" si="47"/>
        <v>0</v>
      </c>
      <c r="AG150" s="861">
        <f t="shared" si="47"/>
        <v>0</v>
      </c>
      <c r="AH150" s="861">
        <f t="shared" si="40"/>
        <v>0.83333333333333337</v>
      </c>
      <c r="AI150" s="1071"/>
      <c r="AJ150" s="840"/>
      <c r="AK150" s="840">
        <v>12</v>
      </c>
      <c r="AL150" s="863">
        <f t="shared" si="43"/>
        <v>10</v>
      </c>
      <c r="AM150" s="861">
        <f t="shared" si="44"/>
        <v>120</v>
      </c>
      <c r="AN150" s="863">
        <f t="shared" si="45"/>
        <v>-58.000000000000028</v>
      </c>
    </row>
    <row r="151" spans="1:40" ht="12" customHeight="1">
      <c r="A151" s="840" t="str">
        <f t="shared" si="41"/>
        <v>RuralRolloffMILE-RO</v>
      </c>
      <c r="B151" s="840">
        <f t="shared" si="38"/>
        <v>1</v>
      </c>
      <c r="C151" s="883" t="s">
        <v>2390</v>
      </c>
      <c r="D151" s="883" t="s">
        <v>2391</v>
      </c>
      <c r="E151" s="883">
        <v>3.2</v>
      </c>
      <c r="F151" s="883"/>
      <c r="G151" s="860"/>
      <c r="H151" s="861">
        <v>892.8</v>
      </c>
      <c r="I151" s="861">
        <v>988.8</v>
      </c>
      <c r="J151" s="861">
        <v>1465.6</v>
      </c>
      <c r="K151" s="861">
        <v>1171.2</v>
      </c>
      <c r="L151" s="861">
        <v>924.80000000000007</v>
      </c>
      <c r="M151" s="861">
        <v>1273.5999999999999</v>
      </c>
      <c r="N151" s="861">
        <v>867.2</v>
      </c>
      <c r="O151" s="861">
        <v>1539.2</v>
      </c>
      <c r="P151" s="861">
        <v>1046.4000000000001</v>
      </c>
      <c r="Q151" s="861">
        <v>854.4</v>
      </c>
      <c r="R151" s="861">
        <v>1721.6</v>
      </c>
      <c r="S151" s="861">
        <v>1532.8</v>
      </c>
      <c r="T151" s="863">
        <f t="shared" si="42"/>
        <v>14278.399999999998</v>
      </c>
      <c r="U151" s="861"/>
      <c r="V151" s="861">
        <f t="shared" si="47"/>
        <v>278.99999999999994</v>
      </c>
      <c r="W151" s="861">
        <f t="shared" si="47"/>
        <v>308.99999999999994</v>
      </c>
      <c r="X151" s="861">
        <f t="shared" si="47"/>
        <v>457.99999999999994</v>
      </c>
      <c r="Y151" s="861">
        <f t="shared" si="47"/>
        <v>366</v>
      </c>
      <c r="Z151" s="861">
        <f t="shared" si="47"/>
        <v>289</v>
      </c>
      <c r="AA151" s="861">
        <f t="shared" si="47"/>
        <v>397.99999999999994</v>
      </c>
      <c r="AB151" s="861">
        <f t="shared" si="47"/>
        <v>271</v>
      </c>
      <c r="AC151" s="861">
        <f t="shared" si="47"/>
        <v>481</v>
      </c>
      <c r="AD151" s="861">
        <f t="shared" si="47"/>
        <v>327</v>
      </c>
      <c r="AE151" s="861">
        <f t="shared" si="47"/>
        <v>267</v>
      </c>
      <c r="AF151" s="861">
        <f t="shared" si="47"/>
        <v>537.99999999999989</v>
      </c>
      <c r="AG151" s="861">
        <f t="shared" si="47"/>
        <v>478.99999999999994</v>
      </c>
      <c r="AH151" s="861">
        <f t="shared" si="40"/>
        <v>371.83333333333326</v>
      </c>
      <c r="AI151" s="1071"/>
      <c r="AJ151" s="840"/>
      <c r="AK151" s="840">
        <v>3.3</v>
      </c>
      <c r="AL151" s="863">
        <f t="shared" si="43"/>
        <v>4461.9999999999991</v>
      </c>
      <c r="AM151" s="861">
        <f t="shared" si="44"/>
        <v>14724.599999999997</v>
      </c>
      <c r="AN151" s="863">
        <f t="shared" si="45"/>
        <v>446.19999999999891</v>
      </c>
    </row>
    <row r="152" spans="1:40" ht="12" customHeight="1">
      <c r="A152" s="840" t="str">
        <f t="shared" si="41"/>
        <v>RuralRolloffRTRNTRIP-RO</v>
      </c>
      <c r="B152" s="840">
        <f t="shared" si="38"/>
        <v>1</v>
      </c>
      <c r="C152" s="883" t="s">
        <v>2396</v>
      </c>
      <c r="D152" s="883" t="s">
        <v>2397</v>
      </c>
      <c r="E152" s="883">
        <v>48.5</v>
      </c>
      <c r="F152" s="883"/>
      <c r="G152" s="860"/>
      <c r="H152" s="861">
        <v>97</v>
      </c>
      <c r="I152" s="861">
        <v>48.5</v>
      </c>
      <c r="J152" s="861">
        <v>97</v>
      </c>
      <c r="K152" s="861">
        <v>48.5</v>
      </c>
      <c r="L152" s="861">
        <v>48.5</v>
      </c>
      <c r="M152" s="861">
        <v>0</v>
      </c>
      <c r="N152" s="861">
        <v>0</v>
      </c>
      <c r="O152" s="861">
        <v>48.5</v>
      </c>
      <c r="P152" s="861">
        <v>97</v>
      </c>
      <c r="Q152" s="861">
        <v>48.5</v>
      </c>
      <c r="R152" s="861">
        <v>0</v>
      </c>
      <c r="S152" s="861">
        <v>48.5</v>
      </c>
      <c r="T152" s="863">
        <f t="shared" si="42"/>
        <v>582</v>
      </c>
      <c r="U152" s="861"/>
      <c r="V152" s="861">
        <f t="shared" si="47"/>
        <v>2</v>
      </c>
      <c r="W152" s="861">
        <f t="shared" si="47"/>
        <v>1</v>
      </c>
      <c r="X152" s="861">
        <f t="shared" si="47"/>
        <v>2</v>
      </c>
      <c r="Y152" s="861">
        <f t="shared" si="47"/>
        <v>1</v>
      </c>
      <c r="Z152" s="861">
        <f t="shared" si="47"/>
        <v>1</v>
      </c>
      <c r="AA152" s="861">
        <f t="shared" si="47"/>
        <v>0</v>
      </c>
      <c r="AB152" s="861">
        <f t="shared" si="47"/>
        <v>0</v>
      </c>
      <c r="AC152" s="861">
        <f t="shared" si="47"/>
        <v>1</v>
      </c>
      <c r="AD152" s="861">
        <f t="shared" si="47"/>
        <v>2</v>
      </c>
      <c r="AE152" s="861">
        <f t="shared" si="47"/>
        <v>1</v>
      </c>
      <c r="AF152" s="861">
        <f t="shared" si="47"/>
        <v>0</v>
      </c>
      <c r="AG152" s="861">
        <f t="shared" si="47"/>
        <v>1</v>
      </c>
      <c r="AH152" s="861">
        <f t="shared" si="40"/>
        <v>1</v>
      </c>
      <c r="AI152" s="1071"/>
      <c r="AJ152" s="840"/>
      <c r="AK152" s="840">
        <v>30</v>
      </c>
      <c r="AL152" s="863">
        <f t="shared" si="43"/>
        <v>12</v>
      </c>
      <c r="AM152" s="861">
        <f t="shared" si="44"/>
        <v>360</v>
      </c>
      <c r="AN152" s="863">
        <f t="shared" si="45"/>
        <v>-222</v>
      </c>
    </row>
    <row r="153" spans="1:40" ht="12" customHeight="1">
      <c r="A153" s="840" t="str">
        <f t="shared" si="41"/>
        <v>RuralRolloffTARP-RO</v>
      </c>
      <c r="B153" s="840">
        <f t="shared" si="38"/>
        <v>1</v>
      </c>
      <c r="C153" s="883" t="s">
        <v>2398</v>
      </c>
      <c r="D153" s="883" t="s">
        <v>2399</v>
      </c>
      <c r="E153" s="883">
        <v>17.8</v>
      </c>
      <c r="F153" s="883"/>
      <c r="G153" s="860"/>
      <c r="H153" s="861">
        <v>0</v>
      </c>
      <c r="I153" s="861">
        <v>0</v>
      </c>
      <c r="J153" s="861">
        <v>0</v>
      </c>
      <c r="K153" s="861">
        <v>0</v>
      </c>
      <c r="L153" s="861">
        <v>17.8</v>
      </c>
      <c r="M153" s="861">
        <v>53.4</v>
      </c>
      <c r="N153" s="861">
        <v>17.8</v>
      </c>
      <c r="O153" s="861">
        <v>0</v>
      </c>
      <c r="P153" s="861">
        <v>17.8</v>
      </c>
      <c r="Q153" s="861">
        <v>35.6</v>
      </c>
      <c r="R153" s="861">
        <v>17.8</v>
      </c>
      <c r="S153" s="861">
        <v>35.6</v>
      </c>
      <c r="T153" s="863">
        <f t="shared" si="42"/>
        <v>195.8</v>
      </c>
      <c r="U153" s="861"/>
      <c r="V153" s="861">
        <f t="shared" si="47"/>
        <v>0</v>
      </c>
      <c r="W153" s="861">
        <f t="shared" si="47"/>
        <v>0</v>
      </c>
      <c r="X153" s="861">
        <f t="shared" si="47"/>
        <v>0</v>
      </c>
      <c r="Y153" s="861">
        <f t="shared" si="47"/>
        <v>0</v>
      </c>
      <c r="Z153" s="861">
        <f t="shared" si="47"/>
        <v>1</v>
      </c>
      <c r="AA153" s="861">
        <f t="shared" si="47"/>
        <v>3</v>
      </c>
      <c r="AB153" s="861">
        <f t="shared" si="47"/>
        <v>1</v>
      </c>
      <c r="AC153" s="861">
        <f t="shared" si="47"/>
        <v>0</v>
      </c>
      <c r="AD153" s="861">
        <f t="shared" si="47"/>
        <v>1</v>
      </c>
      <c r="AE153" s="861">
        <f t="shared" si="47"/>
        <v>2</v>
      </c>
      <c r="AF153" s="861">
        <f t="shared" si="47"/>
        <v>1</v>
      </c>
      <c r="AG153" s="861">
        <f t="shared" si="47"/>
        <v>2</v>
      </c>
      <c r="AH153" s="861">
        <f t="shared" si="40"/>
        <v>0.91666666666666663</v>
      </c>
      <c r="AI153" s="1071"/>
      <c r="AJ153" s="840"/>
      <c r="AK153" s="840">
        <v>22.6</v>
      </c>
      <c r="AL153" s="863">
        <f t="shared" si="43"/>
        <v>11</v>
      </c>
      <c r="AM153" s="861">
        <f t="shared" si="44"/>
        <v>248.60000000000002</v>
      </c>
      <c r="AN153" s="863">
        <f t="shared" si="45"/>
        <v>52.800000000000011</v>
      </c>
    </row>
    <row r="154" spans="1:40" ht="12" customHeight="1">
      <c r="A154" s="840" t="str">
        <f t="shared" si="41"/>
        <v>RuralRolloffTIME-RO</v>
      </c>
      <c r="B154" s="840">
        <f t="shared" si="38"/>
        <v>1</v>
      </c>
      <c r="C154" s="883" t="s">
        <v>2400</v>
      </c>
      <c r="D154" s="883" t="s">
        <v>2401</v>
      </c>
      <c r="E154" s="883">
        <v>0</v>
      </c>
      <c r="F154" s="883"/>
      <c r="G154" s="860"/>
      <c r="H154" s="861">
        <v>0</v>
      </c>
      <c r="I154" s="861">
        <v>0</v>
      </c>
      <c r="J154" s="861">
        <v>51.35</v>
      </c>
      <c r="K154" s="861">
        <v>0</v>
      </c>
      <c r="L154" s="861">
        <v>0</v>
      </c>
      <c r="M154" s="861">
        <v>0</v>
      </c>
      <c r="N154" s="861">
        <v>0</v>
      </c>
      <c r="O154" s="861">
        <v>0</v>
      </c>
      <c r="P154" s="861">
        <v>102.7</v>
      </c>
      <c r="Q154" s="861">
        <v>0</v>
      </c>
      <c r="R154" s="861">
        <v>0</v>
      </c>
      <c r="S154" s="861">
        <v>51.35</v>
      </c>
      <c r="T154" s="863">
        <f t="shared" si="42"/>
        <v>205.4</v>
      </c>
      <c r="U154" s="861"/>
      <c r="V154" s="861">
        <f t="shared" si="47"/>
        <v>0</v>
      </c>
      <c r="W154" s="861">
        <f t="shared" si="47"/>
        <v>0</v>
      </c>
      <c r="X154" s="861">
        <f t="shared" si="47"/>
        <v>0</v>
      </c>
      <c r="Y154" s="861">
        <f t="shared" si="47"/>
        <v>0</v>
      </c>
      <c r="Z154" s="861">
        <f t="shared" si="47"/>
        <v>0</v>
      </c>
      <c r="AA154" s="861">
        <f t="shared" si="47"/>
        <v>0</v>
      </c>
      <c r="AB154" s="861">
        <f t="shared" si="47"/>
        <v>0</v>
      </c>
      <c r="AC154" s="861">
        <f t="shared" si="47"/>
        <v>0</v>
      </c>
      <c r="AD154" s="861">
        <f t="shared" si="47"/>
        <v>0</v>
      </c>
      <c r="AE154" s="861">
        <f t="shared" si="47"/>
        <v>0</v>
      </c>
      <c r="AF154" s="861">
        <f t="shared" si="47"/>
        <v>0</v>
      </c>
      <c r="AG154" s="861">
        <f t="shared" si="47"/>
        <v>0</v>
      </c>
      <c r="AH154" s="861">
        <f t="shared" si="40"/>
        <v>0</v>
      </c>
      <c r="AI154" s="1071"/>
      <c r="AJ154" s="840"/>
      <c r="AK154" s="840">
        <v>0</v>
      </c>
      <c r="AL154" s="863">
        <f t="shared" si="43"/>
        <v>0</v>
      </c>
      <c r="AM154" s="861">
        <f t="shared" si="44"/>
        <v>0</v>
      </c>
      <c r="AN154" s="863">
        <f t="shared" si="45"/>
        <v>-205.4</v>
      </c>
    </row>
    <row r="155" spans="1:40" ht="12" customHeight="1">
      <c r="A155" s="840" t="str">
        <f t="shared" si="41"/>
        <v>RuralRolloffDISCO-CP</v>
      </c>
      <c r="B155" s="840">
        <f t="shared" si="38"/>
        <v>1</v>
      </c>
      <c r="C155" s="1073" t="s">
        <v>2405</v>
      </c>
      <c r="D155" s="883" t="s">
        <v>2433</v>
      </c>
      <c r="E155" s="883">
        <v>0</v>
      </c>
      <c r="F155" s="883"/>
      <c r="G155" s="860"/>
      <c r="H155" s="861">
        <v>0</v>
      </c>
      <c r="I155" s="861">
        <v>24</v>
      </c>
      <c r="J155" s="861">
        <v>12</v>
      </c>
      <c r="K155" s="861">
        <v>0</v>
      </c>
      <c r="L155" s="861">
        <v>0</v>
      </c>
      <c r="M155" s="861">
        <v>0</v>
      </c>
      <c r="N155" s="861">
        <v>0</v>
      </c>
      <c r="O155" s="861">
        <v>0</v>
      </c>
      <c r="P155" s="861">
        <v>0</v>
      </c>
      <c r="Q155" s="861">
        <v>0</v>
      </c>
      <c r="R155" s="861">
        <v>0</v>
      </c>
      <c r="S155" s="861">
        <v>0</v>
      </c>
      <c r="T155" s="863">
        <f t="shared" si="42"/>
        <v>36</v>
      </c>
      <c r="U155" s="861"/>
      <c r="V155" s="861">
        <f t="shared" si="47"/>
        <v>0</v>
      </c>
      <c r="W155" s="861">
        <f t="shared" si="47"/>
        <v>0</v>
      </c>
      <c r="X155" s="861">
        <f t="shared" si="47"/>
        <v>0</v>
      </c>
      <c r="Y155" s="861">
        <f t="shared" si="47"/>
        <v>0</v>
      </c>
      <c r="Z155" s="861">
        <f t="shared" si="47"/>
        <v>0</v>
      </c>
      <c r="AA155" s="861">
        <f t="shared" si="47"/>
        <v>0</v>
      </c>
      <c r="AB155" s="861">
        <f t="shared" si="47"/>
        <v>0</v>
      </c>
      <c r="AC155" s="861">
        <f t="shared" si="47"/>
        <v>0</v>
      </c>
      <c r="AD155" s="861">
        <f t="shared" si="47"/>
        <v>0</v>
      </c>
      <c r="AE155" s="861">
        <f t="shared" si="47"/>
        <v>0</v>
      </c>
      <c r="AF155" s="861">
        <f t="shared" si="47"/>
        <v>0</v>
      </c>
      <c r="AG155" s="861">
        <f t="shared" si="47"/>
        <v>0</v>
      </c>
      <c r="AH155" s="861">
        <f t="shared" si="40"/>
        <v>0</v>
      </c>
      <c r="AI155" s="1071"/>
      <c r="AJ155" s="840"/>
      <c r="AK155" s="840">
        <v>12</v>
      </c>
      <c r="AL155" s="863">
        <f t="shared" si="43"/>
        <v>0</v>
      </c>
      <c r="AM155" s="861">
        <f t="shared" si="44"/>
        <v>0</v>
      </c>
      <c r="AN155" s="863">
        <f t="shared" si="45"/>
        <v>-36</v>
      </c>
    </row>
    <row r="156" spans="1:40" ht="12" customHeight="1">
      <c r="A156" s="840" t="str">
        <f t="shared" si="41"/>
        <v>RuralRolloffEXWGHT-RO</v>
      </c>
      <c r="B156" s="840">
        <f t="shared" si="38"/>
        <v>1</v>
      </c>
      <c r="C156" s="1073" t="s">
        <v>2402</v>
      </c>
      <c r="D156" s="883" t="s">
        <v>2434</v>
      </c>
      <c r="E156" s="883">
        <v>0.14000000000000001</v>
      </c>
      <c r="F156" s="883"/>
      <c r="G156" s="860"/>
      <c r="H156" s="861">
        <v>0</v>
      </c>
      <c r="I156" s="861">
        <v>0</v>
      </c>
      <c r="J156" s="861">
        <v>0</v>
      </c>
      <c r="K156" s="861">
        <v>0</v>
      </c>
      <c r="L156" s="861">
        <v>0</v>
      </c>
      <c r="M156" s="861">
        <v>0</v>
      </c>
      <c r="N156" s="861">
        <v>308</v>
      </c>
      <c r="O156" s="861">
        <v>0</v>
      </c>
      <c r="P156" s="861">
        <v>0</v>
      </c>
      <c r="Q156" s="861">
        <v>0</v>
      </c>
      <c r="R156" s="861">
        <v>0</v>
      </c>
      <c r="S156" s="861">
        <v>0</v>
      </c>
      <c r="T156" s="863">
        <f t="shared" si="42"/>
        <v>308</v>
      </c>
      <c r="U156" s="861"/>
      <c r="V156" s="861">
        <f t="shared" si="47"/>
        <v>0</v>
      </c>
      <c r="W156" s="861">
        <f t="shared" si="47"/>
        <v>0</v>
      </c>
      <c r="X156" s="861">
        <f t="shared" si="47"/>
        <v>0</v>
      </c>
      <c r="Y156" s="861">
        <f t="shared" si="47"/>
        <v>0</v>
      </c>
      <c r="Z156" s="861">
        <f t="shared" si="47"/>
        <v>0</v>
      </c>
      <c r="AA156" s="861">
        <f t="shared" si="47"/>
        <v>0</v>
      </c>
      <c r="AB156" s="861">
        <f t="shared" si="47"/>
        <v>2200</v>
      </c>
      <c r="AC156" s="861">
        <f t="shared" si="47"/>
        <v>0</v>
      </c>
      <c r="AD156" s="861">
        <f t="shared" si="47"/>
        <v>0</v>
      </c>
      <c r="AE156" s="861">
        <f t="shared" si="47"/>
        <v>0</v>
      </c>
      <c r="AF156" s="861">
        <f t="shared" si="47"/>
        <v>0</v>
      </c>
      <c r="AG156" s="861">
        <f t="shared" si="47"/>
        <v>0</v>
      </c>
      <c r="AH156" s="861">
        <f t="shared" si="40"/>
        <v>183.33333333333334</v>
      </c>
      <c r="AI156" s="1071"/>
      <c r="AJ156" s="840"/>
      <c r="AK156" s="840">
        <v>0.14000000000000001</v>
      </c>
      <c r="AL156" s="863">
        <f t="shared" si="43"/>
        <v>2200</v>
      </c>
      <c r="AM156" s="861">
        <f t="shared" si="44"/>
        <v>308.00000000000006</v>
      </c>
      <c r="AN156" s="863">
        <f t="shared" si="45"/>
        <v>0</v>
      </c>
    </row>
    <row r="157" spans="1:40" ht="12" customHeight="1">
      <c r="A157" s="840"/>
      <c r="B157" s="840"/>
      <c r="C157" s="912"/>
      <c r="D157" s="912"/>
      <c r="E157" s="883"/>
      <c r="F157" s="883"/>
      <c r="G157" s="860"/>
      <c r="H157" s="873"/>
      <c r="I157" s="861"/>
      <c r="J157" s="861"/>
      <c r="K157" s="840"/>
      <c r="L157" s="840"/>
      <c r="M157" s="840"/>
      <c r="N157" s="840"/>
      <c r="O157" s="840"/>
      <c r="P157" s="840"/>
      <c r="Q157" s="840"/>
      <c r="R157" s="840"/>
      <c r="S157" s="840"/>
      <c r="T157" s="840"/>
      <c r="U157" s="840"/>
      <c r="V157" s="861"/>
      <c r="W157" s="861"/>
      <c r="X157" s="861"/>
      <c r="Y157" s="861"/>
      <c r="Z157" s="861"/>
      <c r="AA157" s="861"/>
      <c r="AB157" s="861"/>
      <c r="AC157" s="861"/>
      <c r="AD157" s="861"/>
      <c r="AE157" s="861"/>
      <c r="AF157" s="861"/>
      <c r="AG157" s="861"/>
      <c r="AH157" s="861"/>
      <c r="AI157" s="1071"/>
      <c r="AJ157" s="840"/>
      <c r="AK157" s="840"/>
      <c r="AL157" s="863"/>
      <c r="AM157" s="861"/>
      <c r="AN157" s="863"/>
    </row>
    <row r="158" spans="1:40" ht="12" customHeight="1">
      <c r="A158" s="840"/>
      <c r="B158" s="840">
        <f>COUNTIF(C:C,C158)</f>
        <v>0</v>
      </c>
      <c r="C158" s="912"/>
      <c r="D158" s="1063" t="s">
        <v>2409</v>
      </c>
      <c r="E158" s="883">
        <v>0</v>
      </c>
      <c r="F158" s="883"/>
      <c r="G158" s="860"/>
      <c r="H158" s="870">
        <f t="shared" ref="H158:S158" si="48">SUM(H126:H157)</f>
        <v>10083.919999999998</v>
      </c>
      <c r="I158" s="870">
        <f t="shared" si="48"/>
        <v>9501.8799999999974</v>
      </c>
      <c r="J158" s="870">
        <f t="shared" si="48"/>
        <v>12780.359999999999</v>
      </c>
      <c r="K158" s="870">
        <f t="shared" si="48"/>
        <v>10807.860000000002</v>
      </c>
      <c r="L158" s="870">
        <f t="shared" si="48"/>
        <v>9425.7999999999993</v>
      </c>
      <c r="M158" s="870">
        <f t="shared" si="48"/>
        <v>11384.970000000001</v>
      </c>
      <c r="N158" s="870">
        <f t="shared" si="48"/>
        <v>8248.59</v>
      </c>
      <c r="O158" s="870">
        <f t="shared" si="48"/>
        <v>11780.880000000001</v>
      </c>
      <c r="P158" s="870">
        <f t="shared" si="48"/>
        <v>9804.56</v>
      </c>
      <c r="Q158" s="870">
        <f t="shared" si="48"/>
        <v>8295.9699999999993</v>
      </c>
      <c r="R158" s="870">
        <f t="shared" si="48"/>
        <v>13463.839999999998</v>
      </c>
      <c r="S158" s="870">
        <f t="shared" si="48"/>
        <v>13344.13</v>
      </c>
      <c r="T158" s="870">
        <f>SUM(T126:T157)</f>
        <v>128922.76</v>
      </c>
      <c r="U158" s="840"/>
      <c r="V158" s="872">
        <f>+SUM(V141:V145)</f>
        <v>14.8</v>
      </c>
      <c r="W158" s="872">
        <f t="shared" ref="W158:AH158" si="49">+SUM(W141:W145)</f>
        <v>14.676053962900507</v>
      </c>
      <c r="X158" s="872">
        <f t="shared" si="49"/>
        <v>17.866666666666667</v>
      </c>
      <c r="Y158" s="872">
        <f t="shared" si="49"/>
        <v>15.133333333333331</v>
      </c>
      <c r="Z158" s="872">
        <f t="shared" si="49"/>
        <v>15.799999999999999</v>
      </c>
      <c r="AA158" s="872">
        <f t="shared" si="49"/>
        <v>16.466666666666669</v>
      </c>
      <c r="AB158" s="872">
        <f t="shared" si="49"/>
        <v>10.818327183271833</v>
      </c>
      <c r="AC158" s="872">
        <f t="shared" si="49"/>
        <v>15.333333333333334</v>
      </c>
      <c r="AD158" s="872">
        <f t="shared" si="49"/>
        <v>14.866666666666665</v>
      </c>
      <c r="AE158" s="872">
        <f t="shared" si="49"/>
        <v>13.428537303584957</v>
      </c>
      <c r="AF158" s="872">
        <f t="shared" si="49"/>
        <v>17.933333333333334</v>
      </c>
      <c r="AG158" s="872">
        <f t="shared" si="49"/>
        <v>17.491454061891609</v>
      </c>
      <c r="AH158" s="872">
        <f t="shared" si="49"/>
        <v>15.384531042637409</v>
      </c>
      <c r="AI158" s="1071"/>
      <c r="AJ158" s="840"/>
      <c r="AK158" s="840"/>
      <c r="AL158" s="872">
        <f>SUM(AL126:AL157)</f>
        <v>7470.4001242141103</v>
      </c>
      <c r="AM158" s="872">
        <f>SUM(AM126:AM157)</f>
        <v>99863.921543272503</v>
      </c>
      <c r="AN158" s="872">
        <f>SUM(AN126:AN157)</f>
        <v>-29058.838456727502</v>
      </c>
    </row>
    <row r="159" spans="1:40" ht="12" customHeight="1">
      <c r="A159" s="840"/>
      <c r="B159" s="840"/>
      <c r="C159" s="912"/>
      <c r="D159" s="912"/>
      <c r="E159" s="883"/>
      <c r="F159" s="883"/>
      <c r="G159" s="860"/>
      <c r="H159" s="862"/>
      <c r="I159" s="861"/>
      <c r="J159" s="861"/>
      <c r="K159" s="840"/>
      <c r="L159" s="840"/>
      <c r="M159" s="840"/>
      <c r="N159" s="840"/>
      <c r="O159" s="840"/>
      <c r="P159" s="840"/>
      <c r="Q159" s="840"/>
      <c r="R159" s="840"/>
      <c r="S159" s="840"/>
      <c r="T159" s="864"/>
      <c r="U159" s="840"/>
      <c r="V159" s="861"/>
      <c r="W159" s="861"/>
      <c r="X159" s="861"/>
      <c r="Y159" s="861"/>
      <c r="Z159" s="861"/>
      <c r="AA159" s="861"/>
      <c r="AB159" s="861"/>
      <c r="AC159" s="861"/>
      <c r="AD159" s="861"/>
      <c r="AE159" s="861"/>
      <c r="AF159" s="861"/>
      <c r="AG159" s="861"/>
      <c r="AH159" s="861"/>
      <c r="AI159" s="1071"/>
      <c r="AJ159" s="840"/>
      <c r="AK159" s="840"/>
      <c r="AL159" s="840"/>
      <c r="AM159" s="840"/>
      <c r="AN159" s="840"/>
    </row>
    <row r="160" spans="1:40" ht="12" customHeight="1">
      <c r="A160" s="840"/>
      <c r="B160" s="840">
        <f>COUNTIF(C:C,C160)</f>
        <v>1</v>
      </c>
      <c r="C160" s="913" t="s">
        <v>2410</v>
      </c>
      <c r="D160" s="913" t="s">
        <v>2410</v>
      </c>
      <c r="E160" s="883">
        <v>0</v>
      </c>
      <c r="F160" s="883"/>
      <c r="G160" s="862"/>
      <c r="H160" s="862"/>
      <c r="I160" s="861"/>
      <c r="J160" s="861"/>
      <c r="K160" s="840"/>
      <c r="L160" s="840"/>
      <c r="M160" s="840"/>
      <c r="N160" s="840"/>
      <c r="O160" s="840"/>
      <c r="P160" s="840"/>
      <c r="Q160" s="840"/>
      <c r="R160" s="840"/>
      <c r="S160" s="840"/>
      <c r="T160" s="840"/>
      <c r="U160" s="840"/>
      <c r="V160" s="861"/>
      <c r="W160" s="861"/>
      <c r="X160" s="861"/>
      <c r="Y160" s="861"/>
      <c r="Z160" s="861"/>
      <c r="AA160" s="861"/>
      <c r="AB160" s="861"/>
      <c r="AC160" s="861"/>
      <c r="AD160" s="861"/>
      <c r="AE160" s="861"/>
      <c r="AF160" s="861"/>
      <c r="AG160" s="861"/>
      <c r="AH160" s="861"/>
      <c r="AI160" s="1071"/>
      <c r="AJ160" s="840"/>
      <c r="AK160" s="840"/>
      <c r="AL160" s="840"/>
      <c r="AM160" s="840"/>
      <c r="AN160" s="840"/>
    </row>
    <row r="161" spans="1:40" ht="12" customHeight="1">
      <c r="A161" s="840" t="str">
        <f>$A$1&amp;"Rolloff"&amp;C161</f>
        <v>RuralRolloffDISP-RO</v>
      </c>
      <c r="B161" s="840">
        <f>COUNTIF(C:C,C161)</f>
        <v>1</v>
      </c>
      <c r="C161" s="883" t="s">
        <v>2411</v>
      </c>
      <c r="D161" s="883" t="s">
        <v>2412</v>
      </c>
      <c r="E161" s="883">
        <v>119</v>
      </c>
      <c r="F161" s="883"/>
      <c r="G161" s="879"/>
      <c r="H161" s="861">
        <v>17668.310000000001</v>
      </c>
      <c r="I161" s="861">
        <v>16571.349999999999</v>
      </c>
      <c r="J161" s="861">
        <v>20879.11</v>
      </c>
      <c r="K161" s="861">
        <v>18271.52</v>
      </c>
      <c r="L161" s="861">
        <v>15959.35</v>
      </c>
      <c r="M161" s="861">
        <v>19939.12</v>
      </c>
      <c r="N161" s="861">
        <v>14706.43</v>
      </c>
      <c r="O161" s="861">
        <v>20200.259999999998</v>
      </c>
      <c r="P161" s="861">
        <v>16237.19</v>
      </c>
      <c r="Q161" s="861">
        <v>12341.54</v>
      </c>
      <c r="R161" s="861">
        <v>19915.16</v>
      </c>
      <c r="S161" s="861">
        <v>20855.13</v>
      </c>
      <c r="T161" s="863">
        <f>SUM(H161:S161)</f>
        <v>213544.47000000003</v>
      </c>
      <c r="U161" s="861"/>
      <c r="V161" s="861">
        <f t="shared" ref="V161:AG163" si="50">IFERROR(H161/$E161,0)</f>
        <v>148.47319327731094</v>
      </c>
      <c r="W161" s="861">
        <f t="shared" si="50"/>
        <v>139.2550420168067</v>
      </c>
      <c r="X161" s="861">
        <f t="shared" si="50"/>
        <v>175.45470588235295</v>
      </c>
      <c r="Y161" s="861">
        <f t="shared" si="50"/>
        <v>153.54218487394959</v>
      </c>
      <c r="Z161" s="861">
        <f t="shared" si="50"/>
        <v>134.11218487394959</v>
      </c>
      <c r="AA161" s="861">
        <f t="shared" si="50"/>
        <v>167.55563025210083</v>
      </c>
      <c r="AB161" s="861">
        <f t="shared" si="50"/>
        <v>123.58344537815127</v>
      </c>
      <c r="AC161" s="861">
        <f t="shared" si="50"/>
        <v>169.75008403361343</v>
      </c>
      <c r="AD161" s="861">
        <f t="shared" si="50"/>
        <v>136.44697478991597</v>
      </c>
      <c r="AE161" s="861">
        <f t="shared" si="50"/>
        <v>103.71042016806723</v>
      </c>
      <c r="AF161" s="861">
        <f t="shared" si="50"/>
        <v>167.35428571428571</v>
      </c>
      <c r="AG161" s="861">
        <f t="shared" si="50"/>
        <v>175.25319327731094</v>
      </c>
      <c r="AH161" s="861">
        <f>AVERAGE(V161:AG161)</f>
        <v>149.54094537815124</v>
      </c>
      <c r="AI161" s="1071"/>
      <c r="AJ161" s="840"/>
      <c r="AK161" s="840"/>
      <c r="AL161" s="840"/>
      <c r="AM161" s="840"/>
      <c r="AN161" s="840"/>
    </row>
    <row r="162" spans="1:40" ht="12" customHeight="1">
      <c r="A162" s="840" t="str">
        <f>$A$1&amp;"Rolloff"&amp;C162</f>
        <v>RuralRolloffDISPCONSTN-RO</v>
      </c>
      <c r="B162" s="840">
        <f>COUNTIF(C:C,C162)</f>
        <v>1</v>
      </c>
      <c r="C162" s="883" t="s">
        <v>2415</v>
      </c>
      <c r="D162" s="883" t="s">
        <v>2416</v>
      </c>
      <c r="E162" s="883">
        <v>0</v>
      </c>
      <c r="F162" s="883"/>
      <c r="G162" s="879"/>
      <c r="H162" s="861">
        <v>0</v>
      </c>
      <c r="I162" s="861">
        <v>0</v>
      </c>
      <c r="J162" s="861">
        <v>0</v>
      </c>
      <c r="K162" s="861">
        <v>330.89</v>
      </c>
      <c r="L162" s="861">
        <v>0</v>
      </c>
      <c r="M162" s="861">
        <v>0</v>
      </c>
      <c r="N162" s="861">
        <v>382</v>
      </c>
      <c r="O162" s="861">
        <v>0</v>
      </c>
      <c r="P162" s="861">
        <v>0</v>
      </c>
      <c r="Q162" s="861">
        <v>460</v>
      </c>
      <c r="R162" s="861">
        <v>353.6</v>
      </c>
      <c r="S162" s="861">
        <v>0</v>
      </c>
      <c r="T162" s="863">
        <f>SUM(H162:S162)</f>
        <v>1526.4899999999998</v>
      </c>
      <c r="U162" s="861"/>
      <c r="V162" s="861">
        <f t="shared" si="50"/>
        <v>0</v>
      </c>
      <c r="W162" s="861">
        <f t="shared" si="50"/>
        <v>0</v>
      </c>
      <c r="X162" s="861">
        <f t="shared" si="50"/>
        <v>0</v>
      </c>
      <c r="Y162" s="861">
        <f t="shared" si="50"/>
        <v>0</v>
      </c>
      <c r="Z162" s="861">
        <f t="shared" si="50"/>
        <v>0</v>
      </c>
      <c r="AA162" s="861">
        <f t="shared" si="50"/>
        <v>0</v>
      </c>
      <c r="AB162" s="861">
        <f t="shared" si="50"/>
        <v>0</v>
      </c>
      <c r="AC162" s="861">
        <f t="shared" si="50"/>
        <v>0</v>
      </c>
      <c r="AD162" s="861">
        <f t="shared" si="50"/>
        <v>0</v>
      </c>
      <c r="AE162" s="861">
        <f t="shared" si="50"/>
        <v>0</v>
      </c>
      <c r="AF162" s="861">
        <f t="shared" si="50"/>
        <v>0</v>
      </c>
      <c r="AG162" s="861">
        <f t="shared" si="50"/>
        <v>0</v>
      </c>
      <c r="AH162" s="861">
        <f>AVERAGE(V162:AG162)</f>
        <v>0</v>
      </c>
      <c r="AI162" s="1071"/>
      <c r="AJ162" s="840"/>
      <c r="AK162" s="840"/>
      <c r="AL162" s="840"/>
      <c r="AM162" s="840"/>
      <c r="AN162" s="840"/>
    </row>
    <row r="163" spans="1:40" ht="12" customHeight="1">
      <c r="A163" s="840" t="str">
        <f>$A$1&amp;"Rolloff"&amp;C163</f>
        <v>RuralRolloffDISPGW-RO</v>
      </c>
      <c r="B163" s="840">
        <f>COUNTIF(C:C,C163)</f>
        <v>1</v>
      </c>
      <c r="C163" s="883" t="s">
        <v>2413</v>
      </c>
      <c r="D163" s="883" t="s">
        <v>2414</v>
      </c>
      <c r="E163" s="883">
        <v>0</v>
      </c>
      <c r="F163" s="883"/>
      <c r="G163" s="879"/>
      <c r="H163" s="861">
        <v>94.99</v>
      </c>
      <c r="I163" s="861">
        <v>0</v>
      </c>
      <c r="J163" s="861">
        <v>0</v>
      </c>
      <c r="K163" s="861">
        <v>0</v>
      </c>
      <c r="L163" s="861">
        <v>0</v>
      </c>
      <c r="M163" s="861">
        <v>0</v>
      </c>
      <c r="N163" s="861">
        <v>0</v>
      </c>
      <c r="O163" s="861">
        <v>0</v>
      </c>
      <c r="P163" s="861">
        <v>0</v>
      </c>
      <c r="Q163" s="861">
        <v>0</v>
      </c>
      <c r="R163" s="861">
        <v>0</v>
      </c>
      <c r="S163" s="861">
        <v>0</v>
      </c>
      <c r="T163" s="863">
        <f>SUM(H163:S163)</f>
        <v>94.99</v>
      </c>
      <c r="U163" s="861"/>
      <c r="V163" s="861">
        <f t="shared" si="50"/>
        <v>0</v>
      </c>
      <c r="W163" s="861">
        <f t="shared" si="50"/>
        <v>0</v>
      </c>
      <c r="X163" s="861">
        <f t="shared" si="50"/>
        <v>0</v>
      </c>
      <c r="Y163" s="861">
        <f t="shared" si="50"/>
        <v>0</v>
      </c>
      <c r="Z163" s="861">
        <f t="shared" si="50"/>
        <v>0</v>
      </c>
      <c r="AA163" s="861">
        <f t="shared" si="50"/>
        <v>0</v>
      </c>
      <c r="AB163" s="861">
        <f t="shared" si="50"/>
        <v>0</v>
      </c>
      <c r="AC163" s="861">
        <f t="shared" si="50"/>
        <v>0</v>
      </c>
      <c r="AD163" s="861">
        <f t="shared" si="50"/>
        <v>0</v>
      </c>
      <c r="AE163" s="861">
        <f t="shared" si="50"/>
        <v>0</v>
      </c>
      <c r="AF163" s="861">
        <f t="shared" si="50"/>
        <v>0</v>
      </c>
      <c r="AG163" s="861">
        <f t="shared" si="50"/>
        <v>0</v>
      </c>
      <c r="AH163" s="861">
        <f>AVERAGE(V163:AG163)</f>
        <v>0</v>
      </c>
      <c r="AI163" s="1071"/>
      <c r="AJ163" s="840"/>
      <c r="AK163" s="840"/>
      <c r="AL163" s="840"/>
      <c r="AM163" s="840"/>
      <c r="AN163" s="840"/>
    </row>
    <row r="164" spans="1:40" ht="12" customHeight="1">
      <c r="A164" s="840"/>
      <c r="B164" s="840"/>
      <c r="C164" s="912"/>
      <c r="D164" s="912"/>
      <c r="E164" s="883"/>
      <c r="F164" s="883"/>
      <c r="G164" s="862"/>
      <c r="K164" s="840"/>
      <c r="L164" s="840"/>
      <c r="M164" s="840"/>
      <c r="N164" s="840"/>
      <c r="O164" s="840"/>
      <c r="P164" s="840"/>
      <c r="Q164" s="840"/>
      <c r="R164" s="840"/>
      <c r="S164" s="840"/>
      <c r="T164" s="840"/>
      <c r="U164" s="840"/>
      <c r="V164" s="861"/>
      <c r="W164" s="861"/>
      <c r="X164" s="861"/>
      <c r="Y164" s="861"/>
      <c r="Z164" s="861"/>
      <c r="AA164" s="861"/>
      <c r="AB164" s="861"/>
      <c r="AC164" s="861"/>
      <c r="AD164" s="861"/>
      <c r="AE164" s="861"/>
      <c r="AF164" s="861"/>
      <c r="AG164" s="861"/>
      <c r="AH164" s="861"/>
      <c r="AI164" s="1071"/>
      <c r="AJ164" s="840"/>
      <c r="AK164" s="840"/>
      <c r="AL164" s="840"/>
      <c r="AM164" s="840"/>
      <c r="AN164" s="840"/>
    </row>
    <row r="165" spans="1:40" ht="12" customHeight="1">
      <c r="A165" s="840"/>
      <c r="B165" s="840">
        <f>COUNTIF(C:C,C165)</f>
        <v>0</v>
      </c>
      <c r="C165" s="912"/>
      <c r="D165" s="1063" t="s">
        <v>2417</v>
      </c>
      <c r="E165" s="883">
        <v>0</v>
      </c>
      <c r="F165" s="883"/>
      <c r="G165" s="880"/>
      <c r="H165" s="870">
        <f t="shared" ref="H165:T165" si="51">SUM(H161:H164)</f>
        <v>17763.300000000003</v>
      </c>
      <c r="I165" s="870">
        <f t="shared" si="51"/>
        <v>16571.349999999999</v>
      </c>
      <c r="J165" s="870">
        <f t="shared" si="51"/>
        <v>20879.11</v>
      </c>
      <c r="K165" s="870">
        <f t="shared" si="51"/>
        <v>18602.41</v>
      </c>
      <c r="L165" s="870">
        <f t="shared" si="51"/>
        <v>15959.35</v>
      </c>
      <c r="M165" s="870">
        <f t="shared" si="51"/>
        <v>19939.12</v>
      </c>
      <c r="N165" s="870">
        <f t="shared" si="51"/>
        <v>15088.43</v>
      </c>
      <c r="O165" s="870">
        <f t="shared" si="51"/>
        <v>20200.259999999998</v>
      </c>
      <c r="P165" s="870">
        <f t="shared" si="51"/>
        <v>16237.19</v>
      </c>
      <c r="Q165" s="870">
        <f t="shared" si="51"/>
        <v>12801.54</v>
      </c>
      <c r="R165" s="870">
        <f t="shared" si="51"/>
        <v>20268.759999999998</v>
      </c>
      <c r="S165" s="870">
        <f t="shared" si="51"/>
        <v>20855.13</v>
      </c>
      <c r="T165" s="870">
        <f t="shared" si="51"/>
        <v>215165.95</v>
      </c>
      <c r="U165" s="840"/>
      <c r="V165" s="872">
        <f t="shared" ref="V165:AH165" si="52">SUM(V161:V164)</f>
        <v>148.47319327731094</v>
      </c>
      <c r="W165" s="872">
        <f t="shared" si="52"/>
        <v>139.2550420168067</v>
      </c>
      <c r="X165" s="872">
        <f t="shared" si="52"/>
        <v>175.45470588235295</v>
      </c>
      <c r="Y165" s="872">
        <f t="shared" si="52"/>
        <v>153.54218487394959</v>
      </c>
      <c r="Z165" s="872">
        <f t="shared" si="52"/>
        <v>134.11218487394959</v>
      </c>
      <c r="AA165" s="872">
        <f t="shared" si="52"/>
        <v>167.55563025210083</v>
      </c>
      <c r="AB165" s="872">
        <f t="shared" si="52"/>
        <v>123.58344537815127</v>
      </c>
      <c r="AC165" s="872">
        <f t="shared" si="52"/>
        <v>169.75008403361343</v>
      </c>
      <c r="AD165" s="872">
        <f t="shared" si="52"/>
        <v>136.44697478991597</v>
      </c>
      <c r="AE165" s="872">
        <f t="shared" si="52"/>
        <v>103.71042016806723</v>
      </c>
      <c r="AF165" s="872">
        <f t="shared" si="52"/>
        <v>167.35428571428571</v>
      </c>
      <c r="AG165" s="872">
        <f t="shared" si="52"/>
        <v>175.25319327731094</v>
      </c>
      <c r="AH165" s="872">
        <f t="shared" si="52"/>
        <v>149.54094537815124</v>
      </c>
      <c r="AI165" s="1071"/>
      <c r="AJ165" s="840"/>
      <c r="AK165" s="840"/>
      <c r="AL165" s="872"/>
      <c r="AM165" s="872">
        <f>+T165</f>
        <v>215165.95</v>
      </c>
      <c r="AN165" s="872">
        <f>+AM165-T165</f>
        <v>0</v>
      </c>
    </row>
    <row r="166" spans="1:40" ht="12" customHeight="1">
      <c r="A166" s="840"/>
      <c r="B166" s="840"/>
      <c r="C166" s="912"/>
      <c r="D166" s="1062"/>
      <c r="E166" s="883"/>
      <c r="F166" s="883"/>
      <c r="G166" s="880"/>
      <c r="H166" s="856"/>
      <c r="K166" s="840"/>
      <c r="L166" s="840"/>
      <c r="M166" s="840"/>
      <c r="N166" s="840"/>
      <c r="O166" s="840"/>
      <c r="P166" s="840"/>
      <c r="Q166" s="840"/>
      <c r="R166" s="840"/>
      <c r="S166" s="840"/>
      <c r="T166" s="840"/>
      <c r="U166" s="840"/>
      <c r="V166" s="861"/>
      <c r="W166" s="861"/>
      <c r="X166" s="861"/>
      <c r="Y166" s="861"/>
      <c r="Z166" s="861"/>
      <c r="AA166" s="861"/>
      <c r="AB166" s="861"/>
      <c r="AC166" s="861"/>
      <c r="AD166" s="861"/>
      <c r="AE166" s="861"/>
      <c r="AF166" s="861"/>
      <c r="AG166" s="861"/>
      <c r="AH166" s="861"/>
      <c r="AI166" s="1071"/>
      <c r="AJ166" s="840"/>
      <c r="AK166" s="840"/>
      <c r="AL166" s="840"/>
      <c r="AM166" s="840"/>
      <c r="AN166" s="840"/>
    </row>
    <row r="167" spans="1:40" ht="12" customHeight="1">
      <c r="A167" s="840"/>
      <c r="B167" s="840">
        <f>COUNTIF(C:C,C167)</f>
        <v>1</v>
      </c>
      <c r="C167" s="1066" t="s">
        <v>631</v>
      </c>
      <c r="D167" s="1066" t="s">
        <v>631</v>
      </c>
      <c r="E167" s="883">
        <v>0</v>
      </c>
      <c r="F167" s="883"/>
      <c r="G167" s="860"/>
      <c r="H167" s="862"/>
      <c r="I167" s="861" t="str">
        <f>IF(G167="","",(#REF!/G167)+(#REF!/#REF!))</f>
        <v/>
      </c>
      <c r="J167" s="861" t="str">
        <f>IF(G167="","",I167/12)</f>
        <v/>
      </c>
      <c r="K167" s="840"/>
      <c r="L167" s="840"/>
      <c r="M167" s="840"/>
      <c r="N167" s="840"/>
      <c r="O167" s="840"/>
      <c r="P167" s="840"/>
      <c r="Q167" s="840"/>
      <c r="R167" s="840"/>
      <c r="S167" s="840"/>
      <c r="T167" s="864"/>
      <c r="U167" s="840"/>
      <c r="V167" s="861"/>
      <c r="W167" s="861"/>
      <c r="X167" s="861"/>
      <c r="Y167" s="861"/>
      <c r="Z167" s="861"/>
      <c r="AA167" s="861"/>
      <c r="AB167" s="861"/>
      <c r="AC167" s="861"/>
      <c r="AD167" s="861"/>
      <c r="AE167" s="861"/>
      <c r="AF167" s="861"/>
      <c r="AG167" s="861"/>
      <c r="AH167" s="861"/>
      <c r="AI167" s="1071"/>
      <c r="AJ167" s="840"/>
      <c r="AK167" s="840"/>
      <c r="AL167" s="840"/>
      <c r="AM167" s="840"/>
      <c r="AN167" s="840"/>
    </row>
    <row r="168" spans="1:40" ht="12" customHeight="1">
      <c r="A168" s="840" t="str">
        <f>$A$1&amp;"accounting adjustments"&amp;C168</f>
        <v>Ruralaccounting adjustmentsFINCHG</v>
      </c>
      <c r="B168" s="840">
        <f>COUNTIF(C:C,C168)</f>
        <v>1</v>
      </c>
      <c r="C168" s="883" t="s">
        <v>2420</v>
      </c>
      <c r="D168" s="883" t="s">
        <v>2421</v>
      </c>
      <c r="E168" s="883">
        <v>0</v>
      </c>
      <c r="F168" s="883"/>
      <c r="G168" s="860"/>
      <c r="H168" s="861">
        <v>225.98000000000002</v>
      </c>
      <c r="I168" s="861">
        <v>252.90999999999997</v>
      </c>
      <c r="J168" s="861">
        <v>244.39</v>
      </c>
      <c r="K168" s="861">
        <v>200.36</v>
      </c>
      <c r="L168" s="861">
        <v>309.63</v>
      </c>
      <c r="M168" s="861">
        <v>392.62</v>
      </c>
      <c r="N168" s="861">
        <v>211.35999999999999</v>
      </c>
      <c r="O168" s="861">
        <v>394</v>
      </c>
      <c r="P168" s="861">
        <v>220.56</v>
      </c>
      <c r="Q168" s="861">
        <v>277.64</v>
      </c>
      <c r="R168" s="861">
        <v>262.18</v>
      </c>
      <c r="S168" s="861">
        <v>270.15999999999997</v>
      </c>
      <c r="T168" s="863">
        <f t="shared" ref="T168:T170" si="53">SUM(H168:S168)</f>
        <v>3261.7899999999995</v>
      </c>
      <c r="U168" s="840"/>
      <c r="V168" s="861">
        <f t="shared" ref="V168:AG170" si="54">IFERROR(H168/$E168,0)</f>
        <v>0</v>
      </c>
      <c r="W168" s="861">
        <f t="shared" si="54"/>
        <v>0</v>
      </c>
      <c r="X168" s="861">
        <f t="shared" si="54"/>
        <v>0</v>
      </c>
      <c r="Y168" s="861">
        <f t="shared" si="54"/>
        <v>0</v>
      </c>
      <c r="Z168" s="861">
        <f t="shared" si="54"/>
        <v>0</v>
      </c>
      <c r="AA168" s="861">
        <f t="shared" si="54"/>
        <v>0</v>
      </c>
      <c r="AB168" s="861">
        <f t="shared" si="54"/>
        <v>0</v>
      </c>
      <c r="AC168" s="861">
        <f t="shared" si="54"/>
        <v>0</v>
      </c>
      <c r="AD168" s="861">
        <f t="shared" si="54"/>
        <v>0</v>
      </c>
      <c r="AE168" s="861">
        <f t="shared" si="54"/>
        <v>0</v>
      </c>
      <c r="AF168" s="861">
        <f t="shared" si="54"/>
        <v>0</v>
      </c>
      <c r="AG168" s="861">
        <f t="shared" si="54"/>
        <v>0</v>
      </c>
      <c r="AH168" s="861">
        <f>AVERAGE(V168:AG168)</f>
        <v>0</v>
      </c>
      <c r="AI168" s="1071"/>
      <c r="AJ168" s="840"/>
      <c r="AK168" s="840"/>
      <c r="AL168" s="863"/>
      <c r="AM168" s="861"/>
      <c r="AN168" s="863"/>
    </row>
    <row r="169" spans="1:40" ht="12" customHeight="1">
      <c r="A169" s="840" t="str">
        <f>$A$1&amp;"accounting adjustments"&amp;C169</f>
        <v>Ruralaccounting adjustmentsRETCKC</v>
      </c>
      <c r="B169" s="840">
        <f>COUNTIF(C:C,C169)</f>
        <v>1</v>
      </c>
      <c r="C169" s="883" t="s">
        <v>2422</v>
      </c>
      <c r="D169" s="883" t="s">
        <v>2423</v>
      </c>
      <c r="E169" s="883">
        <v>20</v>
      </c>
      <c r="F169" s="883"/>
      <c r="G169" s="860"/>
      <c r="H169" s="861">
        <v>20</v>
      </c>
      <c r="I169" s="861">
        <v>0</v>
      </c>
      <c r="J169" s="861">
        <v>20</v>
      </c>
      <c r="K169" s="861">
        <v>40</v>
      </c>
      <c r="L169" s="861">
        <v>20</v>
      </c>
      <c r="M169" s="861">
        <v>40</v>
      </c>
      <c r="N169" s="861">
        <v>0</v>
      </c>
      <c r="O169" s="861">
        <v>0</v>
      </c>
      <c r="P169" s="861">
        <v>20</v>
      </c>
      <c r="Q169" s="861">
        <v>0</v>
      </c>
      <c r="R169" s="861">
        <v>0</v>
      </c>
      <c r="S169" s="861">
        <v>0</v>
      </c>
      <c r="T169" s="863">
        <f t="shared" si="53"/>
        <v>160</v>
      </c>
      <c r="U169" s="840"/>
      <c r="V169" s="861">
        <f t="shared" si="54"/>
        <v>1</v>
      </c>
      <c r="W169" s="861">
        <f t="shared" si="54"/>
        <v>0</v>
      </c>
      <c r="X169" s="861">
        <f t="shared" si="54"/>
        <v>1</v>
      </c>
      <c r="Y169" s="861">
        <f t="shared" si="54"/>
        <v>2</v>
      </c>
      <c r="Z169" s="861">
        <f t="shared" si="54"/>
        <v>1</v>
      </c>
      <c r="AA169" s="861">
        <f t="shared" si="54"/>
        <v>2</v>
      </c>
      <c r="AB169" s="861">
        <f t="shared" si="54"/>
        <v>0</v>
      </c>
      <c r="AC169" s="861">
        <f t="shared" si="54"/>
        <v>0</v>
      </c>
      <c r="AD169" s="861">
        <f t="shared" si="54"/>
        <v>1</v>
      </c>
      <c r="AE169" s="861">
        <f t="shared" si="54"/>
        <v>0</v>
      </c>
      <c r="AF169" s="861">
        <f t="shared" si="54"/>
        <v>0</v>
      </c>
      <c r="AG169" s="861">
        <f t="shared" si="54"/>
        <v>0</v>
      </c>
      <c r="AH169" s="861">
        <f>AVERAGE(V169:AG169)</f>
        <v>0.66666666666666663</v>
      </c>
      <c r="AI169" s="1071"/>
      <c r="AJ169" s="840"/>
      <c r="AK169" s="840">
        <v>20</v>
      </c>
      <c r="AL169" s="863">
        <f t="shared" ref="AL169" si="55">+SUM(V169:AG169)</f>
        <v>8</v>
      </c>
      <c r="AM169" s="861">
        <f t="shared" ref="AM169" si="56">+AK169*AL169</f>
        <v>160</v>
      </c>
      <c r="AN169" s="863">
        <f t="shared" ref="AN169" si="57">+AM169-T169</f>
        <v>0</v>
      </c>
    </row>
    <row r="170" spans="1:40" ht="12" customHeight="1">
      <c r="A170" s="840" t="str">
        <f>$A$1&amp;"accounting adjustments"&amp;C170</f>
        <v>Ruralaccounting adjustmentsCOLLFEE</v>
      </c>
      <c r="B170" s="840">
        <f>COUNTIF(C:C,C170)</f>
        <v>1</v>
      </c>
      <c r="C170" s="1073" t="s">
        <v>2424</v>
      </c>
      <c r="D170" s="883" t="s">
        <v>2425</v>
      </c>
      <c r="E170" s="883">
        <v>0</v>
      </c>
      <c r="F170" s="883"/>
      <c r="G170" s="860"/>
      <c r="H170" s="861">
        <v>-100.35</v>
      </c>
      <c r="I170" s="861">
        <v>0</v>
      </c>
      <c r="J170" s="861">
        <v>-33.31</v>
      </c>
      <c r="K170" s="861">
        <v>0</v>
      </c>
      <c r="L170" s="861">
        <v>-107.72</v>
      </c>
      <c r="M170" s="861">
        <v>0</v>
      </c>
      <c r="N170" s="861">
        <v>0</v>
      </c>
      <c r="O170" s="861">
        <v>-58.02</v>
      </c>
      <c r="P170" s="861">
        <v>0</v>
      </c>
      <c r="Q170" s="861">
        <v>-36.31</v>
      </c>
      <c r="R170" s="861">
        <v>0</v>
      </c>
      <c r="S170" s="861">
        <v>-52.43</v>
      </c>
      <c r="T170" s="863">
        <f t="shared" si="53"/>
        <v>-388.14</v>
      </c>
      <c r="U170" s="840"/>
      <c r="V170" s="861">
        <f t="shared" si="54"/>
        <v>0</v>
      </c>
      <c r="W170" s="861">
        <f t="shared" si="54"/>
        <v>0</v>
      </c>
      <c r="X170" s="861">
        <f t="shared" si="54"/>
        <v>0</v>
      </c>
      <c r="Y170" s="861">
        <f t="shared" si="54"/>
        <v>0</v>
      </c>
      <c r="Z170" s="861">
        <f t="shared" si="54"/>
        <v>0</v>
      </c>
      <c r="AA170" s="861">
        <f t="shared" si="54"/>
        <v>0</v>
      </c>
      <c r="AB170" s="861">
        <f t="shared" si="54"/>
        <v>0</v>
      </c>
      <c r="AC170" s="861">
        <f t="shared" si="54"/>
        <v>0</v>
      </c>
      <c r="AD170" s="861">
        <f t="shared" si="54"/>
        <v>0</v>
      </c>
      <c r="AE170" s="861">
        <f t="shared" si="54"/>
        <v>0</v>
      </c>
      <c r="AF170" s="861">
        <f t="shared" si="54"/>
        <v>0</v>
      </c>
      <c r="AG170" s="861">
        <f t="shared" si="54"/>
        <v>0</v>
      </c>
      <c r="AH170" s="861">
        <f>AVERAGE(V170:AG170)</f>
        <v>0</v>
      </c>
      <c r="AI170" s="1071"/>
      <c r="AJ170" s="840"/>
      <c r="AK170" s="840"/>
      <c r="AL170" s="863"/>
      <c r="AM170" s="861"/>
      <c r="AN170" s="863"/>
    </row>
    <row r="171" spans="1:40" ht="12" customHeight="1">
      <c r="A171" s="840"/>
      <c r="B171" s="840"/>
      <c r="C171" s="1073"/>
      <c r="D171" s="883"/>
      <c r="E171" s="883"/>
      <c r="F171" s="883"/>
      <c r="G171" s="860"/>
      <c r="H171" s="862"/>
      <c r="I171" s="861"/>
      <c r="J171" s="861"/>
      <c r="K171" s="840"/>
      <c r="L171" s="840"/>
      <c r="M171" s="840"/>
      <c r="N171" s="840"/>
      <c r="O171" s="840"/>
      <c r="P171" s="840"/>
      <c r="Q171" s="840"/>
      <c r="R171" s="840"/>
      <c r="S171" s="840"/>
      <c r="T171" s="864"/>
      <c r="U171" s="840"/>
      <c r="V171" s="861"/>
      <c r="W171" s="861"/>
      <c r="X171" s="861"/>
      <c r="Y171" s="861"/>
      <c r="Z171" s="861"/>
      <c r="AA171" s="861"/>
      <c r="AB171" s="861"/>
      <c r="AC171" s="861"/>
      <c r="AD171" s="861"/>
      <c r="AE171" s="861"/>
      <c r="AF171" s="861"/>
      <c r="AG171" s="861"/>
      <c r="AH171" s="861"/>
      <c r="AI171" s="1071"/>
      <c r="AJ171" s="840"/>
      <c r="AK171" s="840"/>
      <c r="AL171" s="840"/>
      <c r="AM171" s="840"/>
      <c r="AN171" s="840"/>
    </row>
    <row r="172" spans="1:40" ht="12" customHeight="1">
      <c r="A172" s="840"/>
      <c r="B172" s="840"/>
      <c r="C172" s="912"/>
      <c r="D172" s="912"/>
      <c r="E172" s="912"/>
      <c r="F172" s="912"/>
      <c r="G172" s="860"/>
      <c r="H172" s="927">
        <f>SUM(H168:H171)</f>
        <v>145.63000000000002</v>
      </c>
      <c r="I172" s="927">
        <f t="shared" ref="I172:T172" si="58">SUM(I168:I171)</f>
        <v>252.90999999999997</v>
      </c>
      <c r="J172" s="927">
        <f t="shared" si="58"/>
        <v>231.07999999999998</v>
      </c>
      <c r="K172" s="927">
        <f t="shared" si="58"/>
        <v>240.36</v>
      </c>
      <c r="L172" s="927">
        <f t="shared" si="58"/>
        <v>221.91</v>
      </c>
      <c r="M172" s="927">
        <f t="shared" si="58"/>
        <v>432.62</v>
      </c>
      <c r="N172" s="927">
        <f t="shared" si="58"/>
        <v>211.35999999999999</v>
      </c>
      <c r="O172" s="927">
        <f t="shared" si="58"/>
        <v>335.98</v>
      </c>
      <c r="P172" s="927">
        <f t="shared" si="58"/>
        <v>240.56</v>
      </c>
      <c r="Q172" s="927">
        <f t="shared" si="58"/>
        <v>241.32999999999998</v>
      </c>
      <c r="R172" s="927">
        <f t="shared" si="58"/>
        <v>262.18</v>
      </c>
      <c r="S172" s="927">
        <f t="shared" si="58"/>
        <v>217.72999999999996</v>
      </c>
      <c r="T172" s="927">
        <f t="shared" si="58"/>
        <v>3033.6499999999996</v>
      </c>
      <c r="U172" s="840"/>
      <c r="V172" s="872">
        <f t="shared" ref="V172:AH172" si="59">SUM(V168:V170)</f>
        <v>1</v>
      </c>
      <c r="W172" s="872">
        <f t="shared" si="59"/>
        <v>0</v>
      </c>
      <c r="X172" s="872">
        <f t="shared" si="59"/>
        <v>1</v>
      </c>
      <c r="Y172" s="872">
        <f t="shared" si="59"/>
        <v>2</v>
      </c>
      <c r="Z172" s="872">
        <f t="shared" si="59"/>
        <v>1</v>
      </c>
      <c r="AA172" s="872">
        <f t="shared" si="59"/>
        <v>2</v>
      </c>
      <c r="AB172" s="872">
        <f t="shared" si="59"/>
        <v>0</v>
      </c>
      <c r="AC172" s="872">
        <f t="shared" si="59"/>
        <v>0</v>
      </c>
      <c r="AD172" s="872">
        <f t="shared" si="59"/>
        <v>1</v>
      </c>
      <c r="AE172" s="872">
        <f t="shared" si="59"/>
        <v>0</v>
      </c>
      <c r="AF172" s="872">
        <f t="shared" si="59"/>
        <v>0</v>
      </c>
      <c r="AG172" s="872">
        <f t="shared" si="59"/>
        <v>0</v>
      </c>
      <c r="AH172" s="872">
        <f t="shared" si="59"/>
        <v>0.66666666666666663</v>
      </c>
      <c r="AI172" s="1071"/>
      <c r="AJ172" s="840"/>
      <c r="AK172" s="840"/>
      <c r="AL172" s="872">
        <f t="shared" ref="AL172:AN172" si="60">SUM(AL168:AL170)</f>
        <v>8</v>
      </c>
      <c r="AM172" s="872">
        <f t="shared" si="60"/>
        <v>160</v>
      </c>
      <c r="AN172" s="872">
        <f t="shared" si="60"/>
        <v>0</v>
      </c>
    </row>
    <row r="173" spans="1:40" ht="12" customHeight="1">
      <c r="A173" s="840"/>
      <c r="B173" s="840"/>
      <c r="C173" s="840"/>
      <c r="H173" s="928"/>
      <c r="I173" s="928"/>
      <c r="J173" s="928"/>
      <c r="K173" s="928"/>
      <c r="L173" s="928"/>
      <c r="M173" s="928"/>
      <c r="N173" s="928"/>
      <c r="O173" s="928"/>
      <c r="P173" s="928"/>
      <c r="Q173" s="928"/>
      <c r="R173" s="928"/>
      <c r="S173" s="928"/>
      <c r="T173" s="928"/>
      <c r="U173" s="840"/>
      <c r="V173" s="862"/>
      <c r="W173" s="862"/>
      <c r="X173" s="862"/>
      <c r="Y173" s="862"/>
      <c r="Z173" s="862"/>
      <c r="AA173" s="862"/>
      <c r="AB173" s="862"/>
      <c r="AC173" s="862"/>
      <c r="AD173" s="862"/>
      <c r="AE173" s="862"/>
      <c r="AF173" s="862"/>
      <c r="AG173" s="862"/>
      <c r="AH173" s="862"/>
      <c r="AI173" s="1071"/>
      <c r="AJ173" s="840"/>
      <c r="AK173" s="840"/>
      <c r="AL173" s="840"/>
      <c r="AM173" s="840"/>
      <c r="AN173" s="840"/>
    </row>
    <row r="174" spans="1:40" ht="12" customHeight="1" thickBot="1">
      <c r="A174" s="840"/>
      <c r="B174" s="840"/>
      <c r="C174" s="840"/>
      <c r="D174" s="903" t="s">
        <v>2427</v>
      </c>
      <c r="E174" s="903"/>
      <c r="F174" s="903"/>
      <c r="H174" s="930">
        <f>H172+H165+H158+H120+H51+H45+H39</f>
        <v>192130.56499999994</v>
      </c>
      <c r="I174" s="930">
        <f t="shared" ref="I174:T174" si="61">I172+I165+I158+I120+I51+I45+I39</f>
        <v>192084.38499999998</v>
      </c>
      <c r="J174" s="930">
        <f t="shared" si="61"/>
        <v>196584.36</v>
      </c>
      <c r="K174" s="930">
        <f t="shared" si="61"/>
        <v>190138.40999999997</v>
      </c>
      <c r="L174" s="930">
        <f t="shared" si="61"/>
        <v>187579.51</v>
      </c>
      <c r="M174" s="930">
        <f t="shared" si="61"/>
        <v>193572.56</v>
      </c>
      <c r="N174" s="930">
        <f t="shared" si="61"/>
        <v>185572.64</v>
      </c>
      <c r="O174" s="930">
        <f t="shared" si="61"/>
        <v>194201.26</v>
      </c>
      <c r="P174" s="930">
        <f t="shared" si="61"/>
        <v>188614.86</v>
      </c>
      <c r="Q174" s="930">
        <f t="shared" si="61"/>
        <v>182599.685</v>
      </c>
      <c r="R174" s="930">
        <f t="shared" si="61"/>
        <v>196384.20500000002</v>
      </c>
      <c r="S174" s="930">
        <f t="shared" si="61"/>
        <v>194536.86</v>
      </c>
      <c r="T174" s="930">
        <f t="shared" si="61"/>
        <v>2293999.2999999998</v>
      </c>
      <c r="U174" s="840"/>
      <c r="V174" s="905">
        <f>V172+V165+V158++V120+V51+V45+V39</f>
        <v>10757.10647335039</v>
      </c>
      <c r="W174" s="905">
        <f t="shared" ref="W174:AH174" si="62">W172+W165+W158++W120+W51+W45+W39</f>
        <v>10798.045052309202</v>
      </c>
      <c r="X174" s="905">
        <f t="shared" si="62"/>
        <v>11203.724357186275</v>
      </c>
      <c r="Y174" s="905">
        <f t="shared" si="62"/>
        <v>10755.191725486078</v>
      </c>
      <c r="Z174" s="905">
        <f t="shared" si="62"/>
        <v>10750.635421956467</v>
      </c>
      <c r="AA174" s="905">
        <f t="shared" si="62"/>
        <v>11033.20241645945</v>
      </c>
      <c r="AB174" s="905">
        <f t="shared" si="62"/>
        <v>10983.490987368765</v>
      </c>
      <c r="AC174" s="905">
        <f t="shared" si="62"/>
        <v>10933.816487995111</v>
      </c>
      <c r="AD174" s="905">
        <f t="shared" si="62"/>
        <v>11019.857437756082</v>
      </c>
      <c r="AE174" s="905">
        <f t="shared" si="62"/>
        <v>10928.003655636236</v>
      </c>
      <c r="AF174" s="905">
        <f t="shared" si="62"/>
        <v>11065.069641320635</v>
      </c>
      <c r="AG174" s="905">
        <f t="shared" si="62"/>
        <v>10842.947252919965</v>
      </c>
      <c r="AH174" s="905">
        <f t="shared" si="62"/>
        <v>10922.590909145387</v>
      </c>
      <c r="AI174" s="1071"/>
      <c r="AJ174" s="840"/>
      <c r="AK174" s="840"/>
      <c r="AL174" s="905">
        <f>AL172+AL165+AL158+AL120+AL51+AL45+AL39</f>
        <v>144134.2542022074</v>
      </c>
      <c r="AM174" s="905">
        <f>AM172+AM165+AM158+AM120+AM51+AM45+AM39</f>
        <v>2196543.8832932459</v>
      </c>
      <c r="AN174" s="905">
        <f>AN172+AN165+AN158+AN120+AN51+AN45+AN39</f>
        <v>-94417.766706754075</v>
      </c>
    </row>
    <row r="175" spans="1:40" ht="12" customHeight="1" thickTop="1">
      <c r="A175" s="840"/>
      <c r="B175" s="840"/>
      <c r="C175" s="840"/>
      <c r="K175" s="840"/>
      <c r="L175" s="840"/>
      <c r="M175" s="840"/>
      <c r="N175" s="840"/>
      <c r="O175" s="840"/>
      <c r="P175" s="840"/>
      <c r="Q175" s="840"/>
      <c r="R175" s="840"/>
      <c r="S175" s="840"/>
      <c r="T175" s="840"/>
      <c r="U175" s="840"/>
      <c r="V175" s="840"/>
      <c r="W175" s="840"/>
      <c r="X175" s="840"/>
      <c r="Y175" s="840"/>
      <c r="Z175" s="840"/>
      <c r="AA175" s="840"/>
      <c r="AB175" s="840"/>
      <c r="AC175" s="840"/>
      <c r="AD175" s="840"/>
      <c r="AE175" s="840"/>
      <c r="AF175" s="840"/>
      <c r="AG175" s="840"/>
      <c r="AH175" s="840"/>
      <c r="AI175" s="1071"/>
      <c r="AJ175" s="840"/>
      <c r="AK175" s="840"/>
      <c r="AL175" s="840"/>
      <c r="AM175" s="840"/>
      <c r="AN175" s="840"/>
    </row>
    <row r="176" spans="1:40" ht="12" customHeight="1">
      <c r="A176" s="840"/>
      <c r="B176" s="840"/>
      <c r="C176" s="840"/>
      <c r="K176" s="840"/>
      <c r="L176" s="840"/>
      <c r="M176" s="840"/>
      <c r="N176" s="840"/>
      <c r="O176" s="840"/>
      <c r="P176" s="840"/>
      <c r="Q176" s="840"/>
      <c r="R176" s="840"/>
      <c r="S176" s="840"/>
      <c r="T176" s="840"/>
      <c r="U176" s="840"/>
      <c r="V176" s="840"/>
      <c r="W176" s="840"/>
      <c r="X176" s="840"/>
      <c r="Y176" s="840"/>
      <c r="Z176" s="840"/>
      <c r="AA176" s="840"/>
      <c r="AB176" s="840"/>
      <c r="AC176" s="840"/>
      <c r="AD176" s="840"/>
      <c r="AE176" s="840"/>
      <c r="AF176" s="840"/>
      <c r="AG176" s="840"/>
      <c r="AH176" s="840"/>
      <c r="AI176" s="1071"/>
      <c r="AJ176" s="840"/>
      <c r="AK176" s="840"/>
      <c r="AL176" s="840"/>
      <c r="AM176" s="840"/>
      <c r="AN176" s="840"/>
    </row>
    <row r="177" spans="1:40" ht="12" customHeight="1">
      <c r="A177" s="840"/>
      <c r="B177" s="840"/>
      <c r="C177" s="840"/>
      <c r="K177" s="840"/>
      <c r="L177" s="840"/>
      <c r="M177" s="909"/>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1071"/>
      <c r="AJ177" s="840"/>
      <c r="AK177" s="840"/>
      <c r="AL177" s="840"/>
      <c r="AM177" s="840"/>
      <c r="AN177" s="840"/>
    </row>
    <row r="178" spans="1:40" ht="12" customHeight="1">
      <c r="A178" s="840"/>
      <c r="B178" s="840"/>
      <c r="C178" s="840"/>
      <c r="K178" s="840"/>
      <c r="L178" s="840"/>
      <c r="M178" s="909"/>
      <c r="N178" s="840"/>
      <c r="O178" s="840"/>
      <c r="P178" s="840"/>
      <c r="Q178" s="840"/>
      <c r="R178" s="840"/>
      <c r="S178" s="840"/>
      <c r="T178" s="909"/>
      <c r="U178" s="840"/>
      <c r="V178" s="840"/>
      <c r="W178" s="840"/>
      <c r="X178" s="840"/>
      <c r="Y178" s="840"/>
      <c r="Z178" s="840"/>
      <c r="AA178" s="840"/>
      <c r="AB178" s="840"/>
      <c r="AC178" s="840"/>
      <c r="AD178" s="840"/>
      <c r="AE178" s="840"/>
      <c r="AF178" s="840"/>
      <c r="AG178" s="840"/>
      <c r="AH178" s="840"/>
      <c r="AI178" s="1071"/>
      <c r="AJ178" s="840"/>
      <c r="AK178" s="840"/>
      <c r="AL178" s="840"/>
      <c r="AM178" s="840"/>
      <c r="AN178" s="840"/>
    </row>
    <row r="179" spans="1:40" ht="12" customHeight="1">
      <c r="A179" s="840"/>
      <c r="B179" s="840"/>
      <c r="C179" s="840"/>
      <c r="K179" s="840"/>
      <c r="L179" s="840"/>
      <c r="M179" s="840"/>
      <c r="N179" s="840"/>
      <c r="O179" s="840"/>
      <c r="P179" s="840"/>
      <c r="Q179" s="840"/>
      <c r="R179" s="840"/>
      <c r="S179" s="840"/>
      <c r="T179" s="840"/>
      <c r="U179" s="840"/>
      <c r="V179" s="840"/>
      <c r="W179" s="840"/>
      <c r="X179" s="840"/>
      <c r="Y179" s="840"/>
      <c r="Z179" s="840"/>
      <c r="AA179" s="840"/>
      <c r="AB179" s="840"/>
      <c r="AC179" s="840"/>
      <c r="AD179" s="840"/>
      <c r="AE179" s="840"/>
      <c r="AF179" s="840"/>
      <c r="AG179" s="840"/>
      <c r="AH179" s="840"/>
      <c r="AI179" s="1071"/>
      <c r="AJ179" s="840"/>
      <c r="AK179" s="840"/>
      <c r="AL179" s="840"/>
      <c r="AM179" s="840"/>
      <c r="AN179" s="840"/>
    </row>
    <row r="180" spans="1:40" ht="12" customHeight="1">
      <c r="A180" s="840"/>
      <c r="B180" s="840"/>
      <c r="C180" s="840"/>
      <c r="K180" s="840"/>
      <c r="L180" s="840"/>
      <c r="M180" s="840"/>
      <c r="N180" s="840"/>
      <c r="O180" s="840"/>
      <c r="P180" s="840"/>
      <c r="Q180" s="840"/>
      <c r="R180" s="840"/>
      <c r="S180" s="840"/>
      <c r="T180" s="840"/>
      <c r="U180" s="840"/>
      <c r="V180" s="840"/>
      <c r="W180" s="840"/>
      <c r="X180" s="840"/>
      <c r="Y180" s="840"/>
      <c r="Z180" s="840"/>
      <c r="AA180" s="840"/>
      <c r="AB180" s="840"/>
      <c r="AC180" s="840"/>
      <c r="AD180" s="840"/>
      <c r="AE180" s="840"/>
      <c r="AF180" s="840"/>
      <c r="AG180" s="840"/>
      <c r="AH180" s="840"/>
      <c r="AI180" s="1071"/>
      <c r="AJ180" s="840"/>
      <c r="AK180" s="840"/>
      <c r="AL180" s="840"/>
      <c r="AM180" s="840"/>
      <c r="AN180" s="840"/>
    </row>
    <row r="181" spans="1:40" ht="12" customHeight="1">
      <c r="A181" s="840"/>
      <c r="B181" s="840"/>
      <c r="C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1071"/>
      <c r="AJ181" s="840"/>
      <c r="AK181" s="840"/>
      <c r="AL181" s="840"/>
      <c r="AM181" s="840"/>
      <c r="AN181" s="840"/>
    </row>
    <row r="182" spans="1:40" ht="12" customHeight="1">
      <c r="A182" s="840"/>
      <c r="B182" s="840"/>
      <c r="C182" s="840"/>
      <c r="K182" s="840"/>
      <c r="L182" s="840"/>
      <c r="M182" s="840"/>
      <c r="N182" s="840"/>
      <c r="O182" s="840"/>
      <c r="P182" s="840"/>
      <c r="Q182" s="840"/>
      <c r="R182" s="840"/>
      <c r="S182" s="840"/>
      <c r="T182" s="840"/>
      <c r="U182" s="840"/>
      <c r="V182" s="840"/>
      <c r="W182" s="840"/>
      <c r="X182" s="840"/>
      <c r="Y182" s="840"/>
      <c r="Z182" s="840"/>
      <c r="AA182" s="840"/>
      <c r="AB182" s="840"/>
      <c r="AC182" s="840"/>
      <c r="AD182" s="840"/>
      <c r="AE182" s="840"/>
      <c r="AF182" s="840"/>
      <c r="AG182" s="840"/>
      <c r="AH182" s="840"/>
      <c r="AI182" s="1071"/>
      <c r="AJ182" s="840"/>
      <c r="AK182" s="840"/>
      <c r="AL182" s="840"/>
      <c r="AM182" s="840"/>
      <c r="AN182" s="840"/>
    </row>
    <row r="183" spans="1:40" ht="12" customHeight="1">
      <c r="A183" s="840"/>
      <c r="B183" s="840"/>
      <c r="C183" s="840"/>
      <c r="K183" s="840"/>
      <c r="L183" s="840"/>
      <c r="M183" s="840"/>
      <c r="N183" s="840"/>
      <c r="O183" s="840"/>
      <c r="P183" s="840"/>
      <c r="Q183" s="840"/>
      <c r="R183" s="840"/>
      <c r="S183" s="840"/>
      <c r="T183" s="840"/>
      <c r="U183" s="840"/>
      <c r="V183" s="840"/>
      <c r="W183" s="840"/>
      <c r="X183" s="840"/>
      <c r="Y183" s="840"/>
      <c r="Z183" s="840"/>
      <c r="AA183" s="840"/>
      <c r="AB183" s="840"/>
      <c r="AC183" s="840"/>
      <c r="AD183" s="840"/>
      <c r="AE183" s="840"/>
      <c r="AF183" s="840"/>
      <c r="AG183" s="840"/>
      <c r="AH183" s="840"/>
      <c r="AI183" s="1071"/>
      <c r="AJ183" s="840"/>
      <c r="AK183" s="840"/>
      <c r="AL183" s="840"/>
      <c r="AM183" s="840"/>
      <c r="AN183" s="840"/>
    </row>
    <row r="184" spans="1:40" ht="12" customHeight="1">
      <c r="A184" s="840"/>
      <c r="B184" s="840"/>
      <c r="C184" s="840"/>
      <c r="K184" s="840"/>
      <c r="L184" s="840"/>
      <c r="M184" s="840"/>
      <c r="N184" s="840"/>
      <c r="O184" s="840"/>
      <c r="P184" s="840"/>
      <c r="Q184" s="840"/>
      <c r="R184" s="840"/>
      <c r="S184" s="840"/>
      <c r="T184" s="840"/>
      <c r="U184" s="840"/>
      <c r="V184" s="840"/>
      <c r="W184" s="840"/>
      <c r="X184" s="840"/>
      <c r="Y184" s="840"/>
      <c r="Z184" s="840"/>
      <c r="AA184" s="840"/>
      <c r="AB184" s="840"/>
      <c r="AC184" s="840"/>
      <c r="AD184" s="840"/>
      <c r="AE184" s="840"/>
      <c r="AF184" s="840"/>
      <c r="AG184" s="840"/>
      <c r="AH184" s="840"/>
      <c r="AI184" s="1071"/>
      <c r="AJ184" s="840"/>
      <c r="AK184" s="840"/>
      <c r="AL184" s="840"/>
      <c r="AM184" s="840"/>
      <c r="AN184" s="840"/>
    </row>
    <row r="185" spans="1:40" ht="12" customHeight="1">
      <c r="A185" s="840"/>
      <c r="B185" s="840"/>
      <c r="C185" s="840"/>
      <c r="K185" s="840"/>
      <c r="L185" s="840"/>
      <c r="M185" s="840"/>
      <c r="N185" s="840"/>
      <c r="O185" s="840"/>
      <c r="P185" s="840"/>
      <c r="Q185" s="840"/>
      <c r="R185" s="840"/>
      <c r="S185" s="840"/>
      <c r="T185" s="840"/>
      <c r="U185" s="840"/>
      <c r="V185" s="840"/>
      <c r="W185" s="840"/>
      <c r="X185" s="840"/>
      <c r="Y185" s="840"/>
      <c r="Z185" s="840"/>
      <c r="AA185" s="840"/>
      <c r="AB185" s="840"/>
      <c r="AC185" s="840"/>
      <c r="AD185" s="840"/>
      <c r="AE185" s="840"/>
      <c r="AF185" s="840"/>
      <c r="AG185" s="840"/>
      <c r="AH185" s="840"/>
      <c r="AI185" s="1071"/>
      <c r="AJ185" s="840"/>
      <c r="AK185" s="840"/>
      <c r="AL185" s="840"/>
      <c r="AM185" s="840"/>
      <c r="AN185" s="840"/>
    </row>
    <row r="186" spans="1:40" ht="12" customHeight="1">
      <c r="A186" s="840"/>
      <c r="B186" s="840"/>
      <c r="C186" s="840"/>
      <c r="K186" s="840"/>
      <c r="L186" s="840"/>
      <c r="M186" s="840"/>
      <c r="N186" s="840"/>
      <c r="O186" s="840"/>
      <c r="P186" s="840"/>
      <c r="Q186" s="840"/>
      <c r="R186" s="840"/>
      <c r="S186" s="840"/>
      <c r="T186" s="840"/>
      <c r="U186" s="840"/>
      <c r="V186" s="840"/>
      <c r="W186" s="840"/>
      <c r="X186" s="840"/>
      <c r="Y186" s="840"/>
      <c r="Z186" s="840"/>
      <c r="AA186" s="840"/>
      <c r="AB186" s="840"/>
      <c r="AC186" s="840"/>
      <c r="AD186" s="840"/>
      <c r="AE186" s="840"/>
      <c r="AF186" s="840"/>
      <c r="AG186" s="840"/>
      <c r="AH186" s="840"/>
      <c r="AI186" s="1071"/>
      <c r="AJ186" s="840"/>
      <c r="AK186" s="840"/>
      <c r="AL186" s="840"/>
      <c r="AM186" s="840"/>
      <c r="AN186" s="840"/>
    </row>
    <row r="187" spans="1:40" ht="12" customHeight="1">
      <c r="A187" s="840"/>
      <c r="B187" s="840"/>
      <c r="C187" s="840"/>
      <c r="K187" s="840"/>
      <c r="L187" s="840"/>
      <c r="M187" s="840"/>
      <c r="N187" s="840"/>
      <c r="O187" s="840"/>
      <c r="P187" s="840"/>
      <c r="Q187" s="840"/>
      <c r="R187" s="840"/>
      <c r="S187" s="840"/>
      <c r="T187" s="840"/>
      <c r="U187" s="840"/>
      <c r="V187" s="840"/>
      <c r="W187" s="840"/>
      <c r="X187" s="840"/>
      <c r="Y187" s="840"/>
      <c r="Z187" s="840"/>
      <c r="AA187" s="840"/>
      <c r="AB187" s="840"/>
      <c r="AC187" s="840"/>
      <c r="AD187" s="840"/>
      <c r="AE187" s="840"/>
      <c r="AF187" s="840"/>
      <c r="AG187" s="840"/>
      <c r="AH187" s="840"/>
      <c r="AI187" s="1071"/>
      <c r="AJ187" s="840"/>
      <c r="AK187" s="840"/>
      <c r="AL187" s="840"/>
      <c r="AM187" s="840"/>
      <c r="AN187" s="840"/>
    </row>
    <row r="188" spans="1:40" ht="12" customHeight="1">
      <c r="A188" s="840"/>
      <c r="B188" s="840"/>
      <c r="C188" s="840"/>
      <c r="K188" s="840"/>
      <c r="L188" s="840"/>
      <c r="M188" s="840"/>
      <c r="N188" s="840"/>
      <c r="O188" s="840"/>
      <c r="P188" s="840"/>
      <c r="Q188" s="840"/>
      <c r="R188" s="840"/>
      <c r="S188" s="840"/>
      <c r="T188" s="840"/>
      <c r="U188" s="840"/>
      <c r="V188" s="840"/>
      <c r="W188" s="840"/>
      <c r="X188" s="840"/>
      <c r="Y188" s="840"/>
      <c r="Z188" s="840"/>
      <c r="AA188" s="840"/>
      <c r="AB188" s="840"/>
      <c r="AC188" s="840"/>
      <c r="AD188" s="840"/>
      <c r="AE188" s="840"/>
      <c r="AF188" s="840"/>
      <c r="AG188" s="840"/>
      <c r="AH188" s="840"/>
      <c r="AI188" s="1071"/>
      <c r="AJ188" s="840"/>
      <c r="AK188" s="840"/>
      <c r="AL188" s="840"/>
      <c r="AM188" s="840"/>
      <c r="AN188" s="840"/>
    </row>
    <row r="189" spans="1:40" ht="12" customHeight="1">
      <c r="A189" s="840"/>
      <c r="B189" s="840"/>
      <c r="C189" s="840"/>
      <c r="K189" s="840"/>
      <c r="L189" s="840"/>
      <c r="M189" s="840"/>
      <c r="N189" s="840"/>
      <c r="O189" s="840"/>
      <c r="P189" s="840"/>
      <c r="Q189" s="840"/>
      <c r="R189" s="840"/>
      <c r="S189" s="840"/>
      <c r="T189" s="840"/>
      <c r="U189" s="840"/>
      <c r="V189" s="840"/>
      <c r="W189" s="840"/>
      <c r="X189" s="840"/>
      <c r="Y189" s="840"/>
      <c r="Z189" s="840"/>
      <c r="AA189" s="840"/>
      <c r="AB189" s="840"/>
      <c r="AC189" s="840"/>
      <c r="AD189" s="840"/>
      <c r="AE189" s="840"/>
      <c r="AF189" s="840"/>
      <c r="AG189" s="840"/>
      <c r="AH189" s="840"/>
      <c r="AI189" s="1071"/>
      <c r="AJ189" s="840"/>
      <c r="AK189" s="840"/>
      <c r="AL189" s="840"/>
      <c r="AM189" s="840"/>
      <c r="AN189" s="840"/>
    </row>
    <row r="190" spans="1:40" ht="12" customHeight="1"/>
    <row r="191" spans="1:40" ht="12" customHeight="1"/>
    <row r="192" spans="1:40" ht="12" customHeight="1"/>
    <row r="193" spans="1:2" ht="12" customHeight="1"/>
    <row r="194" spans="1:2" ht="12" customHeight="1"/>
    <row r="195" spans="1:2" ht="12" customHeight="1"/>
    <row r="196" spans="1:2" ht="12" customHeight="1">
      <c r="A196" s="840"/>
      <c r="B196" s="840"/>
    </row>
    <row r="197" spans="1:2" ht="12" customHeight="1"/>
    <row r="198" spans="1:2" ht="12" customHeight="1"/>
    <row r="199" spans="1:2" ht="12" customHeight="1"/>
    <row r="200" spans="1:2" ht="12" customHeight="1"/>
    <row r="201" spans="1:2" ht="12" customHeight="1"/>
    <row r="202" spans="1:2" ht="12" customHeight="1"/>
    <row r="203" spans="1:2" ht="12" customHeight="1"/>
    <row r="204" spans="1:2" ht="12" customHeight="1"/>
    <row r="205" spans="1:2" ht="12" customHeight="1"/>
    <row r="206" spans="1:2" ht="12" customHeight="1"/>
    <row r="207" spans="1:2" ht="12" customHeight="1"/>
    <row r="208" spans="1:2"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78" spans="1:2">
      <c r="A278" s="842"/>
      <c r="B278" s="842"/>
    </row>
    <row r="279" spans="1:2">
      <c r="A279" s="842"/>
      <c r="B279" s="842"/>
    </row>
    <row r="280" spans="1:2">
      <c r="A280" s="842"/>
      <c r="B280" s="842"/>
    </row>
    <row r="283" spans="1:2">
      <c r="A283" s="842"/>
      <c r="B283" s="842"/>
    </row>
    <row r="284" spans="1:2">
      <c r="A284" s="842"/>
      <c r="B284" s="842"/>
    </row>
    <row r="285" spans="1:2">
      <c r="A285" s="842"/>
      <c r="B285" s="842"/>
    </row>
    <row r="308" spans="1:2">
      <c r="A308" s="840"/>
      <c r="B308" s="840"/>
    </row>
    <row r="309" spans="1:2">
      <c r="A309" s="840"/>
      <c r="B309" s="840"/>
    </row>
    <row r="311" spans="1:2">
      <c r="A311" s="840"/>
      <c r="B311" s="840"/>
    </row>
    <row r="312" spans="1:2">
      <c r="A312" s="840"/>
      <c r="B312" s="840"/>
    </row>
    <row r="313" spans="1:2">
      <c r="A313" s="840"/>
      <c r="B313" s="840"/>
    </row>
    <row r="315" spans="1:2">
      <c r="A315" s="840"/>
      <c r="B315" s="840"/>
    </row>
    <row r="316" spans="1:2">
      <c r="A316" s="840"/>
      <c r="B316" s="840"/>
    </row>
    <row r="317" spans="1:2">
      <c r="A317" s="840"/>
      <c r="B317" s="840"/>
    </row>
    <row r="318" spans="1:2">
      <c r="A318" s="840"/>
      <c r="B318" s="840"/>
    </row>
    <row r="319" spans="1:2">
      <c r="A319" s="840"/>
      <c r="B319" s="840"/>
    </row>
  </sheetData>
  <mergeCells count="1">
    <mergeCell ref="AK2:AN3"/>
  </mergeCells>
  <conditionalFormatting sqref="H39:S39">
    <cfRule type="cellIs" dxfId="26" priority="2" operator="equal">
      <formula>0</formula>
    </cfRule>
  </conditionalFormatting>
  <conditionalFormatting sqref="H158:S158">
    <cfRule type="cellIs" dxfId="25" priority="1" operator="equal">
      <formula>0</formula>
    </cfRule>
  </conditionalFormatting>
  <pageMargins left="0.7" right="0.7" top="0.75" bottom="0.75" header="0.3" footer="0.3"/>
  <pageSetup scale="45" fitToHeight="5" pageOrder="overThenDown" orientation="landscape" r:id="rId1"/>
  <headerFooter alignWithMargins="0">
    <oddFooter>&amp;L&amp;D&amp;C&amp;P&amp;R&amp;T</oddFooter>
  </headerFooter>
  <rowBreaks count="1" manualBreakCount="1">
    <brk id="99" max="39" man="1"/>
  </rowBreaks>
  <colBreaks count="1" manualBreakCount="1">
    <brk id="20"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Z485"/>
  <sheetViews>
    <sheetView showGridLines="0" tabSelected="1" view="pageBreakPreview" topLeftCell="A331" zoomScaleNormal="100" zoomScaleSheetLayoutView="100" workbookViewId="0">
      <selection activeCell="AR41" sqref="AR41"/>
    </sheetView>
  </sheetViews>
  <sheetFormatPr defaultColWidth="11.42578125" defaultRowHeight="10.5"/>
  <cols>
    <col min="1" max="1" width="29.85546875" style="1031" customWidth="1"/>
    <col min="2" max="2" width="10.7109375" style="1032" bestFit="1" customWidth="1"/>
    <col min="3" max="3" width="1.5703125" style="1031" customWidth="1"/>
    <col min="4" max="4" width="10.42578125" style="1033" customWidth="1"/>
    <col min="5" max="5" width="1.5703125" style="1034" customWidth="1"/>
    <col min="6" max="6" width="11.42578125" style="1034" customWidth="1"/>
    <col min="7" max="7" width="13.42578125" style="1032" bestFit="1" customWidth="1"/>
    <col min="8" max="8" width="10.5703125" style="1032" customWidth="1"/>
    <col min="9" max="9" width="8.7109375" style="1031" customWidth="1"/>
    <col min="10" max="10" width="4.5703125" style="1032" customWidth="1"/>
    <col min="11" max="11" width="12.140625" style="1031" customWidth="1"/>
    <col min="12" max="18" width="4.5703125" style="1031" customWidth="1"/>
    <col min="19" max="254" width="11.42578125" style="1031"/>
    <col min="255" max="255" width="24.28515625" style="1031" customWidth="1"/>
    <col min="256" max="256" width="11.42578125" style="1031" customWidth="1"/>
    <col min="257" max="257" width="1.5703125" style="1031" customWidth="1"/>
    <col min="258" max="258" width="10.7109375" style="1031" customWidth="1"/>
    <col min="259" max="259" width="1.5703125" style="1031" customWidth="1"/>
    <col min="260" max="260" width="11.42578125" style="1031" customWidth="1"/>
    <col min="261" max="261" width="11.7109375" style="1031" customWidth="1"/>
    <col min="262" max="262" width="10.28515625" style="1031" customWidth="1"/>
    <col min="263" max="263" width="10.7109375" style="1031" customWidth="1"/>
    <col min="264" max="264" width="10.5703125" style="1031" customWidth="1"/>
    <col min="265" max="265" width="8.7109375" style="1031" customWidth="1"/>
    <col min="266" max="274" width="4.5703125" style="1031" customWidth="1"/>
    <col min="275" max="510" width="11.42578125" style="1031"/>
    <col min="511" max="511" width="24.28515625" style="1031" customWidth="1"/>
    <col min="512" max="512" width="11.42578125" style="1031" customWidth="1"/>
    <col min="513" max="513" width="1.5703125" style="1031" customWidth="1"/>
    <col min="514" max="514" width="10.7109375" style="1031" customWidth="1"/>
    <col min="515" max="515" width="1.5703125" style="1031" customWidth="1"/>
    <col min="516" max="516" width="11.42578125" style="1031" customWidth="1"/>
    <col min="517" max="517" width="11.7109375" style="1031" customWidth="1"/>
    <col min="518" max="518" width="10.28515625" style="1031" customWidth="1"/>
    <col min="519" max="519" width="10.7109375" style="1031" customWidth="1"/>
    <col min="520" max="520" width="10.5703125" style="1031" customWidth="1"/>
    <col min="521" max="521" width="8.7109375" style="1031" customWidth="1"/>
    <col min="522" max="530" width="4.5703125" style="1031" customWidth="1"/>
    <col min="531" max="766" width="11.42578125" style="1031"/>
    <col min="767" max="767" width="24.28515625" style="1031" customWidth="1"/>
    <col min="768" max="768" width="11.42578125" style="1031" customWidth="1"/>
    <col min="769" max="769" width="1.5703125" style="1031" customWidth="1"/>
    <col min="770" max="770" width="10.7109375" style="1031" customWidth="1"/>
    <col min="771" max="771" width="1.5703125" style="1031" customWidth="1"/>
    <col min="772" max="772" width="11.42578125" style="1031" customWidth="1"/>
    <col min="773" max="773" width="11.7109375" style="1031" customWidth="1"/>
    <col min="774" max="774" width="10.28515625" style="1031" customWidth="1"/>
    <col min="775" max="775" width="10.7109375" style="1031" customWidth="1"/>
    <col min="776" max="776" width="10.5703125" style="1031" customWidth="1"/>
    <col min="777" max="777" width="8.7109375" style="1031" customWidth="1"/>
    <col min="778" max="786" width="4.5703125" style="1031" customWidth="1"/>
    <col min="787" max="1022" width="11.42578125" style="1031"/>
    <col min="1023" max="1023" width="24.28515625" style="1031" customWidth="1"/>
    <col min="1024" max="1024" width="11.42578125" style="1031" customWidth="1"/>
    <col min="1025" max="1025" width="1.5703125" style="1031" customWidth="1"/>
    <col min="1026" max="1026" width="10.7109375" style="1031" customWidth="1"/>
    <col min="1027" max="1027" width="1.5703125" style="1031" customWidth="1"/>
    <col min="1028" max="1028" width="11.42578125" style="1031" customWidth="1"/>
    <col min="1029" max="1029" width="11.7109375" style="1031" customWidth="1"/>
    <col min="1030" max="1030" width="10.28515625" style="1031" customWidth="1"/>
    <col min="1031" max="1031" width="10.7109375" style="1031" customWidth="1"/>
    <col min="1032" max="1032" width="10.5703125" style="1031" customWidth="1"/>
    <col min="1033" max="1033" width="8.7109375" style="1031" customWidth="1"/>
    <col min="1034" max="1042" width="4.5703125" style="1031" customWidth="1"/>
    <col min="1043" max="1278" width="11.42578125" style="1031"/>
    <col min="1279" max="1279" width="24.28515625" style="1031" customWidth="1"/>
    <col min="1280" max="1280" width="11.42578125" style="1031" customWidth="1"/>
    <col min="1281" max="1281" width="1.5703125" style="1031" customWidth="1"/>
    <col min="1282" max="1282" width="10.7109375" style="1031" customWidth="1"/>
    <col min="1283" max="1283" width="1.5703125" style="1031" customWidth="1"/>
    <col min="1284" max="1284" width="11.42578125" style="1031" customWidth="1"/>
    <col min="1285" max="1285" width="11.7109375" style="1031" customWidth="1"/>
    <col min="1286" max="1286" width="10.28515625" style="1031" customWidth="1"/>
    <col min="1287" max="1287" width="10.7109375" style="1031" customWidth="1"/>
    <col min="1288" max="1288" width="10.5703125" style="1031" customWidth="1"/>
    <col min="1289" max="1289" width="8.7109375" style="1031" customWidth="1"/>
    <col min="1290" max="1298" width="4.5703125" style="1031" customWidth="1"/>
    <col min="1299" max="1534" width="11.42578125" style="1031"/>
    <col min="1535" max="1535" width="24.28515625" style="1031" customWidth="1"/>
    <col min="1536" max="1536" width="11.42578125" style="1031" customWidth="1"/>
    <col min="1537" max="1537" width="1.5703125" style="1031" customWidth="1"/>
    <col min="1538" max="1538" width="10.7109375" style="1031" customWidth="1"/>
    <col min="1539" max="1539" width="1.5703125" style="1031" customWidth="1"/>
    <col min="1540" max="1540" width="11.42578125" style="1031" customWidth="1"/>
    <col min="1541" max="1541" width="11.7109375" style="1031" customWidth="1"/>
    <col min="1542" max="1542" width="10.28515625" style="1031" customWidth="1"/>
    <col min="1543" max="1543" width="10.7109375" style="1031" customWidth="1"/>
    <col min="1544" max="1544" width="10.5703125" style="1031" customWidth="1"/>
    <col min="1545" max="1545" width="8.7109375" style="1031" customWidth="1"/>
    <col min="1546" max="1554" width="4.5703125" style="1031" customWidth="1"/>
    <col min="1555" max="1790" width="11.42578125" style="1031"/>
    <col min="1791" max="1791" width="24.28515625" style="1031" customWidth="1"/>
    <col min="1792" max="1792" width="11.42578125" style="1031" customWidth="1"/>
    <col min="1793" max="1793" width="1.5703125" style="1031" customWidth="1"/>
    <col min="1794" max="1794" width="10.7109375" style="1031" customWidth="1"/>
    <col min="1795" max="1795" width="1.5703125" style="1031" customWidth="1"/>
    <col min="1796" max="1796" width="11.42578125" style="1031" customWidth="1"/>
    <col min="1797" max="1797" width="11.7109375" style="1031" customWidth="1"/>
    <col min="1798" max="1798" width="10.28515625" style="1031" customWidth="1"/>
    <col min="1799" max="1799" width="10.7109375" style="1031" customWidth="1"/>
    <col min="1800" max="1800" width="10.5703125" style="1031" customWidth="1"/>
    <col min="1801" max="1801" width="8.7109375" style="1031" customWidth="1"/>
    <col min="1802" max="1810" width="4.5703125" style="1031" customWidth="1"/>
    <col min="1811" max="2046" width="11.42578125" style="1031"/>
    <col min="2047" max="2047" width="24.28515625" style="1031" customWidth="1"/>
    <col min="2048" max="2048" width="11.42578125" style="1031" customWidth="1"/>
    <col min="2049" max="2049" width="1.5703125" style="1031" customWidth="1"/>
    <col min="2050" max="2050" width="10.7109375" style="1031" customWidth="1"/>
    <col min="2051" max="2051" width="1.5703125" style="1031" customWidth="1"/>
    <col min="2052" max="2052" width="11.42578125" style="1031" customWidth="1"/>
    <col min="2053" max="2053" width="11.7109375" style="1031" customWidth="1"/>
    <col min="2054" max="2054" width="10.28515625" style="1031" customWidth="1"/>
    <col min="2055" max="2055" width="10.7109375" style="1031" customWidth="1"/>
    <col min="2056" max="2056" width="10.5703125" style="1031" customWidth="1"/>
    <col min="2057" max="2057" width="8.7109375" style="1031" customWidth="1"/>
    <col min="2058" max="2066" width="4.5703125" style="1031" customWidth="1"/>
    <col min="2067" max="2302" width="11.42578125" style="1031"/>
    <col min="2303" max="2303" width="24.28515625" style="1031" customWidth="1"/>
    <col min="2304" max="2304" width="11.42578125" style="1031" customWidth="1"/>
    <col min="2305" max="2305" width="1.5703125" style="1031" customWidth="1"/>
    <col min="2306" max="2306" width="10.7109375" style="1031" customWidth="1"/>
    <col min="2307" max="2307" width="1.5703125" style="1031" customWidth="1"/>
    <col min="2308" max="2308" width="11.42578125" style="1031" customWidth="1"/>
    <col min="2309" max="2309" width="11.7109375" style="1031" customWidth="1"/>
    <col min="2310" max="2310" width="10.28515625" style="1031" customWidth="1"/>
    <col min="2311" max="2311" width="10.7109375" style="1031" customWidth="1"/>
    <col min="2312" max="2312" width="10.5703125" style="1031" customWidth="1"/>
    <col min="2313" max="2313" width="8.7109375" style="1031" customWidth="1"/>
    <col min="2314" max="2322" width="4.5703125" style="1031" customWidth="1"/>
    <col min="2323" max="2558" width="11.42578125" style="1031"/>
    <col min="2559" max="2559" width="24.28515625" style="1031" customWidth="1"/>
    <col min="2560" max="2560" width="11.42578125" style="1031" customWidth="1"/>
    <col min="2561" max="2561" width="1.5703125" style="1031" customWidth="1"/>
    <col min="2562" max="2562" width="10.7109375" style="1031" customWidth="1"/>
    <col min="2563" max="2563" width="1.5703125" style="1031" customWidth="1"/>
    <col min="2564" max="2564" width="11.42578125" style="1031" customWidth="1"/>
    <col min="2565" max="2565" width="11.7109375" style="1031" customWidth="1"/>
    <col min="2566" max="2566" width="10.28515625" style="1031" customWidth="1"/>
    <col min="2567" max="2567" width="10.7109375" style="1031" customWidth="1"/>
    <col min="2568" max="2568" width="10.5703125" style="1031" customWidth="1"/>
    <col min="2569" max="2569" width="8.7109375" style="1031" customWidth="1"/>
    <col min="2570" max="2578" width="4.5703125" style="1031" customWidth="1"/>
    <col min="2579" max="2814" width="11.42578125" style="1031"/>
    <col min="2815" max="2815" width="24.28515625" style="1031" customWidth="1"/>
    <col min="2816" max="2816" width="11.42578125" style="1031" customWidth="1"/>
    <col min="2817" max="2817" width="1.5703125" style="1031" customWidth="1"/>
    <col min="2818" max="2818" width="10.7109375" style="1031" customWidth="1"/>
    <col min="2819" max="2819" width="1.5703125" style="1031" customWidth="1"/>
    <col min="2820" max="2820" width="11.42578125" style="1031" customWidth="1"/>
    <col min="2821" max="2821" width="11.7109375" style="1031" customWidth="1"/>
    <col min="2822" max="2822" width="10.28515625" style="1031" customWidth="1"/>
    <col min="2823" max="2823" width="10.7109375" style="1031" customWidth="1"/>
    <col min="2824" max="2824" width="10.5703125" style="1031" customWidth="1"/>
    <col min="2825" max="2825" width="8.7109375" style="1031" customWidth="1"/>
    <col min="2826" max="2834" width="4.5703125" style="1031" customWidth="1"/>
    <col min="2835" max="3070" width="11.42578125" style="1031"/>
    <col min="3071" max="3071" width="24.28515625" style="1031" customWidth="1"/>
    <col min="3072" max="3072" width="11.42578125" style="1031" customWidth="1"/>
    <col min="3073" max="3073" width="1.5703125" style="1031" customWidth="1"/>
    <col min="3074" max="3074" width="10.7109375" style="1031" customWidth="1"/>
    <col min="3075" max="3075" width="1.5703125" style="1031" customWidth="1"/>
    <col min="3076" max="3076" width="11.42578125" style="1031" customWidth="1"/>
    <col min="3077" max="3077" width="11.7109375" style="1031" customWidth="1"/>
    <col min="3078" max="3078" width="10.28515625" style="1031" customWidth="1"/>
    <col min="3079" max="3079" width="10.7109375" style="1031" customWidth="1"/>
    <col min="3080" max="3080" width="10.5703125" style="1031" customWidth="1"/>
    <col min="3081" max="3081" width="8.7109375" style="1031" customWidth="1"/>
    <col min="3082" max="3090" width="4.5703125" style="1031" customWidth="1"/>
    <col min="3091" max="3326" width="11.42578125" style="1031"/>
    <col min="3327" max="3327" width="24.28515625" style="1031" customWidth="1"/>
    <col min="3328" max="3328" width="11.42578125" style="1031" customWidth="1"/>
    <col min="3329" max="3329" width="1.5703125" style="1031" customWidth="1"/>
    <col min="3330" max="3330" width="10.7109375" style="1031" customWidth="1"/>
    <col min="3331" max="3331" width="1.5703125" style="1031" customWidth="1"/>
    <col min="3332" max="3332" width="11.42578125" style="1031" customWidth="1"/>
    <col min="3333" max="3333" width="11.7109375" style="1031" customWidth="1"/>
    <col min="3334" max="3334" width="10.28515625" style="1031" customWidth="1"/>
    <col min="3335" max="3335" width="10.7109375" style="1031" customWidth="1"/>
    <col min="3336" max="3336" width="10.5703125" style="1031" customWidth="1"/>
    <col min="3337" max="3337" width="8.7109375" style="1031" customWidth="1"/>
    <col min="3338" max="3346" width="4.5703125" style="1031" customWidth="1"/>
    <col min="3347" max="3582" width="11.42578125" style="1031"/>
    <col min="3583" max="3583" width="24.28515625" style="1031" customWidth="1"/>
    <col min="3584" max="3584" width="11.42578125" style="1031" customWidth="1"/>
    <col min="3585" max="3585" width="1.5703125" style="1031" customWidth="1"/>
    <col min="3586" max="3586" width="10.7109375" style="1031" customWidth="1"/>
    <col min="3587" max="3587" width="1.5703125" style="1031" customWidth="1"/>
    <col min="3588" max="3588" width="11.42578125" style="1031" customWidth="1"/>
    <col min="3589" max="3589" width="11.7109375" style="1031" customWidth="1"/>
    <col min="3590" max="3590" width="10.28515625" style="1031" customWidth="1"/>
    <col min="3591" max="3591" width="10.7109375" style="1031" customWidth="1"/>
    <col min="3592" max="3592" width="10.5703125" style="1031" customWidth="1"/>
    <col min="3593" max="3593" width="8.7109375" style="1031" customWidth="1"/>
    <col min="3594" max="3602" width="4.5703125" style="1031" customWidth="1"/>
    <col min="3603" max="3838" width="11.42578125" style="1031"/>
    <col min="3839" max="3839" width="24.28515625" style="1031" customWidth="1"/>
    <col min="3840" max="3840" width="11.42578125" style="1031" customWidth="1"/>
    <col min="3841" max="3841" width="1.5703125" style="1031" customWidth="1"/>
    <col min="3842" max="3842" width="10.7109375" style="1031" customWidth="1"/>
    <col min="3843" max="3843" width="1.5703125" style="1031" customWidth="1"/>
    <col min="3844" max="3844" width="11.42578125" style="1031" customWidth="1"/>
    <col min="3845" max="3845" width="11.7109375" style="1031" customWidth="1"/>
    <col min="3846" max="3846" width="10.28515625" style="1031" customWidth="1"/>
    <col min="3847" max="3847" width="10.7109375" style="1031" customWidth="1"/>
    <col min="3848" max="3848" width="10.5703125" style="1031" customWidth="1"/>
    <col min="3849" max="3849" width="8.7109375" style="1031" customWidth="1"/>
    <col min="3850" max="3858" width="4.5703125" style="1031" customWidth="1"/>
    <col min="3859" max="4094" width="11.42578125" style="1031"/>
    <col min="4095" max="4095" width="24.28515625" style="1031" customWidth="1"/>
    <col min="4096" max="4096" width="11.42578125" style="1031" customWidth="1"/>
    <col min="4097" max="4097" width="1.5703125" style="1031" customWidth="1"/>
    <col min="4098" max="4098" width="10.7109375" style="1031" customWidth="1"/>
    <col min="4099" max="4099" width="1.5703125" style="1031" customWidth="1"/>
    <col min="4100" max="4100" width="11.42578125" style="1031" customWidth="1"/>
    <col min="4101" max="4101" width="11.7109375" style="1031" customWidth="1"/>
    <col min="4102" max="4102" width="10.28515625" style="1031" customWidth="1"/>
    <col min="4103" max="4103" width="10.7109375" style="1031" customWidth="1"/>
    <col min="4104" max="4104" width="10.5703125" style="1031" customWidth="1"/>
    <col min="4105" max="4105" width="8.7109375" style="1031" customWidth="1"/>
    <col min="4106" max="4114" width="4.5703125" style="1031" customWidth="1"/>
    <col min="4115" max="4350" width="11.42578125" style="1031"/>
    <col min="4351" max="4351" width="24.28515625" style="1031" customWidth="1"/>
    <col min="4352" max="4352" width="11.42578125" style="1031" customWidth="1"/>
    <col min="4353" max="4353" width="1.5703125" style="1031" customWidth="1"/>
    <col min="4354" max="4354" width="10.7109375" style="1031" customWidth="1"/>
    <col min="4355" max="4355" width="1.5703125" style="1031" customWidth="1"/>
    <col min="4356" max="4356" width="11.42578125" style="1031" customWidth="1"/>
    <col min="4357" max="4357" width="11.7109375" style="1031" customWidth="1"/>
    <col min="4358" max="4358" width="10.28515625" style="1031" customWidth="1"/>
    <col min="4359" max="4359" width="10.7109375" style="1031" customWidth="1"/>
    <col min="4360" max="4360" width="10.5703125" style="1031" customWidth="1"/>
    <col min="4361" max="4361" width="8.7109375" style="1031" customWidth="1"/>
    <col min="4362" max="4370" width="4.5703125" style="1031" customWidth="1"/>
    <col min="4371" max="4606" width="11.42578125" style="1031"/>
    <col min="4607" max="4607" width="24.28515625" style="1031" customWidth="1"/>
    <col min="4608" max="4608" width="11.42578125" style="1031" customWidth="1"/>
    <col min="4609" max="4609" width="1.5703125" style="1031" customWidth="1"/>
    <col min="4610" max="4610" width="10.7109375" style="1031" customWidth="1"/>
    <col min="4611" max="4611" width="1.5703125" style="1031" customWidth="1"/>
    <col min="4612" max="4612" width="11.42578125" style="1031" customWidth="1"/>
    <col min="4613" max="4613" width="11.7109375" style="1031" customWidth="1"/>
    <col min="4614" max="4614" width="10.28515625" style="1031" customWidth="1"/>
    <col min="4615" max="4615" width="10.7109375" style="1031" customWidth="1"/>
    <col min="4616" max="4616" width="10.5703125" style="1031" customWidth="1"/>
    <col min="4617" max="4617" width="8.7109375" style="1031" customWidth="1"/>
    <col min="4618" max="4626" width="4.5703125" style="1031" customWidth="1"/>
    <col min="4627" max="4862" width="11.42578125" style="1031"/>
    <col min="4863" max="4863" width="24.28515625" style="1031" customWidth="1"/>
    <col min="4864" max="4864" width="11.42578125" style="1031" customWidth="1"/>
    <col min="4865" max="4865" width="1.5703125" style="1031" customWidth="1"/>
    <col min="4866" max="4866" width="10.7109375" style="1031" customWidth="1"/>
    <col min="4867" max="4867" width="1.5703125" style="1031" customWidth="1"/>
    <col min="4868" max="4868" width="11.42578125" style="1031" customWidth="1"/>
    <col min="4869" max="4869" width="11.7109375" style="1031" customWidth="1"/>
    <col min="4870" max="4870" width="10.28515625" style="1031" customWidth="1"/>
    <col min="4871" max="4871" width="10.7109375" style="1031" customWidth="1"/>
    <col min="4872" max="4872" width="10.5703125" style="1031" customWidth="1"/>
    <col min="4873" max="4873" width="8.7109375" style="1031" customWidth="1"/>
    <col min="4874" max="4882" width="4.5703125" style="1031" customWidth="1"/>
    <col min="4883" max="5118" width="11.42578125" style="1031"/>
    <col min="5119" max="5119" width="24.28515625" style="1031" customWidth="1"/>
    <col min="5120" max="5120" width="11.42578125" style="1031" customWidth="1"/>
    <col min="5121" max="5121" width="1.5703125" style="1031" customWidth="1"/>
    <col min="5122" max="5122" width="10.7109375" style="1031" customWidth="1"/>
    <col min="5123" max="5123" width="1.5703125" style="1031" customWidth="1"/>
    <col min="5124" max="5124" width="11.42578125" style="1031" customWidth="1"/>
    <col min="5125" max="5125" width="11.7109375" style="1031" customWidth="1"/>
    <col min="5126" max="5126" width="10.28515625" style="1031" customWidth="1"/>
    <col min="5127" max="5127" width="10.7109375" style="1031" customWidth="1"/>
    <col min="5128" max="5128" width="10.5703125" style="1031" customWidth="1"/>
    <col min="5129" max="5129" width="8.7109375" style="1031" customWidth="1"/>
    <col min="5130" max="5138" width="4.5703125" style="1031" customWidth="1"/>
    <col min="5139" max="5374" width="11.42578125" style="1031"/>
    <col min="5375" max="5375" width="24.28515625" style="1031" customWidth="1"/>
    <col min="5376" max="5376" width="11.42578125" style="1031" customWidth="1"/>
    <col min="5377" max="5377" width="1.5703125" style="1031" customWidth="1"/>
    <col min="5378" max="5378" width="10.7109375" style="1031" customWidth="1"/>
    <col min="5379" max="5379" width="1.5703125" style="1031" customWidth="1"/>
    <col min="5380" max="5380" width="11.42578125" style="1031" customWidth="1"/>
    <col min="5381" max="5381" width="11.7109375" style="1031" customWidth="1"/>
    <col min="5382" max="5382" width="10.28515625" style="1031" customWidth="1"/>
    <col min="5383" max="5383" width="10.7109375" style="1031" customWidth="1"/>
    <col min="5384" max="5384" width="10.5703125" style="1031" customWidth="1"/>
    <col min="5385" max="5385" width="8.7109375" style="1031" customWidth="1"/>
    <col min="5386" max="5394" width="4.5703125" style="1031" customWidth="1"/>
    <col min="5395" max="5630" width="11.42578125" style="1031"/>
    <col min="5631" max="5631" width="24.28515625" style="1031" customWidth="1"/>
    <col min="5632" max="5632" width="11.42578125" style="1031" customWidth="1"/>
    <col min="5633" max="5633" width="1.5703125" style="1031" customWidth="1"/>
    <col min="5634" max="5634" width="10.7109375" style="1031" customWidth="1"/>
    <col min="5635" max="5635" width="1.5703125" style="1031" customWidth="1"/>
    <col min="5636" max="5636" width="11.42578125" style="1031" customWidth="1"/>
    <col min="5637" max="5637" width="11.7109375" style="1031" customWidth="1"/>
    <col min="5638" max="5638" width="10.28515625" style="1031" customWidth="1"/>
    <col min="5639" max="5639" width="10.7109375" style="1031" customWidth="1"/>
    <col min="5640" max="5640" width="10.5703125" style="1031" customWidth="1"/>
    <col min="5641" max="5641" width="8.7109375" style="1031" customWidth="1"/>
    <col min="5642" max="5650" width="4.5703125" style="1031" customWidth="1"/>
    <col min="5651" max="5886" width="11.42578125" style="1031"/>
    <col min="5887" max="5887" width="24.28515625" style="1031" customWidth="1"/>
    <col min="5888" max="5888" width="11.42578125" style="1031" customWidth="1"/>
    <col min="5889" max="5889" width="1.5703125" style="1031" customWidth="1"/>
    <col min="5890" max="5890" width="10.7109375" style="1031" customWidth="1"/>
    <col min="5891" max="5891" width="1.5703125" style="1031" customWidth="1"/>
    <col min="5892" max="5892" width="11.42578125" style="1031" customWidth="1"/>
    <col min="5893" max="5893" width="11.7109375" style="1031" customWidth="1"/>
    <col min="5894" max="5894" width="10.28515625" style="1031" customWidth="1"/>
    <col min="5895" max="5895" width="10.7109375" style="1031" customWidth="1"/>
    <col min="5896" max="5896" width="10.5703125" style="1031" customWidth="1"/>
    <col min="5897" max="5897" width="8.7109375" style="1031" customWidth="1"/>
    <col min="5898" max="5906" width="4.5703125" style="1031" customWidth="1"/>
    <col min="5907" max="6142" width="11.42578125" style="1031"/>
    <col min="6143" max="6143" width="24.28515625" style="1031" customWidth="1"/>
    <col min="6144" max="6144" width="11.42578125" style="1031" customWidth="1"/>
    <col min="6145" max="6145" width="1.5703125" style="1031" customWidth="1"/>
    <col min="6146" max="6146" width="10.7109375" style="1031" customWidth="1"/>
    <col min="6147" max="6147" width="1.5703125" style="1031" customWidth="1"/>
    <col min="6148" max="6148" width="11.42578125" style="1031" customWidth="1"/>
    <col min="6149" max="6149" width="11.7109375" style="1031" customWidth="1"/>
    <col min="6150" max="6150" width="10.28515625" style="1031" customWidth="1"/>
    <col min="6151" max="6151" width="10.7109375" style="1031" customWidth="1"/>
    <col min="6152" max="6152" width="10.5703125" style="1031" customWidth="1"/>
    <col min="6153" max="6153" width="8.7109375" style="1031" customWidth="1"/>
    <col min="6154" max="6162" width="4.5703125" style="1031" customWidth="1"/>
    <col min="6163" max="6398" width="11.42578125" style="1031"/>
    <col min="6399" max="6399" width="24.28515625" style="1031" customWidth="1"/>
    <col min="6400" max="6400" width="11.42578125" style="1031" customWidth="1"/>
    <col min="6401" max="6401" width="1.5703125" style="1031" customWidth="1"/>
    <col min="6402" max="6402" width="10.7109375" style="1031" customWidth="1"/>
    <col min="6403" max="6403" width="1.5703125" style="1031" customWidth="1"/>
    <col min="6404" max="6404" width="11.42578125" style="1031" customWidth="1"/>
    <col min="6405" max="6405" width="11.7109375" style="1031" customWidth="1"/>
    <col min="6406" max="6406" width="10.28515625" style="1031" customWidth="1"/>
    <col min="6407" max="6407" width="10.7109375" style="1031" customWidth="1"/>
    <col min="6408" max="6408" width="10.5703125" style="1031" customWidth="1"/>
    <col min="6409" max="6409" width="8.7109375" style="1031" customWidth="1"/>
    <col min="6410" max="6418" width="4.5703125" style="1031" customWidth="1"/>
    <col min="6419" max="6654" width="11.42578125" style="1031"/>
    <col min="6655" max="6655" width="24.28515625" style="1031" customWidth="1"/>
    <col min="6656" max="6656" width="11.42578125" style="1031" customWidth="1"/>
    <col min="6657" max="6657" width="1.5703125" style="1031" customWidth="1"/>
    <col min="6658" max="6658" width="10.7109375" style="1031" customWidth="1"/>
    <col min="6659" max="6659" width="1.5703125" style="1031" customWidth="1"/>
    <col min="6660" max="6660" width="11.42578125" style="1031" customWidth="1"/>
    <col min="6661" max="6661" width="11.7109375" style="1031" customWidth="1"/>
    <col min="6662" max="6662" width="10.28515625" style="1031" customWidth="1"/>
    <col min="6663" max="6663" width="10.7109375" style="1031" customWidth="1"/>
    <col min="6664" max="6664" width="10.5703125" style="1031" customWidth="1"/>
    <col min="6665" max="6665" width="8.7109375" style="1031" customWidth="1"/>
    <col min="6666" max="6674" width="4.5703125" style="1031" customWidth="1"/>
    <col min="6675" max="6910" width="11.42578125" style="1031"/>
    <col min="6911" max="6911" width="24.28515625" style="1031" customWidth="1"/>
    <col min="6912" max="6912" width="11.42578125" style="1031" customWidth="1"/>
    <col min="6913" max="6913" width="1.5703125" style="1031" customWidth="1"/>
    <col min="6914" max="6914" width="10.7109375" style="1031" customWidth="1"/>
    <col min="6915" max="6915" width="1.5703125" style="1031" customWidth="1"/>
    <col min="6916" max="6916" width="11.42578125" style="1031" customWidth="1"/>
    <col min="6917" max="6917" width="11.7109375" style="1031" customWidth="1"/>
    <col min="6918" max="6918" width="10.28515625" style="1031" customWidth="1"/>
    <col min="6919" max="6919" width="10.7109375" style="1031" customWidth="1"/>
    <col min="6920" max="6920" width="10.5703125" style="1031" customWidth="1"/>
    <col min="6921" max="6921" width="8.7109375" style="1031" customWidth="1"/>
    <col min="6922" max="6930" width="4.5703125" style="1031" customWidth="1"/>
    <col min="6931" max="7166" width="11.42578125" style="1031"/>
    <col min="7167" max="7167" width="24.28515625" style="1031" customWidth="1"/>
    <col min="7168" max="7168" width="11.42578125" style="1031" customWidth="1"/>
    <col min="7169" max="7169" width="1.5703125" style="1031" customWidth="1"/>
    <col min="7170" max="7170" width="10.7109375" style="1031" customWidth="1"/>
    <col min="7171" max="7171" width="1.5703125" style="1031" customWidth="1"/>
    <col min="7172" max="7172" width="11.42578125" style="1031" customWidth="1"/>
    <col min="7173" max="7173" width="11.7109375" style="1031" customWidth="1"/>
    <col min="7174" max="7174" width="10.28515625" style="1031" customWidth="1"/>
    <col min="7175" max="7175" width="10.7109375" style="1031" customWidth="1"/>
    <col min="7176" max="7176" width="10.5703125" style="1031" customWidth="1"/>
    <col min="7177" max="7177" width="8.7109375" style="1031" customWidth="1"/>
    <col min="7178" max="7186" width="4.5703125" style="1031" customWidth="1"/>
    <col min="7187" max="7422" width="11.42578125" style="1031"/>
    <col min="7423" max="7423" width="24.28515625" style="1031" customWidth="1"/>
    <col min="7424" max="7424" width="11.42578125" style="1031" customWidth="1"/>
    <col min="7425" max="7425" width="1.5703125" style="1031" customWidth="1"/>
    <col min="7426" max="7426" width="10.7109375" style="1031" customWidth="1"/>
    <col min="7427" max="7427" width="1.5703125" style="1031" customWidth="1"/>
    <col min="7428" max="7428" width="11.42578125" style="1031" customWidth="1"/>
    <col min="7429" max="7429" width="11.7109375" style="1031" customWidth="1"/>
    <col min="7430" max="7430" width="10.28515625" style="1031" customWidth="1"/>
    <col min="7431" max="7431" width="10.7109375" style="1031" customWidth="1"/>
    <col min="7432" max="7432" width="10.5703125" style="1031" customWidth="1"/>
    <col min="7433" max="7433" width="8.7109375" style="1031" customWidth="1"/>
    <col min="7434" max="7442" width="4.5703125" style="1031" customWidth="1"/>
    <col min="7443" max="7678" width="11.42578125" style="1031"/>
    <col min="7679" max="7679" width="24.28515625" style="1031" customWidth="1"/>
    <col min="7680" max="7680" width="11.42578125" style="1031" customWidth="1"/>
    <col min="7681" max="7681" width="1.5703125" style="1031" customWidth="1"/>
    <col min="7682" max="7682" width="10.7109375" style="1031" customWidth="1"/>
    <col min="7683" max="7683" width="1.5703125" style="1031" customWidth="1"/>
    <col min="7684" max="7684" width="11.42578125" style="1031" customWidth="1"/>
    <col min="7685" max="7685" width="11.7109375" style="1031" customWidth="1"/>
    <col min="7686" max="7686" width="10.28515625" style="1031" customWidth="1"/>
    <col min="7687" max="7687" width="10.7109375" style="1031" customWidth="1"/>
    <col min="7688" max="7688" width="10.5703125" style="1031" customWidth="1"/>
    <col min="7689" max="7689" width="8.7109375" style="1031" customWidth="1"/>
    <col min="7690" max="7698" width="4.5703125" style="1031" customWidth="1"/>
    <col min="7699" max="7934" width="11.42578125" style="1031"/>
    <col min="7935" max="7935" width="24.28515625" style="1031" customWidth="1"/>
    <col min="7936" max="7936" width="11.42578125" style="1031" customWidth="1"/>
    <col min="7937" max="7937" width="1.5703125" style="1031" customWidth="1"/>
    <col min="7938" max="7938" width="10.7109375" style="1031" customWidth="1"/>
    <col min="7939" max="7939" width="1.5703125" style="1031" customWidth="1"/>
    <col min="7940" max="7940" width="11.42578125" style="1031" customWidth="1"/>
    <col min="7941" max="7941" width="11.7109375" style="1031" customWidth="1"/>
    <col min="7942" max="7942" width="10.28515625" style="1031" customWidth="1"/>
    <col min="7943" max="7943" width="10.7109375" style="1031" customWidth="1"/>
    <col min="7944" max="7944" width="10.5703125" style="1031" customWidth="1"/>
    <col min="7945" max="7945" width="8.7109375" style="1031" customWidth="1"/>
    <col min="7946" max="7954" width="4.5703125" style="1031" customWidth="1"/>
    <col min="7955" max="8190" width="11.42578125" style="1031"/>
    <col min="8191" max="8191" width="24.28515625" style="1031" customWidth="1"/>
    <col min="8192" max="8192" width="11.42578125" style="1031" customWidth="1"/>
    <col min="8193" max="8193" width="1.5703125" style="1031" customWidth="1"/>
    <col min="8194" max="8194" width="10.7109375" style="1031" customWidth="1"/>
    <col min="8195" max="8195" width="1.5703125" style="1031" customWidth="1"/>
    <col min="8196" max="8196" width="11.42578125" style="1031" customWidth="1"/>
    <col min="8197" max="8197" width="11.7109375" style="1031" customWidth="1"/>
    <col min="8198" max="8198" width="10.28515625" style="1031" customWidth="1"/>
    <col min="8199" max="8199" width="10.7109375" style="1031" customWidth="1"/>
    <col min="8200" max="8200" width="10.5703125" style="1031" customWidth="1"/>
    <col min="8201" max="8201" width="8.7109375" style="1031" customWidth="1"/>
    <col min="8202" max="8210" width="4.5703125" style="1031" customWidth="1"/>
    <col min="8211" max="8446" width="11.42578125" style="1031"/>
    <col min="8447" max="8447" width="24.28515625" style="1031" customWidth="1"/>
    <col min="8448" max="8448" width="11.42578125" style="1031" customWidth="1"/>
    <col min="8449" max="8449" width="1.5703125" style="1031" customWidth="1"/>
    <col min="8450" max="8450" width="10.7109375" style="1031" customWidth="1"/>
    <col min="8451" max="8451" width="1.5703125" style="1031" customWidth="1"/>
    <col min="8452" max="8452" width="11.42578125" style="1031" customWidth="1"/>
    <col min="8453" max="8453" width="11.7109375" style="1031" customWidth="1"/>
    <col min="8454" max="8454" width="10.28515625" style="1031" customWidth="1"/>
    <col min="8455" max="8455" width="10.7109375" style="1031" customWidth="1"/>
    <col min="8456" max="8456" width="10.5703125" style="1031" customWidth="1"/>
    <col min="8457" max="8457" width="8.7109375" style="1031" customWidth="1"/>
    <col min="8458" max="8466" width="4.5703125" style="1031" customWidth="1"/>
    <col min="8467" max="8702" width="11.42578125" style="1031"/>
    <col min="8703" max="8703" width="24.28515625" style="1031" customWidth="1"/>
    <col min="8704" max="8704" width="11.42578125" style="1031" customWidth="1"/>
    <col min="8705" max="8705" width="1.5703125" style="1031" customWidth="1"/>
    <col min="8706" max="8706" width="10.7109375" style="1031" customWidth="1"/>
    <col min="8707" max="8707" width="1.5703125" style="1031" customWidth="1"/>
    <col min="8708" max="8708" width="11.42578125" style="1031" customWidth="1"/>
    <col min="8709" max="8709" width="11.7109375" style="1031" customWidth="1"/>
    <col min="8710" max="8710" width="10.28515625" style="1031" customWidth="1"/>
    <col min="8711" max="8711" width="10.7109375" style="1031" customWidth="1"/>
    <col min="8712" max="8712" width="10.5703125" style="1031" customWidth="1"/>
    <col min="8713" max="8713" width="8.7109375" style="1031" customWidth="1"/>
    <col min="8714" max="8722" width="4.5703125" style="1031" customWidth="1"/>
    <col min="8723" max="8958" width="11.42578125" style="1031"/>
    <col min="8959" max="8959" width="24.28515625" style="1031" customWidth="1"/>
    <col min="8960" max="8960" width="11.42578125" style="1031" customWidth="1"/>
    <col min="8961" max="8961" width="1.5703125" style="1031" customWidth="1"/>
    <col min="8962" max="8962" width="10.7109375" style="1031" customWidth="1"/>
    <col min="8963" max="8963" width="1.5703125" style="1031" customWidth="1"/>
    <col min="8964" max="8964" width="11.42578125" style="1031" customWidth="1"/>
    <col min="8965" max="8965" width="11.7109375" style="1031" customWidth="1"/>
    <col min="8966" max="8966" width="10.28515625" style="1031" customWidth="1"/>
    <col min="8967" max="8967" width="10.7109375" style="1031" customWidth="1"/>
    <col min="8968" max="8968" width="10.5703125" style="1031" customWidth="1"/>
    <col min="8969" max="8969" width="8.7109375" style="1031" customWidth="1"/>
    <col min="8970" max="8978" width="4.5703125" style="1031" customWidth="1"/>
    <col min="8979" max="9214" width="11.42578125" style="1031"/>
    <col min="9215" max="9215" width="24.28515625" style="1031" customWidth="1"/>
    <col min="9216" max="9216" width="11.42578125" style="1031" customWidth="1"/>
    <col min="9217" max="9217" width="1.5703125" style="1031" customWidth="1"/>
    <col min="9218" max="9218" width="10.7109375" style="1031" customWidth="1"/>
    <col min="9219" max="9219" width="1.5703125" style="1031" customWidth="1"/>
    <col min="9220" max="9220" width="11.42578125" style="1031" customWidth="1"/>
    <col min="9221" max="9221" width="11.7109375" style="1031" customWidth="1"/>
    <col min="9222" max="9222" width="10.28515625" style="1031" customWidth="1"/>
    <col min="9223" max="9223" width="10.7109375" style="1031" customWidth="1"/>
    <col min="9224" max="9224" width="10.5703125" style="1031" customWidth="1"/>
    <col min="9225" max="9225" width="8.7109375" style="1031" customWidth="1"/>
    <col min="9226" max="9234" width="4.5703125" style="1031" customWidth="1"/>
    <col min="9235" max="9470" width="11.42578125" style="1031"/>
    <col min="9471" max="9471" width="24.28515625" style="1031" customWidth="1"/>
    <col min="9472" max="9472" width="11.42578125" style="1031" customWidth="1"/>
    <col min="9473" max="9473" width="1.5703125" style="1031" customWidth="1"/>
    <col min="9474" max="9474" width="10.7109375" style="1031" customWidth="1"/>
    <col min="9475" max="9475" width="1.5703125" style="1031" customWidth="1"/>
    <col min="9476" max="9476" width="11.42578125" style="1031" customWidth="1"/>
    <col min="9477" max="9477" width="11.7109375" style="1031" customWidth="1"/>
    <col min="9478" max="9478" width="10.28515625" style="1031" customWidth="1"/>
    <col min="9479" max="9479" width="10.7109375" style="1031" customWidth="1"/>
    <col min="9480" max="9480" width="10.5703125" style="1031" customWidth="1"/>
    <col min="9481" max="9481" width="8.7109375" style="1031" customWidth="1"/>
    <col min="9482" max="9490" width="4.5703125" style="1031" customWidth="1"/>
    <col min="9491" max="9726" width="11.42578125" style="1031"/>
    <col min="9727" max="9727" width="24.28515625" style="1031" customWidth="1"/>
    <col min="9728" max="9728" width="11.42578125" style="1031" customWidth="1"/>
    <col min="9729" max="9729" width="1.5703125" style="1031" customWidth="1"/>
    <col min="9730" max="9730" width="10.7109375" style="1031" customWidth="1"/>
    <col min="9731" max="9731" width="1.5703125" style="1031" customWidth="1"/>
    <col min="9732" max="9732" width="11.42578125" style="1031" customWidth="1"/>
    <col min="9733" max="9733" width="11.7109375" style="1031" customWidth="1"/>
    <col min="9734" max="9734" width="10.28515625" style="1031" customWidth="1"/>
    <col min="9735" max="9735" width="10.7109375" style="1031" customWidth="1"/>
    <col min="9736" max="9736" width="10.5703125" style="1031" customWidth="1"/>
    <col min="9737" max="9737" width="8.7109375" style="1031" customWidth="1"/>
    <col min="9738" max="9746" width="4.5703125" style="1031" customWidth="1"/>
    <col min="9747" max="9982" width="11.42578125" style="1031"/>
    <col min="9983" max="9983" width="24.28515625" style="1031" customWidth="1"/>
    <col min="9984" max="9984" width="11.42578125" style="1031" customWidth="1"/>
    <col min="9985" max="9985" width="1.5703125" style="1031" customWidth="1"/>
    <col min="9986" max="9986" width="10.7109375" style="1031" customWidth="1"/>
    <col min="9987" max="9987" width="1.5703125" style="1031" customWidth="1"/>
    <col min="9988" max="9988" width="11.42578125" style="1031" customWidth="1"/>
    <col min="9989" max="9989" width="11.7109375" style="1031" customWidth="1"/>
    <col min="9990" max="9990" width="10.28515625" style="1031" customWidth="1"/>
    <col min="9991" max="9991" width="10.7109375" style="1031" customWidth="1"/>
    <col min="9992" max="9992" width="10.5703125" style="1031" customWidth="1"/>
    <col min="9993" max="9993" width="8.7109375" style="1031" customWidth="1"/>
    <col min="9994" max="10002" width="4.5703125" style="1031" customWidth="1"/>
    <col min="10003" max="10238" width="11.42578125" style="1031"/>
    <col min="10239" max="10239" width="24.28515625" style="1031" customWidth="1"/>
    <col min="10240" max="10240" width="11.42578125" style="1031" customWidth="1"/>
    <col min="10241" max="10241" width="1.5703125" style="1031" customWidth="1"/>
    <col min="10242" max="10242" width="10.7109375" style="1031" customWidth="1"/>
    <col min="10243" max="10243" width="1.5703125" style="1031" customWidth="1"/>
    <col min="10244" max="10244" width="11.42578125" style="1031" customWidth="1"/>
    <col min="10245" max="10245" width="11.7109375" style="1031" customWidth="1"/>
    <col min="10246" max="10246" width="10.28515625" style="1031" customWidth="1"/>
    <col min="10247" max="10247" width="10.7109375" style="1031" customWidth="1"/>
    <col min="10248" max="10248" width="10.5703125" style="1031" customWidth="1"/>
    <col min="10249" max="10249" width="8.7109375" style="1031" customWidth="1"/>
    <col min="10250" max="10258" width="4.5703125" style="1031" customWidth="1"/>
    <col min="10259" max="10494" width="11.42578125" style="1031"/>
    <col min="10495" max="10495" width="24.28515625" style="1031" customWidth="1"/>
    <col min="10496" max="10496" width="11.42578125" style="1031" customWidth="1"/>
    <col min="10497" max="10497" width="1.5703125" style="1031" customWidth="1"/>
    <col min="10498" max="10498" width="10.7109375" style="1031" customWidth="1"/>
    <col min="10499" max="10499" width="1.5703125" style="1031" customWidth="1"/>
    <col min="10500" max="10500" width="11.42578125" style="1031" customWidth="1"/>
    <col min="10501" max="10501" width="11.7109375" style="1031" customWidth="1"/>
    <col min="10502" max="10502" width="10.28515625" style="1031" customWidth="1"/>
    <col min="10503" max="10503" width="10.7109375" style="1031" customWidth="1"/>
    <col min="10504" max="10504" width="10.5703125" style="1031" customWidth="1"/>
    <col min="10505" max="10505" width="8.7109375" style="1031" customWidth="1"/>
    <col min="10506" max="10514" width="4.5703125" style="1031" customWidth="1"/>
    <col min="10515" max="10750" width="11.42578125" style="1031"/>
    <col min="10751" max="10751" width="24.28515625" style="1031" customWidth="1"/>
    <col min="10752" max="10752" width="11.42578125" style="1031" customWidth="1"/>
    <col min="10753" max="10753" width="1.5703125" style="1031" customWidth="1"/>
    <col min="10754" max="10754" width="10.7109375" style="1031" customWidth="1"/>
    <col min="10755" max="10755" width="1.5703125" style="1031" customWidth="1"/>
    <col min="10756" max="10756" width="11.42578125" style="1031" customWidth="1"/>
    <col min="10757" max="10757" width="11.7109375" style="1031" customWidth="1"/>
    <col min="10758" max="10758" width="10.28515625" style="1031" customWidth="1"/>
    <col min="10759" max="10759" width="10.7109375" style="1031" customWidth="1"/>
    <col min="10760" max="10760" width="10.5703125" style="1031" customWidth="1"/>
    <col min="10761" max="10761" width="8.7109375" style="1031" customWidth="1"/>
    <col min="10762" max="10770" width="4.5703125" style="1031" customWidth="1"/>
    <col min="10771" max="11006" width="11.42578125" style="1031"/>
    <col min="11007" max="11007" width="24.28515625" style="1031" customWidth="1"/>
    <col min="11008" max="11008" width="11.42578125" style="1031" customWidth="1"/>
    <col min="11009" max="11009" width="1.5703125" style="1031" customWidth="1"/>
    <col min="11010" max="11010" width="10.7109375" style="1031" customWidth="1"/>
    <col min="11011" max="11011" width="1.5703125" style="1031" customWidth="1"/>
    <col min="11012" max="11012" width="11.42578125" style="1031" customWidth="1"/>
    <col min="11013" max="11013" width="11.7109375" style="1031" customWidth="1"/>
    <col min="11014" max="11014" width="10.28515625" style="1031" customWidth="1"/>
    <col min="11015" max="11015" width="10.7109375" style="1031" customWidth="1"/>
    <col min="11016" max="11016" width="10.5703125" style="1031" customWidth="1"/>
    <col min="11017" max="11017" width="8.7109375" style="1031" customWidth="1"/>
    <col min="11018" max="11026" width="4.5703125" style="1031" customWidth="1"/>
    <col min="11027" max="11262" width="11.42578125" style="1031"/>
    <col min="11263" max="11263" width="24.28515625" style="1031" customWidth="1"/>
    <col min="11264" max="11264" width="11.42578125" style="1031" customWidth="1"/>
    <col min="11265" max="11265" width="1.5703125" style="1031" customWidth="1"/>
    <col min="11266" max="11266" width="10.7109375" style="1031" customWidth="1"/>
    <col min="11267" max="11267" width="1.5703125" style="1031" customWidth="1"/>
    <col min="11268" max="11268" width="11.42578125" style="1031" customWidth="1"/>
    <col min="11269" max="11269" width="11.7109375" style="1031" customWidth="1"/>
    <col min="11270" max="11270" width="10.28515625" style="1031" customWidth="1"/>
    <col min="11271" max="11271" width="10.7109375" style="1031" customWidth="1"/>
    <col min="11272" max="11272" width="10.5703125" style="1031" customWidth="1"/>
    <col min="11273" max="11273" width="8.7109375" style="1031" customWidth="1"/>
    <col min="11274" max="11282" width="4.5703125" style="1031" customWidth="1"/>
    <col min="11283" max="11518" width="11.42578125" style="1031"/>
    <col min="11519" max="11519" width="24.28515625" style="1031" customWidth="1"/>
    <col min="11520" max="11520" width="11.42578125" style="1031" customWidth="1"/>
    <col min="11521" max="11521" width="1.5703125" style="1031" customWidth="1"/>
    <col min="11522" max="11522" width="10.7109375" style="1031" customWidth="1"/>
    <col min="11523" max="11523" width="1.5703125" style="1031" customWidth="1"/>
    <col min="11524" max="11524" width="11.42578125" style="1031" customWidth="1"/>
    <col min="11525" max="11525" width="11.7109375" style="1031" customWidth="1"/>
    <col min="11526" max="11526" width="10.28515625" style="1031" customWidth="1"/>
    <col min="11527" max="11527" width="10.7109375" style="1031" customWidth="1"/>
    <col min="11528" max="11528" width="10.5703125" style="1031" customWidth="1"/>
    <col min="11529" max="11529" width="8.7109375" style="1031" customWidth="1"/>
    <col min="11530" max="11538" width="4.5703125" style="1031" customWidth="1"/>
    <col min="11539" max="11774" width="11.42578125" style="1031"/>
    <col min="11775" max="11775" width="24.28515625" style="1031" customWidth="1"/>
    <col min="11776" max="11776" width="11.42578125" style="1031" customWidth="1"/>
    <col min="11777" max="11777" width="1.5703125" style="1031" customWidth="1"/>
    <col min="11778" max="11778" width="10.7109375" style="1031" customWidth="1"/>
    <col min="11779" max="11779" width="1.5703125" style="1031" customWidth="1"/>
    <col min="11780" max="11780" width="11.42578125" style="1031" customWidth="1"/>
    <col min="11781" max="11781" width="11.7109375" style="1031" customWidth="1"/>
    <col min="11782" max="11782" width="10.28515625" style="1031" customWidth="1"/>
    <col min="11783" max="11783" width="10.7109375" style="1031" customWidth="1"/>
    <col min="11784" max="11784" width="10.5703125" style="1031" customWidth="1"/>
    <col min="11785" max="11785" width="8.7109375" style="1031" customWidth="1"/>
    <col min="11786" max="11794" width="4.5703125" style="1031" customWidth="1"/>
    <col min="11795" max="12030" width="11.42578125" style="1031"/>
    <col min="12031" max="12031" width="24.28515625" style="1031" customWidth="1"/>
    <col min="12032" max="12032" width="11.42578125" style="1031" customWidth="1"/>
    <col min="12033" max="12033" width="1.5703125" style="1031" customWidth="1"/>
    <col min="12034" max="12034" width="10.7109375" style="1031" customWidth="1"/>
    <col min="12035" max="12035" width="1.5703125" style="1031" customWidth="1"/>
    <col min="12036" max="12036" width="11.42578125" style="1031" customWidth="1"/>
    <col min="12037" max="12037" width="11.7109375" style="1031" customWidth="1"/>
    <col min="12038" max="12038" width="10.28515625" style="1031" customWidth="1"/>
    <col min="12039" max="12039" width="10.7109375" style="1031" customWidth="1"/>
    <col min="12040" max="12040" width="10.5703125" style="1031" customWidth="1"/>
    <col min="12041" max="12041" width="8.7109375" style="1031" customWidth="1"/>
    <col min="12042" max="12050" width="4.5703125" style="1031" customWidth="1"/>
    <col min="12051" max="12286" width="11.42578125" style="1031"/>
    <col min="12287" max="12287" width="24.28515625" style="1031" customWidth="1"/>
    <col min="12288" max="12288" width="11.42578125" style="1031" customWidth="1"/>
    <col min="12289" max="12289" width="1.5703125" style="1031" customWidth="1"/>
    <col min="12290" max="12290" width="10.7109375" style="1031" customWidth="1"/>
    <col min="12291" max="12291" width="1.5703125" style="1031" customWidth="1"/>
    <col min="12292" max="12292" width="11.42578125" style="1031" customWidth="1"/>
    <col min="12293" max="12293" width="11.7109375" style="1031" customWidth="1"/>
    <col min="12294" max="12294" width="10.28515625" style="1031" customWidth="1"/>
    <col min="12295" max="12295" width="10.7109375" style="1031" customWidth="1"/>
    <col min="12296" max="12296" width="10.5703125" style="1031" customWidth="1"/>
    <col min="12297" max="12297" width="8.7109375" style="1031" customWidth="1"/>
    <col min="12298" max="12306" width="4.5703125" style="1031" customWidth="1"/>
    <col min="12307" max="12542" width="11.42578125" style="1031"/>
    <col min="12543" max="12543" width="24.28515625" style="1031" customWidth="1"/>
    <col min="12544" max="12544" width="11.42578125" style="1031" customWidth="1"/>
    <col min="12545" max="12545" width="1.5703125" style="1031" customWidth="1"/>
    <col min="12546" max="12546" width="10.7109375" style="1031" customWidth="1"/>
    <col min="12547" max="12547" width="1.5703125" style="1031" customWidth="1"/>
    <col min="12548" max="12548" width="11.42578125" style="1031" customWidth="1"/>
    <col min="12549" max="12549" width="11.7109375" style="1031" customWidth="1"/>
    <col min="12550" max="12550" width="10.28515625" style="1031" customWidth="1"/>
    <col min="12551" max="12551" width="10.7109375" style="1031" customWidth="1"/>
    <col min="12552" max="12552" width="10.5703125" style="1031" customWidth="1"/>
    <col min="12553" max="12553" width="8.7109375" style="1031" customWidth="1"/>
    <col min="12554" max="12562" width="4.5703125" style="1031" customWidth="1"/>
    <col min="12563" max="12798" width="11.42578125" style="1031"/>
    <col min="12799" max="12799" width="24.28515625" style="1031" customWidth="1"/>
    <col min="12800" max="12800" width="11.42578125" style="1031" customWidth="1"/>
    <col min="12801" max="12801" width="1.5703125" style="1031" customWidth="1"/>
    <col min="12802" max="12802" width="10.7109375" style="1031" customWidth="1"/>
    <col min="12803" max="12803" width="1.5703125" style="1031" customWidth="1"/>
    <col min="12804" max="12804" width="11.42578125" style="1031" customWidth="1"/>
    <col min="12805" max="12805" width="11.7109375" style="1031" customWidth="1"/>
    <col min="12806" max="12806" width="10.28515625" style="1031" customWidth="1"/>
    <col min="12807" max="12807" width="10.7109375" style="1031" customWidth="1"/>
    <col min="12808" max="12808" width="10.5703125" style="1031" customWidth="1"/>
    <col min="12809" max="12809" width="8.7109375" style="1031" customWidth="1"/>
    <col min="12810" max="12818" width="4.5703125" style="1031" customWidth="1"/>
    <col min="12819" max="13054" width="11.42578125" style="1031"/>
    <col min="13055" max="13055" width="24.28515625" style="1031" customWidth="1"/>
    <col min="13056" max="13056" width="11.42578125" style="1031" customWidth="1"/>
    <col min="13057" max="13057" width="1.5703125" style="1031" customWidth="1"/>
    <col min="13058" max="13058" width="10.7109375" style="1031" customWidth="1"/>
    <col min="13059" max="13059" width="1.5703125" style="1031" customWidth="1"/>
    <col min="13060" max="13060" width="11.42578125" style="1031" customWidth="1"/>
    <col min="13061" max="13061" width="11.7109375" style="1031" customWidth="1"/>
    <col min="13062" max="13062" width="10.28515625" style="1031" customWidth="1"/>
    <col min="13063" max="13063" width="10.7109375" style="1031" customWidth="1"/>
    <col min="13064" max="13064" width="10.5703125" style="1031" customWidth="1"/>
    <col min="13065" max="13065" width="8.7109375" style="1031" customWidth="1"/>
    <col min="13066" max="13074" width="4.5703125" style="1031" customWidth="1"/>
    <col min="13075" max="13310" width="11.42578125" style="1031"/>
    <col min="13311" max="13311" width="24.28515625" style="1031" customWidth="1"/>
    <col min="13312" max="13312" width="11.42578125" style="1031" customWidth="1"/>
    <col min="13313" max="13313" width="1.5703125" style="1031" customWidth="1"/>
    <col min="13314" max="13314" width="10.7109375" style="1031" customWidth="1"/>
    <col min="13315" max="13315" width="1.5703125" style="1031" customWidth="1"/>
    <col min="13316" max="13316" width="11.42578125" style="1031" customWidth="1"/>
    <col min="13317" max="13317" width="11.7109375" style="1031" customWidth="1"/>
    <col min="13318" max="13318" width="10.28515625" style="1031" customWidth="1"/>
    <col min="13319" max="13319" width="10.7109375" style="1031" customWidth="1"/>
    <col min="13320" max="13320" width="10.5703125" style="1031" customWidth="1"/>
    <col min="13321" max="13321" width="8.7109375" style="1031" customWidth="1"/>
    <col min="13322" max="13330" width="4.5703125" style="1031" customWidth="1"/>
    <col min="13331" max="13566" width="11.42578125" style="1031"/>
    <col min="13567" max="13567" width="24.28515625" style="1031" customWidth="1"/>
    <col min="13568" max="13568" width="11.42578125" style="1031" customWidth="1"/>
    <col min="13569" max="13569" width="1.5703125" style="1031" customWidth="1"/>
    <col min="13570" max="13570" width="10.7109375" style="1031" customWidth="1"/>
    <col min="13571" max="13571" width="1.5703125" style="1031" customWidth="1"/>
    <col min="13572" max="13572" width="11.42578125" style="1031" customWidth="1"/>
    <col min="13573" max="13573" width="11.7109375" style="1031" customWidth="1"/>
    <col min="13574" max="13574" width="10.28515625" style="1031" customWidth="1"/>
    <col min="13575" max="13575" width="10.7109375" style="1031" customWidth="1"/>
    <col min="13576" max="13576" width="10.5703125" style="1031" customWidth="1"/>
    <col min="13577" max="13577" width="8.7109375" style="1031" customWidth="1"/>
    <col min="13578" max="13586" width="4.5703125" style="1031" customWidth="1"/>
    <col min="13587" max="13822" width="11.42578125" style="1031"/>
    <col min="13823" max="13823" width="24.28515625" style="1031" customWidth="1"/>
    <col min="13824" max="13824" width="11.42578125" style="1031" customWidth="1"/>
    <col min="13825" max="13825" width="1.5703125" style="1031" customWidth="1"/>
    <col min="13826" max="13826" width="10.7109375" style="1031" customWidth="1"/>
    <col min="13827" max="13827" width="1.5703125" style="1031" customWidth="1"/>
    <col min="13828" max="13828" width="11.42578125" style="1031" customWidth="1"/>
    <col min="13829" max="13829" width="11.7109375" style="1031" customWidth="1"/>
    <col min="13830" max="13830" width="10.28515625" style="1031" customWidth="1"/>
    <col min="13831" max="13831" width="10.7109375" style="1031" customWidth="1"/>
    <col min="13832" max="13832" width="10.5703125" style="1031" customWidth="1"/>
    <col min="13833" max="13833" width="8.7109375" style="1031" customWidth="1"/>
    <col min="13834" max="13842" width="4.5703125" style="1031" customWidth="1"/>
    <col min="13843" max="14078" width="11.42578125" style="1031"/>
    <col min="14079" max="14079" width="24.28515625" style="1031" customWidth="1"/>
    <col min="14080" max="14080" width="11.42578125" style="1031" customWidth="1"/>
    <col min="14081" max="14081" width="1.5703125" style="1031" customWidth="1"/>
    <col min="14082" max="14082" width="10.7109375" style="1031" customWidth="1"/>
    <col min="14083" max="14083" width="1.5703125" style="1031" customWidth="1"/>
    <col min="14084" max="14084" width="11.42578125" style="1031" customWidth="1"/>
    <col min="14085" max="14085" width="11.7109375" style="1031" customWidth="1"/>
    <col min="14086" max="14086" width="10.28515625" style="1031" customWidth="1"/>
    <col min="14087" max="14087" width="10.7109375" style="1031" customWidth="1"/>
    <col min="14088" max="14088" width="10.5703125" style="1031" customWidth="1"/>
    <col min="14089" max="14089" width="8.7109375" style="1031" customWidth="1"/>
    <col min="14090" max="14098" width="4.5703125" style="1031" customWidth="1"/>
    <col min="14099" max="14334" width="11.42578125" style="1031"/>
    <col min="14335" max="14335" width="24.28515625" style="1031" customWidth="1"/>
    <col min="14336" max="14336" width="11.42578125" style="1031" customWidth="1"/>
    <col min="14337" max="14337" width="1.5703125" style="1031" customWidth="1"/>
    <col min="14338" max="14338" width="10.7109375" style="1031" customWidth="1"/>
    <col min="14339" max="14339" width="1.5703125" style="1031" customWidth="1"/>
    <col min="14340" max="14340" width="11.42578125" style="1031" customWidth="1"/>
    <col min="14341" max="14341" width="11.7109375" style="1031" customWidth="1"/>
    <col min="14342" max="14342" width="10.28515625" style="1031" customWidth="1"/>
    <col min="14343" max="14343" width="10.7109375" style="1031" customWidth="1"/>
    <col min="14344" max="14344" width="10.5703125" style="1031" customWidth="1"/>
    <col min="14345" max="14345" width="8.7109375" style="1031" customWidth="1"/>
    <col min="14346" max="14354" width="4.5703125" style="1031" customWidth="1"/>
    <col min="14355" max="14590" width="11.42578125" style="1031"/>
    <col min="14591" max="14591" width="24.28515625" style="1031" customWidth="1"/>
    <col min="14592" max="14592" width="11.42578125" style="1031" customWidth="1"/>
    <col min="14593" max="14593" width="1.5703125" style="1031" customWidth="1"/>
    <col min="14594" max="14594" width="10.7109375" style="1031" customWidth="1"/>
    <col min="14595" max="14595" width="1.5703125" style="1031" customWidth="1"/>
    <col min="14596" max="14596" width="11.42578125" style="1031" customWidth="1"/>
    <col min="14597" max="14597" width="11.7109375" style="1031" customWidth="1"/>
    <col min="14598" max="14598" width="10.28515625" style="1031" customWidth="1"/>
    <col min="14599" max="14599" width="10.7109375" style="1031" customWidth="1"/>
    <col min="14600" max="14600" width="10.5703125" style="1031" customWidth="1"/>
    <col min="14601" max="14601" width="8.7109375" style="1031" customWidth="1"/>
    <col min="14602" max="14610" width="4.5703125" style="1031" customWidth="1"/>
    <col min="14611" max="14846" width="11.42578125" style="1031"/>
    <col min="14847" max="14847" width="24.28515625" style="1031" customWidth="1"/>
    <col min="14848" max="14848" width="11.42578125" style="1031" customWidth="1"/>
    <col min="14849" max="14849" width="1.5703125" style="1031" customWidth="1"/>
    <col min="14850" max="14850" width="10.7109375" style="1031" customWidth="1"/>
    <col min="14851" max="14851" width="1.5703125" style="1031" customWidth="1"/>
    <col min="14852" max="14852" width="11.42578125" style="1031" customWidth="1"/>
    <col min="14853" max="14853" width="11.7109375" style="1031" customWidth="1"/>
    <col min="14854" max="14854" width="10.28515625" style="1031" customWidth="1"/>
    <col min="14855" max="14855" width="10.7109375" style="1031" customWidth="1"/>
    <col min="14856" max="14856" width="10.5703125" style="1031" customWidth="1"/>
    <col min="14857" max="14857" width="8.7109375" style="1031" customWidth="1"/>
    <col min="14858" max="14866" width="4.5703125" style="1031" customWidth="1"/>
    <col min="14867" max="15102" width="11.42578125" style="1031"/>
    <col min="15103" max="15103" width="24.28515625" style="1031" customWidth="1"/>
    <col min="15104" max="15104" width="11.42578125" style="1031" customWidth="1"/>
    <col min="15105" max="15105" width="1.5703125" style="1031" customWidth="1"/>
    <col min="15106" max="15106" width="10.7109375" style="1031" customWidth="1"/>
    <col min="15107" max="15107" width="1.5703125" style="1031" customWidth="1"/>
    <col min="15108" max="15108" width="11.42578125" style="1031" customWidth="1"/>
    <col min="15109" max="15109" width="11.7109375" style="1031" customWidth="1"/>
    <col min="15110" max="15110" width="10.28515625" style="1031" customWidth="1"/>
    <col min="15111" max="15111" width="10.7109375" style="1031" customWidth="1"/>
    <col min="15112" max="15112" width="10.5703125" style="1031" customWidth="1"/>
    <col min="15113" max="15113" width="8.7109375" style="1031" customWidth="1"/>
    <col min="15114" max="15122" width="4.5703125" style="1031" customWidth="1"/>
    <col min="15123" max="15358" width="11.42578125" style="1031"/>
    <col min="15359" max="15359" width="24.28515625" style="1031" customWidth="1"/>
    <col min="15360" max="15360" width="11.42578125" style="1031" customWidth="1"/>
    <col min="15361" max="15361" width="1.5703125" style="1031" customWidth="1"/>
    <col min="15362" max="15362" width="10.7109375" style="1031" customWidth="1"/>
    <col min="15363" max="15363" width="1.5703125" style="1031" customWidth="1"/>
    <col min="15364" max="15364" width="11.42578125" style="1031" customWidth="1"/>
    <col min="15365" max="15365" width="11.7109375" style="1031" customWidth="1"/>
    <col min="15366" max="15366" width="10.28515625" style="1031" customWidth="1"/>
    <col min="15367" max="15367" width="10.7109375" style="1031" customWidth="1"/>
    <col min="15368" max="15368" width="10.5703125" style="1031" customWidth="1"/>
    <col min="15369" max="15369" width="8.7109375" style="1031" customWidth="1"/>
    <col min="15370" max="15378" width="4.5703125" style="1031" customWidth="1"/>
    <col min="15379" max="15614" width="11.42578125" style="1031"/>
    <col min="15615" max="15615" width="24.28515625" style="1031" customWidth="1"/>
    <col min="15616" max="15616" width="11.42578125" style="1031" customWidth="1"/>
    <col min="15617" max="15617" width="1.5703125" style="1031" customWidth="1"/>
    <col min="15618" max="15618" width="10.7109375" style="1031" customWidth="1"/>
    <col min="15619" max="15619" width="1.5703125" style="1031" customWidth="1"/>
    <col min="15620" max="15620" width="11.42578125" style="1031" customWidth="1"/>
    <col min="15621" max="15621" width="11.7109375" style="1031" customWidth="1"/>
    <col min="15622" max="15622" width="10.28515625" style="1031" customWidth="1"/>
    <col min="15623" max="15623" width="10.7109375" style="1031" customWidth="1"/>
    <col min="15624" max="15624" width="10.5703125" style="1031" customWidth="1"/>
    <col min="15625" max="15625" width="8.7109375" style="1031" customWidth="1"/>
    <col min="15626" max="15634" width="4.5703125" style="1031" customWidth="1"/>
    <col min="15635" max="15870" width="11.42578125" style="1031"/>
    <col min="15871" max="15871" width="24.28515625" style="1031" customWidth="1"/>
    <col min="15872" max="15872" width="11.42578125" style="1031" customWidth="1"/>
    <col min="15873" max="15873" width="1.5703125" style="1031" customWidth="1"/>
    <col min="15874" max="15874" width="10.7109375" style="1031" customWidth="1"/>
    <col min="15875" max="15875" width="1.5703125" style="1031" customWidth="1"/>
    <col min="15876" max="15876" width="11.42578125" style="1031" customWidth="1"/>
    <col min="15877" max="15877" width="11.7109375" style="1031" customWidth="1"/>
    <col min="15878" max="15878" width="10.28515625" style="1031" customWidth="1"/>
    <col min="15879" max="15879" width="10.7109375" style="1031" customWidth="1"/>
    <col min="15880" max="15880" width="10.5703125" style="1031" customWidth="1"/>
    <col min="15881" max="15881" width="8.7109375" style="1031" customWidth="1"/>
    <col min="15882" max="15890" width="4.5703125" style="1031" customWidth="1"/>
    <col min="15891" max="16126" width="11.42578125" style="1031"/>
    <col min="16127" max="16127" width="24.28515625" style="1031" customWidth="1"/>
    <col min="16128" max="16128" width="11.42578125" style="1031" customWidth="1"/>
    <col min="16129" max="16129" width="1.5703125" style="1031" customWidth="1"/>
    <col min="16130" max="16130" width="10.7109375" style="1031" customWidth="1"/>
    <col min="16131" max="16131" width="1.5703125" style="1031" customWidth="1"/>
    <col min="16132" max="16132" width="11.42578125" style="1031" customWidth="1"/>
    <col min="16133" max="16133" width="11.7109375" style="1031" customWidth="1"/>
    <col min="16134" max="16134" width="10.28515625" style="1031" customWidth="1"/>
    <col min="16135" max="16135" width="10.7109375" style="1031" customWidth="1"/>
    <col min="16136" max="16136" width="10.5703125" style="1031" customWidth="1"/>
    <col min="16137" max="16137" width="8.7109375" style="1031" customWidth="1"/>
    <col min="16138" max="16146" width="4.5703125" style="1031" customWidth="1"/>
    <col min="16147" max="16384" width="11.42578125" style="1031"/>
  </cols>
  <sheetData>
    <row r="1" spans="1:10" s="986" customFormat="1" ht="12.75">
      <c r="A1" s="984" t="s">
        <v>2540</v>
      </c>
      <c r="B1" s="985"/>
      <c r="D1" s="1268" t="s">
        <v>2541</v>
      </c>
      <c r="E1" s="1268"/>
      <c r="F1" s="1268"/>
      <c r="H1" s="985"/>
      <c r="J1" s="985"/>
    </row>
    <row r="2" spans="1:10" s="986" customFormat="1" ht="12.75">
      <c r="A2" s="984" t="s">
        <v>2542</v>
      </c>
      <c r="B2" s="985"/>
      <c r="D2" s="987" t="s">
        <v>379</v>
      </c>
      <c r="E2" s="988"/>
      <c r="F2" s="989">
        <f ca="1">'Pacific - Price Out'!AN1</f>
        <v>2.7637122572350976E-2</v>
      </c>
      <c r="J2" s="985"/>
    </row>
    <row r="3" spans="1:10" s="986" customFormat="1" ht="12.75">
      <c r="B3" s="990"/>
      <c r="D3" s="987" t="s">
        <v>3</v>
      </c>
      <c r="E3" s="988"/>
      <c r="F3" s="991">
        <f ca="1">+'LG Public 2018 V5.0c Rec'!K20</f>
        <v>6.8920343416327731E-2</v>
      </c>
      <c r="J3" s="985"/>
    </row>
    <row r="4" spans="1:10" s="986" customFormat="1" ht="12.75">
      <c r="A4" s="992"/>
      <c r="B4" s="993"/>
      <c r="D4" s="987" t="s">
        <v>4</v>
      </c>
      <c r="E4" s="988"/>
      <c r="F4" s="991">
        <f ca="1">+'LG Public 2018 V5.0c YW'!K20</f>
        <v>1.3254212315121099E-2</v>
      </c>
      <c r="J4" s="985"/>
    </row>
    <row r="5" spans="1:10" s="986" customFormat="1" ht="12.75">
      <c r="A5" s="992"/>
      <c r="B5" s="993"/>
      <c r="D5" s="994"/>
      <c r="E5" s="988"/>
      <c r="H5" s="985"/>
    </row>
    <row r="6" spans="1:10" s="986" customFormat="1" ht="12.75">
      <c r="A6" s="995"/>
      <c r="B6" s="996"/>
      <c r="C6" s="997"/>
      <c r="D6" s="998"/>
      <c r="E6" s="999"/>
      <c r="F6" s="1000"/>
      <c r="H6" s="985"/>
    </row>
    <row r="7" spans="1:10" s="986" customFormat="1" ht="12.75">
      <c r="A7" s="995"/>
      <c r="B7" s="996" t="s">
        <v>2543</v>
      </c>
      <c r="C7" s="997"/>
      <c r="D7" s="998"/>
      <c r="E7" s="999"/>
      <c r="F7" s="1000" t="s">
        <v>2506</v>
      </c>
      <c r="H7" s="985"/>
    </row>
    <row r="8" spans="1:10" s="986" customFormat="1" ht="12.75">
      <c r="A8" s="1001"/>
      <c r="B8" s="1002" t="s">
        <v>1952</v>
      </c>
      <c r="C8" s="997"/>
      <c r="D8" s="1000" t="s">
        <v>533</v>
      </c>
      <c r="E8" s="1000"/>
      <c r="F8" s="996">
        <v>43647</v>
      </c>
      <c r="H8" s="985"/>
    </row>
    <row r="9" spans="1:10" s="986" customFormat="1" ht="12.75">
      <c r="A9" s="1003"/>
      <c r="B9" s="1002" t="s">
        <v>2507</v>
      </c>
      <c r="C9" s="997"/>
      <c r="D9" s="1000" t="s">
        <v>1961</v>
      </c>
      <c r="E9" s="1000"/>
      <c r="F9" s="1000" t="s">
        <v>2507</v>
      </c>
      <c r="H9" s="985"/>
    </row>
    <row r="10" spans="1:10" s="986" customFormat="1" ht="12.75">
      <c r="A10" s="1004" t="s">
        <v>2544</v>
      </c>
      <c r="B10" s="1005"/>
      <c r="C10" s="1006"/>
      <c r="D10" s="1007"/>
      <c r="E10" s="1008"/>
      <c r="F10" s="1009"/>
      <c r="H10" s="985"/>
    </row>
    <row r="11" spans="1:10" s="986" customFormat="1" ht="12.75">
      <c r="A11" s="1010" t="s">
        <v>2545</v>
      </c>
      <c r="B11" s="1011">
        <v>20</v>
      </c>
      <c r="C11" s="987"/>
      <c r="D11" s="994">
        <f ca="1">B11*$F$2</f>
        <v>0.5527424514470195</v>
      </c>
      <c r="E11" s="1012"/>
      <c r="F11" s="985">
        <f ca="1">+B11+D11</f>
        <v>20.55274245144702</v>
      </c>
      <c r="H11" s="985"/>
    </row>
    <row r="12" spans="1:10" s="986" customFormat="1" ht="12.75">
      <c r="A12" s="1013"/>
      <c r="B12" s="1014"/>
      <c r="C12" s="987"/>
      <c r="D12" s="1015"/>
      <c r="E12" s="1012"/>
      <c r="F12" s="985"/>
      <c r="H12" s="985"/>
    </row>
    <row r="13" spans="1:10" s="986" customFormat="1" ht="12.75">
      <c r="A13" s="1004" t="s">
        <v>2546</v>
      </c>
      <c r="B13" s="1016"/>
      <c r="C13" s="1006"/>
      <c r="D13" s="1007"/>
      <c r="E13" s="1008"/>
      <c r="F13" s="1009"/>
      <c r="H13" s="985"/>
    </row>
    <row r="14" spans="1:10" s="986" customFormat="1" ht="12.75">
      <c r="A14" s="1010" t="s">
        <v>2547</v>
      </c>
      <c r="B14" s="1011">
        <v>11</v>
      </c>
      <c r="C14" s="987"/>
      <c r="D14" s="994">
        <f ca="1">B14*$F$2</f>
        <v>0.30400834829586071</v>
      </c>
      <c r="E14" s="1012"/>
      <c r="F14" s="985">
        <f ca="1">+B14+D14</f>
        <v>11.304008348295861</v>
      </c>
      <c r="H14" s="985"/>
    </row>
    <row r="15" spans="1:10" s="986" customFormat="1" ht="12.75">
      <c r="A15" s="1013"/>
      <c r="B15" s="1014"/>
      <c r="C15" s="987"/>
      <c r="D15" s="1015"/>
      <c r="E15" s="1012"/>
      <c r="F15" s="985"/>
      <c r="H15" s="985"/>
    </row>
    <row r="16" spans="1:10" s="986" customFormat="1" ht="12.75">
      <c r="A16" s="1004" t="s">
        <v>2548</v>
      </c>
      <c r="B16" s="1016"/>
      <c r="C16" s="1006"/>
      <c r="D16" s="1007"/>
      <c r="E16" s="1008"/>
      <c r="F16" s="1009"/>
      <c r="H16" s="985"/>
    </row>
    <row r="17" spans="1:8" s="1028" customFormat="1" ht="12.75">
      <c r="A17" s="1244" t="s">
        <v>3114</v>
      </c>
      <c r="B17" s="1241">
        <v>16.8</v>
      </c>
      <c r="C17" s="1242"/>
      <c r="D17" s="1245">
        <f ca="1">B17*F4</f>
        <v>0.22267076689403448</v>
      </c>
      <c r="E17" s="1243"/>
      <c r="F17" s="985">
        <f ca="1">+B17+D17</f>
        <v>17.022670766894034</v>
      </c>
      <c r="H17" s="1029"/>
    </row>
    <row r="18" spans="1:8" s="986" customFormat="1" ht="12.75">
      <c r="A18" s="1010" t="s">
        <v>2549</v>
      </c>
      <c r="B18" s="1011">
        <v>18.5</v>
      </c>
      <c r="C18" s="987"/>
      <c r="D18" s="994">
        <f ca="1">B18*$F$2</f>
        <v>0.51128676758849301</v>
      </c>
      <c r="E18" s="1012"/>
      <c r="F18" s="985">
        <f t="shared" ref="F18:F21" ca="1" si="0">+B18+D18</f>
        <v>19.011286767588494</v>
      </c>
      <c r="H18" s="985"/>
    </row>
    <row r="19" spans="1:8" s="986" customFormat="1" ht="12.75">
      <c r="A19" s="1010" t="s">
        <v>2550</v>
      </c>
      <c r="B19" s="1011">
        <v>37</v>
      </c>
      <c r="C19" s="987"/>
      <c r="D19" s="994">
        <f t="shared" ref="D19:D20" ca="1" si="1">B19*$F$2</f>
        <v>1.022573535176986</v>
      </c>
      <c r="E19" s="1012"/>
      <c r="F19" s="985">
        <f t="shared" ca="1" si="0"/>
        <v>38.022573535176988</v>
      </c>
      <c r="H19" s="985"/>
    </row>
    <row r="20" spans="1:8" s="986" customFormat="1" ht="12.75">
      <c r="A20" s="1010" t="s">
        <v>3115</v>
      </c>
      <c r="B20" s="1011">
        <v>16.8</v>
      </c>
      <c r="C20" s="987"/>
      <c r="D20" s="994">
        <f t="shared" ca="1" si="1"/>
        <v>0.46430365921549643</v>
      </c>
      <c r="E20" s="1012"/>
      <c r="F20" s="985">
        <f t="shared" ca="1" si="0"/>
        <v>17.264303659215496</v>
      </c>
      <c r="H20" s="985"/>
    </row>
    <row r="21" spans="1:8" s="986" customFormat="1" ht="12.75">
      <c r="A21" s="1010" t="s">
        <v>2551</v>
      </c>
      <c r="B21" s="1011">
        <v>16.8</v>
      </c>
      <c r="C21" s="987"/>
      <c r="D21" s="994">
        <f ca="1">B21*$F$3</f>
        <v>1.1578617693943059</v>
      </c>
      <c r="E21" s="1012"/>
      <c r="F21" s="985">
        <f t="shared" ca="1" si="0"/>
        <v>17.957861769394306</v>
      </c>
      <c r="H21" s="985"/>
    </row>
    <row r="22" spans="1:8" s="986" customFormat="1" ht="12.75">
      <c r="A22" s="1013"/>
      <c r="B22" s="1014"/>
      <c r="C22" s="987"/>
      <c r="D22" s="1015"/>
      <c r="E22" s="1012"/>
      <c r="F22" s="985"/>
      <c r="H22" s="985"/>
    </row>
    <row r="23" spans="1:8" s="986" customFormat="1" ht="12.75">
      <c r="A23" s="1004" t="s">
        <v>2552</v>
      </c>
      <c r="B23" s="1005"/>
      <c r="C23" s="1006"/>
      <c r="D23" s="1007"/>
      <c r="E23" s="1008"/>
      <c r="F23" s="1009"/>
      <c r="H23" s="985"/>
    </row>
    <row r="24" spans="1:8" s="986" customFormat="1" ht="12.75">
      <c r="A24" s="1028"/>
      <c r="B24" s="1241"/>
      <c r="C24" s="1257"/>
      <c r="D24" s="1245"/>
      <c r="E24" s="1245"/>
      <c r="F24" s="1256"/>
      <c r="G24" s="986" t="s">
        <v>3121</v>
      </c>
      <c r="H24" s="985"/>
    </row>
    <row r="25" spans="1:8" s="986" customFormat="1" ht="12.75">
      <c r="B25" s="1011"/>
      <c r="C25" s="1017"/>
      <c r="D25" s="994"/>
      <c r="E25" s="994"/>
      <c r="F25" s="985"/>
      <c r="H25" s="985"/>
    </row>
    <row r="26" spans="1:8" s="986" customFormat="1" ht="12.75">
      <c r="A26" s="1004" t="s">
        <v>2553</v>
      </c>
      <c r="B26" s="1016"/>
      <c r="C26" s="1018"/>
      <c r="D26" s="1019"/>
      <c r="E26" s="1019"/>
      <c r="F26" s="1009"/>
      <c r="H26" s="985"/>
    </row>
    <row r="27" spans="1:8" s="986" customFormat="1" ht="12.75">
      <c r="A27" s="986" t="s">
        <v>2554</v>
      </c>
      <c r="B27" s="1011">
        <v>90.7</v>
      </c>
      <c r="C27" s="1017"/>
      <c r="D27" s="994">
        <f t="shared" ref="D27:D28" ca="1" si="2">B27*$F$2</f>
        <v>2.5066870173122338</v>
      </c>
      <c r="E27" s="994"/>
      <c r="F27" s="985">
        <f ca="1">+B27+D27</f>
        <v>93.206687017312234</v>
      </c>
      <c r="H27" s="985"/>
    </row>
    <row r="28" spans="1:8" s="986" customFormat="1" ht="12.75">
      <c r="A28" s="986" t="s">
        <v>2555</v>
      </c>
      <c r="B28" s="1011">
        <v>362.8</v>
      </c>
      <c r="C28" s="1017"/>
      <c r="D28" s="994">
        <f t="shared" ca="1" si="2"/>
        <v>10.026748069248935</v>
      </c>
      <c r="E28" s="994"/>
      <c r="F28" s="985">
        <f ca="1">+B28+D28</f>
        <v>372.82674806924894</v>
      </c>
      <c r="H28" s="985"/>
    </row>
    <row r="29" spans="1:8" s="986" customFormat="1" ht="12.75">
      <c r="A29" s="987"/>
      <c r="B29" s="1011"/>
      <c r="C29" s="1017"/>
      <c r="D29" s="994"/>
      <c r="E29" s="994"/>
      <c r="F29" s="985"/>
      <c r="H29" s="985"/>
    </row>
    <row r="30" spans="1:8" s="986" customFormat="1" ht="12.75">
      <c r="A30" s="1004" t="s">
        <v>2556</v>
      </c>
      <c r="B30" s="1016"/>
      <c r="C30" s="1018"/>
      <c r="D30" s="1019"/>
      <c r="E30" s="1019"/>
      <c r="F30" s="1009"/>
      <c r="H30" s="985"/>
    </row>
    <row r="31" spans="1:8" s="987" customFormat="1" ht="12.75">
      <c r="A31" s="987" t="s">
        <v>2557</v>
      </c>
      <c r="B31" s="1020"/>
      <c r="C31" s="1021"/>
      <c r="D31" s="1015"/>
      <c r="E31" s="1015"/>
      <c r="F31" s="1022"/>
      <c r="H31" s="1022"/>
    </row>
    <row r="32" spans="1:8" s="986" customFormat="1" ht="12.75">
      <c r="A32" s="986" t="s">
        <v>2558</v>
      </c>
      <c r="B32" s="1011">
        <v>5.75</v>
      </c>
      <c r="C32" s="1017"/>
      <c r="D32" s="994">
        <f t="shared" ref="D32:D35" ca="1" si="3">B32*$F$2</f>
        <v>0.15891345479101812</v>
      </c>
      <c r="E32" s="994"/>
      <c r="F32" s="985">
        <f t="shared" ref="F32:F37" ca="1" si="4">+B32+D32</f>
        <v>5.9089134547910183</v>
      </c>
      <c r="H32" s="985"/>
    </row>
    <row r="33" spans="1:8" s="986" customFormat="1" ht="12.75">
      <c r="A33" s="986" t="s">
        <v>6</v>
      </c>
      <c r="B33" s="1011">
        <v>30</v>
      </c>
      <c r="C33" s="1017"/>
      <c r="D33" s="994">
        <f t="shared" ca="1" si="3"/>
        <v>0.82911367717052931</v>
      </c>
      <c r="E33" s="994"/>
      <c r="F33" s="985">
        <f t="shared" ca="1" si="4"/>
        <v>30.829113677170529</v>
      </c>
      <c r="H33" s="985"/>
    </row>
    <row r="34" spans="1:8" s="986" customFormat="1" ht="12.75">
      <c r="A34" s="986" t="s">
        <v>874</v>
      </c>
      <c r="B34" s="1011">
        <v>15</v>
      </c>
      <c r="C34" s="1017"/>
      <c r="D34" s="994">
        <f t="shared" ca="1" si="3"/>
        <v>0.41455683858526465</v>
      </c>
      <c r="E34" s="994"/>
      <c r="F34" s="985">
        <f t="shared" ca="1" si="4"/>
        <v>15.414556838585264</v>
      </c>
      <c r="H34" s="985"/>
    </row>
    <row r="35" spans="1:8" s="986" customFormat="1" ht="12.75">
      <c r="A35" s="986" t="s">
        <v>2559</v>
      </c>
      <c r="B35" s="1011">
        <v>5.75</v>
      </c>
      <c r="C35" s="1017"/>
      <c r="D35" s="994">
        <f t="shared" ca="1" si="3"/>
        <v>0.15891345479101812</v>
      </c>
      <c r="E35" s="994"/>
      <c r="F35" s="985">
        <f t="shared" ca="1" si="4"/>
        <v>5.9089134547910183</v>
      </c>
      <c r="H35" s="985"/>
    </row>
    <row r="36" spans="1:8" s="986" customFormat="1" ht="12.75">
      <c r="A36" s="986" t="s">
        <v>2560</v>
      </c>
      <c r="B36" s="1011">
        <v>5.75</v>
      </c>
      <c r="C36" s="1017"/>
      <c r="D36" s="994">
        <f ca="1">B36*$F$3</f>
        <v>0.39629197464388444</v>
      </c>
      <c r="E36" s="994"/>
      <c r="F36" s="985">
        <f t="shared" ca="1" si="4"/>
        <v>6.1462919746438844</v>
      </c>
      <c r="H36" s="985"/>
    </row>
    <row r="37" spans="1:8" s="986" customFormat="1" ht="12.75">
      <c r="A37" s="986" t="s">
        <v>2561</v>
      </c>
      <c r="B37" s="1011">
        <v>5.75</v>
      </c>
      <c r="C37" s="1017"/>
      <c r="D37" s="994">
        <f ca="1">B37*$F$4</f>
        <v>7.6211720811946312E-2</v>
      </c>
      <c r="E37" s="994"/>
      <c r="F37" s="985">
        <f t="shared" ca="1" si="4"/>
        <v>5.8262117208119459</v>
      </c>
      <c r="H37" s="985"/>
    </row>
    <row r="38" spans="1:8" s="986" customFormat="1" ht="12.75">
      <c r="B38" s="1011"/>
      <c r="C38" s="1017"/>
      <c r="D38" s="994"/>
      <c r="E38" s="994"/>
      <c r="F38" s="985"/>
      <c r="H38" s="985"/>
    </row>
    <row r="39" spans="1:8" s="986" customFormat="1" ht="12.75">
      <c r="A39" s="1004" t="s">
        <v>2562</v>
      </c>
      <c r="B39" s="1016"/>
      <c r="C39" s="1018"/>
      <c r="D39" s="1019"/>
      <c r="E39" s="1019"/>
      <c r="F39" s="1009"/>
      <c r="H39" s="985"/>
    </row>
    <row r="40" spans="1:8" s="987" customFormat="1" ht="12.75">
      <c r="A40" s="987" t="s">
        <v>2563</v>
      </c>
      <c r="B40" s="1020"/>
      <c r="C40" s="1021"/>
      <c r="D40" s="1015"/>
      <c r="E40" s="1015"/>
      <c r="F40" s="1022"/>
      <c r="H40" s="1022"/>
    </row>
    <row r="41" spans="1:8" s="986" customFormat="1" ht="12.75">
      <c r="A41" s="986" t="s">
        <v>2564</v>
      </c>
      <c r="B41" s="1011"/>
      <c r="C41" s="1017"/>
      <c r="D41" s="994"/>
      <c r="E41" s="994"/>
      <c r="F41" s="985"/>
      <c r="H41" s="985"/>
    </row>
    <row r="42" spans="1:8" s="986" customFormat="1" ht="12.75">
      <c r="A42" s="986" t="s">
        <v>2565</v>
      </c>
      <c r="B42" s="1011">
        <v>1.9</v>
      </c>
      <c r="C42" s="1017"/>
      <c r="D42" s="994">
        <f t="shared" ref="D42:D43" ca="1" si="5">B42*$F$2</f>
        <v>5.2510532887466849E-2</v>
      </c>
      <c r="E42" s="994"/>
      <c r="F42" s="985">
        <f ca="1">+B42+D42</f>
        <v>1.9525105328874668</v>
      </c>
      <c r="H42" s="985"/>
    </row>
    <row r="43" spans="1:8" s="986" customFormat="1" ht="12.75">
      <c r="A43" s="986" t="s">
        <v>2566</v>
      </c>
      <c r="B43" s="1011">
        <v>1.6</v>
      </c>
      <c r="C43" s="1017"/>
      <c r="D43" s="994">
        <f t="shared" ca="1" si="5"/>
        <v>4.4219396115761561E-2</v>
      </c>
      <c r="E43" s="994"/>
      <c r="F43" s="985">
        <f ca="1">+B43+D43</f>
        <v>1.6442193961157616</v>
      </c>
      <c r="H43" s="985"/>
    </row>
    <row r="44" spans="1:8" s="986" customFormat="1" ht="12.75">
      <c r="B44" s="1011"/>
      <c r="C44" s="1017"/>
      <c r="D44" s="994"/>
      <c r="E44" s="994"/>
      <c r="F44" s="985"/>
      <c r="H44" s="985"/>
    </row>
    <row r="45" spans="1:8" s="987" customFormat="1" ht="12.75">
      <c r="A45" s="987" t="s">
        <v>2567</v>
      </c>
      <c r="B45" s="1020"/>
      <c r="C45" s="1021"/>
      <c r="D45" s="1023"/>
      <c r="E45" s="1015"/>
      <c r="F45" s="1022"/>
      <c r="H45" s="1022"/>
    </row>
    <row r="46" spans="1:8" s="986" customFormat="1" ht="12.75">
      <c r="A46" s="986" t="s">
        <v>2565</v>
      </c>
      <c r="B46" s="1011">
        <v>0.44</v>
      </c>
      <c r="C46" s="1017"/>
      <c r="D46" s="994">
        <f t="shared" ref="D46:D47" ca="1" si="6">B46*$F$2</f>
        <v>1.216033393183443E-2</v>
      </c>
      <c r="E46" s="994"/>
      <c r="F46" s="985">
        <f ca="1">+B46+D46</f>
        <v>0.45216033393183441</v>
      </c>
      <c r="H46" s="985"/>
    </row>
    <row r="47" spans="1:8" s="986" customFormat="1" ht="12.75">
      <c r="A47" s="986" t="s">
        <v>2566</v>
      </c>
      <c r="B47" s="1011">
        <v>0.37</v>
      </c>
      <c r="C47" s="1017"/>
      <c r="D47" s="994">
        <f t="shared" ca="1" si="6"/>
        <v>1.0225735351769861E-2</v>
      </c>
      <c r="E47" s="994"/>
      <c r="F47" s="985">
        <f ca="1">+B47+D47</f>
        <v>0.38022573535176984</v>
      </c>
      <c r="H47" s="985"/>
    </row>
    <row r="48" spans="1:8" s="986" customFormat="1" ht="12.75">
      <c r="B48" s="1011"/>
      <c r="C48" s="1017"/>
      <c r="D48" s="994"/>
      <c r="E48" s="994"/>
      <c r="F48" s="985"/>
      <c r="H48" s="985"/>
    </row>
    <row r="49" spans="1:8" s="987" customFormat="1" ht="12.75">
      <c r="A49" s="987" t="s">
        <v>2568</v>
      </c>
      <c r="B49" s="1020"/>
      <c r="C49" s="1021"/>
      <c r="D49" s="1015"/>
      <c r="E49" s="1015"/>
      <c r="F49" s="1022"/>
      <c r="H49" s="1022"/>
    </row>
    <row r="50" spans="1:8" s="986" customFormat="1" ht="12.75">
      <c r="A50" s="986" t="s">
        <v>2569</v>
      </c>
      <c r="B50" s="1011">
        <v>6.3</v>
      </c>
      <c r="C50" s="1017"/>
      <c r="D50" s="994">
        <f t="shared" ref="D50:D51" ca="1" si="7">B50*$F$2</f>
        <v>0.17411387220581115</v>
      </c>
      <c r="E50" s="994"/>
      <c r="F50" s="985">
        <f ca="1">+B50+D50</f>
        <v>6.4741138722058107</v>
      </c>
      <c r="H50" s="985"/>
    </row>
    <row r="51" spans="1:8" s="986" customFormat="1" ht="12.75">
      <c r="A51" s="986" t="s">
        <v>2570</v>
      </c>
      <c r="B51" s="1011">
        <v>3.2</v>
      </c>
      <c r="C51" s="1017"/>
      <c r="D51" s="994">
        <f t="shared" ca="1" si="7"/>
        <v>8.8438792231523122E-2</v>
      </c>
      <c r="E51" s="994"/>
      <c r="F51" s="985">
        <f ca="1">+B51+D51</f>
        <v>3.2884387922315232</v>
      </c>
      <c r="H51" s="985"/>
    </row>
    <row r="52" spans="1:8" s="986" customFormat="1" ht="12.75">
      <c r="B52" s="1011"/>
      <c r="C52" s="1017"/>
      <c r="D52" s="994"/>
      <c r="E52" s="994"/>
      <c r="F52" s="985"/>
      <c r="H52" s="985"/>
    </row>
    <row r="53" spans="1:8" s="987" customFormat="1" ht="12.75">
      <c r="A53" s="987" t="s">
        <v>2567</v>
      </c>
      <c r="B53" s="1020"/>
      <c r="C53" s="1021"/>
      <c r="D53" s="1015"/>
      <c r="E53" s="1015"/>
      <c r="F53" s="1022"/>
      <c r="H53" s="1022"/>
    </row>
    <row r="54" spans="1:8" s="986" customFormat="1" ht="12.75">
      <c r="A54" s="986" t="s">
        <v>2569</v>
      </c>
      <c r="B54" s="1011">
        <v>1.86</v>
      </c>
      <c r="C54" s="1017"/>
      <c r="D54" s="994">
        <f t="shared" ref="D54:D55" ca="1" si="8">B54*$F$2</f>
        <v>5.1405047984572814E-2</v>
      </c>
      <c r="E54" s="994"/>
      <c r="F54" s="985">
        <f ca="1">+B54+D54</f>
        <v>1.911405047984573</v>
      </c>
      <c r="H54" s="985"/>
    </row>
    <row r="55" spans="1:8" s="986" customFormat="1" ht="12.75">
      <c r="A55" s="986" t="s">
        <v>2570</v>
      </c>
      <c r="B55" s="1011">
        <v>0.74</v>
      </c>
      <c r="C55" s="1017"/>
      <c r="D55" s="994">
        <f t="shared" ca="1" si="8"/>
        <v>2.0451470703539722E-2</v>
      </c>
      <c r="E55" s="994"/>
      <c r="F55" s="985">
        <f ca="1">+B55+D55</f>
        <v>0.76045147070353969</v>
      </c>
      <c r="H55" s="985"/>
    </row>
    <row r="56" spans="1:8" s="986" customFormat="1" ht="12.75">
      <c r="B56" s="1011"/>
      <c r="C56" s="1017"/>
      <c r="D56" s="994"/>
      <c r="E56" s="994"/>
      <c r="F56" s="985"/>
      <c r="H56" s="985"/>
    </row>
    <row r="57" spans="1:8" s="986" customFormat="1" ht="12.75">
      <c r="A57" s="1004" t="s">
        <v>2571</v>
      </c>
      <c r="B57" s="1016"/>
      <c r="C57" s="1018"/>
      <c r="D57" s="1019"/>
      <c r="E57" s="1019"/>
      <c r="F57" s="1009"/>
      <c r="H57" s="985"/>
    </row>
    <row r="58" spans="1:8" s="986" customFormat="1" ht="12.75">
      <c r="A58" s="1013" t="s">
        <v>2</v>
      </c>
      <c r="B58" s="1011"/>
      <c r="C58" s="1017"/>
      <c r="D58" s="994"/>
      <c r="E58" s="994"/>
      <c r="F58" s="985"/>
      <c r="H58" s="985"/>
    </row>
    <row r="59" spans="1:8" s="986" customFormat="1" ht="12.75">
      <c r="A59" s="986" t="s">
        <v>2572</v>
      </c>
      <c r="B59" s="1011">
        <v>0.25</v>
      </c>
      <c r="C59" s="1017"/>
      <c r="D59" s="994">
        <f t="shared" ref="D59:D62" ca="1" si="9">B59*$F$2</f>
        <v>6.9092806430877439E-3</v>
      </c>
      <c r="E59" s="994"/>
      <c r="F59" s="985">
        <f t="shared" ref="F59:F62" ca="1" si="10">+B59+D59</f>
        <v>0.25690928064308777</v>
      </c>
      <c r="H59" s="985"/>
    </row>
    <row r="60" spans="1:8" s="986" customFormat="1" ht="12.75">
      <c r="A60" s="986" t="s">
        <v>2573</v>
      </c>
      <c r="B60" s="1011">
        <v>0.7</v>
      </c>
      <c r="C60" s="1017"/>
      <c r="D60" s="994">
        <f t="shared" ca="1" si="9"/>
        <v>1.9345985800645681E-2</v>
      </c>
      <c r="E60" s="994"/>
      <c r="F60" s="985">
        <f t="shared" ca="1" si="10"/>
        <v>0.71934598580064568</v>
      </c>
      <c r="H60" s="985"/>
    </row>
    <row r="61" spans="1:8" s="986" customFormat="1" ht="12.75">
      <c r="A61" s="986" t="s">
        <v>2574</v>
      </c>
      <c r="B61" s="1011">
        <v>0.5</v>
      </c>
      <c r="C61" s="1017"/>
      <c r="D61" s="994">
        <f t="shared" ca="1" si="9"/>
        <v>1.3818561286175488E-2</v>
      </c>
      <c r="E61" s="994"/>
      <c r="F61" s="985">
        <f t="shared" ca="1" si="10"/>
        <v>0.51381856128617553</v>
      </c>
      <c r="H61" s="985"/>
    </row>
    <row r="62" spans="1:8" s="986" customFormat="1" ht="12.75">
      <c r="A62" s="1246" t="s">
        <v>3116</v>
      </c>
      <c r="B62" s="1247">
        <v>3.1</v>
      </c>
      <c r="C62" s="1248"/>
      <c r="D62" s="1249">
        <f t="shared" ca="1" si="9"/>
        <v>8.5675079974288026E-2</v>
      </c>
      <c r="E62" s="1249"/>
      <c r="F62" s="1250">
        <f t="shared" ca="1" si="10"/>
        <v>3.1856750799742883</v>
      </c>
      <c r="G62" s="1255" t="s">
        <v>3120</v>
      </c>
      <c r="H62" s="985"/>
    </row>
    <row r="63" spans="1:8" s="986" customFormat="1" ht="12.75">
      <c r="B63" s="1011"/>
      <c r="C63" s="1017"/>
      <c r="D63" s="994"/>
      <c r="E63" s="994"/>
      <c r="F63" s="985"/>
      <c r="H63" s="985"/>
    </row>
    <row r="64" spans="1:8" s="986" customFormat="1" ht="12.75">
      <c r="A64" s="987" t="s">
        <v>954</v>
      </c>
      <c r="B64" s="1011"/>
      <c r="C64" s="1017"/>
      <c r="D64" s="994"/>
      <c r="E64" s="994"/>
      <c r="F64" s="985"/>
      <c r="H64" s="985"/>
    </row>
    <row r="65" spans="1:8" s="986" customFormat="1" ht="12.75">
      <c r="A65" s="986" t="s">
        <v>2572</v>
      </c>
      <c r="B65" s="1011">
        <v>7.0000000000000007E-2</v>
      </c>
      <c r="C65" s="1017"/>
      <c r="D65" s="994">
        <f t="shared" ref="D65:D67" ca="1" si="11">B65*$F$2</f>
        <v>1.9345985800645685E-3</v>
      </c>
      <c r="E65" s="994"/>
      <c r="F65" s="985">
        <f t="shared" ref="F65:F67" ca="1" si="12">+B65+D65</f>
        <v>7.1934598580064568E-2</v>
      </c>
      <c r="H65" s="985"/>
    </row>
    <row r="66" spans="1:8" s="986" customFormat="1" ht="12.75">
      <c r="A66" s="986" t="s">
        <v>2573</v>
      </c>
      <c r="B66" s="1011">
        <v>0.17</v>
      </c>
      <c r="C66" s="1017"/>
      <c r="D66" s="994">
        <f t="shared" ca="1" si="11"/>
        <v>4.698310837299666E-3</v>
      </c>
      <c r="E66" s="994"/>
      <c r="F66" s="985">
        <f t="shared" ca="1" si="12"/>
        <v>0.17469831083729967</v>
      </c>
      <c r="H66" s="985"/>
    </row>
    <row r="67" spans="1:8" s="986" customFormat="1" ht="12.75">
      <c r="A67" s="986" t="s">
        <v>2574</v>
      </c>
      <c r="B67" s="1011">
        <v>0.12</v>
      </c>
      <c r="C67" s="1017"/>
      <c r="D67" s="994">
        <f t="shared" ca="1" si="11"/>
        <v>3.3164547086821168E-3</v>
      </c>
      <c r="E67" s="994"/>
      <c r="F67" s="985">
        <f t="shared" ca="1" si="12"/>
        <v>0.12331645470868212</v>
      </c>
      <c r="H67" s="985"/>
    </row>
    <row r="68" spans="1:8" s="986" customFormat="1" ht="12.75">
      <c r="A68" s="1246" t="s">
        <v>3116</v>
      </c>
      <c r="B68" s="1247">
        <v>0.72</v>
      </c>
      <c r="C68" s="1248"/>
      <c r="D68" s="1249">
        <f t="shared" ref="D68" ca="1" si="13">B68*$F$2</f>
        <v>1.9898728252092702E-2</v>
      </c>
      <c r="E68" s="1249"/>
      <c r="F68" s="1250">
        <f t="shared" ref="F68" ca="1" si="14">+B68+D68</f>
        <v>0.73989872825209269</v>
      </c>
      <c r="G68" s="1255" t="s">
        <v>3120</v>
      </c>
      <c r="H68" s="985"/>
    </row>
    <row r="69" spans="1:8" s="986" customFormat="1" ht="12.75">
      <c r="B69" s="1011"/>
      <c r="C69" s="1017"/>
      <c r="D69" s="994"/>
      <c r="E69" s="994"/>
      <c r="F69" s="985"/>
      <c r="H69" s="985"/>
    </row>
    <row r="70" spans="1:8" s="986" customFormat="1" ht="12.75">
      <c r="A70" s="1006" t="s">
        <v>2575</v>
      </c>
      <c r="B70" s="1016"/>
      <c r="C70" s="1018"/>
      <c r="D70" s="1019"/>
      <c r="E70" s="1019"/>
      <c r="F70" s="1009"/>
      <c r="H70" s="985"/>
    </row>
    <row r="71" spans="1:8" s="986" customFormat="1" ht="12.75">
      <c r="A71" s="987" t="s">
        <v>2576</v>
      </c>
      <c r="B71" s="1011"/>
      <c r="C71" s="1017"/>
      <c r="D71" s="994"/>
      <c r="E71" s="994"/>
      <c r="F71" s="985"/>
      <c r="H71" s="985"/>
    </row>
    <row r="72" spans="1:8" s="986" customFormat="1" ht="12.75">
      <c r="A72" s="986" t="s">
        <v>2577</v>
      </c>
      <c r="B72" s="985">
        <v>9.32</v>
      </c>
      <c r="D72" s="994">
        <f t="shared" ref="D72:D78" ca="1" si="15">B72*$F$2</f>
        <v>0.25757798237431112</v>
      </c>
      <c r="E72" s="988"/>
      <c r="F72" s="985">
        <f t="shared" ref="F72:F78" ca="1" si="16">+B72+D72</f>
        <v>9.5775779823743115</v>
      </c>
      <c r="H72" s="1024"/>
    </row>
    <row r="73" spans="1:8" s="986" customFormat="1" ht="12.75">
      <c r="A73" s="986" t="s">
        <v>2578</v>
      </c>
      <c r="B73" s="985">
        <v>13.22</v>
      </c>
      <c r="D73" s="994">
        <f t="shared" ca="1" si="15"/>
        <v>0.36536276040647991</v>
      </c>
      <c r="E73" s="988"/>
      <c r="F73" s="985">
        <f t="shared" ca="1" si="16"/>
        <v>13.585362760406481</v>
      </c>
      <c r="G73" s="1025"/>
      <c r="H73" s="1024"/>
    </row>
    <row r="74" spans="1:8" s="986" customFormat="1" ht="12.75">
      <c r="A74" s="986" t="s">
        <v>2579</v>
      </c>
      <c r="B74" s="985">
        <v>20.21</v>
      </c>
      <c r="D74" s="994">
        <f t="shared" ca="1" si="15"/>
        <v>0.55854624718721324</v>
      </c>
      <c r="E74" s="988"/>
      <c r="F74" s="985">
        <f t="shared" ca="1" si="16"/>
        <v>20.768546247187214</v>
      </c>
      <c r="H74" s="1024"/>
    </row>
    <row r="75" spans="1:8" s="986" customFormat="1" ht="12.75">
      <c r="A75" s="986" t="s">
        <v>2580</v>
      </c>
      <c r="B75" s="985">
        <v>28.47</v>
      </c>
      <c r="D75" s="994">
        <f t="shared" ca="1" si="15"/>
        <v>0.78682887963483228</v>
      </c>
      <c r="E75" s="988"/>
      <c r="F75" s="985">
        <f t="shared" ca="1" si="16"/>
        <v>29.256828879634831</v>
      </c>
      <c r="H75" s="1024"/>
    </row>
    <row r="76" spans="1:8" s="986" customFormat="1" ht="12.75">
      <c r="A76" s="986" t="s">
        <v>2581</v>
      </c>
      <c r="B76" s="985">
        <v>36.159999999999997</v>
      </c>
      <c r="D76" s="994">
        <f t="shared" ca="1" si="15"/>
        <v>0.99935835221621117</v>
      </c>
      <c r="E76" s="988"/>
      <c r="F76" s="985">
        <f t="shared" ca="1" si="16"/>
        <v>37.159358352216209</v>
      </c>
      <c r="H76" s="1024"/>
    </row>
    <row r="77" spans="1:8" s="986" customFormat="1" ht="12.75">
      <c r="A77" s="986" t="s">
        <v>2582</v>
      </c>
      <c r="B77" s="985">
        <v>43.78</v>
      </c>
      <c r="D77" s="994">
        <f t="shared" ca="1" si="15"/>
        <v>1.2099532262175257</v>
      </c>
      <c r="E77" s="988"/>
      <c r="F77" s="985">
        <f t="shared" ca="1" si="16"/>
        <v>44.98995322621753</v>
      </c>
      <c r="H77" s="1024"/>
    </row>
    <row r="78" spans="1:8" s="986" customFormat="1" ht="12.75">
      <c r="A78" s="986" t="s">
        <v>2583</v>
      </c>
      <c r="B78" s="985">
        <v>6.45</v>
      </c>
      <c r="D78" s="994">
        <f t="shared" ca="1" si="15"/>
        <v>0.17825944059166379</v>
      </c>
      <c r="E78" s="988"/>
      <c r="F78" s="985">
        <f t="shared" ca="1" si="16"/>
        <v>6.6282594405916644</v>
      </c>
      <c r="G78" s="1025"/>
      <c r="H78" s="1024"/>
    </row>
    <row r="79" spans="1:8" s="986" customFormat="1" ht="12.75">
      <c r="B79" s="985"/>
      <c r="D79" s="994"/>
      <c r="E79" s="988"/>
      <c r="F79" s="985"/>
      <c r="G79" s="1025"/>
      <c r="H79" s="1024"/>
    </row>
    <row r="80" spans="1:8" s="986" customFormat="1" ht="12.75">
      <c r="A80" s="987" t="s">
        <v>2584</v>
      </c>
      <c r="B80" s="985"/>
      <c r="D80" s="994"/>
      <c r="E80" s="988"/>
      <c r="F80" s="985"/>
      <c r="G80" s="1025"/>
      <c r="H80" s="1024"/>
    </row>
    <row r="81" spans="1:8" s="986" customFormat="1" ht="12.75">
      <c r="A81" s="986" t="s">
        <v>2577</v>
      </c>
      <c r="B81" s="985">
        <v>9.32</v>
      </c>
      <c r="D81" s="994">
        <f t="shared" ref="D81:D87" ca="1" si="17">B81*$F$2</f>
        <v>0.25757798237431112</v>
      </c>
      <c r="E81" s="988"/>
      <c r="F81" s="985">
        <f t="shared" ref="F81:F87" ca="1" si="18">+B81+D81</f>
        <v>9.5775779823743115</v>
      </c>
      <c r="G81" s="1025"/>
      <c r="H81" s="1024"/>
    </row>
    <row r="82" spans="1:8" s="986" customFormat="1" ht="12.75">
      <c r="A82" s="986" t="s">
        <v>2585</v>
      </c>
      <c r="B82" s="985">
        <v>6.45</v>
      </c>
      <c r="D82" s="994">
        <f t="shared" ca="1" si="17"/>
        <v>0.17825944059166379</v>
      </c>
      <c r="E82" s="988"/>
      <c r="F82" s="985">
        <f t="shared" ca="1" si="18"/>
        <v>6.6282594405916644</v>
      </c>
      <c r="G82" s="1025"/>
      <c r="H82" s="1024"/>
    </row>
    <row r="83" spans="1:8" s="986" customFormat="1" ht="12.75">
      <c r="A83" s="986" t="s">
        <v>2586</v>
      </c>
      <c r="B83" s="985">
        <v>13.25</v>
      </c>
      <c r="D83" s="994">
        <f t="shared" ca="1" si="17"/>
        <v>0.36619187408365045</v>
      </c>
      <c r="E83" s="988"/>
      <c r="F83" s="985">
        <f t="shared" ca="1" si="18"/>
        <v>13.616191874083651</v>
      </c>
      <c r="G83" s="1025"/>
      <c r="H83" s="1024"/>
    </row>
    <row r="84" spans="1:8" s="986" customFormat="1" ht="12.75">
      <c r="A84" s="986" t="s">
        <v>2965</v>
      </c>
      <c r="B84" s="985">
        <f>'Rural - Price Out '!E20</f>
        <v>7.75</v>
      </c>
      <c r="D84" s="994">
        <f t="shared" ca="1" si="17"/>
        <v>0.21418769993572007</v>
      </c>
      <c r="E84" s="988"/>
      <c r="F84" s="985">
        <f t="shared" ca="1" si="18"/>
        <v>7.96418769993572</v>
      </c>
      <c r="G84" s="1025" t="s">
        <v>2967</v>
      </c>
      <c r="H84" s="1024"/>
    </row>
    <row r="85" spans="1:8" s="986" customFormat="1" ht="12.75">
      <c r="A85" s="986" t="s">
        <v>2587</v>
      </c>
      <c r="B85" s="985">
        <v>19.940000000000001</v>
      </c>
      <c r="D85" s="994">
        <f t="shared" ca="1" si="17"/>
        <v>0.55108422409267854</v>
      </c>
      <c r="E85" s="988"/>
      <c r="F85" s="985">
        <f t="shared" ca="1" si="18"/>
        <v>20.491084224092681</v>
      </c>
      <c r="G85" s="1025"/>
      <c r="H85" s="1024"/>
    </row>
    <row r="86" spans="1:8" s="986" customFormat="1" ht="12.75">
      <c r="A86" s="986" t="s">
        <v>2588</v>
      </c>
      <c r="B86" s="985">
        <v>9.7899999999999991</v>
      </c>
      <c r="D86" s="994">
        <f t="shared" ca="1" si="17"/>
        <v>0.27056742998331601</v>
      </c>
      <c r="E86" s="988"/>
      <c r="F86" s="985">
        <f t="shared" ca="1" si="18"/>
        <v>10.060567429983315</v>
      </c>
      <c r="G86" s="1025"/>
      <c r="H86" s="1024"/>
    </row>
    <row r="87" spans="1:8" s="986" customFormat="1" ht="12.75">
      <c r="A87" s="986" t="s">
        <v>2589</v>
      </c>
      <c r="B87" s="985">
        <v>27.89</v>
      </c>
      <c r="D87" s="994">
        <f t="shared" ca="1" si="17"/>
        <v>0.77079934854286869</v>
      </c>
      <c r="E87" s="988"/>
      <c r="F87" s="985">
        <f t="shared" ca="1" si="18"/>
        <v>28.66079934854287</v>
      </c>
      <c r="G87" s="1025"/>
      <c r="H87" s="1024"/>
    </row>
    <row r="88" spans="1:8" s="986" customFormat="1" ht="12.75">
      <c r="B88" s="985"/>
      <c r="D88" s="994"/>
      <c r="E88" s="988"/>
      <c r="F88" s="985"/>
      <c r="G88" s="1025"/>
      <c r="H88" s="1024"/>
    </row>
    <row r="89" spans="1:8" s="986" customFormat="1" ht="12.75">
      <c r="A89" s="987" t="s">
        <v>2590</v>
      </c>
      <c r="B89" s="985"/>
      <c r="D89" s="994"/>
      <c r="E89" s="988"/>
      <c r="F89" s="985"/>
      <c r="G89" s="1025"/>
      <c r="H89" s="1024"/>
    </row>
    <row r="90" spans="1:8" s="986" customFormat="1" ht="12.75">
      <c r="A90" s="986" t="s">
        <v>2591</v>
      </c>
      <c r="B90" s="985">
        <v>6.25</v>
      </c>
      <c r="D90" s="994">
        <f ca="1">B90*$F$3</f>
        <v>0.43075214635204834</v>
      </c>
      <c r="E90" s="988"/>
      <c r="F90" s="985">
        <f t="shared" ref="F90:F91" ca="1" si="19">+B90+D90</f>
        <v>6.6807521463520487</v>
      </c>
      <c r="G90" s="1025"/>
      <c r="H90" s="1024"/>
    </row>
    <row r="91" spans="1:8" s="986" customFormat="1" ht="12.75">
      <c r="A91" s="986" t="s">
        <v>2592</v>
      </c>
      <c r="B91" s="985">
        <v>7.25</v>
      </c>
      <c r="D91" s="994">
        <f ca="1">D90</f>
        <v>0.43075214635204834</v>
      </c>
      <c r="E91" s="988"/>
      <c r="F91" s="985">
        <f t="shared" ca="1" si="19"/>
        <v>7.6807521463520487</v>
      </c>
      <c r="G91" s="1025"/>
      <c r="H91" s="1024"/>
    </row>
    <row r="92" spans="1:8" s="986" customFormat="1" ht="12.75">
      <c r="B92" s="985"/>
      <c r="D92" s="994"/>
      <c r="E92" s="988"/>
      <c r="F92" s="985"/>
      <c r="H92" s="1024"/>
    </row>
    <row r="93" spans="1:8" s="986" customFormat="1" ht="12.75">
      <c r="A93" s="1006" t="s">
        <v>2593</v>
      </c>
      <c r="B93" s="1009"/>
      <c r="C93" s="1026"/>
      <c r="D93" s="1019"/>
      <c r="E93" s="1027"/>
      <c r="F93" s="1009"/>
      <c r="H93" s="985"/>
    </row>
    <row r="94" spans="1:8" s="1028" customFormat="1" ht="12.75">
      <c r="A94" s="1028" t="s">
        <v>2594</v>
      </c>
      <c r="B94" s="1029">
        <v>2.5</v>
      </c>
      <c r="D94" s="994">
        <f t="shared" ref="D94:D100" ca="1" si="20">B94*$F$2</f>
        <v>6.9092806430877438E-2</v>
      </c>
      <c r="E94" s="988"/>
      <c r="F94" s="985">
        <f t="shared" ref="F94:F100" ca="1" si="21">+B94+D94</f>
        <v>2.5690928064308776</v>
      </c>
      <c r="H94" s="1029"/>
    </row>
    <row r="95" spans="1:8" s="986" customFormat="1" ht="12.75">
      <c r="A95" s="986" t="s">
        <v>2595</v>
      </c>
      <c r="B95" s="1029">
        <v>3.83</v>
      </c>
      <c r="D95" s="994">
        <f t="shared" ca="1" si="20"/>
        <v>0.10585017945210425</v>
      </c>
      <c r="E95" s="988"/>
      <c r="F95" s="985">
        <f t="shared" ca="1" si="21"/>
        <v>3.9358501794521041</v>
      </c>
      <c r="H95" s="985"/>
    </row>
    <row r="96" spans="1:8" s="986" customFormat="1" ht="12.75">
      <c r="A96" s="1246" t="s">
        <v>3117</v>
      </c>
      <c r="B96" s="1250">
        <v>3.79</v>
      </c>
      <c r="C96" s="1246"/>
      <c r="D96" s="1249">
        <f t="shared" ca="1" si="20"/>
        <v>0.1047446945492102</v>
      </c>
      <c r="E96" s="1251"/>
      <c r="F96" s="1250">
        <f t="shared" ca="1" si="21"/>
        <v>3.8947446945492104</v>
      </c>
      <c r="G96" s="1255" t="s">
        <v>3120</v>
      </c>
      <c r="H96" s="985"/>
    </row>
    <row r="97" spans="1:8" s="986" customFormat="1" ht="12.75">
      <c r="A97" s="986" t="s">
        <v>2596</v>
      </c>
      <c r="B97" s="985">
        <v>7.31</v>
      </c>
      <c r="D97" s="994">
        <f t="shared" ca="1" si="20"/>
        <v>0.20202736600388563</v>
      </c>
      <c r="E97" s="988"/>
      <c r="F97" s="985">
        <f t="shared" ca="1" si="21"/>
        <v>7.5120273660038857</v>
      </c>
      <c r="H97" s="985"/>
    </row>
    <row r="98" spans="1:8" s="986" customFormat="1" ht="12.75">
      <c r="A98" s="986" t="s">
        <v>2597</v>
      </c>
      <c r="B98" s="985">
        <v>10.92</v>
      </c>
      <c r="D98" s="994">
        <f t="shared" ca="1" si="20"/>
        <v>0.30179737849007265</v>
      </c>
      <c r="E98" s="988"/>
      <c r="F98" s="985">
        <f t="shared" ca="1" si="21"/>
        <v>11.221797378490072</v>
      </c>
      <c r="H98" s="985"/>
    </row>
    <row r="99" spans="1:8" s="986" customFormat="1" ht="12.75">
      <c r="A99" s="986" t="s">
        <v>2598</v>
      </c>
      <c r="B99" s="985">
        <v>4.9800000000000004</v>
      </c>
      <c r="D99" s="994">
        <f t="shared" ca="1" si="20"/>
        <v>0.13763287041030786</v>
      </c>
      <c r="E99" s="988"/>
      <c r="F99" s="985">
        <f t="shared" ca="1" si="21"/>
        <v>5.1176328704103087</v>
      </c>
      <c r="H99" s="985"/>
    </row>
    <row r="100" spans="1:8" s="986" customFormat="1" ht="12.75">
      <c r="A100" s="1246" t="s">
        <v>2599</v>
      </c>
      <c r="B100" s="1250">
        <v>7.6</v>
      </c>
      <c r="C100" s="1246"/>
      <c r="D100" s="1249">
        <f t="shared" ca="1" si="20"/>
        <v>0.21004213154986739</v>
      </c>
      <c r="E100" s="1251"/>
      <c r="F100" s="1250">
        <f t="shared" ca="1" si="21"/>
        <v>7.8100421315498672</v>
      </c>
      <c r="G100" s="1255" t="s">
        <v>3120</v>
      </c>
      <c r="H100" s="985"/>
    </row>
    <row r="101" spans="1:8" s="986" customFormat="1" ht="12.75">
      <c r="B101" s="985"/>
      <c r="D101" s="994"/>
      <c r="E101" s="988"/>
      <c r="F101" s="985"/>
      <c r="H101" s="985"/>
    </row>
    <row r="102" spans="1:8" s="986" customFormat="1" ht="12.75">
      <c r="A102" s="1006" t="s">
        <v>2600</v>
      </c>
      <c r="B102" s="1009"/>
      <c r="C102" s="1026"/>
      <c r="D102" s="1019"/>
      <c r="E102" s="1027"/>
      <c r="F102" s="1009"/>
      <c r="H102" s="985"/>
    </row>
    <row r="103" spans="1:8" s="986" customFormat="1" ht="12.75">
      <c r="A103" s="987" t="s">
        <v>2601</v>
      </c>
      <c r="B103" s="985"/>
      <c r="D103" s="994"/>
      <c r="E103" s="988"/>
      <c r="F103" s="985"/>
      <c r="H103" s="985"/>
    </row>
    <row r="104" spans="1:8" s="986" customFormat="1" ht="12.75">
      <c r="A104" s="986" t="s">
        <v>2602</v>
      </c>
      <c r="B104" s="985">
        <v>7.6</v>
      </c>
      <c r="D104" s="994">
        <f ca="1">B104*$F$4</f>
        <v>0.10073201359492034</v>
      </c>
      <c r="E104" s="988"/>
      <c r="F104" s="985">
        <f t="shared" ref="F104:F109" ca="1" si="22">+B104+D104</f>
        <v>7.7007320135949202</v>
      </c>
      <c r="H104" s="985"/>
    </row>
    <row r="105" spans="1:8" s="986" customFormat="1" ht="12.75">
      <c r="A105" s="986" t="s">
        <v>2603</v>
      </c>
      <c r="B105" s="985">
        <v>2.25</v>
      </c>
      <c r="D105" s="994">
        <f ca="1">B105*$F$4</f>
        <v>2.9821977709022472E-2</v>
      </c>
      <c r="E105" s="988"/>
      <c r="F105" s="985">
        <f t="shared" ca="1" si="22"/>
        <v>2.2798219777090223</v>
      </c>
      <c r="H105" s="985"/>
    </row>
    <row r="106" spans="1:8" s="1028" customFormat="1" ht="12.75">
      <c r="A106" s="1028" t="s">
        <v>2966</v>
      </c>
      <c r="B106" s="1256"/>
      <c r="D106" s="1245"/>
      <c r="E106" s="1253"/>
      <c r="F106" s="1256">
        <f ca="1">F104+3</f>
        <v>10.700732013594919</v>
      </c>
      <c r="G106" s="1028" t="s">
        <v>2967</v>
      </c>
      <c r="H106" s="1256"/>
    </row>
    <row r="107" spans="1:8" s="986" customFormat="1" ht="12.75">
      <c r="A107" s="986" t="s">
        <v>2604</v>
      </c>
      <c r="B107" s="985">
        <v>23.75</v>
      </c>
      <c r="D107" s="994">
        <f ca="1">B107*$F$4</f>
        <v>0.3147875424841261</v>
      </c>
      <c r="E107" s="988"/>
      <c r="F107" s="985">
        <f t="shared" ca="1" si="22"/>
        <v>24.064787542484126</v>
      </c>
      <c r="G107" s="986" t="s">
        <v>3121</v>
      </c>
      <c r="H107" s="985"/>
    </row>
    <row r="108" spans="1:8" s="986" customFormat="1" ht="12.75">
      <c r="A108" s="986" t="s">
        <v>2605</v>
      </c>
      <c r="B108" s="985">
        <v>32.5</v>
      </c>
      <c r="D108" s="994">
        <f ca="1">B108*$F$4</f>
        <v>0.43076190024143574</v>
      </c>
      <c r="E108" s="988"/>
      <c r="F108" s="985">
        <f t="shared" ca="1" si="22"/>
        <v>32.930761900241436</v>
      </c>
      <c r="G108" s="986" t="s">
        <v>3121</v>
      </c>
      <c r="H108" s="985"/>
    </row>
    <row r="109" spans="1:8" s="986" customFormat="1" ht="12.75">
      <c r="A109" s="986" t="s">
        <v>2606</v>
      </c>
      <c r="B109" s="985">
        <v>16.8</v>
      </c>
      <c r="D109" s="994">
        <f ca="1">B109*$F$4</f>
        <v>0.22267076689403448</v>
      </c>
      <c r="E109" s="988"/>
      <c r="F109" s="985">
        <f t="shared" ca="1" si="22"/>
        <v>17.022670766894034</v>
      </c>
      <c r="H109" s="985"/>
    </row>
    <row r="110" spans="1:8" s="1255" customFormat="1" ht="12.75">
      <c r="B110" s="1254"/>
      <c r="D110" s="994"/>
      <c r="E110" s="988"/>
      <c r="F110" s="1254"/>
      <c r="H110" s="1254"/>
    </row>
    <row r="111" spans="1:8" s="1255" customFormat="1" ht="12.75">
      <c r="A111" s="1006" t="s">
        <v>3122</v>
      </c>
      <c r="B111" s="1009"/>
      <c r="C111" s="1026"/>
      <c r="D111" s="1019"/>
      <c r="E111" s="1027"/>
      <c r="F111" s="1009"/>
      <c r="H111" s="1254"/>
    </row>
    <row r="112" spans="1:8" s="1255" customFormat="1" ht="12.75">
      <c r="A112" s="1255" t="s">
        <v>3123</v>
      </c>
      <c r="B112" s="1254">
        <v>3.86</v>
      </c>
      <c r="D112" s="994">
        <f ca="1">B112*$F$3</f>
        <v>0.26603252558702506</v>
      </c>
      <c r="E112" s="988"/>
      <c r="F112" s="1254">
        <f t="shared" ref="F112" ca="1" si="23">+B112+D112</f>
        <v>4.1260325255870249</v>
      </c>
      <c r="H112" s="1254"/>
    </row>
    <row r="113" spans="1:8" s="986" customFormat="1" ht="12.75">
      <c r="B113" s="985"/>
      <c r="D113" s="994"/>
      <c r="E113" s="988"/>
      <c r="F113" s="985"/>
      <c r="H113" s="985"/>
    </row>
    <row r="114" spans="1:8" s="986" customFormat="1" ht="12.75">
      <c r="A114" s="1006" t="s">
        <v>2607</v>
      </c>
      <c r="B114" s="1009"/>
      <c r="C114" s="1026"/>
      <c r="D114" s="1019"/>
      <c r="E114" s="1027"/>
      <c r="F114" s="1009"/>
      <c r="H114" s="985"/>
    </row>
    <row r="115" spans="1:8" s="986" customFormat="1" ht="12.75">
      <c r="A115" s="986" t="s">
        <v>2608</v>
      </c>
      <c r="B115" s="985">
        <v>11.84</v>
      </c>
      <c r="D115" s="994">
        <f t="shared" ref="D115:D118" ca="1" si="24">B115*$F$2</f>
        <v>0.32722353125663556</v>
      </c>
      <c r="E115" s="988"/>
      <c r="F115" s="985">
        <f t="shared" ref="F115:F118" ca="1" si="25">+B115+D115</f>
        <v>12.167223531256635</v>
      </c>
      <c r="H115" s="985"/>
    </row>
    <row r="116" spans="1:8" s="986" customFormat="1" ht="12.75">
      <c r="A116" s="986" t="s">
        <v>2609</v>
      </c>
      <c r="B116" s="985">
        <v>10.34</v>
      </c>
      <c r="D116" s="994">
        <f t="shared" ca="1" si="24"/>
        <v>0.28576784739810906</v>
      </c>
      <c r="E116" s="988"/>
      <c r="F116" s="985">
        <f t="shared" ca="1" si="25"/>
        <v>10.625767847398109</v>
      </c>
      <c r="H116" s="985"/>
    </row>
    <row r="117" spans="1:8" s="986" customFormat="1" ht="12.75">
      <c r="A117" s="986" t="s">
        <v>2610</v>
      </c>
      <c r="B117" s="985">
        <v>19.190000000000001</v>
      </c>
      <c r="D117" s="994">
        <f t="shared" ca="1" si="24"/>
        <v>0.5303563821634153</v>
      </c>
      <c r="E117" s="988"/>
      <c r="F117" s="985">
        <f t="shared" ca="1" si="25"/>
        <v>19.720356382163416</v>
      </c>
      <c r="H117" s="985"/>
    </row>
    <row r="118" spans="1:8" s="986" customFormat="1" ht="12.75">
      <c r="A118" s="986" t="s">
        <v>2611</v>
      </c>
      <c r="B118" s="985">
        <v>4.55</v>
      </c>
      <c r="D118" s="994">
        <f t="shared" ca="1" si="24"/>
        <v>0.12574890770419694</v>
      </c>
      <c r="E118" s="988"/>
      <c r="F118" s="985">
        <f t="shared" ca="1" si="25"/>
        <v>4.6757489077041967</v>
      </c>
      <c r="H118" s="985"/>
    </row>
    <row r="119" spans="1:8" s="986" customFormat="1" ht="12.75">
      <c r="B119" s="985"/>
      <c r="D119" s="994"/>
      <c r="E119" s="988"/>
      <c r="F119" s="985"/>
      <c r="H119" s="985"/>
    </row>
    <row r="120" spans="1:8" s="986" customFormat="1" ht="12.75">
      <c r="A120" s="986" t="s">
        <v>2612</v>
      </c>
      <c r="B120" s="985">
        <v>15.64</v>
      </c>
      <c r="D120" s="994">
        <f t="shared" ref="D120:D123" ca="1" si="26">B120*$F$2</f>
        <v>0.43224459703156926</v>
      </c>
      <c r="E120" s="988"/>
      <c r="F120" s="985">
        <f t="shared" ref="F120:F123" ca="1" si="27">+B120+D120</f>
        <v>16.07224459703157</v>
      </c>
      <c r="H120" s="985"/>
    </row>
    <row r="121" spans="1:8" s="986" customFormat="1" ht="12.75">
      <c r="A121" s="986" t="s">
        <v>2613</v>
      </c>
      <c r="B121" s="985">
        <v>13.64</v>
      </c>
      <c r="D121" s="994">
        <f t="shared" ca="1" si="26"/>
        <v>0.37697035188686734</v>
      </c>
      <c r="E121" s="988"/>
      <c r="F121" s="985">
        <f t="shared" ca="1" si="27"/>
        <v>14.016970351886869</v>
      </c>
      <c r="H121" s="985"/>
    </row>
    <row r="122" spans="1:8" s="986" customFormat="1" ht="12.75">
      <c r="A122" s="986" t="s">
        <v>2614</v>
      </c>
      <c r="B122" s="985">
        <v>19.190000000000001</v>
      </c>
      <c r="D122" s="994">
        <f t="shared" ca="1" si="26"/>
        <v>0.5303563821634153</v>
      </c>
      <c r="E122" s="988"/>
      <c r="F122" s="985">
        <f t="shared" ca="1" si="27"/>
        <v>19.720356382163416</v>
      </c>
      <c r="H122" s="985"/>
    </row>
    <row r="123" spans="1:8" s="986" customFormat="1" ht="12.75">
      <c r="A123" s="986" t="s">
        <v>2615</v>
      </c>
      <c r="B123" s="985">
        <v>4.95</v>
      </c>
      <c r="D123" s="994">
        <f t="shared" ca="1" si="26"/>
        <v>0.13680375673313733</v>
      </c>
      <c r="E123" s="988"/>
      <c r="F123" s="985">
        <f t="shared" ca="1" si="27"/>
        <v>5.0868037567331372</v>
      </c>
      <c r="H123" s="985"/>
    </row>
    <row r="124" spans="1:8" s="986" customFormat="1" ht="12.75">
      <c r="B124" s="985"/>
      <c r="D124" s="994"/>
      <c r="E124" s="988"/>
      <c r="F124" s="985"/>
      <c r="H124" s="985"/>
    </row>
    <row r="125" spans="1:8" s="986" customFormat="1" ht="12.75">
      <c r="A125" s="1006" t="s">
        <v>2616</v>
      </c>
      <c r="B125" s="1009"/>
      <c r="C125" s="1026"/>
      <c r="D125" s="1019"/>
      <c r="E125" s="1027"/>
      <c r="F125" s="1009"/>
      <c r="H125" s="985"/>
    </row>
    <row r="126" spans="1:8" s="987" customFormat="1" ht="12.75">
      <c r="A126" s="987" t="s">
        <v>2617</v>
      </c>
      <c r="B126" s="1022"/>
      <c r="D126" s="1015"/>
      <c r="E126" s="1030"/>
      <c r="F126" s="1022"/>
      <c r="H126" s="1022"/>
    </row>
    <row r="127" spans="1:8" s="986" customFormat="1" ht="12.75">
      <c r="A127" s="986" t="s">
        <v>2618</v>
      </c>
      <c r="B127" s="985">
        <v>72</v>
      </c>
      <c r="D127" s="994">
        <f t="shared" ref="D127:D128" ca="1" si="28">B127*$F$2</f>
        <v>1.9898728252092703</v>
      </c>
      <c r="E127" s="988"/>
      <c r="F127" s="985">
        <f t="shared" ref="F127:F128" ca="1" si="29">+B127+D127</f>
        <v>73.989872825209275</v>
      </c>
      <c r="H127" s="985"/>
    </row>
    <row r="128" spans="1:8" s="986" customFormat="1" ht="12.75">
      <c r="A128" s="986" t="s">
        <v>2619</v>
      </c>
      <c r="B128" s="985">
        <v>72</v>
      </c>
      <c r="D128" s="994">
        <f t="shared" ca="1" si="28"/>
        <v>1.9898728252092703</v>
      </c>
      <c r="E128" s="988"/>
      <c r="F128" s="985">
        <f t="shared" ca="1" si="29"/>
        <v>73.989872825209275</v>
      </c>
      <c r="H128" s="985"/>
    </row>
    <row r="129" spans="1:10" s="986" customFormat="1" ht="12.75">
      <c r="A129" s="986" t="s">
        <v>2620</v>
      </c>
      <c r="B129" s="985"/>
      <c r="D129" s="994"/>
      <c r="E129" s="988"/>
      <c r="F129" s="985"/>
      <c r="H129" s="985"/>
    </row>
    <row r="130" spans="1:10">
      <c r="F130" s="1032"/>
      <c r="G130" s="1031"/>
      <c r="J130" s="1031"/>
    </row>
    <row r="131" spans="1:10" s="987" customFormat="1" ht="12.75">
      <c r="A131" s="987" t="s">
        <v>2621</v>
      </c>
      <c r="B131" s="1022"/>
      <c r="D131" s="1015"/>
      <c r="E131" s="1030"/>
      <c r="F131" s="1022"/>
      <c r="H131" s="1022"/>
    </row>
    <row r="132" spans="1:10" s="986" customFormat="1" ht="12.75">
      <c r="A132" s="986" t="s">
        <v>2618</v>
      </c>
      <c r="B132" s="985">
        <v>38</v>
      </c>
      <c r="D132" s="994">
        <f t="shared" ref="D132:D133" ca="1" si="30">B132*$F$2</f>
        <v>1.0502106577493371</v>
      </c>
      <c r="E132" s="988"/>
      <c r="F132" s="985">
        <f t="shared" ref="F132:F133" ca="1" si="31">+B132+D132</f>
        <v>39.050210657749339</v>
      </c>
      <c r="H132" s="985"/>
    </row>
    <row r="133" spans="1:10" s="986" customFormat="1" ht="12.75">
      <c r="A133" s="986" t="s">
        <v>2619</v>
      </c>
      <c r="B133" s="985">
        <v>38</v>
      </c>
      <c r="D133" s="994">
        <f t="shared" ca="1" si="30"/>
        <v>1.0502106577493371</v>
      </c>
      <c r="E133" s="988"/>
      <c r="F133" s="985">
        <f t="shared" ca="1" si="31"/>
        <v>39.050210657749339</v>
      </c>
      <c r="H133" s="985"/>
    </row>
    <row r="134" spans="1:10" s="986" customFormat="1" ht="12.75">
      <c r="A134" s="986" t="s">
        <v>2620</v>
      </c>
      <c r="B134" s="985"/>
      <c r="D134" s="994"/>
      <c r="E134" s="988"/>
      <c r="F134" s="985"/>
      <c r="H134" s="985"/>
    </row>
    <row r="135" spans="1:10" s="986" customFormat="1" ht="12.75">
      <c r="B135" s="985"/>
      <c r="D135" s="994"/>
      <c r="E135" s="988"/>
      <c r="F135" s="985"/>
      <c r="H135" s="985"/>
    </row>
    <row r="136" spans="1:10" s="987" customFormat="1" ht="12.75">
      <c r="A136" s="987" t="s">
        <v>2622</v>
      </c>
      <c r="B136" s="1022"/>
      <c r="D136" s="1015"/>
      <c r="E136" s="1030"/>
      <c r="F136" s="1022"/>
      <c r="H136" s="1022"/>
    </row>
    <row r="137" spans="1:10" s="986" customFormat="1" ht="12.75">
      <c r="A137" s="986" t="s">
        <v>2618</v>
      </c>
      <c r="B137" s="985">
        <v>72</v>
      </c>
      <c r="D137" s="994">
        <f t="shared" ref="D137:D138" ca="1" si="32">B137*$F$2</f>
        <v>1.9898728252092703</v>
      </c>
      <c r="E137" s="988"/>
      <c r="F137" s="985">
        <f t="shared" ref="F137:F138" ca="1" si="33">+B137+D137</f>
        <v>73.989872825209275</v>
      </c>
      <c r="H137" s="985"/>
    </row>
    <row r="138" spans="1:10" s="986" customFormat="1" ht="12.75">
      <c r="A138" s="986" t="s">
        <v>2619</v>
      </c>
      <c r="B138" s="985">
        <v>72</v>
      </c>
      <c r="D138" s="994">
        <f t="shared" ca="1" si="32"/>
        <v>1.9898728252092703</v>
      </c>
      <c r="E138" s="988"/>
      <c r="F138" s="985">
        <f t="shared" ca="1" si="33"/>
        <v>73.989872825209275</v>
      </c>
      <c r="H138" s="985"/>
    </row>
    <row r="139" spans="1:10" s="986" customFormat="1" ht="12.75">
      <c r="A139" s="986" t="s">
        <v>2620</v>
      </c>
      <c r="B139" s="985"/>
      <c r="D139" s="994"/>
      <c r="E139" s="988"/>
      <c r="F139" s="985"/>
      <c r="H139" s="985"/>
    </row>
    <row r="140" spans="1:10">
      <c r="F140" s="1032"/>
      <c r="G140" s="1031"/>
      <c r="J140" s="1031"/>
    </row>
    <row r="141" spans="1:10" s="987" customFormat="1" ht="12.75">
      <c r="A141" s="987" t="s">
        <v>2623</v>
      </c>
      <c r="B141" s="1022"/>
      <c r="D141" s="1015"/>
      <c r="E141" s="1030"/>
      <c r="F141" s="1022"/>
      <c r="H141" s="1022"/>
    </row>
    <row r="142" spans="1:10" s="986" customFormat="1" ht="12.75">
      <c r="A142" s="986" t="s">
        <v>2624</v>
      </c>
      <c r="B142" s="985"/>
      <c r="D142" s="994"/>
      <c r="E142" s="988"/>
      <c r="F142" s="985"/>
      <c r="H142" s="985"/>
    </row>
    <row r="143" spans="1:10" s="986" customFormat="1" ht="12.75">
      <c r="A143" s="986" t="s">
        <v>2618</v>
      </c>
      <c r="B143" s="985"/>
      <c r="D143" s="994"/>
      <c r="E143" s="988"/>
      <c r="F143" s="985"/>
      <c r="H143" s="985"/>
    </row>
    <row r="144" spans="1:10" s="986" customFormat="1" ht="12.75">
      <c r="A144" s="986" t="s">
        <v>2619</v>
      </c>
      <c r="B144" s="985">
        <v>82</v>
      </c>
      <c r="D144" s="994">
        <f t="shared" ref="D144:D145" ca="1" si="34">B144*$F$2</f>
        <v>2.2662440509327801</v>
      </c>
      <c r="E144" s="988"/>
      <c r="F144" s="985">
        <f t="shared" ref="F144:F145" ca="1" si="35">+B144+D144</f>
        <v>84.266244050932784</v>
      </c>
      <c r="H144" s="985"/>
    </row>
    <row r="145" spans="1:10" s="986" customFormat="1" ht="12.75">
      <c r="A145" s="986" t="s">
        <v>327</v>
      </c>
      <c r="B145" s="985">
        <v>82</v>
      </c>
      <c r="D145" s="994">
        <f t="shared" ca="1" si="34"/>
        <v>2.2662440509327801</v>
      </c>
      <c r="E145" s="988"/>
      <c r="F145" s="985">
        <f t="shared" ca="1" si="35"/>
        <v>84.266244050932784</v>
      </c>
      <c r="H145" s="985"/>
    </row>
    <row r="146" spans="1:10">
      <c r="F146" s="1032"/>
      <c r="G146" s="1031"/>
      <c r="J146" s="1031"/>
    </row>
    <row r="147" spans="1:10" s="987" customFormat="1" ht="12.75">
      <c r="A147" s="987" t="s">
        <v>2621</v>
      </c>
      <c r="B147" s="1022"/>
      <c r="D147" s="1015"/>
      <c r="E147" s="1030"/>
      <c r="F147" s="1022"/>
      <c r="H147" s="1022"/>
    </row>
    <row r="148" spans="1:10" s="987" customFormat="1" ht="12.75">
      <c r="A148" s="986" t="s">
        <v>2618</v>
      </c>
      <c r="B148" s="1022"/>
      <c r="D148" s="1015"/>
      <c r="E148" s="1030"/>
      <c r="F148" s="1022"/>
      <c r="H148" s="1022"/>
    </row>
    <row r="149" spans="1:10" s="986" customFormat="1" ht="12.75">
      <c r="A149" s="986" t="s">
        <v>2619</v>
      </c>
      <c r="B149" s="985">
        <v>38</v>
      </c>
      <c r="D149" s="994">
        <f t="shared" ref="D149:D150" ca="1" si="36">B149*$F$2</f>
        <v>1.0502106577493371</v>
      </c>
      <c r="E149" s="988"/>
      <c r="F149" s="985">
        <f t="shared" ref="F149:F150" ca="1" si="37">+B149+D149</f>
        <v>39.050210657749339</v>
      </c>
      <c r="H149" s="985"/>
    </row>
    <row r="150" spans="1:10" s="986" customFormat="1" ht="12.75">
      <c r="A150" s="986" t="s">
        <v>327</v>
      </c>
      <c r="B150" s="985">
        <v>38</v>
      </c>
      <c r="D150" s="994">
        <f t="shared" ca="1" si="36"/>
        <v>1.0502106577493371</v>
      </c>
      <c r="E150" s="988"/>
      <c r="F150" s="985">
        <f t="shared" ca="1" si="37"/>
        <v>39.050210657749339</v>
      </c>
      <c r="H150" s="985"/>
    </row>
    <row r="151" spans="1:10" s="986" customFormat="1" ht="12.75">
      <c r="B151" s="985"/>
      <c r="D151" s="994"/>
      <c r="E151" s="988"/>
      <c r="F151" s="985"/>
      <c r="H151" s="985"/>
    </row>
    <row r="152" spans="1:10" s="987" customFormat="1" ht="12.75">
      <c r="A152" s="987" t="s">
        <v>2622</v>
      </c>
      <c r="B152" s="1022"/>
      <c r="D152" s="1015"/>
      <c r="E152" s="1030"/>
      <c r="F152" s="1022"/>
      <c r="H152" s="1022"/>
    </row>
    <row r="153" spans="1:10" s="986" customFormat="1" ht="12.75">
      <c r="A153" s="986" t="s">
        <v>2618</v>
      </c>
      <c r="B153" s="985"/>
      <c r="D153" s="994"/>
      <c r="E153" s="988"/>
      <c r="F153" s="985"/>
      <c r="H153" s="985"/>
    </row>
    <row r="154" spans="1:10" s="986" customFormat="1" ht="12.75">
      <c r="A154" s="986" t="s">
        <v>2619</v>
      </c>
      <c r="B154" s="985">
        <v>82</v>
      </c>
      <c r="D154" s="994">
        <f t="shared" ref="D154:D155" ca="1" si="38">B154*$F$2</f>
        <v>2.2662440509327801</v>
      </c>
      <c r="E154" s="988"/>
      <c r="F154" s="985">
        <f t="shared" ref="F154:F155" ca="1" si="39">+B154+D154</f>
        <v>84.266244050932784</v>
      </c>
      <c r="H154" s="985"/>
    </row>
    <row r="155" spans="1:10" s="986" customFormat="1" ht="12.75">
      <c r="A155" s="986" t="s">
        <v>327</v>
      </c>
      <c r="B155" s="985">
        <v>82</v>
      </c>
      <c r="D155" s="994">
        <f t="shared" ca="1" si="38"/>
        <v>2.2662440509327801</v>
      </c>
      <c r="E155" s="988"/>
      <c r="F155" s="985">
        <f t="shared" ca="1" si="39"/>
        <v>84.266244050932784</v>
      </c>
      <c r="H155" s="985"/>
    </row>
    <row r="156" spans="1:10" s="986" customFormat="1" ht="12.75">
      <c r="B156" s="985"/>
      <c r="D156" s="994"/>
      <c r="E156" s="988"/>
      <c r="F156" s="985"/>
      <c r="H156" s="985"/>
    </row>
    <row r="157" spans="1:10" s="986" customFormat="1" ht="12.75">
      <c r="A157" s="1006" t="s">
        <v>2625</v>
      </c>
      <c r="B157" s="1009"/>
      <c r="C157" s="1026"/>
      <c r="D157" s="1019"/>
      <c r="E157" s="1027"/>
      <c r="F157" s="1009"/>
      <c r="H157" s="985"/>
    </row>
    <row r="158" spans="1:10" s="987" customFormat="1" ht="12.75">
      <c r="A158" s="987" t="s">
        <v>2626</v>
      </c>
      <c r="B158" s="1022"/>
      <c r="D158" s="1015"/>
      <c r="E158" s="1030"/>
      <c r="F158" s="1022"/>
      <c r="H158" s="1022"/>
    </row>
    <row r="159" spans="1:10" s="986" customFormat="1" ht="12.75">
      <c r="A159" s="986" t="s">
        <v>874</v>
      </c>
      <c r="B159" s="985">
        <v>2.5</v>
      </c>
      <c r="D159" s="994">
        <f t="shared" ref="D159:D160" ca="1" si="40">B159*$F$2</f>
        <v>6.9092806430877438E-2</v>
      </c>
      <c r="E159" s="988"/>
      <c r="F159" s="985">
        <f t="shared" ref="F159:F160" ca="1" si="41">+B159+D159</f>
        <v>2.5690928064308776</v>
      </c>
      <c r="H159" s="985"/>
    </row>
    <row r="160" spans="1:10" s="986" customFormat="1" ht="12.75">
      <c r="A160" s="986" t="s">
        <v>2627</v>
      </c>
      <c r="B160" s="985">
        <v>2.5</v>
      </c>
      <c r="D160" s="994">
        <f t="shared" ca="1" si="40"/>
        <v>6.9092806430877438E-2</v>
      </c>
      <c r="E160" s="988"/>
      <c r="F160" s="985">
        <f t="shared" ca="1" si="41"/>
        <v>2.5690928064308776</v>
      </c>
      <c r="H160" s="985"/>
    </row>
    <row r="161" spans="1:10">
      <c r="F161" s="1032"/>
      <c r="G161" s="1031"/>
      <c r="J161" s="1031"/>
    </row>
    <row r="162" spans="1:10" s="986" customFormat="1" ht="12.75">
      <c r="A162" s="1006" t="s">
        <v>2628</v>
      </c>
      <c r="B162" s="1009"/>
      <c r="C162" s="1026"/>
      <c r="D162" s="1019"/>
      <c r="E162" s="1027"/>
      <c r="F162" s="1009"/>
      <c r="H162" s="985"/>
    </row>
    <row r="163" spans="1:10" s="987" customFormat="1" ht="12.75">
      <c r="A163" s="987" t="s">
        <v>2629</v>
      </c>
      <c r="B163" s="1022"/>
      <c r="D163" s="1015"/>
      <c r="E163" s="1030"/>
      <c r="F163" s="1022"/>
      <c r="H163" s="1022"/>
    </row>
    <row r="164" spans="1:10" s="986" customFormat="1" ht="12.75">
      <c r="A164" s="986" t="s">
        <v>6</v>
      </c>
      <c r="B164" s="985">
        <v>0.14000000000000001</v>
      </c>
      <c r="D164" s="994">
        <f t="shared" ref="D164" ca="1" si="42">B164*$F$2</f>
        <v>3.8691971601291369E-3</v>
      </c>
      <c r="E164" s="988"/>
      <c r="F164" s="985">
        <f t="shared" ref="F164" ca="1" si="43">+B164+D164</f>
        <v>0.14386919716012914</v>
      </c>
      <c r="H164" s="985"/>
    </row>
    <row r="165" spans="1:10">
      <c r="F165" s="1032"/>
      <c r="G165" s="1031"/>
      <c r="J165" s="1031"/>
    </row>
    <row r="166" spans="1:10" s="986" customFormat="1" ht="12.75">
      <c r="A166" s="1006" t="s">
        <v>2630</v>
      </c>
      <c r="B166" s="1009"/>
      <c r="C166" s="1026"/>
      <c r="D166" s="1019"/>
      <c r="E166" s="1027"/>
      <c r="F166" s="1009"/>
      <c r="H166" s="985"/>
    </row>
    <row r="167" spans="1:10" s="987" customFormat="1" ht="12.75">
      <c r="A167" s="987" t="s">
        <v>2631</v>
      </c>
      <c r="B167" s="1022"/>
      <c r="D167" s="1015"/>
      <c r="E167" s="1030"/>
      <c r="F167" s="1022"/>
      <c r="H167" s="1022"/>
    </row>
    <row r="168" spans="1:10" s="986" customFormat="1" ht="12.75">
      <c r="A168" s="986" t="s">
        <v>2632</v>
      </c>
      <c r="B168" s="985">
        <v>7.5</v>
      </c>
      <c r="D168" s="994">
        <f t="shared" ref="D168:D169" ca="1" si="44">B168*$F$2</f>
        <v>0.20727841929263233</v>
      </c>
      <c r="E168" s="988"/>
      <c r="F168" s="985">
        <f t="shared" ref="F168:F169" ca="1" si="45">+B168+D168</f>
        <v>7.7072784192926322</v>
      </c>
      <c r="H168" s="985"/>
    </row>
    <row r="169" spans="1:10" s="986" customFormat="1" ht="12.75">
      <c r="A169" s="986" t="s">
        <v>2555</v>
      </c>
      <c r="B169" s="985">
        <v>30</v>
      </c>
      <c r="D169" s="994">
        <f t="shared" ca="1" si="44"/>
        <v>0.82911367717052931</v>
      </c>
      <c r="E169" s="988"/>
      <c r="F169" s="985">
        <f t="shared" ca="1" si="45"/>
        <v>30.829113677170529</v>
      </c>
      <c r="H169" s="985"/>
    </row>
    <row r="170" spans="1:10" s="986" customFormat="1" ht="12.75">
      <c r="B170" s="985"/>
      <c r="D170" s="994"/>
      <c r="E170" s="988"/>
      <c r="F170" s="985"/>
      <c r="H170" s="985"/>
    </row>
    <row r="171" spans="1:10" s="986" customFormat="1" ht="12.75">
      <c r="A171" s="1006" t="s">
        <v>2633</v>
      </c>
      <c r="B171" s="1009"/>
      <c r="C171" s="1026"/>
      <c r="D171" s="1019"/>
      <c r="E171" s="1027"/>
      <c r="F171" s="1009"/>
      <c r="H171" s="985"/>
    </row>
    <row r="172" spans="1:10" s="986" customFormat="1" ht="12.75">
      <c r="A172" s="987" t="s">
        <v>2634</v>
      </c>
      <c r="B172" s="985"/>
      <c r="D172" s="994"/>
      <c r="E172" s="988"/>
      <c r="F172" s="985"/>
      <c r="H172" s="985"/>
    </row>
    <row r="173" spans="1:10" s="986" customFormat="1" ht="12.75">
      <c r="A173" s="986" t="s">
        <v>2635</v>
      </c>
      <c r="B173" s="985">
        <v>119</v>
      </c>
      <c r="D173" s="994"/>
      <c r="E173" s="988"/>
      <c r="F173" s="985">
        <f t="shared" ref="F173:F178" si="46">+B173+D173</f>
        <v>119</v>
      </c>
      <c r="H173" s="985"/>
    </row>
    <row r="174" spans="1:10" s="986" customFormat="1" ht="12.75">
      <c r="A174" s="986" t="s">
        <v>2636</v>
      </c>
      <c r="B174" s="985">
        <v>119</v>
      </c>
      <c r="D174" s="994"/>
      <c r="E174" s="988"/>
      <c r="F174" s="985">
        <f t="shared" si="46"/>
        <v>119</v>
      </c>
      <c r="H174" s="985"/>
    </row>
    <row r="175" spans="1:10" s="986" customFormat="1" ht="12.75">
      <c r="A175" s="986" t="s">
        <v>2637</v>
      </c>
      <c r="B175" s="985">
        <v>117</v>
      </c>
      <c r="D175" s="994"/>
      <c r="E175" s="988"/>
      <c r="F175" s="985">
        <f t="shared" si="46"/>
        <v>117</v>
      </c>
      <c r="H175" s="985"/>
    </row>
    <row r="176" spans="1:10" s="986" customFormat="1" ht="12.75">
      <c r="A176" s="986" t="s">
        <v>233</v>
      </c>
      <c r="B176" s="985">
        <v>10.23</v>
      </c>
      <c r="D176" s="994"/>
      <c r="E176" s="988"/>
      <c r="F176" s="985">
        <f t="shared" si="46"/>
        <v>10.23</v>
      </c>
      <c r="H176" s="985"/>
    </row>
    <row r="177" spans="1:16" s="986" customFormat="1" ht="12.75">
      <c r="A177" s="986" t="s">
        <v>2638</v>
      </c>
      <c r="B177" s="985">
        <v>10.23</v>
      </c>
      <c r="D177" s="994"/>
      <c r="E177" s="988"/>
      <c r="F177" s="985">
        <f t="shared" si="46"/>
        <v>10.23</v>
      </c>
      <c r="H177" s="985"/>
    </row>
    <row r="178" spans="1:16" s="986" customFormat="1" ht="12.75">
      <c r="A178" s="986" t="s">
        <v>2639</v>
      </c>
      <c r="B178" s="985">
        <v>37</v>
      </c>
      <c r="D178" s="994"/>
      <c r="E178" s="988"/>
      <c r="F178" s="985">
        <f t="shared" si="46"/>
        <v>37</v>
      </c>
      <c r="H178" s="985"/>
    </row>
    <row r="179" spans="1:16" s="986" customFormat="1" ht="12.75">
      <c r="B179" s="985"/>
      <c r="D179" s="994"/>
      <c r="E179" s="988"/>
      <c r="F179" s="985"/>
      <c r="H179" s="985"/>
    </row>
    <row r="180" spans="1:16" s="986" customFormat="1" ht="12.75">
      <c r="A180" s="1006" t="s">
        <v>2640</v>
      </c>
      <c r="B180" s="1009"/>
      <c r="C180" s="1026"/>
      <c r="D180" s="1019"/>
      <c r="E180" s="1027"/>
      <c r="F180" s="1009"/>
      <c r="H180" s="985"/>
    </row>
    <row r="181" spans="1:16" s="985" customFormat="1" ht="12.75">
      <c r="A181" s="1013" t="s">
        <v>2641</v>
      </c>
      <c r="C181" s="986"/>
      <c r="D181" s="994"/>
      <c r="E181" s="988"/>
      <c r="G181" s="986"/>
      <c r="I181" s="986"/>
      <c r="J181" s="986"/>
      <c r="K181" s="986"/>
      <c r="L181" s="986"/>
      <c r="M181" s="986"/>
      <c r="N181" s="986"/>
      <c r="O181" s="986"/>
      <c r="P181" s="986"/>
    </row>
    <row r="182" spans="1:16" s="985" customFormat="1" ht="12.75">
      <c r="A182" s="1013"/>
      <c r="C182" s="986"/>
      <c r="D182" s="994"/>
      <c r="E182" s="988"/>
      <c r="G182" s="986"/>
      <c r="I182" s="986"/>
      <c r="J182" s="986"/>
      <c r="K182" s="986"/>
      <c r="L182" s="986"/>
      <c r="M182" s="986"/>
      <c r="N182" s="986"/>
      <c r="O182" s="986"/>
      <c r="P182" s="986"/>
    </row>
    <row r="183" spans="1:16" s="985" customFormat="1" ht="12.75">
      <c r="A183" s="1013" t="s">
        <v>2642</v>
      </c>
      <c r="C183" s="986"/>
      <c r="D183" s="994"/>
      <c r="E183" s="988"/>
      <c r="G183" s="986"/>
      <c r="I183" s="986"/>
      <c r="J183" s="986"/>
      <c r="K183" s="986"/>
      <c r="L183" s="986"/>
      <c r="M183" s="986"/>
      <c r="N183" s="986"/>
      <c r="O183" s="986"/>
      <c r="P183" s="986"/>
    </row>
    <row r="184" spans="1:16" s="985" customFormat="1" ht="12.75">
      <c r="A184" s="986" t="s">
        <v>2643</v>
      </c>
      <c r="B184" s="985">
        <v>29.01</v>
      </c>
      <c r="C184" s="986"/>
      <c r="D184" s="994">
        <f t="shared" ref="D184:D190" ca="1" si="47">B184*$F$2</f>
        <v>0.8017529258239019</v>
      </c>
      <c r="E184" s="988"/>
      <c r="F184" s="985">
        <f t="shared" ref="F184:F190" ca="1" si="48">+B184+D184</f>
        <v>29.811752925823903</v>
      </c>
      <c r="G184" s="986"/>
      <c r="I184" s="986"/>
      <c r="J184" s="986"/>
      <c r="K184" s="986"/>
      <c r="L184" s="986"/>
      <c r="M184" s="986"/>
      <c r="N184" s="986"/>
      <c r="O184" s="986"/>
      <c r="P184" s="986"/>
    </row>
    <row r="185" spans="1:16" s="985" customFormat="1" ht="12.75">
      <c r="A185" s="986" t="s">
        <v>2644</v>
      </c>
      <c r="B185" s="985">
        <v>36.53</v>
      </c>
      <c r="C185" s="986"/>
      <c r="D185" s="994">
        <f t="shared" ca="1" si="47"/>
        <v>1.0095840875679811</v>
      </c>
      <c r="E185" s="988"/>
      <c r="F185" s="985">
        <f t="shared" ca="1" si="48"/>
        <v>37.539584087567981</v>
      </c>
      <c r="G185" s="986"/>
      <c r="I185" s="986"/>
      <c r="J185" s="986"/>
      <c r="K185" s="986"/>
      <c r="L185" s="986"/>
      <c r="M185" s="986"/>
      <c r="N185" s="986"/>
      <c r="O185" s="986"/>
      <c r="P185" s="986"/>
    </row>
    <row r="186" spans="1:16" s="985" customFormat="1" ht="12.75">
      <c r="A186" s="986" t="s">
        <v>2645</v>
      </c>
      <c r="B186" s="985">
        <v>49.9</v>
      </c>
      <c r="C186" s="986"/>
      <c r="D186" s="994">
        <f t="shared" ca="1" si="47"/>
        <v>1.3790924163603135</v>
      </c>
      <c r="E186" s="988"/>
      <c r="F186" s="985">
        <f t="shared" ca="1" si="48"/>
        <v>51.279092416360314</v>
      </c>
      <c r="G186" s="986"/>
      <c r="I186" s="986"/>
      <c r="J186" s="986"/>
      <c r="K186" s="986"/>
      <c r="L186" s="986"/>
      <c r="M186" s="986"/>
      <c r="N186" s="986"/>
      <c r="O186" s="986"/>
      <c r="P186" s="986"/>
    </row>
    <row r="187" spans="1:16" s="985" customFormat="1" ht="12.75">
      <c r="A187" s="986" t="s">
        <v>2646</v>
      </c>
      <c r="B187" s="985">
        <v>62.41</v>
      </c>
      <c r="C187" s="986"/>
      <c r="D187" s="994">
        <f t="shared" ca="1" si="47"/>
        <v>1.7248328197404244</v>
      </c>
      <c r="E187" s="988"/>
      <c r="F187" s="985">
        <f t="shared" ca="1" si="48"/>
        <v>64.134832819740424</v>
      </c>
      <c r="G187" s="986"/>
      <c r="I187" s="986"/>
      <c r="J187" s="986"/>
      <c r="K187" s="986"/>
      <c r="L187" s="986"/>
      <c r="M187" s="986"/>
      <c r="N187" s="986"/>
      <c r="O187" s="986"/>
      <c r="P187" s="986"/>
    </row>
    <row r="188" spans="1:16" s="985" customFormat="1" ht="12.75">
      <c r="A188" s="986" t="s">
        <v>2647</v>
      </c>
      <c r="B188" s="985">
        <v>83.87</v>
      </c>
      <c r="C188" s="986"/>
      <c r="D188" s="994">
        <f t="shared" ca="1" si="47"/>
        <v>2.3179254701430763</v>
      </c>
      <c r="E188" s="988"/>
      <c r="F188" s="985">
        <f t="shared" ca="1" si="48"/>
        <v>86.187925470143085</v>
      </c>
      <c r="G188" s="986"/>
      <c r="I188" s="986"/>
      <c r="J188" s="986"/>
      <c r="K188" s="986"/>
      <c r="L188" s="986"/>
      <c r="M188" s="986"/>
      <c r="N188" s="986"/>
      <c r="O188" s="986"/>
      <c r="P188" s="986"/>
    </row>
    <row r="189" spans="1:16" s="985" customFormat="1" ht="12.75">
      <c r="A189" s="986" t="s">
        <v>2648</v>
      </c>
      <c r="B189" s="985">
        <v>101.65</v>
      </c>
      <c r="C189" s="986"/>
      <c r="D189" s="994">
        <f t="shared" ca="1" si="47"/>
        <v>2.8093135094794768</v>
      </c>
      <c r="E189" s="988"/>
      <c r="F189" s="985">
        <f t="shared" ca="1" si="48"/>
        <v>104.45931350947949</v>
      </c>
      <c r="G189" s="986"/>
      <c r="I189" s="986"/>
      <c r="J189" s="986"/>
      <c r="K189" s="986"/>
      <c r="L189" s="986"/>
      <c r="M189" s="986"/>
      <c r="N189" s="986"/>
      <c r="O189" s="986"/>
      <c r="P189" s="986"/>
    </row>
    <row r="190" spans="1:16" s="985" customFormat="1" ht="12.75">
      <c r="A190" s="986" t="s">
        <v>2649</v>
      </c>
      <c r="B190" s="985">
        <v>111.18</v>
      </c>
      <c r="C190" s="986"/>
      <c r="D190" s="994">
        <f t="shared" ca="1" si="47"/>
        <v>3.0726952875939815</v>
      </c>
      <c r="E190" s="988"/>
      <c r="F190" s="985">
        <f t="shared" ca="1" si="48"/>
        <v>114.25269528759399</v>
      </c>
      <c r="G190" s="986"/>
      <c r="I190" s="986"/>
      <c r="J190" s="986"/>
      <c r="K190" s="986"/>
      <c r="L190" s="986"/>
      <c r="M190" s="986"/>
      <c r="N190" s="986"/>
      <c r="O190" s="986"/>
      <c r="P190" s="986"/>
    </row>
    <row r="191" spans="1:16" s="985" customFormat="1" ht="12.75">
      <c r="A191" s="986"/>
      <c r="C191" s="986"/>
      <c r="D191" s="994"/>
      <c r="E191" s="988"/>
      <c r="G191" s="986"/>
      <c r="I191" s="986"/>
      <c r="J191" s="986"/>
      <c r="K191" s="986"/>
      <c r="L191" s="986"/>
      <c r="M191" s="986"/>
      <c r="N191" s="986"/>
      <c r="O191" s="986"/>
      <c r="P191" s="986"/>
    </row>
    <row r="192" spans="1:16" s="985" customFormat="1" ht="12.75">
      <c r="A192" s="1013" t="s">
        <v>2650</v>
      </c>
      <c r="C192" s="986"/>
      <c r="D192" s="994"/>
      <c r="E192" s="988"/>
      <c r="G192" s="986"/>
      <c r="I192" s="986"/>
      <c r="J192" s="986"/>
      <c r="K192" s="986"/>
      <c r="L192" s="986"/>
      <c r="M192" s="986"/>
      <c r="N192" s="986"/>
      <c r="O192" s="986"/>
      <c r="P192" s="986"/>
    </row>
    <row r="193" spans="1:16" s="985" customFormat="1" ht="12.75">
      <c r="A193" s="986" t="s">
        <v>2643</v>
      </c>
      <c r="B193" s="985">
        <v>15.42</v>
      </c>
      <c r="C193" s="986"/>
      <c r="D193" s="994">
        <f t="shared" ref="D193:D199" ca="1" si="49">B193*$F$2</f>
        <v>0.42616443006565202</v>
      </c>
      <c r="E193" s="988"/>
      <c r="F193" s="985">
        <f t="shared" ref="F193:F199" ca="1" si="50">+B193+D193</f>
        <v>15.846164430065652</v>
      </c>
      <c r="G193" s="986"/>
      <c r="I193" s="986"/>
      <c r="J193" s="986"/>
      <c r="K193" s="986"/>
      <c r="L193" s="986"/>
      <c r="M193" s="986"/>
      <c r="N193" s="986"/>
      <c r="O193" s="986"/>
      <c r="P193" s="986"/>
    </row>
    <row r="194" spans="1:16" s="985" customFormat="1" ht="12.75">
      <c r="A194" s="986" t="s">
        <v>2644</v>
      </c>
      <c r="B194" s="985">
        <v>20.03</v>
      </c>
      <c r="C194" s="986"/>
      <c r="D194" s="994">
        <f t="shared" ca="1" si="49"/>
        <v>0.55357156512419003</v>
      </c>
      <c r="E194" s="988"/>
      <c r="F194" s="985">
        <f t="shared" ca="1" si="50"/>
        <v>20.583571565124192</v>
      </c>
      <c r="G194" s="986"/>
      <c r="I194" s="986"/>
      <c r="J194" s="986"/>
      <c r="K194" s="986"/>
      <c r="L194" s="986"/>
      <c r="M194" s="986"/>
      <c r="N194" s="986"/>
      <c r="O194" s="986"/>
      <c r="P194" s="986"/>
    </row>
    <row r="195" spans="1:16" s="985" customFormat="1" ht="12.75">
      <c r="A195" s="986" t="s">
        <v>2645</v>
      </c>
      <c r="B195" s="985">
        <v>25.41</v>
      </c>
      <c r="C195" s="986"/>
      <c r="D195" s="994">
        <f t="shared" ca="1" si="49"/>
        <v>0.70225928456343834</v>
      </c>
      <c r="E195" s="988"/>
      <c r="F195" s="985">
        <f t="shared" ca="1" si="50"/>
        <v>26.112259284563439</v>
      </c>
      <c r="G195" s="986"/>
      <c r="I195" s="986"/>
      <c r="J195" s="986"/>
      <c r="K195" s="986"/>
      <c r="L195" s="986"/>
      <c r="M195" s="986"/>
      <c r="N195" s="986"/>
      <c r="O195" s="986"/>
      <c r="P195" s="986"/>
    </row>
    <row r="196" spans="1:16" s="985" customFormat="1" ht="12.75">
      <c r="A196" s="986" t="s">
        <v>2646</v>
      </c>
      <c r="B196" s="985">
        <v>35.21</v>
      </c>
      <c r="C196" s="986"/>
      <c r="D196" s="994">
        <f t="shared" ca="1" si="49"/>
        <v>0.97310308577247784</v>
      </c>
      <c r="E196" s="988"/>
      <c r="F196" s="985">
        <f t="shared" ca="1" si="50"/>
        <v>36.18310308577248</v>
      </c>
      <c r="G196" s="986"/>
      <c r="I196" s="986"/>
      <c r="J196" s="986"/>
      <c r="K196" s="986"/>
      <c r="L196" s="986"/>
      <c r="M196" s="986"/>
      <c r="N196" s="986"/>
      <c r="O196" s="986"/>
      <c r="P196" s="986"/>
    </row>
    <row r="197" spans="1:16" s="985" customFormat="1" ht="12.75">
      <c r="A197" s="986" t="s">
        <v>2647</v>
      </c>
      <c r="B197" s="985">
        <v>44.62</v>
      </c>
      <c r="C197" s="986"/>
      <c r="D197" s="994">
        <f t="shared" ca="1" si="49"/>
        <v>1.2331684091783004</v>
      </c>
      <c r="E197" s="988"/>
      <c r="F197" s="985">
        <f t="shared" ca="1" si="50"/>
        <v>45.853168409178295</v>
      </c>
      <c r="G197" s="986"/>
      <c r="I197" s="986"/>
      <c r="J197" s="986"/>
      <c r="K197" s="986"/>
      <c r="L197" s="986"/>
      <c r="M197" s="986"/>
      <c r="N197" s="986"/>
      <c r="O197" s="986"/>
      <c r="P197" s="986"/>
    </row>
    <row r="198" spans="1:16" s="985" customFormat="1" ht="12.75">
      <c r="A198" s="986" t="s">
        <v>2648</v>
      </c>
      <c r="B198" s="985">
        <v>53.75</v>
      </c>
      <c r="C198" s="986"/>
      <c r="D198" s="994">
        <f t="shared" ca="1" si="49"/>
        <v>1.4854953382638649</v>
      </c>
      <c r="E198" s="988"/>
      <c r="F198" s="985">
        <f t="shared" ca="1" si="50"/>
        <v>55.235495338263867</v>
      </c>
      <c r="G198" s="986"/>
      <c r="I198" s="986"/>
      <c r="J198" s="986"/>
      <c r="K198" s="986"/>
      <c r="L198" s="986"/>
      <c r="M198" s="986"/>
      <c r="N198" s="986"/>
      <c r="O198" s="986"/>
      <c r="P198" s="986"/>
    </row>
    <row r="199" spans="1:16" s="985" customFormat="1" ht="12.75">
      <c r="A199" s="986" t="s">
        <v>2649</v>
      </c>
      <c r="B199" s="985">
        <v>61.77</v>
      </c>
      <c r="C199" s="986"/>
      <c r="D199" s="994">
        <f t="shared" ca="1" si="49"/>
        <v>1.7071450612941199</v>
      </c>
      <c r="E199" s="988"/>
      <c r="F199" s="985">
        <f t="shared" ca="1" si="50"/>
        <v>63.477145061294124</v>
      </c>
      <c r="G199" s="986"/>
      <c r="I199" s="986"/>
      <c r="J199" s="986"/>
      <c r="K199" s="986"/>
      <c r="L199" s="986"/>
      <c r="M199" s="986"/>
      <c r="N199" s="986"/>
      <c r="O199" s="986"/>
      <c r="P199" s="986"/>
    </row>
    <row r="200" spans="1:16" s="985" customFormat="1" ht="12.75">
      <c r="A200" s="1010"/>
      <c r="B200" s="985" t="s">
        <v>312</v>
      </c>
      <c r="C200" s="986"/>
      <c r="D200" s="994"/>
      <c r="E200" s="988"/>
      <c r="G200" s="986"/>
      <c r="I200" s="986"/>
      <c r="J200" s="986"/>
      <c r="K200" s="986"/>
      <c r="L200" s="986"/>
      <c r="M200" s="986"/>
      <c r="N200" s="986"/>
      <c r="O200" s="986"/>
      <c r="P200" s="986"/>
    </row>
    <row r="201" spans="1:16" s="985" customFormat="1" ht="12.75">
      <c r="A201" s="987" t="s">
        <v>2651</v>
      </c>
      <c r="C201" s="986"/>
      <c r="D201" s="994"/>
      <c r="E201" s="988"/>
      <c r="G201" s="986"/>
      <c r="I201" s="986"/>
      <c r="J201" s="986"/>
      <c r="K201" s="986"/>
      <c r="L201" s="986"/>
      <c r="M201" s="986"/>
      <c r="N201" s="986"/>
      <c r="O201" s="986"/>
      <c r="P201" s="986"/>
    </row>
    <row r="202" spans="1:16" s="985" customFormat="1" ht="12.75">
      <c r="A202" s="986" t="s">
        <v>2643</v>
      </c>
      <c r="B202" s="985">
        <v>19.72</v>
      </c>
      <c r="C202" s="986"/>
      <c r="D202" s="994">
        <f t="shared" ref="D202:D208" ca="1" si="51">B202*$F$2</f>
        <v>0.54500405712676125</v>
      </c>
      <c r="E202" s="988"/>
      <c r="F202" s="985">
        <f t="shared" ref="F202:F208" ca="1" si="52">+B202+D202</f>
        <v>20.26500405712676</v>
      </c>
      <c r="G202" s="986"/>
      <c r="I202" s="986"/>
      <c r="J202" s="986"/>
      <c r="K202" s="986"/>
      <c r="L202" s="986"/>
      <c r="M202" s="986"/>
      <c r="N202" s="986"/>
      <c r="O202" s="986"/>
      <c r="P202" s="986"/>
    </row>
    <row r="203" spans="1:16" s="985" customFormat="1" ht="12.75">
      <c r="A203" s="986" t="s">
        <v>2644</v>
      </c>
      <c r="B203" s="985">
        <v>25.58</v>
      </c>
      <c r="C203" s="986"/>
      <c r="D203" s="994">
        <f t="shared" ca="1" si="51"/>
        <v>0.70695759540073788</v>
      </c>
      <c r="E203" s="988"/>
      <c r="F203" s="985">
        <f t="shared" ca="1" si="52"/>
        <v>26.286957595400736</v>
      </c>
      <c r="G203" s="986"/>
      <c r="I203" s="986"/>
      <c r="J203" s="986"/>
      <c r="K203" s="986"/>
      <c r="L203" s="986"/>
      <c r="M203" s="986"/>
      <c r="N203" s="986"/>
      <c r="O203" s="986"/>
      <c r="P203" s="986"/>
    </row>
    <row r="204" spans="1:16" s="985" customFormat="1" ht="12.75">
      <c r="A204" s="986" t="s">
        <v>2645</v>
      </c>
      <c r="B204" s="985">
        <v>31.7</v>
      </c>
      <c r="C204" s="986"/>
      <c r="D204" s="994">
        <f t="shared" ca="1" si="51"/>
        <v>0.87609678554352588</v>
      </c>
      <c r="E204" s="988"/>
      <c r="F204" s="985">
        <f t="shared" ca="1" si="52"/>
        <v>32.576096785543527</v>
      </c>
      <c r="G204" s="986"/>
      <c r="I204" s="986"/>
      <c r="J204" s="986"/>
      <c r="K204" s="986"/>
      <c r="L204" s="986"/>
      <c r="M204" s="986"/>
      <c r="N204" s="986"/>
      <c r="O204" s="986"/>
      <c r="P204" s="986"/>
    </row>
    <row r="205" spans="1:16" s="985" customFormat="1" ht="12.75">
      <c r="A205" s="986" t="s">
        <v>2646</v>
      </c>
      <c r="B205" s="985">
        <v>46.41</v>
      </c>
      <c r="C205" s="986"/>
      <c r="D205" s="994">
        <f t="shared" ca="1" si="51"/>
        <v>1.2826388585828088</v>
      </c>
      <c r="E205" s="988"/>
      <c r="F205" s="985">
        <f t="shared" ca="1" si="52"/>
        <v>47.692638858582804</v>
      </c>
      <c r="G205" s="986"/>
      <c r="I205" s="986"/>
      <c r="J205" s="986"/>
      <c r="K205" s="986"/>
      <c r="L205" s="986"/>
      <c r="M205" s="986"/>
      <c r="N205" s="986"/>
      <c r="O205" s="986"/>
      <c r="P205" s="986"/>
    </row>
    <row r="206" spans="1:16" s="985" customFormat="1" ht="12.75">
      <c r="A206" s="986" t="s">
        <v>2647</v>
      </c>
      <c r="B206" s="985">
        <v>56.92</v>
      </c>
      <c r="C206" s="986"/>
      <c r="D206" s="994">
        <f t="shared" ca="1" si="51"/>
        <v>1.5731050168182177</v>
      </c>
      <c r="E206" s="988"/>
      <c r="F206" s="985">
        <f t="shared" ca="1" si="52"/>
        <v>58.49310501681822</v>
      </c>
      <c r="G206" s="986"/>
      <c r="I206" s="986"/>
      <c r="J206" s="986"/>
      <c r="K206" s="986"/>
      <c r="L206" s="986"/>
      <c r="M206" s="986"/>
      <c r="N206" s="986"/>
      <c r="O206" s="986"/>
      <c r="P206" s="986"/>
    </row>
    <row r="207" spans="1:16" s="985" customFormat="1" ht="12.75">
      <c r="A207" s="986" t="s">
        <v>2648</v>
      </c>
      <c r="B207" s="985">
        <v>66.94</v>
      </c>
      <c r="C207" s="986"/>
      <c r="D207" s="994">
        <f t="shared" ca="1" si="51"/>
        <v>1.8500289849931741</v>
      </c>
      <c r="E207" s="988"/>
      <c r="F207" s="985">
        <f t="shared" ca="1" si="52"/>
        <v>68.790028984993171</v>
      </c>
      <c r="G207" s="986"/>
      <c r="I207" s="986"/>
      <c r="J207" s="986"/>
      <c r="K207" s="986"/>
      <c r="L207" s="986"/>
      <c r="M207" s="986"/>
      <c r="N207" s="986"/>
      <c r="O207" s="986"/>
      <c r="P207" s="986"/>
    </row>
    <row r="208" spans="1:16" s="985" customFormat="1" ht="12.75">
      <c r="A208" s="986" t="s">
        <v>2649</v>
      </c>
      <c r="B208" s="985">
        <v>76.88</v>
      </c>
      <c r="C208" s="986"/>
      <c r="D208" s="994">
        <f t="shared" ca="1" si="51"/>
        <v>2.1247419833623429</v>
      </c>
      <c r="E208" s="988"/>
      <c r="F208" s="985">
        <f t="shared" ca="1" si="52"/>
        <v>79.004741983362337</v>
      </c>
      <c r="G208" s="986"/>
      <c r="I208" s="986"/>
      <c r="J208" s="986"/>
      <c r="K208" s="986"/>
      <c r="L208" s="986"/>
      <c r="M208" s="986"/>
      <c r="N208" s="986"/>
      <c r="O208" s="986"/>
      <c r="P208" s="986"/>
    </row>
    <row r="209" spans="1:16" s="985" customFormat="1" ht="12.75">
      <c r="A209" s="1010"/>
      <c r="B209" s="985" t="s">
        <v>312</v>
      </c>
      <c r="C209" s="986"/>
      <c r="D209" s="994"/>
      <c r="E209" s="988"/>
      <c r="G209" s="986"/>
      <c r="I209" s="986"/>
      <c r="J209" s="986"/>
      <c r="K209" s="986"/>
      <c r="L209" s="986"/>
      <c r="M209" s="986"/>
      <c r="N209" s="986"/>
      <c r="O209" s="986"/>
      <c r="P209" s="986"/>
    </row>
    <row r="210" spans="1:16" s="985" customFormat="1" ht="12.75">
      <c r="A210" s="1013" t="s">
        <v>2652</v>
      </c>
      <c r="C210" s="986"/>
      <c r="D210" s="994"/>
      <c r="E210" s="988"/>
      <c r="G210" s="986"/>
      <c r="I210" s="986"/>
      <c r="J210" s="986"/>
      <c r="K210" s="986"/>
      <c r="L210" s="986"/>
      <c r="M210" s="986"/>
      <c r="N210" s="986"/>
      <c r="O210" s="986"/>
      <c r="P210" s="986"/>
    </row>
    <row r="211" spans="1:16" s="985" customFormat="1" ht="12.75">
      <c r="A211" s="1013" t="s">
        <v>2653</v>
      </c>
      <c r="C211" s="986"/>
      <c r="D211" s="994"/>
      <c r="E211" s="988"/>
      <c r="G211" s="986"/>
      <c r="I211" s="986"/>
      <c r="J211" s="986"/>
      <c r="K211" s="986"/>
      <c r="L211" s="986"/>
      <c r="M211" s="986"/>
      <c r="N211" s="986"/>
      <c r="O211" s="986"/>
      <c r="P211" s="986"/>
    </row>
    <row r="212" spans="1:16" s="985" customFormat="1" ht="12.75">
      <c r="A212" s="986" t="s">
        <v>2643</v>
      </c>
      <c r="B212" s="985">
        <v>31.7</v>
      </c>
      <c r="C212" s="986"/>
      <c r="D212" s="994">
        <f t="shared" ref="D212:D218" ca="1" si="53">B212*$F$2</f>
        <v>0.87609678554352588</v>
      </c>
      <c r="E212" s="988"/>
      <c r="F212" s="985">
        <f t="shared" ref="F212:F218" ca="1" si="54">+B212+D212</f>
        <v>32.576096785543527</v>
      </c>
      <c r="G212" s="986"/>
      <c r="I212" s="986"/>
      <c r="J212" s="986"/>
      <c r="K212" s="986"/>
      <c r="L212" s="986"/>
      <c r="M212" s="986"/>
      <c r="N212" s="986"/>
      <c r="O212" s="986"/>
      <c r="P212" s="986"/>
    </row>
    <row r="213" spans="1:16" s="985" customFormat="1" ht="12.75">
      <c r="A213" s="986" t="s">
        <v>2644</v>
      </c>
      <c r="B213" s="985">
        <v>31.7</v>
      </c>
      <c r="C213" s="986"/>
      <c r="D213" s="994">
        <f t="shared" ca="1" si="53"/>
        <v>0.87609678554352588</v>
      </c>
      <c r="E213" s="988"/>
      <c r="F213" s="985">
        <f t="shared" ca="1" si="54"/>
        <v>32.576096785543527</v>
      </c>
      <c r="G213" s="986"/>
      <c r="I213" s="986"/>
      <c r="J213" s="986"/>
      <c r="K213" s="986"/>
      <c r="L213" s="986"/>
      <c r="M213" s="986"/>
      <c r="N213" s="986"/>
      <c r="O213" s="986"/>
      <c r="P213" s="986"/>
    </row>
    <row r="214" spans="1:16" s="985" customFormat="1" ht="12.75">
      <c r="A214" s="986" t="s">
        <v>2645</v>
      </c>
      <c r="B214" s="985">
        <v>31.7</v>
      </c>
      <c r="C214" s="986"/>
      <c r="D214" s="994">
        <f t="shared" ca="1" si="53"/>
        <v>0.87609678554352588</v>
      </c>
      <c r="E214" s="988"/>
      <c r="F214" s="985">
        <f t="shared" ca="1" si="54"/>
        <v>32.576096785543527</v>
      </c>
      <c r="G214" s="986"/>
      <c r="I214" s="986"/>
      <c r="J214" s="986"/>
      <c r="K214" s="986"/>
      <c r="L214" s="986"/>
      <c r="M214" s="986"/>
      <c r="N214" s="986"/>
      <c r="O214" s="986"/>
      <c r="P214" s="986"/>
    </row>
    <row r="215" spans="1:16" s="985" customFormat="1" ht="12.75">
      <c r="A215" s="986" t="s">
        <v>2646</v>
      </c>
      <c r="B215" s="985">
        <v>31.7</v>
      </c>
      <c r="C215" s="986"/>
      <c r="D215" s="994">
        <f t="shared" ca="1" si="53"/>
        <v>0.87609678554352588</v>
      </c>
      <c r="E215" s="988"/>
      <c r="F215" s="985">
        <f t="shared" ca="1" si="54"/>
        <v>32.576096785543527</v>
      </c>
      <c r="G215" s="986"/>
      <c r="I215" s="986"/>
      <c r="J215" s="986"/>
      <c r="K215" s="986"/>
      <c r="L215" s="986"/>
      <c r="M215" s="986"/>
      <c r="N215" s="986"/>
      <c r="O215" s="986"/>
      <c r="P215" s="986"/>
    </row>
    <row r="216" spans="1:16" s="985" customFormat="1" ht="12.75">
      <c r="A216" s="986" t="s">
        <v>2647</v>
      </c>
      <c r="B216" s="985">
        <v>31.7</v>
      </c>
      <c r="C216" s="986"/>
      <c r="D216" s="994">
        <f t="shared" ca="1" si="53"/>
        <v>0.87609678554352588</v>
      </c>
      <c r="E216" s="988"/>
      <c r="F216" s="985">
        <f t="shared" ca="1" si="54"/>
        <v>32.576096785543527</v>
      </c>
      <c r="G216" s="986"/>
      <c r="I216" s="986"/>
      <c r="J216" s="986"/>
      <c r="K216" s="986"/>
      <c r="L216" s="986"/>
      <c r="M216" s="986"/>
      <c r="N216" s="986"/>
      <c r="O216" s="986"/>
      <c r="P216" s="986"/>
    </row>
    <row r="217" spans="1:16" s="985" customFormat="1" ht="12.75">
      <c r="A217" s="986" t="s">
        <v>2648</v>
      </c>
      <c r="B217" s="985">
        <v>31.7</v>
      </c>
      <c r="C217" s="986"/>
      <c r="D217" s="994">
        <f t="shared" ca="1" si="53"/>
        <v>0.87609678554352588</v>
      </c>
      <c r="E217" s="988"/>
      <c r="F217" s="985">
        <f t="shared" ca="1" si="54"/>
        <v>32.576096785543527</v>
      </c>
      <c r="G217" s="986"/>
      <c r="I217" s="986"/>
      <c r="J217" s="986"/>
      <c r="K217" s="986"/>
      <c r="L217" s="986"/>
      <c r="M217" s="986"/>
      <c r="N217" s="986"/>
      <c r="O217" s="986"/>
      <c r="P217" s="986"/>
    </row>
    <row r="218" spans="1:16" s="985" customFormat="1" ht="12.75">
      <c r="A218" s="986" t="s">
        <v>2649</v>
      </c>
      <c r="B218" s="985">
        <v>31.7</v>
      </c>
      <c r="C218" s="986"/>
      <c r="D218" s="994">
        <f t="shared" ca="1" si="53"/>
        <v>0.87609678554352588</v>
      </c>
      <c r="E218" s="988"/>
      <c r="F218" s="985">
        <f t="shared" ca="1" si="54"/>
        <v>32.576096785543527</v>
      </c>
      <c r="G218" s="986"/>
      <c r="I218" s="986"/>
      <c r="J218" s="986"/>
      <c r="K218" s="986"/>
      <c r="L218" s="986"/>
      <c r="M218" s="986"/>
      <c r="N218" s="986"/>
      <c r="O218" s="986"/>
      <c r="P218" s="986"/>
    </row>
    <row r="219" spans="1:16" s="985" customFormat="1" ht="12.75">
      <c r="A219" s="986"/>
      <c r="C219" s="986"/>
      <c r="D219" s="994"/>
      <c r="E219" s="988"/>
      <c r="G219" s="986"/>
      <c r="I219" s="986"/>
      <c r="J219" s="986"/>
      <c r="K219" s="986"/>
      <c r="L219" s="986"/>
      <c r="M219" s="986"/>
      <c r="N219" s="986"/>
      <c r="O219" s="986"/>
      <c r="P219" s="986"/>
    </row>
    <row r="220" spans="1:16" s="985" customFormat="1" ht="12.75">
      <c r="A220" s="987" t="s">
        <v>2654</v>
      </c>
      <c r="C220" s="986"/>
      <c r="D220" s="994"/>
      <c r="E220" s="988"/>
      <c r="G220" s="986"/>
      <c r="I220" s="986"/>
      <c r="J220" s="986"/>
      <c r="K220" s="986"/>
      <c r="L220" s="986"/>
      <c r="M220" s="986"/>
      <c r="N220" s="986"/>
      <c r="O220" s="986"/>
      <c r="P220" s="986"/>
    </row>
    <row r="221" spans="1:16" s="985" customFormat="1" ht="12.75">
      <c r="A221" s="986" t="s">
        <v>2643</v>
      </c>
      <c r="B221" s="985">
        <v>16.670000000000002</v>
      </c>
      <c r="C221" s="986"/>
      <c r="D221" s="994">
        <f t="shared" ref="D221:D227" ca="1" si="55">B221*$F$2</f>
        <v>0.4607108332810908</v>
      </c>
      <c r="E221" s="988"/>
      <c r="F221" s="985">
        <f t="shared" ref="F221:F227" ca="1" si="56">+B221+D221</f>
        <v>17.130710833281093</v>
      </c>
      <c r="G221" s="986"/>
      <c r="I221" s="986"/>
      <c r="J221" s="986"/>
      <c r="K221" s="986"/>
      <c r="L221" s="986"/>
      <c r="M221" s="986"/>
      <c r="N221" s="986"/>
      <c r="O221" s="986"/>
      <c r="P221" s="986"/>
    </row>
    <row r="222" spans="1:16" s="985" customFormat="1" ht="12.75">
      <c r="A222" s="986" t="s">
        <v>2644</v>
      </c>
      <c r="B222" s="985">
        <v>22.88</v>
      </c>
      <c r="C222" s="986"/>
      <c r="D222" s="994">
        <f t="shared" ca="1" si="55"/>
        <v>0.63233736445539035</v>
      </c>
      <c r="E222" s="988"/>
      <c r="F222" s="985">
        <f t="shared" ca="1" si="56"/>
        <v>23.512337364455391</v>
      </c>
      <c r="G222" s="986"/>
      <c r="I222" s="986"/>
      <c r="J222" s="986"/>
      <c r="K222" s="986"/>
      <c r="L222" s="986"/>
      <c r="M222" s="986"/>
      <c r="N222" s="986"/>
      <c r="O222" s="986"/>
      <c r="P222" s="986"/>
    </row>
    <row r="223" spans="1:16" s="985" customFormat="1" ht="12.75">
      <c r="A223" s="986" t="s">
        <v>2645</v>
      </c>
      <c r="B223" s="985">
        <v>29.11</v>
      </c>
      <c r="C223" s="986"/>
      <c r="D223" s="994">
        <f t="shared" ca="1" si="55"/>
        <v>0.80451663808113694</v>
      </c>
      <c r="E223" s="988"/>
      <c r="F223" s="985">
        <f t="shared" ca="1" si="56"/>
        <v>29.914516638081135</v>
      </c>
      <c r="G223" s="986"/>
      <c r="I223" s="986"/>
      <c r="J223" s="986"/>
      <c r="K223" s="986"/>
      <c r="L223" s="986"/>
      <c r="M223" s="986"/>
      <c r="N223" s="986"/>
      <c r="O223" s="986"/>
      <c r="P223" s="986"/>
    </row>
    <row r="224" spans="1:16" s="985" customFormat="1" ht="12.75">
      <c r="A224" s="986" t="s">
        <v>2646</v>
      </c>
      <c r="B224" s="985">
        <v>43.96</v>
      </c>
      <c r="C224" s="986"/>
      <c r="D224" s="994">
        <f t="shared" ca="1" si="55"/>
        <v>1.2149279082805489</v>
      </c>
      <c r="E224" s="988"/>
      <c r="F224" s="985">
        <f t="shared" ca="1" si="56"/>
        <v>45.174927908280551</v>
      </c>
      <c r="G224" s="986"/>
      <c r="I224" s="986"/>
      <c r="J224" s="986"/>
      <c r="K224" s="986"/>
      <c r="L224" s="986"/>
      <c r="M224" s="986"/>
      <c r="N224" s="986"/>
      <c r="O224" s="986"/>
      <c r="P224" s="986"/>
    </row>
    <row r="225" spans="1:16" s="985" customFormat="1" ht="12.75">
      <c r="A225" s="986" t="s">
        <v>2647</v>
      </c>
      <c r="B225" s="985">
        <v>54.62</v>
      </c>
      <c r="C225" s="986"/>
      <c r="D225" s="994">
        <f t="shared" ca="1" si="55"/>
        <v>1.5095396349018102</v>
      </c>
      <c r="E225" s="988"/>
      <c r="F225" s="985">
        <f t="shared" ca="1" si="56"/>
        <v>56.129539634901811</v>
      </c>
      <c r="G225" s="986"/>
      <c r="I225" s="986"/>
      <c r="J225" s="986"/>
      <c r="K225" s="986"/>
      <c r="L225" s="986"/>
      <c r="M225" s="986"/>
      <c r="N225" s="986"/>
      <c r="O225" s="986"/>
      <c r="P225" s="986"/>
    </row>
    <row r="226" spans="1:16" s="985" customFormat="1" ht="12.75">
      <c r="A226" s="986" t="s">
        <v>2648</v>
      </c>
      <c r="B226" s="985">
        <v>64.75</v>
      </c>
      <c r="C226" s="986"/>
      <c r="D226" s="994">
        <f t="shared" ca="1" si="55"/>
        <v>1.7895036865597256</v>
      </c>
      <c r="E226" s="988"/>
      <c r="F226" s="985">
        <f t="shared" ca="1" si="56"/>
        <v>66.539503686559726</v>
      </c>
      <c r="G226" s="986"/>
      <c r="I226" s="986"/>
      <c r="J226" s="986"/>
      <c r="K226" s="986"/>
      <c r="L226" s="986"/>
      <c r="M226" s="986"/>
      <c r="N226" s="986"/>
      <c r="O226" s="986"/>
      <c r="P226" s="986"/>
    </row>
    <row r="227" spans="1:16" s="986" customFormat="1" ht="12.75">
      <c r="A227" s="986" t="s">
        <v>2649</v>
      </c>
      <c r="B227" s="985">
        <v>74.77</v>
      </c>
      <c r="D227" s="994">
        <f t="shared" ca="1" si="55"/>
        <v>2.0664276547346825</v>
      </c>
      <c r="E227" s="988"/>
      <c r="F227" s="985">
        <f t="shared" ca="1" si="56"/>
        <v>76.836427654734678</v>
      </c>
      <c r="H227" s="985"/>
    </row>
    <row r="228" spans="1:16" s="986" customFormat="1" ht="12.75">
      <c r="A228" s="1010"/>
      <c r="B228" s="985" t="s">
        <v>312</v>
      </c>
      <c r="D228" s="994"/>
      <c r="E228" s="988"/>
      <c r="F228" s="985"/>
      <c r="H228" s="985"/>
    </row>
    <row r="229" spans="1:16" s="986" customFormat="1" ht="12.75">
      <c r="A229" s="987" t="s">
        <v>2655</v>
      </c>
      <c r="B229" s="985"/>
      <c r="D229" s="994"/>
      <c r="E229" s="988"/>
      <c r="F229" s="985"/>
      <c r="H229" s="985"/>
    </row>
    <row r="230" spans="1:16" s="986" customFormat="1" ht="12.75">
      <c r="A230" s="986" t="s">
        <v>2643</v>
      </c>
      <c r="B230" s="985">
        <v>0.75</v>
      </c>
      <c r="D230" s="994">
        <f t="shared" ref="D230:D236" ca="1" si="57">B230*$F$2</f>
        <v>2.0727841929263233E-2</v>
      </c>
      <c r="E230" s="988"/>
      <c r="F230" s="985">
        <f t="shared" ref="F230:F240" ca="1" si="58">+B230+D230</f>
        <v>0.77072784192926325</v>
      </c>
      <c r="H230" s="985"/>
    </row>
    <row r="231" spans="1:16" s="986" customFormat="1" ht="12.75">
      <c r="A231" s="986" t="s">
        <v>2644</v>
      </c>
      <c r="B231" s="985">
        <v>1</v>
      </c>
      <c r="D231" s="994">
        <f t="shared" ca="1" si="57"/>
        <v>2.7637122572350976E-2</v>
      </c>
      <c r="E231" s="988"/>
      <c r="F231" s="985">
        <f t="shared" ca="1" si="58"/>
        <v>1.0276371225723511</v>
      </c>
      <c r="H231" s="985"/>
    </row>
    <row r="232" spans="1:16" s="986" customFormat="1" ht="12.75">
      <c r="A232" s="986" t="s">
        <v>2645</v>
      </c>
      <c r="B232" s="985">
        <v>1.25</v>
      </c>
      <c r="D232" s="994">
        <f t="shared" ca="1" si="57"/>
        <v>3.4546403215438719E-2</v>
      </c>
      <c r="E232" s="988"/>
      <c r="F232" s="985">
        <f t="shared" ca="1" si="58"/>
        <v>1.2845464032154388</v>
      </c>
      <c r="H232" s="985"/>
    </row>
    <row r="233" spans="1:16" s="986" customFormat="1" ht="12.75">
      <c r="A233" s="986" t="s">
        <v>2646</v>
      </c>
      <c r="B233" s="985">
        <v>1.65</v>
      </c>
      <c r="D233" s="994">
        <f t="shared" ca="1" si="57"/>
        <v>4.5601252244379109E-2</v>
      </c>
      <c r="E233" s="988"/>
      <c r="F233" s="985">
        <f t="shared" ca="1" si="58"/>
        <v>1.6956012522443791</v>
      </c>
      <c r="H233" s="985"/>
    </row>
    <row r="234" spans="1:16" s="986" customFormat="1" ht="12.75">
      <c r="A234" s="986" t="s">
        <v>2647</v>
      </c>
      <c r="B234" s="985">
        <v>2</v>
      </c>
      <c r="D234" s="994">
        <f t="shared" ca="1" si="57"/>
        <v>5.5274245144701951E-2</v>
      </c>
      <c r="E234" s="988"/>
      <c r="F234" s="985">
        <f t="shared" ca="1" si="58"/>
        <v>2.0552742451447021</v>
      </c>
      <c r="H234" s="985"/>
    </row>
    <row r="235" spans="1:16" s="986" customFormat="1" ht="12.75">
      <c r="A235" s="986" t="s">
        <v>2648</v>
      </c>
      <c r="B235" s="985">
        <v>2.25</v>
      </c>
      <c r="D235" s="994">
        <f t="shared" ca="1" si="57"/>
        <v>6.2183525787789698E-2</v>
      </c>
      <c r="E235" s="988"/>
      <c r="F235" s="985">
        <f t="shared" ca="1" si="58"/>
        <v>2.3121835257877899</v>
      </c>
      <c r="H235" s="985"/>
    </row>
    <row r="236" spans="1:16" s="986" customFormat="1" ht="12.75">
      <c r="A236" s="986" t="s">
        <v>2649</v>
      </c>
      <c r="B236" s="985">
        <v>2.25</v>
      </c>
      <c r="D236" s="994">
        <f t="shared" ca="1" si="57"/>
        <v>6.2183525787789698E-2</v>
      </c>
      <c r="E236" s="988"/>
      <c r="F236" s="985">
        <f t="shared" ca="1" si="58"/>
        <v>2.3121835257877899</v>
      </c>
      <c r="H236" s="985"/>
    </row>
    <row r="237" spans="1:16" s="986" customFormat="1" ht="12.75">
      <c r="B237" s="985"/>
      <c r="D237" s="994"/>
      <c r="E237" s="988"/>
      <c r="F237" s="985"/>
      <c r="H237" s="985"/>
    </row>
    <row r="238" spans="1:16" s="986" customFormat="1" ht="12.75">
      <c r="A238" s="986" t="s">
        <v>2656</v>
      </c>
      <c r="B238" s="985">
        <v>17.82</v>
      </c>
      <c r="D238" s="994">
        <f t="shared" ref="D238" ca="1" si="59">B238*$F$2</f>
        <v>0.49249352423929438</v>
      </c>
      <c r="E238" s="988"/>
      <c r="F238" s="985">
        <f t="shared" ca="1" si="58"/>
        <v>18.312493524239294</v>
      </c>
      <c r="H238" s="985"/>
    </row>
    <row r="239" spans="1:16" s="986" customFormat="1" ht="12.75">
      <c r="B239" s="985"/>
      <c r="D239" s="994"/>
      <c r="E239" s="988"/>
      <c r="F239" s="985"/>
      <c r="H239" s="985"/>
    </row>
    <row r="240" spans="1:16" s="986" customFormat="1" ht="12.75">
      <c r="A240" s="986" t="s">
        <v>2657</v>
      </c>
      <c r="B240" s="985">
        <f>12/4.33</f>
        <v>2.7713625866050808</v>
      </c>
      <c r="D240" s="994">
        <f t="shared" ref="D240" ca="1" si="60">B240*$F$2</f>
        <v>7.6592487498432268E-2</v>
      </c>
      <c r="E240" s="988"/>
      <c r="F240" s="985">
        <f t="shared" ca="1" si="58"/>
        <v>2.8479550741035129</v>
      </c>
      <c r="H240" s="985"/>
    </row>
    <row r="241" spans="1:16" s="986" customFormat="1" ht="12.75">
      <c r="B241" s="985"/>
      <c r="D241" s="994"/>
      <c r="E241" s="988"/>
      <c r="F241" s="985"/>
      <c r="H241" s="985"/>
    </row>
    <row r="242" spans="1:16" s="986" customFormat="1" ht="12.75">
      <c r="A242" s="1006" t="s">
        <v>2658</v>
      </c>
      <c r="B242" s="1009"/>
      <c r="C242" s="1026"/>
      <c r="D242" s="1019"/>
      <c r="E242" s="1027"/>
      <c r="F242" s="1009"/>
      <c r="H242" s="985"/>
    </row>
    <row r="243" spans="1:16" s="986" customFormat="1" ht="12.75">
      <c r="A243" s="987" t="s">
        <v>2659</v>
      </c>
      <c r="B243" s="985"/>
      <c r="D243" s="994"/>
      <c r="E243" s="988"/>
      <c r="F243" s="985"/>
      <c r="H243" s="985"/>
    </row>
    <row r="244" spans="1:16" s="986" customFormat="1" ht="12.75">
      <c r="A244" s="987" t="s">
        <v>2660</v>
      </c>
      <c r="B244" s="985"/>
      <c r="D244" s="994"/>
      <c r="E244" s="988"/>
      <c r="F244" s="985"/>
      <c r="H244" s="985"/>
    </row>
    <row r="245" spans="1:16" s="986" customFormat="1" ht="12.75">
      <c r="A245" s="986" t="s">
        <v>2661</v>
      </c>
      <c r="B245" s="985">
        <v>2.4700000000000002</v>
      </c>
      <c r="D245" s="994">
        <f t="shared" ref="D245:D248" ca="1" si="61">B245*$F$2</f>
        <v>6.8263692753706917E-2</v>
      </c>
      <c r="E245" s="988"/>
      <c r="F245" s="985">
        <f t="shared" ref="F245:F248" ca="1" si="62">+B245+D245</f>
        <v>2.538263692753707</v>
      </c>
      <c r="H245" s="985"/>
    </row>
    <row r="246" spans="1:16" s="986" customFormat="1" ht="12.75">
      <c r="A246" s="986" t="s">
        <v>2662</v>
      </c>
      <c r="B246" s="985">
        <v>2.27</v>
      </c>
      <c r="D246" s="994">
        <f t="shared" ca="1" si="61"/>
        <v>6.2736268239236712E-2</v>
      </c>
      <c r="E246" s="988"/>
      <c r="F246" s="985">
        <f t="shared" ca="1" si="62"/>
        <v>2.3327362682392367</v>
      </c>
      <c r="H246" s="985"/>
    </row>
    <row r="247" spans="1:16" s="986" customFormat="1" ht="12.75">
      <c r="A247" s="986" t="s">
        <v>2663</v>
      </c>
      <c r="B247" s="985">
        <v>2.4700000000000002</v>
      </c>
      <c r="D247" s="994">
        <f t="shared" ca="1" si="61"/>
        <v>6.8263692753706917E-2</v>
      </c>
      <c r="E247" s="988"/>
      <c r="F247" s="985">
        <f t="shared" ca="1" si="62"/>
        <v>2.538263692753707</v>
      </c>
      <c r="H247" s="985"/>
    </row>
    <row r="248" spans="1:16" s="986" customFormat="1" ht="12.75">
      <c r="A248" s="986" t="s">
        <v>2664</v>
      </c>
      <c r="B248" s="985">
        <v>13.48</v>
      </c>
      <c r="D248" s="994">
        <f t="shared" ca="1" si="61"/>
        <v>0.37254841227529117</v>
      </c>
      <c r="E248" s="988"/>
      <c r="F248" s="985">
        <f t="shared" ca="1" si="62"/>
        <v>13.852548412275292</v>
      </c>
      <c r="H248" s="985"/>
    </row>
    <row r="249" spans="1:16" s="986" customFormat="1" ht="12.75">
      <c r="B249" s="985"/>
      <c r="D249" s="994"/>
      <c r="E249" s="988"/>
      <c r="F249" s="985"/>
      <c r="H249" s="985"/>
    </row>
    <row r="250" spans="1:16" s="1022" customFormat="1" ht="12.75">
      <c r="A250" s="987" t="s">
        <v>2665</v>
      </c>
      <c r="C250" s="987"/>
      <c r="D250" s="1015"/>
      <c r="E250" s="1030"/>
      <c r="G250" s="987"/>
      <c r="I250" s="987"/>
      <c r="J250" s="987"/>
      <c r="K250" s="987"/>
      <c r="L250" s="987"/>
      <c r="M250" s="987"/>
      <c r="N250" s="987"/>
      <c r="O250" s="987"/>
      <c r="P250" s="987"/>
    </row>
    <row r="251" spans="1:16" s="985" customFormat="1" ht="12.75">
      <c r="A251" s="986" t="s">
        <v>2666</v>
      </c>
      <c r="B251" s="985">
        <v>11.47</v>
      </c>
      <c r="C251" s="986"/>
      <c r="D251" s="994">
        <f t="shared" ref="D251:D252" ca="1" si="63">B251*$F$2</f>
        <v>0.31699779590486571</v>
      </c>
      <c r="E251" s="988"/>
      <c r="F251" s="985">
        <f t="shared" ref="F251:F252" ca="1" si="64">+B251+D251</f>
        <v>11.786997795904867</v>
      </c>
      <c r="G251" s="986"/>
      <c r="I251" s="986"/>
      <c r="J251" s="986"/>
      <c r="K251" s="986"/>
      <c r="L251" s="986"/>
      <c r="M251" s="986"/>
      <c r="N251" s="986"/>
      <c r="O251" s="986"/>
      <c r="P251" s="986"/>
    </row>
    <row r="252" spans="1:16" s="985" customFormat="1" ht="12.75">
      <c r="A252" s="986" t="s">
        <v>2667</v>
      </c>
      <c r="B252" s="985">
        <v>3.57</v>
      </c>
      <c r="C252" s="986"/>
      <c r="D252" s="994">
        <f t="shared" ca="1" si="63"/>
        <v>9.8664527583292985E-2</v>
      </c>
      <c r="E252" s="988"/>
      <c r="F252" s="985">
        <f t="shared" ca="1" si="64"/>
        <v>3.6686645275832928</v>
      </c>
      <c r="G252" s="986"/>
      <c r="I252" s="986"/>
      <c r="J252" s="986"/>
      <c r="K252" s="986"/>
      <c r="L252" s="986"/>
      <c r="M252" s="986"/>
      <c r="N252" s="986"/>
      <c r="O252" s="986"/>
      <c r="P252" s="986"/>
    </row>
    <row r="253" spans="1:16" s="985" customFormat="1" ht="12.75">
      <c r="A253" s="986"/>
      <c r="C253" s="986"/>
      <c r="D253" s="994"/>
      <c r="E253" s="988"/>
      <c r="G253" s="986"/>
      <c r="I253" s="986"/>
      <c r="J253" s="986"/>
      <c r="K253" s="986"/>
      <c r="L253" s="986"/>
      <c r="M253" s="986"/>
      <c r="N253" s="986"/>
      <c r="O253" s="986"/>
      <c r="P253" s="986"/>
    </row>
    <row r="254" spans="1:16" s="985" customFormat="1" ht="12.75">
      <c r="A254" s="987" t="s">
        <v>2668</v>
      </c>
      <c r="C254" s="986"/>
      <c r="D254" s="994"/>
      <c r="E254" s="988"/>
      <c r="G254" s="986"/>
      <c r="I254" s="986"/>
      <c r="J254" s="986"/>
      <c r="K254" s="986"/>
      <c r="L254" s="986"/>
      <c r="M254" s="986"/>
      <c r="N254" s="986"/>
      <c r="O254" s="986"/>
      <c r="P254" s="986"/>
    </row>
    <row r="255" spans="1:16" s="985" customFormat="1" ht="12.75">
      <c r="A255" s="986" t="s">
        <v>2661</v>
      </c>
      <c r="B255" s="985">
        <v>2.92</v>
      </c>
      <c r="C255" s="986"/>
      <c r="D255" s="994">
        <f t="shared" ref="D255:D258" ca="1" si="65">B255*$F$2</f>
        <v>8.0700397911264848E-2</v>
      </c>
      <c r="E255" s="988"/>
      <c r="F255" s="985">
        <f t="shared" ref="F255:F258" ca="1" si="66">+B255+D255</f>
        <v>3.000700397911265</v>
      </c>
      <c r="G255" s="986"/>
      <c r="I255" s="986"/>
      <c r="J255" s="986"/>
      <c r="K255" s="986"/>
      <c r="L255" s="986"/>
      <c r="M255" s="986"/>
      <c r="N255" s="986"/>
      <c r="O255" s="986"/>
      <c r="P255" s="986"/>
    </row>
    <row r="256" spans="1:16" s="985" customFormat="1" ht="12.75">
      <c r="A256" s="986" t="s">
        <v>2662</v>
      </c>
      <c r="B256" s="985">
        <v>2.92</v>
      </c>
      <c r="C256" s="986"/>
      <c r="D256" s="994">
        <f t="shared" ca="1" si="65"/>
        <v>8.0700397911264848E-2</v>
      </c>
      <c r="E256" s="988"/>
      <c r="F256" s="985">
        <f t="shared" ca="1" si="66"/>
        <v>3.000700397911265</v>
      </c>
      <c r="G256" s="986"/>
      <c r="I256" s="986"/>
      <c r="J256" s="986"/>
      <c r="K256" s="986"/>
      <c r="L256" s="986"/>
      <c r="M256" s="986"/>
      <c r="N256" s="986"/>
      <c r="O256" s="986"/>
      <c r="P256" s="986"/>
    </row>
    <row r="257" spans="1:16" s="985" customFormat="1" ht="12.75">
      <c r="A257" s="986" t="s">
        <v>2663</v>
      </c>
      <c r="B257" s="985">
        <v>2.92</v>
      </c>
      <c r="C257" s="986"/>
      <c r="D257" s="994">
        <f t="shared" ca="1" si="65"/>
        <v>8.0700397911264848E-2</v>
      </c>
      <c r="E257" s="988"/>
      <c r="F257" s="985">
        <f t="shared" ca="1" si="66"/>
        <v>3.000700397911265</v>
      </c>
      <c r="G257" s="986"/>
      <c r="I257" s="986"/>
      <c r="J257" s="986"/>
      <c r="K257" s="986"/>
      <c r="L257" s="986"/>
      <c r="M257" s="986"/>
      <c r="N257" s="986"/>
      <c r="O257" s="986"/>
      <c r="P257" s="986"/>
    </row>
    <row r="258" spans="1:16" s="985" customFormat="1" ht="12.75">
      <c r="A258" s="986" t="s">
        <v>2664</v>
      </c>
      <c r="B258" s="985">
        <v>13.89</v>
      </c>
      <c r="C258" s="986"/>
      <c r="D258" s="994">
        <f t="shared" ca="1" si="65"/>
        <v>0.38387963252995505</v>
      </c>
      <c r="E258" s="988"/>
      <c r="F258" s="985">
        <f t="shared" ca="1" si="66"/>
        <v>14.273879632529956</v>
      </c>
      <c r="G258" s="986"/>
      <c r="I258" s="986"/>
      <c r="J258" s="986"/>
      <c r="K258" s="986"/>
      <c r="L258" s="986"/>
      <c r="M258" s="986"/>
      <c r="N258" s="986"/>
      <c r="O258" s="986"/>
      <c r="P258" s="986"/>
    </row>
    <row r="259" spans="1:16" s="985" customFormat="1" ht="12.75">
      <c r="A259" s="986"/>
      <c r="C259" s="986"/>
      <c r="D259" s="994"/>
      <c r="E259" s="988"/>
      <c r="G259" s="986"/>
      <c r="I259" s="986"/>
      <c r="J259" s="986"/>
      <c r="K259" s="986"/>
      <c r="L259" s="986"/>
      <c r="M259" s="986"/>
      <c r="N259" s="986"/>
      <c r="O259" s="986"/>
      <c r="P259" s="986"/>
    </row>
    <row r="260" spans="1:16" s="985" customFormat="1" ht="12.75">
      <c r="A260" s="987" t="s">
        <v>2669</v>
      </c>
      <c r="C260" s="986"/>
      <c r="D260" s="994"/>
      <c r="E260" s="988"/>
      <c r="G260" s="986"/>
      <c r="I260" s="986"/>
      <c r="J260" s="986"/>
      <c r="K260" s="986"/>
      <c r="L260" s="986"/>
      <c r="M260" s="986"/>
      <c r="N260" s="986"/>
      <c r="O260" s="986"/>
      <c r="P260" s="986"/>
    </row>
    <row r="261" spans="1:16" s="985" customFormat="1" ht="12.75">
      <c r="A261" s="986" t="s">
        <v>2661</v>
      </c>
      <c r="B261" s="985">
        <v>4.74</v>
      </c>
      <c r="C261" s="986"/>
      <c r="D261" s="994">
        <f t="shared" ref="D261:D263" ca="1" si="67">B261*$F$2</f>
        <v>0.13099996099294364</v>
      </c>
      <c r="E261" s="988"/>
      <c r="F261" s="985">
        <f t="shared" ref="F261:F263" ca="1" si="68">+B261+D261</f>
        <v>4.8709999609929442</v>
      </c>
      <c r="G261" s="986"/>
      <c r="I261" s="986"/>
      <c r="J261" s="986"/>
      <c r="K261" s="986"/>
      <c r="L261" s="986"/>
      <c r="M261" s="986"/>
      <c r="N261" s="986"/>
      <c r="O261" s="986"/>
      <c r="P261" s="986"/>
    </row>
    <row r="262" spans="1:16" s="985" customFormat="1" ht="12.75">
      <c r="A262" s="986" t="s">
        <v>2662</v>
      </c>
      <c r="B262" s="985">
        <v>4.74</v>
      </c>
      <c r="C262" s="986"/>
      <c r="D262" s="994">
        <f t="shared" ca="1" si="67"/>
        <v>0.13099996099294364</v>
      </c>
      <c r="E262" s="988"/>
      <c r="F262" s="985">
        <f t="shared" ca="1" si="68"/>
        <v>4.8709999609929442</v>
      </c>
      <c r="G262" s="986"/>
      <c r="I262" s="986"/>
      <c r="J262" s="986"/>
      <c r="K262" s="986"/>
      <c r="L262" s="986"/>
      <c r="M262" s="986"/>
      <c r="N262" s="986"/>
      <c r="O262" s="986"/>
      <c r="P262" s="986"/>
    </row>
    <row r="263" spans="1:16" s="985" customFormat="1" ht="12.75">
      <c r="A263" s="986" t="s">
        <v>2663</v>
      </c>
      <c r="B263" s="985">
        <v>4.74</v>
      </c>
      <c r="C263" s="986"/>
      <c r="D263" s="994">
        <f t="shared" ca="1" si="67"/>
        <v>0.13099996099294364</v>
      </c>
      <c r="E263" s="988"/>
      <c r="F263" s="985">
        <f t="shared" ca="1" si="68"/>
        <v>4.8709999609929442</v>
      </c>
      <c r="G263" s="986"/>
      <c r="I263" s="986"/>
      <c r="J263" s="986"/>
      <c r="K263" s="986"/>
      <c r="L263" s="986"/>
      <c r="M263" s="986"/>
      <c r="N263" s="986"/>
      <c r="O263" s="986"/>
      <c r="P263" s="986"/>
    </row>
    <row r="264" spans="1:16" s="985" customFormat="1" ht="12.75">
      <c r="A264" s="986"/>
      <c r="C264" s="986"/>
      <c r="D264" s="994"/>
      <c r="E264" s="988"/>
      <c r="G264" s="986"/>
      <c r="I264" s="986"/>
      <c r="J264" s="986"/>
      <c r="K264" s="986"/>
      <c r="L264" s="986"/>
      <c r="M264" s="986"/>
      <c r="N264" s="986"/>
      <c r="O264" s="986"/>
      <c r="P264" s="986"/>
    </row>
    <row r="265" spans="1:16" s="985" customFormat="1" ht="12.75">
      <c r="A265" s="987" t="s">
        <v>2670</v>
      </c>
      <c r="C265" s="986"/>
      <c r="D265" s="994"/>
      <c r="E265" s="988"/>
      <c r="G265" s="986"/>
      <c r="I265" s="986"/>
      <c r="J265" s="986"/>
      <c r="K265" s="986"/>
      <c r="L265" s="986"/>
      <c r="M265" s="986"/>
      <c r="N265" s="986"/>
      <c r="O265" s="986"/>
      <c r="P265" s="986"/>
    </row>
    <row r="266" spans="1:16" s="985" customFormat="1" ht="12.75">
      <c r="A266" s="986" t="s">
        <v>2661</v>
      </c>
      <c r="B266" s="985">
        <v>6.34</v>
      </c>
      <c r="C266" s="986"/>
      <c r="D266" s="994">
        <f t="shared" ref="D266:D268" ca="1" si="69">B266*$F$2</f>
        <v>0.17521935710870518</v>
      </c>
      <c r="E266" s="988"/>
      <c r="F266" s="985">
        <f t="shared" ref="F266:F268" ca="1" si="70">+B266+D266</f>
        <v>6.5152193571087054</v>
      </c>
      <c r="G266" s="986"/>
      <c r="I266" s="986"/>
      <c r="J266" s="986"/>
      <c r="K266" s="986"/>
      <c r="L266" s="986"/>
      <c r="M266" s="986"/>
      <c r="N266" s="986"/>
      <c r="O266" s="986"/>
      <c r="P266" s="986"/>
    </row>
    <row r="267" spans="1:16" s="985" customFormat="1" ht="12.75">
      <c r="A267" s="986" t="s">
        <v>2662</v>
      </c>
      <c r="B267" s="985">
        <v>6.34</v>
      </c>
      <c r="C267" s="986"/>
      <c r="D267" s="994">
        <f t="shared" ca="1" si="69"/>
        <v>0.17521935710870518</v>
      </c>
      <c r="E267" s="988"/>
      <c r="F267" s="985">
        <f t="shared" ca="1" si="70"/>
        <v>6.5152193571087054</v>
      </c>
      <c r="G267" s="986"/>
      <c r="I267" s="986"/>
      <c r="J267" s="986"/>
      <c r="K267" s="986"/>
      <c r="L267" s="986"/>
      <c r="M267" s="986"/>
      <c r="N267" s="986"/>
      <c r="O267" s="986"/>
      <c r="P267" s="986"/>
    </row>
    <row r="268" spans="1:16" s="985" customFormat="1" ht="12.75">
      <c r="A268" s="986" t="s">
        <v>2663</v>
      </c>
      <c r="B268" s="985">
        <v>6.34</v>
      </c>
      <c r="C268" s="986"/>
      <c r="D268" s="994">
        <f t="shared" ca="1" si="69"/>
        <v>0.17521935710870518</v>
      </c>
      <c r="E268" s="988"/>
      <c r="F268" s="985">
        <f t="shared" ca="1" si="70"/>
        <v>6.5152193571087054</v>
      </c>
      <c r="G268" s="986"/>
      <c r="I268" s="986"/>
      <c r="J268" s="986"/>
      <c r="K268" s="986"/>
      <c r="L268" s="986"/>
      <c r="M268" s="986"/>
      <c r="N268" s="986"/>
      <c r="O268" s="986"/>
      <c r="P268" s="986"/>
    </row>
    <row r="269" spans="1:16" s="985" customFormat="1" ht="12.75">
      <c r="A269" s="1010"/>
      <c r="C269" s="986"/>
      <c r="D269" s="994"/>
      <c r="E269" s="988"/>
      <c r="G269" s="986"/>
      <c r="I269" s="986"/>
      <c r="J269" s="986"/>
      <c r="K269" s="986"/>
      <c r="L269" s="986"/>
      <c r="M269" s="986"/>
      <c r="N269" s="986"/>
      <c r="O269" s="986"/>
      <c r="P269" s="986"/>
    </row>
    <row r="270" spans="1:16" s="985" customFormat="1" ht="12.75">
      <c r="A270" s="1006" t="s">
        <v>2671</v>
      </c>
      <c r="B270" s="1009"/>
      <c r="C270" s="1026"/>
      <c r="D270" s="1019"/>
      <c r="E270" s="1027"/>
      <c r="F270" s="1009"/>
      <c r="G270" s="986"/>
      <c r="I270" s="986"/>
      <c r="J270" s="986"/>
      <c r="K270" s="986"/>
      <c r="L270" s="986"/>
      <c r="M270" s="986"/>
      <c r="N270" s="986"/>
      <c r="O270" s="986"/>
      <c r="P270" s="986"/>
    </row>
    <row r="271" spans="1:16" s="985" customFormat="1" ht="12.75">
      <c r="A271" s="1013" t="s">
        <v>2659</v>
      </c>
      <c r="C271" s="986"/>
      <c r="D271" s="994"/>
      <c r="E271" s="988"/>
      <c r="G271" s="986"/>
      <c r="I271" s="986"/>
      <c r="J271" s="986"/>
      <c r="K271" s="986"/>
      <c r="L271" s="986"/>
      <c r="M271" s="986"/>
      <c r="N271" s="986"/>
      <c r="O271" s="986"/>
      <c r="P271" s="986"/>
    </row>
    <row r="272" spans="1:16" s="985" customFormat="1" ht="12.75">
      <c r="A272" s="1013" t="s">
        <v>2672</v>
      </c>
      <c r="C272" s="986"/>
      <c r="D272" s="994"/>
      <c r="E272" s="988"/>
      <c r="G272" s="986"/>
      <c r="I272" s="986"/>
      <c r="J272" s="986"/>
      <c r="K272" s="986"/>
      <c r="L272" s="986"/>
      <c r="M272" s="986"/>
      <c r="N272" s="986"/>
      <c r="O272" s="986"/>
      <c r="P272" s="986"/>
    </row>
    <row r="273" spans="1:16" s="985" customFormat="1" ht="12.75">
      <c r="A273" s="1010" t="s">
        <v>2673</v>
      </c>
      <c r="B273" s="985">
        <v>83.19</v>
      </c>
      <c r="C273" s="986"/>
      <c r="D273" s="994">
        <f t="shared" ref="D273:D275" ca="1" si="71">B273*$F$2</f>
        <v>2.2991322267938776</v>
      </c>
      <c r="E273" s="988"/>
      <c r="F273" s="985">
        <f t="shared" ref="F273:F275" ca="1" si="72">+B273+D273</f>
        <v>85.48913222679387</v>
      </c>
      <c r="G273" s="986"/>
      <c r="I273" s="986"/>
      <c r="J273" s="986"/>
      <c r="K273" s="986"/>
      <c r="L273" s="986"/>
      <c r="M273" s="986"/>
      <c r="N273" s="986"/>
      <c r="O273" s="986"/>
      <c r="P273" s="986"/>
    </row>
    <row r="274" spans="1:16" s="985" customFormat="1" ht="12.75">
      <c r="A274" s="1010" t="s">
        <v>2674</v>
      </c>
      <c r="B274" s="985">
        <v>111.53</v>
      </c>
      <c r="C274" s="986"/>
      <c r="D274" s="994">
        <f t="shared" ca="1" si="71"/>
        <v>3.0823682804943044</v>
      </c>
      <c r="E274" s="988"/>
      <c r="F274" s="985">
        <f t="shared" ca="1" si="72"/>
        <v>114.61236828049431</v>
      </c>
      <c r="G274" s="986"/>
      <c r="I274" s="986"/>
      <c r="J274" s="986"/>
      <c r="K274" s="986"/>
      <c r="L274" s="986"/>
      <c r="M274" s="986"/>
      <c r="N274" s="986"/>
      <c r="O274" s="986"/>
      <c r="P274" s="986"/>
    </row>
    <row r="275" spans="1:16" s="985" customFormat="1" ht="12.75">
      <c r="A275" s="1010" t="s">
        <v>2675</v>
      </c>
      <c r="B275" s="985">
        <v>138.38999999999999</v>
      </c>
      <c r="C275" s="986"/>
      <c r="D275" s="994">
        <f t="shared" ca="1" si="71"/>
        <v>3.824701392787651</v>
      </c>
      <c r="E275" s="988"/>
      <c r="F275" s="985">
        <f t="shared" ca="1" si="72"/>
        <v>142.21470139278765</v>
      </c>
      <c r="G275" s="986"/>
      <c r="I275" s="986"/>
      <c r="J275" s="986"/>
      <c r="K275" s="986"/>
      <c r="L275" s="986"/>
      <c r="M275" s="986"/>
      <c r="N275" s="986"/>
      <c r="O275" s="986"/>
      <c r="P275" s="986"/>
    </row>
    <row r="276" spans="1:16" s="985" customFormat="1" ht="12.75">
      <c r="A276" s="1010"/>
      <c r="C276" s="986"/>
      <c r="D276" s="994"/>
      <c r="E276" s="988"/>
      <c r="G276" s="986"/>
      <c r="I276" s="986"/>
      <c r="J276" s="986"/>
      <c r="K276" s="986"/>
      <c r="L276" s="986"/>
      <c r="M276" s="986"/>
      <c r="N276" s="986"/>
      <c r="O276" s="986"/>
      <c r="P276" s="986"/>
    </row>
    <row r="277" spans="1:16" s="985" customFormat="1" ht="12.75">
      <c r="A277" s="1013" t="s">
        <v>2665</v>
      </c>
      <c r="C277" s="986"/>
      <c r="D277" s="994"/>
      <c r="E277" s="988"/>
      <c r="G277" s="986"/>
      <c r="I277" s="986"/>
      <c r="J277" s="986"/>
      <c r="K277" s="986"/>
      <c r="L277" s="986"/>
      <c r="M277" s="986"/>
      <c r="N277" s="986"/>
      <c r="O277" s="986"/>
      <c r="P277" s="986"/>
    </row>
    <row r="278" spans="1:16" s="985" customFormat="1" ht="12.75">
      <c r="A278" s="1010" t="s">
        <v>2673</v>
      </c>
      <c r="B278" s="985">
        <v>83.19</v>
      </c>
      <c r="C278" s="986"/>
      <c r="D278" s="994">
        <f t="shared" ref="D278:D283" ca="1" si="73">B278*$F$2</f>
        <v>2.2991322267938776</v>
      </c>
      <c r="E278" s="988"/>
      <c r="F278" s="985">
        <f t="shared" ref="F278:F280" ca="1" si="74">+B278+D278</f>
        <v>85.48913222679387</v>
      </c>
      <c r="G278" s="986"/>
      <c r="I278" s="986"/>
      <c r="J278" s="986"/>
      <c r="K278" s="986"/>
      <c r="L278" s="986"/>
      <c r="M278" s="986"/>
      <c r="N278" s="986"/>
      <c r="O278" s="986"/>
      <c r="P278" s="986"/>
    </row>
    <row r="279" spans="1:16" s="985" customFormat="1" ht="12.75">
      <c r="A279" s="1010" t="s">
        <v>2674</v>
      </c>
      <c r="B279" s="985">
        <v>111.53</v>
      </c>
      <c r="C279" s="986"/>
      <c r="D279" s="994">
        <f t="shared" ca="1" si="73"/>
        <v>3.0823682804943044</v>
      </c>
      <c r="E279" s="988"/>
      <c r="F279" s="985">
        <f t="shared" ca="1" si="74"/>
        <v>114.61236828049431</v>
      </c>
      <c r="G279" s="986"/>
      <c r="I279" s="986"/>
      <c r="J279" s="986"/>
      <c r="K279" s="986"/>
      <c r="L279" s="986"/>
      <c r="M279" s="986"/>
      <c r="N279" s="986"/>
      <c r="O279" s="986"/>
      <c r="P279" s="986"/>
    </row>
    <row r="280" spans="1:16" s="985" customFormat="1" ht="12.75">
      <c r="A280" s="1010" t="s">
        <v>2675</v>
      </c>
      <c r="B280" s="985">
        <v>138.38999999999999</v>
      </c>
      <c r="C280" s="986"/>
      <c r="D280" s="994">
        <f t="shared" ca="1" si="73"/>
        <v>3.824701392787651</v>
      </c>
      <c r="E280" s="988"/>
      <c r="F280" s="985">
        <f t="shared" ca="1" si="74"/>
        <v>142.21470139278765</v>
      </c>
      <c r="G280" s="986"/>
      <c r="I280" s="986"/>
      <c r="J280" s="986"/>
      <c r="K280" s="986"/>
      <c r="L280" s="986"/>
      <c r="M280" s="986"/>
      <c r="N280" s="986"/>
      <c r="O280" s="986"/>
      <c r="P280" s="986"/>
    </row>
    <row r="281" spans="1:16" s="985" customFormat="1" ht="12.75">
      <c r="A281" s="1010"/>
      <c r="C281" s="986"/>
      <c r="D281" s="994"/>
      <c r="E281" s="988"/>
      <c r="G281" s="986"/>
      <c r="I281" s="986"/>
      <c r="J281" s="986"/>
      <c r="K281" s="986"/>
      <c r="L281" s="986"/>
      <c r="M281" s="986"/>
      <c r="N281" s="986"/>
      <c r="O281" s="986"/>
      <c r="P281" s="986"/>
    </row>
    <row r="282" spans="1:16" s="985" customFormat="1" ht="12.75">
      <c r="A282" s="1010" t="s">
        <v>2657</v>
      </c>
      <c r="B282" s="985">
        <f t="shared" ref="B282:B283" si="75">12/4.33</f>
        <v>2.7713625866050808</v>
      </c>
      <c r="C282" s="986"/>
      <c r="D282" s="994">
        <f t="shared" ca="1" si="73"/>
        <v>7.6592487498432268E-2</v>
      </c>
      <c r="E282" s="988"/>
      <c r="F282" s="985">
        <f t="shared" ref="F282:F283" ca="1" si="76">+B282+D282</f>
        <v>2.8479550741035129</v>
      </c>
      <c r="G282" s="986"/>
      <c r="I282" s="986"/>
      <c r="J282" s="986"/>
      <c r="K282" s="986"/>
      <c r="L282" s="986"/>
      <c r="M282" s="986"/>
      <c r="N282" s="986"/>
      <c r="O282" s="986"/>
      <c r="P282" s="986"/>
    </row>
    <row r="283" spans="1:16" s="985" customFormat="1" ht="12.75">
      <c r="A283" s="1010" t="s">
        <v>2676</v>
      </c>
      <c r="B283" s="985">
        <f t="shared" si="75"/>
        <v>2.7713625866050808</v>
      </c>
      <c r="C283" s="986"/>
      <c r="D283" s="994">
        <f t="shared" ca="1" si="73"/>
        <v>7.6592487498432268E-2</v>
      </c>
      <c r="E283" s="988"/>
      <c r="F283" s="985">
        <f t="shared" ca="1" si="76"/>
        <v>2.8479550741035129</v>
      </c>
      <c r="G283" s="986"/>
      <c r="I283" s="986"/>
      <c r="J283" s="986"/>
      <c r="K283" s="986"/>
      <c r="L283" s="986"/>
      <c r="M283" s="986"/>
      <c r="N283" s="986"/>
      <c r="O283" s="986"/>
      <c r="P283" s="986"/>
    </row>
    <row r="284" spans="1:16" s="985" customFormat="1" ht="12.75">
      <c r="A284" s="1010"/>
      <c r="C284" s="986"/>
      <c r="D284" s="994"/>
      <c r="E284" s="988"/>
      <c r="G284" s="986"/>
      <c r="I284" s="986"/>
      <c r="J284" s="986"/>
      <c r="K284" s="986"/>
      <c r="L284" s="986"/>
      <c r="M284" s="986"/>
      <c r="N284" s="986"/>
      <c r="O284" s="986"/>
      <c r="P284" s="986"/>
    </row>
    <row r="285" spans="1:16" s="985" customFormat="1" ht="12.75">
      <c r="A285" s="1004" t="s">
        <v>2677</v>
      </c>
      <c r="B285" s="1009"/>
      <c r="C285" s="1026"/>
      <c r="D285" s="1019"/>
      <c r="E285" s="1035"/>
      <c r="F285" s="1009"/>
      <c r="G285" s="986"/>
      <c r="I285" s="986"/>
      <c r="J285" s="986"/>
      <c r="K285" s="986"/>
      <c r="L285" s="986"/>
      <c r="M285" s="986"/>
      <c r="N285" s="986"/>
      <c r="O285" s="986"/>
      <c r="P285" s="986"/>
    </row>
    <row r="286" spans="1:16" s="1022" customFormat="1" ht="12.75">
      <c r="A286" s="987" t="s">
        <v>3126</v>
      </c>
      <c r="C286" s="987"/>
      <c r="D286" s="1015"/>
      <c r="E286" s="1012"/>
      <c r="G286" s="987"/>
      <c r="I286" s="987"/>
      <c r="J286" s="987"/>
      <c r="K286" s="987"/>
      <c r="L286" s="987"/>
      <c r="M286" s="987"/>
      <c r="N286" s="987"/>
      <c r="O286" s="987"/>
      <c r="P286" s="987"/>
    </row>
    <row r="287" spans="1:16" s="985" customFormat="1" ht="12.75">
      <c r="A287" s="986" t="s">
        <v>2690</v>
      </c>
      <c r="B287" s="985">
        <v>65</v>
      </c>
      <c r="C287" s="986"/>
      <c r="D287" s="994">
        <f ca="1">B287*$F$2</f>
        <v>1.7964129672028135</v>
      </c>
      <c r="E287" s="1036"/>
      <c r="F287" s="985">
        <f ca="1">+B287+D287</f>
        <v>66.796412967202812</v>
      </c>
      <c r="G287" s="986"/>
      <c r="I287" s="986"/>
      <c r="J287" s="986"/>
      <c r="K287" s="986"/>
      <c r="L287" s="986"/>
      <c r="M287" s="986"/>
      <c r="N287" s="986"/>
      <c r="O287" s="986"/>
      <c r="P287" s="986"/>
    </row>
    <row r="288" spans="1:16" s="1022" customFormat="1" ht="12.75">
      <c r="A288" s="986" t="s">
        <v>2968</v>
      </c>
      <c r="B288" s="985"/>
      <c r="C288" s="986"/>
      <c r="D288" s="994"/>
      <c r="E288" s="1036"/>
      <c r="F288" s="985">
        <f ca="1">F289</f>
        <v>77.072784192926321</v>
      </c>
      <c r="G288" s="986" t="s">
        <v>2967</v>
      </c>
      <c r="I288" s="987"/>
      <c r="J288" s="987"/>
      <c r="K288" s="987"/>
      <c r="L288" s="987"/>
      <c r="M288" s="987"/>
      <c r="N288" s="987"/>
      <c r="O288" s="987"/>
      <c r="P288" s="987"/>
    </row>
    <row r="289" spans="1:16" s="985" customFormat="1" ht="12.75">
      <c r="A289" s="986" t="s">
        <v>2678</v>
      </c>
      <c r="B289" s="985">
        <v>75</v>
      </c>
      <c r="C289" s="986"/>
      <c r="D289" s="994">
        <f t="shared" ref="D289:D292" ca="1" si="77">B289*$F$2</f>
        <v>2.0727841929263233</v>
      </c>
      <c r="E289" s="1036"/>
      <c r="F289" s="985">
        <f t="shared" ref="F289:F292" ca="1" si="78">+B289+D289</f>
        <v>77.072784192926321</v>
      </c>
      <c r="G289" s="986"/>
      <c r="I289" s="986"/>
      <c r="J289" s="986"/>
      <c r="K289" s="986"/>
      <c r="L289" s="986"/>
      <c r="M289" s="986"/>
      <c r="N289" s="986"/>
      <c r="O289" s="986"/>
      <c r="P289" s="986"/>
    </row>
    <row r="290" spans="1:16" s="985" customFormat="1" ht="12.75">
      <c r="A290" s="986" t="s">
        <v>2680</v>
      </c>
      <c r="B290" s="985">
        <v>85</v>
      </c>
      <c r="C290" s="986"/>
      <c r="D290" s="994">
        <f t="shared" ca="1" si="77"/>
        <v>2.3491554186498331</v>
      </c>
      <c r="E290" s="1036"/>
      <c r="F290" s="985">
        <f t="shared" ca="1" si="78"/>
        <v>87.349155418649829</v>
      </c>
      <c r="G290" s="986"/>
      <c r="I290" s="986"/>
      <c r="J290" s="986"/>
      <c r="K290" s="986"/>
      <c r="L290" s="986"/>
      <c r="M290" s="986"/>
      <c r="N290" s="986"/>
      <c r="O290" s="986"/>
      <c r="P290" s="986"/>
    </row>
    <row r="291" spans="1:16" s="985" customFormat="1" ht="12.75">
      <c r="A291" s="986" t="s">
        <v>2681</v>
      </c>
      <c r="B291" s="985">
        <v>95</v>
      </c>
      <c r="C291" s="986"/>
      <c r="D291" s="994">
        <f t="shared" ca="1" si="77"/>
        <v>2.6255266443733425</v>
      </c>
      <c r="E291" s="1036"/>
      <c r="F291" s="985">
        <f t="shared" ca="1" si="78"/>
        <v>97.625526644373338</v>
      </c>
      <c r="G291" s="986"/>
      <c r="I291" s="986"/>
      <c r="J291" s="986"/>
      <c r="K291" s="986"/>
      <c r="L291" s="986"/>
      <c r="M291" s="986"/>
      <c r="N291" s="986"/>
      <c r="O291" s="986"/>
      <c r="P291" s="986"/>
    </row>
    <row r="292" spans="1:16" s="985" customFormat="1" ht="12.75">
      <c r="A292" s="1246" t="s">
        <v>3118</v>
      </c>
      <c r="B292" s="1250">
        <v>169</v>
      </c>
      <c r="C292" s="1246"/>
      <c r="D292" s="1249">
        <f t="shared" ca="1" si="77"/>
        <v>4.6706737147273145</v>
      </c>
      <c r="E292" s="1252"/>
      <c r="F292" s="1250">
        <f t="shared" ca="1" si="78"/>
        <v>173.67067371472731</v>
      </c>
      <c r="G292" s="1255" t="s">
        <v>3120</v>
      </c>
      <c r="I292" s="986"/>
      <c r="J292" s="986"/>
      <c r="K292" s="986"/>
      <c r="L292" s="986"/>
      <c r="M292" s="986"/>
      <c r="N292" s="986"/>
      <c r="O292" s="986"/>
      <c r="P292" s="986"/>
    </row>
    <row r="293" spans="1:16" s="985" customFormat="1" ht="12.75">
      <c r="A293" s="987"/>
      <c r="C293" s="986"/>
      <c r="D293" s="994"/>
      <c r="E293" s="1036"/>
      <c r="G293" s="986"/>
      <c r="I293" s="986"/>
      <c r="J293" s="986"/>
      <c r="K293" s="986"/>
      <c r="L293" s="986"/>
      <c r="M293" s="986"/>
      <c r="N293" s="986"/>
      <c r="O293" s="986"/>
      <c r="P293" s="986"/>
    </row>
    <row r="294" spans="1:16" s="1022" customFormat="1" ht="12.75">
      <c r="A294" s="987" t="s">
        <v>2682</v>
      </c>
      <c r="C294" s="987"/>
      <c r="D294" s="1015"/>
      <c r="E294" s="1012"/>
      <c r="G294" s="987"/>
      <c r="I294" s="987"/>
      <c r="J294" s="987"/>
      <c r="K294" s="987"/>
      <c r="L294" s="987"/>
      <c r="M294" s="987"/>
      <c r="N294" s="987"/>
      <c r="O294" s="987"/>
      <c r="P294" s="987"/>
    </row>
    <row r="295" spans="1:16" s="1022" customFormat="1" ht="12.75">
      <c r="A295" s="987" t="s">
        <v>3124</v>
      </c>
      <c r="C295" s="987"/>
      <c r="D295" s="1015"/>
      <c r="E295" s="1012"/>
      <c r="G295" s="987"/>
      <c r="I295" s="987"/>
      <c r="J295" s="987"/>
      <c r="K295" s="987"/>
      <c r="L295" s="987"/>
      <c r="M295" s="987"/>
      <c r="N295" s="987"/>
      <c r="O295" s="987"/>
      <c r="P295" s="987"/>
    </row>
    <row r="296" spans="1:16" s="985" customFormat="1" ht="12.75">
      <c r="A296" s="986" t="s">
        <v>2690</v>
      </c>
      <c r="B296" s="985">
        <v>104</v>
      </c>
      <c r="C296" s="986"/>
      <c r="D296" s="994">
        <f ca="1">B296*$F$2</f>
        <v>2.8742607475245014</v>
      </c>
      <c r="E296" s="1036"/>
      <c r="F296" s="985">
        <f ca="1">+B296+D296</f>
        <v>106.8742607475245</v>
      </c>
      <c r="G296" s="986"/>
      <c r="I296" s="986"/>
      <c r="J296" s="986"/>
      <c r="K296" s="986"/>
      <c r="L296" s="986"/>
      <c r="M296" s="986"/>
      <c r="N296" s="986"/>
      <c r="O296" s="986"/>
      <c r="P296" s="986"/>
    </row>
    <row r="297" spans="1:16" s="1022" customFormat="1" ht="12.75">
      <c r="A297" s="986" t="s">
        <v>2968</v>
      </c>
      <c r="B297" s="985"/>
      <c r="C297" s="986"/>
      <c r="D297" s="994"/>
      <c r="E297" s="1036"/>
      <c r="F297" s="1254">
        <f ca="1">F298</f>
        <v>112.01244636038626</v>
      </c>
      <c r="G297" s="986" t="s">
        <v>2967</v>
      </c>
      <c r="I297" s="987"/>
      <c r="J297" s="987"/>
      <c r="K297" s="987"/>
      <c r="L297" s="987"/>
      <c r="M297" s="987"/>
      <c r="N297" s="987"/>
      <c r="O297" s="987"/>
      <c r="P297" s="987"/>
    </row>
    <row r="298" spans="1:16" s="985" customFormat="1" ht="12.75">
      <c r="A298" s="986" t="s">
        <v>2678</v>
      </c>
      <c r="B298" s="985">
        <v>109</v>
      </c>
      <c r="C298" s="986"/>
      <c r="D298" s="994">
        <f t="shared" ref="D298:D301" ca="1" si="79">B298*$F$2</f>
        <v>3.0124463603862566</v>
      </c>
      <c r="E298" s="1036"/>
      <c r="F298" s="985">
        <f t="shared" ref="F298:F301" ca="1" si="80">+B298+D298</f>
        <v>112.01244636038626</v>
      </c>
      <c r="G298" s="986"/>
      <c r="I298" s="986"/>
      <c r="J298" s="986"/>
      <c r="K298" s="986"/>
      <c r="L298" s="986"/>
      <c r="M298" s="986"/>
      <c r="N298" s="986"/>
      <c r="O298" s="986"/>
      <c r="P298" s="986"/>
    </row>
    <row r="299" spans="1:16" s="985" customFormat="1" ht="12.75">
      <c r="A299" s="986" t="s">
        <v>2680</v>
      </c>
      <c r="B299" s="985">
        <v>117</v>
      </c>
      <c r="C299" s="986"/>
      <c r="D299" s="994">
        <f t="shared" ca="1" si="79"/>
        <v>3.2335433409650642</v>
      </c>
      <c r="E299" s="1036"/>
      <c r="F299" s="985">
        <f t="shared" ca="1" si="80"/>
        <v>120.23354334096507</v>
      </c>
      <c r="G299" s="986"/>
      <c r="I299" s="986"/>
      <c r="J299" s="986"/>
      <c r="K299" s="986"/>
      <c r="L299" s="986"/>
      <c r="M299" s="986"/>
      <c r="N299" s="986"/>
      <c r="O299" s="986"/>
      <c r="P299" s="986"/>
    </row>
    <row r="300" spans="1:16" s="985" customFormat="1" ht="12.75">
      <c r="A300" s="986" t="s">
        <v>2681</v>
      </c>
      <c r="B300" s="985">
        <v>128</v>
      </c>
      <c r="C300" s="986"/>
      <c r="D300" s="994">
        <f t="shared" ca="1" si="79"/>
        <v>3.5375516892609249</v>
      </c>
      <c r="E300" s="1036"/>
      <c r="F300" s="985">
        <f t="shared" ca="1" si="80"/>
        <v>131.53755168926094</v>
      </c>
      <c r="G300" s="986"/>
      <c r="I300" s="986"/>
      <c r="J300" s="986"/>
      <c r="K300" s="986"/>
      <c r="L300" s="986"/>
      <c r="M300" s="986"/>
      <c r="N300" s="986"/>
      <c r="O300" s="986"/>
      <c r="P300" s="986"/>
    </row>
    <row r="301" spans="1:16" s="985" customFormat="1" ht="12.75">
      <c r="A301" s="1246" t="s">
        <v>3118</v>
      </c>
      <c r="B301" s="1250">
        <v>147</v>
      </c>
      <c r="C301" s="1246"/>
      <c r="D301" s="1249">
        <f t="shared" ca="1" si="79"/>
        <v>4.0626570181355932</v>
      </c>
      <c r="E301" s="1252"/>
      <c r="F301" s="1250">
        <f t="shared" ca="1" si="80"/>
        <v>151.06265701813558</v>
      </c>
      <c r="G301" s="1255" t="s">
        <v>3120</v>
      </c>
      <c r="I301" s="986"/>
      <c r="J301" s="986"/>
      <c r="K301" s="986"/>
      <c r="L301" s="986"/>
      <c r="M301" s="986"/>
      <c r="N301" s="986"/>
      <c r="O301" s="986"/>
      <c r="P301" s="986"/>
    </row>
    <row r="302" spans="1:16" s="985" customFormat="1" ht="12.75">
      <c r="A302" s="986"/>
      <c r="C302" s="986"/>
      <c r="D302" s="994"/>
      <c r="E302" s="1036"/>
      <c r="G302" s="986"/>
      <c r="I302" s="986"/>
      <c r="J302" s="986"/>
      <c r="K302" s="986"/>
      <c r="L302" s="986"/>
      <c r="M302" s="986"/>
      <c r="N302" s="986"/>
      <c r="O302" s="986"/>
      <c r="P302" s="986"/>
    </row>
    <row r="303" spans="1:16" s="1022" customFormat="1" ht="12.75">
      <c r="A303" s="987" t="s">
        <v>2683</v>
      </c>
      <c r="C303" s="987"/>
      <c r="D303" s="1015"/>
      <c r="E303" s="1012"/>
      <c r="G303" s="987"/>
      <c r="I303" s="987"/>
      <c r="J303" s="987"/>
      <c r="K303" s="987"/>
      <c r="L303" s="987"/>
      <c r="M303" s="987"/>
      <c r="N303" s="987"/>
      <c r="O303" s="987"/>
      <c r="P303" s="987"/>
    </row>
    <row r="304" spans="1:16" s="1022" customFormat="1" ht="12.75">
      <c r="A304" s="986" t="s">
        <v>3125</v>
      </c>
      <c r="B304" s="985">
        <v>75</v>
      </c>
      <c r="C304" s="986"/>
      <c r="D304" s="994">
        <f t="shared" ref="D304" ca="1" si="81">B304*$F$2</f>
        <v>2.0727841929263233</v>
      </c>
      <c r="E304" s="1036"/>
      <c r="F304" s="985">
        <f ca="1">B304+D304</f>
        <v>77.072784192926321</v>
      </c>
      <c r="G304" s="986"/>
      <c r="I304" s="987"/>
      <c r="J304" s="987"/>
      <c r="K304" s="987"/>
      <c r="L304" s="987"/>
      <c r="M304" s="987"/>
      <c r="N304" s="987"/>
      <c r="O304" s="987"/>
      <c r="P304" s="987"/>
    </row>
    <row r="305" spans="1:16" s="985" customFormat="1" ht="12.75">
      <c r="A305" s="987"/>
      <c r="B305" s="988"/>
      <c r="C305" s="986"/>
      <c r="D305" s="994"/>
      <c r="E305" s="988"/>
      <c r="G305" s="986"/>
      <c r="I305" s="986"/>
      <c r="J305" s="986"/>
      <c r="K305" s="986"/>
      <c r="L305" s="986"/>
      <c r="M305" s="986"/>
      <c r="N305" s="986"/>
      <c r="O305" s="986"/>
      <c r="P305" s="986"/>
    </row>
    <row r="306" spans="1:16" s="1022" customFormat="1" ht="12.75">
      <c r="A306" s="987" t="s">
        <v>3127</v>
      </c>
      <c r="B306" s="1030"/>
      <c r="C306" s="987"/>
      <c r="D306" s="1015"/>
      <c r="E306" s="1030"/>
      <c r="G306" s="987"/>
      <c r="I306" s="987"/>
      <c r="J306" s="987"/>
      <c r="K306" s="987"/>
      <c r="L306" s="987"/>
      <c r="M306" s="987"/>
      <c r="N306" s="987"/>
      <c r="O306" s="987"/>
      <c r="P306" s="987"/>
    </row>
    <row r="307" spans="1:16" s="985" customFormat="1" ht="12.75">
      <c r="A307" s="986" t="s">
        <v>2690</v>
      </c>
      <c r="B307" s="985">
        <v>104</v>
      </c>
      <c r="C307" s="986"/>
      <c r="D307" s="994">
        <f ca="1">B307*$F$2</f>
        <v>2.8742607475245014</v>
      </c>
      <c r="E307" s="988"/>
      <c r="F307" s="985">
        <f ca="1">+B307+D307</f>
        <v>106.8742607475245</v>
      </c>
      <c r="G307" s="986"/>
      <c r="I307" s="986"/>
      <c r="J307" s="986"/>
      <c r="K307" s="986"/>
      <c r="L307" s="986"/>
      <c r="M307" s="986"/>
      <c r="N307" s="986"/>
      <c r="O307" s="986"/>
      <c r="P307" s="986"/>
    </row>
    <row r="308" spans="1:16" s="1022" customFormat="1" ht="12.75">
      <c r="A308" s="986" t="s">
        <v>2968</v>
      </c>
      <c r="B308" s="985"/>
      <c r="C308" s="986"/>
      <c r="D308" s="994"/>
      <c r="E308" s="1036"/>
      <c r="F308" s="1254">
        <f ca="1">F309</f>
        <v>112.01244636038626</v>
      </c>
      <c r="G308" s="986"/>
      <c r="I308" s="987"/>
      <c r="J308" s="987"/>
      <c r="K308" s="987"/>
      <c r="L308" s="987"/>
      <c r="M308" s="987"/>
      <c r="N308" s="987"/>
      <c r="O308" s="987"/>
      <c r="P308" s="987"/>
    </row>
    <row r="309" spans="1:16" s="985" customFormat="1" ht="12.75">
      <c r="A309" s="1255" t="s">
        <v>2678</v>
      </c>
      <c r="B309" s="985">
        <v>109</v>
      </c>
      <c r="C309" s="986"/>
      <c r="D309" s="994">
        <f t="shared" ref="D309:D312" ca="1" si="82">B309*$F$2</f>
        <v>3.0124463603862566</v>
      </c>
      <c r="E309" s="988"/>
      <c r="F309" s="985">
        <f t="shared" ref="F309:F312" ca="1" si="83">+B309+D309</f>
        <v>112.01244636038626</v>
      </c>
      <c r="G309" s="986"/>
      <c r="I309" s="986"/>
      <c r="J309" s="986"/>
      <c r="K309" s="986"/>
      <c r="L309" s="986"/>
      <c r="M309" s="986"/>
      <c r="N309" s="986"/>
      <c r="O309" s="986"/>
      <c r="P309" s="986"/>
    </row>
    <row r="310" spans="1:16" s="985" customFormat="1" ht="12.75">
      <c r="A310" s="1255" t="s">
        <v>2680</v>
      </c>
      <c r="B310" s="985">
        <v>117</v>
      </c>
      <c r="C310" s="986"/>
      <c r="D310" s="994">
        <f t="shared" ca="1" si="82"/>
        <v>3.2335433409650642</v>
      </c>
      <c r="E310" s="988"/>
      <c r="F310" s="985">
        <f t="shared" ca="1" si="83"/>
        <v>120.23354334096507</v>
      </c>
      <c r="G310" s="986"/>
      <c r="I310" s="986"/>
      <c r="J310" s="986"/>
      <c r="K310" s="986"/>
      <c r="L310" s="986"/>
      <c r="M310" s="986"/>
      <c r="N310" s="986"/>
      <c r="O310" s="986"/>
      <c r="P310" s="986"/>
    </row>
    <row r="311" spans="1:16" s="985" customFormat="1" ht="12.75">
      <c r="A311" s="1255" t="s">
        <v>2681</v>
      </c>
      <c r="B311" s="985">
        <v>128</v>
      </c>
      <c r="C311" s="986"/>
      <c r="D311" s="994">
        <f t="shared" ca="1" si="82"/>
        <v>3.5375516892609249</v>
      </c>
      <c r="E311" s="988"/>
      <c r="F311" s="985">
        <f t="shared" ca="1" si="83"/>
        <v>131.53755168926094</v>
      </c>
      <c r="G311" s="986"/>
      <c r="I311" s="986"/>
      <c r="J311" s="986"/>
      <c r="K311" s="986"/>
      <c r="L311" s="986"/>
      <c r="M311" s="986"/>
      <c r="N311" s="986"/>
      <c r="O311" s="986"/>
      <c r="P311" s="986"/>
    </row>
    <row r="312" spans="1:16" s="985" customFormat="1" ht="12.75">
      <c r="A312" s="1246" t="s">
        <v>3118</v>
      </c>
      <c r="B312" s="1250">
        <f>B301</f>
        <v>147</v>
      </c>
      <c r="C312" s="1246"/>
      <c r="D312" s="1249">
        <f t="shared" ca="1" si="82"/>
        <v>4.0626570181355932</v>
      </c>
      <c r="E312" s="1252"/>
      <c r="F312" s="1250">
        <f t="shared" ca="1" si="83"/>
        <v>151.06265701813558</v>
      </c>
      <c r="G312" s="1255" t="s">
        <v>3120</v>
      </c>
      <c r="I312" s="986"/>
      <c r="J312" s="986"/>
      <c r="K312" s="986"/>
      <c r="L312" s="986"/>
      <c r="M312" s="986"/>
      <c r="N312" s="986"/>
      <c r="O312" s="986"/>
      <c r="P312" s="986"/>
    </row>
    <row r="313" spans="1:16" s="985" customFormat="1" ht="12.75">
      <c r="A313" s="986"/>
      <c r="B313" s="988"/>
      <c r="C313" s="986"/>
      <c r="D313" s="994"/>
      <c r="E313" s="988"/>
      <c r="G313" s="986"/>
      <c r="I313" s="986"/>
      <c r="J313" s="986"/>
      <c r="K313" s="986"/>
      <c r="L313" s="986"/>
      <c r="M313" s="986"/>
      <c r="N313" s="986"/>
      <c r="O313" s="986"/>
      <c r="P313" s="986"/>
    </row>
    <row r="314" spans="1:16" s="1022" customFormat="1" ht="12.75">
      <c r="A314" s="987" t="s">
        <v>2684</v>
      </c>
      <c r="B314" s="1030"/>
      <c r="C314" s="987"/>
      <c r="D314" s="1015"/>
      <c r="E314" s="1030"/>
      <c r="G314" s="987"/>
      <c r="I314" s="987"/>
      <c r="J314" s="987"/>
      <c r="K314" s="987"/>
      <c r="L314" s="987"/>
      <c r="M314" s="987"/>
      <c r="N314" s="987"/>
      <c r="O314" s="987"/>
      <c r="P314" s="987"/>
    </row>
    <row r="315" spans="1:16" s="985" customFormat="1" ht="12.75">
      <c r="A315" s="986" t="s">
        <v>2690</v>
      </c>
      <c r="B315" s="988">
        <v>3.7</v>
      </c>
      <c r="C315" s="986"/>
      <c r="D315" s="994">
        <f ca="1">B315*$F$2</f>
        <v>0.10225735351769862</v>
      </c>
      <c r="E315" s="988"/>
      <c r="F315" s="985">
        <f ca="1">+B315+D315</f>
        <v>3.8022573535176987</v>
      </c>
      <c r="G315" s="986"/>
      <c r="I315" s="986"/>
      <c r="J315" s="986"/>
      <c r="K315" s="986"/>
      <c r="L315" s="986"/>
      <c r="M315" s="986"/>
      <c r="N315" s="986"/>
      <c r="O315" s="986"/>
      <c r="P315" s="986"/>
    </row>
    <row r="316" spans="1:16" s="1022" customFormat="1" ht="12.75">
      <c r="A316" s="986" t="s">
        <v>2968</v>
      </c>
      <c r="B316" s="985"/>
      <c r="C316" s="986"/>
      <c r="D316" s="994"/>
      <c r="E316" s="1036"/>
      <c r="F316" s="1254">
        <f ca="1">F317</f>
        <v>3.9050210657749336</v>
      </c>
      <c r="G316" s="986" t="s">
        <v>2967</v>
      </c>
      <c r="I316" s="987"/>
      <c r="J316" s="987"/>
      <c r="K316" s="987"/>
      <c r="L316" s="987"/>
      <c r="M316" s="987"/>
      <c r="N316" s="987"/>
      <c r="O316" s="987"/>
      <c r="P316" s="987"/>
    </row>
    <row r="317" spans="1:16" s="985" customFormat="1" ht="12.75">
      <c r="A317" s="1255" t="s">
        <v>2678</v>
      </c>
      <c r="B317" s="988">
        <v>3.8</v>
      </c>
      <c r="C317" s="986"/>
      <c r="D317" s="994">
        <f t="shared" ref="D317:D320" ca="1" si="84">B317*$F$2</f>
        <v>0.1050210657749337</v>
      </c>
      <c r="E317" s="988"/>
      <c r="F317" s="985">
        <f t="shared" ref="F317:F320" ca="1" si="85">+B317+D317</f>
        <v>3.9050210657749336</v>
      </c>
      <c r="G317" s="986"/>
      <c r="I317" s="986"/>
      <c r="J317" s="986"/>
      <c r="K317" s="986"/>
      <c r="L317" s="986"/>
      <c r="M317" s="986"/>
      <c r="N317" s="986"/>
      <c r="O317" s="986"/>
      <c r="P317" s="986"/>
    </row>
    <row r="318" spans="1:16" s="985" customFormat="1" ht="12.75">
      <c r="A318" s="1255" t="s">
        <v>2680</v>
      </c>
      <c r="B318" s="988">
        <v>4.0999999999999996</v>
      </c>
      <c r="C318" s="986"/>
      <c r="D318" s="994">
        <f t="shared" ca="1" si="84"/>
        <v>0.11331220254663898</v>
      </c>
      <c r="E318" s="988"/>
      <c r="F318" s="985">
        <f t="shared" ca="1" si="85"/>
        <v>4.2133122025466383</v>
      </c>
      <c r="G318" s="986"/>
      <c r="I318" s="986"/>
      <c r="J318" s="986"/>
      <c r="K318" s="986"/>
      <c r="L318" s="986"/>
      <c r="M318" s="986"/>
      <c r="N318" s="986"/>
      <c r="O318" s="986"/>
      <c r="P318" s="986"/>
    </row>
    <row r="319" spans="1:16" s="985" customFormat="1" ht="12.75">
      <c r="A319" s="1255" t="s">
        <v>2681</v>
      </c>
      <c r="B319" s="988">
        <v>4.5</v>
      </c>
      <c r="C319" s="986"/>
      <c r="D319" s="994">
        <f t="shared" ca="1" si="84"/>
        <v>0.1243670515755794</v>
      </c>
      <c r="E319" s="988"/>
      <c r="F319" s="985">
        <f t="shared" ca="1" si="85"/>
        <v>4.6243670515755797</v>
      </c>
      <c r="G319" s="986"/>
      <c r="I319" s="986"/>
      <c r="J319" s="986"/>
      <c r="K319" s="986"/>
      <c r="L319" s="986"/>
      <c r="M319" s="986"/>
      <c r="N319" s="986"/>
      <c r="O319" s="986"/>
      <c r="P319" s="986"/>
    </row>
    <row r="320" spans="1:16" s="985" customFormat="1" ht="12.75">
      <c r="A320" s="1246" t="s">
        <v>3118</v>
      </c>
      <c r="B320" s="1250">
        <v>10.27</v>
      </c>
      <c r="C320" s="1246"/>
      <c r="D320" s="1249">
        <f t="shared" ca="1" si="84"/>
        <v>0.2838332488180445</v>
      </c>
      <c r="E320" s="1252"/>
      <c r="F320" s="1250">
        <f t="shared" ca="1" si="85"/>
        <v>10.553833248818044</v>
      </c>
      <c r="G320" s="1255" t="s">
        <v>3120</v>
      </c>
      <c r="I320" s="986"/>
      <c r="J320" s="986"/>
      <c r="K320" s="986"/>
      <c r="L320" s="986"/>
      <c r="M320" s="986"/>
      <c r="N320" s="986"/>
      <c r="O320" s="986"/>
      <c r="P320" s="986"/>
    </row>
    <row r="321" spans="1:16" s="985" customFormat="1" ht="12.75">
      <c r="A321" s="986"/>
      <c r="B321" s="988"/>
      <c r="C321" s="986"/>
      <c r="D321" s="994"/>
      <c r="E321" s="988"/>
      <c r="G321" s="986"/>
      <c r="I321" s="986"/>
      <c r="J321" s="986"/>
      <c r="K321" s="986"/>
      <c r="L321" s="986"/>
      <c r="M321" s="986"/>
      <c r="N321" s="986"/>
      <c r="O321" s="986"/>
      <c r="P321" s="986"/>
    </row>
    <row r="322" spans="1:16" s="1022" customFormat="1" ht="12.75">
      <c r="A322" s="986" t="s">
        <v>2685</v>
      </c>
      <c r="B322" s="988">
        <v>3.3</v>
      </c>
      <c r="C322" s="986"/>
      <c r="D322" s="994">
        <f t="shared" ref="D322:D325" ca="1" si="86">B322*$F$2</f>
        <v>9.1202504488758218E-2</v>
      </c>
      <c r="E322" s="988"/>
      <c r="F322" s="985">
        <f t="shared" ref="F322:F325" ca="1" si="87">+B322+D322</f>
        <v>3.3912025044887582</v>
      </c>
      <c r="G322" s="987"/>
      <c r="I322" s="987"/>
      <c r="J322" s="987"/>
      <c r="K322" s="987"/>
      <c r="L322" s="987"/>
      <c r="M322" s="987"/>
      <c r="N322" s="987"/>
      <c r="O322" s="987"/>
      <c r="P322" s="987"/>
    </row>
    <row r="323" spans="1:16" s="1022" customFormat="1" ht="12.75">
      <c r="A323" s="986" t="s">
        <v>2686</v>
      </c>
      <c r="B323" s="985">
        <f>12/4.33</f>
        <v>2.7713625866050808</v>
      </c>
      <c r="C323" s="986"/>
      <c r="D323" s="994">
        <f t="shared" ca="1" si="86"/>
        <v>7.6592487498432268E-2</v>
      </c>
      <c r="E323" s="988"/>
      <c r="F323" s="985">
        <f t="shared" ca="1" si="87"/>
        <v>2.8479550741035129</v>
      </c>
      <c r="G323" s="987"/>
      <c r="I323" s="987"/>
      <c r="J323" s="987"/>
      <c r="K323" s="987"/>
      <c r="L323" s="987"/>
      <c r="M323" s="987"/>
      <c r="N323" s="987"/>
      <c r="O323" s="987"/>
      <c r="P323" s="987"/>
    </row>
    <row r="324" spans="1:16" s="985" customFormat="1" ht="12.75">
      <c r="A324" s="986" t="s">
        <v>2687</v>
      </c>
      <c r="B324" s="988">
        <v>2</v>
      </c>
      <c r="C324" s="986"/>
      <c r="D324" s="994">
        <f t="shared" ca="1" si="86"/>
        <v>5.5274245144701951E-2</v>
      </c>
      <c r="E324" s="988"/>
      <c r="F324" s="985">
        <f t="shared" ca="1" si="87"/>
        <v>2.0552742451447021</v>
      </c>
      <c r="G324" s="986"/>
      <c r="I324" s="986"/>
      <c r="J324" s="986"/>
      <c r="K324" s="986"/>
      <c r="L324" s="986"/>
      <c r="M324" s="986"/>
      <c r="N324" s="986"/>
      <c r="O324" s="986"/>
      <c r="P324" s="986"/>
    </row>
    <row r="325" spans="1:16" s="1254" customFormat="1" ht="12.75">
      <c r="A325" s="1246" t="s">
        <v>3119</v>
      </c>
      <c r="B325" s="1251">
        <f>17.8/4.33</f>
        <v>4.1108545034642034</v>
      </c>
      <c r="C325" s="1246"/>
      <c r="D325" s="1249">
        <f t="shared" ca="1" si="86"/>
        <v>0.11361218978934121</v>
      </c>
      <c r="E325" s="1251"/>
      <c r="F325" s="1250">
        <f t="shared" ca="1" si="87"/>
        <v>4.2244666932535448</v>
      </c>
      <c r="G325" s="1255" t="s">
        <v>3120</v>
      </c>
      <c r="I325" s="1255"/>
      <c r="J325" s="1255"/>
      <c r="K325" s="1255"/>
      <c r="L325" s="1255"/>
      <c r="M325" s="1255"/>
      <c r="N325" s="1255"/>
      <c r="O325" s="1255"/>
      <c r="P325" s="1255"/>
    </row>
    <row r="326" spans="1:16" s="985" customFormat="1" ht="12.75">
      <c r="A326" s="986"/>
      <c r="B326" s="988"/>
      <c r="C326" s="986"/>
      <c r="D326" s="994"/>
      <c r="E326" s="988"/>
      <c r="G326" s="986"/>
      <c r="I326" s="986"/>
      <c r="J326" s="986"/>
      <c r="K326" s="986"/>
      <c r="L326" s="986"/>
      <c r="M326" s="986"/>
      <c r="N326" s="986"/>
      <c r="O326" s="986"/>
      <c r="P326" s="986"/>
    </row>
    <row r="327" spans="1:16" s="985" customFormat="1" ht="12.75">
      <c r="A327" s="986"/>
      <c r="B327" s="988"/>
      <c r="C327" s="986"/>
      <c r="D327" s="994"/>
      <c r="E327" s="988"/>
      <c r="G327" s="986"/>
      <c r="I327" s="986"/>
      <c r="J327" s="986"/>
      <c r="K327" s="986"/>
      <c r="L327" s="986"/>
      <c r="M327" s="986"/>
      <c r="N327" s="986"/>
      <c r="O327" s="986"/>
      <c r="P327" s="986"/>
    </row>
    <row r="328" spans="1:16" s="985" customFormat="1" ht="12.75">
      <c r="A328" s="1006" t="s">
        <v>2688</v>
      </c>
      <c r="B328" s="1027"/>
      <c r="C328" s="1026"/>
      <c r="D328" s="1019"/>
      <c r="E328" s="1027"/>
      <c r="F328" s="1009"/>
      <c r="G328" s="986"/>
      <c r="I328" s="986"/>
      <c r="J328" s="986"/>
      <c r="K328" s="986"/>
      <c r="L328" s="986"/>
      <c r="M328" s="986"/>
      <c r="N328" s="986"/>
      <c r="O328" s="986"/>
      <c r="P328" s="986"/>
    </row>
    <row r="329" spans="1:16" s="1022" customFormat="1" ht="12.75">
      <c r="A329" s="987" t="s">
        <v>2689</v>
      </c>
      <c r="B329" s="1030"/>
      <c r="C329" s="987"/>
      <c r="D329" s="1015"/>
      <c r="E329" s="1030"/>
      <c r="G329" s="987"/>
      <c r="I329" s="987"/>
      <c r="J329" s="987"/>
      <c r="K329" s="987"/>
      <c r="L329" s="987"/>
      <c r="M329" s="987"/>
      <c r="N329" s="987"/>
      <c r="O329" s="987"/>
      <c r="P329" s="987"/>
    </row>
    <row r="330" spans="1:16" s="1022" customFormat="1" ht="12.75">
      <c r="A330" s="987" t="s">
        <v>3124</v>
      </c>
      <c r="B330" s="1030"/>
      <c r="C330" s="987"/>
      <c r="D330" s="1015"/>
      <c r="E330" s="1030"/>
      <c r="G330" s="987"/>
      <c r="I330" s="987"/>
      <c r="J330" s="987"/>
      <c r="K330" s="987"/>
      <c r="L330" s="987"/>
      <c r="M330" s="987"/>
      <c r="N330" s="987"/>
      <c r="O330" s="987"/>
      <c r="P330" s="987"/>
    </row>
    <row r="331" spans="1:16" s="1022" customFormat="1" ht="12.75">
      <c r="A331" s="986" t="s">
        <v>2690</v>
      </c>
      <c r="B331" s="988">
        <v>115</v>
      </c>
      <c r="C331" s="987"/>
      <c r="D331" s="994">
        <f t="shared" ref="D331:D336" ca="1" si="88">B331*$F$2</f>
        <v>3.1782690958203621</v>
      </c>
      <c r="E331" s="1030"/>
      <c r="F331" s="985">
        <f t="shared" ref="F331:F336" ca="1" si="89">+B331+D331</f>
        <v>118.17826909582037</v>
      </c>
      <c r="G331" s="987"/>
      <c r="I331" s="987"/>
      <c r="J331" s="987"/>
      <c r="K331" s="987"/>
      <c r="L331" s="987"/>
      <c r="M331" s="987"/>
      <c r="N331" s="987"/>
      <c r="O331" s="987"/>
      <c r="P331" s="987"/>
    </row>
    <row r="332" spans="1:16" s="1022" customFormat="1" ht="12.75">
      <c r="A332" s="986" t="s">
        <v>2691</v>
      </c>
      <c r="B332" s="988">
        <v>126</v>
      </c>
      <c r="C332" s="987"/>
      <c r="D332" s="994">
        <f t="shared" ca="1" si="88"/>
        <v>3.4822774441162228</v>
      </c>
      <c r="E332" s="1030"/>
      <c r="F332" s="985">
        <f t="shared" ca="1" si="89"/>
        <v>129.48227744411622</v>
      </c>
      <c r="G332" s="987"/>
      <c r="I332" s="987"/>
      <c r="J332" s="987"/>
      <c r="K332" s="987"/>
      <c r="L332" s="987"/>
      <c r="M332" s="987"/>
      <c r="N332" s="987"/>
      <c r="O332" s="987"/>
      <c r="P332" s="987"/>
    </row>
    <row r="333" spans="1:16" s="1022" customFormat="1" ht="12.75">
      <c r="A333" s="986" t="s">
        <v>2692</v>
      </c>
      <c r="B333" s="988">
        <v>126</v>
      </c>
      <c r="C333" s="987"/>
      <c r="D333" s="994">
        <f t="shared" ca="1" si="88"/>
        <v>3.4822774441162228</v>
      </c>
      <c r="E333" s="1030"/>
      <c r="F333" s="985">
        <f t="shared" ca="1" si="89"/>
        <v>129.48227744411622</v>
      </c>
      <c r="G333" s="987"/>
      <c r="I333" s="987"/>
      <c r="J333" s="987"/>
      <c r="K333" s="987"/>
      <c r="L333" s="987"/>
      <c r="M333" s="987"/>
      <c r="N333" s="987"/>
      <c r="O333" s="987"/>
      <c r="P333" s="987"/>
    </row>
    <row r="334" spans="1:16" s="1022" customFormat="1" ht="12.75">
      <c r="A334" s="986" t="s">
        <v>2678</v>
      </c>
      <c r="B334" s="988">
        <v>145</v>
      </c>
      <c r="C334" s="987"/>
      <c r="D334" s="994">
        <f t="shared" ca="1" si="88"/>
        <v>4.0073827729908915</v>
      </c>
      <c r="E334" s="1030"/>
      <c r="F334" s="985">
        <f t="shared" ca="1" si="89"/>
        <v>149.00738277299089</v>
      </c>
      <c r="G334" s="987"/>
      <c r="I334" s="987"/>
      <c r="J334" s="987"/>
      <c r="K334" s="987"/>
      <c r="L334" s="987"/>
      <c r="M334" s="987"/>
      <c r="N334" s="987"/>
      <c r="O334" s="987"/>
      <c r="P334" s="987"/>
    </row>
    <row r="335" spans="1:16" s="985" customFormat="1" ht="12.75">
      <c r="A335" s="986" t="s">
        <v>2679</v>
      </c>
      <c r="B335" s="988">
        <v>165</v>
      </c>
      <c r="C335" s="986"/>
      <c r="D335" s="994">
        <f t="shared" ca="1" si="88"/>
        <v>4.5601252244379111</v>
      </c>
      <c r="E335" s="988"/>
      <c r="F335" s="985">
        <f t="shared" ca="1" si="89"/>
        <v>169.56012522443791</v>
      </c>
      <c r="G335" s="986"/>
      <c r="I335" s="986"/>
      <c r="J335" s="986"/>
      <c r="K335" s="986"/>
      <c r="L335" s="986"/>
      <c r="M335" s="986"/>
      <c r="N335" s="986"/>
      <c r="O335" s="986"/>
      <c r="P335" s="986"/>
    </row>
    <row r="336" spans="1:16" s="985" customFormat="1" ht="12.75">
      <c r="A336" s="986" t="s">
        <v>2680</v>
      </c>
      <c r="B336" s="988">
        <v>180</v>
      </c>
      <c r="C336" s="986"/>
      <c r="D336" s="994">
        <f t="shared" ca="1" si="88"/>
        <v>4.9746820630231756</v>
      </c>
      <c r="E336" s="988"/>
      <c r="F336" s="985">
        <f t="shared" ca="1" si="89"/>
        <v>184.97468206302318</v>
      </c>
      <c r="G336" s="986"/>
      <c r="I336" s="986"/>
      <c r="J336" s="986"/>
      <c r="K336" s="986"/>
      <c r="L336" s="986"/>
      <c r="M336" s="986"/>
      <c r="N336" s="986"/>
      <c r="O336" s="986"/>
      <c r="P336" s="986"/>
    </row>
    <row r="337" spans="1:1322" s="985" customFormat="1" ht="12.75">
      <c r="A337" s="986"/>
      <c r="B337" s="988"/>
      <c r="C337" s="986"/>
      <c r="D337" s="994"/>
      <c r="E337" s="988"/>
      <c r="G337" s="986"/>
      <c r="I337" s="986"/>
      <c r="J337" s="986"/>
      <c r="K337" s="986"/>
      <c r="L337" s="986"/>
      <c r="M337" s="986"/>
      <c r="N337" s="986"/>
      <c r="O337" s="986"/>
      <c r="P337" s="986"/>
    </row>
    <row r="338" spans="1:1322" s="1022" customFormat="1" ht="12.75">
      <c r="A338" s="986" t="s">
        <v>2685</v>
      </c>
      <c r="B338" s="988">
        <v>3.3</v>
      </c>
      <c r="C338" s="986"/>
      <c r="D338" s="994">
        <f t="shared" ref="D338:D341" ca="1" si="90">B338*$F$2</f>
        <v>9.1202504488758218E-2</v>
      </c>
      <c r="E338" s="988"/>
      <c r="F338" s="985">
        <f t="shared" ref="F338:F341" ca="1" si="91">+B338+D338</f>
        <v>3.3912025044887582</v>
      </c>
      <c r="G338" s="987"/>
      <c r="I338" s="987"/>
      <c r="J338" s="987"/>
      <c r="K338" s="987"/>
      <c r="L338" s="987"/>
      <c r="M338" s="987"/>
      <c r="N338" s="987"/>
      <c r="O338" s="987"/>
      <c r="P338" s="987"/>
    </row>
    <row r="339" spans="1:1322" s="985" customFormat="1" ht="12.75">
      <c r="A339" s="986" t="s">
        <v>2687</v>
      </c>
      <c r="B339" s="985">
        <f t="shared" ref="B339:B341" si="92">12/4.33</f>
        <v>2.7713625866050808</v>
      </c>
      <c r="C339" s="986"/>
      <c r="D339" s="994">
        <f t="shared" ca="1" si="90"/>
        <v>7.6592487498432268E-2</v>
      </c>
      <c r="E339" s="988"/>
      <c r="F339" s="985">
        <f t="shared" ca="1" si="91"/>
        <v>2.8479550741035129</v>
      </c>
      <c r="G339" s="986"/>
      <c r="I339" s="986"/>
      <c r="J339" s="986"/>
      <c r="K339" s="986"/>
      <c r="L339" s="986"/>
      <c r="M339" s="986"/>
      <c r="N339" s="986"/>
      <c r="O339" s="986"/>
      <c r="P339" s="986"/>
    </row>
    <row r="340" spans="1:1322" s="985" customFormat="1" ht="12.75">
      <c r="A340" s="986" t="s">
        <v>2686</v>
      </c>
      <c r="B340" s="985">
        <f t="shared" si="92"/>
        <v>2.7713625866050808</v>
      </c>
      <c r="C340" s="986"/>
      <c r="D340" s="994">
        <f t="shared" ca="1" si="90"/>
        <v>7.6592487498432268E-2</v>
      </c>
      <c r="E340" s="988"/>
      <c r="F340" s="985">
        <f t="shared" ca="1" si="91"/>
        <v>2.8479550741035129</v>
      </c>
      <c r="G340" s="986"/>
      <c r="I340" s="986"/>
      <c r="J340" s="986"/>
      <c r="K340" s="986"/>
      <c r="L340" s="986"/>
      <c r="M340" s="986"/>
      <c r="N340" s="986"/>
      <c r="O340" s="986"/>
      <c r="P340" s="986"/>
    </row>
    <row r="341" spans="1:1322" s="985" customFormat="1" ht="12.75">
      <c r="A341" s="986" t="s">
        <v>2693</v>
      </c>
      <c r="B341" s="985">
        <f t="shared" si="92"/>
        <v>2.7713625866050808</v>
      </c>
      <c r="C341" s="986"/>
      <c r="D341" s="994">
        <f t="shared" ca="1" si="90"/>
        <v>7.6592487498432268E-2</v>
      </c>
      <c r="E341" s="988"/>
      <c r="F341" s="985">
        <f t="shared" ca="1" si="91"/>
        <v>2.8479550741035129</v>
      </c>
      <c r="G341" s="986"/>
      <c r="I341" s="986"/>
      <c r="J341" s="986"/>
      <c r="K341" s="986"/>
      <c r="L341" s="986"/>
      <c r="M341" s="986"/>
      <c r="N341" s="986"/>
      <c r="O341" s="986"/>
      <c r="P341" s="986"/>
    </row>
    <row r="342" spans="1:1322" s="985" customFormat="1" ht="12.75">
      <c r="A342" s="986"/>
      <c r="B342" s="988"/>
      <c r="C342" s="986"/>
      <c r="D342" s="994"/>
      <c r="E342" s="988"/>
      <c r="F342" s="988"/>
      <c r="I342" s="986"/>
      <c r="K342" s="986"/>
      <c r="L342" s="986"/>
      <c r="M342" s="986"/>
      <c r="N342" s="986"/>
      <c r="O342" s="986"/>
      <c r="P342" s="986"/>
      <c r="Q342" s="986"/>
      <c r="R342" s="986"/>
    </row>
    <row r="343" spans="1:1322" s="985" customFormat="1" ht="12.75">
      <c r="A343" s="1006" t="s">
        <v>2694</v>
      </c>
      <c r="B343" s="1027"/>
      <c r="C343" s="1026"/>
      <c r="D343" s="1019"/>
      <c r="E343" s="1027"/>
      <c r="F343" s="1009"/>
      <c r="I343" s="986"/>
      <c r="K343" s="986"/>
      <c r="L343" s="986"/>
      <c r="M343" s="986"/>
      <c r="N343" s="986"/>
      <c r="O343" s="986"/>
      <c r="P343" s="986"/>
      <c r="Q343" s="986"/>
      <c r="R343" s="986"/>
    </row>
    <row r="344" spans="1:1322" s="985" customFormat="1" ht="12.75">
      <c r="A344" s="987" t="s">
        <v>2689</v>
      </c>
      <c r="B344" s="988"/>
      <c r="C344" s="986"/>
      <c r="D344" s="994"/>
      <c r="E344" s="988"/>
      <c r="F344" s="988"/>
      <c r="I344" s="986"/>
      <c r="K344" s="986"/>
      <c r="L344" s="986"/>
      <c r="M344" s="986"/>
      <c r="N344" s="986"/>
      <c r="O344" s="986"/>
      <c r="P344" s="986"/>
      <c r="Q344" s="986"/>
      <c r="R344" s="986"/>
    </row>
    <row r="345" spans="1:1322" s="985" customFormat="1" ht="12.75">
      <c r="A345" s="987" t="s">
        <v>3124</v>
      </c>
      <c r="B345" s="988"/>
      <c r="C345" s="986"/>
      <c r="D345" s="994"/>
      <c r="E345" s="988"/>
      <c r="F345" s="988"/>
      <c r="I345" s="986"/>
      <c r="K345" s="986"/>
      <c r="L345" s="986"/>
      <c r="M345" s="986"/>
      <c r="N345" s="986"/>
      <c r="O345" s="986"/>
      <c r="P345" s="986"/>
      <c r="Q345" s="986"/>
      <c r="R345" s="986"/>
    </row>
    <row r="346" spans="1:1322" s="985" customFormat="1" ht="12.75">
      <c r="A346" s="986" t="s">
        <v>2695</v>
      </c>
      <c r="B346" s="988">
        <v>190</v>
      </c>
      <c r="C346" s="986"/>
      <c r="D346" s="994">
        <f t="shared" ref="D346:D347" ca="1" si="93">B346*$F$2</f>
        <v>5.251053288746685</v>
      </c>
      <c r="E346" s="988"/>
      <c r="F346" s="985">
        <f t="shared" ref="F346:F347" ca="1" si="94">+B346+D346</f>
        <v>195.25105328874668</v>
      </c>
      <c r="I346" s="986"/>
      <c r="K346" s="986"/>
      <c r="L346" s="986"/>
      <c r="M346" s="986"/>
      <c r="N346" s="986"/>
      <c r="O346" s="986"/>
      <c r="P346" s="986"/>
      <c r="Q346" s="986"/>
      <c r="R346" s="986"/>
    </row>
    <row r="347" spans="1:1322" s="985" customFormat="1" ht="12.75">
      <c r="A347" s="986" t="s">
        <v>2681</v>
      </c>
      <c r="B347" s="988">
        <v>200</v>
      </c>
      <c r="C347" s="986"/>
      <c r="D347" s="994">
        <f t="shared" ca="1" si="93"/>
        <v>5.5274245144701952</v>
      </c>
      <c r="E347" s="988"/>
      <c r="F347" s="985">
        <f t="shared" ca="1" si="94"/>
        <v>205.5274245144702</v>
      </c>
      <c r="I347" s="986"/>
      <c r="K347" s="986"/>
      <c r="L347" s="986"/>
      <c r="M347" s="986"/>
      <c r="N347" s="986"/>
      <c r="O347" s="986"/>
      <c r="P347" s="986"/>
      <c r="Q347" s="986"/>
      <c r="R347" s="986"/>
    </row>
    <row r="348" spans="1:1322" s="985" customFormat="1" ht="12.75">
      <c r="A348" s="986"/>
      <c r="B348" s="988"/>
      <c r="C348" s="986"/>
      <c r="D348" s="994"/>
      <c r="E348" s="988"/>
      <c r="I348" s="986"/>
      <c r="K348" s="986"/>
      <c r="L348" s="986"/>
      <c r="M348" s="986"/>
      <c r="N348" s="986"/>
      <c r="O348" s="986"/>
      <c r="P348" s="986"/>
      <c r="Q348" s="986"/>
      <c r="R348" s="986"/>
    </row>
    <row r="349" spans="1:1322" s="985" customFormat="1" ht="12.75">
      <c r="A349" s="986" t="s">
        <v>2685</v>
      </c>
      <c r="B349" s="988">
        <v>3.3</v>
      </c>
      <c r="C349" s="986"/>
      <c r="D349" s="994">
        <f t="shared" ref="D349:D352" ca="1" si="95">B349*$F$2</f>
        <v>9.1202504488758218E-2</v>
      </c>
      <c r="E349" s="988"/>
      <c r="F349" s="985">
        <f t="shared" ref="F349:F352" ca="1" si="96">+B349+D349</f>
        <v>3.3912025044887582</v>
      </c>
      <c r="I349" s="986"/>
      <c r="K349" s="986"/>
      <c r="L349" s="986"/>
      <c r="M349" s="986"/>
      <c r="N349" s="986"/>
      <c r="O349" s="986"/>
      <c r="P349" s="986"/>
      <c r="Q349" s="986"/>
      <c r="R349" s="986"/>
    </row>
    <row r="350" spans="1:1322" s="1037" customFormat="1" ht="12.75">
      <c r="A350" s="986" t="s">
        <v>2687</v>
      </c>
      <c r="B350" s="985">
        <f t="shared" ref="B350:B352" si="97">12/4.33</f>
        <v>2.7713625866050808</v>
      </c>
      <c r="C350" s="986"/>
      <c r="D350" s="994">
        <f t="shared" ca="1" si="95"/>
        <v>7.6592487498432268E-2</v>
      </c>
      <c r="E350" s="988"/>
      <c r="F350" s="985">
        <f t="shared" ca="1" si="96"/>
        <v>2.8479550741035129</v>
      </c>
      <c r="G350" s="985"/>
      <c r="H350" s="985"/>
      <c r="I350" s="986"/>
      <c r="J350" s="985"/>
      <c r="K350" s="986"/>
      <c r="L350" s="986"/>
      <c r="M350" s="986"/>
      <c r="N350" s="986"/>
      <c r="O350" s="986"/>
      <c r="P350" s="986"/>
      <c r="Q350" s="986"/>
      <c r="R350" s="986"/>
      <c r="S350" s="985"/>
      <c r="T350" s="985"/>
      <c r="U350" s="985"/>
      <c r="V350" s="985"/>
      <c r="W350" s="985"/>
      <c r="X350" s="985"/>
      <c r="Y350" s="985"/>
      <c r="Z350" s="985"/>
      <c r="AA350" s="985"/>
      <c r="AB350" s="985"/>
      <c r="AC350" s="985"/>
      <c r="AD350" s="985"/>
      <c r="AE350" s="985"/>
      <c r="AF350" s="985"/>
      <c r="AG350" s="985"/>
      <c r="AH350" s="985"/>
      <c r="AI350" s="985"/>
      <c r="AJ350" s="985"/>
      <c r="AK350" s="985"/>
      <c r="AL350" s="985"/>
      <c r="AM350" s="985"/>
      <c r="AN350" s="985"/>
      <c r="AO350" s="985"/>
      <c r="AP350" s="985"/>
      <c r="AQ350" s="985"/>
      <c r="AR350" s="985"/>
      <c r="AS350" s="985"/>
      <c r="AT350" s="985"/>
      <c r="AU350" s="985"/>
      <c r="AV350" s="985"/>
      <c r="AW350" s="985"/>
      <c r="AX350" s="985"/>
      <c r="AY350" s="985"/>
      <c r="AZ350" s="985"/>
      <c r="BA350" s="985"/>
      <c r="BB350" s="985"/>
      <c r="BC350" s="985"/>
      <c r="BD350" s="985"/>
      <c r="BE350" s="985"/>
      <c r="BF350" s="985"/>
      <c r="BG350" s="985"/>
      <c r="BH350" s="985"/>
      <c r="BI350" s="985"/>
      <c r="BJ350" s="985"/>
      <c r="BK350" s="985"/>
      <c r="BL350" s="985"/>
      <c r="BM350" s="985"/>
      <c r="BN350" s="985"/>
      <c r="BO350" s="985"/>
      <c r="BP350" s="985"/>
      <c r="BQ350" s="985"/>
      <c r="BR350" s="985"/>
      <c r="BS350" s="985"/>
      <c r="BT350" s="985"/>
      <c r="BU350" s="985"/>
      <c r="BV350" s="985"/>
      <c r="BW350" s="985"/>
      <c r="BX350" s="985"/>
      <c r="BY350" s="985"/>
      <c r="BZ350" s="985"/>
      <c r="CA350" s="985"/>
      <c r="CB350" s="985"/>
      <c r="CC350" s="985"/>
      <c r="CD350" s="985"/>
      <c r="CE350" s="985"/>
      <c r="CF350" s="985"/>
      <c r="CG350" s="985"/>
      <c r="CH350" s="985"/>
      <c r="CI350" s="985"/>
      <c r="CJ350" s="985"/>
      <c r="CK350" s="985"/>
      <c r="CL350" s="985"/>
      <c r="CM350" s="985"/>
      <c r="CN350" s="985"/>
      <c r="CO350" s="985"/>
      <c r="CP350" s="985"/>
      <c r="CQ350" s="985"/>
      <c r="CR350" s="985"/>
      <c r="CS350" s="985"/>
      <c r="CT350" s="985"/>
      <c r="CU350" s="985"/>
      <c r="CV350" s="985"/>
      <c r="CW350" s="985"/>
      <c r="CX350" s="985"/>
      <c r="CY350" s="985"/>
      <c r="CZ350" s="985"/>
      <c r="DA350" s="985"/>
      <c r="DB350" s="985"/>
      <c r="DC350" s="985"/>
      <c r="DD350" s="985"/>
      <c r="DE350" s="985"/>
      <c r="DF350" s="985"/>
      <c r="DG350" s="985"/>
      <c r="DH350" s="985"/>
      <c r="DI350" s="985"/>
      <c r="DJ350" s="985"/>
      <c r="DK350" s="985"/>
      <c r="DL350" s="985"/>
      <c r="DM350" s="985"/>
      <c r="DN350" s="985"/>
      <c r="DO350" s="985"/>
      <c r="DP350" s="985"/>
      <c r="DQ350" s="985"/>
      <c r="DR350" s="985"/>
      <c r="DS350" s="985"/>
      <c r="DT350" s="985"/>
      <c r="DU350" s="985"/>
      <c r="DV350" s="985"/>
      <c r="DW350" s="985"/>
      <c r="DX350" s="985"/>
      <c r="DY350" s="985"/>
      <c r="DZ350" s="985"/>
      <c r="EA350" s="985"/>
      <c r="EB350" s="985"/>
      <c r="EC350" s="985"/>
      <c r="ED350" s="985"/>
      <c r="EE350" s="985"/>
      <c r="EF350" s="985"/>
      <c r="EG350" s="985"/>
      <c r="EH350" s="985"/>
      <c r="EI350" s="985"/>
      <c r="EJ350" s="985"/>
      <c r="EK350" s="985"/>
      <c r="EL350" s="985"/>
      <c r="EM350" s="985"/>
      <c r="EN350" s="985"/>
      <c r="EO350" s="985"/>
      <c r="EP350" s="985"/>
      <c r="EQ350" s="985"/>
      <c r="ER350" s="985"/>
      <c r="ES350" s="985"/>
      <c r="ET350" s="985"/>
      <c r="EU350" s="985"/>
      <c r="EV350" s="985"/>
      <c r="EW350" s="985"/>
      <c r="EX350" s="985"/>
      <c r="EY350" s="985"/>
      <c r="EZ350" s="985"/>
      <c r="FA350" s="985"/>
      <c r="FB350" s="985"/>
      <c r="FC350" s="985"/>
      <c r="FD350" s="985"/>
      <c r="FE350" s="985"/>
      <c r="FF350" s="985"/>
      <c r="FG350" s="985"/>
      <c r="FH350" s="985"/>
      <c r="FI350" s="985"/>
      <c r="FJ350" s="985"/>
      <c r="FK350" s="985"/>
      <c r="FL350" s="985"/>
      <c r="FM350" s="985"/>
      <c r="FN350" s="985"/>
      <c r="FO350" s="985"/>
      <c r="FP350" s="985"/>
      <c r="FQ350" s="985"/>
      <c r="FR350" s="985"/>
      <c r="FS350" s="985"/>
      <c r="FT350" s="985"/>
      <c r="FU350" s="985"/>
      <c r="FV350" s="985"/>
      <c r="FW350" s="985"/>
      <c r="FX350" s="985"/>
      <c r="FY350" s="985"/>
      <c r="FZ350" s="985"/>
      <c r="GA350" s="985"/>
      <c r="GB350" s="985"/>
      <c r="GC350" s="985"/>
      <c r="GD350" s="985"/>
      <c r="GE350" s="985"/>
      <c r="GF350" s="985"/>
      <c r="GG350" s="985"/>
      <c r="GH350" s="985"/>
      <c r="GI350" s="985"/>
      <c r="GJ350" s="985"/>
      <c r="GK350" s="985"/>
      <c r="GL350" s="985"/>
      <c r="GM350" s="985"/>
      <c r="GN350" s="985"/>
      <c r="GO350" s="985"/>
      <c r="GP350" s="985"/>
      <c r="GQ350" s="985"/>
      <c r="GR350" s="985"/>
      <c r="GS350" s="985"/>
      <c r="GT350" s="985"/>
      <c r="GU350" s="985"/>
      <c r="GV350" s="985"/>
      <c r="GW350" s="985"/>
      <c r="GX350" s="985"/>
      <c r="GY350" s="985"/>
      <c r="GZ350" s="985"/>
      <c r="HA350" s="985"/>
      <c r="HB350" s="985"/>
      <c r="HC350" s="985"/>
      <c r="HD350" s="985"/>
      <c r="HE350" s="985"/>
      <c r="HF350" s="985"/>
      <c r="HG350" s="985"/>
      <c r="HH350" s="985"/>
      <c r="HI350" s="985"/>
      <c r="HJ350" s="985"/>
      <c r="HK350" s="985"/>
      <c r="HL350" s="985"/>
      <c r="HM350" s="985"/>
      <c r="HN350" s="985"/>
      <c r="HO350" s="985"/>
      <c r="HP350" s="985"/>
      <c r="HQ350" s="985"/>
      <c r="HR350" s="985"/>
      <c r="HS350" s="985"/>
      <c r="HT350" s="985"/>
      <c r="HU350" s="985"/>
      <c r="HV350" s="985"/>
      <c r="HW350" s="985"/>
      <c r="HX350" s="985"/>
      <c r="HY350" s="985"/>
      <c r="HZ350" s="985"/>
      <c r="IA350" s="985"/>
      <c r="IB350" s="985"/>
      <c r="IC350" s="985"/>
      <c r="ID350" s="985"/>
      <c r="IE350" s="985"/>
      <c r="IF350" s="985"/>
      <c r="IG350" s="985"/>
      <c r="IH350" s="985"/>
      <c r="II350" s="985"/>
      <c r="IJ350" s="985"/>
      <c r="IK350" s="985"/>
      <c r="IL350" s="985"/>
      <c r="IM350" s="985"/>
      <c r="IN350" s="985"/>
      <c r="IO350" s="985"/>
      <c r="IP350" s="985"/>
      <c r="IQ350" s="985"/>
      <c r="IR350" s="985"/>
      <c r="IS350" s="985"/>
      <c r="IT350" s="985"/>
      <c r="IU350" s="985"/>
      <c r="IV350" s="985"/>
      <c r="IW350" s="985"/>
      <c r="IX350" s="985"/>
      <c r="IY350" s="985"/>
      <c r="IZ350" s="985"/>
      <c r="JA350" s="985"/>
      <c r="JB350" s="985"/>
      <c r="JC350" s="985"/>
      <c r="JD350" s="985"/>
      <c r="JE350" s="985"/>
      <c r="JF350" s="985"/>
      <c r="JG350" s="985"/>
      <c r="JH350" s="985"/>
      <c r="JI350" s="985"/>
      <c r="JJ350" s="985"/>
      <c r="JK350" s="985"/>
      <c r="JL350" s="985"/>
      <c r="JM350" s="985"/>
      <c r="JN350" s="985"/>
      <c r="JO350" s="985"/>
      <c r="JP350" s="985"/>
      <c r="JQ350" s="985"/>
      <c r="JR350" s="985"/>
      <c r="JS350" s="985"/>
      <c r="JT350" s="985"/>
      <c r="JU350" s="985"/>
      <c r="JV350" s="985"/>
      <c r="JW350" s="985"/>
      <c r="JX350" s="985"/>
      <c r="JY350" s="985"/>
      <c r="JZ350" s="985"/>
      <c r="KA350" s="985"/>
      <c r="KB350" s="985"/>
      <c r="KC350" s="985"/>
      <c r="KD350" s="985"/>
      <c r="KE350" s="985"/>
      <c r="KF350" s="985"/>
      <c r="KG350" s="985"/>
      <c r="KH350" s="985"/>
      <c r="KI350" s="985"/>
      <c r="KJ350" s="985"/>
      <c r="KK350" s="985"/>
      <c r="KL350" s="985"/>
      <c r="KM350" s="985"/>
      <c r="KN350" s="985"/>
      <c r="KO350" s="985"/>
      <c r="KP350" s="985"/>
      <c r="KQ350" s="985"/>
      <c r="KR350" s="985"/>
      <c r="KS350" s="985"/>
      <c r="KT350" s="985"/>
      <c r="KU350" s="985"/>
      <c r="KV350" s="985"/>
      <c r="KW350" s="985"/>
      <c r="KX350" s="985"/>
      <c r="KY350" s="985"/>
      <c r="KZ350" s="985"/>
      <c r="LA350" s="985"/>
      <c r="LB350" s="985"/>
      <c r="LC350" s="985"/>
      <c r="LD350" s="985"/>
      <c r="LE350" s="985"/>
      <c r="LF350" s="985"/>
      <c r="LG350" s="985"/>
      <c r="LH350" s="985"/>
      <c r="LI350" s="985"/>
      <c r="LJ350" s="985"/>
      <c r="LK350" s="985"/>
      <c r="LL350" s="985"/>
      <c r="LM350" s="985"/>
      <c r="LN350" s="985"/>
      <c r="LO350" s="985"/>
      <c r="LP350" s="985"/>
      <c r="LQ350" s="985"/>
      <c r="LR350" s="985"/>
      <c r="LS350" s="985"/>
      <c r="LT350" s="985"/>
      <c r="LU350" s="985"/>
      <c r="LV350" s="985"/>
      <c r="LW350" s="985"/>
      <c r="LX350" s="985"/>
      <c r="LY350" s="985"/>
      <c r="LZ350" s="985"/>
      <c r="MA350" s="985"/>
      <c r="MB350" s="985"/>
      <c r="MC350" s="985"/>
      <c r="MD350" s="985"/>
      <c r="ME350" s="985"/>
      <c r="MF350" s="985"/>
      <c r="MG350" s="985"/>
      <c r="MH350" s="985"/>
      <c r="MI350" s="985"/>
      <c r="MJ350" s="985"/>
      <c r="MK350" s="985"/>
      <c r="ML350" s="985"/>
      <c r="MM350" s="985"/>
      <c r="MN350" s="985"/>
      <c r="MO350" s="985"/>
      <c r="MP350" s="985"/>
      <c r="MQ350" s="985"/>
      <c r="MR350" s="985"/>
      <c r="MS350" s="985"/>
      <c r="MT350" s="985"/>
      <c r="MU350" s="985"/>
      <c r="MV350" s="985"/>
      <c r="MW350" s="985"/>
      <c r="MX350" s="985"/>
      <c r="MY350" s="985"/>
      <c r="MZ350" s="985"/>
      <c r="NA350" s="985"/>
      <c r="NB350" s="985"/>
      <c r="NC350" s="985"/>
      <c r="ND350" s="985"/>
      <c r="NE350" s="985"/>
      <c r="NF350" s="985"/>
      <c r="NG350" s="985"/>
      <c r="NH350" s="985"/>
      <c r="NI350" s="985"/>
      <c r="NJ350" s="985"/>
      <c r="NK350" s="985"/>
      <c r="NL350" s="985"/>
      <c r="NM350" s="985"/>
      <c r="NN350" s="985"/>
      <c r="NO350" s="985"/>
      <c r="NP350" s="985"/>
      <c r="NQ350" s="985"/>
      <c r="NR350" s="985"/>
      <c r="NS350" s="985"/>
      <c r="NT350" s="985"/>
      <c r="NU350" s="985"/>
      <c r="NV350" s="985"/>
      <c r="NW350" s="985"/>
      <c r="NX350" s="985"/>
      <c r="NY350" s="985"/>
      <c r="NZ350" s="985"/>
      <c r="OA350" s="985"/>
      <c r="OB350" s="985"/>
      <c r="OC350" s="985"/>
      <c r="OD350" s="985"/>
      <c r="OE350" s="985"/>
      <c r="OF350" s="985"/>
      <c r="OG350" s="985"/>
      <c r="OH350" s="985"/>
      <c r="OI350" s="985"/>
      <c r="OJ350" s="985"/>
      <c r="OK350" s="985"/>
      <c r="OL350" s="985"/>
      <c r="OM350" s="985"/>
      <c r="ON350" s="985"/>
      <c r="OO350" s="985"/>
      <c r="OP350" s="985"/>
      <c r="OQ350" s="985"/>
      <c r="OR350" s="985"/>
      <c r="OS350" s="985"/>
      <c r="OT350" s="985"/>
      <c r="OU350" s="985"/>
      <c r="OV350" s="985"/>
      <c r="OW350" s="985"/>
      <c r="OX350" s="985"/>
      <c r="OY350" s="985"/>
      <c r="OZ350" s="985"/>
      <c r="PA350" s="985"/>
      <c r="PB350" s="985"/>
      <c r="PC350" s="985"/>
      <c r="PD350" s="985"/>
      <c r="PE350" s="985"/>
      <c r="PF350" s="985"/>
      <c r="PG350" s="985"/>
      <c r="PH350" s="985"/>
      <c r="PI350" s="985"/>
      <c r="PJ350" s="985"/>
      <c r="PK350" s="985"/>
      <c r="PL350" s="985"/>
      <c r="PM350" s="985"/>
      <c r="PN350" s="985"/>
      <c r="PO350" s="985"/>
      <c r="PP350" s="985"/>
      <c r="PQ350" s="985"/>
      <c r="PR350" s="985"/>
      <c r="PS350" s="985"/>
      <c r="PT350" s="985"/>
      <c r="PU350" s="985"/>
      <c r="PV350" s="985"/>
      <c r="PW350" s="985"/>
      <c r="PX350" s="985"/>
      <c r="PY350" s="985"/>
      <c r="PZ350" s="985"/>
      <c r="QA350" s="985"/>
      <c r="QB350" s="985"/>
      <c r="QC350" s="985"/>
      <c r="QD350" s="985"/>
      <c r="QE350" s="985"/>
      <c r="QF350" s="985"/>
      <c r="QG350" s="985"/>
      <c r="QH350" s="985"/>
      <c r="QI350" s="985"/>
      <c r="QJ350" s="985"/>
      <c r="QK350" s="985"/>
      <c r="QL350" s="985"/>
      <c r="QM350" s="985"/>
      <c r="QN350" s="985"/>
      <c r="QO350" s="985"/>
      <c r="QP350" s="985"/>
      <c r="QQ350" s="985"/>
      <c r="QR350" s="985"/>
      <c r="QS350" s="985"/>
      <c r="QT350" s="985"/>
      <c r="QU350" s="985"/>
      <c r="QV350" s="985"/>
      <c r="QW350" s="985"/>
      <c r="QX350" s="985"/>
      <c r="QY350" s="985"/>
      <c r="QZ350" s="985"/>
      <c r="RA350" s="985"/>
      <c r="RB350" s="985"/>
      <c r="RC350" s="985"/>
      <c r="RD350" s="985"/>
      <c r="RE350" s="985"/>
      <c r="RF350" s="985"/>
      <c r="RG350" s="985"/>
      <c r="RH350" s="985"/>
      <c r="RI350" s="985"/>
      <c r="RJ350" s="985"/>
      <c r="RK350" s="985"/>
      <c r="RL350" s="985"/>
      <c r="RM350" s="985"/>
      <c r="RN350" s="985"/>
      <c r="RO350" s="985"/>
      <c r="RP350" s="985"/>
      <c r="RQ350" s="985"/>
      <c r="RR350" s="985"/>
      <c r="RS350" s="985"/>
      <c r="RT350" s="985"/>
      <c r="RU350" s="985"/>
      <c r="RV350" s="985"/>
      <c r="RW350" s="985"/>
      <c r="RX350" s="985"/>
      <c r="RY350" s="985"/>
      <c r="RZ350" s="985"/>
      <c r="SA350" s="985"/>
      <c r="SB350" s="985"/>
      <c r="SC350" s="985"/>
      <c r="SD350" s="985"/>
      <c r="SE350" s="985"/>
      <c r="SF350" s="985"/>
      <c r="SG350" s="985"/>
      <c r="SH350" s="985"/>
      <c r="SI350" s="985"/>
      <c r="SJ350" s="985"/>
      <c r="SK350" s="985"/>
      <c r="SL350" s="985"/>
      <c r="SM350" s="985"/>
      <c r="SN350" s="985"/>
      <c r="SO350" s="985"/>
      <c r="SP350" s="985"/>
      <c r="SQ350" s="985"/>
      <c r="SR350" s="985"/>
      <c r="SS350" s="985"/>
      <c r="ST350" s="985"/>
      <c r="SU350" s="985"/>
      <c r="SV350" s="985"/>
      <c r="SW350" s="985"/>
      <c r="SX350" s="985"/>
      <c r="SY350" s="985"/>
      <c r="SZ350" s="985"/>
      <c r="TA350" s="985"/>
      <c r="TB350" s="985"/>
      <c r="TC350" s="985"/>
      <c r="TD350" s="985"/>
      <c r="TE350" s="985"/>
      <c r="TF350" s="985"/>
      <c r="TG350" s="985"/>
      <c r="TH350" s="985"/>
      <c r="TI350" s="985"/>
      <c r="TJ350" s="985"/>
      <c r="TK350" s="985"/>
      <c r="TL350" s="985"/>
      <c r="TM350" s="985"/>
      <c r="TN350" s="985"/>
      <c r="TO350" s="985"/>
      <c r="TP350" s="985"/>
      <c r="TQ350" s="985"/>
      <c r="TR350" s="985"/>
      <c r="TS350" s="985"/>
      <c r="TT350" s="985"/>
      <c r="TU350" s="985"/>
      <c r="TV350" s="985"/>
      <c r="TW350" s="985"/>
      <c r="TX350" s="985"/>
      <c r="TY350" s="985"/>
      <c r="TZ350" s="985"/>
      <c r="UA350" s="985"/>
      <c r="UB350" s="985"/>
      <c r="UC350" s="985"/>
      <c r="UD350" s="985"/>
      <c r="UE350" s="985"/>
      <c r="UF350" s="985"/>
      <c r="UG350" s="985"/>
      <c r="UH350" s="985"/>
      <c r="UI350" s="985"/>
      <c r="UJ350" s="985"/>
      <c r="UK350" s="985"/>
      <c r="UL350" s="985"/>
      <c r="UM350" s="985"/>
      <c r="UN350" s="985"/>
      <c r="UO350" s="985"/>
      <c r="UP350" s="985"/>
      <c r="UQ350" s="985"/>
      <c r="UR350" s="985"/>
      <c r="US350" s="985"/>
      <c r="UT350" s="985"/>
      <c r="UU350" s="985"/>
      <c r="UV350" s="985"/>
      <c r="UW350" s="985"/>
      <c r="UX350" s="985"/>
      <c r="UY350" s="985"/>
      <c r="UZ350" s="985"/>
      <c r="VA350" s="985"/>
      <c r="VB350" s="985"/>
      <c r="VC350" s="985"/>
      <c r="VD350" s="985"/>
      <c r="VE350" s="985"/>
      <c r="VF350" s="985"/>
      <c r="VG350" s="985"/>
      <c r="VH350" s="985"/>
      <c r="VI350" s="985"/>
      <c r="VJ350" s="985"/>
      <c r="VK350" s="985"/>
      <c r="VL350" s="985"/>
      <c r="VM350" s="985"/>
      <c r="VN350" s="985"/>
      <c r="VO350" s="985"/>
      <c r="VP350" s="985"/>
      <c r="VQ350" s="985"/>
      <c r="VR350" s="985"/>
      <c r="VS350" s="985"/>
      <c r="VT350" s="985"/>
      <c r="VU350" s="985"/>
      <c r="VV350" s="985"/>
      <c r="VW350" s="985"/>
      <c r="VX350" s="985"/>
      <c r="VY350" s="985"/>
      <c r="VZ350" s="985"/>
      <c r="WA350" s="985"/>
      <c r="WB350" s="985"/>
      <c r="WC350" s="985"/>
      <c r="WD350" s="985"/>
      <c r="WE350" s="985"/>
      <c r="WF350" s="985"/>
      <c r="WG350" s="985"/>
      <c r="WH350" s="985"/>
      <c r="WI350" s="985"/>
      <c r="WJ350" s="985"/>
      <c r="WK350" s="985"/>
      <c r="WL350" s="985"/>
      <c r="WM350" s="985"/>
      <c r="WN350" s="985"/>
      <c r="WO350" s="985"/>
      <c r="WP350" s="985"/>
      <c r="WQ350" s="985"/>
      <c r="WR350" s="985"/>
      <c r="WS350" s="985"/>
      <c r="WT350" s="985"/>
      <c r="WU350" s="985"/>
      <c r="WV350" s="985"/>
      <c r="WW350" s="985"/>
      <c r="WX350" s="985"/>
      <c r="WY350" s="985"/>
      <c r="WZ350" s="985"/>
      <c r="XA350" s="985"/>
      <c r="XB350" s="985"/>
      <c r="XC350" s="985"/>
      <c r="XD350" s="985"/>
      <c r="XE350" s="985"/>
      <c r="XF350" s="985"/>
      <c r="XG350" s="985"/>
      <c r="XH350" s="985"/>
      <c r="XI350" s="985"/>
      <c r="XJ350" s="985"/>
      <c r="XK350" s="985"/>
      <c r="XL350" s="985"/>
      <c r="XM350" s="985"/>
      <c r="XN350" s="985"/>
      <c r="XO350" s="985"/>
      <c r="XP350" s="985"/>
      <c r="XQ350" s="985"/>
      <c r="XR350" s="985"/>
      <c r="XS350" s="985"/>
      <c r="XT350" s="985"/>
      <c r="XU350" s="985"/>
      <c r="XV350" s="985"/>
      <c r="XW350" s="985"/>
      <c r="XX350" s="985"/>
      <c r="XY350" s="985"/>
      <c r="XZ350" s="985"/>
      <c r="YA350" s="985"/>
      <c r="YB350" s="985"/>
      <c r="YC350" s="985"/>
      <c r="YD350" s="985"/>
      <c r="YE350" s="985"/>
      <c r="YF350" s="985"/>
      <c r="YG350" s="985"/>
      <c r="YH350" s="985"/>
      <c r="YI350" s="985"/>
      <c r="YJ350" s="985"/>
      <c r="YK350" s="985"/>
      <c r="YL350" s="985"/>
      <c r="YM350" s="985"/>
      <c r="YN350" s="985"/>
      <c r="YO350" s="985"/>
      <c r="YP350" s="985"/>
      <c r="YQ350" s="985"/>
      <c r="YR350" s="985"/>
      <c r="YS350" s="985"/>
      <c r="YT350" s="985"/>
      <c r="YU350" s="985"/>
      <c r="YV350" s="985"/>
      <c r="YW350" s="985"/>
      <c r="YX350" s="985"/>
      <c r="YY350" s="985"/>
      <c r="YZ350" s="985"/>
      <c r="ZA350" s="985"/>
      <c r="ZB350" s="985"/>
      <c r="ZC350" s="985"/>
      <c r="ZD350" s="985"/>
      <c r="ZE350" s="985"/>
      <c r="ZF350" s="985"/>
      <c r="ZG350" s="985"/>
      <c r="ZH350" s="985"/>
      <c r="ZI350" s="985"/>
      <c r="ZJ350" s="985"/>
      <c r="ZK350" s="985"/>
      <c r="ZL350" s="985"/>
      <c r="ZM350" s="985"/>
      <c r="ZN350" s="985"/>
      <c r="ZO350" s="985"/>
      <c r="ZP350" s="985"/>
      <c r="ZQ350" s="985"/>
      <c r="ZR350" s="985"/>
      <c r="ZS350" s="985"/>
      <c r="ZT350" s="985"/>
      <c r="ZU350" s="985"/>
      <c r="ZV350" s="985"/>
      <c r="ZW350" s="985"/>
      <c r="ZX350" s="985"/>
      <c r="ZY350" s="985"/>
      <c r="ZZ350" s="985"/>
      <c r="AAA350" s="985"/>
      <c r="AAB350" s="985"/>
      <c r="AAC350" s="985"/>
      <c r="AAD350" s="985"/>
      <c r="AAE350" s="985"/>
      <c r="AAF350" s="985"/>
      <c r="AAG350" s="985"/>
      <c r="AAH350" s="985"/>
      <c r="AAI350" s="985"/>
      <c r="AAJ350" s="985"/>
      <c r="AAK350" s="985"/>
      <c r="AAL350" s="985"/>
      <c r="AAM350" s="985"/>
      <c r="AAN350" s="985"/>
      <c r="AAO350" s="985"/>
      <c r="AAP350" s="985"/>
      <c r="AAQ350" s="985"/>
      <c r="AAR350" s="985"/>
      <c r="AAS350" s="985"/>
      <c r="AAT350" s="985"/>
      <c r="AAU350" s="985"/>
      <c r="AAV350" s="985"/>
      <c r="AAW350" s="985"/>
      <c r="AAX350" s="985"/>
      <c r="AAY350" s="985"/>
      <c r="AAZ350" s="985"/>
      <c r="ABA350" s="985"/>
      <c r="ABB350" s="985"/>
      <c r="ABC350" s="985"/>
      <c r="ABD350" s="985"/>
      <c r="ABE350" s="985"/>
      <c r="ABF350" s="985"/>
      <c r="ABG350" s="985"/>
      <c r="ABH350" s="985"/>
      <c r="ABI350" s="985"/>
      <c r="ABJ350" s="985"/>
      <c r="ABK350" s="985"/>
      <c r="ABL350" s="985"/>
      <c r="ABM350" s="985"/>
      <c r="ABN350" s="985"/>
      <c r="ABO350" s="985"/>
      <c r="ABP350" s="985"/>
      <c r="ABQ350" s="985"/>
      <c r="ABR350" s="985"/>
      <c r="ABS350" s="985"/>
      <c r="ABT350" s="985"/>
      <c r="ABU350" s="985"/>
      <c r="ABV350" s="985"/>
      <c r="ABW350" s="985"/>
      <c r="ABX350" s="985"/>
      <c r="ABY350" s="985"/>
      <c r="ABZ350" s="985"/>
      <c r="ACA350" s="985"/>
      <c r="ACB350" s="985"/>
      <c r="ACC350" s="985"/>
      <c r="ACD350" s="985"/>
      <c r="ACE350" s="985"/>
      <c r="ACF350" s="985"/>
      <c r="ACG350" s="985"/>
      <c r="ACH350" s="985"/>
      <c r="ACI350" s="985"/>
      <c r="ACJ350" s="985"/>
      <c r="ACK350" s="985"/>
      <c r="ACL350" s="985"/>
      <c r="ACM350" s="985"/>
      <c r="ACN350" s="985"/>
      <c r="ACO350" s="985"/>
      <c r="ACP350" s="985"/>
      <c r="ACQ350" s="985"/>
      <c r="ACR350" s="985"/>
      <c r="ACS350" s="985"/>
      <c r="ACT350" s="985"/>
      <c r="ACU350" s="985"/>
      <c r="ACV350" s="985"/>
      <c r="ACW350" s="985"/>
      <c r="ACX350" s="985"/>
      <c r="ACY350" s="985"/>
      <c r="ACZ350" s="985"/>
      <c r="ADA350" s="985"/>
      <c r="ADB350" s="985"/>
      <c r="ADC350" s="985"/>
      <c r="ADD350" s="985"/>
      <c r="ADE350" s="985"/>
      <c r="ADF350" s="985"/>
      <c r="ADG350" s="985"/>
      <c r="ADH350" s="985"/>
      <c r="ADI350" s="985"/>
      <c r="ADJ350" s="985"/>
      <c r="ADK350" s="985"/>
      <c r="ADL350" s="985"/>
      <c r="ADM350" s="985"/>
      <c r="ADN350" s="985"/>
      <c r="ADO350" s="985"/>
      <c r="ADP350" s="985"/>
      <c r="ADQ350" s="985"/>
      <c r="ADR350" s="985"/>
      <c r="ADS350" s="985"/>
      <c r="ADT350" s="985"/>
      <c r="ADU350" s="985"/>
      <c r="ADV350" s="985"/>
      <c r="ADW350" s="985"/>
      <c r="ADX350" s="985"/>
      <c r="ADY350" s="985"/>
      <c r="ADZ350" s="985"/>
      <c r="AEA350" s="985"/>
      <c r="AEB350" s="985"/>
      <c r="AEC350" s="985"/>
      <c r="AED350" s="985"/>
      <c r="AEE350" s="985"/>
      <c r="AEF350" s="985"/>
      <c r="AEG350" s="985"/>
      <c r="AEH350" s="985"/>
      <c r="AEI350" s="985"/>
      <c r="AEJ350" s="985"/>
      <c r="AEK350" s="985"/>
      <c r="AEL350" s="985"/>
      <c r="AEM350" s="985"/>
      <c r="AEN350" s="985"/>
      <c r="AEO350" s="985"/>
      <c r="AEP350" s="985"/>
      <c r="AEQ350" s="985"/>
      <c r="AER350" s="985"/>
      <c r="AES350" s="985"/>
      <c r="AET350" s="985"/>
      <c r="AEU350" s="985"/>
      <c r="AEV350" s="985"/>
      <c r="AEW350" s="985"/>
      <c r="AEX350" s="985"/>
      <c r="AEY350" s="985"/>
      <c r="AEZ350" s="985"/>
      <c r="AFA350" s="985"/>
      <c r="AFB350" s="985"/>
      <c r="AFC350" s="985"/>
      <c r="AFD350" s="985"/>
      <c r="AFE350" s="985"/>
      <c r="AFF350" s="985"/>
      <c r="AFG350" s="985"/>
      <c r="AFH350" s="985"/>
      <c r="AFI350" s="985"/>
      <c r="AFJ350" s="985"/>
      <c r="AFK350" s="985"/>
      <c r="AFL350" s="985"/>
      <c r="AFM350" s="985"/>
      <c r="AFN350" s="985"/>
      <c r="AFO350" s="985"/>
      <c r="AFP350" s="985"/>
      <c r="AFQ350" s="985"/>
      <c r="AFR350" s="985"/>
      <c r="AFS350" s="985"/>
      <c r="AFT350" s="985"/>
      <c r="AFU350" s="985"/>
      <c r="AFV350" s="985"/>
      <c r="AFW350" s="985"/>
      <c r="AFX350" s="985"/>
      <c r="AFY350" s="985"/>
      <c r="AFZ350" s="985"/>
      <c r="AGA350" s="985"/>
      <c r="AGB350" s="985"/>
      <c r="AGC350" s="985"/>
      <c r="AGD350" s="985"/>
      <c r="AGE350" s="985"/>
      <c r="AGF350" s="985"/>
      <c r="AGG350" s="985"/>
      <c r="AGH350" s="985"/>
      <c r="AGI350" s="985"/>
      <c r="AGJ350" s="985"/>
      <c r="AGK350" s="985"/>
      <c r="AGL350" s="985"/>
      <c r="AGM350" s="985"/>
      <c r="AGN350" s="985"/>
      <c r="AGO350" s="985"/>
      <c r="AGP350" s="985"/>
      <c r="AGQ350" s="985"/>
      <c r="AGR350" s="985"/>
      <c r="AGS350" s="985"/>
      <c r="AGT350" s="985"/>
      <c r="AGU350" s="985"/>
      <c r="AGV350" s="985"/>
      <c r="AGW350" s="985"/>
      <c r="AGX350" s="985"/>
      <c r="AGY350" s="985"/>
      <c r="AGZ350" s="985"/>
      <c r="AHA350" s="985"/>
      <c r="AHB350" s="985"/>
      <c r="AHC350" s="985"/>
      <c r="AHD350" s="985"/>
      <c r="AHE350" s="985"/>
      <c r="AHF350" s="985"/>
      <c r="AHG350" s="985"/>
      <c r="AHH350" s="985"/>
      <c r="AHI350" s="985"/>
      <c r="AHJ350" s="985"/>
      <c r="AHK350" s="985"/>
      <c r="AHL350" s="985"/>
      <c r="AHM350" s="985"/>
      <c r="AHN350" s="985"/>
      <c r="AHO350" s="985"/>
      <c r="AHP350" s="985"/>
      <c r="AHQ350" s="985"/>
      <c r="AHR350" s="985"/>
      <c r="AHS350" s="985"/>
      <c r="AHT350" s="985"/>
      <c r="AHU350" s="985"/>
      <c r="AHV350" s="985"/>
      <c r="AHW350" s="985"/>
      <c r="AHX350" s="985"/>
      <c r="AHY350" s="985"/>
      <c r="AHZ350" s="985"/>
      <c r="AIA350" s="985"/>
      <c r="AIB350" s="985"/>
      <c r="AIC350" s="985"/>
      <c r="AID350" s="985"/>
      <c r="AIE350" s="985"/>
      <c r="AIF350" s="985"/>
      <c r="AIG350" s="985"/>
      <c r="AIH350" s="985"/>
      <c r="AII350" s="985"/>
      <c r="AIJ350" s="985"/>
      <c r="AIK350" s="985"/>
      <c r="AIL350" s="985"/>
      <c r="AIM350" s="985"/>
      <c r="AIN350" s="985"/>
      <c r="AIO350" s="985"/>
      <c r="AIP350" s="985"/>
      <c r="AIQ350" s="985"/>
      <c r="AIR350" s="985"/>
      <c r="AIS350" s="985"/>
      <c r="AIT350" s="985"/>
      <c r="AIU350" s="985"/>
      <c r="AIV350" s="985"/>
      <c r="AIW350" s="985"/>
      <c r="AIX350" s="985"/>
      <c r="AIY350" s="985"/>
      <c r="AIZ350" s="985"/>
      <c r="AJA350" s="985"/>
      <c r="AJB350" s="985"/>
      <c r="AJC350" s="985"/>
      <c r="AJD350" s="985"/>
      <c r="AJE350" s="985"/>
      <c r="AJF350" s="985"/>
      <c r="AJG350" s="985"/>
      <c r="AJH350" s="985"/>
      <c r="AJI350" s="985"/>
      <c r="AJJ350" s="985"/>
      <c r="AJK350" s="985"/>
      <c r="AJL350" s="985"/>
      <c r="AJM350" s="985"/>
      <c r="AJN350" s="985"/>
      <c r="AJO350" s="985"/>
      <c r="AJP350" s="985"/>
      <c r="AJQ350" s="985"/>
      <c r="AJR350" s="985"/>
      <c r="AJS350" s="985"/>
      <c r="AJT350" s="985"/>
      <c r="AJU350" s="985"/>
      <c r="AJV350" s="985"/>
      <c r="AJW350" s="985"/>
      <c r="AJX350" s="985"/>
      <c r="AJY350" s="985"/>
      <c r="AJZ350" s="985"/>
      <c r="AKA350" s="985"/>
      <c r="AKB350" s="985"/>
      <c r="AKC350" s="985"/>
      <c r="AKD350" s="985"/>
      <c r="AKE350" s="985"/>
      <c r="AKF350" s="985"/>
      <c r="AKG350" s="985"/>
      <c r="AKH350" s="985"/>
      <c r="AKI350" s="985"/>
      <c r="AKJ350" s="985"/>
      <c r="AKK350" s="985"/>
      <c r="AKL350" s="985"/>
      <c r="AKM350" s="985"/>
      <c r="AKN350" s="985"/>
      <c r="AKO350" s="985"/>
      <c r="AKP350" s="985"/>
      <c r="AKQ350" s="985"/>
      <c r="AKR350" s="985"/>
      <c r="AKS350" s="985"/>
      <c r="AKT350" s="985"/>
      <c r="AKU350" s="985"/>
      <c r="AKV350" s="985"/>
      <c r="AKW350" s="985"/>
      <c r="AKX350" s="985"/>
      <c r="AKY350" s="985"/>
      <c r="AKZ350" s="985"/>
      <c r="ALA350" s="985"/>
      <c r="ALB350" s="985"/>
      <c r="ALC350" s="985"/>
      <c r="ALD350" s="985"/>
      <c r="ALE350" s="985"/>
      <c r="ALF350" s="985"/>
      <c r="ALG350" s="985"/>
      <c r="ALH350" s="985"/>
      <c r="ALI350" s="985"/>
      <c r="ALJ350" s="985"/>
      <c r="ALK350" s="985"/>
      <c r="ALL350" s="985"/>
      <c r="ALM350" s="985"/>
      <c r="ALN350" s="985"/>
      <c r="ALO350" s="985"/>
      <c r="ALP350" s="985"/>
      <c r="ALQ350" s="985"/>
      <c r="ALR350" s="985"/>
      <c r="ALS350" s="985"/>
      <c r="ALT350" s="985"/>
      <c r="ALU350" s="985"/>
      <c r="ALV350" s="985"/>
      <c r="ALW350" s="985"/>
      <c r="ALX350" s="985"/>
      <c r="ALY350" s="985"/>
      <c r="ALZ350" s="985"/>
      <c r="AMA350" s="985"/>
      <c r="AMB350" s="985"/>
      <c r="AMC350" s="985"/>
      <c r="AMD350" s="985"/>
      <c r="AME350" s="985"/>
      <c r="AMF350" s="985"/>
      <c r="AMG350" s="985"/>
      <c r="AMH350" s="985"/>
      <c r="AMI350" s="985"/>
      <c r="AMJ350" s="985"/>
      <c r="AMK350" s="985"/>
      <c r="AML350" s="985"/>
      <c r="AMM350" s="985"/>
      <c r="AMN350" s="985"/>
      <c r="AMO350" s="985"/>
      <c r="AMP350" s="985"/>
      <c r="AMQ350" s="985"/>
      <c r="AMR350" s="985"/>
      <c r="AMS350" s="985"/>
      <c r="AMT350" s="985"/>
      <c r="AMU350" s="985"/>
      <c r="AMV350" s="985"/>
      <c r="AMW350" s="985"/>
      <c r="AMX350" s="985"/>
      <c r="AMY350" s="985"/>
      <c r="AMZ350" s="985"/>
      <c r="ANA350" s="985"/>
      <c r="ANB350" s="985"/>
      <c r="ANC350" s="985"/>
      <c r="AND350" s="985"/>
      <c r="ANE350" s="985"/>
      <c r="ANF350" s="985"/>
      <c r="ANG350" s="985"/>
      <c r="ANH350" s="985"/>
      <c r="ANI350" s="985"/>
      <c r="ANJ350" s="985"/>
      <c r="ANK350" s="985"/>
      <c r="ANL350" s="985"/>
      <c r="ANM350" s="985"/>
      <c r="ANN350" s="985"/>
      <c r="ANO350" s="985"/>
      <c r="ANP350" s="985"/>
      <c r="ANQ350" s="985"/>
      <c r="ANR350" s="985"/>
      <c r="ANS350" s="985"/>
      <c r="ANT350" s="985"/>
      <c r="ANU350" s="985"/>
      <c r="ANV350" s="985"/>
      <c r="ANW350" s="985"/>
      <c r="ANX350" s="985"/>
      <c r="ANY350" s="985"/>
      <c r="ANZ350" s="985"/>
      <c r="AOA350" s="985"/>
      <c r="AOB350" s="985"/>
      <c r="AOC350" s="985"/>
      <c r="AOD350" s="985"/>
      <c r="AOE350" s="985"/>
      <c r="AOF350" s="985"/>
      <c r="AOG350" s="985"/>
      <c r="AOH350" s="985"/>
      <c r="AOI350" s="985"/>
      <c r="AOJ350" s="985"/>
      <c r="AOK350" s="985"/>
      <c r="AOL350" s="985"/>
      <c r="AOM350" s="985"/>
      <c r="AON350" s="985"/>
      <c r="AOO350" s="985"/>
      <c r="AOP350" s="985"/>
      <c r="AOQ350" s="985"/>
      <c r="AOR350" s="985"/>
      <c r="AOS350" s="985"/>
      <c r="AOT350" s="985"/>
      <c r="AOU350" s="985"/>
      <c r="AOV350" s="985"/>
      <c r="AOW350" s="985"/>
      <c r="AOX350" s="985"/>
      <c r="AOY350" s="985"/>
      <c r="AOZ350" s="985"/>
      <c r="APA350" s="985"/>
      <c r="APB350" s="985"/>
      <c r="APC350" s="985"/>
      <c r="APD350" s="985"/>
      <c r="APE350" s="985"/>
      <c r="APF350" s="985"/>
      <c r="APG350" s="985"/>
      <c r="APH350" s="985"/>
      <c r="API350" s="985"/>
      <c r="APJ350" s="985"/>
      <c r="APK350" s="985"/>
      <c r="APL350" s="985"/>
      <c r="APM350" s="985"/>
      <c r="APN350" s="985"/>
      <c r="APO350" s="985"/>
      <c r="APP350" s="985"/>
      <c r="APQ350" s="985"/>
      <c r="APR350" s="985"/>
      <c r="APS350" s="985"/>
      <c r="APT350" s="985"/>
      <c r="APU350" s="985"/>
      <c r="APV350" s="985"/>
      <c r="APW350" s="985"/>
      <c r="APX350" s="985"/>
      <c r="APY350" s="985"/>
      <c r="APZ350" s="985"/>
      <c r="AQA350" s="985"/>
      <c r="AQB350" s="985"/>
      <c r="AQC350" s="985"/>
      <c r="AQD350" s="985"/>
      <c r="AQE350" s="985"/>
      <c r="AQF350" s="985"/>
      <c r="AQG350" s="985"/>
      <c r="AQH350" s="985"/>
      <c r="AQI350" s="985"/>
      <c r="AQJ350" s="985"/>
      <c r="AQK350" s="985"/>
      <c r="AQL350" s="985"/>
      <c r="AQM350" s="985"/>
      <c r="AQN350" s="985"/>
      <c r="AQO350" s="985"/>
      <c r="AQP350" s="985"/>
      <c r="AQQ350" s="985"/>
      <c r="AQR350" s="985"/>
      <c r="AQS350" s="985"/>
      <c r="AQT350" s="985"/>
      <c r="AQU350" s="985"/>
      <c r="AQV350" s="985"/>
      <c r="AQW350" s="985"/>
      <c r="AQX350" s="985"/>
      <c r="AQY350" s="985"/>
      <c r="AQZ350" s="985"/>
      <c r="ARA350" s="985"/>
      <c r="ARB350" s="985"/>
      <c r="ARC350" s="985"/>
      <c r="ARD350" s="985"/>
      <c r="ARE350" s="985"/>
      <c r="ARF350" s="985"/>
      <c r="ARG350" s="985"/>
      <c r="ARH350" s="985"/>
      <c r="ARI350" s="985"/>
      <c r="ARJ350" s="985"/>
      <c r="ARK350" s="985"/>
      <c r="ARL350" s="985"/>
      <c r="ARM350" s="985"/>
      <c r="ARN350" s="985"/>
      <c r="ARO350" s="985"/>
      <c r="ARP350" s="985"/>
      <c r="ARQ350" s="985"/>
      <c r="ARR350" s="985"/>
      <c r="ARS350" s="985"/>
      <c r="ART350" s="985"/>
      <c r="ARU350" s="985"/>
      <c r="ARV350" s="985"/>
      <c r="ARW350" s="985"/>
      <c r="ARX350" s="985"/>
      <c r="ARY350" s="985"/>
      <c r="ARZ350" s="985"/>
      <c r="ASA350" s="985"/>
      <c r="ASB350" s="985"/>
      <c r="ASC350" s="985"/>
      <c r="ASD350" s="985"/>
      <c r="ASE350" s="985"/>
      <c r="ASF350" s="985"/>
      <c r="ASG350" s="985"/>
      <c r="ASH350" s="985"/>
      <c r="ASI350" s="985"/>
      <c r="ASJ350" s="985"/>
      <c r="ASK350" s="985"/>
      <c r="ASL350" s="985"/>
      <c r="ASM350" s="985"/>
      <c r="ASN350" s="985"/>
      <c r="ASO350" s="985"/>
      <c r="ASP350" s="985"/>
      <c r="ASQ350" s="985"/>
      <c r="ASR350" s="985"/>
      <c r="ASS350" s="985"/>
      <c r="AST350" s="985"/>
      <c r="ASU350" s="985"/>
      <c r="ASV350" s="985"/>
      <c r="ASW350" s="985"/>
      <c r="ASX350" s="985"/>
      <c r="ASY350" s="985"/>
      <c r="ASZ350" s="985"/>
      <c r="ATA350" s="985"/>
      <c r="ATB350" s="985"/>
      <c r="ATC350" s="985"/>
      <c r="ATD350" s="985"/>
      <c r="ATE350" s="985"/>
      <c r="ATF350" s="985"/>
      <c r="ATG350" s="985"/>
      <c r="ATH350" s="985"/>
      <c r="ATI350" s="985"/>
      <c r="ATJ350" s="985"/>
      <c r="ATK350" s="985"/>
      <c r="ATL350" s="985"/>
      <c r="ATM350" s="985"/>
      <c r="ATN350" s="985"/>
      <c r="ATO350" s="985"/>
      <c r="ATP350" s="985"/>
      <c r="ATQ350" s="985"/>
      <c r="ATR350" s="985"/>
      <c r="ATS350" s="985"/>
      <c r="ATT350" s="985"/>
      <c r="ATU350" s="985"/>
      <c r="ATV350" s="985"/>
      <c r="ATW350" s="985"/>
      <c r="ATX350" s="985"/>
      <c r="ATY350" s="985"/>
      <c r="ATZ350" s="985"/>
      <c r="AUA350" s="985"/>
      <c r="AUB350" s="985"/>
      <c r="AUC350" s="985"/>
      <c r="AUD350" s="985"/>
      <c r="AUE350" s="985"/>
      <c r="AUF350" s="985"/>
      <c r="AUG350" s="985"/>
      <c r="AUH350" s="985"/>
      <c r="AUI350" s="985"/>
      <c r="AUJ350" s="985"/>
      <c r="AUK350" s="985"/>
      <c r="AUL350" s="985"/>
      <c r="AUM350" s="985"/>
      <c r="AUN350" s="985"/>
      <c r="AUO350" s="985"/>
      <c r="AUP350" s="985"/>
      <c r="AUQ350" s="985"/>
      <c r="AUR350" s="985"/>
      <c r="AUS350" s="985"/>
      <c r="AUT350" s="985"/>
      <c r="AUU350" s="985"/>
      <c r="AUV350" s="985"/>
      <c r="AUW350" s="985"/>
      <c r="AUX350" s="985"/>
      <c r="AUY350" s="985"/>
      <c r="AUZ350" s="985"/>
      <c r="AVA350" s="985"/>
      <c r="AVB350" s="985"/>
      <c r="AVC350" s="985"/>
      <c r="AVD350" s="985"/>
      <c r="AVE350" s="985"/>
      <c r="AVF350" s="985"/>
      <c r="AVG350" s="985"/>
      <c r="AVH350" s="985"/>
      <c r="AVI350" s="985"/>
      <c r="AVJ350" s="985"/>
      <c r="AVK350" s="985"/>
      <c r="AVL350" s="985"/>
      <c r="AVM350" s="985"/>
      <c r="AVN350" s="985"/>
      <c r="AVO350" s="985"/>
      <c r="AVP350" s="985"/>
      <c r="AVQ350" s="985"/>
      <c r="AVR350" s="985"/>
      <c r="AVS350" s="985"/>
      <c r="AVT350" s="985"/>
      <c r="AVU350" s="985"/>
      <c r="AVV350" s="985"/>
      <c r="AVW350" s="985"/>
      <c r="AVX350" s="985"/>
      <c r="AVY350" s="985"/>
      <c r="AVZ350" s="985"/>
      <c r="AWA350" s="985"/>
      <c r="AWB350" s="985"/>
      <c r="AWC350" s="985"/>
      <c r="AWD350" s="985"/>
      <c r="AWE350" s="985"/>
      <c r="AWF350" s="985"/>
      <c r="AWG350" s="985"/>
      <c r="AWH350" s="985"/>
      <c r="AWI350" s="985"/>
      <c r="AWJ350" s="985"/>
      <c r="AWK350" s="985"/>
      <c r="AWL350" s="985"/>
      <c r="AWM350" s="985"/>
      <c r="AWN350" s="985"/>
      <c r="AWO350" s="985"/>
      <c r="AWP350" s="985"/>
      <c r="AWQ350" s="985"/>
      <c r="AWR350" s="985"/>
      <c r="AWS350" s="985"/>
      <c r="AWT350" s="985"/>
      <c r="AWU350" s="985"/>
      <c r="AWV350" s="985"/>
      <c r="AWW350" s="985"/>
      <c r="AWX350" s="985"/>
      <c r="AWY350" s="985"/>
      <c r="AWZ350" s="985"/>
      <c r="AXA350" s="985"/>
      <c r="AXB350" s="985"/>
      <c r="AXC350" s="985"/>
      <c r="AXD350" s="985"/>
      <c r="AXE350" s="985"/>
      <c r="AXF350" s="985"/>
      <c r="AXG350" s="985"/>
      <c r="AXH350" s="985"/>
      <c r="AXI350" s="985"/>
      <c r="AXJ350" s="985"/>
      <c r="AXK350" s="985"/>
      <c r="AXL350" s="985"/>
      <c r="AXM350" s="985"/>
      <c r="AXN350" s="985"/>
      <c r="AXO350" s="985"/>
      <c r="AXP350" s="985"/>
      <c r="AXQ350" s="985"/>
      <c r="AXR350" s="985"/>
      <c r="AXS350" s="985"/>
      <c r="AXT350" s="985"/>
      <c r="AXU350" s="985"/>
      <c r="AXV350" s="985"/>
    </row>
    <row r="351" spans="1:1322" s="1037" customFormat="1" ht="12.75">
      <c r="A351" s="986" t="s">
        <v>2686</v>
      </c>
      <c r="B351" s="985">
        <f t="shared" si="97"/>
        <v>2.7713625866050808</v>
      </c>
      <c r="C351" s="986"/>
      <c r="D351" s="994">
        <f t="shared" ca="1" si="95"/>
        <v>7.6592487498432268E-2</v>
      </c>
      <c r="E351" s="988"/>
      <c r="F351" s="985">
        <f t="shared" ca="1" si="96"/>
        <v>2.8479550741035129</v>
      </c>
      <c r="I351" s="1038"/>
      <c r="K351" s="1038"/>
      <c r="L351" s="1038"/>
      <c r="M351" s="1038"/>
      <c r="N351" s="1038"/>
      <c r="O351" s="1038"/>
      <c r="P351" s="1038"/>
      <c r="Q351" s="1038"/>
      <c r="R351" s="1038"/>
    </row>
    <row r="352" spans="1:1322" s="1038" customFormat="1" ht="12.75">
      <c r="A352" s="986" t="s">
        <v>2693</v>
      </c>
      <c r="B352" s="985">
        <f t="shared" si="97"/>
        <v>2.7713625866050808</v>
      </c>
      <c r="C352" s="986"/>
      <c r="D352" s="994">
        <f t="shared" ca="1" si="95"/>
        <v>7.6592487498432268E-2</v>
      </c>
      <c r="E352" s="988"/>
      <c r="F352" s="985">
        <f t="shared" ca="1" si="96"/>
        <v>2.8479550741035129</v>
      </c>
      <c r="G352" s="1037"/>
      <c r="H352" s="1037"/>
      <c r="J352" s="1037"/>
    </row>
    <row r="353" spans="1:18" s="1037" customFormat="1" ht="12.75">
      <c r="A353" s="1038"/>
      <c r="C353" s="1038"/>
      <c r="D353" s="1039"/>
      <c r="E353" s="1040"/>
      <c r="F353" s="1040"/>
      <c r="I353" s="1038"/>
      <c r="K353" s="1038"/>
      <c r="L353" s="1038"/>
      <c r="M353" s="1038"/>
      <c r="N353" s="1038"/>
      <c r="O353" s="1038"/>
      <c r="P353" s="1038"/>
      <c r="Q353" s="1038"/>
      <c r="R353" s="1038"/>
    </row>
    <row r="354" spans="1:18" s="1037" customFormat="1" ht="12.75">
      <c r="A354" s="1038"/>
      <c r="C354" s="1038"/>
      <c r="D354" s="1039"/>
      <c r="E354" s="1040"/>
      <c r="F354" s="1040"/>
      <c r="I354" s="1038"/>
      <c r="K354" s="1038"/>
      <c r="L354" s="1038"/>
      <c r="M354" s="1038"/>
      <c r="N354" s="1038"/>
      <c r="O354" s="1038"/>
      <c r="P354" s="1038"/>
      <c r="Q354" s="1038"/>
      <c r="R354" s="1038"/>
    </row>
    <row r="355" spans="1:18" s="1038" customFormat="1" ht="12.75">
      <c r="A355" s="1041"/>
      <c r="B355" s="1037"/>
      <c r="D355" s="1039"/>
      <c r="E355" s="1040"/>
      <c r="F355" s="1040"/>
      <c r="G355" s="1037"/>
      <c r="H355" s="1037"/>
      <c r="J355" s="1037"/>
    </row>
    <row r="357" spans="1:18" s="1038" customFormat="1" ht="12.75">
      <c r="B357" s="1037" t="s">
        <v>312</v>
      </c>
      <c r="D357" s="1039"/>
      <c r="E357" s="1040"/>
      <c r="F357" s="1040"/>
      <c r="G357" s="1037"/>
      <c r="H357" s="1037"/>
      <c r="J357" s="1037"/>
    </row>
    <row r="358" spans="1:18" s="1038" customFormat="1" ht="12.75">
      <c r="A358" s="1042"/>
      <c r="B358" s="1037"/>
      <c r="D358" s="1039"/>
      <c r="E358" s="1040"/>
      <c r="F358" s="1040"/>
      <c r="G358" s="1037"/>
      <c r="H358" s="1037"/>
      <c r="J358" s="1037"/>
    </row>
    <row r="359" spans="1:18" s="1038" customFormat="1" ht="12.75">
      <c r="A359" s="1042"/>
      <c r="B359" s="1037"/>
      <c r="D359" s="1039"/>
      <c r="E359" s="1040"/>
      <c r="F359" s="1040"/>
      <c r="G359" s="1037"/>
      <c r="H359" s="1037"/>
      <c r="J359" s="1037"/>
    </row>
    <row r="360" spans="1:18" s="1038" customFormat="1" ht="12.75">
      <c r="A360" s="1042"/>
      <c r="B360" s="1037"/>
      <c r="D360" s="1039"/>
      <c r="E360" s="1040"/>
      <c r="F360" s="1040"/>
      <c r="G360" s="1037"/>
      <c r="H360" s="1037"/>
      <c r="J360" s="1037"/>
    </row>
    <row r="361" spans="1:18" s="1038" customFormat="1" ht="12.75">
      <c r="A361" s="1042"/>
      <c r="B361" s="1037"/>
      <c r="D361" s="1039"/>
      <c r="E361" s="1040"/>
      <c r="F361" s="1040"/>
      <c r="G361" s="1037"/>
      <c r="H361" s="1037"/>
      <c r="J361" s="1037"/>
    </row>
    <row r="362" spans="1:18" s="1038" customFormat="1" ht="12.75">
      <c r="A362" s="1042"/>
      <c r="B362" s="1037"/>
      <c r="D362" s="1039"/>
      <c r="E362" s="1040"/>
      <c r="F362" s="1040"/>
      <c r="G362" s="1037"/>
      <c r="H362" s="1037"/>
      <c r="J362" s="1037"/>
    </row>
    <row r="363" spans="1:18" s="1038" customFormat="1" ht="12.75">
      <c r="A363" s="1042"/>
      <c r="B363" s="1037"/>
      <c r="D363" s="1039"/>
      <c r="E363" s="1040"/>
      <c r="F363" s="1040"/>
      <c r="G363" s="1037"/>
      <c r="H363" s="1037"/>
      <c r="J363" s="1037"/>
    </row>
    <row r="364" spans="1:18" s="1038" customFormat="1" ht="12.75">
      <c r="A364" s="1042"/>
      <c r="B364" s="1037"/>
      <c r="D364" s="1039"/>
      <c r="E364" s="1040"/>
      <c r="F364" s="1040"/>
      <c r="G364" s="1037"/>
      <c r="H364" s="1037"/>
      <c r="J364" s="1037"/>
    </row>
    <row r="365" spans="1:18" s="1038" customFormat="1" ht="12.75">
      <c r="A365" s="1042"/>
      <c r="B365" s="1037"/>
      <c r="D365" s="1039"/>
      <c r="E365" s="1040"/>
      <c r="F365" s="1040"/>
      <c r="G365" s="1037"/>
      <c r="H365" s="1037"/>
      <c r="J365" s="1037"/>
    </row>
    <row r="366" spans="1:18" s="1038" customFormat="1" ht="12.75">
      <c r="A366" s="1042"/>
      <c r="B366" s="1037"/>
      <c r="D366" s="1039"/>
      <c r="E366" s="1040"/>
      <c r="F366" s="1040"/>
      <c r="G366" s="1037"/>
      <c r="H366" s="1037"/>
      <c r="J366" s="1037"/>
    </row>
    <row r="367" spans="1:18" s="1038" customFormat="1" ht="12.75">
      <c r="A367" s="1042"/>
      <c r="B367" s="1037"/>
      <c r="D367" s="1039"/>
      <c r="E367" s="1040"/>
      <c r="F367" s="1040"/>
      <c r="G367" s="1037"/>
      <c r="H367" s="1037"/>
      <c r="J367" s="1037"/>
    </row>
    <row r="368" spans="1:18" s="1038" customFormat="1" ht="12.75">
      <c r="A368" s="1042"/>
      <c r="B368" s="1037"/>
      <c r="D368" s="1039"/>
      <c r="E368" s="1040"/>
      <c r="F368" s="1040"/>
      <c r="G368" s="1037"/>
      <c r="H368" s="1037"/>
      <c r="J368" s="1037"/>
    </row>
    <row r="369" spans="1:18" s="1038" customFormat="1" ht="12.75">
      <c r="A369" s="1042"/>
      <c r="B369" s="1037"/>
      <c r="D369" s="1039"/>
      <c r="E369" s="1040"/>
      <c r="F369" s="1040"/>
      <c r="G369" s="1037"/>
      <c r="H369" s="1037"/>
      <c r="J369" s="1037"/>
    </row>
    <row r="370" spans="1:18" s="1038" customFormat="1" ht="12.75">
      <c r="A370" s="1042"/>
      <c r="B370" s="1037"/>
      <c r="D370" s="1039"/>
      <c r="E370" s="1040"/>
      <c r="F370" s="1040"/>
      <c r="G370" s="1037"/>
      <c r="H370" s="1037"/>
      <c r="J370" s="1037"/>
    </row>
    <row r="371" spans="1:18" s="1038" customFormat="1" ht="12.75">
      <c r="A371" s="1042"/>
      <c r="B371" s="1037"/>
      <c r="D371" s="1039"/>
      <c r="E371" s="1040"/>
      <c r="F371" s="1040"/>
      <c r="G371" s="1037"/>
      <c r="H371" s="1037"/>
      <c r="J371" s="1037"/>
    </row>
    <row r="372" spans="1:18" s="1037" customFormat="1" ht="12.75">
      <c r="A372" s="1042"/>
      <c r="C372" s="1038"/>
      <c r="D372" s="1039"/>
      <c r="E372" s="1040"/>
      <c r="F372" s="1040"/>
      <c r="I372" s="1038"/>
      <c r="K372" s="1038"/>
      <c r="L372" s="1038"/>
      <c r="M372" s="1038"/>
      <c r="N372" s="1038"/>
      <c r="O372" s="1038"/>
      <c r="P372" s="1038"/>
      <c r="Q372" s="1038"/>
      <c r="R372" s="1038"/>
    </row>
    <row r="373" spans="1:18" s="1037" customFormat="1" ht="12.75">
      <c r="A373" s="1043"/>
      <c r="C373" s="1038"/>
      <c r="D373" s="1039"/>
      <c r="E373" s="1040"/>
      <c r="F373" s="1040"/>
      <c r="I373" s="1038"/>
      <c r="K373" s="1038"/>
      <c r="L373" s="1038"/>
      <c r="M373" s="1038"/>
      <c r="N373" s="1038"/>
      <c r="O373" s="1038"/>
      <c r="P373" s="1038"/>
      <c r="Q373" s="1038"/>
      <c r="R373" s="1038"/>
    </row>
    <row r="374" spans="1:18" s="1037" customFormat="1" ht="12.75">
      <c r="A374" s="1042"/>
      <c r="C374" s="1038"/>
      <c r="D374" s="1039"/>
      <c r="E374" s="1040"/>
      <c r="F374" s="1040"/>
      <c r="I374" s="1038"/>
      <c r="K374" s="1038"/>
      <c r="L374" s="1038"/>
      <c r="M374" s="1038"/>
      <c r="N374" s="1038"/>
      <c r="O374" s="1038"/>
      <c r="P374" s="1038"/>
      <c r="Q374" s="1038"/>
      <c r="R374" s="1038"/>
    </row>
    <row r="375" spans="1:18" s="1037" customFormat="1" ht="12.75">
      <c r="A375" s="1042"/>
      <c r="C375" s="1038"/>
      <c r="D375" s="1039"/>
      <c r="E375" s="1040"/>
      <c r="F375" s="1040"/>
      <c r="I375" s="1038"/>
      <c r="K375" s="1038"/>
      <c r="L375" s="1038"/>
      <c r="M375" s="1038"/>
      <c r="N375" s="1038"/>
      <c r="O375" s="1038"/>
      <c r="P375" s="1038"/>
      <c r="Q375" s="1038"/>
      <c r="R375" s="1038"/>
    </row>
    <row r="376" spans="1:18" s="1037" customFormat="1" ht="12.75">
      <c r="A376" s="1043"/>
      <c r="C376" s="1038"/>
      <c r="D376" s="1039"/>
      <c r="E376" s="1040"/>
      <c r="F376" s="1040"/>
      <c r="I376" s="1038"/>
      <c r="K376" s="1038"/>
      <c r="L376" s="1038"/>
      <c r="M376" s="1038"/>
      <c r="N376" s="1038"/>
      <c r="O376" s="1038"/>
      <c r="P376" s="1038"/>
      <c r="Q376" s="1038"/>
      <c r="R376" s="1038"/>
    </row>
    <row r="377" spans="1:18" s="1037" customFormat="1" ht="12.75">
      <c r="A377" s="1043"/>
      <c r="C377" s="1038"/>
      <c r="D377" s="1039"/>
      <c r="E377" s="1040"/>
      <c r="F377" s="1040"/>
      <c r="I377" s="1038"/>
      <c r="K377" s="1038"/>
      <c r="L377" s="1038"/>
      <c r="M377" s="1038"/>
      <c r="N377" s="1038"/>
      <c r="O377" s="1038"/>
      <c r="P377" s="1038"/>
      <c r="Q377" s="1038"/>
      <c r="R377" s="1038"/>
    </row>
    <row r="378" spans="1:18" s="1037" customFormat="1" ht="12.75">
      <c r="A378" s="1042"/>
      <c r="C378" s="1038"/>
      <c r="D378" s="1039"/>
      <c r="E378" s="1040"/>
      <c r="F378" s="1040"/>
      <c r="I378" s="1038"/>
      <c r="K378" s="1038"/>
      <c r="L378" s="1038"/>
      <c r="M378" s="1038"/>
      <c r="N378" s="1038"/>
      <c r="O378" s="1038"/>
      <c r="P378" s="1038"/>
      <c r="Q378" s="1038"/>
      <c r="R378" s="1038"/>
    </row>
    <row r="379" spans="1:18" s="1037" customFormat="1" ht="12.75">
      <c r="A379" s="1042"/>
      <c r="C379" s="1038"/>
      <c r="D379" s="1039"/>
      <c r="E379" s="1040"/>
      <c r="F379" s="1040"/>
      <c r="I379" s="1038"/>
      <c r="K379" s="1038"/>
      <c r="L379" s="1038"/>
      <c r="M379" s="1038"/>
      <c r="N379" s="1038"/>
      <c r="O379" s="1038"/>
      <c r="P379" s="1038"/>
      <c r="Q379" s="1038"/>
      <c r="R379" s="1038"/>
    </row>
    <row r="380" spans="1:18" s="1037" customFormat="1" ht="12.75">
      <c r="A380" s="1042"/>
      <c r="C380" s="1038"/>
      <c r="D380" s="1039"/>
      <c r="E380" s="1040"/>
      <c r="F380" s="1040"/>
      <c r="I380" s="1038"/>
      <c r="K380" s="1038"/>
      <c r="L380" s="1038"/>
      <c r="M380" s="1038"/>
      <c r="N380" s="1038"/>
      <c r="O380" s="1038"/>
      <c r="P380" s="1038"/>
      <c r="Q380" s="1038"/>
      <c r="R380" s="1038"/>
    </row>
    <row r="381" spans="1:18" s="1037" customFormat="1" ht="12.75">
      <c r="A381" s="1042"/>
      <c r="C381" s="1038"/>
      <c r="D381" s="1039"/>
      <c r="E381" s="1040"/>
      <c r="F381" s="1040"/>
      <c r="I381" s="1038"/>
      <c r="K381" s="1038"/>
      <c r="L381" s="1038"/>
      <c r="M381" s="1038"/>
      <c r="N381" s="1038"/>
      <c r="O381" s="1038"/>
      <c r="P381" s="1038"/>
      <c r="Q381" s="1038"/>
      <c r="R381" s="1038"/>
    </row>
    <row r="382" spans="1:18" s="1037" customFormat="1" ht="12.75">
      <c r="A382" s="1044"/>
      <c r="C382" s="1038"/>
      <c r="D382" s="1039"/>
      <c r="E382" s="1040"/>
      <c r="F382" s="1040"/>
      <c r="I382" s="1038"/>
      <c r="K382" s="1038"/>
      <c r="L382" s="1038"/>
      <c r="M382" s="1038"/>
      <c r="N382" s="1038"/>
      <c r="O382" s="1038"/>
      <c r="P382" s="1038"/>
      <c r="Q382" s="1038"/>
      <c r="R382" s="1038"/>
    </row>
    <row r="383" spans="1:18" s="1037" customFormat="1" ht="12.75">
      <c r="A383" s="1042"/>
      <c r="C383" s="1038"/>
      <c r="D383" s="1039"/>
      <c r="E383" s="1040"/>
      <c r="F383" s="1040"/>
      <c r="I383" s="1038"/>
      <c r="K383" s="1038"/>
      <c r="L383" s="1038"/>
      <c r="M383" s="1038"/>
      <c r="N383" s="1038"/>
      <c r="O383" s="1038"/>
      <c r="P383" s="1038"/>
      <c r="Q383" s="1038"/>
      <c r="R383" s="1038"/>
    </row>
    <row r="384" spans="1:18" s="1037" customFormat="1" ht="12.75">
      <c r="A384" s="1045"/>
      <c r="C384" s="1038"/>
      <c r="D384" s="1039"/>
      <c r="E384" s="1040"/>
      <c r="F384" s="1040"/>
      <c r="I384" s="1038"/>
      <c r="K384" s="1038"/>
      <c r="L384" s="1038"/>
      <c r="M384" s="1038"/>
      <c r="N384" s="1038"/>
      <c r="O384" s="1038"/>
      <c r="P384" s="1038"/>
      <c r="Q384" s="1038"/>
      <c r="R384" s="1038"/>
    </row>
    <row r="385" spans="1:1760" s="1032" customFormat="1" ht="12.75">
      <c r="A385" s="1045"/>
      <c r="B385" s="1037"/>
      <c r="C385" s="1038"/>
      <c r="D385" s="1039"/>
      <c r="E385" s="1040"/>
      <c r="F385" s="1040"/>
      <c r="G385" s="1037"/>
      <c r="H385" s="1037"/>
      <c r="I385" s="1038"/>
      <c r="J385" s="1037"/>
      <c r="K385" s="1038"/>
      <c r="L385" s="1038"/>
      <c r="M385" s="1038"/>
      <c r="N385" s="1038"/>
      <c r="O385" s="1038"/>
      <c r="P385" s="1038"/>
      <c r="Q385" s="1038"/>
      <c r="R385" s="1038"/>
      <c r="S385" s="1037"/>
      <c r="T385" s="1037"/>
      <c r="U385" s="1037"/>
      <c r="V385" s="1037"/>
      <c r="W385" s="1037"/>
      <c r="X385" s="1037"/>
      <c r="Y385" s="1037"/>
      <c r="Z385" s="1037"/>
      <c r="AA385" s="1037"/>
      <c r="AB385" s="1037"/>
      <c r="AC385" s="1037"/>
      <c r="AD385" s="1037"/>
      <c r="AE385" s="1037"/>
      <c r="AF385" s="1037"/>
      <c r="AG385" s="1037"/>
      <c r="AH385" s="1037"/>
      <c r="AI385" s="1037"/>
      <c r="AJ385" s="1037"/>
      <c r="AK385" s="1037"/>
      <c r="AL385" s="1037"/>
      <c r="AM385" s="1037"/>
      <c r="AN385" s="1037"/>
      <c r="AO385" s="1037"/>
      <c r="AP385" s="1037"/>
      <c r="AQ385" s="1037"/>
      <c r="AR385" s="1037"/>
      <c r="AS385" s="1037"/>
      <c r="AT385" s="1037"/>
      <c r="AU385" s="1037"/>
      <c r="AV385" s="1037"/>
      <c r="AW385" s="1037"/>
      <c r="AX385" s="1037"/>
      <c r="AY385" s="1037"/>
      <c r="AZ385" s="1037"/>
      <c r="BA385" s="1037"/>
      <c r="BB385" s="1037"/>
      <c r="BC385" s="1037"/>
      <c r="BD385" s="1037"/>
      <c r="BE385" s="1037"/>
      <c r="BF385" s="1037"/>
      <c r="BG385" s="1037"/>
      <c r="BH385" s="1037"/>
      <c r="BI385" s="1037"/>
      <c r="BJ385" s="1037"/>
      <c r="BK385" s="1037"/>
      <c r="BL385" s="1037"/>
      <c r="BM385" s="1037"/>
      <c r="BN385" s="1037"/>
      <c r="BO385" s="1037"/>
      <c r="BP385" s="1037"/>
      <c r="BQ385" s="1037"/>
      <c r="BR385" s="1037"/>
      <c r="BS385" s="1037"/>
      <c r="BT385" s="1037"/>
      <c r="BU385" s="1037"/>
      <c r="BV385" s="1037"/>
      <c r="BW385" s="1037"/>
      <c r="BX385" s="1037"/>
      <c r="BY385" s="1037"/>
      <c r="BZ385" s="1037"/>
      <c r="CA385" s="1037"/>
      <c r="CB385" s="1037"/>
      <c r="CC385" s="1037"/>
      <c r="CD385" s="1037"/>
      <c r="CE385" s="1037"/>
      <c r="CF385" s="1037"/>
      <c r="CG385" s="1037"/>
      <c r="CH385" s="1037"/>
      <c r="CI385" s="1037"/>
      <c r="CJ385" s="1037"/>
      <c r="CK385" s="1037"/>
      <c r="CL385" s="1037"/>
      <c r="CM385" s="1037"/>
      <c r="CN385" s="1037"/>
      <c r="CO385" s="1037"/>
      <c r="CP385" s="1037"/>
      <c r="CQ385" s="1037"/>
      <c r="CR385" s="1037"/>
      <c r="CS385" s="1037"/>
      <c r="CT385" s="1037"/>
      <c r="CU385" s="1037"/>
      <c r="CV385" s="1037"/>
      <c r="CW385" s="1037"/>
      <c r="CX385" s="1037"/>
      <c r="CY385" s="1037"/>
      <c r="CZ385" s="1037"/>
      <c r="DA385" s="1037"/>
      <c r="DB385" s="1037"/>
      <c r="DC385" s="1037"/>
      <c r="DD385" s="1037"/>
      <c r="DE385" s="1037"/>
      <c r="DF385" s="1037"/>
      <c r="DG385" s="1037"/>
      <c r="DH385" s="1037"/>
      <c r="DI385" s="1037"/>
      <c r="DJ385" s="1037"/>
      <c r="DK385" s="1037"/>
      <c r="DL385" s="1037"/>
      <c r="DM385" s="1037"/>
      <c r="DN385" s="1037"/>
      <c r="DO385" s="1037"/>
      <c r="DP385" s="1037"/>
      <c r="DQ385" s="1037"/>
      <c r="DR385" s="1037"/>
      <c r="DS385" s="1037"/>
      <c r="DT385" s="1037"/>
      <c r="DU385" s="1037"/>
      <c r="DV385" s="1037"/>
      <c r="DW385" s="1037"/>
      <c r="DX385" s="1037"/>
      <c r="DY385" s="1037"/>
      <c r="DZ385" s="1037"/>
      <c r="EA385" s="1037"/>
      <c r="EB385" s="1037"/>
      <c r="EC385" s="1037"/>
      <c r="ED385" s="1037"/>
      <c r="EE385" s="1037"/>
      <c r="EF385" s="1037"/>
      <c r="EG385" s="1037"/>
      <c r="EH385" s="1037"/>
      <c r="EI385" s="1037"/>
      <c r="EJ385" s="1037"/>
      <c r="EK385" s="1037"/>
      <c r="EL385" s="1037"/>
      <c r="EM385" s="1037"/>
      <c r="EN385" s="1037"/>
      <c r="EO385" s="1037"/>
      <c r="EP385" s="1037"/>
      <c r="EQ385" s="1037"/>
      <c r="ER385" s="1037"/>
      <c r="ES385" s="1037"/>
      <c r="ET385" s="1037"/>
      <c r="EU385" s="1037"/>
      <c r="EV385" s="1037"/>
      <c r="EW385" s="1037"/>
      <c r="EX385" s="1037"/>
      <c r="EY385" s="1037"/>
      <c r="EZ385" s="1037"/>
      <c r="FA385" s="1037"/>
      <c r="FB385" s="1037"/>
      <c r="FC385" s="1037"/>
      <c r="FD385" s="1037"/>
      <c r="FE385" s="1037"/>
      <c r="FF385" s="1037"/>
      <c r="FG385" s="1037"/>
      <c r="FH385" s="1037"/>
      <c r="FI385" s="1037"/>
      <c r="FJ385" s="1037"/>
      <c r="FK385" s="1037"/>
      <c r="FL385" s="1037"/>
      <c r="FM385" s="1037"/>
      <c r="FN385" s="1037"/>
      <c r="FO385" s="1037"/>
      <c r="FP385" s="1037"/>
      <c r="FQ385" s="1037"/>
      <c r="FR385" s="1037"/>
      <c r="FS385" s="1037"/>
      <c r="FT385" s="1037"/>
      <c r="FU385" s="1037"/>
      <c r="FV385" s="1037"/>
      <c r="FW385" s="1037"/>
      <c r="FX385" s="1037"/>
      <c r="FY385" s="1037"/>
      <c r="FZ385" s="1037"/>
      <c r="GA385" s="1037"/>
      <c r="GB385" s="1037"/>
      <c r="GC385" s="1037"/>
      <c r="GD385" s="1037"/>
      <c r="GE385" s="1037"/>
      <c r="GF385" s="1037"/>
      <c r="GG385" s="1037"/>
      <c r="GH385" s="1037"/>
      <c r="GI385" s="1037"/>
      <c r="GJ385" s="1037"/>
      <c r="GK385" s="1037"/>
      <c r="GL385" s="1037"/>
      <c r="GM385" s="1037"/>
      <c r="GN385" s="1037"/>
      <c r="GO385" s="1037"/>
      <c r="GP385" s="1037"/>
      <c r="GQ385" s="1037"/>
      <c r="GR385" s="1037"/>
      <c r="GS385" s="1037"/>
      <c r="GT385" s="1037"/>
      <c r="GU385" s="1037"/>
      <c r="GV385" s="1037"/>
      <c r="GW385" s="1037"/>
      <c r="GX385" s="1037"/>
      <c r="GY385" s="1037"/>
      <c r="GZ385" s="1037"/>
      <c r="HA385" s="1037"/>
      <c r="HB385" s="1037"/>
      <c r="HC385" s="1037"/>
      <c r="HD385" s="1037"/>
      <c r="HE385" s="1037"/>
      <c r="HF385" s="1037"/>
      <c r="HG385" s="1037"/>
      <c r="HH385" s="1037"/>
      <c r="HI385" s="1037"/>
      <c r="HJ385" s="1037"/>
      <c r="HK385" s="1037"/>
      <c r="HL385" s="1037"/>
      <c r="HM385" s="1037"/>
      <c r="HN385" s="1037"/>
      <c r="HO385" s="1037"/>
      <c r="HP385" s="1037"/>
      <c r="HQ385" s="1037"/>
      <c r="HR385" s="1037"/>
      <c r="HS385" s="1037"/>
      <c r="HT385" s="1037"/>
      <c r="HU385" s="1037"/>
      <c r="HV385" s="1037"/>
      <c r="HW385" s="1037"/>
      <c r="HX385" s="1037"/>
      <c r="HY385" s="1037"/>
      <c r="HZ385" s="1037"/>
      <c r="IA385" s="1037"/>
      <c r="IB385" s="1037"/>
      <c r="IC385" s="1037"/>
      <c r="ID385" s="1037"/>
      <c r="IE385" s="1037"/>
      <c r="IF385" s="1037"/>
      <c r="IG385" s="1037"/>
      <c r="IH385" s="1037"/>
      <c r="II385" s="1037"/>
      <c r="IJ385" s="1037"/>
      <c r="IK385" s="1037"/>
      <c r="IL385" s="1037"/>
      <c r="IM385" s="1037"/>
      <c r="IN385" s="1037"/>
      <c r="IO385" s="1037"/>
      <c r="IP385" s="1037"/>
      <c r="IQ385" s="1037"/>
      <c r="IR385" s="1037"/>
      <c r="IS385" s="1037"/>
      <c r="IT385" s="1037"/>
      <c r="IU385" s="1037"/>
      <c r="IV385" s="1037"/>
      <c r="IW385" s="1037"/>
      <c r="IX385" s="1037"/>
      <c r="IY385" s="1037"/>
      <c r="IZ385" s="1037"/>
      <c r="JA385" s="1037"/>
      <c r="JB385" s="1037"/>
      <c r="JC385" s="1037"/>
      <c r="JD385" s="1037"/>
      <c r="JE385" s="1037"/>
      <c r="JF385" s="1037"/>
      <c r="JG385" s="1037"/>
      <c r="JH385" s="1037"/>
      <c r="JI385" s="1037"/>
      <c r="JJ385" s="1037"/>
      <c r="JK385" s="1037"/>
      <c r="JL385" s="1037"/>
      <c r="JM385" s="1037"/>
      <c r="JN385" s="1037"/>
      <c r="JO385" s="1037"/>
      <c r="JP385" s="1037"/>
      <c r="JQ385" s="1037"/>
      <c r="JR385" s="1037"/>
      <c r="JS385" s="1037"/>
      <c r="JT385" s="1037"/>
      <c r="JU385" s="1037"/>
      <c r="JV385" s="1037"/>
      <c r="JW385" s="1037"/>
      <c r="JX385" s="1037"/>
      <c r="JY385" s="1037"/>
      <c r="JZ385" s="1037"/>
      <c r="KA385" s="1037"/>
      <c r="KB385" s="1037"/>
      <c r="KC385" s="1037"/>
      <c r="KD385" s="1037"/>
      <c r="KE385" s="1037"/>
      <c r="KF385" s="1037"/>
      <c r="KG385" s="1037"/>
      <c r="KH385" s="1037"/>
      <c r="KI385" s="1037"/>
      <c r="KJ385" s="1037"/>
      <c r="KK385" s="1037"/>
      <c r="KL385" s="1037"/>
      <c r="KM385" s="1037"/>
      <c r="KN385" s="1037"/>
      <c r="KO385" s="1037"/>
      <c r="KP385" s="1037"/>
      <c r="KQ385" s="1037"/>
      <c r="KR385" s="1037"/>
      <c r="KS385" s="1037"/>
      <c r="KT385" s="1037"/>
      <c r="KU385" s="1037"/>
      <c r="KV385" s="1037"/>
      <c r="KW385" s="1037"/>
      <c r="KX385" s="1037"/>
      <c r="KY385" s="1037"/>
      <c r="KZ385" s="1037"/>
      <c r="LA385" s="1037"/>
      <c r="LB385" s="1037"/>
      <c r="LC385" s="1037"/>
      <c r="LD385" s="1037"/>
      <c r="LE385" s="1037"/>
      <c r="LF385" s="1037"/>
      <c r="LG385" s="1037"/>
      <c r="LH385" s="1037"/>
      <c r="LI385" s="1037"/>
      <c r="LJ385" s="1037"/>
      <c r="LK385" s="1037"/>
      <c r="LL385" s="1037"/>
      <c r="LM385" s="1037"/>
      <c r="LN385" s="1037"/>
      <c r="LO385" s="1037"/>
      <c r="LP385" s="1037"/>
      <c r="LQ385" s="1037"/>
      <c r="LR385" s="1037"/>
      <c r="LS385" s="1037"/>
      <c r="LT385" s="1037"/>
      <c r="LU385" s="1037"/>
      <c r="LV385" s="1037"/>
      <c r="LW385" s="1037"/>
      <c r="LX385" s="1037"/>
      <c r="LY385" s="1037"/>
      <c r="LZ385" s="1037"/>
      <c r="MA385" s="1037"/>
      <c r="MB385" s="1037"/>
      <c r="MC385" s="1037"/>
      <c r="MD385" s="1037"/>
      <c r="ME385" s="1037"/>
      <c r="MF385" s="1037"/>
      <c r="MG385" s="1037"/>
      <c r="MH385" s="1037"/>
      <c r="MI385" s="1037"/>
      <c r="MJ385" s="1037"/>
      <c r="MK385" s="1037"/>
      <c r="ML385" s="1037"/>
      <c r="MM385" s="1037"/>
      <c r="MN385" s="1037"/>
      <c r="MO385" s="1037"/>
      <c r="MP385" s="1037"/>
      <c r="MQ385" s="1037"/>
      <c r="MR385" s="1037"/>
      <c r="MS385" s="1037"/>
      <c r="MT385" s="1037"/>
      <c r="MU385" s="1037"/>
      <c r="MV385" s="1037"/>
      <c r="MW385" s="1037"/>
      <c r="MX385" s="1037"/>
      <c r="MY385" s="1037"/>
      <c r="MZ385" s="1037"/>
      <c r="NA385" s="1037"/>
      <c r="NB385" s="1037"/>
      <c r="NC385" s="1037"/>
      <c r="ND385" s="1037"/>
      <c r="NE385" s="1037"/>
      <c r="NF385" s="1037"/>
      <c r="NG385" s="1037"/>
      <c r="NH385" s="1037"/>
      <c r="NI385" s="1037"/>
      <c r="NJ385" s="1037"/>
      <c r="NK385" s="1037"/>
      <c r="NL385" s="1037"/>
      <c r="NM385" s="1037"/>
      <c r="NN385" s="1037"/>
      <c r="NO385" s="1037"/>
      <c r="NP385" s="1037"/>
      <c r="NQ385" s="1037"/>
      <c r="NR385" s="1037"/>
      <c r="NS385" s="1037"/>
      <c r="NT385" s="1037"/>
      <c r="NU385" s="1037"/>
      <c r="NV385" s="1037"/>
      <c r="NW385" s="1037"/>
      <c r="NX385" s="1037"/>
      <c r="NY385" s="1037"/>
      <c r="NZ385" s="1037"/>
      <c r="OA385" s="1037"/>
      <c r="OB385" s="1037"/>
      <c r="OC385" s="1037"/>
      <c r="OD385" s="1037"/>
      <c r="OE385" s="1037"/>
      <c r="OF385" s="1037"/>
      <c r="OG385" s="1037"/>
      <c r="OH385" s="1037"/>
      <c r="OI385" s="1037"/>
      <c r="OJ385" s="1037"/>
      <c r="OK385" s="1037"/>
      <c r="OL385" s="1037"/>
      <c r="OM385" s="1037"/>
      <c r="ON385" s="1037"/>
      <c r="OO385" s="1037"/>
      <c r="OP385" s="1037"/>
      <c r="OQ385" s="1037"/>
      <c r="OR385" s="1037"/>
      <c r="OS385" s="1037"/>
      <c r="OT385" s="1037"/>
      <c r="OU385" s="1037"/>
      <c r="OV385" s="1037"/>
      <c r="OW385" s="1037"/>
      <c r="OX385" s="1037"/>
      <c r="OY385" s="1037"/>
      <c r="OZ385" s="1037"/>
      <c r="PA385" s="1037"/>
      <c r="PB385" s="1037"/>
      <c r="PC385" s="1037"/>
      <c r="PD385" s="1037"/>
      <c r="PE385" s="1037"/>
      <c r="PF385" s="1037"/>
      <c r="PG385" s="1037"/>
      <c r="PH385" s="1037"/>
      <c r="PI385" s="1037"/>
      <c r="PJ385" s="1037"/>
      <c r="PK385" s="1037"/>
      <c r="PL385" s="1037"/>
      <c r="PM385" s="1037"/>
      <c r="PN385" s="1037"/>
      <c r="PO385" s="1037"/>
      <c r="PP385" s="1037"/>
      <c r="PQ385" s="1037"/>
      <c r="PR385" s="1037"/>
      <c r="PS385" s="1037"/>
      <c r="PT385" s="1037"/>
      <c r="PU385" s="1037"/>
      <c r="PV385" s="1037"/>
      <c r="PW385" s="1037"/>
      <c r="PX385" s="1037"/>
      <c r="PY385" s="1037"/>
      <c r="PZ385" s="1037"/>
      <c r="QA385" s="1037"/>
      <c r="QB385" s="1037"/>
      <c r="QC385" s="1037"/>
      <c r="QD385" s="1037"/>
      <c r="QE385" s="1037"/>
      <c r="QF385" s="1037"/>
      <c r="QG385" s="1037"/>
      <c r="QH385" s="1037"/>
      <c r="QI385" s="1037"/>
      <c r="QJ385" s="1037"/>
      <c r="QK385" s="1037"/>
      <c r="QL385" s="1037"/>
      <c r="QM385" s="1037"/>
      <c r="QN385" s="1037"/>
      <c r="QO385" s="1037"/>
      <c r="QP385" s="1037"/>
      <c r="QQ385" s="1037"/>
      <c r="QR385" s="1037"/>
      <c r="QS385" s="1037"/>
      <c r="QT385" s="1037"/>
      <c r="QU385" s="1037"/>
      <c r="QV385" s="1037"/>
      <c r="QW385" s="1037"/>
      <c r="QX385" s="1037"/>
      <c r="QY385" s="1037"/>
      <c r="QZ385" s="1037"/>
      <c r="RA385" s="1037"/>
      <c r="RB385" s="1037"/>
      <c r="RC385" s="1037"/>
      <c r="RD385" s="1037"/>
      <c r="RE385" s="1037"/>
      <c r="RF385" s="1037"/>
      <c r="RG385" s="1037"/>
      <c r="RH385" s="1037"/>
      <c r="RI385" s="1037"/>
      <c r="RJ385" s="1037"/>
      <c r="RK385" s="1037"/>
      <c r="RL385" s="1037"/>
      <c r="RM385" s="1037"/>
      <c r="RN385" s="1037"/>
      <c r="RO385" s="1037"/>
      <c r="RP385" s="1037"/>
      <c r="RQ385" s="1037"/>
      <c r="RR385" s="1037"/>
      <c r="RS385" s="1037"/>
      <c r="RT385" s="1037"/>
      <c r="RU385" s="1037"/>
      <c r="RV385" s="1037"/>
      <c r="RW385" s="1037"/>
      <c r="RX385" s="1037"/>
      <c r="RY385" s="1037"/>
      <c r="RZ385" s="1037"/>
      <c r="SA385" s="1037"/>
      <c r="SB385" s="1037"/>
      <c r="SC385" s="1037"/>
      <c r="SD385" s="1037"/>
      <c r="SE385" s="1037"/>
      <c r="SF385" s="1037"/>
      <c r="SG385" s="1037"/>
      <c r="SH385" s="1037"/>
      <c r="SI385" s="1037"/>
      <c r="SJ385" s="1037"/>
      <c r="SK385" s="1037"/>
      <c r="SL385" s="1037"/>
      <c r="SM385" s="1037"/>
      <c r="SN385" s="1037"/>
      <c r="SO385" s="1037"/>
      <c r="SP385" s="1037"/>
      <c r="SQ385" s="1037"/>
      <c r="SR385" s="1037"/>
      <c r="SS385" s="1037"/>
      <c r="ST385" s="1037"/>
      <c r="SU385" s="1037"/>
      <c r="SV385" s="1037"/>
      <c r="SW385" s="1037"/>
      <c r="SX385" s="1037"/>
      <c r="SY385" s="1037"/>
      <c r="SZ385" s="1037"/>
      <c r="TA385" s="1037"/>
      <c r="TB385" s="1037"/>
      <c r="TC385" s="1037"/>
      <c r="TD385" s="1037"/>
      <c r="TE385" s="1037"/>
      <c r="TF385" s="1037"/>
      <c r="TG385" s="1037"/>
      <c r="TH385" s="1037"/>
      <c r="TI385" s="1037"/>
      <c r="TJ385" s="1037"/>
      <c r="TK385" s="1037"/>
      <c r="TL385" s="1037"/>
      <c r="TM385" s="1037"/>
      <c r="TN385" s="1037"/>
      <c r="TO385" s="1037"/>
      <c r="TP385" s="1037"/>
      <c r="TQ385" s="1037"/>
      <c r="TR385" s="1037"/>
      <c r="TS385" s="1037"/>
      <c r="TT385" s="1037"/>
      <c r="TU385" s="1037"/>
      <c r="TV385" s="1037"/>
      <c r="TW385" s="1037"/>
      <c r="TX385" s="1037"/>
      <c r="TY385" s="1037"/>
      <c r="TZ385" s="1037"/>
      <c r="UA385" s="1037"/>
      <c r="UB385" s="1037"/>
      <c r="UC385" s="1037"/>
      <c r="UD385" s="1037"/>
      <c r="UE385" s="1037"/>
      <c r="UF385" s="1037"/>
      <c r="UG385" s="1037"/>
      <c r="UH385" s="1037"/>
      <c r="UI385" s="1037"/>
      <c r="UJ385" s="1037"/>
      <c r="UK385" s="1037"/>
      <c r="UL385" s="1037"/>
      <c r="UM385" s="1037"/>
      <c r="UN385" s="1037"/>
      <c r="UO385" s="1037"/>
      <c r="UP385" s="1037"/>
      <c r="UQ385" s="1037"/>
      <c r="UR385" s="1037"/>
      <c r="US385" s="1037"/>
      <c r="UT385" s="1037"/>
      <c r="UU385" s="1037"/>
      <c r="UV385" s="1037"/>
      <c r="UW385" s="1037"/>
      <c r="UX385" s="1037"/>
      <c r="UY385" s="1037"/>
      <c r="UZ385" s="1037"/>
      <c r="VA385" s="1037"/>
      <c r="VB385" s="1037"/>
      <c r="VC385" s="1037"/>
      <c r="VD385" s="1037"/>
      <c r="VE385" s="1037"/>
      <c r="VF385" s="1037"/>
      <c r="VG385" s="1037"/>
      <c r="VH385" s="1037"/>
      <c r="VI385" s="1037"/>
      <c r="VJ385" s="1037"/>
      <c r="VK385" s="1037"/>
      <c r="VL385" s="1037"/>
      <c r="VM385" s="1037"/>
      <c r="VN385" s="1037"/>
      <c r="VO385" s="1037"/>
      <c r="VP385" s="1037"/>
      <c r="VQ385" s="1037"/>
      <c r="VR385" s="1037"/>
      <c r="VS385" s="1037"/>
      <c r="VT385" s="1037"/>
      <c r="VU385" s="1037"/>
      <c r="VV385" s="1037"/>
      <c r="VW385" s="1037"/>
      <c r="VX385" s="1037"/>
      <c r="VY385" s="1037"/>
      <c r="VZ385" s="1037"/>
      <c r="WA385" s="1037"/>
      <c r="WB385" s="1037"/>
      <c r="WC385" s="1037"/>
      <c r="WD385" s="1037"/>
      <c r="WE385" s="1037"/>
      <c r="WF385" s="1037"/>
      <c r="WG385" s="1037"/>
      <c r="WH385" s="1037"/>
      <c r="WI385" s="1037"/>
      <c r="WJ385" s="1037"/>
      <c r="WK385" s="1037"/>
      <c r="WL385" s="1037"/>
      <c r="WM385" s="1037"/>
      <c r="WN385" s="1037"/>
      <c r="WO385" s="1037"/>
      <c r="WP385" s="1037"/>
      <c r="WQ385" s="1037"/>
      <c r="WR385" s="1037"/>
      <c r="WS385" s="1037"/>
      <c r="WT385" s="1037"/>
      <c r="WU385" s="1037"/>
      <c r="WV385" s="1037"/>
      <c r="WW385" s="1037"/>
      <c r="WX385" s="1037"/>
      <c r="WY385" s="1037"/>
      <c r="WZ385" s="1037"/>
      <c r="XA385" s="1037"/>
      <c r="XB385" s="1037"/>
      <c r="XC385" s="1037"/>
      <c r="XD385" s="1037"/>
      <c r="XE385" s="1037"/>
      <c r="XF385" s="1037"/>
      <c r="XG385" s="1037"/>
      <c r="XH385" s="1037"/>
      <c r="XI385" s="1037"/>
      <c r="XJ385" s="1037"/>
      <c r="XK385" s="1037"/>
      <c r="XL385" s="1037"/>
      <c r="XM385" s="1037"/>
      <c r="XN385" s="1037"/>
      <c r="XO385" s="1037"/>
      <c r="XP385" s="1037"/>
      <c r="XQ385" s="1037"/>
      <c r="XR385" s="1037"/>
      <c r="XS385" s="1037"/>
      <c r="XT385" s="1037"/>
      <c r="XU385" s="1037"/>
      <c r="XV385" s="1037"/>
      <c r="XW385" s="1037"/>
      <c r="XX385" s="1037"/>
      <c r="XY385" s="1037"/>
      <c r="XZ385" s="1037"/>
      <c r="YA385" s="1037"/>
      <c r="YB385" s="1037"/>
      <c r="YC385" s="1037"/>
      <c r="YD385" s="1037"/>
      <c r="YE385" s="1037"/>
      <c r="YF385" s="1037"/>
      <c r="YG385" s="1037"/>
      <c r="YH385" s="1037"/>
      <c r="YI385" s="1037"/>
      <c r="YJ385" s="1037"/>
      <c r="YK385" s="1037"/>
      <c r="YL385" s="1037"/>
      <c r="YM385" s="1037"/>
      <c r="YN385" s="1037"/>
      <c r="YO385" s="1037"/>
      <c r="YP385" s="1037"/>
      <c r="YQ385" s="1037"/>
      <c r="YR385" s="1037"/>
      <c r="YS385" s="1037"/>
      <c r="YT385" s="1037"/>
      <c r="YU385" s="1037"/>
      <c r="YV385" s="1037"/>
      <c r="YW385" s="1037"/>
      <c r="YX385" s="1037"/>
      <c r="YY385" s="1037"/>
      <c r="YZ385" s="1037"/>
      <c r="ZA385" s="1037"/>
      <c r="ZB385" s="1037"/>
      <c r="ZC385" s="1037"/>
      <c r="ZD385" s="1037"/>
      <c r="ZE385" s="1037"/>
      <c r="ZF385" s="1037"/>
      <c r="ZG385" s="1037"/>
      <c r="ZH385" s="1037"/>
      <c r="ZI385" s="1037"/>
      <c r="ZJ385" s="1037"/>
      <c r="ZK385" s="1037"/>
      <c r="ZL385" s="1037"/>
      <c r="ZM385" s="1037"/>
      <c r="ZN385" s="1037"/>
      <c r="ZO385" s="1037"/>
      <c r="ZP385" s="1037"/>
      <c r="ZQ385" s="1037"/>
      <c r="ZR385" s="1037"/>
      <c r="ZS385" s="1037"/>
      <c r="ZT385" s="1037"/>
      <c r="ZU385" s="1037"/>
      <c r="ZV385" s="1037"/>
      <c r="ZW385" s="1037"/>
      <c r="ZX385" s="1037"/>
      <c r="ZY385" s="1037"/>
      <c r="ZZ385" s="1037"/>
      <c r="AAA385" s="1037"/>
      <c r="AAB385" s="1037"/>
      <c r="AAC385" s="1037"/>
      <c r="AAD385" s="1037"/>
      <c r="AAE385" s="1037"/>
      <c r="AAF385" s="1037"/>
      <c r="AAG385" s="1037"/>
      <c r="AAH385" s="1037"/>
      <c r="AAI385" s="1037"/>
      <c r="AAJ385" s="1037"/>
      <c r="AAK385" s="1037"/>
      <c r="AAL385" s="1037"/>
      <c r="AAM385" s="1037"/>
      <c r="AAN385" s="1037"/>
      <c r="AAO385" s="1037"/>
      <c r="AAP385" s="1037"/>
      <c r="AAQ385" s="1037"/>
      <c r="AAR385" s="1037"/>
      <c r="AAS385" s="1037"/>
      <c r="AAT385" s="1037"/>
      <c r="AAU385" s="1037"/>
      <c r="AAV385" s="1037"/>
      <c r="AAW385" s="1037"/>
      <c r="AAX385" s="1037"/>
      <c r="AAY385" s="1037"/>
      <c r="AAZ385" s="1037"/>
      <c r="ABA385" s="1037"/>
      <c r="ABB385" s="1037"/>
      <c r="ABC385" s="1037"/>
      <c r="ABD385" s="1037"/>
      <c r="ABE385" s="1037"/>
      <c r="ABF385" s="1037"/>
      <c r="ABG385" s="1037"/>
      <c r="ABH385" s="1037"/>
      <c r="ABI385" s="1037"/>
      <c r="ABJ385" s="1037"/>
      <c r="ABK385" s="1037"/>
      <c r="ABL385" s="1037"/>
      <c r="ABM385" s="1037"/>
      <c r="ABN385" s="1037"/>
      <c r="ABO385" s="1037"/>
      <c r="ABP385" s="1037"/>
      <c r="ABQ385" s="1037"/>
      <c r="ABR385" s="1037"/>
      <c r="ABS385" s="1037"/>
      <c r="ABT385" s="1037"/>
      <c r="ABU385" s="1037"/>
      <c r="ABV385" s="1037"/>
      <c r="ABW385" s="1037"/>
      <c r="ABX385" s="1037"/>
      <c r="ABY385" s="1037"/>
      <c r="ABZ385" s="1037"/>
      <c r="ACA385" s="1037"/>
      <c r="ACB385" s="1037"/>
      <c r="ACC385" s="1037"/>
      <c r="ACD385" s="1037"/>
      <c r="ACE385" s="1037"/>
      <c r="ACF385" s="1037"/>
      <c r="ACG385" s="1037"/>
      <c r="ACH385" s="1037"/>
      <c r="ACI385" s="1037"/>
      <c r="ACJ385" s="1037"/>
      <c r="ACK385" s="1037"/>
      <c r="ACL385" s="1037"/>
      <c r="ACM385" s="1037"/>
      <c r="ACN385" s="1037"/>
      <c r="ACO385" s="1037"/>
      <c r="ACP385" s="1037"/>
      <c r="ACQ385" s="1037"/>
      <c r="ACR385" s="1037"/>
      <c r="ACS385" s="1037"/>
      <c r="ACT385" s="1037"/>
      <c r="ACU385" s="1037"/>
      <c r="ACV385" s="1037"/>
      <c r="ACW385" s="1037"/>
      <c r="ACX385" s="1037"/>
      <c r="ACY385" s="1037"/>
      <c r="ACZ385" s="1037"/>
      <c r="ADA385" s="1037"/>
      <c r="ADB385" s="1037"/>
      <c r="ADC385" s="1037"/>
      <c r="ADD385" s="1037"/>
      <c r="ADE385" s="1037"/>
      <c r="ADF385" s="1037"/>
      <c r="ADG385" s="1037"/>
      <c r="ADH385" s="1037"/>
      <c r="ADI385" s="1037"/>
      <c r="ADJ385" s="1037"/>
      <c r="ADK385" s="1037"/>
      <c r="ADL385" s="1037"/>
      <c r="ADM385" s="1037"/>
      <c r="ADN385" s="1037"/>
      <c r="ADO385" s="1037"/>
      <c r="ADP385" s="1037"/>
      <c r="ADQ385" s="1037"/>
      <c r="ADR385" s="1037"/>
      <c r="ADS385" s="1037"/>
      <c r="ADT385" s="1037"/>
      <c r="ADU385" s="1037"/>
      <c r="ADV385" s="1037"/>
      <c r="ADW385" s="1037"/>
      <c r="ADX385" s="1037"/>
      <c r="ADY385" s="1037"/>
      <c r="ADZ385" s="1037"/>
      <c r="AEA385" s="1037"/>
      <c r="AEB385" s="1037"/>
      <c r="AEC385" s="1037"/>
      <c r="AED385" s="1037"/>
      <c r="AEE385" s="1037"/>
      <c r="AEF385" s="1037"/>
      <c r="AEG385" s="1037"/>
      <c r="AEH385" s="1037"/>
      <c r="AEI385" s="1037"/>
      <c r="AEJ385" s="1037"/>
      <c r="AEK385" s="1037"/>
      <c r="AEL385" s="1037"/>
      <c r="AEM385" s="1037"/>
      <c r="AEN385" s="1037"/>
      <c r="AEO385" s="1037"/>
      <c r="AEP385" s="1037"/>
      <c r="AEQ385" s="1037"/>
      <c r="AER385" s="1037"/>
      <c r="AES385" s="1037"/>
      <c r="AET385" s="1037"/>
      <c r="AEU385" s="1037"/>
      <c r="AEV385" s="1037"/>
      <c r="AEW385" s="1037"/>
      <c r="AEX385" s="1037"/>
      <c r="AEY385" s="1037"/>
      <c r="AEZ385" s="1037"/>
      <c r="AFA385" s="1037"/>
      <c r="AFB385" s="1037"/>
      <c r="AFC385" s="1037"/>
      <c r="AFD385" s="1037"/>
      <c r="AFE385" s="1037"/>
      <c r="AFF385" s="1037"/>
      <c r="AFG385" s="1037"/>
      <c r="AFH385" s="1037"/>
      <c r="AFI385" s="1037"/>
      <c r="AFJ385" s="1037"/>
      <c r="AFK385" s="1037"/>
      <c r="AFL385" s="1037"/>
      <c r="AFM385" s="1037"/>
      <c r="AFN385" s="1037"/>
      <c r="AFO385" s="1037"/>
      <c r="AFP385" s="1037"/>
      <c r="AFQ385" s="1037"/>
      <c r="AFR385" s="1037"/>
      <c r="AFS385" s="1037"/>
      <c r="AFT385" s="1037"/>
      <c r="AFU385" s="1037"/>
      <c r="AFV385" s="1037"/>
      <c r="AFW385" s="1037"/>
      <c r="AFX385" s="1037"/>
      <c r="AFY385" s="1037"/>
      <c r="AFZ385" s="1037"/>
      <c r="AGA385" s="1037"/>
      <c r="AGB385" s="1037"/>
      <c r="AGC385" s="1037"/>
      <c r="AGD385" s="1037"/>
      <c r="AGE385" s="1037"/>
      <c r="AGF385" s="1037"/>
      <c r="AGG385" s="1037"/>
      <c r="AGH385" s="1037"/>
      <c r="AGI385" s="1037"/>
      <c r="AGJ385" s="1037"/>
      <c r="AGK385" s="1037"/>
      <c r="AGL385" s="1037"/>
      <c r="AGM385" s="1037"/>
      <c r="AGN385" s="1037"/>
      <c r="AGO385" s="1037"/>
      <c r="AGP385" s="1037"/>
      <c r="AGQ385" s="1037"/>
      <c r="AGR385" s="1037"/>
      <c r="AGS385" s="1037"/>
      <c r="AGT385" s="1037"/>
      <c r="AGU385" s="1037"/>
      <c r="AGV385" s="1037"/>
      <c r="AGW385" s="1037"/>
      <c r="AGX385" s="1037"/>
      <c r="AGY385" s="1037"/>
      <c r="AGZ385" s="1037"/>
      <c r="AHA385" s="1037"/>
      <c r="AHB385" s="1037"/>
      <c r="AHC385" s="1037"/>
      <c r="AHD385" s="1037"/>
      <c r="AHE385" s="1037"/>
      <c r="AHF385" s="1037"/>
      <c r="AHG385" s="1037"/>
      <c r="AHH385" s="1037"/>
      <c r="AHI385" s="1037"/>
      <c r="AHJ385" s="1037"/>
      <c r="AHK385" s="1037"/>
      <c r="AHL385" s="1037"/>
      <c r="AHM385" s="1037"/>
      <c r="AHN385" s="1037"/>
      <c r="AHO385" s="1037"/>
      <c r="AHP385" s="1037"/>
      <c r="AHQ385" s="1037"/>
      <c r="AHR385" s="1037"/>
      <c r="AHS385" s="1037"/>
      <c r="AHT385" s="1037"/>
      <c r="AHU385" s="1037"/>
      <c r="AHV385" s="1037"/>
      <c r="AHW385" s="1037"/>
      <c r="AHX385" s="1037"/>
      <c r="AHY385" s="1037"/>
      <c r="AHZ385" s="1037"/>
      <c r="AIA385" s="1037"/>
      <c r="AIB385" s="1037"/>
      <c r="AIC385" s="1037"/>
      <c r="AID385" s="1037"/>
      <c r="AIE385" s="1037"/>
      <c r="AIF385" s="1037"/>
      <c r="AIG385" s="1037"/>
      <c r="AIH385" s="1037"/>
      <c r="AII385" s="1037"/>
      <c r="AIJ385" s="1037"/>
      <c r="AIK385" s="1037"/>
      <c r="AIL385" s="1037"/>
      <c r="AIM385" s="1037"/>
      <c r="AIN385" s="1037"/>
      <c r="AIO385" s="1037"/>
      <c r="AIP385" s="1037"/>
      <c r="AIQ385" s="1037"/>
      <c r="AIR385" s="1037"/>
      <c r="AIS385" s="1037"/>
      <c r="AIT385" s="1037"/>
      <c r="AIU385" s="1037"/>
      <c r="AIV385" s="1037"/>
      <c r="AIW385" s="1037"/>
      <c r="AIX385" s="1037"/>
      <c r="AIY385" s="1037"/>
      <c r="AIZ385" s="1037"/>
      <c r="AJA385" s="1037"/>
      <c r="AJB385" s="1037"/>
      <c r="AJC385" s="1037"/>
      <c r="AJD385" s="1037"/>
      <c r="AJE385" s="1037"/>
      <c r="AJF385" s="1037"/>
      <c r="AJG385" s="1037"/>
      <c r="AJH385" s="1037"/>
      <c r="AJI385" s="1037"/>
      <c r="AJJ385" s="1037"/>
      <c r="AJK385" s="1037"/>
      <c r="AJL385" s="1037"/>
      <c r="AJM385" s="1037"/>
      <c r="AJN385" s="1037"/>
      <c r="AJO385" s="1037"/>
      <c r="AJP385" s="1037"/>
      <c r="AJQ385" s="1037"/>
      <c r="AJR385" s="1037"/>
      <c r="AJS385" s="1037"/>
      <c r="AJT385" s="1037"/>
      <c r="AJU385" s="1037"/>
      <c r="AJV385" s="1037"/>
      <c r="AJW385" s="1037"/>
      <c r="AJX385" s="1037"/>
      <c r="AJY385" s="1037"/>
      <c r="AJZ385" s="1037"/>
      <c r="AKA385" s="1037"/>
      <c r="AKB385" s="1037"/>
      <c r="AKC385" s="1037"/>
      <c r="AKD385" s="1037"/>
      <c r="AKE385" s="1037"/>
      <c r="AKF385" s="1037"/>
      <c r="AKG385" s="1037"/>
      <c r="AKH385" s="1037"/>
      <c r="AKI385" s="1037"/>
      <c r="AKJ385" s="1037"/>
      <c r="AKK385" s="1037"/>
      <c r="AKL385" s="1037"/>
      <c r="AKM385" s="1037"/>
      <c r="AKN385" s="1037"/>
      <c r="AKO385" s="1037"/>
      <c r="AKP385" s="1037"/>
      <c r="AKQ385" s="1037"/>
      <c r="AKR385" s="1037"/>
      <c r="AKS385" s="1037"/>
      <c r="AKT385" s="1037"/>
      <c r="AKU385" s="1037"/>
      <c r="AKV385" s="1037"/>
      <c r="AKW385" s="1037"/>
      <c r="AKX385" s="1037"/>
      <c r="AKY385" s="1037"/>
      <c r="AKZ385" s="1037"/>
      <c r="ALA385" s="1037"/>
      <c r="ALB385" s="1037"/>
      <c r="ALC385" s="1037"/>
      <c r="ALD385" s="1037"/>
      <c r="ALE385" s="1037"/>
      <c r="ALF385" s="1037"/>
      <c r="ALG385" s="1037"/>
      <c r="ALH385" s="1037"/>
      <c r="ALI385" s="1037"/>
      <c r="ALJ385" s="1037"/>
      <c r="ALK385" s="1037"/>
      <c r="ALL385" s="1037"/>
      <c r="ALM385" s="1037"/>
      <c r="ALN385" s="1037"/>
      <c r="ALO385" s="1037"/>
      <c r="ALP385" s="1037"/>
      <c r="ALQ385" s="1037"/>
      <c r="ALR385" s="1037"/>
      <c r="ALS385" s="1037"/>
      <c r="ALT385" s="1037"/>
      <c r="ALU385" s="1037"/>
      <c r="ALV385" s="1037"/>
      <c r="ALW385" s="1037"/>
      <c r="ALX385" s="1037"/>
      <c r="ALY385" s="1037"/>
      <c r="ALZ385" s="1037"/>
      <c r="AMA385" s="1037"/>
      <c r="AMB385" s="1037"/>
      <c r="AMC385" s="1037"/>
      <c r="AMD385" s="1037"/>
      <c r="AME385" s="1037"/>
      <c r="AMF385" s="1037"/>
      <c r="AMG385" s="1037"/>
      <c r="AMH385" s="1037"/>
      <c r="AMI385" s="1037"/>
      <c r="AMJ385" s="1037"/>
      <c r="AMK385" s="1037"/>
      <c r="AML385" s="1037"/>
      <c r="AMM385" s="1037"/>
      <c r="AMN385" s="1037"/>
      <c r="AMO385" s="1037"/>
      <c r="AMP385" s="1037"/>
      <c r="AMQ385" s="1037"/>
      <c r="AMR385" s="1037"/>
      <c r="AMS385" s="1037"/>
      <c r="AMT385" s="1037"/>
      <c r="AMU385" s="1037"/>
      <c r="AMV385" s="1037"/>
      <c r="AMW385" s="1037"/>
      <c r="AMX385" s="1037"/>
      <c r="AMY385" s="1037"/>
      <c r="AMZ385" s="1037"/>
      <c r="ANA385" s="1037"/>
      <c r="ANB385" s="1037"/>
      <c r="ANC385" s="1037"/>
      <c r="AND385" s="1037"/>
      <c r="ANE385" s="1037"/>
      <c r="ANF385" s="1037"/>
      <c r="ANG385" s="1037"/>
      <c r="ANH385" s="1037"/>
      <c r="ANI385" s="1037"/>
      <c r="ANJ385" s="1037"/>
      <c r="ANK385" s="1037"/>
      <c r="ANL385" s="1037"/>
      <c r="ANM385" s="1037"/>
      <c r="ANN385" s="1037"/>
      <c r="ANO385" s="1037"/>
      <c r="ANP385" s="1037"/>
      <c r="ANQ385" s="1037"/>
      <c r="ANR385" s="1037"/>
      <c r="ANS385" s="1037"/>
      <c r="ANT385" s="1037"/>
      <c r="ANU385" s="1037"/>
      <c r="ANV385" s="1037"/>
      <c r="ANW385" s="1037"/>
      <c r="ANX385" s="1037"/>
      <c r="ANY385" s="1037"/>
      <c r="ANZ385" s="1037"/>
      <c r="AOA385" s="1037"/>
      <c r="AOB385" s="1037"/>
      <c r="AOC385" s="1037"/>
      <c r="AOD385" s="1037"/>
      <c r="AOE385" s="1037"/>
      <c r="AOF385" s="1037"/>
      <c r="AOG385" s="1037"/>
      <c r="AOH385" s="1037"/>
      <c r="AOI385" s="1037"/>
      <c r="AOJ385" s="1037"/>
      <c r="AOK385" s="1037"/>
      <c r="AOL385" s="1037"/>
      <c r="AOM385" s="1037"/>
      <c r="AON385" s="1037"/>
      <c r="AOO385" s="1037"/>
      <c r="AOP385" s="1037"/>
      <c r="AOQ385" s="1037"/>
      <c r="AOR385" s="1037"/>
      <c r="AOS385" s="1037"/>
      <c r="AOT385" s="1037"/>
      <c r="AOU385" s="1037"/>
      <c r="AOV385" s="1037"/>
      <c r="AOW385" s="1037"/>
      <c r="AOX385" s="1037"/>
      <c r="AOY385" s="1037"/>
      <c r="AOZ385" s="1037"/>
      <c r="APA385" s="1037"/>
      <c r="APB385" s="1037"/>
      <c r="APC385" s="1037"/>
      <c r="APD385" s="1037"/>
      <c r="APE385" s="1037"/>
      <c r="APF385" s="1037"/>
      <c r="APG385" s="1037"/>
      <c r="APH385" s="1037"/>
      <c r="API385" s="1037"/>
      <c r="APJ385" s="1037"/>
      <c r="APK385" s="1037"/>
      <c r="APL385" s="1037"/>
      <c r="APM385" s="1037"/>
      <c r="APN385" s="1037"/>
      <c r="APO385" s="1037"/>
      <c r="APP385" s="1037"/>
      <c r="APQ385" s="1037"/>
      <c r="APR385" s="1037"/>
      <c r="APS385" s="1037"/>
      <c r="APT385" s="1037"/>
      <c r="APU385" s="1037"/>
      <c r="APV385" s="1037"/>
      <c r="APW385" s="1037"/>
      <c r="APX385" s="1037"/>
      <c r="APY385" s="1037"/>
      <c r="APZ385" s="1037"/>
      <c r="AQA385" s="1037"/>
      <c r="AQB385" s="1037"/>
      <c r="AQC385" s="1037"/>
      <c r="AQD385" s="1037"/>
      <c r="AQE385" s="1037"/>
      <c r="AQF385" s="1037"/>
      <c r="AQG385" s="1037"/>
      <c r="AQH385" s="1037"/>
      <c r="AQI385" s="1037"/>
      <c r="AQJ385" s="1037"/>
      <c r="AQK385" s="1037"/>
      <c r="AQL385" s="1037"/>
      <c r="AQM385" s="1037"/>
      <c r="AQN385" s="1037"/>
      <c r="AQO385" s="1037"/>
      <c r="AQP385" s="1037"/>
      <c r="AQQ385" s="1037"/>
      <c r="AQR385" s="1037"/>
      <c r="AQS385" s="1037"/>
      <c r="AQT385" s="1037"/>
      <c r="AQU385" s="1037"/>
      <c r="AQV385" s="1037"/>
      <c r="AQW385" s="1037"/>
      <c r="AQX385" s="1037"/>
      <c r="AQY385" s="1037"/>
      <c r="AQZ385" s="1037"/>
      <c r="ARA385" s="1037"/>
      <c r="ARB385" s="1037"/>
      <c r="ARC385" s="1037"/>
      <c r="ARD385" s="1037"/>
      <c r="ARE385" s="1037"/>
      <c r="ARF385" s="1037"/>
      <c r="ARG385" s="1037"/>
      <c r="ARH385" s="1037"/>
      <c r="ARI385" s="1037"/>
      <c r="ARJ385" s="1037"/>
      <c r="ARK385" s="1037"/>
      <c r="ARL385" s="1037"/>
      <c r="ARM385" s="1037"/>
      <c r="ARN385" s="1037"/>
      <c r="ARO385" s="1037"/>
      <c r="ARP385" s="1037"/>
      <c r="ARQ385" s="1037"/>
      <c r="ARR385" s="1037"/>
      <c r="ARS385" s="1037"/>
      <c r="ART385" s="1037"/>
      <c r="ARU385" s="1037"/>
      <c r="ARV385" s="1037"/>
      <c r="ARW385" s="1037"/>
      <c r="ARX385" s="1037"/>
      <c r="ARY385" s="1037"/>
      <c r="ARZ385" s="1037"/>
      <c r="ASA385" s="1037"/>
      <c r="ASB385" s="1037"/>
      <c r="ASC385" s="1037"/>
      <c r="ASD385" s="1037"/>
      <c r="ASE385" s="1037"/>
      <c r="ASF385" s="1037"/>
      <c r="ASG385" s="1037"/>
      <c r="ASH385" s="1037"/>
      <c r="ASI385" s="1037"/>
      <c r="ASJ385" s="1037"/>
      <c r="ASK385" s="1037"/>
      <c r="ASL385" s="1037"/>
      <c r="ASM385" s="1037"/>
      <c r="ASN385" s="1037"/>
      <c r="ASO385" s="1037"/>
      <c r="ASP385" s="1037"/>
      <c r="ASQ385" s="1037"/>
      <c r="ASR385" s="1037"/>
      <c r="ASS385" s="1037"/>
      <c r="AST385" s="1037"/>
      <c r="ASU385" s="1037"/>
      <c r="ASV385" s="1037"/>
      <c r="ASW385" s="1037"/>
      <c r="ASX385" s="1037"/>
      <c r="ASY385" s="1037"/>
      <c r="ASZ385" s="1037"/>
      <c r="ATA385" s="1037"/>
      <c r="ATB385" s="1037"/>
      <c r="ATC385" s="1037"/>
      <c r="ATD385" s="1037"/>
      <c r="ATE385" s="1037"/>
      <c r="ATF385" s="1037"/>
      <c r="ATG385" s="1037"/>
      <c r="ATH385" s="1037"/>
      <c r="ATI385" s="1037"/>
      <c r="ATJ385" s="1037"/>
      <c r="ATK385" s="1037"/>
      <c r="ATL385" s="1037"/>
      <c r="ATM385" s="1037"/>
      <c r="ATN385" s="1037"/>
      <c r="ATO385" s="1037"/>
      <c r="ATP385" s="1037"/>
      <c r="ATQ385" s="1037"/>
      <c r="ATR385" s="1037"/>
      <c r="ATS385" s="1037"/>
      <c r="ATT385" s="1037"/>
      <c r="ATU385" s="1037"/>
      <c r="ATV385" s="1037"/>
      <c r="ATW385" s="1037"/>
      <c r="ATX385" s="1037"/>
      <c r="ATY385" s="1037"/>
      <c r="ATZ385" s="1037"/>
      <c r="AUA385" s="1037"/>
      <c r="AUB385" s="1037"/>
      <c r="AUC385" s="1037"/>
      <c r="AUD385" s="1037"/>
      <c r="AUE385" s="1037"/>
      <c r="AUF385" s="1037"/>
      <c r="AUG385" s="1037"/>
      <c r="AUH385" s="1037"/>
      <c r="AUI385" s="1037"/>
      <c r="AUJ385" s="1037"/>
      <c r="AUK385" s="1037"/>
      <c r="AUL385" s="1037"/>
      <c r="AUM385" s="1037"/>
      <c r="AUN385" s="1037"/>
      <c r="AUO385" s="1037"/>
      <c r="AUP385" s="1037"/>
      <c r="AUQ385" s="1037"/>
      <c r="AUR385" s="1037"/>
      <c r="AUS385" s="1037"/>
      <c r="AUT385" s="1037"/>
      <c r="AUU385" s="1037"/>
      <c r="AUV385" s="1037"/>
      <c r="AUW385" s="1037"/>
      <c r="AUX385" s="1037"/>
      <c r="AUY385" s="1037"/>
      <c r="AUZ385" s="1037"/>
      <c r="AVA385" s="1037"/>
      <c r="AVB385" s="1037"/>
      <c r="AVC385" s="1037"/>
      <c r="AVD385" s="1037"/>
      <c r="AVE385" s="1037"/>
      <c r="AVF385" s="1037"/>
      <c r="AVG385" s="1037"/>
      <c r="AVH385" s="1037"/>
      <c r="AVI385" s="1037"/>
      <c r="AVJ385" s="1037"/>
      <c r="AVK385" s="1037"/>
      <c r="AVL385" s="1037"/>
      <c r="AVM385" s="1037"/>
      <c r="AVN385" s="1037"/>
      <c r="AVO385" s="1037"/>
      <c r="AVP385" s="1037"/>
      <c r="AVQ385" s="1037"/>
      <c r="AVR385" s="1037"/>
      <c r="AVS385" s="1037"/>
      <c r="AVT385" s="1037"/>
      <c r="AVU385" s="1037"/>
      <c r="AVV385" s="1037"/>
      <c r="AVW385" s="1037"/>
      <c r="AVX385" s="1037"/>
      <c r="AVY385" s="1037"/>
      <c r="AVZ385" s="1037"/>
      <c r="AWA385" s="1037"/>
      <c r="AWB385" s="1037"/>
      <c r="AWC385" s="1037"/>
      <c r="AWD385" s="1037"/>
      <c r="AWE385" s="1037"/>
      <c r="AWF385" s="1037"/>
      <c r="AWG385" s="1037"/>
      <c r="AWH385" s="1037"/>
      <c r="AWI385" s="1037"/>
      <c r="AWJ385" s="1037"/>
      <c r="AWK385" s="1037"/>
      <c r="AWL385" s="1037"/>
      <c r="AWM385" s="1037"/>
      <c r="AWN385" s="1037"/>
      <c r="AWO385" s="1037"/>
      <c r="AWP385" s="1037"/>
      <c r="AWQ385" s="1037"/>
      <c r="AWR385" s="1037"/>
      <c r="AWS385" s="1037"/>
      <c r="AWT385" s="1037"/>
      <c r="AWU385" s="1037"/>
      <c r="AWV385" s="1037"/>
      <c r="AWW385" s="1037"/>
      <c r="AWX385" s="1037"/>
      <c r="AWY385" s="1037"/>
      <c r="AWZ385" s="1037"/>
      <c r="AXA385" s="1037"/>
      <c r="AXB385" s="1037"/>
      <c r="AXC385" s="1037"/>
      <c r="AXD385" s="1037"/>
      <c r="AXE385" s="1037"/>
      <c r="AXF385" s="1037"/>
      <c r="AXG385" s="1037"/>
      <c r="AXH385" s="1037"/>
      <c r="AXI385" s="1037"/>
      <c r="AXJ385" s="1037"/>
      <c r="AXK385" s="1037"/>
      <c r="AXL385" s="1037"/>
      <c r="AXM385" s="1037"/>
      <c r="AXN385" s="1037"/>
      <c r="AXO385" s="1037"/>
      <c r="AXP385" s="1037"/>
      <c r="AXQ385" s="1037"/>
      <c r="AXR385" s="1037"/>
      <c r="AXS385" s="1037"/>
      <c r="AXT385" s="1037"/>
      <c r="AXU385" s="1037"/>
      <c r="AXV385" s="1037"/>
      <c r="AXW385" s="1037"/>
      <c r="AXX385" s="1037"/>
      <c r="AXY385" s="1037"/>
      <c r="AXZ385" s="1037"/>
      <c r="AYA385" s="1037"/>
      <c r="AYB385" s="1037"/>
      <c r="AYC385" s="1037"/>
      <c r="AYD385" s="1037"/>
      <c r="AYE385" s="1037"/>
      <c r="AYF385" s="1037"/>
      <c r="AYG385" s="1037"/>
      <c r="AYH385" s="1037"/>
      <c r="AYI385" s="1037"/>
      <c r="AYJ385" s="1037"/>
      <c r="AYK385" s="1037"/>
      <c r="AYL385" s="1037"/>
      <c r="AYM385" s="1037"/>
      <c r="AYN385" s="1037"/>
      <c r="AYO385" s="1037"/>
      <c r="AYP385" s="1037"/>
      <c r="AYQ385" s="1037"/>
      <c r="AYR385" s="1037"/>
      <c r="AYS385" s="1037"/>
      <c r="AYT385" s="1037"/>
      <c r="AYU385" s="1037"/>
      <c r="AYV385" s="1037"/>
      <c r="AYW385" s="1037"/>
      <c r="AYX385" s="1037"/>
      <c r="AYY385" s="1037"/>
      <c r="AYZ385" s="1037"/>
      <c r="AZA385" s="1037"/>
      <c r="AZB385" s="1037"/>
      <c r="AZC385" s="1037"/>
      <c r="AZD385" s="1037"/>
      <c r="AZE385" s="1037"/>
      <c r="AZF385" s="1037"/>
      <c r="AZG385" s="1037"/>
      <c r="AZH385" s="1037"/>
      <c r="AZI385" s="1037"/>
      <c r="AZJ385" s="1037"/>
      <c r="AZK385" s="1037"/>
      <c r="AZL385" s="1037"/>
      <c r="AZM385" s="1037"/>
      <c r="AZN385" s="1037"/>
      <c r="AZO385" s="1037"/>
      <c r="AZP385" s="1037"/>
      <c r="AZQ385" s="1037"/>
      <c r="AZR385" s="1037"/>
      <c r="AZS385" s="1037"/>
      <c r="AZT385" s="1037"/>
      <c r="AZU385" s="1037"/>
      <c r="AZV385" s="1037"/>
      <c r="AZW385" s="1037"/>
      <c r="AZX385" s="1037"/>
      <c r="AZY385" s="1037"/>
      <c r="AZZ385" s="1037"/>
      <c r="BAA385" s="1037"/>
      <c r="BAB385" s="1037"/>
      <c r="BAC385" s="1037"/>
      <c r="BAD385" s="1037"/>
      <c r="BAE385" s="1037"/>
      <c r="BAF385" s="1037"/>
      <c r="BAG385" s="1037"/>
      <c r="BAH385" s="1037"/>
      <c r="BAI385" s="1037"/>
      <c r="BAJ385" s="1037"/>
      <c r="BAK385" s="1037"/>
      <c r="BAL385" s="1037"/>
      <c r="BAM385" s="1037"/>
      <c r="BAN385" s="1037"/>
      <c r="BAO385" s="1037"/>
      <c r="BAP385" s="1037"/>
      <c r="BAQ385" s="1037"/>
      <c r="BAR385" s="1037"/>
      <c r="BAS385" s="1037"/>
      <c r="BAT385" s="1037"/>
      <c r="BAU385" s="1037"/>
      <c r="BAV385" s="1037"/>
      <c r="BAW385" s="1037"/>
      <c r="BAX385" s="1037"/>
      <c r="BAY385" s="1037"/>
      <c r="BAZ385" s="1037"/>
      <c r="BBA385" s="1037"/>
      <c r="BBB385" s="1037"/>
      <c r="BBC385" s="1037"/>
      <c r="BBD385" s="1037"/>
      <c r="BBE385" s="1037"/>
      <c r="BBF385" s="1037"/>
      <c r="BBG385" s="1037"/>
      <c r="BBH385" s="1037"/>
      <c r="BBI385" s="1037"/>
      <c r="BBJ385" s="1037"/>
      <c r="BBK385" s="1037"/>
      <c r="BBL385" s="1037"/>
      <c r="BBM385" s="1037"/>
      <c r="BBN385" s="1037"/>
      <c r="BBO385" s="1037"/>
      <c r="BBP385" s="1037"/>
      <c r="BBQ385" s="1037"/>
      <c r="BBR385" s="1037"/>
      <c r="BBS385" s="1037"/>
      <c r="BBT385" s="1037"/>
      <c r="BBU385" s="1037"/>
      <c r="BBV385" s="1037"/>
      <c r="BBW385" s="1037"/>
      <c r="BBX385" s="1037"/>
      <c r="BBY385" s="1037"/>
      <c r="BBZ385" s="1037"/>
      <c r="BCA385" s="1037"/>
      <c r="BCB385" s="1037"/>
      <c r="BCC385" s="1037"/>
      <c r="BCD385" s="1037"/>
      <c r="BCE385" s="1037"/>
      <c r="BCF385" s="1037"/>
      <c r="BCG385" s="1037"/>
      <c r="BCH385" s="1037"/>
      <c r="BCI385" s="1037"/>
      <c r="BCJ385" s="1037"/>
      <c r="BCK385" s="1037"/>
      <c r="BCL385" s="1037"/>
      <c r="BCM385" s="1037"/>
      <c r="BCN385" s="1037"/>
      <c r="BCO385" s="1037"/>
      <c r="BCP385" s="1037"/>
      <c r="BCQ385" s="1037"/>
      <c r="BCR385" s="1037"/>
      <c r="BCS385" s="1037"/>
      <c r="BCT385" s="1037"/>
      <c r="BCU385" s="1037"/>
      <c r="BCV385" s="1037"/>
      <c r="BCW385" s="1037"/>
      <c r="BCX385" s="1037"/>
      <c r="BCY385" s="1037"/>
      <c r="BCZ385" s="1037"/>
      <c r="BDA385" s="1037"/>
      <c r="BDB385" s="1037"/>
      <c r="BDC385" s="1037"/>
      <c r="BDD385" s="1037"/>
      <c r="BDE385" s="1037"/>
      <c r="BDF385" s="1037"/>
      <c r="BDG385" s="1037"/>
      <c r="BDH385" s="1037"/>
      <c r="BDI385" s="1037"/>
      <c r="BDJ385" s="1037"/>
      <c r="BDK385" s="1037"/>
      <c r="BDL385" s="1037"/>
      <c r="BDM385" s="1037"/>
      <c r="BDN385" s="1037"/>
      <c r="BDO385" s="1037"/>
      <c r="BDP385" s="1037"/>
      <c r="BDQ385" s="1037"/>
      <c r="BDR385" s="1037"/>
      <c r="BDS385" s="1037"/>
      <c r="BDT385" s="1037"/>
      <c r="BDU385" s="1037"/>
      <c r="BDV385" s="1037"/>
      <c r="BDW385" s="1037"/>
      <c r="BDX385" s="1037"/>
      <c r="BDY385" s="1037"/>
      <c r="BDZ385" s="1037"/>
      <c r="BEA385" s="1037"/>
      <c r="BEB385" s="1037"/>
      <c r="BEC385" s="1037"/>
      <c r="BED385" s="1037"/>
      <c r="BEE385" s="1037"/>
      <c r="BEF385" s="1037"/>
      <c r="BEG385" s="1037"/>
      <c r="BEH385" s="1037"/>
      <c r="BEI385" s="1037"/>
      <c r="BEJ385" s="1037"/>
      <c r="BEK385" s="1037"/>
      <c r="BEL385" s="1037"/>
      <c r="BEM385" s="1037"/>
      <c r="BEN385" s="1037"/>
      <c r="BEO385" s="1037"/>
      <c r="BEP385" s="1037"/>
      <c r="BEQ385" s="1037"/>
      <c r="BER385" s="1037"/>
      <c r="BES385" s="1037"/>
      <c r="BET385" s="1037"/>
      <c r="BEU385" s="1037"/>
      <c r="BEV385" s="1037"/>
      <c r="BEW385" s="1037"/>
      <c r="BEX385" s="1037"/>
      <c r="BEY385" s="1037"/>
      <c r="BEZ385" s="1037"/>
      <c r="BFA385" s="1037"/>
      <c r="BFB385" s="1037"/>
      <c r="BFC385" s="1037"/>
      <c r="BFD385" s="1037"/>
      <c r="BFE385" s="1037"/>
      <c r="BFF385" s="1037"/>
      <c r="BFG385" s="1037"/>
      <c r="BFH385" s="1037"/>
      <c r="BFI385" s="1037"/>
      <c r="BFJ385" s="1037"/>
      <c r="BFK385" s="1037"/>
      <c r="BFL385" s="1037"/>
      <c r="BFM385" s="1037"/>
      <c r="BFN385" s="1037"/>
      <c r="BFO385" s="1037"/>
      <c r="BFP385" s="1037"/>
      <c r="BFQ385" s="1037"/>
      <c r="BFR385" s="1037"/>
      <c r="BFS385" s="1037"/>
      <c r="BFT385" s="1037"/>
      <c r="BFU385" s="1037"/>
      <c r="BFV385" s="1037"/>
      <c r="BFW385" s="1037"/>
      <c r="BFX385" s="1037"/>
      <c r="BFY385" s="1037"/>
      <c r="BFZ385" s="1037"/>
      <c r="BGA385" s="1037"/>
      <c r="BGB385" s="1037"/>
      <c r="BGC385" s="1037"/>
      <c r="BGD385" s="1037"/>
      <c r="BGE385" s="1037"/>
      <c r="BGF385" s="1037"/>
      <c r="BGG385" s="1037"/>
      <c r="BGH385" s="1037"/>
      <c r="BGI385" s="1037"/>
      <c r="BGJ385" s="1037"/>
      <c r="BGK385" s="1037"/>
      <c r="BGL385" s="1037"/>
      <c r="BGM385" s="1037"/>
      <c r="BGN385" s="1037"/>
      <c r="BGO385" s="1037"/>
      <c r="BGP385" s="1037"/>
      <c r="BGQ385" s="1037"/>
      <c r="BGR385" s="1037"/>
      <c r="BGS385" s="1037"/>
      <c r="BGT385" s="1037"/>
      <c r="BGU385" s="1037"/>
      <c r="BGV385" s="1037"/>
      <c r="BGW385" s="1037"/>
      <c r="BGX385" s="1037"/>
      <c r="BGY385" s="1037"/>
      <c r="BGZ385" s="1037"/>
      <c r="BHA385" s="1037"/>
      <c r="BHB385" s="1037"/>
      <c r="BHC385" s="1037"/>
      <c r="BHD385" s="1037"/>
      <c r="BHE385" s="1037"/>
      <c r="BHF385" s="1037"/>
      <c r="BHG385" s="1037"/>
      <c r="BHH385" s="1037"/>
      <c r="BHI385" s="1037"/>
      <c r="BHJ385" s="1037"/>
      <c r="BHK385" s="1037"/>
      <c r="BHL385" s="1037"/>
      <c r="BHM385" s="1037"/>
      <c r="BHN385" s="1037"/>
      <c r="BHO385" s="1037"/>
      <c r="BHP385" s="1037"/>
      <c r="BHQ385" s="1037"/>
      <c r="BHR385" s="1037"/>
      <c r="BHS385" s="1037"/>
      <c r="BHT385" s="1037"/>
      <c r="BHU385" s="1037"/>
      <c r="BHV385" s="1037"/>
      <c r="BHW385" s="1037"/>
      <c r="BHX385" s="1037"/>
      <c r="BHY385" s="1037"/>
      <c r="BHZ385" s="1037"/>
      <c r="BIA385" s="1037"/>
      <c r="BIB385" s="1037"/>
      <c r="BIC385" s="1037"/>
      <c r="BID385" s="1037"/>
      <c r="BIE385" s="1037"/>
      <c r="BIF385" s="1037"/>
      <c r="BIG385" s="1037"/>
      <c r="BIH385" s="1037"/>
      <c r="BII385" s="1037"/>
      <c r="BIJ385" s="1037"/>
      <c r="BIK385" s="1037"/>
      <c r="BIL385" s="1037"/>
      <c r="BIM385" s="1037"/>
      <c r="BIN385" s="1037"/>
      <c r="BIO385" s="1037"/>
      <c r="BIP385" s="1037"/>
      <c r="BIQ385" s="1037"/>
      <c r="BIR385" s="1037"/>
      <c r="BIS385" s="1037"/>
      <c r="BIT385" s="1037"/>
      <c r="BIU385" s="1037"/>
      <c r="BIV385" s="1037"/>
      <c r="BIW385" s="1037"/>
      <c r="BIX385" s="1037"/>
      <c r="BIY385" s="1037"/>
      <c r="BIZ385" s="1037"/>
      <c r="BJA385" s="1037"/>
      <c r="BJB385" s="1037"/>
      <c r="BJC385" s="1037"/>
      <c r="BJD385" s="1037"/>
      <c r="BJE385" s="1037"/>
      <c r="BJF385" s="1037"/>
      <c r="BJG385" s="1037"/>
      <c r="BJH385" s="1037"/>
      <c r="BJI385" s="1037"/>
      <c r="BJJ385" s="1037"/>
      <c r="BJK385" s="1037"/>
      <c r="BJL385" s="1037"/>
      <c r="BJM385" s="1037"/>
      <c r="BJN385" s="1037"/>
      <c r="BJO385" s="1037"/>
      <c r="BJP385" s="1037"/>
      <c r="BJQ385" s="1037"/>
      <c r="BJR385" s="1037"/>
      <c r="BJS385" s="1037"/>
      <c r="BJT385" s="1037"/>
      <c r="BJU385" s="1037"/>
      <c r="BJV385" s="1037"/>
      <c r="BJW385" s="1037"/>
      <c r="BJX385" s="1037"/>
      <c r="BJY385" s="1037"/>
      <c r="BJZ385" s="1037"/>
      <c r="BKA385" s="1037"/>
      <c r="BKB385" s="1037"/>
      <c r="BKC385" s="1037"/>
      <c r="BKD385" s="1037"/>
      <c r="BKE385" s="1037"/>
      <c r="BKF385" s="1037"/>
      <c r="BKG385" s="1037"/>
      <c r="BKH385" s="1037"/>
      <c r="BKI385" s="1037"/>
      <c r="BKJ385" s="1037"/>
      <c r="BKK385" s="1037"/>
      <c r="BKL385" s="1037"/>
      <c r="BKM385" s="1037"/>
      <c r="BKN385" s="1037"/>
      <c r="BKO385" s="1037"/>
      <c r="BKP385" s="1037"/>
      <c r="BKQ385" s="1037"/>
      <c r="BKR385" s="1037"/>
      <c r="BKS385" s="1037"/>
      <c r="BKT385" s="1037"/>
      <c r="BKU385" s="1037"/>
      <c r="BKV385" s="1037"/>
      <c r="BKW385" s="1037"/>
      <c r="BKX385" s="1037"/>
      <c r="BKY385" s="1037"/>
      <c r="BKZ385" s="1037"/>
      <c r="BLA385" s="1037"/>
      <c r="BLB385" s="1037"/>
      <c r="BLC385" s="1037"/>
      <c r="BLD385" s="1037"/>
      <c r="BLE385" s="1037"/>
      <c r="BLF385" s="1037"/>
      <c r="BLG385" s="1037"/>
      <c r="BLH385" s="1037"/>
      <c r="BLI385" s="1037"/>
      <c r="BLJ385" s="1037"/>
      <c r="BLK385" s="1037"/>
      <c r="BLL385" s="1037"/>
      <c r="BLM385" s="1037"/>
      <c r="BLN385" s="1037"/>
      <c r="BLO385" s="1037"/>
      <c r="BLP385" s="1037"/>
      <c r="BLQ385" s="1037"/>
      <c r="BLR385" s="1037"/>
      <c r="BLS385" s="1037"/>
      <c r="BLT385" s="1037"/>
      <c r="BLU385" s="1037"/>
      <c r="BLV385" s="1037"/>
      <c r="BLW385" s="1037"/>
      <c r="BLX385" s="1037"/>
      <c r="BLY385" s="1037"/>
      <c r="BLZ385" s="1037"/>
      <c r="BMA385" s="1037"/>
      <c r="BMB385" s="1037"/>
      <c r="BMC385" s="1037"/>
      <c r="BMD385" s="1037"/>
      <c r="BME385" s="1037"/>
      <c r="BMF385" s="1037"/>
      <c r="BMG385" s="1037"/>
      <c r="BMH385" s="1037"/>
      <c r="BMI385" s="1037"/>
      <c r="BMJ385" s="1037"/>
      <c r="BMK385" s="1037"/>
      <c r="BML385" s="1037"/>
      <c r="BMM385" s="1037"/>
      <c r="BMN385" s="1037"/>
      <c r="BMO385" s="1037"/>
      <c r="BMP385" s="1037"/>
      <c r="BMQ385" s="1037"/>
      <c r="BMR385" s="1037"/>
      <c r="BMS385" s="1037"/>
      <c r="BMT385" s="1037"/>
      <c r="BMU385" s="1037"/>
      <c r="BMV385" s="1037"/>
      <c r="BMW385" s="1037"/>
      <c r="BMX385" s="1037"/>
      <c r="BMY385" s="1037"/>
      <c r="BMZ385" s="1037"/>
      <c r="BNA385" s="1037"/>
      <c r="BNB385" s="1037"/>
      <c r="BNC385" s="1037"/>
      <c r="BND385" s="1037"/>
      <c r="BNE385" s="1037"/>
      <c r="BNF385" s="1037"/>
      <c r="BNG385" s="1037"/>
      <c r="BNH385" s="1037"/>
      <c r="BNI385" s="1037"/>
      <c r="BNJ385" s="1037"/>
      <c r="BNK385" s="1037"/>
      <c r="BNL385" s="1037"/>
      <c r="BNM385" s="1037"/>
      <c r="BNN385" s="1037"/>
      <c r="BNO385" s="1037"/>
      <c r="BNP385" s="1037"/>
      <c r="BNQ385" s="1037"/>
      <c r="BNR385" s="1037"/>
      <c r="BNS385" s="1037"/>
      <c r="BNT385" s="1037"/>
      <c r="BNU385" s="1037"/>
      <c r="BNV385" s="1037"/>
      <c r="BNW385" s="1037"/>
      <c r="BNX385" s="1037"/>
      <c r="BNY385" s="1037"/>
      <c r="BNZ385" s="1037"/>
      <c r="BOA385" s="1037"/>
      <c r="BOB385" s="1037"/>
      <c r="BOC385" s="1037"/>
      <c r="BOD385" s="1037"/>
      <c r="BOE385" s="1037"/>
      <c r="BOF385" s="1037"/>
      <c r="BOG385" s="1037"/>
      <c r="BOH385" s="1037"/>
      <c r="BOI385" s="1037"/>
      <c r="BOJ385" s="1037"/>
      <c r="BOK385" s="1037"/>
      <c r="BOL385" s="1037"/>
      <c r="BOM385" s="1037"/>
      <c r="BON385" s="1037"/>
      <c r="BOO385" s="1037"/>
      <c r="BOP385" s="1037"/>
      <c r="BOQ385" s="1037"/>
      <c r="BOR385" s="1037"/>
    </row>
    <row r="386" spans="1:1760" s="1032" customFormat="1" ht="11.25">
      <c r="A386" s="1046"/>
      <c r="C386" s="1031"/>
      <c r="D386" s="1033"/>
      <c r="E386" s="1034"/>
      <c r="F386" s="1034"/>
      <c r="I386" s="1031"/>
      <c r="K386" s="1031"/>
      <c r="L386" s="1031"/>
      <c r="M386" s="1031"/>
      <c r="N386" s="1031"/>
      <c r="O386" s="1031"/>
      <c r="P386" s="1031"/>
      <c r="Q386" s="1031"/>
      <c r="R386" s="1031"/>
    </row>
    <row r="387" spans="1:1760" s="1032" customFormat="1" ht="11.25">
      <c r="A387" s="1047"/>
      <c r="C387" s="1031"/>
      <c r="D387" s="1033"/>
      <c r="E387" s="1034"/>
      <c r="F387" s="1034"/>
      <c r="I387" s="1031"/>
      <c r="K387" s="1031"/>
      <c r="L387" s="1031"/>
      <c r="M387" s="1031"/>
      <c r="N387" s="1031"/>
      <c r="O387" s="1031"/>
      <c r="P387" s="1031"/>
      <c r="Q387" s="1031"/>
      <c r="R387" s="1031"/>
    </row>
    <row r="388" spans="1:1760" s="1032" customFormat="1" ht="11.25">
      <c r="A388" s="1048"/>
      <c r="C388" s="1031"/>
      <c r="D388" s="1033"/>
      <c r="E388" s="1034"/>
      <c r="F388" s="1034"/>
      <c r="I388" s="1031"/>
      <c r="K388" s="1031"/>
      <c r="L388" s="1031"/>
      <c r="M388" s="1031"/>
      <c r="N388" s="1031"/>
      <c r="O388" s="1031"/>
      <c r="P388" s="1031"/>
      <c r="Q388" s="1031"/>
      <c r="R388" s="1031"/>
    </row>
    <row r="389" spans="1:1760" s="1032" customFormat="1" ht="11.25">
      <c r="A389" s="1049"/>
      <c r="C389" s="1031"/>
      <c r="D389" s="1033"/>
      <c r="E389" s="1034"/>
      <c r="F389" s="1034"/>
      <c r="I389" s="1031"/>
      <c r="K389" s="1031"/>
      <c r="L389" s="1031"/>
      <c r="M389" s="1031"/>
      <c r="N389" s="1031"/>
      <c r="O389" s="1031"/>
      <c r="P389" s="1031"/>
      <c r="Q389" s="1031"/>
      <c r="R389" s="1031"/>
    </row>
    <row r="390" spans="1:1760" s="1032" customFormat="1" ht="11.25">
      <c r="A390" s="1046"/>
      <c r="C390" s="1031"/>
      <c r="D390" s="1033"/>
      <c r="E390" s="1034"/>
      <c r="F390" s="1034"/>
      <c r="I390" s="1031"/>
      <c r="K390" s="1031"/>
      <c r="L390" s="1031"/>
      <c r="M390" s="1031"/>
      <c r="N390" s="1031"/>
      <c r="O390" s="1031"/>
      <c r="P390" s="1031"/>
      <c r="Q390" s="1031"/>
      <c r="R390" s="1031"/>
    </row>
    <row r="391" spans="1:1760" s="1032" customFormat="1" ht="11.25">
      <c r="A391" s="1046"/>
      <c r="C391" s="1031"/>
      <c r="D391" s="1033"/>
      <c r="E391" s="1034"/>
      <c r="F391" s="1034"/>
      <c r="I391" s="1031"/>
      <c r="K391" s="1031"/>
      <c r="L391" s="1031"/>
      <c r="M391" s="1031"/>
      <c r="N391" s="1031"/>
      <c r="O391" s="1031"/>
      <c r="P391" s="1031"/>
      <c r="Q391" s="1031"/>
      <c r="R391" s="1031"/>
    </row>
    <row r="392" spans="1:1760" s="1032" customFormat="1" ht="11.25">
      <c r="A392" s="1046"/>
      <c r="C392" s="1031"/>
      <c r="D392" s="1033"/>
      <c r="E392" s="1034"/>
      <c r="F392" s="1034"/>
      <c r="I392" s="1031"/>
      <c r="K392" s="1031"/>
      <c r="L392" s="1031"/>
      <c r="M392" s="1031"/>
      <c r="N392" s="1031"/>
      <c r="O392" s="1031"/>
      <c r="P392" s="1031"/>
      <c r="Q392" s="1031"/>
      <c r="R392" s="1031"/>
    </row>
    <row r="393" spans="1:1760" s="1032" customFormat="1" ht="11.25">
      <c r="A393" s="1046"/>
      <c r="C393" s="1031"/>
      <c r="D393" s="1033"/>
      <c r="E393" s="1034"/>
      <c r="F393" s="1034"/>
      <c r="I393" s="1031"/>
      <c r="K393" s="1031"/>
      <c r="L393" s="1031"/>
      <c r="M393" s="1031"/>
      <c r="N393" s="1031"/>
      <c r="O393" s="1031"/>
      <c r="P393" s="1031"/>
      <c r="Q393" s="1031"/>
      <c r="R393" s="1031"/>
    </row>
    <row r="394" spans="1:1760" s="1032" customFormat="1" ht="11.25">
      <c r="A394" s="1046"/>
      <c r="C394" s="1031"/>
      <c r="D394" s="1033"/>
      <c r="E394" s="1034"/>
      <c r="F394" s="1034"/>
      <c r="I394" s="1031"/>
      <c r="K394" s="1031"/>
      <c r="L394" s="1031"/>
      <c r="M394" s="1031"/>
      <c r="N394" s="1031"/>
      <c r="O394" s="1031"/>
      <c r="P394" s="1031"/>
      <c r="Q394" s="1031"/>
      <c r="R394" s="1031"/>
    </row>
    <row r="395" spans="1:1760" s="1032" customFormat="1" ht="11.25">
      <c r="A395" s="1046"/>
      <c r="C395" s="1031"/>
      <c r="D395" s="1033"/>
      <c r="E395" s="1034"/>
      <c r="F395" s="1034"/>
      <c r="I395" s="1031"/>
      <c r="K395" s="1031"/>
      <c r="L395" s="1031"/>
      <c r="M395" s="1031"/>
      <c r="N395" s="1031"/>
      <c r="O395" s="1031"/>
      <c r="P395" s="1031"/>
      <c r="Q395" s="1031"/>
      <c r="R395" s="1031"/>
    </row>
    <row r="396" spans="1:1760" s="1032" customFormat="1" ht="11.25">
      <c r="A396" s="1046"/>
      <c r="C396" s="1031"/>
      <c r="D396" s="1033"/>
      <c r="E396" s="1034"/>
      <c r="F396" s="1034"/>
      <c r="I396" s="1031"/>
      <c r="K396" s="1031"/>
      <c r="L396" s="1031"/>
      <c r="M396" s="1031"/>
      <c r="N396" s="1031"/>
      <c r="O396" s="1031"/>
      <c r="P396" s="1031"/>
      <c r="Q396" s="1031"/>
      <c r="R396" s="1031"/>
    </row>
    <row r="397" spans="1:1760" s="1032" customFormat="1" ht="11.25">
      <c r="A397" s="1046"/>
      <c r="C397" s="1031"/>
      <c r="D397" s="1033"/>
      <c r="E397" s="1034"/>
      <c r="F397" s="1034"/>
      <c r="I397" s="1031"/>
      <c r="K397" s="1031"/>
      <c r="L397" s="1031"/>
      <c r="M397" s="1031"/>
      <c r="N397" s="1031"/>
      <c r="O397" s="1031"/>
      <c r="P397" s="1031"/>
      <c r="Q397" s="1031"/>
      <c r="R397" s="1031"/>
    </row>
    <row r="398" spans="1:1760" s="1032" customFormat="1" ht="11.25">
      <c r="A398" s="1046"/>
      <c r="C398" s="1031"/>
      <c r="D398" s="1033"/>
      <c r="E398" s="1034"/>
      <c r="F398" s="1034"/>
      <c r="I398" s="1031"/>
      <c r="K398" s="1031"/>
      <c r="L398" s="1031"/>
      <c r="M398" s="1031"/>
      <c r="N398" s="1031"/>
      <c r="O398" s="1031"/>
      <c r="P398" s="1031"/>
      <c r="Q398" s="1031"/>
      <c r="R398" s="1031"/>
    </row>
    <row r="399" spans="1:1760" s="1032" customFormat="1" ht="11.25">
      <c r="A399" s="1046"/>
      <c r="C399" s="1031"/>
      <c r="D399" s="1033"/>
      <c r="E399" s="1034"/>
      <c r="F399" s="1034"/>
      <c r="I399" s="1031"/>
      <c r="K399" s="1031"/>
      <c r="L399" s="1031"/>
      <c r="M399" s="1031"/>
      <c r="N399" s="1031"/>
      <c r="O399" s="1031"/>
      <c r="P399" s="1031"/>
      <c r="Q399" s="1031"/>
      <c r="R399" s="1031"/>
    </row>
    <row r="400" spans="1:1760" s="1032" customFormat="1" ht="11.25">
      <c r="A400" s="1046"/>
      <c r="C400" s="1031"/>
      <c r="D400" s="1033"/>
      <c r="E400" s="1034"/>
      <c r="F400" s="1034"/>
      <c r="I400" s="1031"/>
      <c r="K400" s="1031"/>
      <c r="L400" s="1031"/>
      <c r="M400" s="1031"/>
      <c r="N400" s="1031"/>
      <c r="O400" s="1031"/>
      <c r="P400" s="1031"/>
      <c r="Q400" s="1031"/>
      <c r="R400" s="1031"/>
    </row>
    <row r="401" spans="1:18" s="1032" customFormat="1" ht="11.25">
      <c r="A401" s="1046"/>
      <c r="C401" s="1031"/>
      <c r="D401" s="1033"/>
      <c r="E401" s="1034"/>
      <c r="F401" s="1034"/>
      <c r="I401" s="1031"/>
      <c r="K401" s="1031"/>
      <c r="L401" s="1031"/>
      <c r="M401" s="1031"/>
      <c r="N401" s="1031"/>
      <c r="O401" s="1031"/>
      <c r="P401" s="1031"/>
      <c r="Q401" s="1031"/>
      <c r="R401" s="1031"/>
    </row>
    <row r="402" spans="1:18" s="1032" customFormat="1" ht="11.25">
      <c r="A402" s="1046"/>
      <c r="C402" s="1031"/>
      <c r="D402" s="1033"/>
      <c r="E402" s="1034"/>
      <c r="F402" s="1034"/>
      <c r="I402" s="1031"/>
      <c r="K402" s="1031"/>
      <c r="L402" s="1031"/>
      <c r="M402" s="1031"/>
      <c r="N402" s="1031"/>
      <c r="O402" s="1031"/>
      <c r="P402" s="1031"/>
      <c r="Q402" s="1031"/>
      <c r="R402" s="1031"/>
    </row>
    <row r="403" spans="1:18" s="1032" customFormat="1" ht="11.25">
      <c r="A403" s="1046"/>
      <c r="C403" s="1031"/>
      <c r="D403" s="1033"/>
      <c r="E403" s="1034"/>
      <c r="F403" s="1034"/>
      <c r="I403" s="1031"/>
      <c r="K403" s="1031"/>
      <c r="L403" s="1031"/>
      <c r="M403" s="1031"/>
      <c r="N403" s="1031"/>
      <c r="O403" s="1031"/>
      <c r="P403" s="1031"/>
      <c r="Q403" s="1031"/>
      <c r="R403" s="1031"/>
    </row>
    <row r="404" spans="1:18" s="1032" customFormat="1" ht="11.25">
      <c r="A404" s="1046"/>
      <c r="C404" s="1031"/>
      <c r="D404" s="1033"/>
      <c r="E404" s="1034"/>
      <c r="F404" s="1034"/>
      <c r="I404" s="1031"/>
      <c r="K404" s="1031"/>
      <c r="L404" s="1031"/>
      <c r="M404" s="1031"/>
      <c r="N404" s="1031"/>
      <c r="O404" s="1031"/>
      <c r="P404" s="1031"/>
      <c r="Q404" s="1031"/>
      <c r="R404" s="1031"/>
    </row>
    <row r="405" spans="1:18" s="1032" customFormat="1" ht="11.25">
      <c r="A405" s="1046"/>
      <c r="C405" s="1031"/>
      <c r="D405" s="1033"/>
      <c r="E405" s="1034"/>
      <c r="F405" s="1034"/>
      <c r="I405" s="1031"/>
      <c r="K405" s="1031"/>
      <c r="L405" s="1031"/>
      <c r="M405" s="1031"/>
      <c r="N405" s="1031"/>
      <c r="O405" s="1031"/>
      <c r="P405" s="1031"/>
      <c r="Q405" s="1031"/>
      <c r="R405" s="1031"/>
    </row>
    <row r="406" spans="1:18" s="1032" customFormat="1" ht="11.25">
      <c r="A406" s="1046"/>
      <c r="C406" s="1031"/>
      <c r="D406" s="1033"/>
      <c r="E406" s="1034"/>
      <c r="F406" s="1034"/>
      <c r="I406" s="1031"/>
      <c r="K406" s="1031"/>
      <c r="L406" s="1031"/>
      <c r="M406" s="1031"/>
      <c r="N406" s="1031"/>
      <c r="O406" s="1031"/>
      <c r="P406" s="1031"/>
      <c r="Q406" s="1031"/>
      <c r="R406" s="1031"/>
    </row>
    <row r="407" spans="1:18" s="1032" customFormat="1" ht="11.25">
      <c r="A407" s="1046"/>
      <c r="C407" s="1031"/>
      <c r="D407" s="1033"/>
      <c r="E407" s="1034"/>
      <c r="F407" s="1034"/>
      <c r="I407" s="1031"/>
      <c r="K407" s="1031"/>
      <c r="L407" s="1031"/>
      <c r="M407" s="1031"/>
      <c r="N407" s="1031"/>
      <c r="O407" s="1031"/>
      <c r="P407" s="1031"/>
      <c r="Q407" s="1031"/>
      <c r="R407" s="1031"/>
    </row>
    <row r="408" spans="1:18" s="1032" customFormat="1" ht="11.25">
      <c r="A408" s="1046"/>
      <c r="C408" s="1031"/>
      <c r="D408" s="1033"/>
      <c r="E408" s="1034"/>
      <c r="F408" s="1034"/>
      <c r="I408" s="1031"/>
      <c r="K408" s="1031"/>
      <c r="L408" s="1031"/>
      <c r="M408" s="1031"/>
      <c r="N408" s="1031"/>
      <c r="O408" s="1031"/>
      <c r="P408" s="1031"/>
      <c r="Q408" s="1031"/>
      <c r="R408" s="1031"/>
    </row>
    <row r="409" spans="1:18" s="1032" customFormat="1" ht="11.25">
      <c r="A409" s="1046"/>
      <c r="C409" s="1031"/>
      <c r="D409" s="1033"/>
      <c r="E409" s="1034"/>
      <c r="F409" s="1034"/>
      <c r="I409" s="1031"/>
      <c r="K409" s="1031"/>
      <c r="L409" s="1031"/>
      <c r="M409" s="1031"/>
      <c r="N409" s="1031"/>
      <c r="O409" s="1031"/>
      <c r="P409" s="1031"/>
      <c r="Q409" s="1031"/>
      <c r="R409" s="1031"/>
    </row>
    <row r="410" spans="1:18" s="1032" customFormat="1" ht="11.25">
      <c r="A410" s="1046"/>
      <c r="C410" s="1031"/>
      <c r="D410" s="1033"/>
      <c r="E410" s="1034"/>
      <c r="F410" s="1034"/>
      <c r="I410" s="1031"/>
      <c r="K410" s="1031"/>
      <c r="L410" s="1031"/>
      <c r="M410" s="1031"/>
      <c r="N410" s="1031"/>
      <c r="O410" s="1031"/>
      <c r="P410" s="1031"/>
      <c r="Q410" s="1031"/>
      <c r="R410" s="1031"/>
    </row>
    <row r="411" spans="1:18" s="1032" customFormat="1" ht="11.25">
      <c r="A411" s="1046"/>
      <c r="C411" s="1031"/>
      <c r="D411" s="1033"/>
      <c r="E411" s="1034"/>
      <c r="F411" s="1034"/>
      <c r="I411" s="1031"/>
      <c r="K411" s="1031"/>
      <c r="L411" s="1031"/>
      <c r="M411" s="1031"/>
      <c r="N411" s="1031"/>
      <c r="O411" s="1031"/>
      <c r="P411" s="1031"/>
      <c r="Q411" s="1031"/>
      <c r="R411" s="1031"/>
    </row>
    <row r="412" spans="1:18" s="1032" customFormat="1" ht="11.25">
      <c r="A412" s="1046"/>
      <c r="C412" s="1031"/>
      <c r="D412" s="1033"/>
      <c r="E412" s="1034"/>
      <c r="F412" s="1034"/>
      <c r="I412" s="1031"/>
      <c r="K412" s="1031"/>
      <c r="L412" s="1031"/>
      <c r="M412" s="1031"/>
      <c r="N412" s="1031"/>
      <c r="O412" s="1031"/>
      <c r="P412" s="1031"/>
      <c r="Q412" s="1031"/>
      <c r="R412" s="1031"/>
    </row>
    <row r="413" spans="1:18" s="1032" customFormat="1" ht="11.25">
      <c r="A413" s="1046"/>
      <c r="C413" s="1031"/>
      <c r="D413" s="1033"/>
      <c r="E413" s="1034"/>
      <c r="F413" s="1034"/>
      <c r="I413" s="1031"/>
      <c r="K413" s="1031"/>
      <c r="L413" s="1031"/>
      <c r="M413" s="1031"/>
      <c r="N413" s="1031"/>
      <c r="O413" s="1031"/>
      <c r="P413" s="1031"/>
      <c r="Q413" s="1031"/>
      <c r="R413" s="1031"/>
    </row>
    <row r="414" spans="1:18" s="1032" customFormat="1" ht="11.25">
      <c r="A414" s="1046"/>
      <c r="C414" s="1031"/>
      <c r="D414" s="1033"/>
      <c r="E414" s="1034"/>
      <c r="F414" s="1034"/>
      <c r="I414" s="1031"/>
      <c r="K414" s="1031"/>
      <c r="L414" s="1031"/>
      <c r="M414" s="1031"/>
      <c r="N414" s="1031"/>
      <c r="O414" s="1031"/>
      <c r="P414" s="1031"/>
      <c r="Q414" s="1031"/>
      <c r="R414" s="1031"/>
    </row>
    <row r="415" spans="1:18" s="1032" customFormat="1" ht="11.25">
      <c r="A415" s="1046"/>
      <c r="C415" s="1031"/>
      <c r="D415" s="1033"/>
      <c r="E415" s="1034"/>
      <c r="F415" s="1034"/>
      <c r="I415" s="1031"/>
      <c r="K415" s="1031"/>
      <c r="L415" s="1031"/>
      <c r="M415" s="1031"/>
      <c r="N415" s="1031"/>
      <c r="O415" s="1031"/>
      <c r="P415" s="1031"/>
      <c r="Q415" s="1031"/>
      <c r="R415" s="1031"/>
    </row>
    <row r="416" spans="1:18" s="1032" customFormat="1" ht="11.25">
      <c r="A416" s="1046"/>
      <c r="C416" s="1031"/>
      <c r="D416" s="1033"/>
      <c r="E416" s="1034"/>
      <c r="F416" s="1034"/>
      <c r="I416" s="1031"/>
      <c r="K416" s="1031"/>
      <c r="L416" s="1031"/>
      <c r="M416" s="1031"/>
      <c r="N416" s="1031"/>
      <c r="O416" s="1031"/>
      <c r="P416" s="1031"/>
      <c r="Q416" s="1031"/>
      <c r="R416" s="1031"/>
    </row>
    <row r="417" spans="1:18" s="1032" customFormat="1" ht="11.25">
      <c r="A417" s="1046"/>
      <c r="C417" s="1031"/>
      <c r="D417" s="1033"/>
      <c r="E417" s="1034"/>
      <c r="F417" s="1034"/>
      <c r="I417" s="1031"/>
      <c r="K417" s="1031"/>
      <c r="L417" s="1031"/>
      <c r="M417" s="1031"/>
      <c r="N417" s="1031"/>
      <c r="O417" s="1031"/>
      <c r="P417" s="1031"/>
      <c r="Q417" s="1031"/>
      <c r="R417" s="1031"/>
    </row>
    <row r="418" spans="1:18" s="1032" customFormat="1" ht="11.25">
      <c r="A418" s="1046"/>
      <c r="C418" s="1031"/>
      <c r="D418" s="1033"/>
      <c r="E418" s="1034"/>
      <c r="F418" s="1034"/>
      <c r="I418" s="1031"/>
      <c r="K418" s="1031"/>
      <c r="L418" s="1031"/>
      <c r="M418" s="1031"/>
      <c r="N418" s="1031"/>
      <c r="O418" s="1031"/>
      <c r="P418" s="1031"/>
      <c r="Q418" s="1031"/>
      <c r="R418" s="1031"/>
    </row>
    <row r="419" spans="1:18" s="1032" customFormat="1" ht="11.25">
      <c r="A419" s="1046"/>
      <c r="C419" s="1031"/>
      <c r="D419" s="1033"/>
      <c r="E419" s="1034"/>
      <c r="F419" s="1034"/>
      <c r="I419" s="1031"/>
      <c r="K419" s="1031"/>
      <c r="L419" s="1031"/>
      <c r="M419" s="1031"/>
      <c r="N419" s="1031"/>
      <c r="O419" s="1031"/>
      <c r="P419" s="1031"/>
      <c r="Q419" s="1031"/>
      <c r="R419" s="1031"/>
    </row>
    <row r="420" spans="1:18" s="1032" customFormat="1" ht="11.25">
      <c r="A420" s="1046"/>
      <c r="C420" s="1031"/>
      <c r="D420" s="1033"/>
      <c r="E420" s="1034"/>
      <c r="F420" s="1034"/>
      <c r="I420" s="1031"/>
      <c r="K420" s="1031"/>
      <c r="L420" s="1031"/>
      <c r="M420" s="1031"/>
      <c r="N420" s="1031"/>
      <c r="O420" s="1031"/>
      <c r="P420" s="1031"/>
      <c r="Q420" s="1031"/>
      <c r="R420" s="1031"/>
    </row>
    <row r="421" spans="1:18" s="1032" customFormat="1" ht="11.25">
      <c r="A421" s="1046"/>
      <c r="C421" s="1031"/>
      <c r="D421" s="1033"/>
      <c r="E421" s="1034"/>
      <c r="F421" s="1034"/>
      <c r="I421" s="1031"/>
      <c r="K421" s="1031"/>
      <c r="L421" s="1031"/>
      <c r="M421" s="1031"/>
      <c r="N421" s="1031"/>
      <c r="O421" s="1031"/>
      <c r="P421" s="1031"/>
      <c r="Q421" s="1031"/>
      <c r="R421" s="1031"/>
    </row>
    <row r="422" spans="1:18" s="1032" customFormat="1" ht="11.25">
      <c r="A422" s="1046"/>
      <c r="C422" s="1031"/>
      <c r="D422" s="1033"/>
      <c r="E422" s="1034"/>
      <c r="F422" s="1034"/>
      <c r="I422" s="1031"/>
      <c r="K422" s="1031"/>
      <c r="L422" s="1031"/>
      <c r="M422" s="1031"/>
      <c r="N422" s="1031"/>
      <c r="O422" s="1031"/>
      <c r="P422" s="1031"/>
      <c r="Q422" s="1031"/>
      <c r="R422" s="1031"/>
    </row>
    <row r="423" spans="1:18" s="1032" customFormat="1" ht="11.25">
      <c r="A423" s="1046"/>
      <c r="C423" s="1031"/>
      <c r="D423" s="1033"/>
      <c r="E423" s="1034"/>
      <c r="F423" s="1034"/>
      <c r="I423" s="1031"/>
      <c r="K423" s="1031"/>
      <c r="L423" s="1031"/>
      <c r="M423" s="1031"/>
      <c r="N423" s="1031"/>
      <c r="O423" s="1031"/>
      <c r="P423" s="1031"/>
      <c r="Q423" s="1031"/>
      <c r="R423" s="1031"/>
    </row>
    <row r="424" spans="1:18" s="1032" customFormat="1" ht="11.25">
      <c r="A424" s="1046"/>
      <c r="C424" s="1031"/>
      <c r="D424" s="1033"/>
      <c r="E424" s="1034"/>
      <c r="F424" s="1034"/>
      <c r="I424" s="1031"/>
      <c r="K424" s="1031"/>
      <c r="L424" s="1031"/>
      <c r="M424" s="1031"/>
      <c r="N424" s="1031"/>
      <c r="O424" s="1031"/>
      <c r="P424" s="1031"/>
      <c r="Q424" s="1031"/>
      <c r="R424" s="1031"/>
    </row>
    <row r="425" spans="1:18" s="1032" customFormat="1" ht="11.25">
      <c r="A425" s="1046"/>
      <c r="C425" s="1031"/>
      <c r="D425" s="1033"/>
      <c r="E425" s="1034"/>
      <c r="F425" s="1034"/>
      <c r="I425" s="1031"/>
      <c r="K425" s="1031"/>
      <c r="L425" s="1031"/>
      <c r="M425" s="1031"/>
      <c r="N425" s="1031"/>
      <c r="O425" s="1031"/>
      <c r="P425" s="1031"/>
      <c r="Q425" s="1031"/>
      <c r="R425" s="1031"/>
    </row>
    <row r="426" spans="1:18" s="1032" customFormat="1" ht="11.25">
      <c r="A426" s="1046"/>
      <c r="C426" s="1031"/>
      <c r="D426" s="1033"/>
      <c r="E426" s="1034"/>
      <c r="F426" s="1034"/>
      <c r="I426" s="1031"/>
      <c r="K426" s="1031"/>
      <c r="L426" s="1031"/>
      <c r="M426" s="1031"/>
      <c r="N426" s="1031"/>
      <c r="O426" s="1031"/>
      <c r="P426" s="1031"/>
      <c r="Q426" s="1031"/>
      <c r="R426" s="1031"/>
    </row>
    <row r="427" spans="1:18" s="1032" customFormat="1" ht="11.25">
      <c r="A427" s="1046"/>
      <c r="C427" s="1031"/>
      <c r="D427" s="1033"/>
      <c r="E427" s="1034"/>
      <c r="F427" s="1034"/>
      <c r="I427" s="1031"/>
      <c r="K427" s="1031"/>
      <c r="L427" s="1031"/>
      <c r="M427" s="1031"/>
      <c r="N427" s="1031"/>
      <c r="O427" s="1031"/>
      <c r="P427" s="1031"/>
      <c r="Q427" s="1031"/>
      <c r="R427" s="1031"/>
    </row>
    <row r="428" spans="1:18" s="1032" customFormat="1" ht="11.25">
      <c r="A428" s="1046"/>
      <c r="C428" s="1031"/>
      <c r="D428" s="1033"/>
      <c r="E428" s="1034"/>
      <c r="F428" s="1034"/>
      <c r="I428" s="1031"/>
      <c r="K428" s="1031"/>
      <c r="L428" s="1031"/>
      <c r="M428" s="1031"/>
      <c r="N428" s="1031"/>
      <c r="O428" s="1031"/>
      <c r="P428" s="1031"/>
      <c r="Q428" s="1031"/>
      <c r="R428" s="1031"/>
    </row>
    <row r="429" spans="1:18" s="1032" customFormat="1" ht="11.25">
      <c r="A429" s="1046"/>
      <c r="C429" s="1031"/>
      <c r="D429" s="1033"/>
      <c r="E429" s="1034"/>
      <c r="F429" s="1034"/>
      <c r="I429" s="1031"/>
      <c r="K429" s="1031"/>
      <c r="L429" s="1031"/>
      <c r="M429" s="1031"/>
      <c r="N429" s="1031"/>
      <c r="O429" s="1031"/>
      <c r="P429" s="1031"/>
      <c r="Q429" s="1031"/>
      <c r="R429" s="1031"/>
    </row>
    <row r="430" spans="1:18" s="1032" customFormat="1" ht="11.25">
      <c r="A430" s="1046"/>
      <c r="C430" s="1031"/>
      <c r="D430" s="1033"/>
      <c r="E430" s="1034"/>
      <c r="F430" s="1034"/>
      <c r="I430" s="1031"/>
      <c r="K430" s="1031"/>
      <c r="L430" s="1031"/>
      <c r="M430" s="1031"/>
      <c r="N430" s="1031"/>
      <c r="O430" s="1031"/>
      <c r="P430" s="1031"/>
      <c r="Q430" s="1031"/>
      <c r="R430" s="1031"/>
    </row>
    <row r="431" spans="1:18" s="1032" customFormat="1" ht="11.25">
      <c r="A431" s="1046"/>
      <c r="C431" s="1031"/>
      <c r="D431" s="1033"/>
      <c r="E431" s="1034"/>
      <c r="F431" s="1034"/>
      <c r="I431" s="1031"/>
      <c r="K431" s="1031"/>
      <c r="L431" s="1031"/>
      <c r="M431" s="1031"/>
      <c r="N431" s="1031"/>
      <c r="O431" s="1031"/>
      <c r="P431" s="1031"/>
      <c r="Q431" s="1031"/>
      <c r="R431" s="1031"/>
    </row>
    <row r="432" spans="1:18" s="1032" customFormat="1" ht="11.25">
      <c r="A432" s="1046"/>
      <c r="C432" s="1031"/>
      <c r="D432" s="1033"/>
      <c r="E432" s="1034"/>
      <c r="F432" s="1034"/>
      <c r="I432" s="1031"/>
      <c r="K432" s="1031"/>
      <c r="L432" s="1031"/>
      <c r="M432" s="1031"/>
      <c r="N432" s="1031"/>
      <c r="O432" s="1031"/>
      <c r="P432" s="1031"/>
      <c r="Q432" s="1031"/>
      <c r="R432" s="1031"/>
    </row>
    <row r="433" spans="1:18" s="1032" customFormat="1" ht="11.25">
      <c r="A433" s="1046"/>
      <c r="C433" s="1031"/>
      <c r="D433" s="1033"/>
      <c r="E433" s="1034"/>
      <c r="F433" s="1034"/>
      <c r="I433" s="1031"/>
      <c r="K433" s="1031"/>
      <c r="L433" s="1031"/>
      <c r="M433" s="1031"/>
      <c r="N433" s="1031"/>
      <c r="O433" s="1031"/>
      <c r="P433" s="1031"/>
      <c r="Q433" s="1031"/>
      <c r="R433" s="1031"/>
    </row>
    <row r="434" spans="1:18" s="1032" customFormat="1" ht="11.25">
      <c r="A434" s="1046"/>
      <c r="C434" s="1031"/>
      <c r="D434" s="1033"/>
      <c r="E434" s="1034"/>
      <c r="F434" s="1034"/>
      <c r="I434" s="1031"/>
      <c r="K434" s="1031"/>
      <c r="L434" s="1031"/>
      <c r="M434" s="1031"/>
      <c r="N434" s="1031"/>
      <c r="O434" s="1031"/>
      <c r="P434" s="1031"/>
      <c r="Q434" s="1031"/>
      <c r="R434" s="1031"/>
    </row>
    <row r="435" spans="1:18" s="1032" customFormat="1" ht="11.25">
      <c r="A435" s="1046"/>
      <c r="C435" s="1031"/>
      <c r="D435" s="1033"/>
      <c r="E435" s="1034"/>
      <c r="F435" s="1034"/>
      <c r="I435" s="1031"/>
      <c r="K435" s="1031"/>
      <c r="L435" s="1031"/>
      <c r="M435" s="1031"/>
      <c r="N435" s="1031"/>
      <c r="O435" s="1031"/>
      <c r="P435" s="1031"/>
      <c r="Q435" s="1031"/>
      <c r="R435" s="1031"/>
    </row>
    <row r="436" spans="1:18" s="1032" customFormat="1" ht="11.25">
      <c r="A436" s="1046"/>
      <c r="C436" s="1031"/>
      <c r="D436" s="1033"/>
      <c r="E436" s="1034"/>
      <c r="F436" s="1034"/>
      <c r="I436" s="1031"/>
      <c r="K436" s="1031"/>
      <c r="L436" s="1031"/>
      <c r="M436" s="1031"/>
      <c r="N436" s="1031"/>
      <c r="O436" s="1031"/>
      <c r="P436" s="1031"/>
      <c r="Q436" s="1031"/>
      <c r="R436" s="1031"/>
    </row>
    <row r="437" spans="1:18" s="1032" customFormat="1" ht="11.25">
      <c r="A437" s="1046"/>
      <c r="C437" s="1031"/>
      <c r="D437" s="1033"/>
      <c r="E437" s="1034"/>
      <c r="F437" s="1034"/>
      <c r="I437" s="1031"/>
      <c r="K437" s="1031"/>
      <c r="L437" s="1031"/>
      <c r="M437" s="1031"/>
      <c r="N437" s="1031"/>
      <c r="O437" s="1031"/>
      <c r="P437" s="1031"/>
      <c r="Q437" s="1031"/>
      <c r="R437" s="1031"/>
    </row>
    <row r="438" spans="1:18" s="1032" customFormat="1" ht="11.25">
      <c r="A438" s="1046"/>
      <c r="C438" s="1031"/>
      <c r="D438" s="1033"/>
      <c r="E438" s="1034"/>
      <c r="F438" s="1034"/>
      <c r="I438" s="1031"/>
      <c r="K438" s="1031"/>
      <c r="L438" s="1031"/>
      <c r="M438" s="1031"/>
      <c r="N438" s="1031"/>
      <c r="O438" s="1031"/>
      <c r="P438" s="1031"/>
      <c r="Q438" s="1031"/>
      <c r="R438" s="1031"/>
    </row>
    <row r="439" spans="1:18" s="1032" customFormat="1" ht="11.25">
      <c r="A439" s="1046"/>
      <c r="C439" s="1031"/>
      <c r="D439" s="1033"/>
      <c r="E439" s="1034"/>
      <c r="F439" s="1034"/>
      <c r="I439" s="1031"/>
      <c r="K439" s="1031"/>
      <c r="L439" s="1031"/>
      <c r="M439" s="1031"/>
      <c r="N439" s="1031"/>
      <c r="O439" s="1031"/>
      <c r="P439" s="1031"/>
      <c r="Q439" s="1031"/>
      <c r="R439" s="1031"/>
    </row>
    <row r="440" spans="1:18" s="1032" customFormat="1" ht="11.25">
      <c r="A440" s="1046"/>
      <c r="C440" s="1031"/>
      <c r="D440" s="1033"/>
      <c r="E440" s="1034"/>
      <c r="F440" s="1034"/>
      <c r="I440" s="1031"/>
      <c r="K440" s="1031"/>
      <c r="L440" s="1031"/>
      <c r="M440" s="1031"/>
      <c r="N440" s="1031"/>
      <c r="O440" s="1031"/>
      <c r="P440" s="1031"/>
      <c r="Q440" s="1031"/>
      <c r="R440" s="1031"/>
    </row>
    <row r="441" spans="1:18" s="1032" customFormat="1" ht="11.25">
      <c r="A441" s="1046"/>
      <c r="C441" s="1031"/>
      <c r="D441" s="1033"/>
      <c r="E441" s="1034"/>
      <c r="F441" s="1034"/>
      <c r="I441" s="1031"/>
      <c r="K441" s="1031"/>
      <c r="L441" s="1031"/>
      <c r="M441" s="1031"/>
      <c r="N441" s="1031"/>
      <c r="O441" s="1031"/>
      <c r="P441" s="1031"/>
      <c r="Q441" s="1031"/>
      <c r="R441" s="1031"/>
    </row>
    <row r="442" spans="1:18" s="1032" customFormat="1" ht="11.25">
      <c r="A442" s="1046"/>
      <c r="C442" s="1031"/>
      <c r="D442" s="1033"/>
      <c r="E442" s="1034"/>
      <c r="F442" s="1034"/>
      <c r="I442" s="1031"/>
      <c r="K442" s="1031"/>
      <c r="L442" s="1031"/>
      <c r="M442" s="1031"/>
      <c r="N442" s="1031"/>
      <c r="O442" s="1031"/>
      <c r="P442" s="1031"/>
      <c r="Q442" s="1031"/>
      <c r="R442" s="1031"/>
    </row>
    <row r="443" spans="1:18" s="1032" customFormat="1" ht="11.25">
      <c r="A443" s="1046"/>
      <c r="C443" s="1031"/>
      <c r="D443" s="1033"/>
      <c r="E443" s="1034"/>
      <c r="F443" s="1034"/>
      <c r="I443" s="1031"/>
      <c r="K443" s="1031"/>
      <c r="L443" s="1031"/>
      <c r="M443" s="1031"/>
      <c r="N443" s="1031"/>
      <c r="O443" s="1031"/>
      <c r="P443" s="1031"/>
      <c r="Q443" s="1031"/>
      <c r="R443" s="1031"/>
    </row>
    <row r="444" spans="1:18" s="1032" customFormat="1" ht="11.25">
      <c r="A444" s="1046"/>
      <c r="C444" s="1031"/>
      <c r="D444" s="1033"/>
      <c r="E444" s="1034"/>
      <c r="F444" s="1034"/>
      <c r="I444" s="1031"/>
      <c r="K444" s="1031"/>
      <c r="L444" s="1031"/>
      <c r="M444" s="1031"/>
      <c r="N444" s="1031"/>
      <c r="O444" s="1031"/>
      <c r="P444" s="1031"/>
      <c r="Q444" s="1031"/>
      <c r="R444" s="1031"/>
    </row>
    <row r="445" spans="1:18" s="1032" customFormat="1" ht="11.25">
      <c r="A445" s="1046"/>
      <c r="C445" s="1031"/>
      <c r="D445" s="1033"/>
      <c r="E445" s="1034"/>
      <c r="F445" s="1034"/>
      <c r="I445" s="1031"/>
      <c r="K445" s="1031"/>
      <c r="L445" s="1031"/>
      <c r="M445" s="1031"/>
      <c r="N445" s="1031"/>
      <c r="O445" s="1031"/>
      <c r="P445" s="1031"/>
      <c r="Q445" s="1031"/>
      <c r="R445" s="1031"/>
    </row>
    <row r="446" spans="1:18" s="1032" customFormat="1" ht="11.25">
      <c r="A446" s="1046"/>
      <c r="C446" s="1031"/>
      <c r="D446" s="1033"/>
      <c r="E446" s="1034"/>
      <c r="F446" s="1034"/>
      <c r="I446" s="1031"/>
      <c r="K446" s="1031"/>
      <c r="L446" s="1031"/>
      <c r="M446" s="1031"/>
      <c r="N446" s="1031"/>
      <c r="O446" s="1031"/>
      <c r="P446" s="1031"/>
      <c r="Q446" s="1031"/>
      <c r="R446" s="1031"/>
    </row>
    <row r="447" spans="1:18" s="1032" customFormat="1" ht="11.25">
      <c r="A447" s="1046"/>
      <c r="C447" s="1031"/>
      <c r="D447" s="1033"/>
      <c r="E447" s="1034"/>
      <c r="F447" s="1034"/>
      <c r="I447" s="1031"/>
      <c r="K447" s="1031"/>
      <c r="L447" s="1031"/>
      <c r="M447" s="1031"/>
      <c r="N447" s="1031"/>
      <c r="O447" s="1031"/>
      <c r="P447" s="1031"/>
      <c r="Q447" s="1031"/>
      <c r="R447" s="1031"/>
    </row>
    <row r="448" spans="1:18" s="1032" customFormat="1" ht="11.25">
      <c r="A448" s="1046"/>
      <c r="C448" s="1031"/>
      <c r="D448" s="1033"/>
      <c r="E448" s="1034"/>
      <c r="F448" s="1034"/>
      <c r="I448" s="1031"/>
      <c r="K448" s="1031"/>
      <c r="L448" s="1031"/>
      <c r="M448" s="1031"/>
      <c r="N448" s="1031"/>
      <c r="O448" s="1031"/>
      <c r="P448" s="1031"/>
      <c r="Q448" s="1031"/>
      <c r="R448" s="1031"/>
    </row>
    <row r="449" spans="1:18" s="1032" customFormat="1" ht="11.25">
      <c r="A449" s="1046"/>
      <c r="C449" s="1031"/>
      <c r="D449" s="1033"/>
      <c r="E449" s="1034"/>
      <c r="F449" s="1034"/>
      <c r="I449" s="1031"/>
      <c r="K449" s="1031"/>
      <c r="L449" s="1031"/>
      <c r="M449" s="1031"/>
      <c r="N449" s="1031"/>
      <c r="O449" s="1031"/>
      <c r="P449" s="1031"/>
      <c r="Q449" s="1031"/>
      <c r="R449" s="1031"/>
    </row>
    <row r="450" spans="1:18" s="1032" customFormat="1" ht="11.25">
      <c r="A450" s="1046"/>
      <c r="C450" s="1031"/>
      <c r="D450" s="1033"/>
      <c r="E450" s="1034"/>
      <c r="F450" s="1034"/>
      <c r="I450" s="1031"/>
      <c r="K450" s="1031"/>
      <c r="L450" s="1031"/>
      <c r="M450" s="1031"/>
      <c r="N450" s="1031"/>
      <c r="O450" s="1031"/>
      <c r="P450" s="1031"/>
      <c r="Q450" s="1031"/>
      <c r="R450" s="1031"/>
    </row>
    <row r="451" spans="1:18" s="1032" customFormat="1" ht="11.25">
      <c r="A451" s="1046"/>
      <c r="C451" s="1031"/>
      <c r="D451" s="1033"/>
      <c r="E451" s="1034"/>
      <c r="F451" s="1034"/>
      <c r="I451" s="1031"/>
      <c r="K451" s="1031"/>
      <c r="L451" s="1031"/>
      <c r="M451" s="1031"/>
      <c r="N451" s="1031"/>
      <c r="O451" s="1031"/>
      <c r="P451" s="1031"/>
      <c r="Q451" s="1031"/>
      <c r="R451" s="1031"/>
    </row>
    <row r="452" spans="1:18" s="1032" customFormat="1" ht="11.25">
      <c r="A452" s="1049"/>
      <c r="C452" s="1031"/>
      <c r="D452" s="1033"/>
      <c r="E452" s="1034"/>
      <c r="F452" s="1034"/>
      <c r="I452" s="1031"/>
      <c r="K452" s="1031"/>
      <c r="L452" s="1031"/>
      <c r="M452" s="1031"/>
      <c r="N452" s="1031"/>
      <c r="O452" s="1031"/>
      <c r="P452" s="1031"/>
      <c r="Q452" s="1031"/>
      <c r="R452" s="1031"/>
    </row>
    <row r="453" spans="1:18" s="1032" customFormat="1" ht="11.25">
      <c r="A453" s="1046"/>
      <c r="C453" s="1031"/>
      <c r="D453" s="1033"/>
      <c r="E453" s="1034"/>
      <c r="F453" s="1034"/>
      <c r="I453" s="1031"/>
      <c r="K453" s="1031"/>
      <c r="L453" s="1031"/>
      <c r="M453" s="1031"/>
      <c r="N453" s="1031"/>
      <c r="O453" s="1031"/>
      <c r="P453" s="1031"/>
      <c r="Q453" s="1031"/>
      <c r="R453" s="1031"/>
    </row>
    <row r="454" spans="1:18" s="1032" customFormat="1" ht="11.25">
      <c r="A454" s="1046"/>
      <c r="C454" s="1031"/>
      <c r="D454" s="1033"/>
      <c r="E454" s="1034"/>
      <c r="F454" s="1034"/>
      <c r="I454" s="1031"/>
      <c r="K454" s="1031"/>
      <c r="L454" s="1031"/>
      <c r="M454" s="1031"/>
      <c r="N454" s="1031"/>
      <c r="O454" s="1031"/>
      <c r="P454" s="1031"/>
      <c r="Q454" s="1031"/>
      <c r="R454" s="1031"/>
    </row>
    <row r="455" spans="1:18" s="1032" customFormat="1" ht="11.25">
      <c r="A455" s="1049"/>
      <c r="C455" s="1031"/>
      <c r="D455" s="1033"/>
      <c r="E455" s="1034"/>
      <c r="F455" s="1034"/>
      <c r="I455" s="1031"/>
      <c r="K455" s="1031"/>
      <c r="L455" s="1031"/>
      <c r="M455" s="1031"/>
      <c r="N455" s="1031"/>
      <c r="O455" s="1031"/>
      <c r="P455" s="1031"/>
      <c r="Q455" s="1031"/>
      <c r="R455" s="1031"/>
    </row>
    <row r="456" spans="1:18" s="1032" customFormat="1" ht="11.25">
      <c r="A456" s="1049"/>
      <c r="C456" s="1031"/>
      <c r="D456" s="1033"/>
      <c r="E456" s="1034"/>
      <c r="F456" s="1034"/>
      <c r="I456" s="1031"/>
      <c r="K456" s="1031"/>
      <c r="L456" s="1031"/>
      <c r="M456" s="1031"/>
      <c r="N456" s="1031"/>
      <c r="O456" s="1031"/>
      <c r="P456" s="1031"/>
      <c r="Q456" s="1031"/>
      <c r="R456" s="1031"/>
    </row>
    <row r="457" spans="1:18" s="1032" customFormat="1" ht="11.25">
      <c r="A457" s="1046"/>
      <c r="C457" s="1031"/>
      <c r="D457" s="1033"/>
      <c r="E457" s="1034"/>
      <c r="F457" s="1034"/>
      <c r="I457" s="1031"/>
      <c r="K457" s="1031"/>
      <c r="L457" s="1031"/>
      <c r="M457" s="1031"/>
      <c r="N457" s="1031"/>
      <c r="O457" s="1031"/>
      <c r="P457" s="1031"/>
      <c r="Q457" s="1031"/>
      <c r="R457" s="1031"/>
    </row>
    <row r="458" spans="1:18" s="1032" customFormat="1" ht="11.25">
      <c r="A458" s="1046"/>
      <c r="C458" s="1031"/>
      <c r="D458" s="1033"/>
      <c r="E458" s="1034"/>
      <c r="F458" s="1034"/>
      <c r="I458" s="1031"/>
      <c r="K458" s="1031"/>
      <c r="L458" s="1031"/>
      <c r="M458" s="1031"/>
      <c r="N458" s="1031"/>
      <c r="O458" s="1031"/>
      <c r="P458" s="1031"/>
      <c r="Q458" s="1031"/>
      <c r="R458" s="1031"/>
    </row>
    <row r="459" spans="1:18" s="1032" customFormat="1" ht="11.25">
      <c r="A459" s="1046"/>
      <c r="C459" s="1031"/>
      <c r="D459" s="1033"/>
      <c r="E459" s="1034"/>
      <c r="F459" s="1034"/>
      <c r="I459" s="1031"/>
      <c r="K459" s="1031"/>
      <c r="L459" s="1031"/>
      <c r="M459" s="1031"/>
      <c r="N459" s="1031"/>
      <c r="O459" s="1031"/>
      <c r="P459" s="1031"/>
      <c r="Q459" s="1031"/>
      <c r="R459" s="1031"/>
    </row>
    <row r="460" spans="1:18" s="1032" customFormat="1" ht="11.25">
      <c r="A460" s="1046"/>
      <c r="C460" s="1031"/>
      <c r="D460" s="1033"/>
      <c r="E460" s="1034"/>
      <c r="F460" s="1034"/>
      <c r="I460" s="1031"/>
      <c r="K460" s="1031"/>
      <c r="L460" s="1031"/>
      <c r="M460" s="1031"/>
      <c r="N460" s="1031"/>
      <c r="O460" s="1031"/>
      <c r="P460" s="1031"/>
      <c r="Q460" s="1031"/>
      <c r="R460" s="1031"/>
    </row>
    <row r="461" spans="1:18" s="1032" customFormat="1" ht="11.25">
      <c r="A461" s="1050"/>
      <c r="C461" s="1031"/>
      <c r="D461" s="1033"/>
      <c r="E461" s="1034"/>
      <c r="F461" s="1034"/>
      <c r="I461" s="1031"/>
      <c r="K461" s="1031"/>
      <c r="L461" s="1031"/>
      <c r="M461" s="1031"/>
      <c r="N461" s="1031"/>
      <c r="O461" s="1031"/>
      <c r="P461" s="1031"/>
      <c r="Q461" s="1031"/>
      <c r="R461" s="1031"/>
    </row>
    <row r="462" spans="1:18" s="1032" customFormat="1" ht="11.25">
      <c r="A462" s="1046"/>
      <c r="C462" s="1031"/>
      <c r="D462" s="1033"/>
      <c r="E462" s="1034"/>
      <c r="F462" s="1034"/>
      <c r="I462" s="1031"/>
      <c r="K462" s="1031"/>
      <c r="L462" s="1031"/>
      <c r="M462" s="1031"/>
      <c r="N462" s="1031"/>
      <c r="O462" s="1031"/>
      <c r="P462" s="1031"/>
      <c r="Q462" s="1031"/>
      <c r="R462" s="1031"/>
    </row>
    <row r="463" spans="1:18" s="1032" customFormat="1" ht="11.25">
      <c r="A463" s="1047"/>
      <c r="C463" s="1031"/>
      <c r="D463" s="1033"/>
      <c r="E463" s="1034"/>
      <c r="F463" s="1034"/>
      <c r="I463" s="1031"/>
      <c r="K463" s="1031"/>
      <c r="L463" s="1031"/>
      <c r="M463" s="1031"/>
      <c r="N463" s="1031"/>
      <c r="O463" s="1031"/>
      <c r="P463" s="1031"/>
      <c r="Q463" s="1031"/>
      <c r="R463" s="1031"/>
    </row>
    <row r="464" spans="1:18" s="1032" customFormat="1" ht="11.25">
      <c r="A464" s="1047"/>
      <c r="C464" s="1031"/>
      <c r="D464" s="1033"/>
      <c r="E464" s="1034"/>
      <c r="F464" s="1034"/>
      <c r="I464" s="1031"/>
      <c r="K464" s="1031"/>
      <c r="L464" s="1031"/>
      <c r="M464" s="1031"/>
      <c r="N464" s="1031"/>
      <c r="O464" s="1031"/>
      <c r="P464" s="1031"/>
      <c r="Q464" s="1031"/>
      <c r="R464" s="1031"/>
    </row>
    <row r="465" spans="1:18" s="1032" customFormat="1" ht="11.25">
      <c r="A465" s="1046"/>
      <c r="C465" s="1031"/>
      <c r="D465" s="1033"/>
      <c r="E465" s="1034"/>
      <c r="F465" s="1034"/>
      <c r="I465" s="1031"/>
      <c r="K465" s="1031"/>
      <c r="L465" s="1031"/>
      <c r="M465" s="1031"/>
      <c r="N465" s="1031"/>
      <c r="O465" s="1031"/>
      <c r="P465" s="1031"/>
      <c r="Q465" s="1031"/>
      <c r="R465" s="1031"/>
    </row>
    <row r="466" spans="1:18" s="1032" customFormat="1" ht="11.25">
      <c r="A466" s="1047"/>
      <c r="C466" s="1031"/>
      <c r="D466" s="1033"/>
      <c r="E466" s="1034"/>
      <c r="F466" s="1034"/>
      <c r="I466" s="1031"/>
      <c r="K466" s="1031"/>
      <c r="L466" s="1031"/>
      <c r="M466" s="1031"/>
      <c r="N466" s="1031"/>
      <c r="O466" s="1031"/>
      <c r="P466" s="1031"/>
      <c r="Q466" s="1031"/>
      <c r="R466" s="1031"/>
    </row>
    <row r="467" spans="1:18" s="1032" customFormat="1" ht="11.25">
      <c r="A467" s="1048"/>
      <c r="C467" s="1031"/>
      <c r="D467" s="1033"/>
      <c r="E467" s="1034"/>
      <c r="F467" s="1034"/>
      <c r="I467" s="1031"/>
      <c r="K467" s="1031"/>
      <c r="L467" s="1031"/>
      <c r="M467" s="1031"/>
      <c r="N467" s="1031"/>
      <c r="O467" s="1031"/>
      <c r="P467" s="1031"/>
      <c r="Q467" s="1031"/>
      <c r="R467" s="1031"/>
    </row>
    <row r="468" spans="1:18" s="1032" customFormat="1" ht="11.25">
      <c r="A468" s="1048"/>
      <c r="C468" s="1031"/>
      <c r="D468" s="1033"/>
      <c r="E468" s="1034"/>
      <c r="F468" s="1034"/>
      <c r="I468" s="1031"/>
      <c r="K468" s="1031"/>
      <c r="L468" s="1031"/>
      <c r="M468" s="1031"/>
      <c r="N468" s="1031"/>
      <c r="O468" s="1031"/>
      <c r="P468" s="1031"/>
      <c r="Q468" s="1031"/>
      <c r="R468" s="1031"/>
    </row>
    <row r="469" spans="1:18" s="1032" customFormat="1" ht="11.25">
      <c r="A469" s="1046"/>
      <c r="C469" s="1031"/>
      <c r="D469" s="1033"/>
      <c r="E469" s="1034"/>
      <c r="F469" s="1034"/>
      <c r="I469" s="1031"/>
      <c r="K469" s="1031"/>
      <c r="L469" s="1031"/>
      <c r="M469" s="1031"/>
      <c r="N469" s="1031"/>
      <c r="O469" s="1031"/>
      <c r="P469" s="1031"/>
      <c r="Q469" s="1031"/>
      <c r="R469" s="1031"/>
    </row>
    <row r="470" spans="1:18" s="1032" customFormat="1" ht="11.25">
      <c r="A470" s="1051"/>
      <c r="C470" s="1031"/>
      <c r="D470" s="1033"/>
      <c r="E470" s="1034"/>
      <c r="F470" s="1034"/>
      <c r="I470" s="1031"/>
      <c r="K470" s="1031"/>
      <c r="L470" s="1031"/>
      <c r="M470" s="1031"/>
      <c r="N470" s="1031"/>
      <c r="O470" s="1031"/>
      <c r="P470" s="1031"/>
      <c r="Q470" s="1031"/>
      <c r="R470" s="1031"/>
    </row>
    <row r="471" spans="1:18" s="1032" customFormat="1" ht="11.25">
      <c r="A471" s="1051"/>
      <c r="C471" s="1031"/>
      <c r="D471" s="1033"/>
      <c r="E471" s="1034"/>
      <c r="F471" s="1034"/>
      <c r="I471" s="1031"/>
      <c r="K471" s="1031"/>
      <c r="L471" s="1031"/>
      <c r="M471" s="1031"/>
      <c r="N471" s="1031"/>
      <c r="O471" s="1031"/>
      <c r="P471" s="1031"/>
      <c r="Q471" s="1031"/>
      <c r="R471" s="1031"/>
    </row>
    <row r="472" spans="1:18" s="1032" customFormat="1" ht="11.25">
      <c r="A472" s="1049"/>
      <c r="C472" s="1031"/>
      <c r="D472" s="1033"/>
      <c r="E472" s="1034"/>
      <c r="F472" s="1034"/>
      <c r="I472" s="1031"/>
      <c r="K472" s="1031"/>
      <c r="L472" s="1031"/>
      <c r="M472" s="1031"/>
      <c r="N472" s="1031"/>
      <c r="O472" s="1031"/>
      <c r="P472" s="1031"/>
      <c r="Q472" s="1031"/>
      <c r="R472" s="1031"/>
    </row>
    <row r="473" spans="1:18" s="1032" customFormat="1" ht="11.25">
      <c r="A473" s="1050"/>
      <c r="C473" s="1031"/>
      <c r="D473" s="1033"/>
      <c r="E473" s="1034"/>
      <c r="F473" s="1034"/>
      <c r="I473" s="1031"/>
      <c r="K473" s="1031"/>
      <c r="L473" s="1031"/>
      <c r="M473" s="1031"/>
      <c r="N473" s="1031"/>
      <c r="O473" s="1031"/>
      <c r="P473" s="1031"/>
      <c r="Q473" s="1031"/>
      <c r="R473" s="1031"/>
    </row>
    <row r="474" spans="1:18" s="1032" customFormat="1" ht="11.25">
      <c r="A474" s="1046"/>
      <c r="C474" s="1031"/>
      <c r="D474" s="1033"/>
      <c r="E474" s="1034"/>
      <c r="F474" s="1034"/>
      <c r="I474" s="1031"/>
      <c r="K474" s="1031"/>
      <c r="L474" s="1031"/>
      <c r="M474" s="1031"/>
      <c r="N474" s="1031"/>
      <c r="O474" s="1031"/>
      <c r="P474" s="1031"/>
      <c r="Q474" s="1031"/>
      <c r="R474" s="1031"/>
    </row>
    <row r="475" spans="1:18" s="1032" customFormat="1" ht="11.25">
      <c r="A475" s="1047"/>
      <c r="C475" s="1031"/>
      <c r="D475" s="1033"/>
      <c r="E475" s="1034"/>
      <c r="F475" s="1034"/>
      <c r="I475" s="1031"/>
      <c r="K475" s="1031"/>
      <c r="L475" s="1031"/>
      <c r="M475" s="1031"/>
      <c r="N475" s="1031"/>
      <c r="O475" s="1031"/>
      <c r="P475" s="1031"/>
      <c r="Q475" s="1031"/>
      <c r="R475" s="1031"/>
    </row>
    <row r="476" spans="1:18" s="1032" customFormat="1" ht="11.25">
      <c r="A476" s="1047"/>
      <c r="C476" s="1031"/>
      <c r="D476" s="1033"/>
      <c r="E476" s="1034"/>
      <c r="F476" s="1034"/>
      <c r="I476" s="1031"/>
      <c r="K476" s="1031"/>
      <c r="L476" s="1031"/>
      <c r="M476" s="1031"/>
      <c r="N476" s="1031"/>
      <c r="O476" s="1031"/>
      <c r="P476" s="1031"/>
      <c r="Q476" s="1031"/>
      <c r="R476" s="1031"/>
    </row>
    <row r="477" spans="1:18" s="1032" customFormat="1" ht="11.25">
      <c r="A477" s="1046"/>
      <c r="C477" s="1031"/>
      <c r="D477" s="1033"/>
      <c r="E477" s="1034"/>
      <c r="F477" s="1034"/>
      <c r="I477" s="1031"/>
      <c r="K477" s="1031"/>
      <c r="L477" s="1031"/>
      <c r="M477" s="1031"/>
      <c r="N477" s="1031"/>
      <c r="O477" s="1031"/>
      <c r="P477" s="1031"/>
      <c r="Q477" s="1031"/>
      <c r="R477" s="1031"/>
    </row>
    <row r="478" spans="1:18" s="1032" customFormat="1" ht="11.25">
      <c r="A478" s="1046"/>
      <c r="C478" s="1031"/>
      <c r="D478" s="1033"/>
      <c r="E478" s="1034"/>
      <c r="F478" s="1034"/>
      <c r="I478" s="1031"/>
      <c r="K478" s="1031"/>
      <c r="L478" s="1031"/>
      <c r="M478" s="1031"/>
      <c r="N478" s="1031"/>
      <c r="O478" s="1031"/>
      <c r="P478" s="1031"/>
      <c r="Q478" s="1031"/>
      <c r="R478" s="1031"/>
    </row>
    <row r="479" spans="1:18" s="1032" customFormat="1" ht="11.25">
      <c r="A479" s="1046"/>
      <c r="C479" s="1031"/>
      <c r="D479" s="1033"/>
      <c r="E479" s="1034"/>
      <c r="F479" s="1034"/>
      <c r="I479" s="1031"/>
      <c r="K479" s="1031"/>
      <c r="L479" s="1031"/>
      <c r="M479" s="1031"/>
      <c r="N479" s="1031"/>
      <c r="O479" s="1031"/>
      <c r="P479" s="1031"/>
      <c r="Q479" s="1031"/>
      <c r="R479" s="1031"/>
    </row>
    <row r="480" spans="1:18" s="1032" customFormat="1" ht="11.25">
      <c r="A480" s="1051"/>
      <c r="C480" s="1031"/>
      <c r="D480" s="1033"/>
      <c r="E480" s="1034"/>
      <c r="F480" s="1034"/>
      <c r="I480" s="1031"/>
      <c r="K480" s="1031"/>
      <c r="L480" s="1031"/>
      <c r="M480" s="1031"/>
      <c r="N480" s="1031"/>
      <c r="O480" s="1031"/>
      <c r="P480" s="1031"/>
      <c r="Q480" s="1031"/>
      <c r="R480" s="1031"/>
    </row>
    <row r="481" spans="1:16146" s="1032" customFormat="1" ht="11.25">
      <c r="A481" s="1052"/>
      <c r="C481" s="1031"/>
      <c r="D481" s="1033"/>
      <c r="E481" s="1034"/>
      <c r="F481" s="1034"/>
      <c r="I481" s="1031"/>
      <c r="K481" s="1031"/>
      <c r="L481" s="1031"/>
      <c r="M481" s="1031"/>
      <c r="N481" s="1031"/>
      <c r="O481" s="1031"/>
      <c r="P481" s="1031"/>
      <c r="Q481" s="1031"/>
      <c r="R481" s="1031"/>
    </row>
    <row r="482" spans="1:16146" s="1032" customFormat="1" ht="11.25">
      <c r="A482" s="1052"/>
      <c r="C482" s="1031"/>
      <c r="D482" s="1033"/>
      <c r="E482" s="1034"/>
      <c r="F482" s="1034"/>
      <c r="I482" s="1031"/>
      <c r="K482" s="1031"/>
      <c r="L482" s="1031"/>
      <c r="M482" s="1031"/>
      <c r="N482" s="1031"/>
      <c r="O482" s="1031"/>
      <c r="P482" s="1031"/>
      <c r="Q482" s="1031"/>
      <c r="R482" s="1031"/>
    </row>
    <row r="483" spans="1:16146" s="1032" customFormat="1" ht="11.25">
      <c r="A483" s="1051"/>
      <c r="C483" s="1031"/>
      <c r="D483" s="1033"/>
      <c r="E483" s="1034"/>
      <c r="F483" s="1034"/>
      <c r="I483" s="1031"/>
      <c r="K483" s="1031"/>
      <c r="L483" s="1031"/>
      <c r="M483" s="1031"/>
      <c r="N483" s="1031"/>
      <c r="O483" s="1031"/>
      <c r="P483" s="1031"/>
      <c r="Q483" s="1031"/>
      <c r="R483" s="1031"/>
    </row>
    <row r="484" spans="1:16146" ht="11.25">
      <c r="A484" s="1052"/>
    </row>
    <row r="485" spans="1:16146" s="1032" customFormat="1" ht="11.25">
      <c r="A485" s="1052"/>
      <c r="C485" s="1031"/>
      <c r="D485" s="1033"/>
      <c r="E485" s="1034"/>
      <c r="F485" s="1034"/>
      <c r="I485" s="1031"/>
      <c r="K485" s="1031"/>
      <c r="L485" s="1031"/>
      <c r="M485" s="1031"/>
      <c r="N485" s="1031"/>
      <c r="O485" s="1031"/>
      <c r="P485" s="1031"/>
      <c r="Q485" s="1031"/>
      <c r="R485" s="1031"/>
      <c r="S485" s="1031"/>
      <c r="T485" s="1031"/>
      <c r="U485" s="1031"/>
      <c r="V485" s="1031"/>
      <c r="W485" s="1031"/>
      <c r="X485" s="1031"/>
      <c r="Y485" s="1031"/>
      <c r="Z485" s="1031"/>
      <c r="AA485" s="1031"/>
      <c r="AB485" s="1031"/>
      <c r="AC485" s="1031"/>
      <c r="AD485" s="1031"/>
      <c r="AE485" s="1031"/>
      <c r="AF485" s="1031"/>
      <c r="AG485" s="1031"/>
      <c r="AH485" s="1031"/>
      <c r="AI485" s="1031"/>
      <c r="AJ485" s="1031"/>
      <c r="AK485" s="1031"/>
      <c r="AL485" s="1031"/>
      <c r="AM485" s="1031"/>
      <c r="AN485" s="1031"/>
      <c r="AO485" s="1031"/>
      <c r="AP485" s="1031"/>
      <c r="AQ485" s="1031"/>
      <c r="AR485" s="1031"/>
      <c r="AS485" s="1031"/>
      <c r="AT485" s="1031"/>
      <c r="AU485" s="1031"/>
      <c r="AV485" s="1031"/>
      <c r="AW485" s="1031"/>
      <c r="AX485" s="1031"/>
      <c r="AY485" s="1031"/>
      <c r="AZ485" s="1031"/>
      <c r="BA485" s="1031"/>
      <c r="BB485" s="1031"/>
      <c r="BC485" s="1031"/>
      <c r="BD485" s="1031"/>
      <c r="BE485" s="1031"/>
      <c r="BF485" s="1031"/>
      <c r="BG485" s="1031"/>
      <c r="BH485" s="1031"/>
      <c r="BI485" s="1031"/>
      <c r="BJ485" s="1031"/>
      <c r="BK485" s="1031"/>
      <c r="BL485" s="1031"/>
      <c r="BM485" s="1031"/>
      <c r="BN485" s="1031"/>
      <c r="BO485" s="1031"/>
      <c r="BP485" s="1031"/>
      <c r="BQ485" s="1031"/>
      <c r="BR485" s="1031"/>
      <c r="BS485" s="1031"/>
      <c r="BT485" s="1031"/>
      <c r="BU485" s="1031"/>
      <c r="BV485" s="1031"/>
      <c r="BW485" s="1031"/>
      <c r="BX485" s="1031"/>
      <c r="BY485" s="1031"/>
      <c r="BZ485" s="1031"/>
      <c r="CA485" s="1031"/>
      <c r="CB485" s="1031"/>
      <c r="CC485" s="1031"/>
      <c r="CD485" s="1031"/>
      <c r="CE485" s="1031"/>
      <c r="CF485" s="1031"/>
      <c r="CG485" s="1031"/>
      <c r="CH485" s="1031"/>
      <c r="CI485" s="1031"/>
      <c r="CJ485" s="1031"/>
      <c r="CK485" s="1031"/>
      <c r="CL485" s="1031"/>
      <c r="CM485" s="1031"/>
      <c r="CN485" s="1031"/>
      <c r="CO485" s="1031"/>
      <c r="CP485" s="1031"/>
      <c r="CQ485" s="1031"/>
      <c r="CR485" s="1031"/>
      <c r="CS485" s="1031"/>
      <c r="CT485" s="1031"/>
      <c r="CU485" s="1031"/>
      <c r="CV485" s="1031"/>
      <c r="CW485" s="1031"/>
      <c r="CX485" s="1031"/>
      <c r="CY485" s="1031"/>
      <c r="CZ485" s="1031"/>
      <c r="DA485" s="1031"/>
      <c r="DB485" s="1031"/>
      <c r="DC485" s="1031"/>
      <c r="DD485" s="1031"/>
      <c r="DE485" s="1031"/>
      <c r="DF485" s="1031"/>
      <c r="DG485" s="1031"/>
      <c r="DH485" s="1031"/>
      <c r="DI485" s="1031"/>
      <c r="DJ485" s="1031"/>
      <c r="DK485" s="1031"/>
      <c r="DL485" s="1031"/>
      <c r="DM485" s="1031"/>
      <c r="DN485" s="1031"/>
      <c r="DO485" s="1031"/>
      <c r="DP485" s="1031"/>
      <c r="DQ485" s="1031"/>
      <c r="DR485" s="1031"/>
      <c r="DS485" s="1031"/>
      <c r="DT485" s="1031"/>
      <c r="DU485" s="1031"/>
      <c r="DV485" s="1031"/>
      <c r="DW485" s="1031"/>
      <c r="DX485" s="1031"/>
      <c r="DY485" s="1031"/>
      <c r="DZ485" s="1031"/>
      <c r="EA485" s="1031"/>
      <c r="EB485" s="1031"/>
      <c r="EC485" s="1031"/>
      <c r="ED485" s="1031"/>
      <c r="EE485" s="1031"/>
      <c r="EF485" s="1031"/>
      <c r="EG485" s="1031"/>
      <c r="EH485" s="1031"/>
      <c r="EI485" s="1031"/>
      <c r="EJ485" s="1031"/>
      <c r="EK485" s="1031"/>
      <c r="EL485" s="1031"/>
      <c r="EM485" s="1031"/>
      <c r="EN485" s="1031"/>
      <c r="EO485" s="1031"/>
      <c r="EP485" s="1031"/>
      <c r="EQ485" s="1031"/>
      <c r="ER485" s="1031"/>
      <c r="ES485" s="1031"/>
      <c r="ET485" s="1031"/>
      <c r="EU485" s="1031"/>
      <c r="EV485" s="1031"/>
      <c r="EW485" s="1031"/>
      <c r="EX485" s="1031"/>
      <c r="EY485" s="1031"/>
      <c r="EZ485" s="1031"/>
      <c r="FA485" s="1031"/>
      <c r="FB485" s="1031"/>
      <c r="FC485" s="1031"/>
      <c r="FD485" s="1031"/>
      <c r="FE485" s="1031"/>
      <c r="FF485" s="1031"/>
      <c r="FG485" s="1031"/>
      <c r="FH485" s="1031"/>
      <c r="FI485" s="1031"/>
      <c r="FJ485" s="1031"/>
      <c r="FK485" s="1031"/>
      <c r="FL485" s="1031"/>
      <c r="FM485" s="1031"/>
      <c r="FN485" s="1031"/>
      <c r="FO485" s="1031"/>
      <c r="FP485" s="1031"/>
      <c r="FQ485" s="1031"/>
      <c r="FR485" s="1031"/>
      <c r="FS485" s="1031"/>
      <c r="FT485" s="1031"/>
      <c r="FU485" s="1031"/>
      <c r="FV485" s="1031"/>
      <c r="FW485" s="1031"/>
      <c r="FX485" s="1031"/>
      <c r="FY485" s="1031"/>
      <c r="FZ485" s="1031"/>
      <c r="GA485" s="1031"/>
      <c r="GB485" s="1031"/>
      <c r="GC485" s="1031"/>
      <c r="GD485" s="1031"/>
      <c r="GE485" s="1031"/>
      <c r="GF485" s="1031"/>
      <c r="GG485" s="1031"/>
      <c r="GH485" s="1031"/>
      <c r="GI485" s="1031"/>
      <c r="GJ485" s="1031"/>
      <c r="GK485" s="1031"/>
      <c r="GL485" s="1031"/>
      <c r="GM485" s="1031"/>
      <c r="GN485" s="1031"/>
      <c r="GO485" s="1031"/>
      <c r="GP485" s="1031"/>
      <c r="GQ485" s="1031"/>
      <c r="GR485" s="1031"/>
      <c r="GS485" s="1031"/>
      <c r="GT485" s="1031"/>
      <c r="GU485" s="1031"/>
      <c r="GV485" s="1031"/>
      <c r="GW485" s="1031"/>
      <c r="GX485" s="1031"/>
      <c r="GY485" s="1031"/>
      <c r="GZ485" s="1031"/>
      <c r="HA485" s="1031"/>
      <c r="HB485" s="1031"/>
      <c r="HC485" s="1031"/>
      <c r="HD485" s="1031"/>
      <c r="HE485" s="1031"/>
      <c r="HF485" s="1031"/>
      <c r="HG485" s="1031"/>
      <c r="HH485" s="1031"/>
      <c r="HI485" s="1031"/>
      <c r="HJ485" s="1031"/>
      <c r="HK485" s="1031"/>
      <c r="HL485" s="1031"/>
      <c r="HM485" s="1031"/>
      <c r="HN485" s="1031"/>
      <c r="HO485" s="1031"/>
      <c r="HP485" s="1031"/>
      <c r="HQ485" s="1031"/>
      <c r="HR485" s="1031"/>
      <c r="HS485" s="1031"/>
      <c r="HT485" s="1031"/>
      <c r="HU485" s="1031"/>
      <c r="HV485" s="1031"/>
      <c r="HW485" s="1031"/>
      <c r="HX485" s="1031"/>
      <c r="HY485" s="1031"/>
      <c r="HZ485" s="1031"/>
      <c r="IA485" s="1031"/>
      <c r="IB485" s="1031"/>
      <c r="IC485" s="1031"/>
      <c r="ID485" s="1031"/>
      <c r="IE485" s="1031"/>
      <c r="IF485" s="1031"/>
      <c r="IG485" s="1031"/>
      <c r="IH485" s="1031"/>
      <c r="II485" s="1031"/>
      <c r="IJ485" s="1031"/>
      <c r="IK485" s="1031"/>
      <c r="IL485" s="1031"/>
      <c r="IM485" s="1031"/>
      <c r="IN485" s="1031"/>
      <c r="IO485" s="1031"/>
      <c r="IP485" s="1031"/>
      <c r="IQ485" s="1031"/>
      <c r="IR485" s="1031"/>
      <c r="IS485" s="1031"/>
      <c r="IT485" s="1031"/>
      <c r="IU485" s="1031"/>
      <c r="IV485" s="1031"/>
      <c r="IW485" s="1031"/>
      <c r="IX485" s="1031"/>
      <c r="IY485" s="1031"/>
      <c r="IZ485" s="1031"/>
      <c r="JA485" s="1031"/>
      <c r="JB485" s="1031"/>
      <c r="JC485" s="1031"/>
      <c r="JD485" s="1031"/>
      <c r="JE485" s="1031"/>
      <c r="JF485" s="1031"/>
      <c r="JG485" s="1031"/>
      <c r="JH485" s="1031"/>
      <c r="JI485" s="1031"/>
      <c r="JJ485" s="1031"/>
      <c r="JK485" s="1031"/>
      <c r="JL485" s="1031"/>
      <c r="JM485" s="1031"/>
      <c r="JN485" s="1031"/>
      <c r="JO485" s="1031"/>
      <c r="JP485" s="1031"/>
      <c r="JQ485" s="1031"/>
      <c r="JR485" s="1031"/>
      <c r="JS485" s="1031"/>
      <c r="JT485" s="1031"/>
      <c r="JU485" s="1031"/>
      <c r="JV485" s="1031"/>
      <c r="JW485" s="1031"/>
      <c r="JX485" s="1031"/>
      <c r="JY485" s="1031"/>
      <c r="JZ485" s="1031"/>
      <c r="KA485" s="1031"/>
      <c r="KB485" s="1031"/>
      <c r="KC485" s="1031"/>
      <c r="KD485" s="1031"/>
      <c r="KE485" s="1031"/>
      <c r="KF485" s="1031"/>
      <c r="KG485" s="1031"/>
      <c r="KH485" s="1031"/>
      <c r="KI485" s="1031"/>
      <c r="KJ485" s="1031"/>
      <c r="KK485" s="1031"/>
      <c r="KL485" s="1031"/>
      <c r="KM485" s="1031"/>
      <c r="KN485" s="1031"/>
      <c r="KO485" s="1031"/>
      <c r="KP485" s="1031"/>
      <c r="KQ485" s="1031"/>
      <c r="KR485" s="1031"/>
      <c r="KS485" s="1031"/>
      <c r="KT485" s="1031"/>
      <c r="KU485" s="1031"/>
      <c r="KV485" s="1031"/>
      <c r="KW485" s="1031"/>
      <c r="KX485" s="1031"/>
      <c r="KY485" s="1031"/>
      <c r="KZ485" s="1031"/>
      <c r="LA485" s="1031"/>
      <c r="LB485" s="1031"/>
      <c r="LC485" s="1031"/>
      <c r="LD485" s="1031"/>
      <c r="LE485" s="1031"/>
      <c r="LF485" s="1031"/>
      <c r="LG485" s="1031"/>
      <c r="LH485" s="1031"/>
      <c r="LI485" s="1031"/>
      <c r="LJ485" s="1031"/>
      <c r="LK485" s="1031"/>
      <c r="LL485" s="1031"/>
      <c r="LM485" s="1031"/>
      <c r="LN485" s="1031"/>
      <c r="LO485" s="1031"/>
      <c r="LP485" s="1031"/>
      <c r="LQ485" s="1031"/>
      <c r="LR485" s="1031"/>
      <c r="LS485" s="1031"/>
      <c r="LT485" s="1031"/>
      <c r="LU485" s="1031"/>
      <c r="LV485" s="1031"/>
      <c r="LW485" s="1031"/>
      <c r="LX485" s="1031"/>
      <c r="LY485" s="1031"/>
      <c r="LZ485" s="1031"/>
      <c r="MA485" s="1031"/>
      <c r="MB485" s="1031"/>
      <c r="MC485" s="1031"/>
      <c r="MD485" s="1031"/>
      <c r="ME485" s="1031"/>
      <c r="MF485" s="1031"/>
      <c r="MG485" s="1031"/>
      <c r="MH485" s="1031"/>
      <c r="MI485" s="1031"/>
      <c r="MJ485" s="1031"/>
      <c r="MK485" s="1031"/>
      <c r="ML485" s="1031"/>
      <c r="MM485" s="1031"/>
      <c r="MN485" s="1031"/>
      <c r="MO485" s="1031"/>
      <c r="MP485" s="1031"/>
      <c r="MQ485" s="1031"/>
      <c r="MR485" s="1031"/>
      <c r="MS485" s="1031"/>
      <c r="MT485" s="1031"/>
      <c r="MU485" s="1031"/>
      <c r="MV485" s="1031"/>
      <c r="MW485" s="1031"/>
      <c r="MX485" s="1031"/>
      <c r="MY485" s="1031"/>
      <c r="MZ485" s="1031"/>
      <c r="NA485" s="1031"/>
      <c r="NB485" s="1031"/>
      <c r="NC485" s="1031"/>
      <c r="ND485" s="1031"/>
      <c r="NE485" s="1031"/>
      <c r="NF485" s="1031"/>
      <c r="NG485" s="1031"/>
      <c r="NH485" s="1031"/>
      <c r="NI485" s="1031"/>
      <c r="NJ485" s="1031"/>
      <c r="NK485" s="1031"/>
      <c r="NL485" s="1031"/>
      <c r="NM485" s="1031"/>
      <c r="NN485" s="1031"/>
      <c r="NO485" s="1031"/>
      <c r="NP485" s="1031"/>
      <c r="NQ485" s="1031"/>
      <c r="NR485" s="1031"/>
      <c r="NS485" s="1031"/>
      <c r="NT485" s="1031"/>
      <c r="NU485" s="1031"/>
      <c r="NV485" s="1031"/>
      <c r="NW485" s="1031"/>
      <c r="NX485" s="1031"/>
      <c r="NY485" s="1031"/>
      <c r="NZ485" s="1031"/>
      <c r="OA485" s="1031"/>
      <c r="OB485" s="1031"/>
      <c r="OC485" s="1031"/>
      <c r="OD485" s="1031"/>
      <c r="OE485" s="1031"/>
      <c r="OF485" s="1031"/>
      <c r="OG485" s="1031"/>
      <c r="OH485" s="1031"/>
      <c r="OI485" s="1031"/>
      <c r="OJ485" s="1031"/>
      <c r="OK485" s="1031"/>
      <c r="OL485" s="1031"/>
      <c r="OM485" s="1031"/>
      <c r="ON485" s="1031"/>
      <c r="OO485" s="1031"/>
      <c r="OP485" s="1031"/>
      <c r="OQ485" s="1031"/>
      <c r="OR485" s="1031"/>
      <c r="OS485" s="1031"/>
      <c r="OT485" s="1031"/>
      <c r="OU485" s="1031"/>
      <c r="OV485" s="1031"/>
      <c r="OW485" s="1031"/>
      <c r="OX485" s="1031"/>
      <c r="OY485" s="1031"/>
      <c r="OZ485" s="1031"/>
      <c r="PA485" s="1031"/>
      <c r="PB485" s="1031"/>
      <c r="PC485" s="1031"/>
      <c r="PD485" s="1031"/>
      <c r="PE485" s="1031"/>
      <c r="PF485" s="1031"/>
      <c r="PG485" s="1031"/>
      <c r="PH485" s="1031"/>
      <c r="PI485" s="1031"/>
      <c r="PJ485" s="1031"/>
      <c r="PK485" s="1031"/>
      <c r="PL485" s="1031"/>
      <c r="PM485" s="1031"/>
      <c r="PN485" s="1031"/>
      <c r="PO485" s="1031"/>
      <c r="PP485" s="1031"/>
      <c r="PQ485" s="1031"/>
      <c r="PR485" s="1031"/>
      <c r="PS485" s="1031"/>
      <c r="PT485" s="1031"/>
      <c r="PU485" s="1031"/>
      <c r="PV485" s="1031"/>
      <c r="PW485" s="1031"/>
      <c r="PX485" s="1031"/>
      <c r="PY485" s="1031"/>
      <c r="PZ485" s="1031"/>
      <c r="QA485" s="1031"/>
      <c r="QB485" s="1031"/>
      <c r="QC485" s="1031"/>
      <c r="QD485" s="1031"/>
      <c r="QE485" s="1031"/>
      <c r="QF485" s="1031"/>
      <c r="QG485" s="1031"/>
      <c r="QH485" s="1031"/>
      <c r="QI485" s="1031"/>
      <c r="QJ485" s="1031"/>
      <c r="QK485" s="1031"/>
      <c r="QL485" s="1031"/>
      <c r="QM485" s="1031"/>
      <c r="QN485" s="1031"/>
      <c r="QO485" s="1031"/>
      <c r="QP485" s="1031"/>
      <c r="QQ485" s="1031"/>
      <c r="QR485" s="1031"/>
      <c r="QS485" s="1031"/>
      <c r="QT485" s="1031"/>
      <c r="QU485" s="1031"/>
      <c r="QV485" s="1031"/>
      <c r="QW485" s="1031"/>
      <c r="QX485" s="1031"/>
      <c r="QY485" s="1031"/>
      <c r="QZ485" s="1031"/>
      <c r="RA485" s="1031"/>
      <c r="RB485" s="1031"/>
      <c r="RC485" s="1031"/>
      <c r="RD485" s="1031"/>
      <c r="RE485" s="1031"/>
      <c r="RF485" s="1031"/>
      <c r="RG485" s="1031"/>
      <c r="RH485" s="1031"/>
      <c r="RI485" s="1031"/>
      <c r="RJ485" s="1031"/>
      <c r="RK485" s="1031"/>
      <c r="RL485" s="1031"/>
      <c r="RM485" s="1031"/>
      <c r="RN485" s="1031"/>
      <c r="RO485" s="1031"/>
      <c r="RP485" s="1031"/>
      <c r="RQ485" s="1031"/>
      <c r="RR485" s="1031"/>
      <c r="RS485" s="1031"/>
      <c r="RT485" s="1031"/>
      <c r="RU485" s="1031"/>
      <c r="RV485" s="1031"/>
      <c r="RW485" s="1031"/>
      <c r="RX485" s="1031"/>
      <c r="RY485" s="1031"/>
      <c r="RZ485" s="1031"/>
      <c r="SA485" s="1031"/>
      <c r="SB485" s="1031"/>
      <c r="SC485" s="1031"/>
      <c r="SD485" s="1031"/>
      <c r="SE485" s="1031"/>
      <c r="SF485" s="1031"/>
      <c r="SG485" s="1031"/>
      <c r="SH485" s="1031"/>
      <c r="SI485" s="1031"/>
      <c r="SJ485" s="1031"/>
      <c r="SK485" s="1031"/>
      <c r="SL485" s="1031"/>
      <c r="SM485" s="1031"/>
      <c r="SN485" s="1031"/>
      <c r="SO485" s="1031"/>
      <c r="SP485" s="1031"/>
      <c r="SQ485" s="1031"/>
      <c r="SR485" s="1031"/>
      <c r="SS485" s="1031"/>
      <c r="ST485" s="1031"/>
      <c r="SU485" s="1031"/>
      <c r="SV485" s="1031"/>
      <c r="SW485" s="1031"/>
      <c r="SX485" s="1031"/>
      <c r="SY485" s="1031"/>
      <c r="SZ485" s="1031"/>
      <c r="TA485" s="1031"/>
      <c r="TB485" s="1031"/>
      <c r="TC485" s="1031"/>
      <c r="TD485" s="1031"/>
      <c r="TE485" s="1031"/>
      <c r="TF485" s="1031"/>
      <c r="TG485" s="1031"/>
      <c r="TH485" s="1031"/>
      <c r="TI485" s="1031"/>
      <c r="TJ485" s="1031"/>
      <c r="TK485" s="1031"/>
      <c r="TL485" s="1031"/>
      <c r="TM485" s="1031"/>
      <c r="TN485" s="1031"/>
      <c r="TO485" s="1031"/>
      <c r="TP485" s="1031"/>
      <c r="TQ485" s="1031"/>
      <c r="TR485" s="1031"/>
      <c r="TS485" s="1031"/>
      <c r="TT485" s="1031"/>
      <c r="TU485" s="1031"/>
      <c r="TV485" s="1031"/>
      <c r="TW485" s="1031"/>
      <c r="TX485" s="1031"/>
      <c r="TY485" s="1031"/>
      <c r="TZ485" s="1031"/>
      <c r="UA485" s="1031"/>
      <c r="UB485" s="1031"/>
      <c r="UC485" s="1031"/>
      <c r="UD485" s="1031"/>
      <c r="UE485" s="1031"/>
      <c r="UF485" s="1031"/>
      <c r="UG485" s="1031"/>
      <c r="UH485" s="1031"/>
      <c r="UI485" s="1031"/>
      <c r="UJ485" s="1031"/>
      <c r="UK485" s="1031"/>
      <c r="UL485" s="1031"/>
      <c r="UM485" s="1031"/>
      <c r="UN485" s="1031"/>
      <c r="UO485" s="1031"/>
      <c r="UP485" s="1031"/>
      <c r="UQ485" s="1031"/>
      <c r="UR485" s="1031"/>
      <c r="US485" s="1031"/>
      <c r="UT485" s="1031"/>
      <c r="UU485" s="1031"/>
      <c r="UV485" s="1031"/>
      <c r="UW485" s="1031"/>
      <c r="UX485" s="1031"/>
      <c r="UY485" s="1031"/>
      <c r="UZ485" s="1031"/>
      <c r="VA485" s="1031"/>
      <c r="VB485" s="1031"/>
      <c r="VC485" s="1031"/>
      <c r="VD485" s="1031"/>
      <c r="VE485" s="1031"/>
      <c r="VF485" s="1031"/>
      <c r="VG485" s="1031"/>
      <c r="VH485" s="1031"/>
      <c r="VI485" s="1031"/>
      <c r="VJ485" s="1031"/>
      <c r="VK485" s="1031"/>
      <c r="VL485" s="1031"/>
      <c r="VM485" s="1031"/>
      <c r="VN485" s="1031"/>
      <c r="VO485" s="1031"/>
      <c r="VP485" s="1031"/>
      <c r="VQ485" s="1031"/>
      <c r="VR485" s="1031"/>
      <c r="VS485" s="1031"/>
      <c r="VT485" s="1031"/>
      <c r="VU485" s="1031"/>
      <c r="VV485" s="1031"/>
      <c r="VW485" s="1031"/>
      <c r="VX485" s="1031"/>
      <c r="VY485" s="1031"/>
      <c r="VZ485" s="1031"/>
      <c r="WA485" s="1031"/>
      <c r="WB485" s="1031"/>
      <c r="WC485" s="1031"/>
      <c r="WD485" s="1031"/>
      <c r="WE485" s="1031"/>
      <c r="WF485" s="1031"/>
      <c r="WG485" s="1031"/>
      <c r="WH485" s="1031"/>
      <c r="WI485" s="1031"/>
      <c r="WJ485" s="1031"/>
      <c r="WK485" s="1031"/>
      <c r="WL485" s="1031"/>
      <c r="WM485" s="1031"/>
      <c r="WN485" s="1031"/>
      <c r="WO485" s="1031"/>
      <c r="WP485" s="1031"/>
      <c r="WQ485" s="1031"/>
      <c r="WR485" s="1031"/>
      <c r="WS485" s="1031"/>
      <c r="WT485" s="1031"/>
      <c r="WU485" s="1031"/>
      <c r="WV485" s="1031"/>
      <c r="WW485" s="1031"/>
      <c r="WX485" s="1031"/>
      <c r="WY485" s="1031"/>
      <c r="WZ485" s="1031"/>
      <c r="XA485" s="1031"/>
      <c r="XB485" s="1031"/>
      <c r="XC485" s="1031"/>
      <c r="XD485" s="1031"/>
      <c r="XE485" s="1031"/>
      <c r="XF485" s="1031"/>
      <c r="XG485" s="1031"/>
      <c r="XH485" s="1031"/>
      <c r="XI485" s="1031"/>
      <c r="XJ485" s="1031"/>
      <c r="XK485" s="1031"/>
      <c r="XL485" s="1031"/>
      <c r="XM485" s="1031"/>
      <c r="XN485" s="1031"/>
      <c r="XO485" s="1031"/>
      <c r="XP485" s="1031"/>
      <c r="XQ485" s="1031"/>
      <c r="XR485" s="1031"/>
      <c r="XS485" s="1031"/>
      <c r="XT485" s="1031"/>
      <c r="XU485" s="1031"/>
      <c r="XV485" s="1031"/>
      <c r="XW485" s="1031"/>
      <c r="XX485" s="1031"/>
      <c r="XY485" s="1031"/>
      <c r="XZ485" s="1031"/>
      <c r="YA485" s="1031"/>
      <c r="YB485" s="1031"/>
      <c r="YC485" s="1031"/>
      <c r="YD485" s="1031"/>
      <c r="YE485" s="1031"/>
      <c r="YF485" s="1031"/>
      <c r="YG485" s="1031"/>
      <c r="YH485" s="1031"/>
      <c r="YI485" s="1031"/>
      <c r="YJ485" s="1031"/>
      <c r="YK485" s="1031"/>
      <c r="YL485" s="1031"/>
      <c r="YM485" s="1031"/>
      <c r="YN485" s="1031"/>
      <c r="YO485" s="1031"/>
      <c r="YP485" s="1031"/>
      <c r="YQ485" s="1031"/>
      <c r="YR485" s="1031"/>
      <c r="YS485" s="1031"/>
      <c r="YT485" s="1031"/>
      <c r="YU485" s="1031"/>
      <c r="YV485" s="1031"/>
      <c r="YW485" s="1031"/>
      <c r="YX485" s="1031"/>
      <c r="YY485" s="1031"/>
      <c r="YZ485" s="1031"/>
      <c r="ZA485" s="1031"/>
      <c r="ZB485" s="1031"/>
      <c r="ZC485" s="1031"/>
      <c r="ZD485" s="1031"/>
      <c r="ZE485" s="1031"/>
      <c r="ZF485" s="1031"/>
      <c r="ZG485" s="1031"/>
      <c r="ZH485" s="1031"/>
      <c r="ZI485" s="1031"/>
      <c r="ZJ485" s="1031"/>
      <c r="ZK485" s="1031"/>
      <c r="ZL485" s="1031"/>
      <c r="ZM485" s="1031"/>
      <c r="ZN485" s="1031"/>
      <c r="ZO485" s="1031"/>
      <c r="ZP485" s="1031"/>
      <c r="ZQ485" s="1031"/>
      <c r="ZR485" s="1031"/>
      <c r="ZS485" s="1031"/>
      <c r="ZT485" s="1031"/>
      <c r="ZU485" s="1031"/>
      <c r="ZV485" s="1031"/>
      <c r="ZW485" s="1031"/>
      <c r="ZX485" s="1031"/>
      <c r="ZY485" s="1031"/>
      <c r="ZZ485" s="1031"/>
      <c r="AAA485" s="1031"/>
      <c r="AAB485" s="1031"/>
      <c r="AAC485" s="1031"/>
      <c r="AAD485" s="1031"/>
      <c r="AAE485" s="1031"/>
      <c r="AAF485" s="1031"/>
      <c r="AAG485" s="1031"/>
      <c r="AAH485" s="1031"/>
      <c r="AAI485" s="1031"/>
      <c r="AAJ485" s="1031"/>
      <c r="AAK485" s="1031"/>
      <c r="AAL485" s="1031"/>
      <c r="AAM485" s="1031"/>
      <c r="AAN485" s="1031"/>
      <c r="AAO485" s="1031"/>
      <c r="AAP485" s="1031"/>
      <c r="AAQ485" s="1031"/>
      <c r="AAR485" s="1031"/>
      <c r="AAS485" s="1031"/>
      <c r="AAT485" s="1031"/>
      <c r="AAU485" s="1031"/>
      <c r="AAV485" s="1031"/>
      <c r="AAW485" s="1031"/>
      <c r="AAX485" s="1031"/>
      <c r="AAY485" s="1031"/>
      <c r="AAZ485" s="1031"/>
      <c r="ABA485" s="1031"/>
      <c r="ABB485" s="1031"/>
      <c r="ABC485" s="1031"/>
      <c r="ABD485" s="1031"/>
      <c r="ABE485" s="1031"/>
      <c r="ABF485" s="1031"/>
      <c r="ABG485" s="1031"/>
      <c r="ABH485" s="1031"/>
      <c r="ABI485" s="1031"/>
      <c r="ABJ485" s="1031"/>
      <c r="ABK485" s="1031"/>
      <c r="ABL485" s="1031"/>
      <c r="ABM485" s="1031"/>
      <c r="ABN485" s="1031"/>
      <c r="ABO485" s="1031"/>
      <c r="ABP485" s="1031"/>
      <c r="ABQ485" s="1031"/>
      <c r="ABR485" s="1031"/>
      <c r="ABS485" s="1031"/>
      <c r="ABT485" s="1031"/>
      <c r="ABU485" s="1031"/>
      <c r="ABV485" s="1031"/>
      <c r="ABW485" s="1031"/>
      <c r="ABX485" s="1031"/>
      <c r="ABY485" s="1031"/>
      <c r="ABZ485" s="1031"/>
      <c r="ACA485" s="1031"/>
      <c r="ACB485" s="1031"/>
      <c r="ACC485" s="1031"/>
      <c r="ACD485" s="1031"/>
      <c r="ACE485" s="1031"/>
      <c r="ACF485" s="1031"/>
      <c r="ACG485" s="1031"/>
      <c r="ACH485" s="1031"/>
      <c r="ACI485" s="1031"/>
      <c r="ACJ485" s="1031"/>
      <c r="ACK485" s="1031"/>
      <c r="ACL485" s="1031"/>
      <c r="ACM485" s="1031"/>
      <c r="ACN485" s="1031"/>
      <c r="ACO485" s="1031"/>
      <c r="ACP485" s="1031"/>
      <c r="ACQ485" s="1031"/>
      <c r="ACR485" s="1031"/>
      <c r="ACS485" s="1031"/>
      <c r="ACT485" s="1031"/>
      <c r="ACU485" s="1031"/>
      <c r="ACV485" s="1031"/>
      <c r="ACW485" s="1031"/>
      <c r="ACX485" s="1031"/>
      <c r="ACY485" s="1031"/>
      <c r="ACZ485" s="1031"/>
      <c r="ADA485" s="1031"/>
      <c r="ADB485" s="1031"/>
      <c r="ADC485" s="1031"/>
      <c r="ADD485" s="1031"/>
      <c r="ADE485" s="1031"/>
      <c r="ADF485" s="1031"/>
      <c r="ADG485" s="1031"/>
      <c r="ADH485" s="1031"/>
      <c r="ADI485" s="1031"/>
      <c r="ADJ485" s="1031"/>
      <c r="ADK485" s="1031"/>
      <c r="ADL485" s="1031"/>
      <c r="ADM485" s="1031"/>
      <c r="ADN485" s="1031"/>
      <c r="ADO485" s="1031"/>
      <c r="ADP485" s="1031"/>
      <c r="ADQ485" s="1031"/>
      <c r="ADR485" s="1031"/>
      <c r="ADS485" s="1031"/>
      <c r="ADT485" s="1031"/>
      <c r="ADU485" s="1031"/>
      <c r="ADV485" s="1031"/>
      <c r="ADW485" s="1031"/>
      <c r="ADX485" s="1031"/>
      <c r="ADY485" s="1031"/>
      <c r="ADZ485" s="1031"/>
      <c r="AEA485" s="1031"/>
      <c r="AEB485" s="1031"/>
      <c r="AEC485" s="1031"/>
      <c r="AED485" s="1031"/>
      <c r="AEE485" s="1031"/>
      <c r="AEF485" s="1031"/>
      <c r="AEG485" s="1031"/>
      <c r="AEH485" s="1031"/>
      <c r="AEI485" s="1031"/>
      <c r="AEJ485" s="1031"/>
      <c r="AEK485" s="1031"/>
      <c r="AEL485" s="1031"/>
      <c r="AEM485" s="1031"/>
      <c r="AEN485" s="1031"/>
      <c r="AEO485" s="1031"/>
      <c r="AEP485" s="1031"/>
      <c r="AEQ485" s="1031"/>
      <c r="AER485" s="1031"/>
      <c r="AES485" s="1031"/>
      <c r="AET485" s="1031"/>
      <c r="AEU485" s="1031"/>
      <c r="AEV485" s="1031"/>
      <c r="AEW485" s="1031"/>
      <c r="AEX485" s="1031"/>
      <c r="AEY485" s="1031"/>
      <c r="AEZ485" s="1031"/>
      <c r="AFA485" s="1031"/>
      <c r="AFB485" s="1031"/>
      <c r="AFC485" s="1031"/>
      <c r="AFD485" s="1031"/>
      <c r="AFE485" s="1031"/>
      <c r="AFF485" s="1031"/>
      <c r="AFG485" s="1031"/>
      <c r="AFH485" s="1031"/>
      <c r="AFI485" s="1031"/>
      <c r="AFJ485" s="1031"/>
      <c r="AFK485" s="1031"/>
      <c r="AFL485" s="1031"/>
      <c r="AFM485" s="1031"/>
      <c r="AFN485" s="1031"/>
      <c r="AFO485" s="1031"/>
      <c r="AFP485" s="1031"/>
      <c r="AFQ485" s="1031"/>
      <c r="AFR485" s="1031"/>
      <c r="AFS485" s="1031"/>
      <c r="AFT485" s="1031"/>
      <c r="AFU485" s="1031"/>
      <c r="AFV485" s="1031"/>
      <c r="AFW485" s="1031"/>
      <c r="AFX485" s="1031"/>
      <c r="AFY485" s="1031"/>
      <c r="AFZ485" s="1031"/>
      <c r="AGA485" s="1031"/>
      <c r="AGB485" s="1031"/>
      <c r="AGC485" s="1031"/>
      <c r="AGD485" s="1031"/>
      <c r="AGE485" s="1031"/>
      <c r="AGF485" s="1031"/>
      <c r="AGG485" s="1031"/>
      <c r="AGH485" s="1031"/>
      <c r="AGI485" s="1031"/>
      <c r="AGJ485" s="1031"/>
      <c r="AGK485" s="1031"/>
      <c r="AGL485" s="1031"/>
      <c r="AGM485" s="1031"/>
      <c r="AGN485" s="1031"/>
      <c r="AGO485" s="1031"/>
      <c r="AGP485" s="1031"/>
      <c r="AGQ485" s="1031"/>
      <c r="AGR485" s="1031"/>
      <c r="AGS485" s="1031"/>
      <c r="AGT485" s="1031"/>
      <c r="AGU485" s="1031"/>
      <c r="AGV485" s="1031"/>
      <c r="AGW485" s="1031"/>
      <c r="AGX485" s="1031"/>
      <c r="AGY485" s="1031"/>
      <c r="AGZ485" s="1031"/>
      <c r="AHA485" s="1031"/>
      <c r="AHB485" s="1031"/>
      <c r="AHC485" s="1031"/>
      <c r="AHD485" s="1031"/>
      <c r="AHE485" s="1031"/>
      <c r="AHF485" s="1031"/>
      <c r="AHG485" s="1031"/>
      <c r="AHH485" s="1031"/>
      <c r="AHI485" s="1031"/>
      <c r="AHJ485" s="1031"/>
      <c r="AHK485" s="1031"/>
      <c r="AHL485" s="1031"/>
      <c r="AHM485" s="1031"/>
      <c r="AHN485" s="1031"/>
      <c r="AHO485" s="1031"/>
      <c r="AHP485" s="1031"/>
      <c r="AHQ485" s="1031"/>
      <c r="AHR485" s="1031"/>
      <c r="AHS485" s="1031"/>
      <c r="AHT485" s="1031"/>
      <c r="AHU485" s="1031"/>
      <c r="AHV485" s="1031"/>
      <c r="AHW485" s="1031"/>
      <c r="AHX485" s="1031"/>
      <c r="AHY485" s="1031"/>
      <c r="AHZ485" s="1031"/>
      <c r="AIA485" s="1031"/>
      <c r="AIB485" s="1031"/>
      <c r="AIC485" s="1031"/>
      <c r="AID485" s="1031"/>
      <c r="AIE485" s="1031"/>
      <c r="AIF485" s="1031"/>
      <c r="AIG485" s="1031"/>
      <c r="AIH485" s="1031"/>
      <c r="AII485" s="1031"/>
      <c r="AIJ485" s="1031"/>
      <c r="AIK485" s="1031"/>
      <c r="AIL485" s="1031"/>
      <c r="AIM485" s="1031"/>
      <c r="AIN485" s="1031"/>
      <c r="AIO485" s="1031"/>
      <c r="AIP485" s="1031"/>
      <c r="AIQ485" s="1031"/>
      <c r="AIR485" s="1031"/>
      <c r="AIS485" s="1031"/>
      <c r="AIT485" s="1031"/>
      <c r="AIU485" s="1031"/>
      <c r="AIV485" s="1031"/>
      <c r="AIW485" s="1031"/>
      <c r="AIX485" s="1031"/>
      <c r="AIY485" s="1031"/>
      <c r="AIZ485" s="1031"/>
      <c r="AJA485" s="1031"/>
      <c r="AJB485" s="1031"/>
      <c r="AJC485" s="1031"/>
      <c r="AJD485" s="1031"/>
      <c r="AJE485" s="1031"/>
      <c r="AJF485" s="1031"/>
      <c r="AJG485" s="1031"/>
      <c r="AJH485" s="1031"/>
      <c r="AJI485" s="1031"/>
      <c r="AJJ485" s="1031"/>
      <c r="AJK485" s="1031"/>
      <c r="AJL485" s="1031"/>
      <c r="AJM485" s="1031"/>
      <c r="AJN485" s="1031"/>
      <c r="AJO485" s="1031"/>
      <c r="AJP485" s="1031"/>
      <c r="AJQ485" s="1031"/>
      <c r="AJR485" s="1031"/>
      <c r="AJS485" s="1031"/>
      <c r="AJT485" s="1031"/>
      <c r="AJU485" s="1031"/>
      <c r="AJV485" s="1031"/>
      <c r="AJW485" s="1031"/>
      <c r="AJX485" s="1031"/>
      <c r="AJY485" s="1031"/>
      <c r="AJZ485" s="1031"/>
      <c r="AKA485" s="1031"/>
      <c r="AKB485" s="1031"/>
      <c r="AKC485" s="1031"/>
      <c r="AKD485" s="1031"/>
      <c r="AKE485" s="1031"/>
      <c r="AKF485" s="1031"/>
      <c r="AKG485" s="1031"/>
      <c r="AKH485" s="1031"/>
      <c r="AKI485" s="1031"/>
      <c r="AKJ485" s="1031"/>
      <c r="AKK485" s="1031"/>
      <c r="AKL485" s="1031"/>
      <c r="AKM485" s="1031"/>
      <c r="AKN485" s="1031"/>
      <c r="AKO485" s="1031"/>
      <c r="AKP485" s="1031"/>
      <c r="AKQ485" s="1031"/>
      <c r="AKR485" s="1031"/>
      <c r="AKS485" s="1031"/>
      <c r="AKT485" s="1031"/>
      <c r="AKU485" s="1031"/>
      <c r="AKV485" s="1031"/>
      <c r="AKW485" s="1031"/>
      <c r="AKX485" s="1031"/>
      <c r="AKY485" s="1031"/>
      <c r="AKZ485" s="1031"/>
      <c r="ALA485" s="1031"/>
      <c r="ALB485" s="1031"/>
      <c r="ALC485" s="1031"/>
      <c r="ALD485" s="1031"/>
      <c r="ALE485" s="1031"/>
      <c r="ALF485" s="1031"/>
      <c r="ALG485" s="1031"/>
      <c r="ALH485" s="1031"/>
      <c r="ALI485" s="1031"/>
      <c r="ALJ485" s="1031"/>
      <c r="ALK485" s="1031"/>
      <c r="ALL485" s="1031"/>
      <c r="ALM485" s="1031"/>
      <c r="ALN485" s="1031"/>
      <c r="ALO485" s="1031"/>
      <c r="ALP485" s="1031"/>
      <c r="ALQ485" s="1031"/>
      <c r="ALR485" s="1031"/>
      <c r="ALS485" s="1031"/>
      <c r="ALT485" s="1031"/>
      <c r="ALU485" s="1031"/>
      <c r="ALV485" s="1031"/>
      <c r="ALW485" s="1031"/>
      <c r="ALX485" s="1031"/>
      <c r="ALY485" s="1031"/>
      <c r="ALZ485" s="1031"/>
      <c r="AMA485" s="1031"/>
      <c r="AMB485" s="1031"/>
      <c r="AMC485" s="1031"/>
      <c r="AMD485" s="1031"/>
      <c r="AME485" s="1031"/>
      <c r="AMF485" s="1031"/>
      <c r="AMG485" s="1031"/>
      <c r="AMH485" s="1031"/>
      <c r="AMI485" s="1031"/>
      <c r="AMJ485" s="1031"/>
      <c r="AMK485" s="1031"/>
      <c r="AML485" s="1031"/>
      <c r="AMM485" s="1031"/>
      <c r="AMN485" s="1031"/>
      <c r="AMO485" s="1031"/>
      <c r="AMP485" s="1031"/>
      <c r="AMQ485" s="1031"/>
      <c r="AMR485" s="1031"/>
      <c r="AMS485" s="1031"/>
      <c r="AMT485" s="1031"/>
      <c r="AMU485" s="1031"/>
      <c r="AMV485" s="1031"/>
      <c r="AMW485" s="1031"/>
      <c r="AMX485" s="1031"/>
      <c r="AMY485" s="1031"/>
      <c r="AMZ485" s="1031"/>
      <c r="ANA485" s="1031"/>
      <c r="ANB485" s="1031"/>
      <c r="ANC485" s="1031"/>
      <c r="AND485" s="1031"/>
      <c r="ANE485" s="1031"/>
      <c r="ANF485" s="1031"/>
      <c r="ANG485" s="1031"/>
      <c r="ANH485" s="1031"/>
      <c r="ANI485" s="1031"/>
      <c r="ANJ485" s="1031"/>
      <c r="ANK485" s="1031"/>
      <c r="ANL485" s="1031"/>
      <c r="ANM485" s="1031"/>
      <c r="ANN485" s="1031"/>
      <c r="ANO485" s="1031"/>
      <c r="ANP485" s="1031"/>
      <c r="ANQ485" s="1031"/>
      <c r="ANR485" s="1031"/>
      <c r="ANS485" s="1031"/>
      <c r="ANT485" s="1031"/>
      <c r="ANU485" s="1031"/>
      <c r="ANV485" s="1031"/>
      <c r="ANW485" s="1031"/>
      <c r="ANX485" s="1031"/>
      <c r="ANY485" s="1031"/>
      <c r="ANZ485" s="1031"/>
      <c r="AOA485" s="1031"/>
      <c r="AOB485" s="1031"/>
      <c r="AOC485" s="1031"/>
      <c r="AOD485" s="1031"/>
      <c r="AOE485" s="1031"/>
      <c r="AOF485" s="1031"/>
      <c r="AOG485" s="1031"/>
      <c r="AOH485" s="1031"/>
      <c r="AOI485" s="1031"/>
      <c r="AOJ485" s="1031"/>
      <c r="AOK485" s="1031"/>
      <c r="AOL485" s="1031"/>
      <c r="AOM485" s="1031"/>
      <c r="AON485" s="1031"/>
      <c r="AOO485" s="1031"/>
      <c r="AOP485" s="1031"/>
      <c r="AOQ485" s="1031"/>
      <c r="AOR485" s="1031"/>
      <c r="AOS485" s="1031"/>
      <c r="AOT485" s="1031"/>
      <c r="AOU485" s="1031"/>
      <c r="AOV485" s="1031"/>
      <c r="AOW485" s="1031"/>
      <c r="AOX485" s="1031"/>
      <c r="AOY485" s="1031"/>
      <c r="AOZ485" s="1031"/>
      <c r="APA485" s="1031"/>
      <c r="APB485" s="1031"/>
      <c r="APC485" s="1031"/>
      <c r="APD485" s="1031"/>
      <c r="APE485" s="1031"/>
      <c r="APF485" s="1031"/>
      <c r="APG485" s="1031"/>
      <c r="APH485" s="1031"/>
      <c r="API485" s="1031"/>
      <c r="APJ485" s="1031"/>
      <c r="APK485" s="1031"/>
      <c r="APL485" s="1031"/>
      <c r="APM485" s="1031"/>
      <c r="APN485" s="1031"/>
      <c r="APO485" s="1031"/>
      <c r="APP485" s="1031"/>
      <c r="APQ485" s="1031"/>
      <c r="APR485" s="1031"/>
      <c r="APS485" s="1031"/>
      <c r="APT485" s="1031"/>
      <c r="APU485" s="1031"/>
      <c r="APV485" s="1031"/>
      <c r="APW485" s="1031"/>
      <c r="APX485" s="1031"/>
      <c r="APY485" s="1031"/>
      <c r="APZ485" s="1031"/>
      <c r="AQA485" s="1031"/>
      <c r="AQB485" s="1031"/>
      <c r="AQC485" s="1031"/>
      <c r="AQD485" s="1031"/>
      <c r="AQE485" s="1031"/>
      <c r="AQF485" s="1031"/>
      <c r="AQG485" s="1031"/>
      <c r="AQH485" s="1031"/>
      <c r="AQI485" s="1031"/>
      <c r="AQJ485" s="1031"/>
      <c r="AQK485" s="1031"/>
      <c r="AQL485" s="1031"/>
      <c r="AQM485" s="1031"/>
      <c r="AQN485" s="1031"/>
      <c r="AQO485" s="1031"/>
      <c r="AQP485" s="1031"/>
      <c r="AQQ485" s="1031"/>
      <c r="AQR485" s="1031"/>
      <c r="AQS485" s="1031"/>
      <c r="AQT485" s="1031"/>
      <c r="AQU485" s="1031"/>
      <c r="AQV485" s="1031"/>
      <c r="AQW485" s="1031"/>
      <c r="AQX485" s="1031"/>
      <c r="AQY485" s="1031"/>
      <c r="AQZ485" s="1031"/>
      <c r="ARA485" s="1031"/>
      <c r="ARB485" s="1031"/>
      <c r="ARC485" s="1031"/>
      <c r="ARD485" s="1031"/>
      <c r="ARE485" s="1031"/>
      <c r="ARF485" s="1031"/>
      <c r="ARG485" s="1031"/>
      <c r="ARH485" s="1031"/>
      <c r="ARI485" s="1031"/>
      <c r="ARJ485" s="1031"/>
      <c r="ARK485" s="1031"/>
      <c r="ARL485" s="1031"/>
      <c r="ARM485" s="1031"/>
      <c r="ARN485" s="1031"/>
      <c r="ARO485" s="1031"/>
      <c r="ARP485" s="1031"/>
      <c r="ARQ485" s="1031"/>
      <c r="ARR485" s="1031"/>
      <c r="ARS485" s="1031"/>
      <c r="ART485" s="1031"/>
      <c r="ARU485" s="1031"/>
      <c r="ARV485" s="1031"/>
      <c r="ARW485" s="1031"/>
      <c r="ARX485" s="1031"/>
      <c r="ARY485" s="1031"/>
      <c r="ARZ485" s="1031"/>
      <c r="ASA485" s="1031"/>
      <c r="ASB485" s="1031"/>
      <c r="ASC485" s="1031"/>
      <c r="ASD485" s="1031"/>
      <c r="ASE485" s="1031"/>
      <c r="ASF485" s="1031"/>
      <c r="ASG485" s="1031"/>
      <c r="ASH485" s="1031"/>
      <c r="ASI485" s="1031"/>
      <c r="ASJ485" s="1031"/>
      <c r="ASK485" s="1031"/>
      <c r="ASL485" s="1031"/>
      <c r="ASM485" s="1031"/>
      <c r="ASN485" s="1031"/>
      <c r="ASO485" s="1031"/>
      <c r="ASP485" s="1031"/>
      <c r="ASQ485" s="1031"/>
      <c r="ASR485" s="1031"/>
      <c r="ASS485" s="1031"/>
      <c r="AST485" s="1031"/>
      <c r="ASU485" s="1031"/>
      <c r="ASV485" s="1031"/>
      <c r="ASW485" s="1031"/>
      <c r="ASX485" s="1031"/>
      <c r="ASY485" s="1031"/>
      <c r="ASZ485" s="1031"/>
      <c r="ATA485" s="1031"/>
      <c r="ATB485" s="1031"/>
      <c r="ATC485" s="1031"/>
      <c r="ATD485" s="1031"/>
      <c r="ATE485" s="1031"/>
      <c r="ATF485" s="1031"/>
      <c r="ATG485" s="1031"/>
      <c r="ATH485" s="1031"/>
      <c r="ATI485" s="1031"/>
      <c r="ATJ485" s="1031"/>
      <c r="ATK485" s="1031"/>
      <c r="ATL485" s="1031"/>
      <c r="ATM485" s="1031"/>
      <c r="ATN485" s="1031"/>
      <c r="ATO485" s="1031"/>
      <c r="ATP485" s="1031"/>
      <c r="ATQ485" s="1031"/>
      <c r="ATR485" s="1031"/>
      <c r="ATS485" s="1031"/>
      <c r="ATT485" s="1031"/>
      <c r="ATU485" s="1031"/>
      <c r="ATV485" s="1031"/>
      <c r="ATW485" s="1031"/>
      <c r="ATX485" s="1031"/>
      <c r="ATY485" s="1031"/>
      <c r="ATZ485" s="1031"/>
      <c r="AUA485" s="1031"/>
      <c r="AUB485" s="1031"/>
      <c r="AUC485" s="1031"/>
      <c r="AUD485" s="1031"/>
      <c r="AUE485" s="1031"/>
      <c r="AUF485" s="1031"/>
      <c r="AUG485" s="1031"/>
      <c r="AUH485" s="1031"/>
      <c r="AUI485" s="1031"/>
      <c r="AUJ485" s="1031"/>
      <c r="AUK485" s="1031"/>
      <c r="AUL485" s="1031"/>
      <c r="AUM485" s="1031"/>
      <c r="AUN485" s="1031"/>
      <c r="AUO485" s="1031"/>
      <c r="AUP485" s="1031"/>
      <c r="AUQ485" s="1031"/>
      <c r="AUR485" s="1031"/>
      <c r="AUS485" s="1031"/>
      <c r="AUT485" s="1031"/>
      <c r="AUU485" s="1031"/>
      <c r="AUV485" s="1031"/>
      <c r="AUW485" s="1031"/>
      <c r="AUX485" s="1031"/>
      <c r="AUY485" s="1031"/>
      <c r="AUZ485" s="1031"/>
      <c r="AVA485" s="1031"/>
      <c r="AVB485" s="1031"/>
      <c r="AVC485" s="1031"/>
      <c r="AVD485" s="1031"/>
      <c r="AVE485" s="1031"/>
      <c r="AVF485" s="1031"/>
      <c r="AVG485" s="1031"/>
      <c r="AVH485" s="1031"/>
      <c r="AVI485" s="1031"/>
      <c r="AVJ485" s="1031"/>
      <c r="AVK485" s="1031"/>
      <c r="AVL485" s="1031"/>
      <c r="AVM485" s="1031"/>
      <c r="AVN485" s="1031"/>
      <c r="AVO485" s="1031"/>
      <c r="AVP485" s="1031"/>
      <c r="AVQ485" s="1031"/>
      <c r="AVR485" s="1031"/>
      <c r="AVS485" s="1031"/>
      <c r="AVT485" s="1031"/>
      <c r="AVU485" s="1031"/>
      <c r="AVV485" s="1031"/>
      <c r="AVW485" s="1031"/>
      <c r="AVX485" s="1031"/>
      <c r="AVY485" s="1031"/>
      <c r="AVZ485" s="1031"/>
      <c r="AWA485" s="1031"/>
      <c r="AWB485" s="1031"/>
      <c r="AWC485" s="1031"/>
      <c r="AWD485" s="1031"/>
      <c r="AWE485" s="1031"/>
      <c r="AWF485" s="1031"/>
      <c r="AWG485" s="1031"/>
      <c r="AWH485" s="1031"/>
      <c r="AWI485" s="1031"/>
      <c r="AWJ485" s="1031"/>
      <c r="AWK485" s="1031"/>
      <c r="AWL485" s="1031"/>
      <c r="AWM485" s="1031"/>
      <c r="AWN485" s="1031"/>
      <c r="AWO485" s="1031"/>
      <c r="AWP485" s="1031"/>
      <c r="AWQ485" s="1031"/>
      <c r="AWR485" s="1031"/>
      <c r="AWS485" s="1031"/>
      <c r="AWT485" s="1031"/>
      <c r="AWU485" s="1031"/>
      <c r="AWV485" s="1031"/>
      <c r="AWW485" s="1031"/>
      <c r="AWX485" s="1031"/>
      <c r="AWY485" s="1031"/>
      <c r="AWZ485" s="1031"/>
      <c r="AXA485" s="1031"/>
      <c r="AXB485" s="1031"/>
      <c r="AXC485" s="1031"/>
      <c r="AXD485" s="1031"/>
      <c r="AXE485" s="1031"/>
      <c r="AXF485" s="1031"/>
      <c r="AXG485" s="1031"/>
      <c r="AXH485" s="1031"/>
      <c r="AXI485" s="1031"/>
      <c r="AXJ485" s="1031"/>
      <c r="AXK485" s="1031"/>
      <c r="AXL485" s="1031"/>
      <c r="AXM485" s="1031"/>
      <c r="AXN485" s="1031"/>
      <c r="AXO485" s="1031"/>
      <c r="AXP485" s="1031"/>
      <c r="AXQ485" s="1031"/>
      <c r="AXR485" s="1031"/>
      <c r="AXS485" s="1031"/>
      <c r="AXT485" s="1031"/>
      <c r="AXU485" s="1031"/>
      <c r="AXV485" s="1031"/>
      <c r="AXW485" s="1031"/>
      <c r="AXX485" s="1031"/>
      <c r="AXY485" s="1031"/>
      <c r="AXZ485" s="1031"/>
      <c r="AYA485" s="1031"/>
      <c r="AYB485" s="1031"/>
      <c r="AYC485" s="1031"/>
      <c r="AYD485" s="1031"/>
      <c r="AYE485" s="1031"/>
      <c r="AYF485" s="1031"/>
      <c r="AYG485" s="1031"/>
      <c r="AYH485" s="1031"/>
      <c r="AYI485" s="1031"/>
      <c r="AYJ485" s="1031"/>
      <c r="AYK485" s="1031"/>
      <c r="AYL485" s="1031"/>
      <c r="AYM485" s="1031"/>
      <c r="AYN485" s="1031"/>
      <c r="AYO485" s="1031"/>
      <c r="AYP485" s="1031"/>
      <c r="AYQ485" s="1031"/>
      <c r="AYR485" s="1031"/>
      <c r="AYS485" s="1031"/>
      <c r="AYT485" s="1031"/>
      <c r="AYU485" s="1031"/>
      <c r="AYV485" s="1031"/>
      <c r="AYW485" s="1031"/>
      <c r="AYX485" s="1031"/>
      <c r="AYY485" s="1031"/>
      <c r="AYZ485" s="1031"/>
      <c r="AZA485" s="1031"/>
      <c r="AZB485" s="1031"/>
      <c r="AZC485" s="1031"/>
      <c r="AZD485" s="1031"/>
      <c r="AZE485" s="1031"/>
      <c r="AZF485" s="1031"/>
      <c r="AZG485" s="1031"/>
      <c r="AZH485" s="1031"/>
      <c r="AZI485" s="1031"/>
      <c r="AZJ485" s="1031"/>
      <c r="AZK485" s="1031"/>
      <c r="AZL485" s="1031"/>
      <c r="AZM485" s="1031"/>
      <c r="AZN485" s="1031"/>
      <c r="AZO485" s="1031"/>
      <c r="AZP485" s="1031"/>
      <c r="AZQ485" s="1031"/>
      <c r="AZR485" s="1031"/>
      <c r="AZS485" s="1031"/>
      <c r="AZT485" s="1031"/>
      <c r="AZU485" s="1031"/>
      <c r="AZV485" s="1031"/>
      <c r="AZW485" s="1031"/>
      <c r="AZX485" s="1031"/>
      <c r="AZY485" s="1031"/>
      <c r="AZZ485" s="1031"/>
      <c r="BAA485" s="1031"/>
      <c r="BAB485" s="1031"/>
      <c r="BAC485" s="1031"/>
      <c r="BAD485" s="1031"/>
      <c r="BAE485" s="1031"/>
      <c r="BAF485" s="1031"/>
      <c r="BAG485" s="1031"/>
      <c r="BAH485" s="1031"/>
      <c r="BAI485" s="1031"/>
      <c r="BAJ485" s="1031"/>
      <c r="BAK485" s="1031"/>
      <c r="BAL485" s="1031"/>
      <c r="BAM485" s="1031"/>
      <c r="BAN485" s="1031"/>
      <c r="BAO485" s="1031"/>
      <c r="BAP485" s="1031"/>
      <c r="BAQ485" s="1031"/>
      <c r="BAR485" s="1031"/>
      <c r="BAS485" s="1031"/>
      <c r="BAT485" s="1031"/>
      <c r="BAU485" s="1031"/>
      <c r="BAV485" s="1031"/>
      <c r="BAW485" s="1031"/>
      <c r="BAX485" s="1031"/>
      <c r="BAY485" s="1031"/>
      <c r="BAZ485" s="1031"/>
      <c r="BBA485" s="1031"/>
      <c r="BBB485" s="1031"/>
      <c r="BBC485" s="1031"/>
      <c r="BBD485" s="1031"/>
      <c r="BBE485" s="1031"/>
      <c r="BBF485" s="1031"/>
      <c r="BBG485" s="1031"/>
      <c r="BBH485" s="1031"/>
      <c r="BBI485" s="1031"/>
      <c r="BBJ485" s="1031"/>
      <c r="BBK485" s="1031"/>
      <c r="BBL485" s="1031"/>
      <c r="BBM485" s="1031"/>
      <c r="BBN485" s="1031"/>
      <c r="BBO485" s="1031"/>
      <c r="BBP485" s="1031"/>
      <c r="BBQ485" s="1031"/>
      <c r="BBR485" s="1031"/>
      <c r="BBS485" s="1031"/>
      <c r="BBT485" s="1031"/>
      <c r="BBU485" s="1031"/>
      <c r="BBV485" s="1031"/>
      <c r="BBW485" s="1031"/>
      <c r="BBX485" s="1031"/>
      <c r="BBY485" s="1031"/>
      <c r="BBZ485" s="1031"/>
      <c r="BCA485" s="1031"/>
      <c r="BCB485" s="1031"/>
      <c r="BCC485" s="1031"/>
      <c r="BCD485" s="1031"/>
      <c r="BCE485" s="1031"/>
      <c r="BCF485" s="1031"/>
      <c r="BCG485" s="1031"/>
      <c r="BCH485" s="1031"/>
      <c r="BCI485" s="1031"/>
      <c r="BCJ485" s="1031"/>
      <c r="BCK485" s="1031"/>
      <c r="BCL485" s="1031"/>
      <c r="BCM485" s="1031"/>
      <c r="BCN485" s="1031"/>
      <c r="BCO485" s="1031"/>
      <c r="BCP485" s="1031"/>
      <c r="BCQ485" s="1031"/>
      <c r="BCR485" s="1031"/>
      <c r="BCS485" s="1031"/>
      <c r="BCT485" s="1031"/>
      <c r="BCU485" s="1031"/>
      <c r="BCV485" s="1031"/>
      <c r="BCW485" s="1031"/>
      <c r="BCX485" s="1031"/>
      <c r="BCY485" s="1031"/>
      <c r="BCZ485" s="1031"/>
      <c r="BDA485" s="1031"/>
      <c r="BDB485" s="1031"/>
      <c r="BDC485" s="1031"/>
      <c r="BDD485" s="1031"/>
      <c r="BDE485" s="1031"/>
      <c r="BDF485" s="1031"/>
      <c r="BDG485" s="1031"/>
      <c r="BDH485" s="1031"/>
      <c r="BDI485" s="1031"/>
      <c r="BDJ485" s="1031"/>
      <c r="BDK485" s="1031"/>
      <c r="BDL485" s="1031"/>
      <c r="BDM485" s="1031"/>
      <c r="BDN485" s="1031"/>
      <c r="BDO485" s="1031"/>
      <c r="BDP485" s="1031"/>
      <c r="BDQ485" s="1031"/>
      <c r="BDR485" s="1031"/>
      <c r="BDS485" s="1031"/>
      <c r="BDT485" s="1031"/>
      <c r="BDU485" s="1031"/>
      <c r="BDV485" s="1031"/>
      <c r="BDW485" s="1031"/>
      <c r="BDX485" s="1031"/>
      <c r="BDY485" s="1031"/>
      <c r="BDZ485" s="1031"/>
      <c r="BEA485" s="1031"/>
      <c r="BEB485" s="1031"/>
      <c r="BEC485" s="1031"/>
      <c r="BED485" s="1031"/>
      <c r="BEE485" s="1031"/>
      <c r="BEF485" s="1031"/>
      <c r="BEG485" s="1031"/>
      <c r="BEH485" s="1031"/>
      <c r="BEI485" s="1031"/>
      <c r="BEJ485" s="1031"/>
      <c r="BEK485" s="1031"/>
      <c r="BEL485" s="1031"/>
      <c r="BEM485" s="1031"/>
      <c r="BEN485" s="1031"/>
      <c r="BEO485" s="1031"/>
      <c r="BEP485" s="1031"/>
      <c r="BEQ485" s="1031"/>
      <c r="BER485" s="1031"/>
      <c r="BES485" s="1031"/>
      <c r="BET485" s="1031"/>
      <c r="BEU485" s="1031"/>
      <c r="BEV485" s="1031"/>
      <c r="BEW485" s="1031"/>
      <c r="BEX485" s="1031"/>
      <c r="BEY485" s="1031"/>
      <c r="BEZ485" s="1031"/>
      <c r="BFA485" s="1031"/>
      <c r="BFB485" s="1031"/>
      <c r="BFC485" s="1031"/>
      <c r="BFD485" s="1031"/>
      <c r="BFE485" s="1031"/>
      <c r="BFF485" s="1031"/>
      <c r="BFG485" s="1031"/>
      <c r="BFH485" s="1031"/>
      <c r="BFI485" s="1031"/>
      <c r="BFJ485" s="1031"/>
      <c r="BFK485" s="1031"/>
      <c r="BFL485" s="1031"/>
      <c r="BFM485" s="1031"/>
      <c r="BFN485" s="1031"/>
      <c r="BFO485" s="1031"/>
      <c r="BFP485" s="1031"/>
      <c r="BFQ485" s="1031"/>
      <c r="BFR485" s="1031"/>
      <c r="BFS485" s="1031"/>
      <c r="BFT485" s="1031"/>
      <c r="BFU485" s="1031"/>
      <c r="BFV485" s="1031"/>
      <c r="BFW485" s="1031"/>
      <c r="BFX485" s="1031"/>
      <c r="BFY485" s="1031"/>
      <c r="BFZ485" s="1031"/>
      <c r="BGA485" s="1031"/>
      <c r="BGB485" s="1031"/>
      <c r="BGC485" s="1031"/>
      <c r="BGD485" s="1031"/>
      <c r="BGE485" s="1031"/>
      <c r="BGF485" s="1031"/>
      <c r="BGG485" s="1031"/>
      <c r="BGH485" s="1031"/>
      <c r="BGI485" s="1031"/>
      <c r="BGJ485" s="1031"/>
      <c r="BGK485" s="1031"/>
      <c r="BGL485" s="1031"/>
      <c r="BGM485" s="1031"/>
      <c r="BGN485" s="1031"/>
      <c r="BGO485" s="1031"/>
      <c r="BGP485" s="1031"/>
      <c r="BGQ485" s="1031"/>
      <c r="BGR485" s="1031"/>
      <c r="BGS485" s="1031"/>
      <c r="BGT485" s="1031"/>
      <c r="BGU485" s="1031"/>
      <c r="BGV485" s="1031"/>
      <c r="BGW485" s="1031"/>
      <c r="BGX485" s="1031"/>
      <c r="BGY485" s="1031"/>
      <c r="BGZ485" s="1031"/>
      <c r="BHA485" s="1031"/>
      <c r="BHB485" s="1031"/>
      <c r="BHC485" s="1031"/>
      <c r="BHD485" s="1031"/>
      <c r="BHE485" s="1031"/>
      <c r="BHF485" s="1031"/>
      <c r="BHG485" s="1031"/>
      <c r="BHH485" s="1031"/>
      <c r="BHI485" s="1031"/>
      <c r="BHJ485" s="1031"/>
      <c r="BHK485" s="1031"/>
      <c r="BHL485" s="1031"/>
      <c r="BHM485" s="1031"/>
      <c r="BHN485" s="1031"/>
      <c r="BHO485" s="1031"/>
      <c r="BHP485" s="1031"/>
      <c r="BHQ485" s="1031"/>
      <c r="BHR485" s="1031"/>
      <c r="BHS485" s="1031"/>
      <c r="BHT485" s="1031"/>
      <c r="BHU485" s="1031"/>
      <c r="BHV485" s="1031"/>
      <c r="BHW485" s="1031"/>
      <c r="BHX485" s="1031"/>
      <c r="BHY485" s="1031"/>
      <c r="BHZ485" s="1031"/>
      <c r="BIA485" s="1031"/>
      <c r="BIB485" s="1031"/>
      <c r="BIC485" s="1031"/>
      <c r="BID485" s="1031"/>
      <c r="BIE485" s="1031"/>
      <c r="BIF485" s="1031"/>
      <c r="BIG485" s="1031"/>
      <c r="BIH485" s="1031"/>
      <c r="BII485" s="1031"/>
      <c r="BIJ485" s="1031"/>
      <c r="BIK485" s="1031"/>
      <c r="BIL485" s="1031"/>
      <c r="BIM485" s="1031"/>
      <c r="BIN485" s="1031"/>
      <c r="BIO485" s="1031"/>
      <c r="BIP485" s="1031"/>
      <c r="BIQ485" s="1031"/>
      <c r="BIR485" s="1031"/>
      <c r="BIS485" s="1031"/>
      <c r="BIT485" s="1031"/>
      <c r="BIU485" s="1031"/>
      <c r="BIV485" s="1031"/>
      <c r="BIW485" s="1031"/>
      <c r="BIX485" s="1031"/>
      <c r="BIY485" s="1031"/>
      <c r="BIZ485" s="1031"/>
      <c r="BJA485" s="1031"/>
      <c r="BJB485" s="1031"/>
      <c r="BJC485" s="1031"/>
      <c r="BJD485" s="1031"/>
      <c r="BJE485" s="1031"/>
      <c r="BJF485" s="1031"/>
      <c r="BJG485" s="1031"/>
      <c r="BJH485" s="1031"/>
      <c r="BJI485" s="1031"/>
      <c r="BJJ485" s="1031"/>
      <c r="BJK485" s="1031"/>
      <c r="BJL485" s="1031"/>
      <c r="BJM485" s="1031"/>
      <c r="BJN485" s="1031"/>
      <c r="BJO485" s="1031"/>
      <c r="BJP485" s="1031"/>
      <c r="BJQ485" s="1031"/>
      <c r="BJR485" s="1031"/>
      <c r="BJS485" s="1031"/>
      <c r="BJT485" s="1031"/>
      <c r="BJU485" s="1031"/>
      <c r="BJV485" s="1031"/>
      <c r="BJW485" s="1031"/>
      <c r="BJX485" s="1031"/>
      <c r="BJY485" s="1031"/>
      <c r="BJZ485" s="1031"/>
      <c r="BKA485" s="1031"/>
      <c r="BKB485" s="1031"/>
      <c r="BKC485" s="1031"/>
      <c r="BKD485" s="1031"/>
      <c r="BKE485" s="1031"/>
      <c r="BKF485" s="1031"/>
      <c r="BKG485" s="1031"/>
      <c r="BKH485" s="1031"/>
      <c r="BKI485" s="1031"/>
      <c r="BKJ485" s="1031"/>
      <c r="BKK485" s="1031"/>
      <c r="BKL485" s="1031"/>
      <c r="BKM485" s="1031"/>
      <c r="BKN485" s="1031"/>
      <c r="BKO485" s="1031"/>
      <c r="BKP485" s="1031"/>
      <c r="BKQ485" s="1031"/>
      <c r="BKR485" s="1031"/>
      <c r="BKS485" s="1031"/>
      <c r="BKT485" s="1031"/>
      <c r="BKU485" s="1031"/>
      <c r="BKV485" s="1031"/>
      <c r="BKW485" s="1031"/>
      <c r="BKX485" s="1031"/>
      <c r="BKY485" s="1031"/>
      <c r="BKZ485" s="1031"/>
      <c r="BLA485" s="1031"/>
      <c r="BLB485" s="1031"/>
      <c r="BLC485" s="1031"/>
      <c r="BLD485" s="1031"/>
      <c r="BLE485" s="1031"/>
      <c r="BLF485" s="1031"/>
      <c r="BLG485" s="1031"/>
      <c r="BLH485" s="1031"/>
      <c r="BLI485" s="1031"/>
      <c r="BLJ485" s="1031"/>
      <c r="BLK485" s="1031"/>
      <c r="BLL485" s="1031"/>
      <c r="BLM485" s="1031"/>
      <c r="BLN485" s="1031"/>
      <c r="BLO485" s="1031"/>
      <c r="BLP485" s="1031"/>
      <c r="BLQ485" s="1031"/>
      <c r="BLR485" s="1031"/>
      <c r="BLS485" s="1031"/>
      <c r="BLT485" s="1031"/>
      <c r="BLU485" s="1031"/>
      <c r="BLV485" s="1031"/>
      <c r="BLW485" s="1031"/>
      <c r="BLX485" s="1031"/>
      <c r="BLY485" s="1031"/>
      <c r="BLZ485" s="1031"/>
      <c r="BMA485" s="1031"/>
      <c r="BMB485" s="1031"/>
      <c r="BMC485" s="1031"/>
      <c r="BMD485" s="1031"/>
      <c r="BME485" s="1031"/>
      <c r="BMF485" s="1031"/>
      <c r="BMG485" s="1031"/>
      <c r="BMH485" s="1031"/>
      <c r="BMI485" s="1031"/>
      <c r="BMJ485" s="1031"/>
      <c r="BMK485" s="1031"/>
      <c r="BML485" s="1031"/>
      <c r="BMM485" s="1031"/>
      <c r="BMN485" s="1031"/>
      <c r="BMO485" s="1031"/>
      <c r="BMP485" s="1031"/>
      <c r="BMQ485" s="1031"/>
      <c r="BMR485" s="1031"/>
      <c r="BMS485" s="1031"/>
      <c r="BMT485" s="1031"/>
      <c r="BMU485" s="1031"/>
      <c r="BMV485" s="1031"/>
      <c r="BMW485" s="1031"/>
      <c r="BMX485" s="1031"/>
      <c r="BMY485" s="1031"/>
      <c r="BMZ485" s="1031"/>
      <c r="BNA485" s="1031"/>
      <c r="BNB485" s="1031"/>
      <c r="BNC485" s="1031"/>
      <c r="BND485" s="1031"/>
      <c r="BNE485" s="1031"/>
      <c r="BNF485" s="1031"/>
      <c r="BNG485" s="1031"/>
      <c r="BNH485" s="1031"/>
      <c r="BNI485" s="1031"/>
      <c r="BNJ485" s="1031"/>
      <c r="BNK485" s="1031"/>
      <c r="BNL485" s="1031"/>
      <c r="BNM485" s="1031"/>
      <c r="BNN485" s="1031"/>
      <c r="BNO485" s="1031"/>
      <c r="BNP485" s="1031"/>
      <c r="BNQ485" s="1031"/>
      <c r="BNR485" s="1031"/>
      <c r="BNS485" s="1031"/>
      <c r="BNT485" s="1031"/>
      <c r="BNU485" s="1031"/>
      <c r="BNV485" s="1031"/>
      <c r="BNW485" s="1031"/>
      <c r="BNX485" s="1031"/>
      <c r="BNY485" s="1031"/>
      <c r="BNZ485" s="1031"/>
      <c r="BOA485" s="1031"/>
      <c r="BOB485" s="1031"/>
      <c r="BOC485" s="1031"/>
      <c r="BOD485" s="1031"/>
      <c r="BOE485" s="1031"/>
      <c r="BOF485" s="1031"/>
      <c r="BOG485" s="1031"/>
      <c r="BOH485" s="1031"/>
      <c r="BOI485" s="1031"/>
      <c r="BOJ485" s="1031"/>
      <c r="BOK485" s="1031"/>
      <c r="BOL485" s="1031"/>
      <c r="BOM485" s="1031"/>
      <c r="BON485" s="1031"/>
      <c r="BOO485" s="1031"/>
      <c r="BOP485" s="1031"/>
      <c r="BOQ485" s="1031"/>
      <c r="BOR485" s="1031"/>
      <c r="BOS485" s="1031"/>
      <c r="BOT485" s="1031"/>
      <c r="BOU485" s="1031"/>
      <c r="BOV485" s="1031"/>
      <c r="BOW485" s="1031"/>
      <c r="BOX485" s="1031"/>
      <c r="BOY485" s="1031"/>
      <c r="BOZ485" s="1031"/>
      <c r="BPA485" s="1031"/>
      <c r="BPB485" s="1031"/>
      <c r="BPC485" s="1031"/>
      <c r="BPD485" s="1031"/>
      <c r="BPE485" s="1031"/>
      <c r="BPF485" s="1031"/>
      <c r="BPG485" s="1031"/>
      <c r="BPH485" s="1031"/>
      <c r="BPI485" s="1031"/>
      <c r="BPJ485" s="1031"/>
      <c r="BPK485" s="1031"/>
      <c r="BPL485" s="1031"/>
      <c r="BPM485" s="1031"/>
      <c r="BPN485" s="1031"/>
      <c r="BPO485" s="1031"/>
      <c r="BPP485" s="1031"/>
      <c r="BPQ485" s="1031"/>
      <c r="BPR485" s="1031"/>
      <c r="BPS485" s="1031"/>
      <c r="BPT485" s="1031"/>
      <c r="BPU485" s="1031"/>
      <c r="BPV485" s="1031"/>
      <c r="BPW485" s="1031"/>
      <c r="BPX485" s="1031"/>
      <c r="BPY485" s="1031"/>
      <c r="BPZ485" s="1031"/>
      <c r="BQA485" s="1031"/>
      <c r="BQB485" s="1031"/>
      <c r="BQC485" s="1031"/>
      <c r="BQD485" s="1031"/>
      <c r="BQE485" s="1031"/>
      <c r="BQF485" s="1031"/>
      <c r="BQG485" s="1031"/>
      <c r="BQH485" s="1031"/>
      <c r="BQI485" s="1031"/>
      <c r="BQJ485" s="1031"/>
      <c r="BQK485" s="1031"/>
      <c r="BQL485" s="1031"/>
      <c r="BQM485" s="1031"/>
      <c r="BQN485" s="1031"/>
      <c r="BQO485" s="1031"/>
      <c r="BQP485" s="1031"/>
      <c r="BQQ485" s="1031"/>
      <c r="BQR485" s="1031"/>
      <c r="BQS485" s="1031"/>
      <c r="BQT485" s="1031"/>
      <c r="BQU485" s="1031"/>
      <c r="BQV485" s="1031"/>
      <c r="BQW485" s="1031"/>
      <c r="BQX485" s="1031"/>
      <c r="BQY485" s="1031"/>
      <c r="BQZ485" s="1031"/>
      <c r="BRA485" s="1031"/>
      <c r="BRB485" s="1031"/>
      <c r="BRC485" s="1031"/>
      <c r="BRD485" s="1031"/>
      <c r="BRE485" s="1031"/>
      <c r="BRF485" s="1031"/>
      <c r="BRG485" s="1031"/>
      <c r="BRH485" s="1031"/>
      <c r="BRI485" s="1031"/>
      <c r="BRJ485" s="1031"/>
      <c r="BRK485" s="1031"/>
      <c r="BRL485" s="1031"/>
      <c r="BRM485" s="1031"/>
      <c r="BRN485" s="1031"/>
      <c r="BRO485" s="1031"/>
      <c r="BRP485" s="1031"/>
      <c r="BRQ485" s="1031"/>
      <c r="BRR485" s="1031"/>
      <c r="BRS485" s="1031"/>
      <c r="BRT485" s="1031"/>
      <c r="BRU485" s="1031"/>
      <c r="BRV485" s="1031"/>
      <c r="BRW485" s="1031"/>
      <c r="BRX485" s="1031"/>
      <c r="BRY485" s="1031"/>
      <c r="BRZ485" s="1031"/>
      <c r="BSA485" s="1031"/>
      <c r="BSB485" s="1031"/>
      <c r="BSC485" s="1031"/>
      <c r="BSD485" s="1031"/>
      <c r="BSE485" s="1031"/>
      <c r="BSF485" s="1031"/>
      <c r="BSG485" s="1031"/>
      <c r="BSH485" s="1031"/>
      <c r="BSI485" s="1031"/>
      <c r="BSJ485" s="1031"/>
      <c r="BSK485" s="1031"/>
      <c r="BSL485" s="1031"/>
      <c r="BSM485" s="1031"/>
      <c r="BSN485" s="1031"/>
      <c r="BSO485" s="1031"/>
      <c r="BSP485" s="1031"/>
      <c r="BSQ485" s="1031"/>
      <c r="BSR485" s="1031"/>
      <c r="BSS485" s="1031"/>
      <c r="BST485" s="1031"/>
      <c r="BSU485" s="1031"/>
      <c r="BSV485" s="1031"/>
      <c r="BSW485" s="1031"/>
      <c r="BSX485" s="1031"/>
      <c r="BSY485" s="1031"/>
      <c r="BSZ485" s="1031"/>
      <c r="BTA485" s="1031"/>
      <c r="BTB485" s="1031"/>
      <c r="BTC485" s="1031"/>
      <c r="BTD485" s="1031"/>
      <c r="BTE485" s="1031"/>
      <c r="BTF485" s="1031"/>
      <c r="BTG485" s="1031"/>
      <c r="BTH485" s="1031"/>
      <c r="BTI485" s="1031"/>
      <c r="BTJ485" s="1031"/>
      <c r="BTK485" s="1031"/>
      <c r="BTL485" s="1031"/>
      <c r="BTM485" s="1031"/>
      <c r="BTN485" s="1031"/>
      <c r="BTO485" s="1031"/>
      <c r="BTP485" s="1031"/>
      <c r="BTQ485" s="1031"/>
      <c r="BTR485" s="1031"/>
      <c r="BTS485" s="1031"/>
      <c r="BTT485" s="1031"/>
      <c r="BTU485" s="1031"/>
      <c r="BTV485" s="1031"/>
      <c r="BTW485" s="1031"/>
      <c r="BTX485" s="1031"/>
      <c r="BTY485" s="1031"/>
      <c r="BTZ485" s="1031"/>
      <c r="BUA485" s="1031"/>
      <c r="BUB485" s="1031"/>
      <c r="BUC485" s="1031"/>
      <c r="BUD485" s="1031"/>
      <c r="BUE485" s="1031"/>
      <c r="BUF485" s="1031"/>
      <c r="BUG485" s="1031"/>
      <c r="BUH485" s="1031"/>
      <c r="BUI485" s="1031"/>
      <c r="BUJ485" s="1031"/>
      <c r="BUK485" s="1031"/>
      <c r="BUL485" s="1031"/>
      <c r="BUM485" s="1031"/>
      <c r="BUN485" s="1031"/>
      <c r="BUO485" s="1031"/>
      <c r="BUP485" s="1031"/>
      <c r="BUQ485" s="1031"/>
      <c r="BUR485" s="1031"/>
      <c r="BUS485" s="1031"/>
      <c r="BUT485" s="1031"/>
      <c r="BUU485" s="1031"/>
      <c r="BUV485" s="1031"/>
      <c r="BUW485" s="1031"/>
      <c r="BUX485" s="1031"/>
      <c r="BUY485" s="1031"/>
      <c r="BUZ485" s="1031"/>
      <c r="BVA485" s="1031"/>
      <c r="BVB485" s="1031"/>
      <c r="BVC485" s="1031"/>
      <c r="BVD485" s="1031"/>
      <c r="BVE485" s="1031"/>
      <c r="BVF485" s="1031"/>
      <c r="BVG485" s="1031"/>
      <c r="BVH485" s="1031"/>
      <c r="BVI485" s="1031"/>
      <c r="BVJ485" s="1031"/>
      <c r="BVK485" s="1031"/>
      <c r="BVL485" s="1031"/>
      <c r="BVM485" s="1031"/>
      <c r="BVN485" s="1031"/>
      <c r="BVO485" s="1031"/>
      <c r="BVP485" s="1031"/>
      <c r="BVQ485" s="1031"/>
      <c r="BVR485" s="1031"/>
      <c r="BVS485" s="1031"/>
      <c r="BVT485" s="1031"/>
      <c r="BVU485" s="1031"/>
      <c r="BVV485" s="1031"/>
      <c r="BVW485" s="1031"/>
      <c r="BVX485" s="1031"/>
      <c r="BVY485" s="1031"/>
      <c r="BVZ485" s="1031"/>
      <c r="BWA485" s="1031"/>
      <c r="BWB485" s="1031"/>
      <c r="BWC485" s="1031"/>
      <c r="BWD485" s="1031"/>
      <c r="BWE485" s="1031"/>
      <c r="BWF485" s="1031"/>
      <c r="BWG485" s="1031"/>
      <c r="BWH485" s="1031"/>
      <c r="BWI485" s="1031"/>
      <c r="BWJ485" s="1031"/>
      <c r="BWK485" s="1031"/>
      <c r="BWL485" s="1031"/>
      <c r="BWM485" s="1031"/>
      <c r="BWN485" s="1031"/>
      <c r="BWO485" s="1031"/>
      <c r="BWP485" s="1031"/>
      <c r="BWQ485" s="1031"/>
      <c r="BWR485" s="1031"/>
      <c r="BWS485" s="1031"/>
      <c r="BWT485" s="1031"/>
      <c r="BWU485" s="1031"/>
      <c r="BWV485" s="1031"/>
      <c r="BWW485" s="1031"/>
      <c r="BWX485" s="1031"/>
      <c r="BWY485" s="1031"/>
      <c r="BWZ485" s="1031"/>
      <c r="BXA485" s="1031"/>
      <c r="BXB485" s="1031"/>
      <c r="BXC485" s="1031"/>
      <c r="BXD485" s="1031"/>
      <c r="BXE485" s="1031"/>
      <c r="BXF485" s="1031"/>
      <c r="BXG485" s="1031"/>
      <c r="BXH485" s="1031"/>
      <c r="BXI485" s="1031"/>
      <c r="BXJ485" s="1031"/>
      <c r="BXK485" s="1031"/>
      <c r="BXL485" s="1031"/>
      <c r="BXM485" s="1031"/>
      <c r="BXN485" s="1031"/>
      <c r="BXO485" s="1031"/>
      <c r="BXP485" s="1031"/>
      <c r="BXQ485" s="1031"/>
      <c r="BXR485" s="1031"/>
      <c r="BXS485" s="1031"/>
      <c r="BXT485" s="1031"/>
      <c r="BXU485" s="1031"/>
      <c r="BXV485" s="1031"/>
      <c r="BXW485" s="1031"/>
      <c r="BXX485" s="1031"/>
      <c r="BXY485" s="1031"/>
      <c r="BXZ485" s="1031"/>
      <c r="BYA485" s="1031"/>
      <c r="BYB485" s="1031"/>
      <c r="BYC485" s="1031"/>
      <c r="BYD485" s="1031"/>
      <c r="BYE485" s="1031"/>
      <c r="BYF485" s="1031"/>
      <c r="BYG485" s="1031"/>
      <c r="BYH485" s="1031"/>
      <c r="BYI485" s="1031"/>
      <c r="BYJ485" s="1031"/>
      <c r="BYK485" s="1031"/>
      <c r="BYL485" s="1031"/>
      <c r="BYM485" s="1031"/>
      <c r="BYN485" s="1031"/>
      <c r="BYO485" s="1031"/>
      <c r="BYP485" s="1031"/>
      <c r="BYQ485" s="1031"/>
      <c r="BYR485" s="1031"/>
      <c r="BYS485" s="1031"/>
      <c r="BYT485" s="1031"/>
      <c r="BYU485" s="1031"/>
      <c r="BYV485" s="1031"/>
      <c r="BYW485" s="1031"/>
      <c r="BYX485" s="1031"/>
      <c r="BYY485" s="1031"/>
      <c r="BYZ485" s="1031"/>
      <c r="BZA485" s="1031"/>
      <c r="BZB485" s="1031"/>
      <c r="BZC485" s="1031"/>
      <c r="BZD485" s="1031"/>
      <c r="BZE485" s="1031"/>
      <c r="BZF485" s="1031"/>
      <c r="BZG485" s="1031"/>
      <c r="BZH485" s="1031"/>
      <c r="BZI485" s="1031"/>
      <c r="BZJ485" s="1031"/>
      <c r="BZK485" s="1031"/>
      <c r="BZL485" s="1031"/>
      <c r="BZM485" s="1031"/>
      <c r="BZN485" s="1031"/>
      <c r="BZO485" s="1031"/>
      <c r="BZP485" s="1031"/>
      <c r="BZQ485" s="1031"/>
      <c r="BZR485" s="1031"/>
      <c r="BZS485" s="1031"/>
      <c r="BZT485" s="1031"/>
      <c r="BZU485" s="1031"/>
      <c r="BZV485" s="1031"/>
      <c r="BZW485" s="1031"/>
      <c r="BZX485" s="1031"/>
      <c r="BZY485" s="1031"/>
      <c r="BZZ485" s="1031"/>
      <c r="CAA485" s="1031"/>
      <c r="CAB485" s="1031"/>
      <c r="CAC485" s="1031"/>
      <c r="CAD485" s="1031"/>
      <c r="CAE485" s="1031"/>
      <c r="CAF485" s="1031"/>
      <c r="CAG485" s="1031"/>
      <c r="CAH485" s="1031"/>
      <c r="CAI485" s="1031"/>
      <c r="CAJ485" s="1031"/>
      <c r="CAK485" s="1031"/>
      <c r="CAL485" s="1031"/>
      <c r="CAM485" s="1031"/>
      <c r="CAN485" s="1031"/>
      <c r="CAO485" s="1031"/>
      <c r="CAP485" s="1031"/>
      <c r="CAQ485" s="1031"/>
      <c r="CAR485" s="1031"/>
      <c r="CAS485" s="1031"/>
      <c r="CAT485" s="1031"/>
      <c r="CAU485" s="1031"/>
      <c r="CAV485" s="1031"/>
      <c r="CAW485" s="1031"/>
      <c r="CAX485" s="1031"/>
      <c r="CAY485" s="1031"/>
      <c r="CAZ485" s="1031"/>
      <c r="CBA485" s="1031"/>
      <c r="CBB485" s="1031"/>
      <c r="CBC485" s="1031"/>
      <c r="CBD485" s="1031"/>
      <c r="CBE485" s="1031"/>
      <c r="CBF485" s="1031"/>
      <c r="CBG485" s="1031"/>
      <c r="CBH485" s="1031"/>
      <c r="CBI485" s="1031"/>
      <c r="CBJ485" s="1031"/>
      <c r="CBK485" s="1031"/>
      <c r="CBL485" s="1031"/>
      <c r="CBM485" s="1031"/>
      <c r="CBN485" s="1031"/>
      <c r="CBO485" s="1031"/>
      <c r="CBP485" s="1031"/>
      <c r="CBQ485" s="1031"/>
      <c r="CBR485" s="1031"/>
      <c r="CBS485" s="1031"/>
      <c r="CBT485" s="1031"/>
      <c r="CBU485" s="1031"/>
      <c r="CBV485" s="1031"/>
      <c r="CBW485" s="1031"/>
      <c r="CBX485" s="1031"/>
      <c r="CBY485" s="1031"/>
      <c r="CBZ485" s="1031"/>
      <c r="CCA485" s="1031"/>
      <c r="CCB485" s="1031"/>
      <c r="CCC485" s="1031"/>
      <c r="CCD485" s="1031"/>
      <c r="CCE485" s="1031"/>
      <c r="CCF485" s="1031"/>
      <c r="CCG485" s="1031"/>
      <c r="CCH485" s="1031"/>
      <c r="CCI485" s="1031"/>
      <c r="CCJ485" s="1031"/>
      <c r="CCK485" s="1031"/>
      <c r="CCL485" s="1031"/>
      <c r="CCM485" s="1031"/>
      <c r="CCN485" s="1031"/>
      <c r="CCO485" s="1031"/>
      <c r="CCP485" s="1031"/>
      <c r="CCQ485" s="1031"/>
      <c r="CCR485" s="1031"/>
      <c r="CCS485" s="1031"/>
      <c r="CCT485" s="1031"/>
      <c r="CCU485" s="1031"/>
      <c r="CCV485" s="1031"/>
      <c r="CCW485" s="1031"/>
      <c r="CCX485" s="1031"/>
      <c r="CCY485" s="1031"/>
      <c r="CCZ485" s="1031"/>
      <c r="CDA485" s="1031"/>
      <c r="CDB485" s="1031"/>
      <c r="CDC485" s="1031"/>
      <c r="CDD485" s="1031"/>
      <c r="CDE485" s="1031"/>
      <c r="CDF485" s="1031"/>
      <c r="CDG485" s="1031"/>
      <c r="CDH485" s="1031"/>
      <c r="CDI485" s="1031"/>
      <c r="CDJ485" s="1031"/>
      <c r="CDK485" s="1031"/>
      <c r="CDL485" s="1031"/>
      <c r="CDM485" s="1031"/>
      <c r="CDN485" s="1031"/>
      <c r="CDO485" s="1031"/>
      <c r="CDP485" s="1031"/>
      <c r="CDQ485" s="1031"/>
      <c r="CDR485" s="1031"/>
      <c r="CDS485" s="1031"/>
      <c r="CDT485" s="1031"/>
      <c r="CDU485" s="1031"/>
      <c r="CDV485" s="1031"/>
      <c r="CDW485" s="1031"/>
      <c r="CDX485" s="1031"/>
      <c r="CDY485" s="1031"/>
      <c r="CDZ485" s="1031"/>
      <c r="CEA485" s="1031"/>
      <c r="CEB485" s="1031"/>
      <c r="CEC485" s="1031"/>
      <c r="CED485" s="1031"/>
      <c r="CEE485" s="1031"/>
      <c r="CEF485" s="1031"/>
      <c r="CEG485" s="1031"/>
      <c r="CEH485" s="1031"/>
      <c r="CEI485" s="1031"/>
      <c r="CEJ485" s="1031"/>
      <c r="CEK485" s="1031"/>
      <c r="CEL485" s="1031"/>
      <c r="CEM485" s="1031"/>
      <c r="CEN485" s="1031"/>
      <c r="CEO485" s="1031"/>
      <c r="CEP485" s="1031"/>
      <c r="CEQ485" s="1031"/>
      <c r="CER485" s="1031"/>
      <c r="CES485" s="1031"/>
      <c r="CET485" s="1031"/>
      <c r="CEU485" s="1031"/>
      <c r="CEV485" s="1031"/>
      <c r="CEW485" s="1031"/>
      <c r="CEX485" s="1031"/>
      <c r="CEY485" s="1031"/>
      <c r="CEZ485" s="1031"/>
      <c r="CFA485" s="1031"/>
      <c r="CFB485" s="1031"/>
      <c r="CFC485" s="1031"/>
      <c r="CFD485" s="1031"/>
      <c r="CFE485" s="1031"/>
      <c r="CFF485" s="1031"/>
      <c r="CFG485" s="1031"/>
      <c r="CFH485" s="1031"/>
      <c r="CFI485" s="1031"/>
      <c r="CFJ485" s="1031"/>
      <c r="CFK485" s="1031"/>
      <c r="CFL485" s="1031"/>
      <c r="CFM485" s="1031"/>
      <c r="CFN485" s="1031"/>
      <c r="CFO485" s="1031"/>
      <c r="CFP485" s="1031"/>
      <c r="CFQ485" s="1031"/>
      <c r="CFR485" s="1031"/>
      <c r="CFS485" s="1031"/>
      <c r="CFT485" s="1031"/>
      <c r="CFU485" s="1031"/>
      <c r="CFV485" s="1031"/>
      <c r="CFW485" s="1031"/>
      <c r="CFX485" s="1031"/>
      <c r="CFY485" s="1031"/>
      <c r="CFZ485" s="1031"/>
      <c r="CGA485" s="1031"/>
      <c r="CGB485" s="1031"/>
      <c r="CGC485" s="1031"/>
      <c r="CGD485" s="1031"/>
      <c r="CGE485" s="1031"/>
      <c r="CGF485" s="1031"/>
      <c r="CGG485" s="1031"/>
      <c r="CGH485" s="1031"/>
      <c r="CGI485" s="1031"/>
      <c r="CGJ485" s="1031"/>
      <c r="CGK485" s="1031"/>
      <c r="CGL485" s="1031"/>
      <c r="CGM485" s="1031"/>
      <c r="CGN485" s="1031"/>
      <c r="CGO485" s="1031"/>
      <c r="CGP485" s="1031"/>
      <c r="CGQ485" s="1031"/>
      <c r="CGR485" s="1031"/>
      <c r="CGS485" s="1031"/>
      <c r="CGT485" s="1031"/>
      <c r="CGU485" s="1031"/>
      <c r="CGV485" s="1031"/>
      <c r="CGW485" s="1031"/>
      <c r="CGX485" s="1031"/>
      <c r="CGY485" s="1031"/>
      <c r="CGZ485" s="1031"/>
      <c r="CHA485" s="1031"/>
      <c r="CHB485" s="1031"/>
      <c r="CHC485" s="1031"/>
      <c r="CHD485" s="1031"/>
      <c r="CHE485" s="1031"/>
      <c r="CHF485" s="1031"/>
      <c r="CHG485" s="1031"/>
      <c r="CHH485" s="1031"/>
      <c r="CHI485" s="1031"/>
      <c r="CHJ485" s="1031"/>
      <c r="CHK485" s="1031"/>
      <c r="CHL485" s="1031"/>
      <c r="CHM485" s="1031"/>
      <c r="CHN485" s="1031"/>
      <c r="CHO485" s="1031"/>
      <c r="CHP485" s="1031"/>
      <c r="CHQ485" s="1031"/>
      <c r="CHR485" s="1031"/>
      <c r="CHS485" s="1031"/>
      <c r="CHT485" s="1031"/>
      <c r="CHU485" s="1031"/>
      <c r="CHV485" s="1031"/>
      <c r="CHW485" s="1031"/>
      <c r="CHX485" s="1031"/>
      <c r="CHY485" s="1031"/>
      <c r="CHZ485" s="1031"/>
      <c r="CIA485" s="1031"/>
      <c r="CIB485" s="1031"/>
      <c r="CIC485" s="1031"/>
      <c r="CID485" s="1031"/>
      <c r="CIE485" s="1031"/>
      <c r="CIF485" s="1031"/>
      <c r="CIG485" s="1031"/>
      <c r="CIH485" s="1031"/>
      <c r="CII485" s="1031"/>
      <c r="CIJ485" s="1031"/>
      <c r="CIK485" s="1031"/>
      <c r="CIL485" s="1031"/>
      <c r="CIM485" s="1031"/>
      <c r="CIN485" s="1031"/>
      <c r="CIO485" s="1031"/>
      <c r="CIP485" s="1031"/>
      <c r="CIQ485" s="1031"/>
      <c r="CIR485" s="1031"/>
      <c r="CIS485" s="1031"/>
      <c r="CIT485" s="1031"/>
      <c r="CIU485" s="1031"/>
      <c r="CIV485" s="1031"/>
      <c r="CIW485" s="1031"/>
      <c r="CIX485" s="1031"/>
      <c r="CIY485" s="1031"/>
      <c r="CIZ485" s="1031"/>
      <c r="CJA485" s="1031"/>
      <c r="CJB485" s="1031"/>
      <c r="CJC485" s="1031"/>
      <c r="CJD485" s="1031"/>
      <c r="CJE485" s="1031"/>
      <c r="CJF485" s="1031"/>
      <c r="CJG485" s="1031"/>
      <c r="CJH485" s="1031"/>
      <c r="CJI485" s="1031"/>
      <c r="CJJ485" s="1031"/>
      <c r="CJK485" s="1031"/>
      <c r="CJL485" s="1031"/>
      <c r="CJM485" s="1031"/>
      <c r="CJN485" s="1031"/>
      <c r="CJO485" s="1031"/>
      <c r="CJP485" s="1031"/>
      <c r="CJQ485" s="1031"/>
      <c r="CJR485" s="1031"/>
      <c r="CJS485" s="1031"/>
      <c r="CJT485" s="1031"/>
      <c r="CJU485" s="1031"/>
      <c r="CJV485" s="1031"/>
      <c r="CJW485" s="1031"/>
      <c r="CJX485" s="1031"/>
      <c r="CJY485" s="1031"/>
      <c r="CJZ485" s="1031"/>
      <c r="CKA485" s="1031"/>
      <c r="CKB485" s="1031"/>
      <c r="CKC485" s="1031"/>
      <c r="CKD485" s="1031"/>
      <c r="CKE485" s="1031"/>
      <c r="CKF485" s="1031"/>
      <c r="CKG485" s="1031"/>
      <c r="CKH485" s="1031"/>
      <c r="CKI485" s="1031"/>
      <c r="CKJ485" s="1031"/>
      <c r="CKK485" s="1031"/>
      <c r="CKL485" s="1031"/>
      <c r="CKM485" s="1031"/>
      <c r="CKN485" s="1031"/>
      <c r="CKO485" s="1031"/>
      <c r="CKP485" s="1031"/>
      <c r="CKQ485" s="1031"/>
      <c r="CKR485" s="1031"/>
      <c r="CKS485" s="1031"/>
      <c r="CKT485" s="1031"/>
      <c r="CKU485" s="1031"/>
      <c r="CKV485" s="1031"/>
      <c r="CKW485" s="1031"/>
      <c r="CKX485" s="1031"/>
      <c r="CKY485" s="1031"/>
      <c r="CKZ485" s="1031"/>
      <c r="CLA485" s="1031"/>
      <c r="CLB485" s="1031"/>
      <c r="CLC485" s="1031"/>
      <c r="CLD485" s="1031"/>
      <c r="CLE485" s="1031"/>
      <c r="CLF485" s="1031"/>
      <c r="CLG485" s="1031"/>
      <c r="CLH485" s="1031"/>
      <c r="CLI485" s="1031"/>
      <c r="CLJ485" s="1031"/>
      <c r="CLK485" s="1031"/>
      <c r="CLL485" s="1031"/>
      <c r="CLM485" s="1031"/>
      <c r="CLN485" s="1031"/>
      <c r="CLO485" s="1031"/>
      <c r="CLP485" s="1031"/>
      <c r="CLQ485" s="1031"/>
      <c r="CLR485" s="1031"/>
      <c r="CLS485" s="1031"/>
      <c r="CLT485" s="1031"/>
      <c r="CLU485" s="1031"/>
      <c r="CLV485" s="1031"/>
      <c r="CLW485" s="1031"/>
      <c r="CLX485" s="1031"/>
      <c r="CLY485" s="1031"/>
      <c r="CLZ485" s="1031"/>
      <c r="CMA485" s="1031"/>
      <c r="CMB485" s="1031"/>
      <c r="CMC485" s="1031"/>
      <c r="CMD485" s="1031"/>
      <c r="CME485" s="1031"/>
      <c r="CMF485" s="1031"/>
      <c r="CMG485" s="1031"/>
      <c r="CMH485" s="1031"/>
      <c r="CMI485" s="1031"/>
      <c r="CMJ485" s="1031"/>
      <c r="CMK485" s="1031"/>
      <c r="CML485" s="1031"/>
      <c r="CMM485" s="1031"/>
      <c r="CMN485" s="1031"/>
      <c r="CMO485" s="1031"/>
      <c r="CMP485" s="1031"/>
      <c r="CMQ485" s="1031"/>
      <c r="CMR485" s="1031"/>
      <c r="CMS485" s="1031"/>
      <c r="CMT485" s="1031"/>
      <c r="CMU485" s="1031"/>
      <c r="CMV485" s="1031"/>
      <c r="CMW485" s="1031"/>
      <c r="CMX485" s="1031"/>
      <c r="CMY485" s="1031"/>
      <c r="CMZ485" s="1031"/>
      <c r="CNA485" s="1031"/>
      <c r="CNB485" s="1031"/>
      <c r="CNC485" s="1031"/>
      <c r="CND485" s="1031"/>
      <c r="CNE485" s="1031"/>
      <c r="CNF485" s="1031"/>
      <c r="CNG485" s="1031"/>
      <c r="CNH485" s="1031"/>
      <c r="CNI485" s="1031"/>
      <c r="CNJ485" s="1031"/>
      <c r="CNK485" s="1031"/>
      <c r="CNL485" s="1031"/>
      <c r="CNM485" s="1031"/>
      <c r="CNN485" s="1031"/>
      <c r="CNO485" s="1031"/>
      <c r="CNP485" s="1031"/>
      <c r="CNQ485" s="1031"/>
      <c r="CNR485" s="1031"/>
      <c r="CNS485" s="1031"/>
      <c r="CNT485" s="1031"/>
      <c r="CNU485" s="1031"/>
      <c r="CNV485" s="1031"/>
      <c r="CNW485" s="1031"/>
      <c r="CNX485" s="1031"/>
      <c r="CNY485" s="1031"/>
      <c r="CNZ485" s="1031"/>
      <c r="COA485" s="1031"/>
      <c r="COB485" s="1031"/>
      <c r="COC485" s="1031"/>
      <c r="COD485" s="1031"/>
      <c r="COE485" s="1031"/>
      <c r="COF485" s="1031"/>
      <c r="COG485" s="1031"/>
      <c r="COH485" s="1031"/>
      <c r="COI485" s="1031"/>
      <c r="COJ485" s="1031"/>
      <c r="COK485" s="1031"/>
      <c r="COL485" s="1031"/>
      <c r="COM485" s="1031"/>
      <c r="CON485" s="1031"/>
      <c r="COO485" s="1031"/>
      <c r="COP485" s="1031"/>
      <c r="COQ485" s="1031"/>
      <c r="COR485" s="1031"/>
      <c r="COS485" s="1031"/>
      <c r="COT485" s="1031"/>
      <c r="COU485" s="1031"/>
      <c r="COV485" s="1031"/>
      <c r="COW485" s="1031"/>
      <c r="COX485" s="1031"/>
      <c r="COY485" s="1031"/>
      <c r="COZ485" s="1031"/>
      <c r="CPA485" s="1031"/>
      <c r="CPB485" s="1031"/>
      <c r="CPC485" s="1031"/>
      <c r="CPD485" s="1031"/>
      <c r="CPE485" s="1031"/>
      <c r="CPF485" s="1031"/>
      <c r="CPG485" s="1031"/>
      <c r="CPH485" s="1031"/>
      <c r="CPI485" s="1031"/>
      <c r="CPJ485" s="1031"/>
      <c r="CPK485" s="1031"/>
      <c r="CPL485" s="1031"/>
      <c r="CPM485" s="1031"/>
      <c r="CPN485" s="1031"/>
      <c r="CPO485" s="1031"/>
      <c r="CPP485" s="1031"/>
      <c r="CPQ485" s="1031"/>
      <c r="CPR485" s="1031"/>
      <c r="CPS485" s="1031"/>
      <c r="CPT485" s="1031"/>
      <c r="CPU485" s="1031"/>
      <c r="CPV485" s="1031"/>
      <c r="CPW485" s="1031"/>
      <c r="CPX485" s="1031"/>
      <c r="CPY485" s="1031"/>
      <c r="CPZ485" s="1031"/>
      <c r="CQA485" s="1031"/>
      <c r="CQB485" s="1031"/>
      <c r="CQC485" s="1031"/>
      <c r="CQD485" s="1031"/>
      <c r="CQE485" s="1031"/>
      <c r="CQF485" s="1031"/>
      <c r="CQG485" s="1031"/>
      <c r="CQH485" s="1031"/>
      <c r="CQI485" s="1031"/>
      <c r="CQJ485" s="1031"/>
      <c r="CQK485" s="1031"/>
      <c r="CQL485" s="1031"/>
      <c r="CQM485" s="1031"/>
      <c r="CQN485" s="1031"/>
      <c r="CQO485" s="1031"/>
      <c r="CQP485" s="1031"/>
      <c r="CQQ485" s="1031"/>
      <c r="CQR485" s="1031"/>
      <c r="CQS485" s="1031"/>
      <c r="CQT485" s="1031"/>
      <c r="CQU485" s="1031"/>
      <c r="CQV485" s="1031"/>
      <c r="CQW485" s="1031"/>
      <c r="CQX485" s="1031"/>
      <c r="CQY485" s="1031"/>
      <c r="CQZ485" s="1031"/>
      <c r="CRA485" s="1031"/>
      <c r="CRB485" s="1031"/>
      <c r="CRC485" s="1031"/>
      <c r="CRD485" s="1031"/>
      <c r="CRE485" s="1031"/>
      <c r="CRF485" s="1031"/>
      <c r="CRG485" s="1031"/>
      <c r="CRH485" s="1031"/>
      <c r="CRI485" s="1031"/>
      <c r="CRJ485" s="1031"/>
      <c r="CRK485" s="1031"/>
      <c r="CRL485" s="1031"/>
      <c r="CRM485" s="1031"/>
      <c r="CRN485" s="1031"/>
      <c r="CRO485" s="1031"/>
      <c r="CRP485" s="1031"/>
      <c r="CRQ485" s="1031"/>
      <c r="CRR485" s="1031"/>
      <c r="CRS485" s="1031"/>
      <c r="CRT485" s="1031"/>
      <c r="CRU485" s="1031"/>
      <c r="CRV485" s="1031"/>
      <c r="CRW485" s="1031"/>
      <c r="CRX485" s="1031"/>
      <c r="CRY485" s="1031"/>
      <c r="CRZ485" s="1031"/>
      <c r="CSA485" s="1031"/>
      <c r="CSB485" s="1031"/>
      <c r="CSC485" s="1031"/>
      <c r="CSD485" s="1031"/>
      <c r="CSE485" s="1031"/>
      <c r="CSF485" s="1031"/>
      <c r="CSG485" s="1031"/>
      <c r="CSH485" s="1031"/>
      <c r="CSI485" s="1031"/>
      <c r="CSJ485" s="1031"/>
      <c r="CSK485" s="1031"/>
      <c r="CSL485" s="1031"/>
      <c r="CSM485" s="1031"/>
      <c r="CSN485" s="1031"/>
      <c r="CSO485" s="1031"/>
      <c r="CSP485" s="1031"/>
      <c r="CSQ485" s="1031"/>
      <c r="CSR485" s="1031"/>
      <c r="CSS485" s="1031"/>
      <c r="CST485" s="1031"/>
      <c r="CSU485" s="1031"/>
      <c r="CSV485" s="1031"/>
      <c r="CSW485" s="1031"/>
      <c r="CSX485" s="1031"/>
      <c r="CSY485" s="1031"/>
      <c r="CSZ485" s="1031"/>
      <c r="CTA485" s="1031"/>
      <c r="CTB485" s="1031"/>
      <c r="CTC485" s="1031"/>
      <c r="CTD485" s="1031"/>
      <c r="CTE485" s="1031"/>
      <c r="CTF485" s="1031"/>
      <c r="CTG485" s="1031"/>
      <c r="CTH485" s="1031"/>
      <c r="CTI485" s="1031"/>
      <c r="CTJ485" s="1031"/>
      <c r="CTK485" s="1031"/>
      <c r="CTL485" s="1031"/>
      <c r="CTM485" s="1031"/>
      <c r="CTN485" s="1031"/>
      <c r="CTO485" s="1031"/>
      <c r="CTP485" s="1031"/>
      <c r="CTQ485" s="1031"/>
      <c r="CTR485" s="1031"/>
      <c r="CTS485" s="1031"/>
      <c r="CTT485" s="1031"/>
      <c r="CTU485" s="1031"/>
      <c r="CTV485" s="1031"/>
      <c r="CTW485" s="1031"/>
      <c r="CTX485" s="1031"/>
      <c r="CTY485" s="1031"/>
      <c r="CTZ485" s="1031"/>
      <c r="CUA485" s="1031"/>
      <c r="CUB485" s="1031"/>
      <c r="CUC485" s="1031"/>
      <c r="CUD485" s="1031"/>
      <c r="CUE485" s="1031"/>
      <c r="CUF485" s="1031"/>
      <c r="CUG485" s="1031"/>
      <c r="CUH485" s="1031"/>
      <c r="CUI485" s="1031"/>
      <c r="CUJ485" s="1031"/>
      <c r="CUK485" s="1031"/>
      <c r="CUL485" s="1031"/>
      <c r="CUM485" s="1031"/>
      <c r="CUN485" s="1031"/>
      <c r="CUO485" s="1031"/>
      <c r="CUP485" s="1031"/>
      <c r="CUQ485" s="1031"/>
      <c r="CUR485" s="1031"/>
      <c r="CUS485" s="1031"/>
      <c r="CUT485" s="1031"/>
      <c r="CUU485" s="1031"/>
      <c r="CUV485" s="1031"/>
      <c r="CUW485" s="1031"/>
      <c r="CUX485" s="1031"/>
      <c r="CUY485" s="1031"/>
      <c r="CUZ485" s="1031"/>
      <c r="CVA485" s="1031"/>
      <c r="CVB485" s="1031"/>
      <c r="CVC485" s="1031"/>
      <c r="CVD485" s="1031"/>
      <c r="CVE485" s="1031"/>
      <c r="CVF485" s="1031"/>
      <c r="CVG485" s="1031"/>
      <c r="CVH485" s="1031"/>
      <c r="CVI485" s="1031"/>
      <c r="CVJ485" s="1031"/>
      <c r="CVK485" s="1031"/>
      <c r="CVL485" s="1031"/>
      <c r="CVM485" s="1031"/>
      <c r="CVN485" s="1031"/>
      <c r="CVO485" s="1031"/>
      <c r="CVP485" s="1031"/>
      <c r="CVQ485" s="1031"/>
      <c r="CVR485" s="1031"/>
      <c r="CVS485" s="1031"/>
      <c r="CVT485" s="1031"/>
      <c r="CVU485" s="1031"/>
      <c r="CVV485" s="1031"/>
      <c r="CVW485" s="1031"/>
      <c r="CVX485" s="1031"/>
      <c r="CVY485" s="1031"/>
      <c r="CVZ485" s="1031"/>
      <c r="CWA485" s="1031"/>
      <c r="CWB485" s="1031"/>
      <c r="CWC485" s="1031"/>
      <c r="CWD485" s="1031"/>
      <c r="CWE485" s="1031"/>
      <c r="CWF485" s="1031"/>
      <c r="CWG485" s="1031"/>
      <c r="CWH485" s="1031"/>
      <c r="CWI485" s="1031"/>
      <c r="CWJ485" s="1031"/>
      <c r="CWK485" s="1031"/>
      <c r="CWL485" s="1031"/>
      <c r="CWM485" s="1031"/>
      <c r="CWN485" s="1031"/>
      <c r="CWO485" s="1031"/>
      <c r="CWP485" s="1031"/>
      <c r="CWQ485" s="1031"/>
      <c r="CWR485" s="1031"/>
      <c r="CWS485" s="1031"/>
      <c r="CWT485" s="1031"/>
      <c r="CWU485" s="1031"/>
      <c r="CWV485" s="1031"/>
      <c r="CWW485" s="1031"/>
      <c r="CWX485" s="1031"/>
      <c r="CWY485" s="1031"/>
      <c r="CWZ485" s="1031"/>
      <c r="CXA485" s="1031"/>
      <c r="CXB485" s="1031"/>
      <c r="CXC485" s="1031"/>
      <c r="CXD485" s="1031"/>
      <c r="CXE485" s="1031"/>
      <c r="CXF485" s="1031"/>
      <c r="CXG485" s="1031"/>
      <c r="CXH485" s="1031"/>
      <c r="CXI485" s="1031"/>
      <c r="CXJ485" s="1031"/>
      <c r="CXK485" s="1031"/>
      <c r="CXL485" s="1031"/>
      <c r="CXM485" s="1031"/>
      <c r="CXN485" s="1031"/>
      <c r="CXO485" s="1031"/>
      <c r="CXP485" s="1031"/>
      <c r="CXQ485" s="1031"/>
      <c r="CXR485" s="1031"/>
      <c r="CXS485" s="1031"/>
      <c r="CXT485" s="1031"/>
      <c r="CXU485" s="1031"/>
      <c r="CXV485" s="1031"/>
      <c r="CXW485" s="1031"/>
      <c r="CXX485" s="1031"/>
      <c r="CXY485" s="1031"/>
      <c r="CXZ485" s="1031"/>
      <c r="CYA485" s="1031"/>
      <c r="CYB485" s="1031"/>
      <c r="CYC485" s="1031"/>
      <c r="CYD485" s="1031"/>
      <c r="CYE485" s="1031"/>
      <c r="CYF485" s="1031"/>
      <c r="CYG485" s="1031"/>
      <c r="CYH485" s="1031"/>
      <c r="CYI485" s="1031"/>
      <c r="CYJ485" s="1031"/>
      <c r="CYK485" s="1031"/>
      <c r="CYL485" s="1031"/>
      <c r="CYM485" s="1031"/>
      <c r="CYN485" s="1031"/>
      <c r="CYO485" s="1031"/>
      <c r="CYP485" s="1031"/>
      <c r="CYQ485" s="1031"/>
      <c r="CYR485" s="1031"/>
      <c r="CYS485" s="1031"/>
      <c r="CYT485" s="1031"/>
      <c r="CYU485" s="1031"/>
      <c r="CYV485" s="1031"/>
      <c r="CYW485" s="1031"/>
      <c r="CYX485" s="1031"/>
      <c r="CYY485" s="1031"/>
      <c r="CYZ485" s="1031"/>
      <c r="CZA485" s="1031"/>
      <c r="CZB485" s="1031"/>
      <c r="CZC485" s="1031"/>
      <c r="CZD485" s="1031"/>
      <c r="CZE485" s="1031"/>
      <c r="CZF485" s="1031"/>
      <c r="CZG485" s="1031"/>
      <c r="CZH485" s="1031"/>
      <c r="CZI485" s="1031"/>
      <c r="CZJ485" s="1031"/>
      <c r="CZK485" s="1031"/>
      <c r="CZL485" s="1031"/>
      <c r="CZM485" s="1031"/>
      <c r="CZN485" s="1031"/>
      <c r="CZO485" s="1031"/>
      <c r="CZP485" s="1031"/>
      <c r="CZQ485" s="1031"/>
      <c r="CZR485" s="1031"/>
      <c r="CZS485" s="1031"/>
      <c r="CZT485" s="1031"/>
      <c r="CZU485" s="1031"/>
      <c r="CZV485" s="1031"/>
      <c r="CZW485" s="1031"/>
      <c r="CZX485" s="1031"/>
      <c r="CZY485" s="1031"/>
      <c r="CZZ485" s="1031"/>
      <c r="DAA485" s="1031"/>
      <c r="DAB485" s="1031"/>
      <c r="DAC485" s="1031"/>
      <c r="DAD485" s="1031"/>
      <c r="DAE485" s="1031"/>
      <c r="DAF485" s="1031"/>
      <c r="DAG485" s="1031"/>
      <c r="DAH485" s="1031"/>
      <c r="DAI485" s="1031"/>
      <c r="DAJ485" s="1031"/>
      <c r="DAK485" s="1031"/>
      <c r="DAL485" s="1031"/>
      <c r="DAM485" s="1031"/>
      <c r="DAN485" s="1031"/>
      <c r="DAO485" s="1031"/>
      <c r="DAP485" s="1031"/>
      <c r="DAQ485" s="1031"/>
      <c r="DAR485" s="1031"/>
      <c r="DAS485" s="1031"/>
      <c r="DAT485" s="1031"/>
      <c r="DAU485" s="1031"/>
      <c r="DAV485" s="1031"/>
      <c r="DAW485" s="1031"/>
      <c r="DAX485" s="1031"/>
      <c r="DAY485" s="1031"/>
      <c r="DAZ485" s="1031"/>
      <c r="DBA485" s="1031"/>
      <c r="DBB485" s="1031"/>
      <c r="DBC485" s="1031"/>
      <c r="DBD485" s="1031"/>
      <c r="DBE485" s="1031"/>
      <c r="DBF485" s="1031"/>
      <c r="DBG485" s="1031"/>
      <c r="DBH485" s="1031"/>
      <c r="DBI485" s="1031"/>
      <c r="DBJ485" s="1031"/>
      <c r="DBK485" s="1031"/>
      <c r="DBL485" s="1031"/>
      <c r="DBM485" s="1031"/>
      <c r="DBN485" s="1031"/>
      <c r="DBO485" s="1031"/>
      <c r="DBP485" s="1031"/>
      <c r="DBQ485" s="1031"/>
      <c r="DBR485" s="1031"/>
      <c r="DBS485" s="1031"/>
      <c r="DBT485" s="1031"/>
      <c r="DBU485" s="1031"/>
      <c r="DBV485" s="1031"/>
      <c r="DBW485" s="1031"/>
      <c r="DBX485" s="1031"/>
      <c r="DBY485" s="1031"/>
      <c r="DBZ485" s="1031"/>
      <c r="DCA485" s="1031"/>
      <c r="DCB485" s="1031"/>
      <c r="DCC485" s="1031"/>
      <c r="DCD485" s="1031"/>
      <c r="DCE485" s="1031"/>
      <c r="DCF485" s="1031"/>
      <c r="DCG485" s="1031"/>
      <c r="DCH485" s="1031"/>
      <c r="DCI485" s="1031"/>
      <c r="DCJ485" s="1031"/>
      <c r="DCK485" s="1031"/>
      <c r="DCL485" s="1031"/>
      <c r="DCM485" s="1031"/>
      <c r="DCN485" s="1031"/>
      <c r="DCO485" s="1031"/>
      <c r="DCP485" s="1031"/>
      <c r="DCQ485" s="1031"/>
      <c r="DCR485" s="1031"/>
      <c r="DCS485" s="1031"/>
      <c r="DCT485" s="1031"/>
      <c r="DCU485" s="1031"/>
      <c r="DCV485" s="1031"/>
      <c r="DCW485" s="1031"/>
      <c r="DCX485" s="1031"/>
      <c r="DCY485" s="1031"/>
      <c r="DCZ485" s="1031"/>
      <c r="DDA485" s="1031"/>
      <c r="DDB485" s="1031"/>
      <c r="DDC485" s="1031"/>
      <c r="DDD485" s="1031"/>
      <c r="DDE485" s="1031"/>
      <c r="DDF485" s="1031"/>
      <c r="DDG485" s="1031"/>
      <c r="DDH485" s="1031"/>
      <c r="DDI485" s="1031"/>
      <c r="DDJ485" s="1031"/>
      <c r="DDK485" s="1031"/>
      <c r="DDL485" s="1031"/>
      <c r="DDM485" s="1031"/>
      <c r="DDN485" s="1031"/>
      <c r="DDO485" s="1031"/>
      <c r="DDP485" s="1031"/>
      <c r="DDQ485" s="1031"/>
      <c r="DDR485" s="1031"/>
      <c r="DDS485" s="1031"/>
      <c r="DDT485" s="1031"/>
      <c r="DDU485" s="1031"/>
      <c r="DDV485" s="1031"/>
      <c r="DDW485" s="1031"/>
      <c r="DDX485" s="1031"/>
      <c r="DDY485" s="1031"/>
      <c r="DDZ485" s="1031"/>
      <c r="DEA485" s="1031"/>
      <c r="DEB485" s="1031"/>
      <c r="DEC485" s="1031"/>
      <c r="DED485" s="1031"/>
      <c r="DEE485" s="1031"/>
      <c r="DEF485" s="1031"/>
      <c r="DEG485" s="1031"/>
      <c r="DEH485" s="1031"/>
      <c r="DEI485" s="1031"/>
      <c r="DEJ485" s="1031"/>
      <c r="DEK485" s="1031"/>
      <c r="DEL485" s="1031"/>
      <c r="DEM485" s="1031"/>
      <c r="DEN485" s="1031"/>
      <c r="DEO485" s="1031"/>
      <c r="DEP485" s="1031"/>
      <c r="DEQ485" s="1031"/>
      <c r="DER485" s="1031"/>
      <c r="DES485" s="1031"/>
      <c r="DET485" s="1031"/>
      <c r="DEU485" s="1031"/>
      <c r="DEV485" s="1031"/>
      <c r="DEW485" s="1031"/>
      <c r="DEX485" s="1031"/>
      <c r="DEY485" s="1031"/>
      <c r="DEZ485" s="1031"/>
      <c r="DFA485" s="1031"/>
      <c r="DFB485" s="1031"/>
      <c r="DFC485" s="1031"/>
      <c r="DFD485" s="1031"/>
      <c r="DFE485" s="1031"/>
      <c r="DFF485" s="1031"/>
      <c r="DFG485" s="1031"/>
      <c r="DFH485" s="1031"/>
      <c r="DFI485" s="1031"/>
      <c r="DFJ485" s="1031"/>
      <c r="DFK485" s="1031"/>
      <c r="DFL485" s="1031"/>
      <c r="DFM485" s="1031"/>
      <c r="DFN485" s="1031"/>
      <c r="DFO485" s="1031"/>
      <c r="DFP485" s="1031"/>
      <c r="DFQ485" s="1031"/>
      <c r="DFR485" s="1031"/>
      <c r="DFS485" s="1031"/>
      <c r="DFT485" s="1031"/>
      <c r="DFU485" s="1031"/>
      <c r="DFV485" s="1031"/>
      <c r="DFW485" s="1031"/>
      <c r="DFX485" s="1031"/>
      <c r="DFY485" s="1031"/>
      <c r="DFZ485" s="1031"/>
      <c r="DGA485" s="1031"/>
      <c r="DGB485" s="1031"/>
      <c r="DGC485" s="1031"/>
      <c r="DGD485" s="1031"/>
      <c r="DGE485" s="1031"/>
      <c r="DGF485" s="1031"/>
      <c r="DGG485" s="1031"/>
      <c r="DGH485" s="1031"/>
      <c r="DGI485" s="1031"/>
      <c r="DGJ485" s="1031"/>
      <c r="DGK485" s="1031"/>
      <c r="DGL485" s="1031"/>
      <c r="DGM485" s="1031"/>
      <c r="DGN485" s="1031"/>
      <c r="DGO485" s="1031"/>
      <c r="DGP485" s="1031"/>
      <c r="DGQ485" s="1031"/>
      <c r="DGR485" s="1031"/>
      <c r="DGS485" s="1031"/>
      <c r="DGT485" s="1031"/>
      <c r="DGU485" s="1031"/>
      <c r="DGV485" s="1031"/>
      <c r="DGW485" s="1031"/>
      <c r="DGX485" s="1031"/>
      <c r="DGY485" s="1031"/>
      <c r="DGZ485" s="1031"/>
      <c r="DHA485" s="1031"/>
      <c r="DHB485" s="1031"/>
      <c r="DHC485" s="1031"/>
      <c r="DHD485" s="1031"/>
      <c r="DHE485" s="1031"/>
      <c r="DHF485" s="1031"/>
      <c r="DHG485" s="1031"/>
      <c r="DHH485" s="1031"/>
      <c r="DHI485" s="1031"/>
      <c r="DHJ485" s="1031"/>
      <c r="DHK485" s="1031"/>
      <c r="DHL485" s="1031"/>
      <c r="DHM485" s="1031"/>
      <c r="DHN485" s="1031"/>
      <c r="DHO485" s="1031"/>
      <c r="DHP485" s="1031"/>
      <c r="DHQ485" s="1031"/>
      <c r="DHR485" s="1031"/>
      <c r="DHS485" s="1031"/>
      <c r="DHT485" s="1031"/>
      <c r="DHU485" s="1031"/>
      <c r="DHV485" s="1031"/>
      <c r="DHW485" s="1031"/>
      <c r="DHX485" s="1031"/>
      <c r="DHY485" s="1031"/>
      <c r="DHZ485" s="1031"/>
      <c r="DIA485" s="1031"/>
      <c r="DIB485" s="1031"/>
      <c r="DIC485" s="1031"/>
      <c r="DID485" s="1031"/>
      <c r="DIE485" s="1031"/>
      <c r="DIF485" s="1031"/>
      <c r="DIG485" s="1031"/>
      <c r="DIH485" s="1031"/>
      <c r="DII485" s="1031"/>
      <c r="DIJ485" s="1031"/>
      <c r="DIK485" s="1031"/>
      <c r="DIL485" s="1031"/>
      <c r="DIM485" s="1031"/>
      <c r="DIN485" s="1031"/>
      <c r="DIO485" s="1031"/>
      <c r="DIP485" s="1031"/>
      <c r="DIQ485" s="1031"/>
      <c r="DIR485" s="1031"/>
      <c r="DIS485" s="1031"/>
      <c r="DIT485" s="1031"/>
      <c r="DIU485" s="1031"/>
      <c r="DIV485" s="1031"/>
      <c r="DIW485" s="1031"/>
      <c r="DIX485" s="1031"/>
      <c r="DIY485" s="1031"/>
      <c r="DIZ485" s="1031"/>
      <c r="DJA485" s="1031"/>
      <c r="DJB485" s="1031"/>
      <c r="DJC485" s="1031"/>
      <c r="DJD485" s="1031"/>
      <c r="DJE485" s="1031"/>
      <c r="DJF485" s="1031"/>
      <c r="DJG485" s="1031"/>
      <c r="DJH485" s="1031"/>
      <c r="DJI485" s="1031"/>
      <c r="DJJ485" s="1031"/>
      <c r="DJK485" s="1031"/>
      <c r="DJL485" s="1031"/>
      <c r="DJM485" s="1031"/>
      <c r="DJN485" s="1031"/>
      <c r="DJO485" s="1031"/>
      <c r="DJP485" s="1031"/>
      <c r="DJQ485" s="1031"/>
      <c r="DJR485" s="1031"/>
      <c r="DJS485" s="1031"/>
      <c r="DJT485" s="1031"/>
      <c r="DJU485" s="1031"/>
      <c r="DJV485" s="1031"/>
      <c r="DJW485" s="1031"/>
      <c r="DJX485" s="1031"/>
      <c r="DJY485" s="1031"/>
      <c r="DJZ485" s="1031"/>
      <c r="DKA485" s="1031"/>
      <c r="DKB485" s="1031"/>
      <c r="DKC485" s="1031"/>
      <c r="DKD485" s="1031"/>
      <c r="DKE485" s="1031"/>
      <c r="DKF485" s="1031"/>
      <c r="DKG485" s="1031"/>
      <c r="DKH485" s="1031"/>
      <c r="DKI485" s="1031"/>
      <c r="DKJ485" s="1031"/>
      <c r="DKK485" s="1031"/>
      <c r="DKL485" s="1031"/>
      <c r="DKM485" s="1031"/>
      <c r="DKN485" s="1031"/>
      <c r="DKO485" s="1031"/>
      <c r="DKP485" s="1031"/>
      <c r="DKQ485" s="1031"/>
      <c r="DKR485" s="1031"/>
      <c r="DKS485" s="1031"/>
      <c r="DKT485" s="1031"/>
      <c r="DKU485" s="1031"/>
      <c r="DKV485" s="1031"/>
      <c r="DKW485" s="1031"/>
      <c r="DKX485" s="1031"/>
      <c r="DKY485" s="1031"/>
      <c r="DKZ485" s="1031"/>
      <c r="DLA485" s="1031"/>
      <c r="DLB485" s="1031"/>
      <c r="DLC485" s="1031"/>
      <c r="DLD485" s="1031"/>
      <c r="DLE485" s="1031"/>
      <c r="DLF485" s="1031"/>
      <c r="DLG485" s="1031"/>
      <c r="DLH485" s="1031"/>
      <c r="DLI485" s="1031"/>
      <c r="DLJ485" s="1031"/>
      <c r="DLK485" s="1031"/>
      <c r="DLL485" s="1031"/>
      <c r="DLM485" s="1031"/>
      <c r="DLN485" s="1031"/>
      <c r="DLO485" s="1031"/>
      <c r="DLP485" s="1031"/>
      <c r="DLQ485" s="1031"/>
      <c r="DLR485" s="1031"/>
      <c r="DLS485" s="1031"/>
      <c r="DLT485" s="1031"/>
      <c r="DLU485" s="1031"/>
      <c r="DLV485" s="1031"/>
      <c r="DLW485" s="1031"/>
      <c r="DLX485" s="1031"/>
      <c r="DLY485" s="1031"/>
      <c r="DLZ485" s="1031"/>
      <c r="DMA485" s="1031"/>
      <c r="DMB485" s="1031"/>
      <c r="DMC485" s="1031"/>
      <c r="DMD485" s="1031"/>
      <c r="DME485" s="1031"/>
      <c r="DMF485" s="1031"/>
      <c r="DMG485" s="1031"/>
      <c r="DMH485" s="1031"/>
      <c r="DMI485" s="1031"/>
      <c r="DMJ485" s="1031"/>
      <c r="DMK485" s="1031"/>
      <c r="DML485" s="1031"/>
      <c r="DMM485" s="1031"/>
      <c r="DMN485" s="1031"/>
      <c r="DMO485" s="1031"/>
      <c r="DMP485" s="1031"/>
      <c r="DMQ485" s="1031"/>
      <c r="DMR485" s="1031"/>
      <c r="DMS485" s="1031"/>
      <c r="DMT485" s="1031"/>
      <c r="DMU485" s="1031"/>
      <c r="DMV485" s="1031"/>
      <c r="DMW485" s="1031"/>
      <c r="DMX485" s="1031"/>
      <c r="DMY485" s="1031"/>
      <c r="DMZ485" s="1031"/>
      <c r="DNA485" s="1031"/>
      <c r="DNB485" s="1031"/>
      <c r="DNC485" s="1031"/>
      <c r="DND485" s="1031"/>
      <c r="DNE485" s="1031"/>
      <c r="DNF485" s="1031"/>
      <c r="DNG485" s="1031"/>
      <c r="DNH485" s="1031"/>
      <c r="DNI485" s="1031"/>
      <c r="DNJ485" s="1031"/>
      <c r="DNK485" s="1031"/>
      <c r="DNL485" s="1031"/>
      <c r="DNM485" s="1031"/>
      <c r="DNN485" s="1031"/>
      <c r="DNO485" s="1031"/>
      <c r="DNP485" s="1031"/>
      <c r="DNQ485" s="1031"/>
      <c r="DNR485" s="1031"/>
      <c r="DNS485" s="1031"/>
      <c r="DNT485" s="1031"/>
      <c r="DNU485" s="1031"/>
      <c r="DNV485" s="1031"/>
      <c r="DNW485" s="1031"/>
      <c r="DNX485" s="1031"/>
      <c r="DNY485" s="1031"/>
      <c r="DNZ485" s="1031"/>
      <c r="DOA485" s="1031"/>
      <c r="DOB485" s="1031"/>
      <c r="DOC485" s="1031"/>
      <c r="DOD485" s="1031"/>
      <c r="DOE485" s="1031"/>
      <c r="DOF485" s="1031"/>
      <c r="DOG485" s="1031"/>
      <c r="DOH485" s="1031"/>
      <c r="DOI485" s="1031"/>
      <c r="DOJ485" s="1031"/>
      <c r="DOK485" s="1031"/>
      <c r="DOL485" s="1031"/>
      <c r="DOM485" s="1031"/>
      <c r="DON485" s="1031"/>
      <c r="DOO485" s="1031"/>
      <c r="DOP485" s="1031"/>
      <c r="DOQ485" s="1031"/>
      <c r="DOR485" s="1031"/>
      <c r="DOS485" s="1031"/>
      <c r="DOT485" s="1031"/>
      <c r="DOU485" s="1031"/>
      <c r="DOV485" s="1031"/>
      <c r="DOW485" s="1031"/>
      <c r="DOX485" s="1031"/>
      <c r="DOY485" s="1031"/>
      <c r="DOZ485" s="1031"/>
      <c r="DPA485" s="1031"/>
      <c r="DPB485" s="1031"/>
      <c r="DPC485" s="1031"/>
      <c r="DPD485" s="1031"/>
      <c r="DPE485" s="1031"/>
      <c r="DPF485" s="1031"/>
      <c r="DPG485" s="1031"/>
      <c r="DPH485" s="1031"/>
      <c r="DPI485" s="1031"/>
      <c r="DPJ485" s="1031"/>
      <c r="DPK485" s="1031"/>
      <c r="DPL485" s="1031"/>
      <c r="DPM485" s="1031"/>
      <c r="DPN485" s="1031"/>
      <c r="DPO485" s="1031"/>
      <c r="DPP485" s="1031"/>
      <c r="DPQ485" s="1031"/>
      <c r="DPR485" s="1031"/>
      <c r="DPS485" s="1031"/>
      <c r="DPT485" s="1031"/>
      <c r="DPU485" s="1031"/>
      <c r="DPV485" s="1031"/>
      <c r="DPW485" s="1031"/>
      <c r="DPX485" s="1031"/>
      <c r="DPY485" s="1031"/>
      <c r="DPZ485" s="1031"/>
      <c r="DQA485" s="1031"/>
      <c r="DQB485" s="1031"/>
      <c r="DQC485" s="1031"/>
      <c r="DQD485" s="1031"/>
      <c r="DQE485" s="1031"/>
      <c r="DQF485" s="1031"/>
      <c r="DQG485" s="1031"/>
      <c r="DQH485" s="1031"/>
      <c r="DQI485" s="1031"/>
      <c r="DQJ485" s="1031"/>
      <c r="DQK485" s="1031"/>
      <c r="DQL485" s="1031"/>
      <c r="DQM485" s="1031"/>
      <c r="DQN485" s="1031"/>
      <c r="DQO485" s="1031"/>
      <c r="DQP485" s="1031"/>
      <c r="DQQ485" s="1031"/>
      <c r="DQR485" s="1031"/>
      <c r="DQS485" s="1031"/>
      <c r="DQT485" s="1031"/>
      <c r="DQU485" s="1031"/>
      <c r="DQV485" s="1031"/>
      <c r="DQW485" s="1031"/>
      <c r="DQX485" s="1031"/>
      <c r="DQY485" s="1031"/>
      <c r="DQZ485" s="1031"/>
      <c r="DRA485" s="1031"/>
      <c r="DRB485" s="1031"/>
      <c r="DRC485" s="1031"/>
      <c r="DRD485" s="1031"/>
      <c r="DRE485" s="1031"/>
      <c r="DRF485" s="1031"/>
      <c r="DRG485" s="1031"/>
      <c r="DRH485" s="1031"/>
      <c r="DRI485" s="1031"/>
      <c r="DRJ485" s="1031"/>
      <c r="DRK485" s="1031"/>
      <c r="DRL485" s="1031"/>
      <c r="DRM485" s="1031"/>
      <c r="DRN485" s="1031"/>
      <c r="DRO485" s="1031"/>
      <c r="DRP485" s="1031"/>
      <c r="DRQ485" s="1031"/>
      <c r="DRR485" s="1031"/>
      <c r="DRS485" s="1031"/>
      <c r="DRT485" s="1031"/>
      <c r="DRU485" s="1031"/>
      <c r="DRV485" s="1031"/>
      <c r="DRW485" s="1031"/>
      <c r="DRX485" s="1031"/>
      <c r="DRY485" s="1031"/>
      <c r="DRZ485" s="1031"/>
      <c r="DSA485" s="1031"/>
      <c r="DSB485" s="1031"/>
      <c r="DSC485" s="1031"/>
      <c r="DSD485" s="1031"/>
      <c r="DSE485" s="1031"/>
      <c r="DSF485" s="1031"/>
      <c r="DSG485" s="1031"/>
      <c r="DSH485" s="1031"/>
      <c r="DSI485" s="1031"/>
      <c r="DSJ485" s="1031"/>
      <c r="DSK485" s="1031"/>
      <c r="DSL485" s="1031"/>
      <c r="DSM485" s="1031"/>
      <c r="DSN485" s="1031"/>
      <c r="DSO485" s="1031"/>
      <c r="DSP485" s="1031"/>
      <c r="DSQ485" s="1031"/>
      <c r="DSR485" s="1031"/>
      <c r="DSS485" s="1031"/>
      <c r="DST485" s="1031"/>
      <c r="DSU485" s="1031"/>
      <c r="DSV485" s="1031"/>
      <c r="DSW485" s="1031"/>
      <c r="DSX485" s="1031"/>
      <c r="DSY485" s="1031"/>
      <c r="DSZ485" s="1031"/>
      <c r="DTA485" s="1031"/>
      <c r="DTB485" s="1031"/>
      <c r="DTC485" s="1031"/>
      <c r="DTD485" s="1031"/>
      <c r="DTE485" s="1031"/>
      <c r="DTF485" s="1031"/>
      <c r="DTG485" s="1031"/>
      <c r="DTH485" s="1031"/>
      <c r="DTI485" s="1031"/>
      <c r="DTJ485" s="1031"/>
      <c r="DTK485" s="1031"/>
      <c r="DTL485" s="1031"/>
      <c r="DTM485" s="1031"/>
      <c r="DTN485" s="1031"/>
      <c r="DTO485" s="1031"/>
      <c r="DTP485" s="1031"/>
      <c r="DTQ485" s="1031"/>
      <c r="DTR485" s="1031"/>
      <c r="DTS485" s="1031"/>
      <c r="DTT485" s="1031"/>
      <c r="DTU485" s="1031"/>
      <c r="DTV485" s="1031"/>
      <c r="DTW485" s="1031"/>
      <c r="DTX485" s="1031"/>
      <c r="DTY485" s="1031"/>
      <c r="DTZ485" s="1031"/>
      <c r="DUA485" s="1031"/>
      <c r="DUB485" s="1031"/>
      <c r="DUC485" s="1031"/>
      <c r="DUD485" s="1031"/>
      <c r="DUE485" s="1031"/>
      <c r="DUF485" s="1031"/>
      <c r="DUG485" s="1031"/>
      <c r="DUH485" s="1031"/>
      <c r="DUI485" s="1031"/>
      <c r="DUJ485" s="1031"/>
      <c r="DUK485" s="1031"/>
      <c r="DUL485" s="1031"/>
      <c r="DUM485" s="1031"/>
      <c r="DUN485" s="1031"/>
      <c r="DUO485" s="1031"/>
      <c r="DUP485" s="1031"/>
      <c r="DUQ485" s="1031"/>
      <c r="DUR485" s="1031"/>
      <c r="DUS485" s="1031"/>
      <c r="DUT485" s="1031"/>
      <c r="DUU485" s="1031"/>
      <c r="DUV485" s="1031"/>
      <c r="DUW485" s="1031"/>
      <c r="DUX485" s="1031"/>
      <c r="DUY485" s="1031"/>
      <c r="DUZ485" s="1031"/>
      <c r="DVA485" s="1031"/>
      <c r="DVB485" s="1031"/>
      <c r="DVC485" s="1031"/>
      <c r="DVD485" s="1031"/>
      <c r="DVE485" s="1031"/>
      <c r="DVF485" s="1031"/>
      <c r="DVG485" s="1031"/>
      <c r="DVH485" s="1031"/>
      <c r="DVI485" s="1031"/>
      <c r="DVJ485" s="1031"/>
      <c r="DVK485" s="1031"/>
      <c r="DVL485" s="1031"/>
      <c r="DVM485" s="1031"/>
      <c r="DVN485" s="1031"/>
      <c r="DVO485" s="1031"/>
      <c r="DVP485" s="1031"/>
      <c r="DVQ485" s="1031"/>
      <c r="DVR485" s="1031"/>
      <c r="DVS485" s="1031"/>
      <c r="DVT485" s="1031"/>
      <c r="DVU485" s="1031"/>
      <c r="DVV485" s="1031"/>
      <c r="DVW485" s="1031"/>
      <c r="DVX485" s="1031"/>
      <c r="DVY485" s="1031"/>
      <c r="DVZ485" s="1031"/>
      <c r="DWA485" s="1031"/>
      <c r="DWB485" s="1031"/>
      <c r="DWC485" s="1031"/>
      <c r="DWD485" s="1031"/>
      <c r="DWE485" s="1031"/>
      <c r="DWF485" s="1031"/>
      <c r="DWG485" s="1031"/>
      <c r="DWH485" s="1031"/>
      <c r="DWI485" s="1031"/>
      <c r="DWJ485" s="1031"/>
      <c r="DWK485" s="1031"/>
      <c r="DWL485" s="1031"/>
      <c r="DWM485" s="1031"/>
      <c r="DWN485" s="1031"/>
      <c r="DWO485" s="1031"/>
      <c r="DWP485" s="1031"/>
      <c r="DWQ485" s="1031"/>
      <c r="DWR485" s="1031"/>
      <c r="DWS485" s="1031"/>
      <c r="DWT485" s="1031"/>
      <c r="DWU485" s="1031"/>
      <c r="DWV485" s="1031"/>
      <c r="DWW485" s="1031"/>
      <c r="DWX485" s="1031"/>
      <c r="DWY485" s="1031"/>
      <c r="DWZ485" s="1031"/>
      <c r="DXA485" s="1031"/>
      <c r="DXB485" s="1031"/>
      <c r="DXC485" s="1031"/>
      <c r="DXD485" s="1031"/>
      <c r="DXE485" s="1031"/>
      <c r="DXF485" s="1031"/>
      <c r="DXG485" s="1031"/>
      <c r="DXH485" s="1031"/>
      <c r="DXI485" s="1031"/>
      <c r="DXJ485" s="1031"/>
      <c r="DXK485" s="1031"/>
      <c r="DXL485" s="1031"/>
      <c r="DXM485" s="1031"/>
      <c r="DXN485" s="1031"/>
      <c r="DXO485" s="1031"/>
      <c r="DXP485" s="1031"/>
      <c r="DXQ485" s="1031"/>
      <c r="DXR485" s="1031"/>
      <c r="DXS485" s="1031"/>
      <c r="DXT485" s="1031"/>
      <c r="DXU485" s="1031"/>
      <c r="DXV485" s="1031"/>
      <c r="DXW485" s="1031"/>
      <c r="DXX485" s="1031"/>
      <c r="DXY485" s="1031"/>
      <c r="DXZ485" s="1031"/>
      <c r="DYA485" s="1031"/>
      <c r="DYB485" s="1031"/>
      <c r="DYC485" s="1031"/>
      <c r="DYD485" s="1031"/>
      <c r="DYE485" s="1031"/>
      <c r="DYF485" s="1031"/>
      <c r="DYG485" s="1031"/>
      <c r="DYH485" s="1031"/>
      <c r="DYI485" s="1031"/>
      <c r="DYJ485" s="1031"/>
      <c r="DYK485" s="1031"/>
      <c r="DYL485" s="1031"/>
      <c r="DYM485" s="1031"/>
      <c r="DYN485" s="1031"/>
      <c r="DYO485" s="1031"/>
      <c r="DYP485" s="1031"/>
      <c r="DYQ485" s="1031"/>
      <c r="DYR485" s="1031"/>
      <c r="DYS485" s="1031"/>
      <c r="DYT485" s="1031"/>
      <c r="DYU485" s="1031"/>
      <c r="DYV485" s="1031"/>
      <c r="DYW485" s="1031"/>
      <c r="DYX485" s="1031"/>
      <c r="DYY485" s="1031"/>
      <c r="DYZ485" s="1031"/>
      <c r="DZA485" s="1031"/>
      <c r="DZB485" s="1031"/>
      <c r="DZC485" s="1031"/>
      <c r="DZD485" s="1031"/>
      <c r="DZE485" s="1031"/>
      <c r="DZF485" s="1031"/>
      <c r="DZG485" s="1031"/>
      <c r="DZH485" s="1031"/>
      <c r="DZI485" s="1031"/>
      <c r="DZJ485" s="1031"/>
      <c r="DZK485" s="1031"/>
      <c r="DZL485" s="1031"/>
      <c r="DZM485" s="1031"/>
      <c r="DZN485" s="1031"/>
      <c r="DZO485" s="1031"/>
      <c r="DZP485" s="1031"/>
      <c r="DZQ485" s="1031"/>
      <c r="DZR485" s="1031"/>
      <c r="DZS485" s="1031"/>
      <c r="DZT485" s="1031"/>
      <c r="DZU485" s="1031"/>
      <c r="DZV485" s="1031"/>
      <c r="DZW485" s="1031"/>
      <c r="DZX485" s="1031"/>
      <c r="DZY485" s="1031"/>
      <c r="DZZ485" s="1031"/>
      <c r="EAA485" s="1031"/>
      <c r="EAB485" s="1031"/>
      <c r="EAC485" s="1031"/>
      <c r="EAD485" s="1031"/>
      <c r="EAE485" s="1031"/>
      <c r="EAF485" s="1031"/>
      <c r="EAG485" s="1031"/>
      <c r="EAH485" s="1031"/>
      <c r="EAI485" s="1031"/>
      <c r="EAJ485" s="1031"/>
      <c r="EAK485" s="1031"/>
      <c r="EAL485" s="1031"/>
      <c r="EAM485" s="1031"/>
      <c r="EAN485" s="1031"/>
      <c r="EAO485" s="1031"/>
      <c r="EAP485" s="1031"/>
      <c r="EAQ485" s="1031"/>
      <c r="EAR485" s="1031"/>
      <c r="EAS485" s="1031"/>
      <c r="EAT485" s="1031"/>
      <c r="EAU485" s="1031"/>
      <c r="EAV485" s="1031"/>
      <c r="EAW485" s="1031"/>
      <c r="EAX485" s="1031"/>
      <c r="EAY485" s="1031"/>
      <c r="EAZ485" s="1031"/>
      <c r="EBA485" s="1031"/>
      <c r="EBB485" s="1031"/>
      <c r="EBC485" s="1031"/>
      <c r="EBD485" s="1031"/>
      <c r="EBE485" s="1031"/>
      <c r="EBF485" s="1031"/>
      <c r="EBG485" s="1031"/>
      <c r="EBH485" s="1031"/>
      <c r="EBI485" s="1031"/>
      <c r="EBJ485" s="1031"/>
      <c r="EBK485" s="1031"/>
      <c r="EBL485" s="1031"/>
      <c r="EBM485" s="1031"/>
      <c r="EBN485" s="1031"/>
      <c r="EBO485" s="1031"/>
      <c r="EBP485" s="1031"/>
      <c r="EBQ485" s="1031"/>
      <c r="EBR485" s="1031"/>
      <c r="EBS485" s="1031"/>
      <c r="EBT485" s="1031"/>
      <c r="EBU485" s="1031"/>
      <c r="EBV485" s="1031"/>
      <c r="EBW485" s="1031"/>
      <c r="EBX485" s="1031"/>
      <c r="EBY485" s="1031"/>
      <c r="EBZ485" s="1031"/>
      <c r="ECA485" s="1031"/>
      <c r="ECB485" s="1031"/>
      <c r="ECC485" s="1031"/>
      <c r="ECD485" s="1031"/>
      <c r="ECE485" s="1031"/>
      <c r="ECF485" s="1031"/>
      <c r="ECG485" s="1031"/>
      <c r="ECH485" s="1031"/>
      <c r="ECI485" s="1031"/>
      <c r="ECJ485" s="1031"/>
      <c r="ECK485" s="1031"/>
      <c r="ECL485" s="1031"/>
      <c r="ECM485" s="1031"/>
      <c r="ECN485" s="1031"/>
      <c r="ECO485" s="1031"/>
      <c r="ECP485" s="1031"/>
      <c r="ECQ485" s="1031"/>
      <c r="ECR485" s="1031"/>
      <c r="ECS485" s="1031"/>
      <c r="ECT485" s="1031"/>
      <c r="ECU485" s="1031"/>
      <c r="ECV485" s="1031"/>
      <c r="ECW485" s="1031"/>
      <c r="ECX485" s="1031"/>
      <c r="ECY485" s="1031"/>
      <c r="ECZ485" s="1031"/>
      <c r="EDA485" s="1031"/>
      <c r="EDB485" s="1031"/>
      <c r="EDC485" s="1031"/>
      <c r="EDD485" s="1031"/>
      <c r="EDE485" s="1031"/>
      <c r="EDF485" s="1031"/>
      <c r="EDG485" s="1031"/>
      <c r="EDH485" s="1031"/>
      <c r="EDI485" s="1031"/>
      <c r="EDJ485" s="1031"/>
      <c r="EDK485" s="1031"/>
      <c r="EDL485" s="1031"/>
      <c r="EDM485" s="1031"/>
      <c r="EDN485" s="1031"/>
      <c r="EDO485" s="1031"/>
      <c r="EDP485" s="1031"/>
      <c r="EDQ485" s="1031"/>
      <c r="EDR485" s="1031"/>
      <c r="EDS485" s="1031"/>
      <c r="EDT485" s="1031"/>
      <c r="EDU485" s="1031"/>
      <c r="EDV485" s="1031"/>
      <c r="EDW485" s="1031"/>
      <c r="EDX485" s="1031"/>
      <c r="EDY485" s="1031"/>
      <c r="EDZ485" s="1031"/>
      <c r="EEA485" s="1031"/>
      <c r="EEB485" s="1031"/>
      <c r="EEC485" s="1031"/>
      <c r="EED485" s="1031"/>
      <c r="EEE485" s="1031"/>
      <c r="EEF485" s="1031"/>
      <c r="EEG485" s="1031"/>
      <c r="EEH485" s="1031"/>
      <c r="EEI485" s="1031"/>
      <c r="EEJ485" s="1031"/>
      <c r="EEK485" s="1031"/>
      <c r="EEL485" s="1031"/>
      <c r="EEM485" s="1031"/>
      <c r="EEN485" s="1031"/>
      <c r="EEO485" s="1031"/>
      <c r="EEP485" s="1031"/>
      <c r="EEQ485" s="1031"/>
      <c r="EER485" s="1031"/>
      <c r="EES485" s="1031"/>
      <c r="EET485" s="1031"/>
      <c r="EEU485" s="1031"/>
      <c r="EEV485" s="1031"/>
      <c r="EEW485" s="1031"/>
      <c r="EEX485" s="1031"/>
      <c r="EEY485" s="1031"/>
      <c r="EEZ485" s="1031"/>
      <c r="EFA485" s="1031"/>
      <c r="EFB485" s="1031"/>
      <c r="EFC485" s="1031"/>
      <c r="EFD485" s="1031"/>
      <c r="EFE485" s="1031"/>
      <c r="EFF485" s="1031"/>
      <c r="EFG485" s="1031"/>
      <c r="EFH485" s="1031"/>
      <c r="EFI485" s="1031"/>
      <c r="EFJ485" s="1031"/>
      <c r="EFK485" s="1031"/>
      <c r="EFL485" s="1031"/>
      <c r="EFM485" s="1031"/>
      <c r="EFN485" s="1031"/>
      <c r="EFO485" s="1031"/>
      <c r="EFP485" s="1031"/>
      <c r="EFQ485" s="1031"/>
      <c r="EFR485" s="1031"/>
      <c r="EFS485" s="1031"/>
      <c r="EFT485" s="1031"/>
      <c r="EFU485" s="1031"/>
      <c r="EFV485" s="1031"/>
      <c r="EFW485" s="1031"/>
      <c r="EFX485" s="1031"/>
      <c r="EFY485" s="1031"/>
      <c r="EFZ485" s="1031"/>
      <c r="EGA485" s="1031"/>
      <c r="EGB485" s="1031"/>
      <c r="EGC485" s="1031"/>
      <c r="EGD485" s="1031"/>
      <c r="EGE485" s="1031"/>
      <c r="EGF485" s="1031"/>
      <c r="EGG485" s="1031"/>
      <c r="EGH485" s="1031"/>
      <c r="EGI485" s="1031"/>
      <c r="EGJ485" s="1031"/>
      <c r="EGK485" s="1031"/>
      <c r="EGL485" s="1031"/>
      <c r="EGM485" s="1031"/>
      <c r="EGN485" s="1031"/>
      <c r="EGO485" s="1031"/>
      <c r="EGP485" s="1031"/>
      <c r="EGQ485" s="1031"/>
      <c r="EGR485" s="1031"/>
      <c r="EGS485" s="1031"/>
      <c r="EGT485" s="1031"/>
      <c r="EGU485" s="1031"/>
      <c r="EGV485" s="1031"/>
      <c r="EGW485" s="1031"/>
      <c r="EGX485" s="1031"/>
      <c r="EGY485" s="1031"/>
      <c r="EGZ485" s="1031"/>
      <c r="EHA485" s="1031"/>
      <c r="EHB485" s="1031"/>
      <c r="EHC485" s="1031"/>
      <c r="EHD485" s="1031"/>
      <c r="EHE485" s="1031"/>
      <c r="EHF485" s="1031"/>
      <c r="EHG485" s="1031"/>
      <c r="EHH485" s="1031"/>
      <c r="EHI485" s="1031"/>
      <c r="EHJ485" s="1031"/>
      <c r="EHK485" s="1031"/>
      <c r="EHL485" s="1031"/>
      <c r="EHM485" s="1031"/>
      <c r="EHN485" s="1031"/>
      <c r="EHO485" s="1031"/>
      <c r="EHP485" s="1031"/>
      <c r="EHQ485" s="1031"/>
      <c r="EHR485" s="1031"/>
      <c r="EHS485" s="1031"/>
      <c r="EHT485" s="1031"/>
      <c r="EHU485" s="1031"/>
      <c r="EHV485" s="1031"/>
      <c r="EHW485" s="1031"/>
      <c r="EHX485" s="1031"/>
      <c r="EHY485" s="1031"/>
      <c r="EHZ485" s="1031"/>
      <c r="EIA485" s="1031"/>
      <c r="EIB485" s="1031"/>
      <c r="EIC485" s="1031"/>
      <c r="EID485" s="1031"/>
      <c r="EIE485" s="1031"/>
      <c r="EIF485" s="1031"/>
      <c r="EIG485" s="1031"/>
      <c r="EIH485" s="1031"/>
      <c r="EII485" s="1031"/>
      <c r="EIJ485" s="1031"/>
      <c r="EIK485" s="1031"/>
      <c r="EIL485" s="1031"/>
      <c r="EIM485" s="1031"/>
      <c r="EIN485" s="1031"/>
      <c r="EIO485" s="1031"/>
      <c r="EIP485" s="1031"/>
      <c r="EIQ485" s="1031"/>
      <c r="EIR485" s="1031"/>
      <c r="EIS485" s="1031"/>
      <c r="EIT485" s="1031"/>
      <c r="EIU485" s="1031"/>
      <c r="EIV485" s="1031"/>
      <c r="EIW485" s="1031"/>
      <c r="EIX485" s="1031"/>
      <c r="EIY485" s="1031"/>
      <c r="EIZ485" s="1031"/>
      <c r="EJA485" s="1031"/>
      <c r="EJB485" s="1031"/>
      <c r="EJC485" s="1031"/>
      <c r="EJD485" s="1031"/>
      <c r="EJE485" s="1031"/>
      <c r="EJF485" s="1031"/>
      <c r="EJG485" s="1031"/>
      <c r="EJH485" s="1031"/>
      <c r="EJI485" s="1031"/>
      <c r="EJJ485" s="1031"/>
      <c r="EJK485" s="1031"/>
      <c r="EJL485" s="1031"/>
      <c r="EJM485" s="1031"/>
      <c r="EJN485" s="1031"/>
      <c r="EJO485" s="1031"/>
      <c r="EJP485" s="1031"/>
      <c r="EJQ485" s="1031"/>
      <c r="EJR485" s="1031"/>
      <c r="EJS485" s="1031"/>
      <c r="EJT485" s="1031"/>
      <c r="EJU485" s="1031"/>
      <c r="EJV485" s="1031"/>
      <c r="EJW485" s="1031"/>
      <c r="EJX485" s="1031"/>
      <c r="EJY485" s="1031"/>
      <c r="EJZ485" s="1031"/>
      <c r="EKA485" s="1031"/>
      <c r="EKB485" s="1031"/>
      <c r="EKC485" s="1031"/>
      <c r="EKD485" s="1031"/>
      <c r="EKE485" s="1031"/>
      <c r="EKF485" s="1031"/>
      <c r="EKG485" s="1031"/>
      <c r="EKH485" s="1031"/>
      <c r="EKI485" s="1031"/>
      <c r="EKJ485" s="1031"/>
      <c r="EKK485" s="1031"/>
      <c r="EKL485" s="1031"/>
      <c r="EKM485" s="1031"/>
      <c r="EKN485" s="1031"/>
      <c r="EKO485" s="1031"/>
      <c r="EKP485" s="1031"/>
      <c r="EKQ485" s="1031"/>
      <c r="EKR485" s="1031"/>
      <c r="EKS485" s="1031"/>
      <c r="EKT485" s="1031"/>
      <c r="EKU485" s="1031"/>
      <c r="EKV485" s="1031"/>
      <c r="EKW485" s="1031"/>
      <c r="EKX485" s="1031"/>
      <c r="EKY485" s="1031"/>
      <c r="EKZ485" s="1031"/>
      <c r="ELA485" s="1031"/>
      <c r="ELB485" s="1031"/>
      <c r="ELC485" s="1031"/>
      <c r="ELD485" s="1031"/>
      <c r="ELE485" s="1031"/>
      <c r="ELF485" s="1031"/>
      <c r="ELG485" s="1031"/>
      <c r="ELH485" s="1031"/>
      <c r="ELI485" s="1031"/>
      <c r="ELJ485" s="1031"/>
      <c r="ELK485" s="1031"/>
      <c r="ELL485" s="1031"/>
      <c r="ELM485" s="1031"/>
      <c r="ELN485" s="1031"/>
      <c r="ELO485" s="1031"/>
      <c r="ELP485" s="1031"/>
      <c r="ELQ485" s="1031"/>
      <c r="ELR485" s="1031"/>
      <c r="ELS485" s="1031"/>
      <c r="ELT485" s="1031"/>
      <c r="ELU485" s="1031"/>
      <c r="ELV485" s="1031"/>
      <c r="ELW485" s="1031"/>
      <c r="ELX485" s="1031"/>
      <c r="ELY485" s="1031"/>
      <c r="ELZ485" s="1031"/>
      <c r="EMA485" s="1031"/>
      <c r="EMB485" s="1031"/>
      <c r="EMC485" s="1031"/>
      <c r="EMD485" s="1031"/>
      <c r="EME485" s="1031"/>
      <c r="EMF485" s="1031"/>
      <c r="EMG485" s="1031"/>
      <c r="EMH485" s="1031"/>
      <c r="EMI485" s="1031"/>
      <c r="EMJ485" s="1031"/>
      <c r="EMK485" s="1031"/>
      <c r="EML485" s="1031"/>
      <c r="EMM485" s="1031"/>
      <c r="EMN485" s="1031"/>
      <c r="EMO485" s="1031"/>
      <c r="EMP485" s="1031"/>
      <c r="EMQ485" s="1031"/>
      <c r="EMR485" s="1031"/>
      <c r="EMS485" s="1031"/>
      <c r="EMT485" s="1031"/>
      <c r="EMU485" s="1031"/>
      <c r="EMV485" s="1031"/>
      <c r="EMW485" s="1031"/>
      <c r="EMX485" s="1031"/>
      <c r="EMY485" s="1031"/>
      <c r="EMZ485" s="1031"/>
      <c r="ENA485" s="1031"/>
      <c r="ENB485" s="1031"/>
      <c r="ENC485" s="1031"/>
      <c r="END485" s="1031"/>
      <c r="ENE485" s="1031"/>
      <c r="ENF485" s="1031"/>
      <c r="ENG485" s="1031"/>
      <c r="ENH485" s="1031"/>
      <c r="ENI485" s="1031"/>
      <c r="ENJ485" s="1031"/>
      <c r="ENK485" s="1031"/>
      <c r="ENL485" s="1031"/>
      <c r="ENM485" s="1031"/>
      <c r="ENN485" s="1031"/>
      <c r="ENO485" s="1031"/>
      <c r="ENP485" s="1031"/>
      <c r="ENQ485" s="1031"/>
      <c r="ENR485" s="1031"/>
      <c r="ENS485" s="1031"/>
      <c r="ENT485" s="1031"/>
      <c r="ENU485" s="1031"/>
      <c r="ENV485" s="1031"/>
      <c r="ENW485" s="1031"/>
      <c r="ENX485" s="1031"/>
      <c r="ENY485" s="1031"/>
      <c r="ENZ485" s="1031"/>
      <c r="EOA485" s="1031"/>
      <c r="EOB485" s="1031"/>
      <c r="EOC485" s="1031"/>
      <c r="EOD485" s="1031"/>
      <c r="EOE485" s="1031"/>
      <c r="EOF485" s="1031"/>
      <c r="EOG485" s="1031"/>
      <c r="EOH485" s="1031"/>
      <c r="EOI485" s="1031"/>
      <c r="EOJ485" s="1031"/>
      <c r="EOK485" s="1031"/>
      <c r="EOL485" s="1031"/>
      <c r="EOM485" s="1031"/>
      <c r="EON485" s="1031"/>
      <c r="EOO485" s="1031"/>
      <c r="EOP485" s="1031"/>
      <c r="EOQ485" s="1031"/>
      <c r="EOR485" s="1031"/>
      <c r="EOS485" s="1031"/>
      <c r="EOT485" s="1031"/>
      <c r="EOU485" s="1031"/>
      <c r="EOV485" s="1031"/>
      <c r="EOW485" s="1031"/>
      <c r="EOX485" s="1031"/>
      <c r="EOY485" s="1031"/>
      <c r="EOZ485" s="1031"/>
      <c r="EPA485" s="1031"/>
      <c r="EPB485" s="1031"/>
      <c r="EPC485" s="1031"/>
      <c r="EPD485" s="1031"/>
      <c r="EPE485" s="1031"/>
      <c r="EPF485" s="1031"/>
      <c r="EPG485" s="1031"/>
      <c r="EPH485" s="1031"/>
      <c r="EPI485" s="1031"/>
      <c r="EPJ485" s="1031"/>
      <c r="EPK485" s="1031"/>
      <c r="EPL485" s="1031"/>
      <c r="EPM485" s="1031"/>
      <c r="EPN485" s="1031"/>
      <c r="EPO485" s="1031"/>
      <c r="EPP485" s="1031"/>
      <c r="EPQ485" s="1031"/>
      <c r="EPR485" s="1031"/>
      <c r="EPS485" s="1031"/>
      <c r="EPT485" s="1031"/>
      <c r="EPU485" s="1031"/>
      <c r="EPV485" s="1031"/>
      <c r="EPW485" s="1031"/>
      <c r="EPX485" s="1031"/>
      <c r="EPY485" s="1031"/>
      <c r="EPZ485" s="1031"/>
      <c r="EQA485" s="1031"/>
      <c r="EQB485" s="1031"/>
      <c r="EQC485" s="1031"/>
      <c r="EQD485" s="1031"/>
      <c r="EQE485" s="1031"/>
      <c r="EQF485" s="1031"/>
      <c r="EQG485" s="1031"/>
      <c r="EQH485" s="1031"/>
      <c r="EQI485" s="1031"/>
      <c r="EQJ485" s="1031"/>
      <c r="EQK485" s="1031"/>
      <c r="EQL485" s="1031"/>
      <c r="EQM485" s="1031"/>
      <c r="EQN485" s="1031"/>
      <c r="EQO485" s="1031"/>
      <c r="EQP485" s="1031"/>
      <c r="EQQ485" s="1031"/>
      <c r="EQR485" s="1031"/>
      <c r="EQS485" s="1031"/>
      <c r="EQT485" s="1031"/>
      <c r="EQU485" s="1031"/>
      <c r="EQV485" s="1031"/>
      <c r="EQW485" s="1031"/>
      <c r="EQX485" s="1031"/>
      <c r="EQY485" s="1031"/>
      <c r="EQZ485" s="1031"/>
      <c r="ERA485" s="1031"/>
      <c r="ERB485" s="1031"/>
      <c r="ERC485" s="1031"/>
      <c r="ERD485" s="1031"/>
      <c r="ERE485" s="1031"/>
      <c r="ERF485" s="1031"/>
      <c r="ERG485" s="1031"/>
      <c r="ERH485" s="1031"/>
      <c r="ERI485" s="1031"/>
      <c r="ERJ485" s="1031"/>
      <c r="ERK485" s="1031"/>
      <c r="ERL485" s="1031"/>
      <c r="ERM485" s="1031"/>
      <c r="ERN485" s="1031"/>
      <c r="ERO485" s="1031"/>
      <c r="ERP485" s="1031"/>
      <c r="ERQ485" s="1031"/>
      <c r="ERR485" s="1031"/>
      <c r="ERS485" s="1031"/>
      <c r="ERT485" s="1031"/>
      <c r="ERU485" s="1031"/>
      <c r="ERV485" s="1031"/>
      <c r="ERW485" s="1031"/>
      <c r="ERX485" s="1031"/>
      <c r="ERY485" s="1031"/>
      <c r="ERZ485" s="1031"/>
      <c r="ESA485" s="1031"/>
      <c r="ESB485" s="1031"/>
      <c r="ESC485" s="1031"/>
      <c r="ESD485" s="1031"/>
      <c r="ESE485" s="1031"/>
      <c r="ESF485" s="1031"/>
      <c r="ESG485" s="1031"/>
      <c r="ESH485" s="1031"/>
      <c r="ESI485" s="1031"/>
      <c r="ESJ485" s="1031"/>
      <c r="ESK485" s="1031"/>
      <c r="ESL485" s="1031"/>
      <c r="ESM485" s="1031"/>
      <c r="ESN485" s="1031"/>
      <c r="ESO485" s="1031"/>
      <c r="ESP485" s="1031"/>
      <c r="ESQ485" s="1031"/>
      <c r="ESR485" s="1031"/>
      <c r="ESS485" s="1031"/>
      <c r="EST485" s="1031"/>
      <c r="ESU485" s="1031"/>
      <c r="ESV485" s="1031"/>
      <c r="ESW485" s="1031"/>
      <c r="ESX485" s="1031"/>
      <c r="ESY485" s="1031"/>
      <c r="ESZ485" s="1031"/>
      <c r="ETA485" s="1031"/>
      <c r="ETB485" s="1031"/>
      <c r="ETC485" s="1031"/>
      <c r="ETD485" s="1031"/>
      <c r="ETE485" s="1031"/>
      <c r="ETF485" s="1031"/>
      <c r="ETG485" s="1031"/>
      <c r="ETH485" s="1031"/>
      <c r="ETI485" s="1031"/>
      <c r="ETJ485" s="1031"/>
      <c r="ETK485" s="1031"/>
      <c r="ETL485" s="1031"/>
      <c r="ETM485" s="1031"/>
      <c r="ETN485" s="1031"/>
      <c r="ETO485" s="1031"/>
      <c r="ETP485" s="1031"/>
      <c r="ETQ485" s="1031"/>
      <c r="ETR485" s="1031"/>
      <c r="ETS485" s="1031"/>
      <c r="ETT485" s="1031"/>
      <c r="ETU485" s="1031"/>
      <c r="ETV485" s="1031"/>
      <c r="ETW485" s="1031"/>
      <c r="ETX485" s="1031"/>
      <c r="ETY485" s="1031"/>
      <c r="ETZ485" s="1031"/>
      <c r="EUA485" s="1031"/>
      <c r="EUB485" s="1031"/>
      <c r="EUC485" s="1031"/>
      <c r="EUD485" s="1031"/>
      <c r="EUE485" s="1031"/>
      <c r="EUF485" s="1031"/>
      <c r="EUG485" s="1031"/>
      <c r="EUH485" s="1031"/>
      <c r="EUI485" s="1031"/>
      <c r="EUJ485" s="1031"/>
      <c r="EUK485" s="1031"/>
      <c r="EUL485" s="1031"/>
      <c r="EUM485" s="1031"/>
      <c r="EUN485" s="1031"/>
      <c r="EUO485" s="1031"/>
      <c r="EUP485" s="1031"/>
      <c r="EUQ485" s="1031"/>
      <c r="EUR485" s="1031"/>
      <c r="EUS485" s="1031"/>
      <c r="EUT485" s="1031"/>
      <c r="EUU485" s="1031"/>
      <c r="EUV485" s="1031"/>
      <c r="EUW485" s="1031"/>
      <c r="EUX485" s="1031"/>
      <c r="EUY485" s="1031"/>
      <c r="EUZ485" s="1031"/>
      <c r="EVA485" s="1031"/>
      <c r="EVB485" s="1031"/>
      <c r="EVC485" s="1031"/>
      <c r="EVD485" s="1031"/>
      <c r="EVE485" s="1031"/>
      <c r="EVF485" s="1031"/>
      <c r="EVG485" s="1031"/>
      <c r="EVH485" s="1031"/>
      <c r="EVI485" s="1031"/>
      <c r="EVJ485" s="1031"/>
      <c r="EVK485" s="1031"/>
      <c r="EVL485" s="1031"/>
      <c r="EVM485" s="1031"/>
      <c r="EVN485" s="1031"/>
      <c r="EVO485" s="1031"/>
      <c r="EVP485" s="1031"/>
      <c r="EVQ485" s="1031"/>
      <c r="EVR485" s="1031"/>
      <c r="EVS485" s="1031"/>
      <c r="EVT485" s="1031"/>
      <c r="EVU485" s="1031"/>
      <c r="EVV485" s="1031"/>
      <c r="EVW485" s="1031"/>
      <c r="EVX485" s="1031"/>
      <c r="EVY485" s="1031"/>
      <c r="EVZ485" s="1031"/>
      <c r="EWA485" s="1031"/>
      <c r="EWB485" s="1031"/>
      <c r="EWC485" s="1031"/>
      <c r="EWD485" s="1031"/>
      <c r="EWE485" s="1031"/>
      <c r="EWF485" s="1031"/>
      <c r="EWG485" s="1031"/>
      <c r="EWH485" s="1031"/>
      <c r="EWI485" s="1031"/>
      <c r="EWJ485" s="1031"/>
      <c r="EWK485" s="1031"/>
      <c r="EWL485" s="1031"/>
      <c r="EWM485" s="1031"/>
      <c r="EWN485" s="1031"/>
      <c r="EWO485" s="1031"/>
      <c r="EWP485" s="1031"/>
      <c r="EWQ485" s="1031"/>
      <c r="EWR485" s="1031"/>
      <c r="EWS485" s="1031"/>
      <c r="EWT485" s="1031"/>
      <c r="EWU485" s="1031"/>
      <c r="EWV485" s="1031"/>
      <c r="EWW485" s="1031"/>
      <c r="EWX485" s="1031"/>
      <c r="EWY485" s="1031"/>
      <c r="EWZ485" s="1031"/>
      <c r="EXA485" s="1031"/>
      <c r="EXB485" s="1031"/>
      <c r="EXC485" s="1031"/>
      <c r="EXD485" s="1031"/>
      <c r="EXE485" s="1031"/>
      <c r="EXF485" s="1031"/>
      <c r="EXG485" s="1031"/>
      <c r="EXH485" s="1031"/>
      <c r="EXI485" s="1031"/>
      <c r="EXJ485" s="1031"/>
      <c r="EXK485" s="1031"/>
      <c r="EXL485" s="1031"/>
      <c r="EXM485" s="1031"/>
      <c r="EXN485" s="1031"/>
      <c r="EXO485" s="1031"/>
      <c r="EXP485" s="1031"/>
      <c r="EXQ485" s="1031"/>
      <c r="EXR485" s="1031"/>
      <c r="EXS485" s="1031"/>
      <c r="EXT485" s="1031"/>
      <c r="EXU485" s="1031"/>
      <c r="EXV485" s="1031"/>
      <c r="EXW485" s="1031"/>
      <c r="EXX485" s="1031"/>
      <c r="EXY485" s="1031"/>
      <c r="EXZ485" s="1031"/>
      <c r="EYA485" s="1031"/>
      <c r="EYB485" s="1031"/>
      <c r="EYC485" s="1031"/>
      <c r="EYD485" s="1031"/>
      <c r="EYE485" s="1031"/>
      <c r="EYF485" s="1031"/>
      <c r="EYG485" s="1031"/>
      <c r="EYH485" s="1031"/>
      <c r="EYI485" s="1031"/>
      <c r="EYJ485" s="1031"/>
      <c r="EYK485" s="1031"/>
      <c r="EYL485" s="1031"/>
      <c r="EYM485" s="1031"/>
      <c r="EYN485" s="1031"/>
      <c r="EYO485" s="1031"/>
      <c r="EYP485" s="1031"/>
      <c r="EYQ485" s="1031"/>
      <c r="EYR485" s="1031"/>
      <c r="EYS485" s="1031"/>
      <c r="EYT485" s="1031"/>
      <c r="EYU485" s="1031"/>
      <c r="EYV485" s="1031"/>
      <c r="EYW485" s="1031"/>
      <c r="EYX485" s="1031"/>
      <c r="EYY485" s="1031"/>
      <c r="EYZ485" s="1031"/>
      <c r="EZA485" s="1031"/>
      <c r="EZB485" s="1031"/>
      <c r="EZC485" s="1031"/>
      <c r="EZD485" s="1031"/>
      <c r="EZE485" s="1031"/>
      <c r="EZF485" s="1031"/>
      <c r="EZG485" s="1031"/>
      <c r="EZH485" s="1031"/>
      <c r="EZI485" s="1031"/>
      <c r="EZJ485" s="1031"/>
      <c r="EZK485" s="1031"/>
      <c r="EZL485" s="1031"/>
      <c r="EZM485" s="1031"/>
      <c r="EZN485" s="1031"/>
      <c r="EZO485" s="1031"/>
      <c r="EZP485" s="1031"/>
      <c r="EZQ485" s="1031"/>
      <c r="EZR485" s="1031"/>
      <c r="EZS485" s="1031"/>
      <c r="EZT485" s="1031"/>
      <c r="EZU485" s="1031"/>
      <c r="EZV485" s="1031"/>
      <c r="EZW485" s="1031"/>
      <c r="EZX485" s="1031"/>
      <c r="EZY485" s="1031"/>
      <c r="EZZ485" s="1031"/>
      <c r="FAA485" s="1031"/>
      <c r="FAB485" s="1031"/>
      <c r="FAC485" s="1031"/>
      <c r="FAD485" s="1031"/>
      <c r="FAE485" s="1031"/>
      <c r="FAF485" s="1031"/>
      <c r="FAG485" s="1031"/>
      <c r="FAH485" s="1031"/>
      <c r="FAI485" s="1031"/>
      <c r="FAJ485" s="1031"/>
      <c r="FAK485" s="1031"/>
      <c r="FAL485" s="1031"/>
      <c r="FAM485" s="1031"/>
      <c r="FAN485" s="1031"/>
      <c r="FAO485" s="1031"/>
      <c r="FAP485" s="1031"/>
      <c r="FAQ485" s="1031"/>
      <c r="FAR485" s="1031"/>
      <c r="FAS485" s="1031"/>
      <c r="FAT485" s="1031"/>
      <c r="FAU485" s="1031"/>
      <c r="FAV485" s="1031"/>
      <c r="FAW485" s="1031"/>
      <c r="FAX485" s="1031"/>
      <c r="FAY485" s="1031"/>
      <c r="FAZ485" s="1031"/>
      <c r="FBA485" s="1031"/>
      <c r="FBB485" s="1031"/>
      <c r="FBC485" s="1031"/>
      <c r="FBD485" s="1031"/>
      <c r="FBE485" s="1031"/>
      <c r="FBF485" s="1031"/>
      <c r="FBG485" s="1031"/>
      <c r="FBH485" s="1031"/>
      <c r="FBI485" s="1031"/>
      <c r="FBJ485" s="1031"/>
      <c r="FBK485" s="1031"/>
      <c r="FBL485" s="1031"/>
      <c r="FBM485" s="1031"/>
      <c r="FBN485" s="1031"/>
      <c r="FBO485" s="1031"/>
      <c r="FBP485" s="1031"/>
      <c r="FBQ485" s="1031"/>
      <c r="FBR485" s="1031"/>
      <c r="FBS485" s="1031"/>
      <c r="FBT485" s="1031"/>
      <c r="FBU485" s="1031"/>
      <c r="FBV485" s="1031"/>
      <c r="FBW485" s="1031"/>
      <c r="FBX485" s="1031"/>
      <c r="FBY485" s="1031"/>
      <c r="FBZ485" s="1031"/>
      <c r="FCA485" s="1031"/>
      <c r="FCB485" s="1031"/>
      <c r="FCC485" s="1031"/>
      <c r="FCD485" s="1031"/>
      <c r="FCE485" s="1031"/>
      <c r="FCF485" s="1031"/>
      <c r="FCG485" s="1031"/>
      <c r="FCH485" s="1031"/>
      <c r="FCI485" s="1031"/>
      <c r="FCJ485" s="1031"/>
      <c r="FCK485" s="1031"/>
      <c r="FCL485" s="1031"/>
      <c r="FCM485" s="1031"/>
      <c r="FCN485" s="1031"/>
      <c r="FCO485" s="1031"/>
      <c r="FCP485" s="1031"/>
      <c r="FCQ485" s="1031"/>
      <c r="FCR485" s="1031"/>
      <c r="FCS485" s="1031"/>
      <c r="FCT485" s="1031"/>
      <c r="FCU485" s="1031"/>
      <c r="FCV485" s="1031"/>
      <c r="FCW485" s="1031"/>
      <c r="FCX485" s="1031"/>
      <c r="FCY485" s="1031"/>
      <c r="FCZ485" s="1031"/>
      <c r="FDA485" s="1031"/>
      <c r="FDB485" s="1031"/>
      <c r="FDC485" s="1031"/>
      <c r="FDD485" s="1031"/>
      <c r="FDE485" s="1031"/>
      <c r="FDF485" s="1031"/>
      <c r="FDG485" s="1031"/>
      <c r="FDH485" s="1031"/>
      <c r="FDI485" s="1031"/>
      <c r="FDJ485" s="1031"/>
      <c r="FDK485" s="1031"/>
      <c r="FDL485" s="1031"/>
      <c r="FDM485" s="1031"/>
      <c r="FDN485" s="1031"/>
      <c r="FDO485" s="1031"/>
      <c r="FDP485" s="1031"/>
      <c r="FDQ485" s="1031"/>
      <c r="FDR485" s="1031"/>
      <c r="FDS485" s="1031"/>
      <c r="FDT485" s="1031"/>
      <c r="FDU485" s="1031"/>
      <c r="FDV485" s="1031"/>
      <c r="FDW485" s="1031"/>
      <c r="FDX485" s="1031"/>
      <c r="FDY485" s="1031"/>
      <c r="FDZ485" s="1031"/>
      <c r="FEA485" s="1031"/>
      <c r="FEB485" s="1031"/>
      <c r="FEC485" s="1031"/>
      <c r="FED485" s="1031"/>
      <c r="FEE485" s="1031"/>
      <c r="FEF485" s="1031"/>
      <c r="FEG485" s="1031"/>
      <c r="FEH485" s="1031"/>
      <c r="FEI485" s="1031"/>
      <c r="FEJ485" s="1031"/>
      <c r="FEK485" s="1031"/>
      <c r="FEL485" s="1031"/>
      <c r="FEM485" s="1031"/>
      <c r="FEN485" s="1031"/>
      <c r="FEO485" s="1031"/>
      <c r="FEP485" s="1031"/>
      <c r="FEQ485" s="1031"/>
      <c r="FER485" s="1031"/>
      <c r="FES485" s="1031"/>
      <c r="FET485" s="1031"/>
      <c r="FEU485" s="1031"/>
      <c r="FEV485" s="1031"/>
      <c r="FEW485" s="1031"/>
      <c r="FEX485" s="1031"/>
      <c r="FEY485" s="1031"/>
      <c r="FEZ485" s="1031"/>
      <c r="FFA485" s="1031"/>
      <c r="FFB485" s="1031"/>
      <c r="FFC485" s="1031"/>
      <c r="FFD485" s="1031"/>
      <c r="FFE485" s="1031"/>
      <c r="FFF485" s="1031"/>
      <c r="FFG485" s="1031"/>
      <c r="FFH485" s="1031"/>
      <c r="FFI485" s="1031"/>
      <c r="FFJ485" s="1031"/>
      <c r="FFK485" s="1031"/>
      <c r="FFL485" s="1031"/>
      <c r="FFM485" s="1031"/>
      <c r="FFN485" s="1031"/>
      <c r="FFO485" s="1031"/>
      <c r="FFP485" s="1031"/>
      <c r="FFQ485" s="1031"/>
      <c r="FFR485" s="1031"/>
      <c r="FFS485" s="1031"/>
      <c r="FFT485" s="1031"/>
      <c r="FFU485" s="1031"/>
      <c r="FFV485" s="1031"/>
      <c r="FFW485" s="1031"/>
      <c r="FFX485" s="1031"/>
      <c r="FFY485" s="1031"/>
      <c r="FFZ485" s="1031"/>
      <c r="FGA485" s="1031"/>
      <c r="FGB485" s="1031"/>
      <c r="FGC485" s="1031"/>
      <c r="FGD485" s="1031"/>
      <c r="FGE485" s="1031"/>
      <c r="FGF485" s="1031"/>
      <c r="FGG485" s="1031"/>
      <c r="FGH485" s="1031"/>
      <c r="FGI485" s="1031"/>
      <c r="FGJ485" s="1031"/>
      <c r="FGK485" s="1031"/>
      <c r="FGL485" s="1031"/>
      <c r="FGM485" s="1031"/>
      <c r="FGN485" s="1031"/>
      <c r="FGO485" s="1031"/>
      <c r="FGP485" s="1031"/>
      <c r="FGQ485" s="1031"/>
      <c r="FGR485" s="1031"/>
      <c r="FGS485" s="1031"/>
      <c r="FGT485" s="1031"/>
      <c r="FGU485" s="1031"/>
      <c r="FGV485" s="1031"/>
      <c r="FGW485" s="1031"/>
      <c r="FGX485" s="1031"/>
      <c r="FGY485" s="1031"/>
      <c r="FGZ485" s="1031"/>
      <c r="FHA485" s="1031"/>
      <c r="FHB485" s="1031"/>
      <c r="FHC485" s="1031"/>
      <c r="FHD485" s="1031"/>
      <c r="FHE485" s="1031"/>
      <c r="FHF485" s="1031"/>
      <c r="FHG485" s="1031"/>
      <c r="FHH485" s="1031"/>
      <c r="FHI485" s="1031"/>
      <c r="FHJ485" s="1031"/>
      <c r="FHK485" s="1031"/>
      <c r="FHL485" s="1031"/>
      <c r="FHM485" s="1031"/>
      <c r="FHN485" s="1031"/>
      <c r="FHO485" s="1031"/>
      <c r="FHP485" s="1031"/>
      <c r="FHQ485" s="1031"/>
      <c r="FHR485" s="1031"/>
      <c r="FHS485" s="1031"/>
      <c r="FHT485" s="1031"/>
      <c r="FHU485" s="1031"/>
      <c r="FHV485" s="1031"/>
      <c r="FHW485" s="1031"/>
      <c r="FHX485" s="1031"/>
      <c r="FHY485" s="1031"/>
      <c r="FHZ485" s="1031"/>
      <c r="FIA485" s="1031"/>
      <c r="FIB485" s="1031"/>
      <c r="FIC485" s="1031"/>
      <c r="FID485" s="1031"/>
      <c r="FIE485" s="1031"/>
      <c r="FIF485" s="1031"/>
      <c r="FIG485" s="1031"/>
      <c r="FIH485" s="1031"/>
      <c r="FII485" s="1031"/>
      <c r="FIJ485" s="1031"/>
      <c r="FIK485" s="1031"/>
      <c r="FIL485" s="1031"/>
      <c r="FIM485" s="1031"/>
      <c r="FIN485" s="1031"/>
      <c r="FIO485" s="1031"/>
      <c r="FIP485" s="1031"/>
      <c r="FIQ485" s="1031"/>
      <c r="FIR485" s="1031"/>
      <c r="FIS485" s="1031"/>
      <c r="FIT485" s="1031"/>
      <c r="FIU485" s="1031"/>
      <c r="FIV485" s="1031"/>
      <c r="FIW485" s="1031"/>
      <c r="FIX485" s="1031"/>
      <c r="FIY485" s="1031"/>
      <c r="FIZ485" s="1031"/>
      <c r="FJA485" s="1031"/>
      <c r="FJB485" s="1031"/>
      <c r="FJC485" s="1031"/>
      <c r="FJD485" s="1031"/>
      <c r="FJE485" s="1031"/>
      <c r="FJF485" s="1031"/>
      <c r="FJG485" s="1031"/>
      <c r="FJH485" s="1031"/>
      <c r="FJI485" s="1031"/>
      <c r="FJJ485" s="1031"/>
      <c r="FJK485" s="1031"/>
      <c r="FJL485" s="1031"/>
      <c r="FJM485" s="1031"/>
      <c r="FJN485" s="1031"/>
      <c r="FJO485" s="1031"/>
      <c r="FJP485" s="1031"/>
      <c r="FJQ485" s="1031"/>
      <c r="FJR485" s="1031"/>
      <c r="FJS485" s="1031"/>
      <c r="FJT485" s="1031"/>
      <c r="FJU485" s="1031"/>
      <c r="FJV485" s="1031"/>
      <c r="FJW485" s="1031"/>
      <c r="FJX485" s="1031"/>
      <c r="FJY485" s="1031"/>
      <c r="FJZ485" s="1031"/>
      <c r="FKA485" s="1031"/>
      <c r="FKB485" s="1031"/>
      <c r="FKC485" s="1031"/>
      <c r="FKD485" s="1031"/>
      <c r="FKE485" s="1031"/>
      <c r="FKF485" s="1031"/>
      <c r="FKG485" s="1031"/>
      <c r="FKH485" s="1031"/>
      <c r="FKI485" s="1031"/>
      <c r="FKJ485" s="1031"/>
      <c r="FKK485" s="1031"/>
      <c r="FKL485" s="1031"/>
      <c r="FKM485" s="1031"/>
      <c r="FKN485" s="1031"/>
      <c r="FKO485" s="1031"/>
      <c r="FKP485" s="1031"/>
      <c r="FKQ485" s="1031"/>
      <c r="FKR485" s="1031"/>
      <c r="FKS485" s="1031"/>
      <c r="FKT485" s="1031"/>
      <c r="FKU485" s="1031"/>
      <c r="FKV485" s="1031"/>
      <c r="FKW485" s="1031"/>
      <c r="FKX485" s="1031"/>
      <c r="FKY485" s="1031"/>
      <c r="FKZ485" s="1031"/>
      <c r="FLA485" s="1031"/>
      <c r="FLB485" s="1031"/>
      <c r="FLC485" s="1031"/>
      <c r="FLD485" s="1031"/>
      <c r="FLE485" s="1031"/>
      <c r="FLF485" s="1031"/>
      <c r="FLG485" s="1031"/>
      <c r="FLH485" s="1031"/>
      <c r="FLI485" s="1031"/>
      <c r="FLJ485" s="1031"/>
      <c r="FLK485" s="1031"/>
      <c r="FLL485" s="1031"/>
      <c r="FLM485" s="1031"/>
      <c r="FLN485" s="1031"/>
      <c r="FLO485" s="1031"/>
      <c r="FLP485" s="1031"/>
      <c r="FLQ485" s="1031"/>
      <c r="FLR485" s="1031"/>
      <c r="FLS485" s="1031"/>
      <c r="FLT485" s="1031"/>
      <c r="FLU485" s="1031"/>
      <c r="FLV485" s="1031"/>
      <c r="FLW485" s="1031"/>
      <c r="FLX485" s="1031"/>
      <c r="FLY485" s="1031"/>
      <c r="FLZ485" s="1031"/>
      <c r="FMA485" s="1031"/>
      <c r="FMB485" s="1031"/>
      <c r="FMC485" s="1031"/>
      <c r="FMD485" s="1031"/>
      <c r="FME485" s="1031"/>
      <c r="FMF485" s="1031"/>
      <c r="FMG485" s="1031"/>
      <c r="FMH485" s="1031"/>
      <c r="FMI485" s="1031"/>
      <c r="FMJ485" s="1031"/>
      <c r="FMK485" s="1031"/>
      <c r="FML485" s="1031"/>
      <c r="FMM485" s="1031"/>
      <c r="FMN485" s="1031"/>
      <c r="FMO485" s="1031"/>
      <c r="FMP485" s="1031"/>
      <c r="FMQ485" s="1031"/>
      <c r="FMR485" s="1031"/>
      <c r="FMS485" s="1031"/>
      <c r="FMT485" s="1031"/>
      <c r="FMU485" s="1031"/>
      <c r="FMV485" s="1031"/>
      <c r="FMW485" s="1031"/>
      <c r="FMX485" s="1031"/>
      <c r="FMY485" s="1031"/>
      <c r="FMZ485" s="1031"/>
      <c r="FNA485" s="1031"/>
      <c r="FNB485" s="1031"/>
      <c r="FNC485" s="1031"/>
      <c r="FND485" s="1031"/>
      <c r="FNE485" s="1031"/>
      <c r="FNF485" s="1031"/>
      <c r="FNG485" s="1031"/>
      <c r="FNH485" s="1031"/>
      <c r="FNI485" s="1031"/>
      <c r="FNJ485" s="1031"/>
      <c r="FNK485" s="1031"/>
      <c r="FNL485" s="1031"/>
      <c r="FNM485" s="1031"/>
      <c r="FNN485" s="1031"/>
      <c r="FNO485" s="1031"/>
      <c r="FNP485" s="1031"/>
      <c r="FNQ485" s="1031"/>
      <c r="FNR485" s="1031"/>
      <c r="FNS485" s="1031"/>
      <c r="FNT485" s="1031"/>
      <c r="FNU485" s="1031"/>
      <c r="FNV485" s="1031"/>
      <c r="FNW485" s="1031"/>
      <c r="FNX485" s="1031"/>
      <c r="FNY485" s="1031"/>
      <c r="FNZ485" s="1031"/>
      <c r="FOA485" s="1031"/>
      <c r="FOB485" s="1031"/>
      <c r="FOC485" s="1031"/>
      <c r="FOD485" s="1031"/>
      <c r="FOE485" s="1031"/>
      <c r="FOF485" s="1031"/>
      <c r="FOG485" s="1031"/>
      <c r="FOH485" s="1031"/>
      <c r="FOI485" s="1031"/>
      <c r="FOJ485" s="1031"/>
      <c r="FOK485" s="1031"/>
      <c r="FOL485" s="1031"/>
      <c r="FOM485" s="1031"/>
      <c r="FON485" s="1031"/>
      <c r="FOO485" s="1031"/>
      <c r="FOP485" s="1031"/>
      <c r="FOQ485" s="1031"/>
      <c r="FOR485" s="1031"/>
      <c r="FOS485" s="1031"/>
      <c r="FOT485" s="1031"/>
      <c r="FOU485" s="1031"/>
      <c r="FOV485" s="1031"/>
      <c r="FOW485" s="1031"/>
      <c r="FOX485" s="1031"/>
      <c r="FOY485" s="1031"/>
      <c r="FOZ485" s="1031"/>
      <c r="FPA485" s="1031"/>
      <c r="FPB485" s="1031"/>
      <c r="FPC485" s="1031"/>
      <c r="FPD485" s="1031"/>
      <c r="FPE485" s="1031"/>
      <c r="FPF485" s="1031"/>
      <c r="FPG485" s="1031"/>
      <c r="FPH485" s="1031"/>
      <c r="FPI485" s="1031"/>
      <c r="FPJ485" s="1031"/>
      <c r="FPK485" s="1031"/>
      <c r="FPL485" s="1031"/>
      <c r="FPM485" s="1031"/>
      <c r="FPN485" s="1031"/>
      <c r="FPO485" s="1031"/>
      <c r="FPP485" s="1031"/>
      <c r="FPQ485" s="1031"/>
      <c r="FPR485" s="1031"/>
      <c r="FPS485" s="1031"/>
      <c r="FPT485" s="1031"/>
      <c r="FPU485" s="1031"/>
      <c r="FPV485" s="1031"/>
      <c r="FPW485" s="1031"/>
      <c r="FPX485" s="1031"/>
      <c r="FPY485" s="1031"/>
      <c r="FPZ485" s="1031"/>
      <c r="FQA485" s="1031"/>
      <c r="FQB485" s="1031"/>
      <c r="FQC485" s="1031"/>
      <c r="FQD485" s="1031"/>
      <c r="FQE485" s="1031"/>
      <c r="FQF485" s="1031"/>
      <c r="FQG485" s="1031"/>
      <c r="FQH485" s="1031"/>
      <c r="FQI485" s="1031"/>
      <c r="FQJ485" s="1031"/>
      <c r="FQK485" s="1031"/>
      <c r="FQL485" s="1031"/>
      <c r="FQM485" s="1031"/>
      <c r="FQN485" s="1031"/>
      <c r="FQO485" s="1031"/>
      <c r="FQP485" s="1031"/>
      <c r="FQQ485" s="1031"/>
      <c r="FQR485" s="1031"/>
      <c r="FQS485" s="1031"/>
      <c r="FQT485" s="1031"/>
      <c r="FQU485" s="1031"/>
      <c r="FQV485" s="1031"/>
      <c r="FQW485" s="1031"/>
      <c r="FQX485" s="1031"/>
      <c r="FQY485" s="1031"/>
      <c r="FQZ485" s="1031"/>
      <c r="FRA485" s="1031"/>
      <c r="FRB485" s="1031"/>
      <c r="FRC485" s="1031"/>
      <c r="FRD485" s="1031"/>
      <c r="FRE485" s="1031"/>
      <c r="FRF485" s="1031"/>
      <c r="FRG485" s="1031"/>
      <c r="FRH485" s="1031"/>
      <c r="FRI485" s="1031"/>
      <c r="FRJ485" s="1031"/>
      <c r="FRK485" s="1031"/>
      <c r="FRL485" s="1031"/>
      <c r="FRM485" s="1031"/>
      <c r="FRN485" s="1031"/>
      <c r="FRO485" s="1031"/>
      <c r="FRP485" s="1031"/>
      <c r="FRQ485" s="1031"/>
      <c r="FRR485" s="1031"/>
      <c r="FRS485" s="1031"/>
      <c r="FRT485" s="1031"/>
      <c r="FRU485" s="1031"/>
      <c r="FRV485" s="1031"/>
      <c r="FRW485" s="1031"/>
      <c r="FRX485" s="1031"/>
      <c r="FRY485" s="1031"/>
      <c r="FRZ485" s="1031"/>
      <c r="FSA485" s="1031"/>
      <c r="FSB485" s="1031"/>
      <c r="FSC485" s="1031"/>
      <c r="FSD485" s="1031"/>
      <c r="FSE485" s="1031"/>
      <c r="FSF485" s="1031"/>
      <c r="FSG485" s="1031"/>
      <c r="FSH485" s="1031"/>
      <c r="FSI485" s="1031"/>
      <c r="FSJ485" s="1031"/>
      <c r="FSK485" s="1031"/>
      <c r="FSL485" s="1031"/>
      <c r="FSM485" s="1031"/>
      <c r="FSN485" s="1031"/>
      <c r="FSO485" s="1031"/>
      <c r="FSP485" s="1031"/>
      <c r="FSQ485" s="1031"/>
      <c r="FSR485" s="1031"/>
      <c r="FSS485" s="1031"/>
      <c r="FST485" s="1031"/>
      <c r="FSU485" s="1031"/>
      <c r="FSV485" s="1031"/>
      <c r="FSW485" s="1031"/>
      <c r="FSX485" s="1031"/>
      <c r="FSY485" s="1031"/>
      <c r="FSZ485" s="1031"/>
      <c r="FTA485" s="1031"/>
      <c r="FTB485" s="1031"/>
      <c r="FTC485" s="1031"/>
      <c r="FTD485" s="1031"/>
      <c r="FTE485" s="1031"/>
      <c r="FTF485" s="1031"/>
      <c r="FTG485" s="1031"/>
      <c r="FTH485" s="1031"/>
      <c r="FTI485" s="1031"/>
      <c r="FTJ485" s="1031"/>
      <c r="FTK485" s="1031"/>
      <c r="FTL485" s="1031"/>
      <c r="FTM485" s="1031"/>
      <c r="FTN485" s="1031"/>
      <c r="FTO485" s="1031"/>
      <c r="FTP485" s="1031"/>
      <c r="FTQ485" s="1031"/>
      <c r="FTR485" s="1031"/>
      <c r="FTS485" s="1031"/>
      <c r="FTT485" s="1031"/>
      <c r="FTU485" s="1031"/>
      <c r="FTV485" s="1031"/>
      <c r="FTW485" s="1031"/>
      <c r="FTX485" s="1031"/>
      <c r="FTY485" s="1031"/>
      <c r="FTZ485" s="1031"/>
      <c r="FUA485" s="1031"/>
      <c r="FUB485" s="1031"/>
      <c r="FUC485" s="1031"/>
      <c r="FUD485" s="1031"/>
      <c r="FUE485" s="1031"/>
      <c r="FUF485" s="1031"/>
      <c r="FUG485" s="1031"/>
      <c r="FUH485" s="1031"/>
      <c r="FUI485" s="1031"/>
      <c r="FUJ485" s="1031"/>
      <c r="FUK485" s="1031"/>
      <c r="FUL485" s="1031"/>
      <c r="FUM485" s="1031"/>
      <c r="FUN485" s="1031"/>
      <c r="FUO485" s="1031"/>
      <c r="FUP485" s="1031"/>
      <c r="FUQ485" s="1031"/>
      <c r="FUR485" s="1031"/>
      <c r="FUS485" s="1031"/>
      <c r="FUT485" s="1031"/>
      <c r="FUU485" s="1031"/>
      <c r="FUV485" s="1031"/>
      <c r="FUW485" s="1031"/>
      <c r="FUX485" s="1031"/>
      <c r="FUY485" s="1031"/>
      <c r="FUZ485" s="1031"/>
      <c r="FVA485" s="1031"/>
      <c r="FVB485" s="1031"/>
      <c r="FVC485" s="1031"/>
      <c r="FVD485" s="1031"/>
      <c r="FVE485" s="1031"/>
      <c r="FVF485" s="1031"/>
      <c r="FVG485" s="1031"/>
      <c r="FVH485" s="1031"/>
      <c r="FVI485" s="1031"/>
      <c r="FVJ485" s="1031"/>
      <c r="FVK485" s="1031"/>
      <c r="FVL485" s="1031"/>
      <c r="FVM485" s="1031"/>
      <c r="FVN485" s="1031"/>
      <c r="FVO485" s="1031"/>
      <c r="FVP485" s="1031"/>
      <c r="FVQ485" s="1031"/>
      <c r="FVR485" s="1031"/>
      <c r="FVS485" s="1031"/>
      <c r="FVT485" s="1031"/>
      <c r="FVU485" s="1031"/>
      <c r="FVV485" s="1031"/>
      <c r="FVW485" s="1031"/>
      <c r="FVX485" s="1031"/>
      <c r="FVY485" s="1031"/>
      <c r="FVZ485" s="1031"/>
      <c r="FWA485" s="1031"/>
      <c r="FWB485" s="1031"/>
      <c r="FWC485" s="1031"/>
      <c r="FWD485" s="1031"/>
      <c r="FWE485" s="1031"/>
      <c r="FWF485" s="1031"/>
      <c r="FWG485" s="1031"/>
      <c r="FWH485" s="1031"/>
      <c r="FWI485" s="1031"/>
      <c r="FWJ485" s="1031"/>
      <c r="FWK485" s="1031"/>
      <c r="FWL485" s="1031"/>
      <c r="FWM485" s="1031"/>
      <c r="FWN485" s="1031"/>
      <c r="FWO485" s="1031"/>
      <c r="FWP485" s="1031"/>
      <c r="FWQ485" s="1031"/>
      <c r="FWR485" s="1031"/>
      <c r="FWS485" s="1031"/>
      <c r="FWT485" s="1031"/>
      <c r="FWU485" s="1031"/>
      <c r="FWV485" s="1031"/>
      <c r="FWW485" s="1031"/>
      <c r="FWX485" s="1031"/>
      <c r="FWY485" s="1031"/>
      <c r="FWZ485" s="1031"/>
      <c r="FXA485" s="1031"/>
      <c r="FXB485" s="1031"/>
      <c r="FXC485" s="1031"/>
      <c r="FXD485" s="1031"/>
      <c r="FXE485" s="1031"/>
      <c r="FXF485" s="1031"/>
      <c r="FXG485" s="1031"/>
      <c r="FXH485" s="1031"/>
      <c r="FXI485" s="1031"/>
      <c r="FXJ485" s="1031"/>
      <c r="FXK485" s="1031"/>
      <c r="FXL485" s="1031"/>
      <c r="FXM485" s="1031"/>
      <c r="FXN485" s="1031"/>
      <c r="FXO485" s="1031"/>
      <c r="FXP485" s="1031"/>
      <c r="FXQ485" s="1031"/>
      <c r="FXR485" s="1031"/>
      <c r="FXS485" s="1031"/>
      <c r="FXT485" s="1031"/>
      <c r="FXU485" s="1031"/>
      <c r="FXV485" s="1031"/>
      <c r="FXW485" s="1031"/>
      <c r="FXX485" s="1031"/>
      <c r="FXY485" s="1031"/>
      <c r="FXZ485" s="1031"/>
      <c r="FYA485" s="1031"/>
      <c r="FYB485" s="1031"/>
      <c r="FYC485" s="1031"/>
      <c r="FYD485" s="1031"/>
      <c r="FYE485" s="1031"/>
      <c r="FYF485" s="1031"/>
      <c r="FYG485" s="1031"/>
      <c r="FYH485" s="1031"/>
      <c r="FYI485" s="1031"/>
      <c r="FYJ485" s="1031"/>
      <c r="FYK485" s="1031"/>
      <c r="FYL485" s="1031"/>
      <c r="FYM485" s="1031"/>
      <c r="FYN485" s="1031"/>
      <c r="FYO485" s="1031"/>
      <c r="FYP485" s="1031"/>
      <c r="FYQ485" s="1031"/>
      <c r="FYR485" s="1031"/>
      <c r="FYS485" s="1031"/>
      <c r="FYT485" s="1031"/>
      <c r="FYU485" s="1031"/>
      <c r="FYV485" s="1031"/>
      <c r="FYW485" s="1031"/>
      <c r="FYX485" s="1031"/>
      <c r="FYY485" s="1031"/>
      <c r="FYZ485" s="1031"/>
      <c r="FZA485" s="1031"/>
      <c r="FZB485" s="1031"/>
      <c r="FZC485" s="1031"/>
      <c r="FZD485" s="1031"/>
      <c r="FZE485" s="1031"/>
      <c r="FZF485" s="1031"/>
      <c r="FZG485" s="1031"/>
      <c r="FZH485" s="1031"/>
      <c r="FZI485" s="1031"/>
      <c r="FZJ485" s="1031"/>
      <c r="FZK485" s="1031"/>
      <c r="FZL485" s="1031"/>
      <c r="FZM485" s="1031"/>
      <c r="FZN485" s="1031"/>
      <c r="FZO485" s="1031"/>
      <c r="FZP485" s="1031"/>
      <c r="FZQ485" s="1031"/>
      <c r="FZR485" s="1031"/>
      <c r="FZS485" s="1031"/>
      <c r="FZT485" s="1031"/>
      <c r="FZU485" s="1031"/>
      <c r="FZV485" s="1031"/>
      <c r="FZW485" s="1031"/>
      <c r="FZX485" s="1031"/>
      <c r="FZY485" s="1031"/>
      <c r="FZZ485" s="1031"/>
      <c r="GAA485" s="1031"/>
      <c r="GAB485" s="1031"/>
      <c r="GAC485" s="1031"/>
      <c r="GAD485" s="1031"/>
      <c r="GAE485" s="1031"/>
      <c r="GAF485" s="1031"/>
      <c r="GAG485" s="1031"/>
      <c r="GAH485" s="1031"/>
      <c r="GAI485" s="1031"/>
      <c r="GAJ485" s="1031"/>
      <c r="GAK485" s="1031"/>
      <c r="GAL485" s="1031"/>
      <c r="GAM485" s="1031"/>
      <c r="GAN485" s="1031"/>
      <c r="GAO485" s="1031"/>
      <c r="GAP485" s="1031"/>
      <c r="GAQ485" s="1031"/>
      <c r="GAR485" s="1031"/>
      <c r="GAS485" s="1031"/>
      <c r="GAT485" s="1031"/>
      <c r="GAU485" s="1031"/>
      <c r="GAV485" s="1031"/>
      <c r="GAW485" s="1031"/>
      <c r="GAX485" s="1031"/>
      <c r="GAY485" s="1031"/>
      <c r="GAZ485" s="1031"/>
      <c r="GBA485" s="1031"/>
      <c r="GBB485" s="1031"/>
      <c r="GBC485" s="1031"/>
      <c r="GBD485" s="1031"/>
      <c r="GBE485" s="1031"/>
      <c r="GBF485" s="1031"/>
      <c r="GBG485" s="1031"/>
      <c r="GBH485" s="1031"/>
      <c r="GBI485" s="1031"/>
      <c r="GBJ485" s="1031"/>
      <c r="GBK485" s="1031"/>
      <c r="GBL485" s="1031"/>
      <c r="GBM485" s="1031"/>
      <c r="GBN485" s="1031"/>
      <c r="GBO485" s="1031"/>
      <c r="GBP485" s="1031"/>
      <c r="GBQ485" s="1031"/>
      <c r="GBR485" s="1031"/>
      <c r="GBS485" s="1031"/>
      <c r="GBT485" s="1031"/>
      <c r="GBU485" s="1031"/>
      <c r="GBV485" s="1031"/>
      <c r="GBW485" s="1031"/>
      <c r="GBX485" s="1031"/>
      <c r="GBY485" s="1031"/>
      <c r="GBZ485" s="1031"/>
      <c r="GCA485" s="1031"/>
      <c r="GCB485" s="1031"/>
      <c r="GCC485" s="1031"/>
      <c r="GCD485" s="1031"/>
      <c r="GCE485" s="1031"/>
      <c r="GCF485" s="1031"/>
      <c r="GCG485" s="1031"/>
      <c r="GCH485" s="1031"/>
      <c r="GCI485" s="1031"/>
      <c r="GCJ485" s="1031"/>
      <c r="GCK485" s="1031"/>
      <c r="GCL485" s="1031"/>
      <c r="GCM485" s="1031"/>
      <c r="GCN485" s="1031"/>
      <c r="GCO485" s="1031"/>
      <c r="GCP485" s="1031"/>
      <c r="GCQ485" s="1031"/>
      <c r="GCR485" s="1031"/>
      <c r="GCS485" s="1031"/>
      <c r="GCT485" s="1031"/>
      <c r="GCU485" s="1031"/>
      <c r="GCV485" s="1031"/>
      <c r="GCW485" s="1031"/>
      <c r="GCX485" s="1031"/>
      <c r="GCY485" s="1031"/>
      <c r="GCZ485" s="1031"/>
      <c r="GDA485" s="1031"/>
      <c r="GDB485" s="1031"/>
      <c r="GDC485" s="1031"/>
      <c r="GDD485" s="1031"/>
      <c r="GDE485" s="1031"/>
      <c r="GDF485" s="1031"/>
      <c r="GDG485" s="1031"/>
      <c r="GDH485" s="1031"/>
      <c r="GDI485" s="1031"/>
      <c r="GDJ485" s="1031"/>
      <c r="GDK485" s="1031"/>
      <c r="GDL485" s="1031"/>
      <c r="GDM485" s="1031"/>
      <c r="GDN485" s="1031"/>
      <c r="GDO485" s="1031"/>
      <c r="GDP485" s="1031"/>
      <c r="GDQ485" s="1031"/>
      <c r="GDR485" s="1031"/>
      <c r="GDS485" s="1031"/>
      <c r="GDT485" s="1031"/>
      <c r="GDU485" s="1031"/>
      <c r="GDV485" s="1031"/>
      <c r="GDW485" s="1031"/>
      <c r="GDX485" s="1031"/>
      <c r="GDY485" s="1031"/>
      <c r="GDZ485" s="1031"/>
      <c r="GEA485" s="1031"/>
      <c r="GEB485" s="1031"/>
      <c r="GEC485" s="1031"/>
      <c r="GED485" s="1031"/>
      <c r="GEE485" s="1031"/>
      <c r="GEF485" s="1031"/>
      <c r="GEG485" s="1031"/>
      <c r="GEH485" s="1031"/>
      <c r="GEI485" s="1031"/>
      <c r="GEJ485" s="1031"/>
      <c r="GEK485" s="1031"/>
      <c r="GEL485" s="1031"/>
      <c r="GEM485" s="1031"/>
      <c r="GEN485" s="1031"/>
      <c r="GEO485" s="1031"/>
      <c r="GEP485" s="1031"/>
      <c r="GEQ485" s="1031"/>
      <c r="GER485" s="1031"/>
      <c r="GES485" s="1031"/>
      <c r="GET485" s="1031"/>
      <c r="GEU485" s="1031"/>
      <c r="GEV485" s="1031"/>
      <c r="GEW485" s="1031"/>
      <c r="GEX485" s="1031"/>
      <c r="GEY485" s="1031"/>
      <c r="GEZ485" s="1031"/>
      <c r="GFA485" s="1031"/>
      <c r="GFB485" s="1031"/>
      <c r="GFC485" s="1031"/>
      <c r="GFD485" s="1031"/>
      <c r="GFE485" s="1031"/>
      <c r="GFF485" s="1031"/>
      <c r="GFG485" s="1031"/>
      <c r="GFH485" s="1031"/>
      <c r="GFI485" s="1031"/>
      <c r="GFJ485" s="1031"/>
      <c r="GFK485" s="1031"/>
      <c r="GFL485" s="1031"/>
      <c r="GFM485" s="1031"/>
      <c r="GFN485" s="1031"/>
      <c r="GFO485" s="1031"/>
      <c r="GFP485" s="1031"/>
      <c r="GFQ485" s="1031"/>
      <c r="GFR485" s="1031"/>
      <c r="GFS485" s="1031"/>
      <c r="GFT485" s="1031"/>
      <c r="GFU485" s="1031"/>
      <c r="GFV485" s="1031"/>
      <c r="GFW485" s="1031"/>
      <c r="GFX485" s="1031"/>
      <c r="GFY485" s="1031"/>
      <c r="GFZ485" s="1031"/>
      <c r="GGA485" s="1031"/>
      <c r="GGB485" s="1031"/>
      <c r="GGC485" s="1031"/>
      <c r="GGD485" s="1031"/>
      <c r="GGE485" s="1031"/>
      <c r="GGF485" s="1031"/>
      <c r="GGG485" s="1031"/>
      <c r="GGH485" s="1031"/>
      <c r="GGI485" s="1031"/>
      <c r="GGJ485" s="1031"/>
      <c r="GGK485" s="1031"/>
      <c r="GGL485" s="1031"/>
      <c r="GGM485" s="1031"/>
      <c r="GGN485" s="1031"/>
      <c r="GGO485" s="1031"/>
      <c r="GGP485" s="1031"/>
      <c r="GGQ485" s="1031"/>
      <c r="GGR485" s="1031"/>
      <c r="GGS485" s="1031"/>
      <c r="GGT485" s="1031"/>
      <c r="GGU485" s="1031"/>
      <c r="GGV485" s="1031"/>
      <c r="GGW485" s="1031"/>
      <c r="GGX485" s="1031"/>
      <c r="GGY485" s="1031"/>
      <c r="GGZ485" s="1031"/>
      <c r="GHA485" s="1031"/>
      <c r="GHB485" s="1031"/>
      <c r="GHC485" s="1031"/>
      <c r="GHD485" s="1031"/>
      <c r="GHE485" s="1031"/>
      <c r="GHF485" s="1031"/>
      <c r="GHG485" s="1031"/>
      <c r="GHH485" s="1031"/>
      <c r="GHI485" s="1031"/>
      <c r="GHJ485" s="1031"/>
      <c r="GHK485" s="1031"/>
      <c r="GHL485" s="1031"/>
      <c r="GHM485" s="1031"/>
      <c r="GHN485" s="1031"/>
      <c r="GHO485" s="1031"/>
      <c r="GHP485" s="1031"/>
      <c r="GHQ485" s="1031"/>
      <c r="GHR485" s="1031"/>
      <c r="GHS485" s="1031"/>
      <c r="GHT485" s="1031"/>
      <c r="GHU485" s="1031"/>
      <c r="GHV485" s="1031"/>
      <c r="GHW485" s="1031"/>
      <c r="GHX485" s="1031"/>
      <c r="GHY485" s="1031"/>
      <c r="GHZ485" s="1031"/>
      <c r="GIA485" s="1031"/>
      <c r="GIB485" s="1031"/>
      <c r="GIC485" s="1031"/>
      <c r="GID485" s="1031"/>
      <c r="GIE485" s="1031"/>
      <c r="GIF485" s="1031"/>
      <c r="GIG485" s="1031"/>
      <c r="GIH485" s="1031"/>
      <c r="GII485" s="1031"/>
      <c r="GIJ485" s="1031"/>
      <c r="GIK485" s="1031"/>
      <c r="GIL485" s="1031"/>
      <c r="GIM485" s="1031"/>
      <c r="GIN485" s="1031"/>
      <c r="GIO485" s="1031"/>
      <c r="GIP485" s="1031"/>
      <c r="GIQ485" s="1031"/>
      <c r="GIR485" s="1031"/>
      <c r="GIS485" s="1031"/>
      <c r="GIT485" s="1031"/>
      <c r="GIU485" s="1031"/>
      <c r="GIV485" s="1031"/>
      <c r="GIW485" s="1031"/>
      <c r="GIX485" s="1031"/>
      <c r="GIY485" s="1031"/>
      <c r="GIZ485" s="1031"/>
      <c r="GJA485" s="1031"/>
      <c r="GJB485" s="1031"/>
      <c r="GJC485" s="1031"/>
      <c r="GJD485" s="1031"/>
      <c r="GJE485" s="1031"/>
      <c r="GJF485" s="1031"/>
      <c r="GJG485" s="1031"/>
      <c r="GJH485" s="1031"/>
      <c r="GJI485" s="1031"/>
      <c r="GJJ485" s="1031"/>
      <c r="GJK485" s="1031"/>
      <c r="GJL485" s="1031"/>
      <c r="GJM485" s="1031"/>
      <c r="GJN485" s="1031"/>
      <c r="GJO485" s="1031"/>
      <c r="GJP485" s="1031"/>
      <c r="GJQ485" s="1031"/>
      <c r="GJR485" s="1031"/>
      <c r="GJS485" s="1031"/>
      <c r="GJT485" s="1031"/>
      <c r="GJU485" s="1031"/>
      <c r="GJV485" s="1031"/>
      <c r="GJW485" s="1031"/>
      <c r="GJX485" s="1031"/>
      <c r="GJY485" s="1031"/>
      <c r="GJZ485" s="1031"/>
      <c r="GKA485" s="1031"/>
      <c r="GKB485" s="1031"/>
      <c r="GKC485" s="1031"/>
      <c r="GKD485" s="1031"/>
      <c r="GKE485" s="1031"/>
      <c r="GKF485" s="1031"/>
      <c r="GKG485" s="1031"/>
      <c r="GKH485" s="1031"/>
      <c r="GKI485" s="1031"/>
      <c r="GKJ485" s="1031"/>
      <c r="GKK485" s="1031"/>
      <c r="GKL485" s="1031"/>
      <c r="GKM485" s="1031"/>
      <c r="GKN485" s="1031"/>
      <c r="GKO485" s="1031"/>
      <c r="GKP485" s="1031"/>
      <c r="GKQ485" s="1031"/>
      <c r="GKR485" s="1031"/>
      <c r="GKS485" s="1031"/>
      <c r="GKT485" s="1031"/>
      <c r="GKU485" s="1031"/>
      <c r="GKV485" s="1031"/>
      <c r="GKW485" s="1031"/>
      <c r="GKX485" s="1031"/>
      <c r="GKY485" s="1031"/>
      <c r="GKZ485" s="1031"/>
      <c r="GLA485" s="1031"/>
      <c r="GLB485" s="1031"/>
      <c r="GLC485" s="1031"/>
      <c r="GLD485" s="1031"/>
      <c r="GLE485" s="1031"/>
      <c r="GLF485" s="1031"/>
      <c r="GLG485" s="1031"/>
      <c r="GLH485" s="1031"/>
      <c r="GLI485" s="1031"/>
      <c r="GLJ485" s="1031"/>
      <c r="GLK485" s="1031"/>
      <c r="GLL485" s="1031"/>
      <c r="GLM485" s="1031"/>
      <c r="GLN485" s="1031"/>
      <c r="GLO485" s="1031"/>
      <c r="GLP485" s="1031"/>
      <c r="GLQ485" s="1031"/>
      <c r="GLR485" s="1031"/>
      <c r="GLS485" s="1031"/>
      <c r="GLT485" s="1031"/>
      <c r="GLU485" s="1031"/>
      <c r="GLV485" s="1031"/>
      <c r="GLW485" s="1031"/>
      <c r="GLX485" s="1031"/>
      <c r="GLY485" s="1031"/>
      <c r="GLZ485" s="1031"/>
      <c r="GMA485" s="1031"/>
      <c r="GMB485" s="1031"/>
      <c r="GMC485" s="1031"/>
      <c r="GMD485" s="1031"/>
      <c r="GME485" s="1031"/>
      <c r="GMF485" s="1031"/>
      <c r="GMG485" s="1031"/>
      <c r="GMH485" s="1031"/>
      <c r="GMI485" s="1031"/>
      <c r="GMJ485" s="1031"/>
      <c r="GMK485" s="1031"/>
      <c r="GML485" s="1031"/>
      <c r="GMM485" s="1031"/>
      <c r="GMN485" s="1031"/>
      <c r="GMO485" s="1031"/>
      <c r="GMP485" s="1031"/>
      <c r="GMQ485" s="1031"/>
      <c r="GMR485" s="1031"/>
      <c r="GMS485" s="1031"/>
      <c r="GMT485" s="1031"/>
      <c r="GMU485" s="1031"/>
      <c r="GMV485" s="1031"/>
      <c r="GMW485" s="1031"/>
      <c r="GMX485" s="1031"/>
      <c r="GMY485" s="1031"/>
      <c r="GMZ485" s="1031"/>
      <c r="GNA485" s="1031"/>
      <c r="GNB485" s="1031"/>
      <c r="GNC485" s="1031"/>
      <c r="GND485" s="1031"/>
      <c r="GNE485" s="1031"/>
      <c r="GNF485" s="1031"/>
      <c r="GNG485" s="1031"/>
      <c r="GNH485" s="1031"/>
      <c r="GNI485" s="1031"/>
      <c r="GNJ485" s="1031"/>
      <c r="GNK485" s="1031"/>
      <c r="GNL485" s="1031"/>
      <c r="GNM485" s="1031"/>
      <c r="GNN485" s="1031"/>
      <c r="GNO485" s="1031"/>
      <c r="GNP485" s="1031"/>
      <c r="GNQ485" s="1031"/>
      <c r="GNR485" s="1031"/>
      <c r="GNS485" s="1031"/>
      <c r="GNT485" s="1031"/>
      <c r="GNU485" s="1031"/>
      <c r="GNV485" s="1031"/>
      <c r="GNW485" s="1031"/>
      <c r="GNX485" s="1031"/>
      <c r="GNY485" s="1031"/>
      <c r="GNZ485" s="1031"/>
      <c r="GOA485" s="1031"/>
      <c r="GOB485" s="1031"/>
      <c r="GOC485" s="1031"/>
      <c r="GOD485" s="1031"/>
      <c r="GOE485" s="1031"/>
      <c r="GOF485" s="1031"/>
      <c r="GOG485" s="1031"/>
      <c r="GOH485" s="1031"/>
      <c r="GOI485" s="1031"/>
      <c r="GOJ485" s="1031"/>
      <c r="GOK485" s="1031"/>
      <c r="GOL485" s="1031"/>
      <c r="GOM485" s="1031"/>
      <c r="GON485" s="1031"/>
      <c r="GOO485" s="1031"/>
      <c r="GOP485" s="1031"/>
      <c r="GOQ485" s="1031"/>
      <c r="GOR485" s="1031"/>
      <c r="GOS485" s="1031"/>
      <c r="GOT485" s="1031"/>
      <c r="GOU485" s="1031"/>
      <c r="GOV485" s="1031"/>
      <c r="GOW485" s="1031"/>
      <c r="GOX485" s="1031"/>
      <c r="GOY485" s="1031"/>
      <c r="GOZ485" s="1031"/>
      <c r="GPA485" s="1031"/>
      <c r="GPB485" s="1031"/>
      <c r="GPC485" s="1031"/>
      <c r="GPD485" s="1031"/>
      <c r="GPE485" s="1031"/>
      <c r="GPF485" s="1031"/>
      <c r="GPG485" s="1031"/>
      <c r="GPH485" s="1031"/>
      <c r="GPI485" s="1031"/>
      <c r="GPJ485" s="1031"/>
      <c r="GPK485" s="1031"/>
      <c r="GPL485" s="1031"/>
      <c r="GPM485" s="1031"/>
      <c r="GPN485" s="1031"/>
      <c r="GPO485" s="1031"/>
      <c r="GPP485" s="1031"/>
      <c r="GPQ485" s="1031"/>
      <c r="GPR485" s="1031"/>
      <c r="GPS485" s="1031"/>
      <c r="GPT485" s="1031"/>
      <c r="GPU485" s="1031"/>
      <c r="GPV485" s="1031"/>
      <c r="GPW485" s="1031"/>
      <c r="GPX485" s="1031"/>
      <c r="GPY485" s="1031"/>
      <c r="GPZ485" s="1031"/>
      <c r="GQA485" s="1031"/>
      <c r="GQB485" s="1031"/>
      <c r="GQC485" s="1031"/>
      <c r="GQD485" s="1031"/>
      <c r="GQE485" s="1031"/>
      <c r="GQF485" s="1031"/>
      <c r="GQG485" s="1031"/>
      <c r="GQH485" s="1031"/>
      <c r="GQI485" s="1031"/>
      <c r="GQJ485" s="1031"/>
      <c r="GQK485" s="1031"/>
      <c r="GQL485" s="1031"/>
      <c r="GQM485" s="1031"/>
      <c r="GQN485" s="1031"/>
      <c r="GQO485" s="1031"/>
      <c r="GQP485" s="1031"/>
      <c r="GQQ485" s="1031"/>
      <c r="GQR485" s="1031"/>
      <c r="GQS485" s="1031"/>
      <c r="GQT485" s="1031"/>
      <c r="GQU485" s="1031"/>
      <c r="GQV485" s="1031"/>
      <c r="GQW485" s="1031"/>
      <c r="GQX485" s="1031"/>
      <c r="GQY485" s="1031"/>
      <c r="GQZ485" s="1031"/>
      <c r="GRA485" s="1031"/>
      <c r="GRB485" s="1031"/>
      <c r="GRC485" s="1031"/>
      <c r="GRD485" s="1031"/>
      <c r="GRE485" s="1031"/>
      <c r="GRF485" s="1031"/>
      <c r="GRG485" s="1031"/>
      <c r="GRH485" s="1031"/>
      <c r="GRI485" s="1031"/>
      <c r="GRJ485" s="1031"/>
      <c r="GRK485" s="1031"/>
      <c r="GRL485" s="1031"/>
      <c r="GRM485" s="1031"/>
      <c r="GRN485" s="1031"/>
      <c r="GRO485" s="1031"/>
      <c r="GRP485" s="1031"/>
      <c r="GRQ485" s="1031"/>
      <c r="GRR485" s="1031"/>
      <c r="GRS485" s="1031"/>
      <c r="GRT485" s="1031"/>
      <c r="GRU485" s="1031"/>
      <c r="GRV485" s="1031"/>
      <c r="GRW485" s="1031"/>
      <c r="GRX485" s="1031"/>
      <c r="GRY485" s="1031"/>
      <c r="GRZ485" s="1031"/>
      <c r="GSA485" s="1031"/>
      <c r="GSB485" s="1031"/>
      <c r="GSC485" s="1031"/>
      <c r="GSD485" s="1031"/>
      <c r="GSE485" s="1031"/>
      <c r="GSF485" s="1031"/>
      <c r="GSG485" s="1031"/>
      <c r="GSH485" s="1031"/>
      <c r="GSI485" s="1031"/>
      <c r="GSJ485" s="1031"/>
      <c r="GSK485" s="1031"/>
      <c r="GSL485" s="1031"/>
      <c r="GSM485" s="1031"/>
      <c r="GSN485" s="1031"/>
      <c r="GSO485" s="1031"/>
      <c r="GSP485" s="1031"/>
      <c r="GSQ485" s="1031"/>
      <c r="GSR485" s="1031"/>
      <c r="GSS485" s="1031"/>
      <c r="GST485" s="1031"/>
      <c r="GSU485" s="1031"/>
      <c r="GSV485" s="1031"/>
      <c r="GSW485" s="1031"/>
      <c r="GSX485" s="1031"/>
      <c r="GSY485" s="1031"/>
      <c r="GSZ485" s="1031"/>
      <c r="GTA485" s="1031"/>
      <c r="GTB485" s="1031"/>
      <c r="GTC485" s="1031"/>
      <c r="GTD485" s="1031"/>
      <c r="GTE485" s="1031"/>
      <c r="GTF485" s="1031"/>
      <c r="GTG485" s="1031"/>
      <c r="GTH485" s="1031"/>
      <c r="GTI485" s="1031"/>
      <c r="GTJ485" s="1031"/>
      <c r="GTK485" s="1031"/>
      <c r="GTL485" s="1031"/>
      <c r="GTM485" s="1031"/>
      <c r="GTN485" s="1031"/>
      <c r="GTO485" s="1031"/>
      <c r="GTP485" s="1031"/>
      <c r="GTQ485" s="1031"/>
      <c r="GTR485" s="1031"/>
      <c r="GTS485" s="1031"/>
      <c r="GTT485" s="1031"/>
      <c r="GTU485" s="1031"/>
      <c r="GTV485" s="1031"/>
      <c r="GTW485" s="1031"/>
      <c r="GTX485" s="1031"/>
      <c r="GTY485" s="1031"/>
      <c r="GTZ485" s="1031"/>
      <c r="GUA485" s="1031"/>
      <c r="GUB485" s="1031"/>
      <c r="GUC485" s="1031"/>
      <c r="GUD485" s="1031"/>
      <c r="GUE485" s="1031"/>
      <c r="GUF485" s="1031"/>
      <c r="GUG485" s="1031"/>
      <c r="GUH485" s="1031"/>
      <c r="GUI485" s="1031"/>
      <c r="GUJ485" s="1031"/>
      <c r="GUK485" s="1031"/>
      <c r="GUL485" s="1031"/>
      <c r="GUM485" s="1031"/>
      <c r="GUN485" s="1031"/>
      <c r="GUO485" s="1031"/>
      <c r="GUP485" s="1031"/>
      <c r="GUQ485" s="1031"/>
      <c r="GUR485" s="1031"/>
      <c r="GUS485" s="1031"/>
      <c r="GUT485" s="1031"/>
      <c r="GUU485" s="1031"/>
      <c r="GUV485" s="1031"/>
      <c r="GUW485" s="1031"/>
      <c r="GUX485" s="1031"/>
      <c r="GUY485" s="1031"/>
      <c r="GUZ485" s="1031"/>
      <c r="GVA485" s="1031"/>
      <c r="GVB485" s="1031"/>
      <c r="GVC485" s="1031"/>
      <c r="GVD485" s="1031"/>
      <c r="GVE485" s="1031"/>
      <c r="GVF485" s="1031"/>
      <c r="GVG485" s="1031"/>
      <c r="GVH485" s="1031"/>
      <c r="GVI485" s="1031"/>
      <c r="GVJ485" s="1031"/>
      <c r="GVK485" s="1031"/>
      <c r="GVL485" s="1031"/>
      <c r="GVM485" s="1031"/>
      <c r="GVN485" s="1031"/>
      <c r="GVO485" s="1031"/>
      <c r="GVP485" s="1031"/>
      <c r="GVQ485" s="1031"/>
      <c r="GVR485" s="1031"/>
      <c r="GVS485" s="1031"/>
      <c r="GVT485" s="1031"/>
      <c r="GVU485" s="1031"/>
      <c r="GVV485" s="1031"/>
      <c r="GVW485" s="1031"/>
      <c r="GVX485" s="1031"/>
      <c r="GVY485" s="1031"/>
      <c r="GVZ485" s="1031"/>
      <c r="GWA485" s="1031"/>
      <c r="GWB485" s="1031"/>
      <c r="GWC485" s="1031"/>
      <c r="GWD485" s="1031"/>
      <c r="GWE485" s="1031"/>
      <c r="GWF485" s="1031"/>
      <c r="GWG485" s="1031"/>
      <c r="GWH485" s="1031"/>
      <c r="GWI485" s="1031"/>
      <c r="GWJ485" s="1031"/>
      <c r="GWK485" s="1031"/>
      <c r="GWL485" s="1031"/>
      <c r="GWM485" s="1031"/>
      <c r="GWN485" s="1031"/>
      <c r="GWO485" s="1031"/>
      <c r="GWP485" s="1031"/>
      <c r="GWQ485" s="1031"/>
      <c r="GWR485" s="1031"/>
      <c r="GWS485" s="1031"/>
      <c r="GWT485" s="1031"/>
      <c r="GWU485" s="1031"/>
      <c r="GWV485" s="1031"/>
      <c r="GWW485" s="1031"/>
      <c r="GWX485" s="1031"/>
      <c r="GWY485" s="1031"/>
      <c r="GWZ485" s="1031"/>
      <c r="GXA485" s="1031"/>
      <c r="GXB485" s="1031"/>
      <c r="GXC485" s="1031"/>
      <c r="GXD485" s="1031"/>
      <c r="GXE485" s="1031"/>
      <c r="GXF485" s="1031"/>
      <c r="GXG485" s="1031"/>
      <c r="GXH485" s="1031"/>
      <c r="GXI485" s="1031"/>
      <c r="GXJ485" s="1031"/>
      <c r="GXK485" s="1031"/>
      <c r="GXL485" s="1031"/>
      <c r="GXM485" s="1031"/>
      <c r="GXN485" s="1031"/>
      <c r="GXO485" s="1031"/>
      <c r="GXP485" s="1031"/>
      <c r="GXQ485" s="1031"/>
      <c r="GXR485" s="1031"/>
      <c r="GXS485" s="1031"/>
      <c r="GXT485" s="1031"/>
      <c r="GXU485" s="1031"/>
      <c r="GXV485" s="1031"/>
      <c r="GXW485" s="1031"/>
      <c r="GXX485" s="1031"/>
      <c r="GXY485" s="1031"/>
      <c r="GXZ485" s="1031"/>
      <c r="GYA485" s="1031"/>
      <c r="GYB485" s="1031"/>
      <c r="GYC485" s="1031"/>
      <c r="GYD485" s="1031"/>
      <c r="GYE485" s="1031"/>
      <c r="GYF485" s="1031"/>
      <c r="GYG485" s="1031"/>
      <c r="GYH485" s="1031"/>
      <c r="GYI485" s="1031"/>
      <c r="GYJ485" s="1031"/>
      <c r="GYK485" s="1031"/>
      <c r="GYL485" s="1031"/>
      <c r="GYM485" s="1031"/>
      <c r="GYN485" s="1031"/>
      <c r="GYO485" s="1031"/>
      <c r="GYP485" s="1031"/>
      <c r="GYQ485" s="1031"/>
      <c r="GYR485" s="1031"/>
      <c r="GYS485" s="1031"/>
      <c r="GYT485" s="1031"/>
      <c r="GYU485" s="1031"/>
      <c r="GYV485" s="1031"/>
      <c r="GYW485" s="1031"/>
      <c r="GYX485" s="1031"/>
      <c r="GYY485" s="1031"/>
      <c r="GYZ485" s="1031"/>
      <c r="GZA485" s="1031"/>
      <c r="GZB485" s="1031"/>
      <c r="GZC485" s="1031"/>
      <c r="GZD485" s="1031"/>
      <c r="GZE485" s="1031"/>
      <c r="GZF485" s="1031"/>
      <c r="GZG485" s="1031"/>
      <c r="GZH485" s="1031"/>
      <c r="GZI485" s="1031"/>
      <c r="GZJ485" s="1031"/>
      <c r="GZK485" s="1031"/>
      <c r="GZL485" s="1031"/>
      <c r="GZM485" s="1031"/>
      <c r="GZN485" s="1031"/>
      <c r="GZO485" s="1031"/>
      <c r="GZP485" s="1031"/>
      <c r="GZQ485" s="1031"/>
      <c r="GZR485" s="1031"/>
      <c r="GZS485" s="1031"/>
      <c r="GZT485" s="1031"/>
      <c r="GZU485" s="1031"/>
      <c r="GZV485" s="1031"/>
      <c r="GZW485" s="1031"/>
      <c r="GZX485" s="1031"/>
      <c r="GZY485" s="1031"/>
      <c r="GZZ485" s="1031"/>
      <c r="HAA485" s="1031"/>
      <c r="HAB485" s="1031"/>
      <c r="HAC485" s="1031"/>
      <c r="HAD485" s="1031"/>
      <c r="HAE485" s="1031"/>
      <c r="HAF485" s="1031"/>
      <c r="HAG485" s="1031"/>
      <c r="HAH485" s="1031"/>
      <c r="HAI485" s="1031"/>
      <c r="HAJ485" s="1031"/>
      <c r="HAK485" s="1031"/>
      <c r="HAL485" s="1031"/>
      <c r="HAM485" s="1031"/>
      <c r="HAN485" s="1031"/>
      <c r="HAO485" s="1031"/>
      <c r="HAP485" s="1031"/>
      <c r="HAQ485" s="1031"/>
      <c r="HAR485" s="1031"/>
      <c r="HAS485" s="1031"/>
      <c r="HAT485" s="1031"/>
      <c r="HAU485" s="1031"/>
      <c r="HAV485" s="1031"/>
      <c r="HAW485" s="1031"/>
      <c r="HAX485" s="1031"/>
      <c r="HAY485" s="1031"/>
      <c r="HAZ485" s="1031"/>
      <c r="HBA485" s="1031"/>
      <c r="HBB485" s="1031"/>
      <c r="HBC485" s="1031"/>
      <c r="HBD485" s="1031"/>
      <c r="HBE485" s="1031"/>
      <c r="HBF485" s="1031"/>
      <c r="HBG485" s="1031"/>
      <c r="HBH485" s="1031"/>
      <c r="HBI485" s="1031"/>
      <c r="HBJ485" s="1031"/>
      <c r="HBK485" s="1031"/>
      <c r="HBL485" s="1031"/>
      <c r="HBM485" s="1031"/>
      <c r="HBN485" s="1031"/>
      <c r="HBO485" s="1031"/>
      <c r="HBP485" s="1031"/>
      <c r="HBQ485" s="1031"/>
      <c r="HBR485" s="1031"/>
      <c r="HBS485" s="1031"/>
      <c r="HBT485" s="1031"/>
      <c r="HBU485" s="1031"/>
      <c r="HBV485" s="1031"/>
      <c r="HBW485" s="1031"/>
      <c r="HBX485" s="1031"/>
      <c r="HBY485" s="1031"/>
      <c r="HBZ485" s="1031"/>
      <c r="HCA485" s="1031"/>
      <c r="HCB485" s="1031"/>
      <c r="HCC485" s="1031"/>
      <c r="HCD485" s="1031"/>
      <c r="HCE485" s="1031"/>
      <c r="HCF485" s="1031"/>
      <c r="HCG485" s="1031"/>
      <c r="HCH485" s="1031"/>
      <c r="HCI485" s="1031"/>
      <c r="HCJ485" s="1031"/>
      <c r="HCK485" s="1031"/>
      <c r="HCL485" s="1031"/>
      <c r="HCM485" s="1031"/>
      <c r="HCN485" s="1031"/>
      <c r="HCO485" s="1031"/>
      <c r="HCP485" s="1031"/>
      <c r="HCQ485" s="1031"/>
      <c r="HCR485" s="1031"/>
      <c r="HCS485" s="1031"/>
      <c r="HCT485" s="1031"/>
      <c r="HCU485" s="1031"/>
      <c r="HCV485" s="1031"/>
      <c r="HCW485" s="1031"/>
      <c r="HCX485" s="1031"/>
      <c r="HCY485" s="1031"/>
      <c r="HCZ485" s="1031"/>
      <c r="HDA485" s="1031"/>
      <c r="HDB485" s="1031"/>
      <c r="HDC485" s="1031"/>
      <c r="HDD485" s="1031"/>
      <c r="HDE485" s="1031"/>
      <c r="HDF485" s="1031"/>
      <c r="HDG485" s="1031"/>
      <c r="HDH485" s="1031"/>
      <c r="HDI485" s="1031"/>
      <c r="HDJ485" s="1031"/>
      <c r="HDK485" s="1031"/>
      <c r="HDL485" s="1031"/>
      <c r="HDM485" s="1031"/>
      <c r="HDN485" s="1031"/>
      <c r="HDO485" s="1031"/>
      <c r="HDP485" s="1031"/>
      <c r="HDQ485" s="1031"/>
      <c r="HDR485" s="1031"/>
      <c r="HDS485" s="1031"/>
      <c r="HDT485" s="1031"/>
      <c r="HDU485" s="1031"/>
      <c r="HDV485" s="1031"/>
      <c r="HDW485" s="1031"/>
      <c r="HDX485" s="1031"/>
      <c r="HDY485" s="1031"/>
      <c r="HDZ485" s="1031"/>
      <c r="HEA485" s="1031"/>
      <c r="HEB485" s="1031"/>
      <c r="HEC485" s="1031"/>
      <c r="HED485" s="1031"/>
      <c r="HEE485" s="1031"/>
      <c r="HEF485" s="1031"/>
      <c r="HEG485" s="1031"/>
      <c r="HEH485" s="1031"/>
      <c r="HEI485" s="1031"/>
      <c r="HEJ485" s="1031"/>
      <c r="HEK485" s="1031"/>
      <c r="HEL485" s="1031"/>
      <c r="HEM485" s="1031"/>
      <c r="HEN485" s="1031"/>
      <c r="HEO485" s="1031"/>
      <c r="HEP485" s="1031"/>
      <c r="HEQ485" s="1031"/>
      <c r="HER485" s="1031"/>
      <c r="HES485" s="1031"/>
      <c r="HET485" s="1031"/>
      <c r="HEU485" s="1031"/>
      <c r="HEV485" s="1031"/>
      <c r="HEW485" s="1031"/>
      <c r="HEX485" s="1031"/>
      <c r="HEY485" s="1031"/>
      <c r="HEZ485" s="1031"/>
      <c r="HFA485" s="1031"/>
      <c r="HFB485" s="1031"/>
      <c r="HFC485" s="1031"/>
      <c r="HFD485" s="1031"/>
      <c r="HFE485" s="1031"/>
      <c r="HFF485" s="1031"/>
      <c r="HFG485" s="1031"/>
      <c r="HFH485" s="1031"/>
      <c r="HFI485" s="1031"/>
      <c r="HFJ485" s="1031"/>
      <c r="HFK485" s="1031"/>
      <c r="HFL485" s="1031"/>
      <c r="HFM485" s="1031"/>
      <c r="HFN485" s="1031"/>
      <c r="HFO485" s="1031"/>
      <c r="HFP485" s="1031"/>
      <c r="HFQ485" s="1031"/>
      <c r="HFR485" s="1031"/>
      <c r="HFS485" s="1031"/>
      <c r="HFT485" s="1031"/>
      <c r="HFU485" s="1031"/>
      <c r="HFV485" s="1031"/>
      <c r="HFW485" s="1031"/>
      <c r="HFX485" s="1031"/>
      <c r="HFY485" s="1031"/>
      <c r="HFZ485" s="1031"/>
      <c r="HGA485" s="1031"/>
      <c r="HGB485" s="1031"/>
      <c r="HGC485" s="1031"/>
      <c r="HGD485" s="1031"/>
      <c r="HGE485" s="1031"/>
      <c r="HGF485" s="1031"/>
      <c r="HGG485" s="1031"/>
      <c r="HGH485" s="1031"/>
      <c r="HGI485" s="1031"/>
      <c r="HGJ485" s="1031"/>
      <c r="HGK485" s="1031"/>
      <c r="HGL485" s="1031"/>
      <c r="HGM485" s="1031"/>
      <c r="HGN485" s="1031"/>
      <c r="HGO485" s="1031"/>
      <c r="HGP485" s="1031"/>
      <c r="HGQ485" s="1031"/>
      <c r="HGR485" s="1031"/>
      <c r="HGS485" s="1031"/>
      <c r="HGT485" s="1031"/>
      <c r="HGU485" s="1031"/>
      <c r="HGV485" s="1031"/>
      <c r="HGW485" s="1031"/>
      <c r="HGX485" s="1031"/>
      <c r="HGY485" s="1031"/>
      <c r="HGZ485" s="1031"/>
      <c r="HHA485" s="1031"/>
      <c r="HHB485" s="1031"/>
      <c r="HHC485" s="1031"/>
      <c r="HHD485" s="1031"/>
      <c r="HHE485" s="1031"/>
      <c r="HHF485" s="1031"/>
      <c r="HHG485" s="1031"/>
      <c r="HHH485" s="1031"/>
      <c r="HHI485" s="1031"/>
      <c r="HHJ485" s="1031"/>
      <c r="HHK485" s="1031"/>
      <c r="HHL485" s="1031"/>
      <c r="HHM485" s="1031"/>
      <c r="HHN485" s="1031"/>
      <c r="HHO485" s="1031"/>
      <c r="HHP485" s="1031"/>
      <c r="HHQ485" s="1031"/>
      <c r="HHR485" s="1031"/>
      <c r="HHS485" s="1031"/>
      <c r="HHT485" s="1031"/>
      <c r="HHU485" s="1031"/>
      <c r="HHV485" s="1031"/>
      <c r="HHW485" s="1031"/>
      <c r="HHX485" s="1031"/>
      <c r="HHY485" s="1031"/>
      <c r="HHZ485" s="1031"/>
      <c r="HIA485" s="1031"/>
      <c r="HIB485" s="1031"/>
      <c r="HIC485" s="1031"/>
      <c r="HID485" s="1031"/>
      <c r="HIE485" s="1031"/>
      <c r="HIF485" s="1031"/>
      <c r="HIG485" s="1031"/>
      <c r="HIH485" s="1031"/>
      <c r="HII485" s="1031"/>
      <c r="HIJ485" s="1031"/>
      <c r="HIK485" s="1031"/>
      <c r="HIL485" s="1031"/>
      <c r="HIM485" s="1031"/>
      <c r="HIN485" s="1031"/>
      <c r="HIO485" s="1031"/>
      <c r="HIP485" s="1031"/>
      <c r="HIQ485" s="1031"/>
      <c r="HIR485" s="1031"/>
      <c r="HIS485" s="1031"/>
      <c r="HIT485" s="1031"/>
      <c r="HIU485" s="1031"/>
      <c r="HIV485" s="1031"/>
      <c r="HIW485" s="1031"/>
      <c r="HIX485" s="1031"/>
      <c r="HIY485" s="1031"/>
      <c r="HIZ485" s="1031"/>
      <c r="HJA485" s="1031"/>
      <c r="HJB485" s="1031"/>
      <c r="HJC485" s="1031"/>
      <c r="HJD485" s="1031"/>
      <c r="HJE485" s="1031"/>
      <c r="HJF485" s="1031"/>
      <c r="HJG485" s="1031"/>
      <c r="HJH485" s="1031"/>
      <c r="HJI485" s="1031"/>
      <c r="HJJ485" s="1031"/>
      <c r="HJK485" s="1031"/>
      <c r="HJL485" s="1031"/>
      <c r="HJM485" s="1031"/>
      <c r="HJN485" s="1031"/>
      <c r="HJO485" s="1031"/>
      <c r="HJP485" s="1031"/>
      <c r="HJQ485" s="1031"/>
      <c r="HJR485" s="1031"/>
      <c r="HJS485" s="1031"/>
      <c r="HJT485" s="1031"/>
      <c r="HJU485" s="1031"/>
      <c r="HJV485" s="1031"/>
      <c r="HJW485" s="1031"/>
      <c r="HJX485" s="1031"/>
      <c r="HJY485" s="1031"/>
      <c r="HJZ485" s="1031"/>
      <c r="HKA485" s="1031"/>
      <c r="HKB485" s="1031"/>
      <c r="HKC485" s="1031"/>
      <c r="HKD485" s="1031"/>
      <c r="HKE485" s="1031"/>
      <c r="HKF485" s="1031"/>
      <c r="HKG485" s="1031"/>
      <c r="HKH485" s="1031"/>
      <c r="HKI485" s="1031"/>
      <c r="HKJ485" s="1031"/>
      <c r="HKK485" s="1031"/>
      <c r="HKL485" s="1031"/>
      <c r="HKM485" s="1031"/>
      <c r="HKN485" s="1031"/>
      <c r="HKO485" s="1031"/>
      <c r="HKP485" s="1031"/>
      <c r="HKQ485" s="1031"/>
      <c r="HKR485" s="1031"/>
      <c r="HKS485" s="1031"/>
      <c r="HKT485" s="1031"/>
      <c r="HKU485" s="1031"/>
      <c r="HKV485" s="1031"/>
      <c r="HKW485" s="1031"/>
      <c r="HKX485" s="1031"/>
      <c r="HKY485" s="1031"/>
      <c r="HKZ485" s="1031"/>
      <c r="HLA485" s="1031"/>
      <c r="HLB485" s="1031"/>
      <c r="HLC485" s="1031"/>
      <c r="HLD485" s="1031"/>
      <c r="HLE485" s="1031"/>
      <c r="HLF485" s="1031"/>
      <c r="HLG485" s="1031"/>
      <c r="HLH485" s="1031"/>
      <c r="HLI485" s="1031"/>
      <c r="HLJ485" s="1031"/>
      <c r="HLK485" s="1031"/>
      <c r="HLL485" s="1031"/>
      <c r="HLM485" s="1031"/>
      <c r="HLN485" s="1031"/>
      <c r="HLO485" s="1031"/>
      <c r="HLP485" s="1031"/>
      <c r="HLQ485" s="1031"/>
      <c r="HLR485" s="1031"/>
      <c r="HLS485" s="1031"/>
      <c r="HLT485" s="1031"/>
      <c r="HLU485" s="1031"/>
      <c r="HLV485" s="1031"/>
      <c r="HLW485" s="1031"/>
      <c r="HLX485" s="1031"/>
      <c r="HLY485" s="1031"/>
      <c r="HLZ485" s="1031"/>
      <c r="HMA485" s="1031"/>
      <c r="HMB485" s="1031"/>
      <c r="HMC485" s="1031"/>
      <c r="HMD485" s="1031"/>
      <c r="HME485" s="1031"/>
      <c r="HMF485" s="1031"/>
      <c r="HMG485" s="1031"/>
      <c r="HMH485" s="1031"/>
      <c r="HMI485" s="1031"/>
      <c r="HMJ485" s="1031"/>
      <c r="HMK485" s="1031"/>
      <c r="HML485" s="1031"/>
      <c r="HMM485" s="1031"/>
      <c r="HMN485" s="1031"/>
      <c r="HMO485" s="1031"/>
      <c r="HMP485" s="1031"/>
      <c r="HMQ485" s="1031"/>
      <c r="HMR485" s="1031"/>
      <c r="HMS485" s="1031"/>
      <c r="HMT485" s="1031"/>
      <c r="HMU485" s="1031"/>
      <c r="HMV485" s="1031"/>
      <c r="HMW485" s="1031"/>
      <c r="HMX485" s="1031"/>
      <c r="HMY485" s="1031"/>
      <c r="HMZ485" s="1031"/>
      <c r="HNA485" s="1031"/>
      <c r="HNB485" s="1031"/>
      <c r="HNC485" s="1031"/>
      <c r="HND485" s="1031"/>
      <c r="HNE485" s="1031"/>
      <c r="HNF485" s="1031"/>
      <c r="HNG485" s="1031"/>
      <c r="HNH485" s="1031"/>
      <c r="HNI485" s="1031"/>
      <c r="HNJ485" s="1031"/>
      <c r="HNK485" s="1031"/>
      <c r="HNL485" s="1031"/>
      <c r="HNM485" s="1031"/>
      <c r="HNN485" s="1031"/>
      <c r="HNO485" s="1031"/>
      <c r="HNP485" s="1031"/>
      <c r="HNQ485" s="1031"/>
      <c r="HNR485" s="1031"/>
      <c r="HNS485" s="1031"/>
      <c r="HNT485" s="1031"/>
      <c r="HNU485" s="1031"/>
      <c r="HNV485" s="1031"/>
      <c r="HNW485" s="1031"/>
      <c r="HNX485" s="1031"/>
      <c r="HNY485" s="1031"/>
      <c r="HNZ485" s="1031"/>
      <c r="HOA485" s="1031"/>
      <c r="HOB485" s="1031"/>
      <c r="HOC485" s="1031"/>
      <c r="HOD485" s="1031"/>
      <c r="HOE485" s="1031"/>
      <c r="HOF485" s="1031"/>
      <c r="HOG485" s="1031"/>
      <c r="HOH485" s="1031"/>
      <c r="HOI485" s="1031"/>
      <c r="HOJ485" s="1031"/>
      <c r="HOK485" s="1031"/>
      <c r="HOL485" s="1031"/>
      <c r="HOM485" s="1031"/>
      <c r="HON485" s="1031"/>
      <c r="HOO485" s="1031"/>
      <c r="HOP485" s="1031"/>
      <c r="HOQ485" s="1031"/>
      <c r="HOR485" s="1031"/>
      <c r="HOS485" s="1031"/>
      <c r="HOT485" s="1031"/>
      <c r="HOU485" s="1031"/>
      <c r="HOV485" s="1031"/>
      <c r="HOW485" s="1031"/>
      <c r="HOX485" s="1031"/>
      <c r="HOY485" s="1031"/>
      <c r="HOZ485" s="1031"/>
      <c r="HPA485" s="1031"/>
      <c r="HPB485" s="1031"/>
      <c r="HPC485" s="1031"/>
      <c r="HPD485" s="1031"/>
      <c r="HPE485" s="1031"/>
      <c r="HPF485" s="1031"/>
      <c r="HPG485" s="1031"/>
      <c r="HPH485" s="1031"/>
      <c r="HPI485" s="1031"/>
      <c r="HPJ485" s="1031"/>
      <c r="HPK485" s="1031"/>
      <c r="HPL485" s="1031"/>
      <c r="HPM485" s="1031"/>
      <c r="HPN485" s="1031"/>
      <c r="HPO485" s="1031"/>
      <c r="HPP485" s="1031"/>
      <c r="HPQ485" s="1031"/>
      <c r="HPR485" s="1031"/>
      <c r="HPS485" s="1031"/>
      <c r="HPT485" s="1031"/>
      <c r="HPU485" s="1031"/>
      <c r="HPV485" s="1031"/>
      <c r="HPW485" s="1031"/>
      <c r="HPX485" s="1031"/>
      <c r="HPY485" s="1031"/>
      <c r="HPZ485" s="1031"/>
      <c r="HQA485" s="1031"/>
      <c r="HQB485" s="1031"/>
      <c r="HQC485" s="1031"/>
      <c r="HQD485" s="1031"/>
      <c r="HQE485" s="1031"/>
      <c r="HQF485" s="1031"/>
      <c r="HQG485" s="1031"/>
      <c r="HQH485" s="1031"/>
      <c r="HQI485" s="1031"/>
      <c r="HQJ485" s="1031"/>
      <c r="HQK485" s="1031"/>
      <c r="HQL485" s="1031"/>
      <c r="HQM485" s="1031"/>
      <c r="HQN485" s="1031"/>
      <c r="HQO485" s="1031"/>
      <c r="HQP485" s="1031"/>
      <c r="HQQ485" s="1031"/>
      <c r="HQR485" s="1031"/>
      <c r="HQS485" s="1031"/>
      <c r="HQT485" s="1031"/>
      <c r="HQU485" s="1031"/>
      <c r="HQV485" s="1031"/>
      <c r="HQW485" s="1031"/>
      <c r="HQX485" s="1031"/>
      <c r="HQY485" s="1031"/>
      <c r="HQZ485" s="1031"/>
      <c r="HRA485" s="1031"/>
      <c r="HRB485" s="1031"/>
      <c r="HRC485" s="1031"/>
      <c r="HRD485" s="1031"/>
      <c r="HRE485" s="1031"/>
      <c r="HRF485" s="1031"/>
      <c r="HRG485" s="1031"/>
      <c r="HRH485" s="1031"/>
      <c r="HRI485" s="1031"/>
      <c r="HRJ485" s="1031"/>
      <c r="HRK485" s="1031"/>
      <c r="HRL485" s="1031"/>
      <c r="HRM485" s="1031"/>
      <c r="HRN485" s="1031"/>
      <c r="HRO485" s="1031"/>
      <c r="HRP485" s="1031"/>
      <c r="HRQ485" s="1031"/>
      <c r="HRR485" s="1031"/>
      <c r="HRS485" s="1031"/>
      <c r="HRT485" s="1031"/>
      <c r="HRU485" s="1031"/>
      <c r="HRV485" s="1031"/>
      <c r="HRW485" s="1031"/>
      <c r="HRX485" s="1031"/>
      <c r="HRY485" s="1031"/>
      <c r="HRZ485" s="1031"/>
      <c r="HSA485" s="1031"/>
      <c r="HSB485" s="1031"/>
      <c r="HSC485" s="1031"/>
      <c r="HSD485" s="1031"/>
      <c r="HSE485" s="1031"/>
      <c r="HSF485" s="1031"/>
      <c r="HSG485" s="1031"/>
      <c r="HSH485" s="1031"/>
      <c r="HSI485" s="1031"/>
      <c r="HSJ485" s="1031"/>
      <c r="HSK485" s="1031"/>
      <c r="HSL485" s="1031"/>
      <c r="HSM485" s="1031"/>
      <c r="HSN485" s="1031"/>
      <c r="HSO485" s="1031"/>
      <c r="HSP485" s="1031"/>
      <c r="HSQ485" s="1031"/>
      <c r="HSR485" s="1031"/>
      <c r="HSS485" s="1031"/>
      <c r="HST485" s="1031"/>
      <c r="HSU485" s="1031"/>
      <c r="HSV485" s="1031"/>
      <c r="HSW485" s="1031"/>
      <c r="HSX485" s="1031"/>
      <c r="HSY485" s="1031"/>
      <c r="HSZ485" s="1031"/>
      <c r="HTA485" s="1031"/>
      <c r="HTB485" s="1031"/>
      <c r="HTC485" s="1031"/>
      <c r="HTD485" s="1031"/>
      <c r="HTE485" s="1031"/>
      <c r="HTF485" s="1031"/>
      <c r="HTG485" s="1031"/>
      <c r="HTH485" s="1031"/>
      <c r="HTI485" s="1031"/>
      <c r="HTJ485" s="1031"/>
      <c r="HTK485" s="1031"/>
      <c r="HTL485" s="1031"/>
      <c r="HTM485" s="1031"/>
      <c r="HTN485" s="1031"/>
      <c r="HTO485" s="1031"/>
      <c r="HTP485" s="1031"/>
      <c r="HTQ485" s="1031"/>
      <c r="HTR485" s="1031"/>
      <c r="HTS485" s="1031"/>
      <c r="HTT485" s="1031"/>
      <c r="HTU485" s="1031"/>
      <c r="HTV485" s="1031"/>
      <c r="HTW485" s="1031"/>
      <c r="HTX485" s="1031"/>
      <c r="HTY485" s="1031"/>
      <c r="HTZ485" s="1031"/>
      <c r="HUA485" s="1031"/>
      <c r="HUB485" s="1031"/>
      <c r="HUC485" s="1031"/>
      <c r="HUD485" s="1031"/>
      <c r="HUE485" s="1031"/>
      <c r="HUF485" s="1031"/>
      <c r="HUG485" s="1031"/>
      <c r="HUH485" s="1031"/>
      <c r="HUI485" s="1031"/>
      <c r="HUJ485" s="1031"/>
      <c r="HUK485" s="1031"/>
      <c r="HUL485" s="1031"/>
      <c r="HUM485" s="1031"/>
      <c r="HUN485" s="1031"/>
      <c r="HUO485" s="1031"/>
      <c r="HUP485" s="1031"/>
      <c r="HUQ485" s="1031"/>
      <c r="HUR485" s="1031"/>
      <c r="HUS485" s="1031"/>
      <c r="HUT485" s="1031"/>
      <c r="HUU485" s="1031"/>
      <c r="HUV485" s="1031"/>
      <c r="HUW485" s="1031"/>
      <c r="HUX485" s="1031"/>
      <c r="HUY485" s="1031"/>
      <c r="HUZ485" s="1031"/>
      <c r="HVA485" s="1031"/>
      <c r="HVB485" s="1031"/>
      <c r="HVC485" s="1031"/>
      <c r="HVD485" s="1031"/>
      <c r="HVE485" s="1031"/>
      <c r="HVF485" s="1031"/>
      <c r="HVG485" s="1031"/>
      <c r="HVH485" s="1031"/>
      <c r="HVI485" s="1031"/>
      <c r="HVJ485" s="1031"/>
      <c r="HVK485" s="1031"/>
      <c r="HVL485" s="1031"/>
      <c r="HVM485" s="1031"/>
      <c r="HVN485" s="1031"/>
      <c r="HVO485" s="1031"/>
      <c r="HVP485" s="1031"/>
      <c r="HVQ485" s="1031"/>
      <c r="HVR485" s="1031"/>
      <c r="HVS485" s="1031"/>
      <c r="HVT485" s="1031"/>
      <c r="HVU485" s="1031"/>
      <c r="HVV485" s="1031"/>
      <c r="HVW485" s="1031"/>
      <c r="HVX485" s="1031"/>
      <c r="HVY485" s="1031"/>
      <c r="HVZ485" s="1031"/>
      <c r="HWA485" s="1031"/>
      <c r="HWB485" s="1031"/>
      <c r="HWC485" s="1031"/>
      <c r="HWD485" s="1031"/>
      <c r="HWE485" s="1031"/>
      <c r="HWF485" s="1031"/>
      <c r="HWG485" s="1031"/>
      <c r="HWH485" s="1031"/>
      <c r="HWI485" s="1031"/>
      <c r="HWJ485" s="1031"/>
      <c r="HWK485" s="1031"/>
      <c r="HWL485" s="1031"/>
      <c r="HWM485" s="1031"/>
      <c r="HWN485" s="1031"/>
      <c r="HWO485" s="1031"/>
      <c r="HWP485" s="1031"/>
      <c r="HWQ485" s="1031"/>
      <c r="HWR485" s="1031"/>
      <c r="HWS485" s="1031"/>
      <c r="HWT485" s="1031"/>
      <c r="HWU485" s="1031"/>
      <c r="HWV485" s="1031"/>
      <c r="HWW485" s="1031"/>
      <c r="HWX485" s="1031"/>
      <c r="HWY485" s="1031"/>
      <c r="HWZ485" s="1031"/>
      <c r="HXA485" s="1031"/>
      <c r="HXB485" s="1031"/>
      <c r="HXC485" s="1031"/>
      <c r="HXD485" s="1031"/>
      <c r="HXE485" s="1031"/>
      <c r="HXF485" s="1031"/>
      <c r="HXG485" s="1031"/>
      <c r="HXH485" s="1031"/>
      <c r="HXI485" s="1031"/>
      <c r="HXJ485" s="1031"/>
      <c r="HXK485" s="1031"/>
      <c r="HXL485" s="1031"/>
      <c r="HXM485" s="1031"/>
      <c r="HXN485" s="1031"/>
      <c r="HXO485" s="1031"/>
      <c r="HXP485" s="1031"/>
      <c r="HXQ485" s="1031"/>
      <c r="HXR485" s="1031"/>
      <c r="HXS485" s="1031"/>
      <c r="HXT485" s="1031"/>
      <c r="HXU485" s="1031"/>
      <c r="HXV485" s="1031"/>
      <c r="HXW485" s="1031"/>
      <c r="HXX485" s="1031"/>
      <c r="HXY485" s="1031"/>
      <c r="HXZ485" s="1031"/>
      <c r="HYA485" s="1031"/>
      <c r="HYB485" s="1031"/>
      <c r="HYC485" s="1031"/>
      <c r="HYD485" s="1031"/>
      <c r="HYE485" s="1031"/>
      <c r="HYF485" s="1031"/>
      <c r="HYG485" s="1031"/>
      <c r="HYH485" s="1031"/>
      <c r="HYI485" s="1031"/>
      <c r="HYJ485" s="1031"/>
      <c r="HYK485" s="1031"/>
      <c r="HYL485" s="1031"/>
      <c r="HYM485" s="1031"/>
      <c r="HYN485" s="1031"/>
      <c r="HYO485" s="1031"/>
      <c r="HYP485" s="1031"/>
      <c r="HYQ485" s="1031"/>
      <c r="HYR485" s="1031"/>
      <c r="HYS485" s="1031"/>
      <c r="HYT485" s="1031"/>
      <c r="HYU485" s="1031"/>
      <c r="HYV485" s="1031"/>
      <c r="HYW485" s="1031"/>
      <c r="HYX485" s="1031"/>
      <c r="HYY485" s="1031"/>
      <c r="HYZ485" s="1031"/>
      <c r="HZA485" s="1031"/>
      <c r="HZB485" s="1031"/>
      <c r="HZC485" s="1031"/>
      <c r="HZD485" s="1031"/>
      <c r="HZE485" s="1031"/>
      <c r="HZF485" s="1031"/>
      <c r="HZG485" s="1031"/>
      <c r="HZH485" s="1031"/>
      <c r="HZI485" s="1031"/>
      <c r="HZJ485" s="1031"/>
      <c r="HZK485" s="1031"/>
      <c r="HZL485" s="1031"/>
      <c r="HZM485" s="1031"/>
      <c r="HZN485" s="1031"/>
      <c r="HZO485" s="1031"/>
      <c r="HZP485" s="1031"/>
      <c r="HZQ485" s="1031"/>
      <c r="HZR485" s="1031"/>
      <c r="HZS485" s="1031"/>
      <c r="HZT485" s="1031"/>
      <c r="HZU485" s="1031"/>
      <c r="HZV485" s="1031"/>
      <c r="HZW485" s="1031"/>
      <c r="HZX485" s="1031"/>
      <c r="HZY485" s="1031"/>
      <c r="HZZ485" s="1031"/>
      <c r="IAA485" s="1031"/>
      <c r="IAB485" s="1031"/>
      <c r="IAC485" s="1031"/>
      <c r="IAD485" s="1031"/>
      <c r="IAE485" s="1031"/>
      <c r="IAF485" s="1031"/>
      <c r="IAG485" s="1031"/>
      <c r="IAH485" s="1031"/>
      <c r="IAI485" s="1031"/>
      <c r="IAJ485" s="1031"/>
      <c r="IAK485" s="1031"/>
      <c r="IAL485" s="1031"/>
      <c r="IAM485" s="1031"/>
      <c r="IAN485" s="1031"/>
      <c r="IAO485" s="1031"/>
      <c r="IAP485" s="1031"/>
      <c r="IAQ485" s="1031"/>
      <c r="IAR485" s="1031"/>
      <c r="IAS485" s="1031"/>
      <c r="IAT485" s="1031"/>
      <c r="IAU485" s="1031"/>
      <c r="IAV485" s="1031"/>
      <c r="IAW485" s="1031"/>
      <c r="IAX485" s="1031"/>
      <c r="IAY485" s="1031"/>
      <c r="IAZ485" s="1031"/>
      <c r="IBA485" s="1031"/>
      <c r="IBB485" s="1031"/>
      <c r="IBC485" s="1031"/>
      <c r="IBD485" s="1031"/>
      <c r="IBE485" s="1031"/>
      <c r="IBF485" s="1031"/>
      <c r="IBG485" s="1031"/>
      <c r="IBH485" s="1031"/>
      <c r="IBI485" s="1031"/>
      <c r="IBJ485" s="1031"/>
      <c r="IBK485" s="1031"/>
      <c r="IBL485" s="1031"/>
      <c r="IBM485" s="1031"/>
      <c r="IBN485" s="1031"/>
      <c r="IBO485" s="1031"/>
      <c r="IBP485" s="1031"/>
      <c r="IBQ485" s="1031"/>
      <c r="IBR485" s="1031"/>
      <c r="IBS485" s="1031"/>
      <c r="IBT485" s="1031"/>
      <c r="IBU485" s="1031"/>
      <c r="IBV485" s="1031"/>
      <c r="IBW485" s="1031"/>
      <c r="IBX485" s="1031"/>
      <c r="IBY485" s="1031"/>
      <c r="IBZ485" s="1031"/>
      <c r="ICA485" s="1031"/>
      <c r="ICB485" s="1031"/>
      <c r="ICC485" s="1031"/>
      <c r="ICD485" s="1031"/>
      <c r="ICE485" s="1031"/>
      <c r="ICF485" s="1031"/>
      <c r="ICG485" s="1031"/>
      <c r="ICH485" s="1031"/>
      <c r="ICI485" s="1031"/>
      <c r="ICJ485" s="1031"/>
      <c r="ICK485" s="1031"/>
      <c r="ICL485" s="1031"/>
      <c r="ICM485" s="1031"/>
      <c r="ICN485" s="1031"/>
      <c r="ICO485" s="1031"/>
      <c r="ICP485" s="1031"/>
      <c r="ICQ485" s="1031"/>
      <c r="ICR485" s="1031"/>
      <c r="ICS485" s="1031"/>
      <c r="ICT485" s="1031"/>
      <c r="ICU485" s="1031"/>
      <c r="ICV485" s="1031"/>
      <c r="ICW485" s="1031"/>
      <c r="ICX485" s="1031"/>
      <c r="ICY485" s="1031"/>
      <c r="ICZ485" s="1031"/>
      <c r="IDA485" s="1031"/>
      <c r="IDB485" s="1031"/>
      <c r="IDC485" s="1031"/>
      <c r="IDD485" s="1031"/>
      <c r="IDE485" s="1031"/>
      <c r="IDF485" s="1031"/>
      <c r="IDG485" s="1031"/>
      <c r="IDH485" s="1031"/>
      <c r="IDI485" s="1031"/>
      <c r="IDJ485" s="1031"/>
      <c r="IDK485" s="1031"/>
      <c r="IDL485" s="1031"/>
      <c r="IDM485" s="1031"/>
      <c r="IDN485" s="1031"/>
      <c r="IDO485" s="1031"/>
      <c r="IDP485" s="1031"/>
      <c r="IDQ485" s="1031"/>
      <c r="IDR485" s="1031"/>
      <c r="IDS485" s="1031"/>
      <c r="IDT485" s="1031"/>
      <c r="IDU485" s="1031"/>
      <c r="IDV485" s="1031"/>
      <c r="IDW485" s="1031"/>
      <c r="IDX485" s="1031"/>
      <c r="IDY485" s="1031"/>
      <c r="IDZ485" s="1031"/>
      <c r="IEA485" s="1031"/>
      <c r="IEB485" s="1031"/>
      <c r="IEC485" s="1031"/>
      <c r="IED485" s="1031"/>
      <c r="IEE485" s="1031"/>
      <c r="IEF485" s="1031"/>
      <c r="IEG485" s="1031"/>
      <c r="IEH485" s="1031"/>
      <c r="IEI485" s="1031"/>
      <c r="IEJ485" s="1031"/>
      <c r="IEK485" s="1031"/>
      <c r="IEL485" s="1031"/>
      <c r="IEM485" s="1031"/>
      <c r="IEN485" s="1031"/>
      <c r="IEO485" s="1031"/>
      <c r="IEP485" s="1031"/>
      <c r="IEQ485" s="1031"/>
      <c r="IER485" s="1031"/>
      <c r="IES485" s="1031"/>
      <c r="IET485" s="1031"/>
      <c r="IEU485" s="1031"/>
      <c r="IEV485" s="1031"/>
      <c r="IEW485" s="1031"/>
      <c r="IEX485" s="1031"/>
      <c r="IEY485" s="1031"/>
      <c r="IEZ485" s="1031"/>
      <c r="IFA485" s="1031"/>
      <c r="IFB485" s="1031"/>
      <c r="IFC485" s="1031"/>
      <c r="IFD485" s="1031"/>
      <c r="IFE485" s="1031"/>
      <c r="IFF485" s="1031"/>
      <c r="IFG485" s="1031"/>
      <c r="IFH485" s="1031"/>
      <c r="IFI485" s="1031"/>
      <c r="IFJ485" s="1031"/>
      <c r="IFK485" s="1031"/>
      <c r="IFL485" s="1031"/>
      <c r="IFM485" s="1031"/>
      <c r="IFN485" s="1031"/>
      <c r="IFO485" s="1031"/>
      <c r="IFP485" s="1031"/>
      <c r="IFQ485" s="1031"/>
      <c r="IFR485" s="1031"/>
      <c r="IFS485" s="1031"/>
      <c r="IFT485" s="1031"/>
      <c r="IFU485" s="1031"/>
      <c r="IFV485" s="1031"/>
      <c r="IFW485" s="1031"/>
      <c r="IFX485" s="1031"/>
      <c r="IFY485" s="1031"/>
      <c r="IFZ485" s="1031"/>
      <c r="IGA485" s="1031"/>
      <c r="IGB485" s="1031"/>
      <c r="IGC485" s="1031"/>
      <c r="IGD485" s="1031"/>
      <c r="IGE485" s="1031"/>
      <c r="IGF485" s="1031"/>
      <c r="IGG485" s="1031"/>
      <c r="IGH485" s="1031"/>
      <c r="IGI485" s="1031"/>
      <c r="IGJ485" s="1031"/>
      <c r="IGK485" s="1031"/>
      <c r="IGL485" s="1031"/>
      <c r="IGM485" s="1031"/>
      <c r="IGN485" s="1031"/>
      <c r="IGO485" s="1031"/>
      <c r="IGP485" s="1031"/>
      <c r="IGQ485" s="1031"/>
      <c r="IGR485" s="1031"/>
      <c r="IGS485" s="1031"/>
      <c r="IGT485" s="1031"/>
      <c r="IGU485" s="1031"/>
      <c r="IGV485" s="1031"/>
      <c r="IGW485" s="1031"/>
      <c r="IGX485" s="1031"/>
      <c r="IGY485" s="1031"/>
      <c r="IGZ485" s="1031"/>
      <c r="IHA485" s="1031"/>
      <c r="IHB485" s="1031"/>
      <c r="IHC485" s="1031"/>
      <c r="IHD485" s="1031"/>
      <c r="IHE485" s="1031"/>
      <c r="IHF485" s="1031"/>
      <c r="IHG485" s="1031"/>
      <c r="IHH485" s="1031"/>
      <c r="IHI485" s="1031"/>
      <c r="IHJ485" s="1031"/>
      <c r="IHK485" s="1031"/>
      <c r="IHL485" s="1031"/>
      <c r="IHM485" s="1031"/>
      <c r="IHN485" s="1031"/>
      <c r="IHO485" s="1031"/>
      <c r="IHP485" s="1031"/>
      <c r="IHQ485" s="1031"/>
      <c r="IHR485" s="1031"/>
      <c r="IHS485" s="1031"/>
      <c r="IHT485" s="1031"/>
      <c r="IHU485" s="1031"/>
      <c r="IHV485" s="1031"/>
      <c r="IHW485" s="1031"/>
      <c r="IHX485" s="1031"/>
      <c r="IHY485" s="1031"/>
      <c r="IHZ485" s="1031"/>
      <c r="IIA485" s="1031"/>
      <c r="IIB485" s="1031"/>
      <c r="IIC485" s="1031"/>
      <c r="IID485" s="1031"/>
      <c r="IIE485" s="1031"/>
      <c r="IIF485" s="1031"/>
      <c r="IIG485" s="1031"/>
      <c r="IIH485" s="1031"/>
      <c r="III485" s="1031"/>
      <c r="IIJ485" s="1031"/>
      <c r="IIK485" s="1031"/>
      <c r="IIL485" s="1031"/>
      <c r="IIM485" s="1031"/>
      <c r="IIN485" s="1031"/>
      <c r="IIO485" s="1031"/>
      <c r="IIP485" s="1031"/>
      <c r="IIQ485" s="1031"/>
      <c r="IIR485" s="1031"/>
      <c r="IIS485" s="1031"/>
      <c r="IIT485" s="1031"/>
      <c r="IIU485" s="1031"/>
      <c r="IIV485" s="1031"/>
      <c r="IIW485" s="1031"/>
      <c r="IIX485" s="1031"/>
      <c r="IIY485" s="1031"/>
      <c r="IIZ485" s="1031"/>
      <c r="IJA485" s="1031"/>
      <c r="IJB485" s="1031"/>
      <c r="IJC485" s="1031"/>
      <c r="IJD485" s="1031"/>
      <c r="IJE485" s="1031"/>
      <c r="IJF485" s="1031"/>
      <c r="IJG485" s="1031"/>
      <c r="IJH485" s="1031"/>
      <c r="IJI485" s="1031"/>
      <c r="IJJ485" s="1031"/>
      <c r="IJK485" s="1031"/>
      <c r="IJL485" s="1031"/>
      <c r="IJM485" s="1031"/>
      <c r="IJN485" s="1031"/>
      <c r="IJO485" s="1031"/>
      <c r="IJP485" s="1031"/>
      <c r="IJQ485" s="1031"/>
      <c r="IJR485" s="1031"/>
      <c r="IJS485" s="1031"/>
      <c r="IJT485" s="1031"/>
      <c r="IJU485" s="1031"/>
      <c r="IJV485" s="1031"/>
      <c r="IJW485" s="1031"/>
      <c r="IJX485" s="1031"/>
      <c r="IJY485" s="1031"/>
      <c r="IJZ485" s="1031"/>
      <c r="IKA485" s="1031"/>
      <c r="IKB485" s="1031"/>
      <c r="IKC485" s="1031"/>
      <c r="IKD485" s="1031"/>
      <c r="IKE485" s="1031"/>
      <c r="IKF485" s="1031"/>
      <c r="IKG485" s="1031"/>
      <c r="IKH485" s="1031"/>
      <c r="IKI485" s="1031"/>
      <c r="IKJ485" s="1031"/>
      <c r="IKK485" s="1031"/>
      <c r="IKL485" s="1031"/>
      <c r="IKM485" s="1031"/>
      <c r="IKN485" s="1031"/>
      <c r="IKO485" s="1031"/>
      <c r="IKP485" s="1031"/>
      <c r="IKQ485" s="1031"/>
      <c r="IKR485" s="1031"/>
      <c r="IKS485" s="1031"/>
      <c r="IKT485" s="1031"/>
      <c r="IKU485" s="1031"/>
      <c r="IKV485" s="1031"/>
      <c r="IKW485" s="1031"/>
      <c r="IKX485" s="1031"/>
      <c r="IKY485" s="1031"/>
      <c r="IKZ485" s="1031"/>
      <c r="ILA485" s="1031"/>
      <c r="ILB485" s="1031"/>
      <c r="ILC485" s="1031"/>
      <c r="ILD485" s="1031"/>
      <c r="ILE485" s="1031"/>
      <c r="ILF485" s="1031"/>
      <c r="ILG485" s="1031"/>
      <c r="ILH485" s="1031"/>
      <c r="ILI485" s="1031"/>
      <c r="ILJ485" s="1031"/>
      <c r="ILK485" s="1031"/>
      <c r="ILL485" s="1031"/>
      <c r="ILM485" s="1031"/>
      <c r="ILN485" s="1031"/>
      <c r="ILO485" s="1031"/>
      <c r="ILP485" s="1031"/>
      <c r="ILQ485" s="1031"/>
      <c r="ILR485" s="1031"/>
      <c r="ILS485" s="1031"/>
      <c r="ILT485" s="1031"/>
      <c r="ILU485" s="1031"/>
      <c r="ILV485" s="1031"/>
      <c r="ILW485" s="1031"/>
      <c r="ILX485" s="1031"/>
      <c r="ILY485" s="1031"/>
      <c r="ILZ485" s="1031"/>
      <c r="IMA485" s="1031"/>
      <c r="IMB485" s="1031"/>
      <c r="IMC485" s="1031"/>
      <c r="IMD485" s="1031"/>
      <c r="IME485" s="1031"/>
      <c r="IMF485" s="1031"/>
      <c r="IMG485" s="1031"/>
      <c r="IMH485" s="1031"/>
      <c r="IMI485" s="1031"/>
      <c r="IMJ485" s="1031"/>
      <c r="IMK485" s="1031"/>
      <c r="IML485" s="1031"/>
      <c r="IMM485" s="1031"/>
      <c r="IMN485" s="1031"/>
      <c r="IMO485" s="1031"/>
      <c r="IMP485" s="1031"/>
      <c r="IMQ485" s="1031"/>
      <c r="IMR485" s="1031"/>
      <c r="IMS485" s="1031"/>
      <c r="IMT485" s="1031"/>
      <c r="IMU485" s="1031"/>
      <c r="IMV485" s="1031"/>
      <c r="IMW485" s="1031"/>
      <c r="IMX485" s="1031"/>
      <c r="IMY485" s="1031"/>
      <c r="IMZ485" s="1031"/>
      <c r="INA485" s="1031"/>
      <c r="INB485" s="1031"/>
      <c r="INC485" s="1031"/>
      <c r="IND485" s="1031"/>
      <c r="INE485" s="1031"/>
      <c r="INF485" s="1031"/>
      <c r="ING485" s="1031"/>
      <c r="INH485" s="1031"/>
      <c r="INI485" s="1031"/>
      <c r="INJ485" s="1031"/>
      <c r="INK485" s="1031"/>
      <c r="INL485" s="1031"/>
      <c r="INM485" s="1031"/>
      <c r="INN485" s="1031"/>
      <c r="INO485" s="1031"/>
      <c r="INP485" s="1031"/>
      <c r="INQ485" s="1031"/>
      <c r="INR485" s="1031"/>
      <c r="INS485" s="1031"/>
      <c r="INT485" s="1031"/>
      <c r="INU485" s="1031"/>
      <c r="INV485" s="1031"/>
      <c r="INW485" s="1031"/>
      <c r="INX485" s="1031"/>
      <c r="INY485" s="1031"/>
      <c r="INZ485" s="1031"/>
      <c r="IOA485" s="1031"/>
      <c r="IOB485" s="1031"/>
      <c r="IOC485" s="1031"/>
      <c r="IOD485" s="1031"/>
      <c r="IOE485" s="1031"/>
      <c r="IOF485" s="1031"/>
      <c r="IOG485" s="1031"/>
      <c r="IOH485" s="1031"/>
      <c r="IOI485" s="1031"/>
      <c r="IOJ485" s="1031"/>
      <c r="IOK485" s="1031"/>
      <c r="IOL485" s="1031"/>
      <c r="IOM485" s="1031"/>
      <c r="ION485" s="1031"/>
      <c r="IOO485" s="1031"/>
      <c r="IOP485" s="1031"/>
      <c r="IOQ485" s="1031"/>
      <c r="IOR485" s="1031"/>
      <c r="IOS485" s="1031"/>
      <c r="IOT485" s="1031"/>
      <c r="IOU485" s="1031"/>
      <c r="IOV485" s="1031"/>
      <c r="IOW485" s="1031"/>
      <c r="IOX485" s="1031"/>
      <c r="IOY485" s="1031"/>
      <c r="IOZ485" s="1031"/>
      <c r="IPA485" s="1031"/>
      <c r="IPB485" s="1031"/>
      <c r="IPC485" s="1031"/>
      <c r="IPD485" s="1031"/>
      <c r="IPE485" s="1031"/>
      <c r="IPF485" s="1031"/>
      <c r="IPG485" s="1031"/>
      <c r="IPH485" s="1031"/>
      <c r="IPI485" s="1031"/>
      <c r="IPJ485" s="1031"/>
      <c r="IPK485" s="1031"/>
      <c r="IPL485" s="1031"/>
      <c r="IPM485" s="1031"/>
      <c r="IPN485" s="1031"/>
      <c r="IPO485" s="1031"/>
      <c r="IPP485" s="1031"/>
      <c r="IPQ485" s="1031"/>
      <c r="IPR485" s="1031"/>
      <c r="IPS485" s="1031"/>
      <c r="IPT485" s="1031"/>
      <c r="IPU485" s="1031"/>
      <c r="IPV485" s="1031"/>
      <c r="IPW485" s="1031"/>
      <c r="IPX485" s="1031"/>
      <c r="IPY485" s="1031"/>
      <c r="IPZ485" s="1031"/>
      <c r="IQA485" s="1031"/>
      <c r="IQB485" s="1031"/>
      <c r="IQC485" s="1031"/>
      <c r="IQD485" s="1031"/>
      <c r="IQE485" s="1031"/>
      <c r="IQF485" s="1031"/>
      <c r="IQG485" s="1031"/>
      <c r="IQH485" s="1031"/>
      <c r="IQI485" s="1031"/>
      <c r="IQJ485" s="1031"/>
      <c r="IQK485" s="1031"/>
      <c r="IQL485" s="1031"/>
      <c r="IQM485" s="1031"/>
      <c r="IQN485" s="1031"/>
      <c r="IQO485" s="1031"/>
      <c r="IQP485" s="1031"/>
      <c r="IQQ485" s="1031"/>
      <c r="IQR485" s="1031"/>
      <c r="IQS485" s="1031"/>
      <c r="IQT485" s="1031"/>
      <c r="IQU485" s="1031"/>
      <c r="IQV485" s="1031"/>
      <c r="IQW485" s="1031"/>
      <c r="IQX485" s="1031"/>
      <c r="IQY485" s="1031"/>
      <c r="IQZ485" s="1031"/>
      <c r="IRA485" s="1031"/>
      <c r="IRB485" s="1031"/>
      <c r="IRC485" s="1031"/>
      <c r="IRD485" s="1031"/>
      <c r="IRE485" s="1031"/>
      <c r="IRF485" s="1031"/>
      <c r="IRG485" s="1031"/>
      <c r="IRH485" s="1031"/>
      <c r="IRI485" s="1031"/>
      <c r="IRJ485" s="1031"/>
      <c r="IRK485" s="1031"/>
      <c r="IRL485" s="1031"/>
      <c r="IRM485" s="1031"/>
      <c r="IRN485" s="1031"/>
      <c r="IRO485" s="1031"/>
      <c r="IRP485" s="1031"/>
      <c r="IRQ485" s="1031"/>
      <c r="IRR485" s="1031"/>
      <c r="IRS485" s="1031"/>
      <c r="IRT485" s="1031"/>
      <c r="IRU485" s="1031"/>
      <c r="IRV485" s="1031"/>
      <c r="IRW485" s="1031"/>
      <c r="IRX485" s="1031"/>
      <c r="IRY485" s="1031"/>
      <c r="IRZ485" s="1031"/>
      <c r="ISA485" s="1031"/>
      <c r="ISB485" s="1031"/>
      <c r="ISC485" s="1031"/>
      <c r="ISD485" s="1031"/>
      <c r="ISE485" s="1031"/>
      <c r="ISF485" s="1031"/>
      <c r="ISG485" s="1031"/>
      <c r="ISH485" s="1031"/>
      <c r="ISI485" s="1031"/>
      <c r="ISJ485" s="1031"/>
      <c r="ISK485" s="1031"/>
      <c r="ISL485" s="1031"/>
      <c r="ISM485" s="1031"/>
      <c r="ISN485" s="1031"/>
      <c r="ISO485" s="1031"/>
      <c r="ISP485" s="1031"/>
      <c r="ISQ485" s="1031"/>
      <c r="ISR485" s="1031"/>
      <c r="ISS485" s="1031"/>
      <c r="IST485" s="1031"/>
      <c r="ISU485" s="1031"/>
      <c r="ISV485" s="1031"/>
      <c r="ISW485" s="1031"/>
      <c r="ISX485" s="1031"/>
      <c r="ISY485" s="1031"/>
      <c r="ISZ485" s="1031"/>
      <c r="ITA485" s="1031"/>
      <c r="ITB485" s="1031"/>
      <c r="ITC485" s="1031"/>
      <c r="ITD485" s="1031"/>
      <c r="ITE485" s="1031"/>
      <c r="ITF485" s="1031"/>
      <c r="ITG485" s="1031"/>
      <c r="ITH485" s="1031"/>
      <c r="ITI485" s="1031"/>
      <c r="ITJ485" s="1031"/>
      <c r="ITK485" s="1031"/>
      <c r="ITL485" s="1031"/>
      <c r="ITM485" s="1031"/>
      <c r="ITN485" s="1031"/>
      <c r="ITO485" s="1031"/>
      <c r="ITP485" s="1031"/>
      <c r="ITQ485" s="1031"/>
      <c r="ITR485" s="1031"/>
      <c r="ITS485" s="1031"/>
      <c r="ITT485" s="1031"/>
      <c r="ITU485" s="1031"/>
      <c r="ITV485" s="1031"/>
      <c r="ITW485" s="1031"/>
      <c r="ITX485" s="1031"/>
      <c r="ITY485" s="1031"/>
      <c r="ITZ485" s="1031"/>
      <c r="IUA485" s="1031"/>
      <c r="IUB485" s="1031"/>
      <c r="IUC485" s="1031"/>
      <c r="IUD485" s="1031"/>
      <c r="IUE485" s="1031"/>
      <c r="IUF485" s="1031"/>
      <c r="IUG485" s="1031"/>
      <c r="IUH485" s="1031"/>
      <c r="IUI485" s="1031"/>
      <c r="IUJ485" s="1031"/>
      <c r="IUK485" s="1031"/>
      <c r="IUL485" s="1031"/>
      <c r="IUM485" s="1031"/>
      <c r="IUN485" s="1031"/>
      <c r="IUO485" s="1031"/>
      <c r="IUP485" s="1031"/>
      <c r="IUQ485" s="1031"/>
      <c r="IUR485" s="1031"/>
      <c r="IUS485" s="1031"/>
      <c r="IUT485" s="1031"/>
      <c r="IUU485" s="1031"/>
      <c r="IUV485" s="1031"/>
      <c r="IUW485" s="1031"/>
      <c r="IUX485" s="1031"/>
      <c r="IUY485" s="1031"/>
      <c r="IUZ485" s="1031"/>
      <c r="IVA485" s="1031"/>
      <c r="IVB485" s="1031"/>
      <c r="IVC485" s="1031"/>
      <c r="IVD485" s="1031"/>
      <c r="IVE485" s="1031"/>
      <c r="IVF485" s="1031"/>
      <c r="IVG485" s="1031"/>
      <c r="IVH485" s="1031"/>
      <c r="IVI485" s="1031"/>
      <c r="IVJ485" s="1031"/>
      <c r="IVK485" s="1031"/>
      <c r="IVL485" s="1031"/>
      <c r="IVM485" s="1031"/>
      <c r="IVN485" s="1031"/>
      <c r="IVO485" s="1031"/>
      <c r="IVP485" s="1031"/>
      <c r="IVQ485" s="1031"/>
      <c r="IVR485" s="1031"/>
      <c r="IVS485" s="1031"/>
      <c r="IVT485" s="1031"/>
      <c r="IVU485" s="1031"/>
      <c r="IVV485" s="1031"/>
      <c r="IVW485" s="1031"/>
      <c r="IVX485" s="1031"/>
      <c r="IVY485" s="1031"/>
      <c r="IVZ485" s="1031"/>
      <c r="IWA485" s="1031"/>
      <c r="IWB485" s="1031"/>
      <c r="IWC485" s="1031"/>
      <c r="IWD485" s="1031"/>
      <c r="IWE485" s="1031"/>
      <c r="IWF485" s="1031"/>
      <c r="IWG485" s="1031"/>
      <c r="IWH485" s="1031"/>
      <c r="IWI485" s="1031"/>
      <c r="IWJ485" s="1031"/>
      <c r="IWK485" s="1031"/>
      <c r="IWL485" s="1031"/>
      <c r="IWM485" s="1031"/>
      <c r="IWN485" s="1031"/>
      <c r="IWO485" s="1031"/>
      <c r="IWP485" s="1031"/>
      <c r="IWQ485" s="1031"/>
      <c r="IWR485" s="1031"/>
      <c r="IWS485" s="1031"/>
      <c r="IWT485" s="1031"/>
      <c r="IWU485" s="1031"/>
      <c r="IWV485" s="1031"/>
      <c r="IWW485" s="1031"/>
      <c r="IWX485" s="1031"/>
      <c r="IWY485" s="1031"/>
      <c r="IWZ485" s="1031"/>
      <c r="IXA485" s="1031"/>
      <c r="IXB485" s="1031"/>
      <c r="IXC485" s="1031"/>
      <c r="IXD485" s="1031"/>
      <c r="IXE485" s="1031"/>
      <c r="IXF485" s="1031"/>
      <c r="IXG485" s="1031"/>
      <c r="IXH485" s="1031"/>
      <c r="IXI485" s="1031"/>
      <c r="IXJ485" s="1031"/>
      <c r="IXK485" s="1031"/>
      <c r="IXL485" s="1031"/>
      <c r="IXM485" s="1031"/>
      <c r="IXN485" s="1031"/>
      <c r="IXO485" s="1031"/>
      <c r="IXP485" s="1031"/>
      <c r="IXQ485" s="1031"/>
      <c r="IXR485" s="1031"/>
      <c r="IXS485" s="1031"/>
      <c r="IXT485" s="1031"/>
      <c r="IXU485" s="1031"/>
      <c r="IXV485" s="1031"/>
      <c r="IXW485" s="1031"/>
      <c r="IXX485" s="1031"/>
      <c r="IXY485" s="1031"/>
      <c r="IXZ485" s="1031"/>
      <c r="IYA485" s="1031"/>
      <c r="IYB485" s="1031"/>
      <c r="IYC485" s="1031"/>
      <c r="IYD485" s="1031"/>
      <c r="IYE485" s="1031"/>
      <c r="IYF485" s="1031"/>
      <c r="IYG485" s="1031"/>
      <c r="IYH485" s="1031"/>
      <c r="IYI485" s="1031"/>
      <c r="IYJ485" s="1031"/>
      <c r="IYK485" s="1031"/>
      <c r="IYL485" s="1031"/>
      <c r="IYM485" s="1031"/>
      <c r="IYN485" s="1031"/>
      <c r="IYO485" s="1031"/>
      <c r="IYP485" s="1031"/>
      <c r="IYQ485" s="1031"/>
      <c r="IYR485" s="1031"/>
      <c r="IYS485" s="1031"/>
      <c r="IYT485" s="1031"/>
      <c r="IYU485" s="1031"/>
      <c r="IYV485" s="1031"/>
      <c r="IYW485" s="1031"/>
      <c r="IYX485" s="1031"/>
      <c r="IYY485" s="1031"/>
      <c r="IYZ485" s="1031"/>
      <c r="IZA485" s="1031"/>
      <c r="IZB485" s="1031"/>
      <c r="IZC485" s="1031"/>
      <c r="IZD485" s="1031"/>
      <c r="IZE485" s="1031"/>
      <c r="IZF485" s="1031"/>
      <c r="IZG485" s="1031"/>
      <c r="IZH485" s="1031"/>
      <c r="IZI485" s="1031"/>
      <c r="IZJ485" s="1031"/>
      <c r="IZK485" s="1031"/>
      <c r="IZL485" s="1031"/>
      <c r="IZM485" s="1031"/>
      <c r="IZN485" s="1031"/>
      <c r="IZO485" s="1031"/>
      <c r="IZP485" s="1031"/>
      <c r="IZQ485" s="1031"/>
      <c r="IZR485" s="1031"/>
      <c r="IZS485" s="1031"/>
      <c r="IZT485" s="1031"/>
      <c r="IZU485" s="1031"/>
      <c r="IZV485" s="1031"/>
      <c r="IZW485" s="1031"/>
      <c r="IZX485" s="1031"/>
      <c r="IZY485" s="1031"/>
      <c r="IZZ485" s="1031"/>
      <c r="JAA485" s="1031"/>
      <c r="JAB485" s="1031"/>
      <c r="JAC485" s="1031"/>
      <c r="JAD485" s="1031"/>
      <c r="JAE485" s="1031"/>
      <c r="JAF485" s="1031"/>
      <c r="JAG485" s="1031"/>
      <c r="JAH485" s="1031"/>
      <c r="JAI485" s="1031"/>
      <c r="JAJ485" s="1031"/>
      <c r="JAK485" s="1031"/>
      <c r="JAL485" s="1031"/>
      <c r="JAM485" s="1031"/>
      <c r="JAN485" s="1031"/>
      <c r="JAO485" s="1031"/>
      <c r="JAP485" s="1031"/>
      <c r="JAQ485" s="1031"/>
      <c r="JAR485" s="1031"/>
      <c r="JAS485" s="1031"/>
      <c r="JAT485" s="1031"/>
      <c r="JAU485" s="1031"/>
      <c r="JAV485" s="1031"/>
      <c r="JAW485" s="1031"/>
      <c r="JAX485" s="1031"/>
      <c r="JAY485" s="1031"/>
      <c r="JAZ485" s="1031"/>
      <c r="JBA485" s="1031"/>
      <c r="JBB485" s="1031"/>
      <c r="JBC485" s="1031"/>
      <c r="JBD485" s="1031"/>
      <c r="JBE485" s="1031"/>
      <c r="JBF485" s="1031"/>
      <c r="JBG485" s="1031"/>
      <c r="JBH485" s="1031"/>
      <c r="JBI485" s="1031"/>
      <c r="JBJ485" s="1031"/>
      <c r="JBK485" s="1031"/>
      <c r="JBL485" s="1031"/>
      <c r="JBM485" s="1031"/>
      <c r="JBN485" s="1031"/>
      <c r="JBO485" s="1031"/>
      <c r="JBP485" s="1031"/>
      <c r="JBQ485" s="1031"/>
      <c r="JBR485" s="1031"/>
      <c r="JBS485" s="1031"/>
      <c r="JBT485" s="1031"/>
      <c r="JBU485" s="1031"/>
      <c r="JBV485" s="1031"/>
      <c r="JBW485" s="1031"/>
      <c r="JBX485" s="1031"/>
      <c r="JBY485" s="1031"/>
      <c r="JBZ485" s="1031"/>
      <c r="JCA485" s="1031"/>
      <c r="JCB485" s="1031"/>
      <c r="JCC485" s="1031"/>
      <c r="JCD485" s="1031"/>
      <c r="JCE485" s="1031"/>
      <c r="JCF485" s="1031"/>
      <c r="JCG485" s="1031"/>
      <c r="JCH485" s="1031"/>
      <c r="JCI485" s="1031"/>
      <c r="JCJ485" s="1031"/>
      <c r="JCK485" s="1031"/>
      <c r="JCL485" s="1031"/>
      <c r="JCM485" s="1031"/>
      <c r="JCN485" s="1031"/>
      <c r="JCO485" s="1031"/>
      <c r="JCP485" s="1031"/>
      <c r="JCQ485" s="1031"/>
      <c r="JCR485" s="1031"/>
      <c r="JCS485" s="1031"/>
      <c r="JCT485" s="1031"/>
      <c r="JCU485" s="1031"/>
      <c r="JCV485" s="1031"/>
      <c r="JCW485" s="1031"/>
      <c r="JCX485" s="1031"/>
      <c r="JCY485" s="1031"/>
      <c r="JCZ485" s="1031"/>
      <c r="JDA485" s="1031"/>
      <c r="JDB485" s="1031"/>
      <c r="JDC485" s="1031"/>
      <c r="JDD485" s="1031"/>
      <c r="JDE485" s="1031"/>
      <c r="JDF485" s="1031"/>
      <c r="JDG485" s="1031"/>
      <c r="JDH485" s="1031"/>
      <c r="JDI485" s="1031"/>
      <c r="JDJ485" s="1031"/>
      <c r="JDK485" s="1031"/>
      <c r="JDL485" s="1031"/>
      <c r="JDM485" s="1031"/>
      <c r="JDN485" s="1031"/>
      <c r="JDO485" s="1031"/>
      <c r="JDP485" s="1031"/>
      <c r="JDQ485" s="1031"/>
      <c r="JDR485" s="1031"/>
      <c r="JDS485" s="1031"/>
      <c r="JDT485" s="1031"/>
      <c r="JDU485" s="1031"/>
      <c r="JDV485" s="1031"/>
      <c r="JDW485" s="1031"/>
      <c r="JDX485" s="1031"/>
      <c r="JDY485" s="1031"/>
      <c r="JDZ485" s="1031"/>
      <c r="JEA485" s="1031"/>
      <c r="JEB485" s="1031"/>
      <c r="JEC485" s="1031"/>
      <c r="JED485" s="1031"/>
      <c r="JEE485" s="1031"/>
      <c r="JEF485" s="1031"/>
      <c r="JEG485" s="1031"/>
      <c r="JEH485" s="1031"/>
      <c r="JEI485" s="1031"/>
      <c r="JEJ485" s="1031"/>
      <c r="JEK485" s="1031"/>
      <c r="JEL485" s="1031"/>
      <c r="JEM485" s="1031"/>
      <c r="JEN485" s="1031"/>
      <c r="JEO485" s="1031"/>
      <c r="JEP485" s="1031"/>
      <c r="JEQ485" s="1031"/>
      <c r="JER485" s="1031"/>
      <c r="JES485" s="1031"/>
      <c r="JET485" s="1031"/>
      <c r="JEU485" s="1031"/>
      <c r="JEV485" s="1031"/>
      <c r="JEW485" s="1031"/>
      <c r="JEX485" s="1031"/>
      <c r="JEY485" s="1031"/>
      <c r="JEZ485" s="1031"/>
      <c r="JFA485" s="1031"/>
      <c r="JFB485" s="1031"/>
      <c r="JFC485" s="1031"/>
      <c r="JFD485" s="1031"/>
      <c r="JFE485" s="1031"/>
      <c r="JFF485" s="1031"/>
      <c r="JFG485" s="1031"/>
      <c r="JFH485" s="1031"/>
      <c r="JFI485" s="1031"/>
      <c r="JFJ485" s="1031"/>
      <c r="JFK485" s="1031"/>
      <c r="JFL485" s="1031"/>
      <c r="JFM485" s="1031"/>
      <c r="JFN485" s="1031"/>
      <c r="JFO485" s="1031"/>
      <c r="JFP485" s="1031"/>
      <c r="JFQ485" s="1031"/>
      <c r="JFR485" s="1031"/>
      <c r="JFS485" s="1031"/>
      <c r="JFT485" s="1031"/>
      <c r="JFU485" s="1031"/>
      <c r="JFV485" s="1031"/>
      <c r="JFW485" s="1031"/>
      <c r="JFX485" s="1031"/>
      <c r="JFY485" s="1031"/>
      <c r="JFZ485" s="1031"/>
      <c r="JGA485" s="1031"/>
      <c r="JGB485" s="1031"/>
      <c r="JGC485" s="1031"/>
      <c r="JGD485" s="1031"/>
      <c r="JGE485" s="1031"/>
      <c r="JGF485" s="1031"/>
      <c r="JGG485" s="1031"/>
      <c r="JGH485" s="1031"/>
      <c r="JGI485" s="1031"/>
      <c r="JGJ485" s="1031"/>
      <c r="JGK485" s="1031"/>
      <c r="JGL485" s="1031"/>
      <c r="JGM485" s="1031"/>
      <c r="JGN485" s="1031"/>
      <c r="JGO485" s="1031"/>
      <c r="JGP485" s="1031"/>
      <c r="JGQ485" s="1031"/>
      <c r="JGR485" s="1031"/>
      <c r="JGS485" s="1031"/>
      <c r="JGT485" s="1031"/>
      <c r="JGU485" s="1031"/>
      <c r="JGV485" s="1031"/>
      <c r="JGW485" s="1031"/>
      <c r="JGX485" s="1031"/>
      <c r="JGY485" s="1031"/>
      <c r="JGZ485" s="1031"/>
      <c r="JHA485" s="1031"/>
      <c r="JHB485" s="1031"/>
      <c r="JHC485" s="1031"/>
      <c r="JHD485" s="1031"/>
      <c r="JHE485" s="1031"/>
      <c r="JHF485" s="1031"/>
      <c r="JHG485" s="1031"/>
      <c r="JHH485" s="1031"/>
      <c r="JHI485" s="1031"/>
      <c r="JHJ485" s="1031"/>
      <c r="JHK485" s="1031"/>
      <c r="JHL485" s="1031"/>
      <c r="JHM485" s="1031"/>
      <c r="JHN485" s="1031"/>
      <c r="JHO485" s="1031"/>
      <c r="JHP485" s="1031"/>
      <c r="JHQ485" s="1031"/>
      <c r="JHR485" s="1031"/>
      <c r="JHS485" s="1031"/>
      <c r="JHT485" s="1031"/>
      <c r="JHU485" s="1031"/>
      <c r="JHV485" s="1031"/>
      <c r="JHW485" s="1031"/>
      <c r="JHX485" s="1031"/>
      <c r="JHY485" s="1031"/>
      <c r="JHZ485" s="1031"/>
      <c r="JIA485" s="1031"/>
      <c r="JIB485" s="1031"/>
      <c r="JIC485" s="1031"/>
      <c r="JID485" s="1031"/>
      <c r="JIE485" s="1031"/>
      <c r="JIF485" s="1031"/>
      <c r="JIG485" s="1031"/>
      <c r="JIH485" s="1031"/>
      <c r="JII485" s="1031"/>
      <c r="JIJ485" s="1031"/>
      <c r="JIK485" s="1031"/>
      <c r="JIL485" s="1031"/>
      <c r="JIM485" s="1031"/>
      <c r="JIN485" s="1031"/>
      <c r="JIO485" s="1031"/>
      <c r="JIP485" s="1031"/>
      <c r="JIQ485" s="1031"/>
      <c r="JIR485" s="1031"/>
      <c r="JIS485" s="1031"/>
      <c r="JIT485" s="1031"/>
      <c r="JIU485" s="1031"/>
      <c r="JIV485" s="1031"/>
      <c r="JIW485" s="1031"/>
      <c r="JIX485" s="1031"/>
      <c r="JIY485" s="1031"/>
      <c r="JIZ485" s="1031"/>
      <c r="JJA485" s="1031"/>
      <c r="JJB485" s="1031"/>
      <c r="JJC485" s="1031"/>
      <c r="JJD485" s="1031"/>
      <c r="JJE485" s="1031"/>
      <c r="JJF485" s="1031"/>
      <c r="JJG485" s="1031"/>
      <c r="JJH485" s="1031"/>
      <c r="JJI485" s="1031"/>
      <c r="JJJ485" s="1031"/>
      <c r="JJK485" s="1031"/>
      <c r="JJL485" s="1031"/>
      <c r="JJM485" s="1031"/>
      <c r="JJN485" s="1031"/>
      <c r="JJO485" s="1031"/>
      <c r="JJP485" s="1031"/>
      <c r="JJQ485" s="1031"/>
      <c r="JJR485" s="1031"/>
      <c r="JJS485" s="1031"/>
      <c r="JJT485" s="1031"/>
      <c r="JJU485" s="1031"/>
      <c r="JJV485" s="1031"/>
      <c r="JJW485" s="1031"/>
      <c r="JJX485" s="1031"/>
      <c r="JJY485" s="1031"/>
      <c r="JJZ485" s="1031"/>
      <c r="JKA485" s="1031"/>
      <c r="JKB485" s="1031"/>
      <c r="JKC485" s="1031"/>
      <c r="JKD485" s="1031"/>
      <c r="JKE485" s="1031"/>
      <c r="JKF485" s="1031"/>
      <c r="JKG485" s="1031"/>
      <c r="JKH485" s="1031"/>
      <c r="JKI485" s="1031"/>
      <c r="JKJ485" s="1031"/>
      <c r="JKK485" s="1031"/>
      <c r="JKL485" s="1031"/>
      <c r="JKM485" s="1031"/>
      <c r="JKN485" s="1031"/>
      <c r="JKO485" s="1031"/>
      <c r="JKP485" s="1031"/>
      <c r="JKQ485" s="1031"/>
      <c r="JKR485" s="1031"/>
      <c r="JKS485" s="1031"/>
      <c r="JKT485" s="1031"/>
      <c r="JKU485" s="1031"/>
      <c r="JKV485" s="1031"/>
      <c r="JKW485" s="1031"/>
      <c r="JKX485" s="1031"/>
      <c r="JKY485" s="1031"/>
      <c r="JKZ485" s="1031"/>
      <c r="JLA485" s="1031"/>
      <c r="JLB485" s="1031"/>
      <c r="JLC485" s="1031"/>
      <c r="JLD485" s="1031"/>
      <c r="JLE485" s="1031"/>
      <c r="JLF485" s="1031"/>
      <c r="JLG485" s="1031"/>
      <c r="JLH485" s="1031"/>
      <c r="JLI485" s="1031"/>
      <c r="JLJ485" s="1031"/>
      <c r="JLK485" s="1031"/>
      <c r="JLL485" s="1031"/>
      <c r="JLM485" s="1031"/>
      <c r="JLN485" s="1031"/>
      <c r="JLO485" s="1031"/>
      <c r="JLP485" s="1031"/>
      <c r="JLQ485" s="1031"/>
      <c r="JLR485" s="1031"/>
      <c r="JLS485" s="1031"/>
      <c r="JLT485" s="1031"/>
      <c r="JLU485" s="1031"/>
      <c r="JLV485" s="1031"/>
      <c r="JLW485" s="1031"/>
      <c r="JLX485" s="1031"/>
      <c r="JLY485" s="1031"/>
      <c r="JLZ485" s="1031"/>
      <c r="JMA485" s="1031"/>
      <c r="JMB485" s="1031"/>
      <c r="JMC485" s="1031"/>
      <c r="JMD485" s="1031"/>
      <c r="JME485" s="1031"/>
      <c r="JMF485" s="1031"/>
      <c r="JMG485" s="1031"/>
      <c r="JMH485" s="1031"/>
      <c r="JMI485" s="1031"/>
      <c r="JMJ485" s="1031"/>
      <c r="JMK485" s="1031"/>
      <c r="JML485" s="1031"/>
      <c r="JMM485" s="1031"/>
      <c r="JMN485" s="1031"/>
      <c r="JMO485" s="1031"/>
      <c r="JMP485" s="1031"/>
      <c r="JMQ485" s="1031"/>
      <c r="JMR485" s="1031"/>
      <c r="JMS485" s="1031"/>
      <c r="JMT485" s="1031"/>
      <c r="JMU485" s="1031"/>
      <c r="JMV485" s="1031"/>
      <c r="JMW485" s="1031"/>
      <c r="JMX485" s="1031"/>
      <c r="JMY485" s="1031"/>
      <c r="JMZ485" s="1031"/>
      <c r="JNA485" s="1031"/>
      <c r="JNB485" s="1031"/>
      <c r="JNC485" s="1031"/>
      <c r="JND485" s="1031"/>
      <c r="JNE485" s="1031"/>
      <c r="JNF485" s="1031"/>
      <c r="JNG485" s="1031"/>
      <c r="JNH485" s="1031"/>
      <c r="JNI485" s="1031"/>
      <c r="JNJ485" s="1031"/>
      <c r="JNK485" s="1031"/>
      <c r="JNL485" s="1031"/>
      <c r="JNM485" s="1031"/>
      <c r="JNN485" s="1031"/>
      <c r="JNO485" s="1031"/>
      <c r="JNP485" s="1031"/>
      <c r="JNQ485" s="1031"/>
      <c r="JNR485" s="1031"/>
      <c r="JNS485" s="1031"/>
      <c r="JNT485" s="1031"/>
      <c r="JNU485" s="1031"/>
      <c r="JNV485" s="1031"/>
      <c r="JNW485" s="1031"/>
      <c r="JNX485" s="1031"/>
      <c r="JNY485" s="1031"/>
      <c r="JNZ485" s="1031"/>
      <c r="JOA485" s="1031"/>
      <c r="JOB485" s="1031"/>
      <c r="JOC485" s="1031"/>
      <c r="JOD485" s="1031"/>
      <c r="JOE485" s="1031"/>
      <c r="JOF485" s="1031"/>
      <c r="JOG485" s="1031"/>
      <c r="JOH485" s="1031"/>
      <c r="JOI485" s="1031"/>
      <c r="JOJ485" s="1031"/>
      <c r="JOK485" s="1031"/>
      <c r="JOL485" s="1031"/>
      <c r="JOM485" s="1031"/>
      <c r="JON485" s="1031"/>
      <c r="JOO485" s="1031"/>
      <c r="JOP485" s="1031"/>
      <c r="JOQ485" s="1031"/>
      <c r="JOR485" s="1031"/>
      <c r="JOS485" s="1031"/>
      <c r="JOT485" s="1031"/>
      <c r="JOU485" s="1031"/>
      <c r="JOV485" s="1031"/>
      <c r="JOW485" s="1031"/>
      <c r="JOX485" s="1031"/>
      <c r="JOY485" s="1031"/>
      <c r="JOZ485" s="1031"/>
      <c r="JPA485" s="1031"/>
      <c r="JPB485" s="1031"/>
      <c r="JPC485" s="1031"/>
      <c r="JPD485" s="1031"/>
      <c r="JPE485" s="1031"/>
      <c r="JPF485" s="1031"/>
      <c r="JPG485" s="1031"/>
      <c r="JPH485" s="1031"/>
      <c r="JPI485" s="1031"/>
      <c r="JPJ485" s="1031"/>
      <c r="JPK485" s="1031"/>
      <c r="JPL485" s="1031"/>
      <c r="JPM485" s="1031"/>
      <c r="JPN485" s="1031"/>
      <c r="JPO485" s="1031"/>
      <c r="JPP485" s="1031"/>
      <c r="JPQ485" s="1031"/>
      <c r="JPR485" s="1031"/>
      <c r="JPS485" s="1031"/>
      <c r="JPT485" s="1031"/>
      <c r="JPU485" s="1031"/>
      <c r="JPV485" s="1031"/>
      <c r="JPW485" s="1031"/>
      <c r="JPX485" s="1031"/>
      <c r="JPY485" s="1031"/>
      <c r="JPZ485" s="1031"/>
      <c r="JQA485" s="1031"/>
      <c r="JQB485" s="1031"/>
      <c r="JQC485" s="1031"/>
      <c r="JQD485" s="1031"/>
      <c r="JQE485" s="1031"/>
      <c r="JQF485" s="1031"/>
      <c r="JQG485" s="1031"/>
      <c r="JQH485" s="1031"/>
      <c r="JQI485" s="1031"/>
      <c r="JQJ485" s="1031"/>
      <c r="JQK485" s="1031"/>
      <c r="JQL485" s="1031"/>
      <c r="JQM485" s="1031"/>
      <c r="JQN485" s="1031"/>
      <c r="JQO485" s="1031"/>
      <c r="JQP485" s="1031"/>
      <c r="JQQ485" s="1031"/>
      <c r="JQR485" s="1031"/>
      <c r="JQS485" s="1031"/>
      <c r="JQT485" s="1031"/>
      <c r="JQU485" s="1031"/>
      <c r="JQV485" s="1031"/>
      <c r="JQW485" s="1031"/>
      <c r="JQX485" s="1031"/>
      <c r="JQY485" s="1031"/>
      <c r="JQZ485" s="1031"/>
      <c r="JRA485" s="1031"/>
      <c r="JRB485" s="1031"/>
      <c r="JRC485" s="1031"/>
      <c r="JRD485" s="1031"/>
      <c r="JRE485" s="1031"/>
      <c r="JRF485" s="1031"/>
      <c r="JRG485" s="1031"/>
      <c r="JRH485" s="1031"/>
      <c r="JRI485" s="1031"/>
      <c r="JRJ485" s="1031"/>
      <c r="JRK485" s="1031"/>
      <c r="JRL485" s="1031"/>
      <c r="JRM485" s="1031"/>
      <c r="JRN485" s="1031"/>
      <c r="JRO485" s="1031"/>
      <c r="JRP485" s="1031"/>
      <c r="JRQ485" s="1031"/>
      <c r="JRR485" s="1031"/>
      <c r="JRS485" s="1031"/>
      <c r="JRT485" s="1031"/>
      <c r="JRU485" s="1031"/>
      <c r="JRV485" s="1031"/>
      <c r="JRW485" s="1031"/>
      <c r="JRX485" s="1031"/>
      <c r="JRY485" s="1031"/>
      <c r="JRZ485" s="1031"/>
      <c r="JSA485" s="1031"/>
      <c r="JSB485" s="1031"/>
      <c r="JSC485" s="1031"/>
      <c r="JSD485" s="1031"/>
      <c r="JSE485" s="1031"/>
      <c r="JSF485" s="1031"/>
      <c r="JSG485" s="1031"/>
      <c r="JSH485" s="1031"/>
      <c r="JSI485" s="1031"/>
      <c r="JSJ485" s="1031"/>
      <c r="JSK485" s="1031"/>
      <c r="JSL485" s="1031"/>
      <c r="JSM485" s="1031"/>
      <c r="JSN485" s="1031"/>
      <c r="JSO485" s="1031"/>
      <c r="JSP485" s="1031"/>
      <c r="JSQ485" s="1031"/>
      <c r="JSR485" s="1031"/>
      <c r="JSS485" s="1031"/>
      <c r="JST485" s="1031"/>
      <c r="JSU485" s="1031"/>
      <c r="JSV485" s="1031"/>
      <c r="JSW485" s="1031"/>
      <c r="JSX485" s="1031"/>
      <c r="JSY485" s="1031"/>
      <c r="JSZ485" s="1031"/>
      <c r="JTA485" s="1031"/>
      <c r="JTB485" s="1031"/>
      <c r="JTC485" s="1031"/>
      <c r="JTD485" s="1031"/>
      <c r="JTE485" s="1031"/>
      <c r="JTF485" s="1031"/>
      <c r="JTG485" s="1031"/>
      <c r="JTH485" s="1031"/>
      <c r="JTI485" s="1031"/>
      <c r="JTJ485" s="1031"/>
      <c r="JTK485" s="1031"/>
      <c r="JTL485" s="1031"/>
      <c r="JTM485" s="1031"/>
      <c r="JTN485" s="1031"/>
      <c r="JTO485" s="1031"/>
      <c r="JTP485" s="1031"/>
      <c r="JTQ485" s="1031"/>
      <c r="JTR485" s="1031"/>
      <c r="JTS485" s="1031"/>
      <c r="JTT485" s="1031"/>
      <c r="JTU485" s="1031"/>
      <c r="JTV485" s="1031"/>
      <c r="JTW485" s="1031"/>
      <c r="JTX485" s="1031"/>
      <c r="JTY485" s="1031"/>
      <c r="JTZ485" s="1031"/>
      <c r="JUA485" s="1031"/>
      <c r="JUB485" s="1031"/>
      <c r="JUC485" s="1031"/>
      <c r="JUD485" s="1031"/>
      <c r="JUE485" s="1031"/>
      <c r="JUF485" s="1031"/>
      <c r="JUG485" s="1031"/>
      <c r="JUH485" s="1031"/>
      <c r="JUI485" s="1031"/>
      <c r="JUJ485" s="1031"/>
      <c r="JUK485" s="1031"/>
      <c r="JUL485" s="1031"/>
      <c r="JUM485" s="1031"/>
      <c r="JUN485" s="1031"/>
      <c r="JUO485" s="1031"/>
      <c r="JUP485" s="1031"/>
      <c r="JUQ485" s="1031"/>
      <c r="JUR485" s="1031"/>
      <c r="JUS485" s="1031"/>
      <c r="JUT485" s="1031"/>
      <c r="JUU485" s="1031"/>
      <c r="JUV485" s="1031"/>
      <c r="JUW485" s="1031"/>
      <c r="JUX485" s="1031"/>
      <c r="JUY485" s="1031"/>
      <c r="JUZ485" s="1031"/>
      <c r="JVA485" s="1031"/>
      <c r="JVB485" s="1031"/>
      <c r="JVC485" s="1031"/>
      <c r="JVD485" s="1031"/>
      <c r="JVE485" s="1031"/>
      <c r="JVF485" s="1031"/>
      <c r="JVG485" s="1031"/>
      <c r="JVH485" s="1031"/>
      <c r="JVI485" s="1031"/>
      <c r="JVJ485" s="1031"/>
      <c r="JVK485" s="1031"/>
      <c r="JVL485" s="1031"/>
      <c r="JVM485" s="1031"/>
      <c r="JVN485" s="1031"/>
      <c r="JVO485" s="1031"/>
      <c r="JVP485" s="1031"/>
      <c r="JVQ485" s="1031"/>
      <c r="JVR485" s="1031"/>
      <c r="JVS485" s="1031"/>
      <c r="JVT485" s="1031"/>
      <c r="JVU485" s="1031"/>
      <c r="JVV485" s="1031"/>
      <c r="JVW485" s="1031"/>
      <c r="JVX485" s="1031"/>
      <c r="JVY485" s="1031"/>
      <c r="JVZ485" s="1031"/>
      <c r="JWA485" s="1031"/>
      <c r="JWB485" s="1031"/>
      <c r="JWC485" s="1031"/>
      <c r="JWD485" s="1031"/>
      <c r="JWE485" s="1031"/>
      <c r="JWF485" s="1031"/>
      <c r="JWG485" s="1031"/>
      <c r="JWH485" s="1031"/>
      <c r="JWI485" s="1031"/>
      <c r="JWJ485" s="1031"/>
      <c r="JWK485" s="1031"/>
      <c r="JWL485" s="1031"/>
      <c r="JWM485" s="1031"/>
      <c r="JWN485" s="1031"/>
      <c r="JWO485" s="1031"/>
      <c r="JWP485" s="1031"/>
      <c r="JWQ485" s="1031"/>
      <c r="JWR485" s="1031"/>
      <c r="JWS485" s="1031"/>
      <c r="JWT485" s="1031"/>
      <c r="JWU485" s="1031"/>
      <c r="JWV485" s="1031"/>
      <c r="JWW485" s="1031"/>
      <c r="JWX485" s="1031"/>
      <c r="JWY485" s="1031"/>
      <c r="JWZ485" s="1031"/>
      <c r="JXA485" s="1031"/>
      <c r="JXB485" s="1031"/>
      <c r="JXC485" s="1031"/>
      <c r="JXD485" s="1031"/>
      <c r="JXE485" s="1031"/>
      <c r="JXF485" s="1031"/>
      <c r="JXG485" s="1031"/>
      <c r="JXH485" s="1031"/>
      <c r="JXI485" s="1031"/>
      <c r="JXJ485" s="1031"/>
      <c r="JXK485" s="1031"/>
      <c r="JXL485" s="1031"/>
      <c r="JXM485" s="1031"/>
      <c r="JXN485" s="1031"/>
      <c r="JXO485" s="1031"/>
      <c r="JXP485" s="1031"/>
      <c r="JXQ485" s="1031"/>
      <c r="JXR485" s="1031"/>
      <c r="JXS485" s="1031"/>
      <c r="JXT485" s="1031"/>
      <c r="JXU485" s="1031"/>
      <c r="JXV485" s="1031"/>
      <c r="JXW485" s="1031"/>
      <c r="JXX485" s="1031"/>
      <c r="JXY485" s="1031"/>
      <c r="JXZ485" s="1031"/>
      <c r="JYA485" s="1031"/>
      <c r="JYB485" s="1031"/>
      <c r="JYC485" s="1031"/>
      <c r="JYD485" s="1031"/>
      <c r="JYE485" s="1031"/>
      <c r="JYF485" s="1031"/>
      <c r="JYG485" s="1031"/>
      <c r="JYH485" s="1031"/>
      <c r="JYI485" s="1031"/>
      <c r="JYJ485" s="1031"/>
      <c r="JYK485" s="1031"/>
      <c r="JYL485" s="1031"/>
      <c r="JYM485" s="1031"/>
      <c r="JYN485" s="1031"/>
      <c r="JYO485" s="1031"/>
      <c r="JYP485" s="1031"/>
      <c r="JYQ485" s="1031"/>
      <c r="JYR485" s="1031"/>
      <c r="JYS485" s="1031"/>
      <c r="JYT485" s="1031"/>
      <c r="JYU485" s="1031"/>
      <c r="JYV485" s="1031"/>
      <c r="JYW485" s="1031"/>
      <c r="JYX485" s="1031"/>
      <c r="JYY485" s="1031"/>
      <c r="JYZ485" s="1031"/>
      <c r="JZA485" s="1031"/>
      <c r="JZB485" s="1031"/>
      <c r="JZC485" s="1031"/>
      <c r="JZD485" s="1031"/>
      <c r="JZE485" s="1031"/>
      <c r="JZF485" s="1031"/>
      <c r="JZG485" s="1031"/>
      <c r="JZH485" s="1031"/>
      <c r="JZI485" s="1031"/>
      <c r="JZJ485" s="1031"/>
      <c r="JZK485" s="1031"/>
      <c r="JZL485" s="1031"/>
      <c r="JZM485" s="1031"/>
      <c r="JZN485" s="1031"/>
      <c r="JZO485" s="1031"/>
      <c r="JZP485" s="1031"/>
      <c r="JZQ485" s="1031"/>
      <c r="JZR485" s="1031"/>
      <c r="JZS485" s="1031"/>
      <c r="JZT485" s="1031"/>
      <c r="JZU485" s="1031"/>
      <c r="JZV485" s="1031"/>
      <c r="JZW485" s="1031"/>
      <c r="JZX485" s="1031"/>
      <c r="JZY485" s="1031"/>
      <c r="JZZ485" s="1031"/>
      <c r="KAA485" s="1031"/>
      <c r="KAB485" s="1031"/>
      <c r="KAC485" s="1031"/>
      <c r="KAD485" s="1031"/>
      <c r="KAE485" s="1031"/>
      <c r="KAF485" s="1031"/>
      <c r="KAG485" s="1031"/>
      <c r="KAH485" s="1031"/>
      <c r="KAI485" s="1031"/>
      <c r="KAJ485" s="1031"/>
      <c r="KAK485" s="1031"/>
      <c r="KAL485" s="1031"/>
      <c r="KAM485" s="1031"/>
      <c r="KAN485" s="1031"/>
      <c r="KAO485" s="1031"/>
      <c r="KAP485" s="1031"/>
      <c r="KAQ485" s="1031"/>
      <c r="KAR485" s="1031"/>
      <c r="KAS485" s="1031"/>
      <c r="KAT485" s="1031"/>
      <c r="KAU485" s="1031"/>
      <c r="KAV485" s="1031"/>
      <c r="KAW485" s="1031"/>
      <c r="KAX485" s="1031"/>
      <c r="KAY485" s="1031"/>
      <c r="KAZ485" s="1031"/>
      <c r="KBA485" s="1031"/>
      <c r="KBB485" s="1031"/>
      <c r="KBC485" s="1031"/>
      <c r="KBD485" s="1031"/>
      <c r="KBE485" s="1031"/>
      <c r="KBF485" s="1031"/>
      <c r="KBG485" s="1031"/>
      <c r="KBH485" s="1031"/>
      <c r="KBI485" s="1031"/>
      <c r="KBJ485" s="1031"/>
      <c r="KBK485" s="1031"/>
      <c r="KBL485" s="1031"/>
      <c r="KBM485" s="1031"/>
      <c r="KBN485" s="1031"/>
      <c r="KBO485" s="1031"/>
      <c r="KBP485" s="1031"/>
      <c r="KBQ485" s="1031"/>
      <c r="KBR485" s="1031"/>
      <c r="KBS485" s="1031"/>
      <c r="KBT485" s="1031"/>
      <c r="KBU485" s="1031"/>
      <c r="KBV485" s="1031"/>
      <c r="KBW485" s="1031"/>
      <c r="KBX485" s="1031"/>
      <c r="KBY485" s="1031"/>
      <c r="KBZ485" s="1031"/>
      <c r="KCA485" s="1031"/>
      <c r="KCB485" s="1031"/>
      <c r="KCC485" s="1031"/>
      <c r="KCD485" s="1031"/>
      <c r="KCE485" s="1031"/>
      <c r="KCF485" s="1031"/>
      <c r="KCG485" s="1031"/>
      <c r="KCH485" s="1031"/>
      <c r="KCI485" s="1031"/>
      <c r="KCJ485" s="1031"/>
      <c r="KCK485" s="1031"/>
      <c r="KCL485" s="1031"/>
      <c r="KCM485" s="1031"/>
      <c r="KCN485" s="1031"/>
      <c r="KCO485" s="1031"/>
      <c r="KCP485" s="1031"/>
      <c r="KCQ485" s="1031"/>
      <c r="KCR485" s="1031"/>
      <c r="KCS485" s="1031"/>
      <c r="KCT485" s="1031"/>
      <c r="KCU485" s="1031"/>
      <c r="KCV485" s="1031"/>
      <c r="KCW485" s="1031"/>
      <c r="KCX485" s="1031"/>
      <c r="KCY485" s="1031"/>
      <c r="KCZ485" s="1031"/>
      <c r="KDA485" s="1031"/>
      <c r="KDB485" s="1031"/>
      <c r="KDC485" s="1031"/>
      <c r="KDD485" s="1031"/>
      <c r="KDE485" s="1031"/>
      <c r="KDF485" s="1031"/>
      <c r="KDG485" s="1031"/>
      <c r="KDH485" s="1031"/>
      <c r="KDI485" s="1031"/>
      <c r="KDJ485" s="1031"/>
      <c r="KDK485" s="1031"/>
      <c r="KDL485" s="1031"/>
      <c r="KDM485" s="1031"/>
      <c r="KDN485" s="1031"/>
      <c r="KDO485" s="1031"/>
      <c r="KDP485" s="1031"/>
      <c r="KDQ485" s="1031"/>
      <c r="KDR485" s="1031"/>
      <c r="KDS485" s="1031"/>
      <c r="KDT485" s="1031"/>
      <c r="KDU485" s="1031"/>
      <c r="KDV485" s="1031"/>
      <c r="KDW485" s="1031"/>
      <c r="KDX485" s="1031"/>
      <c r="KDY485" s="1031"/>
      <c r="KDZ485" s="1031"/>
      <c r="KEA485" s="1031"/>
      <c r="KEB485" s="1031"/>
      <c r="KEC485" s="1031"/>
      <c r="KED485" s="1031"/>
      <c r="KEE485" s="1031"/>
      <c r="KEF485" s="1031"/>
      <c r="KEG485" s="1031"/>
      <c r="KEH485" s="1031"/>
      <c r="KEI485" s="1031"/>
      <c r="KEJ485" s="1031"/>
      <c r="KEK485" s="1031"/>
      <c r="KEL485" s="1031"/>
      <c r="KEM485" s="1031"/>
      <c r="KEN485" s="1031"/>
      <c r="KEO485" s="1031"/>
      <c r="KEP485" s="1031"/>
      <c r="KEQ485" s="1031"/>
      <c r="KER485" s="1031"/>
      <c r="KES485" s="1031"/>
      <c r="KET485" s="1031"/>
      <c r="KEU485" s="1031"/>
      <c r="KEV485" s="1031"/>
      <c r="KEW485" s="1031"/>
      <c r="KEX485" s="1031"/>
      <c r="KEY485" s="1031"/>
      <c r="KEZ485" s="1031"/>
      <c r="KFA485" s="1031"/>
      <c r="KFB485" s="1031"/>
      <c r="KFC485" s="1031"/>
      <c r="KFD485" s="1031"/>
      <c r="KFE485" s="1031"/>
      <c r="KFF485" s="1031"/>
      <c r="KFG485" s="1031"/>
      <c r="KFH485" s="1031"/>
      <c r="KFI485" s="1031"/>
      <c r="KFJ485" s="1031"/>
      <c r="KFK485" s="1031"/>
      <c r="KFL485" s="1031"/>
      <c r="KFM485" s="1031"/>
      <c r="KFN485" s="1031"/>
      <c r="KFO485" s="1031"/>
      <c r="KFP485" s="1031"/>
      <c r="KFQ485" s="1031"/>
      <c r="KFR485" s="1031"/>
      <c r="KFS485" s="1031"/>
      <c r="KFT485" s="1031"/>
      <c r="KFU485" s="1031"/>
      <c r="KFV485" s="1031"/>
      <c r="KFW485" s="1031"/>
      <c r="KFX485" s="1031"/>
      <c r="KFY485" s="1031"/>
      <c r="KFZ485" s="1031"/>
      <c r="KGA485" s="1031"/>
      <c r="KGB485" s="1031"/>
      <c r="KGC485" s="1031"/>
      <c r="KGD485" s="1031"/>
      <c r="KGE485" s="1031"/>
      <c r="KGF485" s="1031"/>
      <c r="KGG485" s="1031"/>
      <c r="KGH485" s="1031"/>
      <c r="KGI485" s="1031"/>
      <c r="KGJ485" s="1031"/>
      <c r="KGK485" s="1031"/>
      <c r="KGL485" s="1031"/>
      <c r="KGM485" s="1031"/>
      <c r="KGN485" s="1031"/>
      <c r="KGO485" s="1031"/>
      <c r="KGP485" s="1031"/>
      <c r="KGQ485" s="1031"/>
      <c r="KGR485" s="1031"/>
      <c r="KGS485" s="1031"/>
      <c r="KGT485" s="1031"/>
      <c r="KGU485" s="1031"/>
      <c r="KGV485" s="1031"/>
      <c r="KGW485" s="1031"/>
      <c r="KGX485" s="1031"/>
      <c r="KGY485" s="1031"/>
      <c r="KGZ485" s="1031"/>
      <c r="KHA485" s="1031"/>
      <c r="KHB485" s="1031"/>
      <c r="KHC485" s="1031"/>
      <c r="KHD485" s="1031"/>
      <c r="KHE485" s="1031"/>
      <c r="KHF485" s="1031"/>
      <c r="KHG485" s="1031"/>
      <c r="KHH485" s="1031"/>
      <c r="KHI485" s="1031"/>
      <c r="KHJ485" s="1031"/>
      <c r="KHK485" s="1031"/>
      <c r="KHL485" s="1031"/>
      <c r="KHM485" s="1031"/>
      <c r="KHN485" s="1031"/>
      <c r="KHO485" s="1031"/>
      <c r="KHP485" s="1031"/>
      <c r="KHQ485" s="1031"/>
      <c r="KHR485" s="1031"/>
      <c r="KHS485" s="1031"/>
      <c r="KHT485" s="1031"/>
      <c r="KHU485" s="1031"/>
      <c r="KHV485" s="1031"/>
      <c r="KHW485" s="1031"/>
      <c r="KHX485" s="1031"/>
      <c r="KHY485" s="1031"/>
      <c r="KHZ485" s="1031"/>
      <c r="KIA485" s="1031"/>
      <c r="KIB485" s="1031"/>
      <c r="KIC485" s="1031"/>
      <c r="KID485" s="1031"/>
      <c r="KIE485" s="1031"/>
      <c r="KIF485" s="1031"/>
      <c r="KIG485" s="1031"/>
      <c r="KIH485" s="1031"/>
      <c r="KII485" s="1031"/>
      <c r="KIJ485" s="1031"/>
      <c r="KIK485" s="1031"/>
      <c r="KIL485" s="1031"/>
      <c r="KIM485" s="1031"/>
      <c r="KIN485" s="1031"/>
      <c r="KIO485" s="1031"/>
      <c r="KIP485" s="1031"/>
      <c r="KIQ485" s="1031"/>
      <c r="KIR485" s="1031"/>
      <c r="KIS485" s="1031"/>
      <c r="KIT485" s="1031"/>
      <c r="KIU485" s="1031"/>
      <c r="KIV485" s="1031"/>
      <c r="KIW485" s="1031"/>
      <c r="KIX485" s="1031"/>
      <c r="KIY485" s="1031"/>
      <c r="KIZ485" s="1031"/>
      <c r="KJA485" s="1031"/>
      <c r="KJB485" s="1031"/>
      <c r="KJC485" s="1031"/>
      <c r="KJD485" s="1031"/>
      <c r="KJE485" s="1031"/>
      <c r="KJF485" s="1031"/>
      <c r="KJG485" s="1031"/>
      <c r="KJH485" s="1031"/>
      <c r="KJI485" s="1031"/>
      <c r="KJJ485" s="1031"/>
      <c r="KJK485" s="1031"/>
      <c r="KJL485" s="1031"/>
      <c r="KJM485" s="1031"/>
      <c r="KJN485" s="1031"/>
      <c r="KJO485" s="1031"/>
      <c r="KJP485" s="1031"/>
      <c r="KJQ485" s="1031"/>
      <c r="KJR485" s="1031"/>
      <c r="KJS485" s="1031"/>
      <c r="KJT485" s="1031"/>
      <c r="KJU485" s="1031"/>
      <c r="KJV485" s="1031"/>
      <c r="KJW485" s="1031"/>
      <c r="KJX485" s="1031"/>
      <c r="KJY485" s="1031"/>
      <c r="KJZ485" s="1031"/>
      <c r="KKA485" s="1031"/>
      <c r="KKB485" s="1031"/>
      <c r="KKC485" s="1031"/>
      <c r="KKD485" s="1031"/>
      <c r="KKE485" s="1031"/>
      <c r="KKF485" s="1031"/>
      <c r="KKG485" s="1031"/>
      <c r="KKH485" s="1031"/>
      <c r="KKI485" s="1031"/>
      <c r="KKJ485" s="1031"/>
      <c r="KKK485" s="1031"/>
      <c r="KKL485" s="1031"/>
      <c r="KKM485" s="1031"/>
      <c r="KKN485" s="1031"/>
      <c r="KKO485" s="1031"/>
      <c r="KKP485" s="1031"/>
      <c r="KKQ485" s="1031"/>
      <c r="KKR485" s="1031"/>
      <c r="KKS485" s="1031"/>
      <c r="KKT485" s="1031"/>
      <c r="KKU485" s="1031"/>
      <c r="KKV485" s="1031"/>
      <c r="KKW485" s="1031"/>
      <c r="KKX485" s="1031"/>
      <c r="KKY485" s="1031"/>
      <c r="KKZ485" s="1031"/>
      <c r="KLA485" s="1031"/>
      <c r="KLB485" s="1031"/>
      <c r="KLC485" s="1031"/>
      <c r="KLD485" s="1031"/>
      <c r="KLE485" s="1031"/>
      <c r="KLF485" s="1031"/>
      <c r="KLG485" s="1031"/>
      <c r="KLH485" s="1031"/>
      <c r="KLI485" s="1031"/>
      <c r="KLJ485" s="1031"/>
      <c r="KLK485" s="1031"/>
      <c r="KLL485" s="1031"/>
      <c r="KLM485" s="1031"/>
      <c r="KLN485" s="1031"/>
      <c r="KLO485" s="1031"/>
      <c r="KLP485" s="1031"/>
      <c r="KLQ485" s="1031"/>
      <c r="KLR485" s="1031"/>
      <c r="KLS485" s="1031"/>
      <c r="KLT485" s="1031"/>
      <c r="KLU485" s="1031"/>
      <c r="KLV485" s="1031"/>
      <c r="KLW485" s="1031"/>
      <c r="KLX485" s="1031"/>
      <c r="KLY485" s="1031"/>
      <c r="KLZ485" s="1031"/>
      <c r="KMA485" s="1031"/>
      <c r="KMB485" s="1031"/>
      <c r="KMC485" s="1031"/>
      <c r="KMD485" s="1031"/>
      <c r="KME485" s="1031"/>
      <c r="KMF485" s="1031"/>
      <c r="KMG485" s="1031"/>
      <c r="KMH485" s="1031"/>
      <c r="KMI485" s="1031"/>
      <c r="KMJ485" s="1031"/>
      <c r="KMK485" s="1031"/>
      <c r="KML485" s="1031"/>
      <c r="KMM485" s="1031"/>
      <c r="KMN485" s="1031"/>
      <c r="KMO485" s="1031"/>
      <c r="KMP485" s="1031"/>
      <c r="KMQ485" s="1031"/>
      <c r="KMR485" s="1031"/>
      <c r="KMS485" s="1031"/>
      <c r="KMT485" s="1031"/>
      <c r="KMU485" s="1031"/>
      <c r="KMV485" s="1031"/>
      <c r="KMW485" s="1031"/>
      <c r="KMX485" s="1031"/>
      <c r="KMY485" s="1031"/>
      <c r="KMZ485" s="1031"/>
      <c r="KNA485" s="1031"/>
      <c r="KNB485" s="1031"/>
      <c r="KNC485" s="1031"/>
      <c r="KND485" s="1031"/>
      <c r="KNE485" s="1031"/>
      <c r="KNF485" s="1031"/>
      <c r="KNG485" s="1031"/>
      <c r="KNH485" s="1031"/>
      <c r="KNI485" s="1031"/>
      <c r="KNJ485" s="1031"/>
      <c r="KNK485" s="1031"/>
      <c r="KNL485" s="1031"/>
      <c r="KNM485" s="1031"/>
      <c r="KNN485" s="1031"/>
      <c r="KNO485" s="1031"/>
      <c r="KNP485" s="1031"/>
      <c r="KNQ485" s="1031"/>
      <c r="KNR485" s="1031"/>
      <c r="KNS485" s="1031"/>
      <c r="KNT485" s="1031"/>
      <c r="KNU485" s="1031"/>
      <c r="KNV485" s="1031"/>
      <c r="KNW485" s="1031"/>
      <c r="KNX485" s="1031"/>
      <c r="KNY485" s="1031"/>
      <c r="KNZ485" s="1031"/>
      <c r="KOA485" s="1031"/>
      <c r="KOB485" s="1031"/>
      <c r="KOC485" s="1031"/>
      <c r="KOD485" s="1031"/>
      <c r="KOE485" s="1031"/>
      <c r="KOF485" s="1031"/>
      <c r="KOG485" s="1031"/>
      <c r="KOH485" s="1031"/>
      <c r="KOI485" s="1031"/>
      <c r="KOJ485" s="1031"/>
      <c r="KOK485" s="1031"/>
      <c r="KOL485" s="1031"/>
      <c r="KOM485" s="1031"/>
      <c r="KON485" s="1031"/>
      <c r="KOO485" s="1031"/>
      <c r="KOP485" s="1031"/>
      <c r="KOQ485" s="1031"/>
      <c r="KOR485" s="1031"/>
      <c r="KOS485" s="1031"/>
      <c r="KOT485" s="1031"/>
      <c r="KOU485" s="1031"/>
      <c r="KOV485" s="1031"/>
      <c r="KOW485" s="1031"/>
      <c r="KOX485" s="1031"/>
      <c r="KOY485" s="1031"/>
      <c r="KOZ485" s="1031"/>
      <c r="KPA485" s="1031"/>
      <c r="KPB485" s="1031"/>
      <c r="KPC485" s="1031"/>
      <c r="KPD485" s="1031"/>
      <c r="KPE485" s="1031"/>
      <c r="KPF485" s="1031"/>
      <c r="KPG485" s="1031"/>
      <c r="KPH485" s="1031"/>
      <c r="KPI485" s="1031"/>
      <c r="KPJ485" s="1031"/>
      <c r="KPK485" s="1031"/>
      <c r="KPL485" s="1031"/>
      <c r="KPM485" s="1031"/>
      <c r="KPN485" s="1031"/>
      <c r="KPO485" s="1031"/>
      <c r="KPP485" s="1031"/>
      <c r="KPQ485" s="1031"/>
      <c r="KPR485" s="1031"/>
      <c r="KPS485" s="1031"/>
      <c r="KPT485" s="1031"/>
      <c r="KPU485" s="1031"/>
      <c r="KPV485" s="1031"/>
      <c r="KPW485" s="1031"/>
      <c r="KPX485" s="1031"/>
      <c r="KPY485" s="1031"/>
      <c r="KPZ485" s="1031"/>
      <c r="KQA485" s="1031"/>
      <c r="KQB485" s="1031"/>
      <c r="KQC485" s="1031"/>
      <c r="KQD485" s="1031"/>
      <c r="KQE485" s="1031"/>
      <c r="KQF485" s="1031"/>
      <c r="KQG485" s="1031"/>
      <c r="KQH485" s="1031"/>
      <c r="KQI485" s="1031"/>
      <c r="KQJ485" s="1031"/>
      <c r="KQK485" s="1031"/>
      <c r="KQL485" s="1031"/>
      <c r="KQM485" s="1031"/>
      <c r="KQN485" s="1031"/>
      <c r="KQO485" s="1031"/>
      <c r="KQP485" s="1031"/>
      <c r="KQQ485" s="1031"/>
      <c r="KQR485" s="1031"/>
      <c r="KQS485" s="1031"/>
      <c r="KQT485" s="1031"/>
      <c r="KQU485" s="1031"/>
      <c r="KQV485" s="1031"/>
      <c r="KQW485" s="1031"/>
      <c r="KQX485" s="1031"/>
      <c r="KQY485" s="1031"/>
      <c r="KQZ485" s="1031"/>
      <c r="KRA485" s="1031"/>
      <c r="KRB485" s="1031"/>
      <c r="KRC485" s="1031"/>
      <c r="KRD485" s="1031"/>
      <c r="KRE485" s="1031"/>
      <c r="KRF485" s="1031"/>
      <c r="KRG485" s="1031"/>
      <c r="KRH485" s="1031"/>
      <c r="KRI485" s="1031"/>
      <c r="KRJ485" s="1031"/>
      <c r="KRK485" s="1031"/>
      <c r="KRL485" s="1031"/>
      <c r="KRM485" s="1031"/>
      <c r="KRN485" s="1031"/>
      <c r="KRO485" s="1031"/>
      <c r="KRP485" s="1031"/>
      <c r="KRQ485" s="1031"/>
      <c r="KRR485" s="1031"/>
      <c r="KRS485" s="1031"/>
      <c r="KRT485" s="1031"/>
      <c r="KRU485" s="1031"/>
      <c r="KRV485" s="1031"/>
      <c r="KRW485" s="1031"/>
      <c r="KRX485" s="1031"/>
      <c r="KRY485" s="1031"/>
      <c r="KRZ485" s="1031"/>
      <c r="KSA485" s="1031"/>
      <c r="KSB485" s="1031"/>
      <c r="KSC485" s="1031"/>
      <c r="KSD485" s="1031"/>
      <c r="KSE485" s="1031"/>
      <c r="KSF485" s="1031"/>
      <c r="KSG485" s="1031"/>
      <c r="KSH485" s="1031"/>
      <c r="KSI485" s="1031"/>
      <c r="KSJ485" s="1031"/>
      <c r="KSK485" s="1031"/>
      <c r="KSL485" s="1031"/>
      <c r="KSM485" s="1031"/>
      <c r="KSN485" s="1031"/>
      <c r="KSO485" s="1031"/>
      <c r="KSP485" s="1031"/>
      <c r="KSQ485" s="1031"/>
      <c r="KSR485" s="1031"/>
      <c r="KSS485" s="1031"/>
      <c r="KST485" s="1031"/>
      <c r="KSU485" s="1031"/>
      <c r="KSV485" s="1031"/>
      <c r="KSW485" s="1031"/>
      <c r="KSX485" s="1031"/>
      <c r="KSY485" s="1031"/>
      <c r="KSZ485" s="1031"/>
      <c r="KTA485" s="1031"/>
      <c r="KTB485" s="1031"/>
      <c r="KTC485" s="1031"/>
      <c r="KTD485" s="1031"/>
      <c r="KTE485" s="1031"/>
      <c r="KTF485" s="1031"/>
      <c r="KTG485" s="1031"/>
      <c r="KTH485" s="1031"/>
      <c r="KTI485" s="1031"/>
      <c r="KTJ485" s="1031"/>
      <c r="KTK485" s="1031"/>
      <c r="KTL485" s="1031"/>
      <c r="KTM485" s="1031"/>
      <c r="KTN485" s="1031"/>
      <c r="KTO485" s="1031"/>
      <c r="KTP485" s="1031"/>
      <c r="KTQ485" s="1031"/>
      <c r="KTR485" s="1031"/>
      <c r="KTS485" s="1031"/>
      <c r="KTT485" s="1031"/>
      <c r="KTU485" s="1031"/>
      <c r="KTV485" s="1031"/>
      <c r="KTW485" s="1031"/>
      <c r="KTX485" s="1031"/>
      <c r="KTY485" s="1031"/>
      <c r="KTZ485" s="1031"/>
      <c r="KUA485" s="1031"/>
      <c r="KUB485" s="1031"/>
      <c r="KUC485" s="1031"/>
      <c r="KUD485" s="1031"/>
      <c r="KUE485" s="1031"/>
      <c r="KUF485" s="1031"/>
      <c r="KUG485" s="1031"/>
      <c r="KUH485" s="1031"/>
      <c r="KUI485" s="1031"/>
      <c r="KUJ485" s="1031"/>
      <c r="KUK485" s="1031"/>
      <c r="KUL485" s="1031"/>
      <c r="KUM485" s="1031"/>
      <c r="KUN485" s="1031"/>
      <c r="KUO485" s="1031"/>
      <c r="KUP485" s="1031"/>
      <c r="KUQ485" s="1031"/>
      <c r="KUR485" s="1031"/>
      <c r="KUS485" s="1031"/>
      <c r="KUT485" s="1031"/>
      <c r="KUU485" s="1031"/>
      <c r="KUV485" s="1031"/>
      <c r="KUW485" s="1031"/>
      <c r="KUX485" s="1031"/>
      <c r="KUY485" s="1031"/>
      <c r="KUZ485" s="1031"/>
      <c r="KVA485" s="1031"/>
      <c r="KVB485" s="1031"/>
      <c r="KVC485" s="1031"/>
      <c r="KVD485" s="1031"/>
      <c r="KVE485" s="1031"/>
      <c r="KVF485" s="1031"/>
      <c r="KVG485" s="1031"/>
      <c r="KVH485" s="1031"/>
      <c r="KVI485" s="1031"/>
      <c r="KVJ485" s="1031"/>
      <c r="KVK485" s="1031"/>
      <c r="KVL485" s="1031"/>
      <c r="KVM485" s="1031"/>
      <c r="KVN485" s="1031"/>
      <c r="KVO485" s="1031"/>
      <c r="KVP485" s="1031"/>
      <c r="KVQ485" s="1031"/>
      <c r="KVR485" s="1031"/>
      <c r="KVS485" s="1031"/>
      <c r="KVT485" s="1031"/>
      <c r="KVU485" s="1031"/>
      <c r="KVV485" s="1031"/>
      <c r="KVW485" s="1031"/>
      <c r="KVX485" s="1031"/>
      <c r="KVY485" s="1031"/>
      <c r="KVZ485" s="1031"/>
      <c r="KWA485" s="1031"/>
      <c r="KWB485" s="1031"/>
      <c r="KWC485" s="1031"/>
      <c r="KWD485" s="1031"/>
      <c r="KWE485" s="1031"/>
      <c r="KWF485" s="1031"/>
      <c r="KWG485" s="1031"/>
      <c r="KWH485" s="1031"/>
      <c r="KWI485" s="1031"/>
      <c r="KWJ485" s="1031"/>
      <c r="KWK485" s="1031"/>
      <c r="KWL485" s="1031"/>
      <c r="KWM485" s="1031"/>
      <c r="KWN485" s="1031"/>
      <c r="KWO485" s="1031"/>
      <c r="KWP485" s="1031"/>
      <c r="KWQ485" s="1031"/>
      <c r="KWR485" s="1031"/>
      <c r="KWS485" s="1031"/>
      <c r="KWT485" s="1031"/>
      <c r="KWU485" s="1031"/>
      <c r="KWV485" s="1031"/>
      <c r="KWW485" s="1031"/>
      <c r="KWX485" s="1031"/>
      <c r="KWY485" s="1031"/>
      <c r="KWZ485" s="1031"/>
      <c r="KXA485" s="1031"/>
      <c r="KXB485" s="1031"/>
      <c r="KXC485" s="1031"/>
      <c r="KXD485" s="1031"/>
      <c r="KXE485" s="1031"/>
      <c r="KXF485" s="1031"/>
      <c r="KXG485" s="1031"/>
      <c r="KXH485" s="1031"/>
      <c r="KXI485" s="1031"/>
      <c r="KXJ485" s="1031"/>
      <c r="KXK485" s="1031"/>
      <c r="KXL485" s="1031"/>
      <c r="KXM485" s="1031"/>
      <c r="KXN485" s="1031"/>
      <c r="KXO485" s="1031"/>
      <c r="KXP485" s="1031"/>
      <c r="KXQ485" s="1031"/>
      <c r="KXR485" s="1031"/>
      <c r="KXS485" s="1031"/>
      <c r="KXT485" s="1031"/>
      <c r="KXU485" s="1031"/>
      <c r="KXV485" s="1031"/>
      <c r="KXW485" s="1031"/>
      <c r="KXX485" s="1031"/>
      <c r="KXY485" s="1031"/>
      <c r="KXZ485" s="1031"/>
      <c r="KYA485" s="1031"/>
      <c r="KYB485" s="1031"/>
      <c r="KYC485" s="1031"/>
      <c r="KYD485" s="1031"/>
      <c r="KYE485" s="1031"/>
      <c r="KYF485" s="1031"/>
      <c r="KYG485" s="1031"/>
      <c r="KYH485" s="1031"/>
      <c r="KYI485" s="1031"/>
      <c r="KYJ485" s="1031"/>
      <c r="KYK485" s="1031"/>
      <c r="KYL485" s="1031"/>
      <c r="KYM485" s="1031"/>
      <c r="KYN485" s="1031"/>
      <c r="KYO485" s="1031"/>
      <c r="KYP485" s="1031"/>
      <c r="KYQ485" s="1031"/>
      <c r="KYR485" s="1031"/>
      <c r="KYS485" s="1031"/>
      <c r="KYT485" s="1031"/>
      <c r="KYU485" s="1031"/>
      <c r="KYV485" s="1031"/>
      <c r="KYW485" s="1031"/>
      <c r="KYX485" s="1031"/>
      <c r="KYY485" s="1031"/>
      <c r="KYZ485" s="1031"/>
      <c r="KZA485" s="1031"/>
      <c r="KZB485" s="1031"/>
      <c r="KZC485" s="1031"/>
      <c r="KZD485" s="1031"/>
      <c r="KZE485" s="1031"/>
      <c r="KZF485" s="1031"/>
      <c r="KZG485" s="1031"/>
      <c r="KZH485" s="1031"/>
      <c r="KZI485" s="1031"/>
      <c r="KZJ485" s="1031"/>
      <c r="KZK485" s="1031"/>
      <c r="KZL485" s="1031"/>
      <c r="KZM485" s="1031"/>
      <c r="KZN485" s="1031"/>
      <c r="KZO485" s="1031"/>
      <c r="KZP485" s="1031"/>
      <c r="KZQ485" s="1031"/>
      <c r="KZR485" s="1031"/>
      <c r="KZS485" s="1031"/>
      <c r="KZT485" s="1031"/>
      <c r="KZU485" s="1031"/>
      <c r="KZV485" s="1031"/>
      <c r="KZW485" s="1031"/>
      <c r="KZX485" s="1031"/>
      <c r="KZY485" s="1031"/>
      <c r="KZZ485" s="1031"/>
      <c r="LAA485" s="1031"/>
      <c r="LAB485" s="1031"/>
      <c r="LAC485" s="1031"/>
      <c r="LAD485" s="1031"/>
      <c r="LAE485" s="1031"/>
      <c r="LAF485" s="1031"/>
      <c r="LAG485" s="1031"/>
      <c r="LAH485" s="1031"/>
      <c r="LAI485" s="1031"/>
      <c r="LAJ485" s="1031"/>
      <c r="LAK485" s="1031"/>
      <c r="LAL485" s="1031"/>
      <c r="LAM485" s="1031"/>
      <c r="LAN485" s="1031"/>
      <c r="LAO485" s="1031"/>
      <c r="LAP485" s="1031"/>
      <c r="LAQ485" s="1031"/>
      <c r="LAR485" s="1031"/>
      <c r="LAS485" s="1031"/>
      <c r="LAT485" s="1031"/>
      <c r="LAU485" s="1031"/>
      <c r="LAV485" s="1031"/>
      <c r="LAW485" s="1031"/>
      <c r="LAX485" s="1031"/>
      <c r="LAY485" s="1031"/>
      <c r="LAZ485" s="1031"/>
      <c r="LBA485" s="1031"/>
      <c r="LBB485" s="1031"/>
      <c r="LBC485" s="1031"/>
      <c r="LBD485" s="1031"/>
      <c r="LBE485" s="1031"/>
      <c r="LBF485" s="1031"/>
      <c r="LBG485" s="1031"/>
      <c r="LBH485" s="1031"/>
      <c r="LBI485" s="1031"/>
      <c r="LBJ485" s="1031"/>
      <c r="LBK485" s="1031"/>
      <c r="LBL485" s="1031"/>
      <c r="LBM485" s="1031"/>
      <c r="LBN485" s="1031"/>
      <c r="LBO485" s="1031"/>
      <c r="LBP485" s="1031"/>
      <c r="LBQ485" s="1031"/>
      <c r="LBR485" s="1031"/>
      <c r="LBS485" s="1031"/>
      <c r="LBT485" s="1031"/>
      <c r="LBU485" s="1031"/>
      <c r="LBV485" s="1031"/>
      <c r="LBW485" s="1031"/>
      <c r="LBX485" s="1031"/>
      <c r="LBY485" s="1031"/>
      <c r="LBZ485" s="1031"/>
      <c r="LCA485" s="1031"/>
      <c r="LCB485" s="1031"/>
      <c r="LCC485" s="1031"/>
      <c r="LCD485" s="1031"/>
      <c r="LCE485" s="1031"/>
      <c r="LCF485" s="1031"/>
      <c r="LCG485" s="1031"/>
      <c r="LCH485" s="1031"/>
      <c r="LCI485" s="1031"/>
      <c r="LCJ485" s="1031"/>
      <c r="LCK485" s="1031"/>
      <c r="LCL485" s="1031"/>
      <c r="LCM485" s="1031"/>
      <c r="LCN485" s="1031"/>
      <c r="LCO485" s="1031"/>
      <c r="LCP485" s="1031"/>
      <c r="LCQ485" s="1031"/>
      <c r="LCR485" s="1031"/>
      <c r="LCS485" s="1031"/>
      <c r="LCT485" s="1031"/>
      <c r="LCU485" s="1031"/>
      <c r="LCV485" s="1031"/>
      <c r="LCW485" s="1031"/>
      <c r="LCX485" s="1031"/>
      <c r="LCY485" s="1031"/>
      <c r="LCZ485" s="1031"/>
      <c r="LDA485" s="1031"/>
      <c r="LDB485" s="1031"/>
      <c r="LDC485" s="1031"/>
      <c r="LDD485" s="1031"/>
      <c r="LDE485" s="1031"/>
      <c r="LDF485" s="1031"/>
      <c r="LDG485" s="1031"/>
      <c r="LDH485" s="1031"/>
      <c r="LDI485" s="1031"/>
      <c r="LDJ485" s="1031"/>
      <c r="LDK485" s="1031"/>
      <c r="LDL485" s="1031"/>
      <c r="LDM485" s="1031"/>
      <c r="LDN485" s="1031"/>
      <c r="LDO485" s="1031"/>
      <c r="LDP485" s="1031"/>
      <c r="LDQ485" s="1031"/>
      <c r="LDR485" s="1031"/>
      <c r="LDS485" s="1031"/>
      <c r="LDT485" s="1031"/>
      <c r="LDU485" s="1031"/>
      <c r="LDV485" s="1031"/>
      <c r="LDW485" s="1031"/>
      <c r="LDX485" s="1031"/>
      <c r="LDY485" s="1031"/>
      <c r="LDZ485" s="1031"/>
      <c r="LEA485" s="1031"/>
      <c r="LEB485" s="1031"/>
      <c r="LEC485" s="1031"/>
      <c r="LED485" s="1031"/>
      <c r="LEE485" s="1031"/>
      <c r="LEF485" s="1031"/>
      <c r="LEG485" s="1031"/>
      <c r="LEH485" s="1031"/>
      <c r="LEI485" s="1031"/>
      <c r="LEJ485" s="1031"/>
      <c r="LEK485" s="1031"/>
      <c r="LEL485" s="1031"/>
      <c r="LEM485" s="1031"/>
      <c r="LEN485" s="1031"/>
      <c r="LEO485" s="1031"/>
      <c r="LEP485" s="1031"/>
      <c r="LEQ485" s="1031"/>
      <c r="LER485" s="1031"/>
      <c r="LES485" s="1031"/>
      <c r="LET485" s="1031"/>
      <c r="LEU485" s="1031"/>
      <c r="LEV485" s="1031"/>
      <c r="LEW485" s="1031"/>
      <c r="LEX485" s="1031"/>
      <c r="LEY485" s="1031"/>
      <c r="LEZ485" s="1031"/>
      <c r="LFA485" s="1031"/>
      <c r="LFB485" s="1031"/>
      <c r="LFC485" s="1031"/>
      <c r="LFD485" s="1031"/>
      <c r="LFE485" s="1031"/>
      <c r="LFF485" s="1031"/>
      <c r="LFG485" s="1031"/>
      <c r="LFH485" s="1031"/>
      <c r="LFI485" s="1031"/>
      <c r="LFJ485" s="1031"/>
      <c r="LFK485" s="1031"/>
      <c r="LFL485" s="1031"/>
      <c r="LFM485" s="1031"/>
      <c r="LFN485" s="1031"/>
      <c r="LFO485" s="1031"/>
      <c r="LFP485" s="1031"/>
      <c r="LFQ485" s="1031"/>
      <c r="LFR485" s="1031"/>
      <c r="LFS485" s="1031"/>
      <c r="LFT485" s="1031"/>
      <c r="LFU485" s="1031"/>
      <c r="LFV485" s="1031"/>
      <c r="LFW485" s="1031"/>
      <c r="LFX485" s="1031"/>
      <c r="LFY485" s="1031"/>
      <c r="LFZ485" s="1031"/>
      <c r="LGA485" s="1031"/>
      <c r="LGB485" s="1031"/>
      <c r="LGC485" s="1031"/>
      <c r="LGD485" s="1031"/>
      <c r="LGE485" s="1031"/>
      <c r="LGF485" s="1031"/>
      <c r="LGG485" s="1031"/>
      <c r="LGH485" s="1031"/>
      <c r="LGI485" s="1031"/>
      <c r="LGJ485" s="1031"/>
      <c r="LGK485" s="1031"/>
      <c r="LGL485" s="1031"/>
      <c r="LGM485" s="1031"/>
      <c r="LGN485" s="1031"/>
      <c r="LGO485" s="1031"/>
      <c r="LGP485" s="1031"/>
      <c r="LGQ485" s="1031"/>
      <c r="LGR485" s="1031"/>
      <c r="LGS485" s="1031"/>
      <c r="LGT485" s="1031"/>
      <c r="LGU485" s="1031"/>
      <c r="LGV485" s="1031"/>
      <c r="LGW485" s="1031"/>
      <c r="LGX485" s="1031"/>
      <c r="LGY485" s="1031"/>
      <c r="LGZ485" s="1031"/>
      <c r="LHA485" s="1031"/>
      <c r="LHB485" s="1031"/>
      <c r="LHC485" s="1031"/>
      <c r="LHD485" s="1031"/>
      <c r="LHE485" s="1031"/>
      <c r="LHF485" s="1031"/>
      <c r="LHG485" s="1031"/>
      <c r="LHH485" s="1031"/>
      <c r="LHI485" s="1031"/>
      <c r="LHJ485" s="1031"/>
      <c r="LHK485" s="1031"/>
      <c r="LHL485" s="1031"/>
      <c r="LHM485" s="1031"/>
      <c r="LHN485" s="1031"/>
      <c r="LHO485" s="1031"/>
      <c r="LHP485" s="1031"/>
      <c r="LHQ485" s="1031"/>
      <c r="LHR485" s="1031"/>
      <c r="LHS485" s="1031"/>
      <c r="LHT485" s="1031"/>
      <c r="LHU485" s="1031"/>
      <c r="LHV485" s="1031"/>
      <c r="LHW485" s="1031"/>
      <c r="LHX485" s="1031"/>
      <c r="LHY485" s="1031"/>
      <c r="LHZ485" s="1031"/>
      <c r="LIA485" s="1031"/>
      <c r="LIB485" s="1031"/>
      <c r="LIC485" s="1031"/>
      <c r="LID485" s="1031"/>
      <c r="LIE485" s="1031"/>
      <c r="LIF485" s="1031"/>
      <c r="LIG485" s="1031"/>
      <c r="LIH485" s="1031"/>
      <c r="LII485" s="1031"/>
      <c r="LIJ485" s="1031"/>
      <c r="LIK485" s="1031"/>
      <c r="LIL485" s="1031"/>
      <c r="LIM485" s="1031"/>
      <c r="LIN485" s="1031"/>
      <c r="LIO485" s="1031"/>
      <c r="LIP485" s="1031"/>
      <c r="LIQ485" s="1031"/>
      <c r="LIR485" s="1031"/>
      <c r="LIS485" s="1031"/>
      <c r="LIT485" s="1031"/>
      <c r="LIU485" s="1031"/>
      <c r="LIV485" s="1031"/>
      <c r="LIW485" s="1031"/>
      <c r="LIX485" s="1031"/>
      <c r="LIY485" s="1031"/>
      <c r="LIZ485" s="1031"/>
      <c r="LJA485" s="1031"/>
      <c r="LJB485" s="1031"/>
      <c r="LJC485" s="1031"/>
      <c r="LJD485" s="1031"/>
      <c r="LJE485" s="1031"/>
      <c r="LJF485" s="1031"/>
      <c r="LJG485" s="1031"/>
      <c r="LJH485" s="1031"/>
      <c r="LJI485" s="1031"/>
      <c r="LJJ485" s="1031"/>
      <c r="LJK485" s="1031"/>
      <c r="LJL485" s="1031"/>
      <c r="LJM485" s="1031"/>
      <c r="LJN485" s="1031"/>
      <c r="LJO485" s="1031"/>
      <c r="LJP485" s="1031"/>
      <c r="LJQ485" s="1031"/>
      <c r="LJR485" s="1031"/>
      <c r="LJS485" s="1031"/>
      <c r="LJT485" s="1031"/>
      <c r="LJU485" s="1031"/>
      <c r="LJV485" s="1031"/>
      <c r="LJW485" s="1031"/>
      <c r="LJX485" s="1031"/>
      <c r="LJY485" s="1031"/>
      <c r="LJZ485" s="1031"/>
      <c r="LKA485" s="1031"/>
      <c r="LKB485" s="1031"/>
      <c r="LKC485" s="1031"/>
      <c r="LKD485" s="1031"/>
      <c r="LKE485" s="1031"/>
      <c r="LKF485" s="1031"/>
      <c r="LKG485" s="1031"/>
      <c r="LKH485" s="1031"/>
      <c r="LKI485" s="1031"/>
      <c r="LKJ485" s="1031"/>
      <c r="LKK485" s="1031"/>
      <c r="LKL485" s="1031"/>
      <c r="LKM485" s="1031"/>
      <c r="LKN485" s="1031"/>
      <c r="LKO485" s="1031"/>
      <c r="LKP485" s="1031"/>
      <c r="LKQ485" s="1031"/>
      <c r="LKR485" s="1031"/>
      <c r="LKS485" s="1031"/>
      <c r="LKT485" s="1031"/>
      <c r="LKU485" s="1031"/>
      <c r="LKV485" s="1031"/>
      <c r="LKW485" s="1031"/>
      <c r="LKX485" s="1031"/>
      <c r="LKY485" s="1031"/>
      <c r="LKZ485" s="1031"/>
      <c r="LLA485" s="1031"/>
      <c r="LLB485" s="1031"/>
      <c r="LLC485" s="1031"/>
      <c r="LLD485" s="1031"/>
      <c r="LLE485" s="1031"/>
      <c r="LLF485" s="1031"/>
      <c r="LLG485" s="1031"/>
      <c r="LLH485" s="1031"/>
      <c r="LLI485" s="1031"/>
      <c r="LLJ485" s="1031"/>
      <c r="LLK485" s="1031"/>
      <c r="LLL485" s="1031"/>
      <c r="LLM485" s="1031"/>
      <c r="LLN485" s="1031"/>
      <c r="LLO485" s="1031"/>
      <c r="LLP485" s="1031"/>
      <c r="LLQ485" s="1031"/>
      <c r="LLR485" s="1031"/>
      <c r="LLS485" s="1031"/>
      <c r="LLT485" s="1031"/>
      <c r="LLU485" s="1031"/>
      <c r="LLV485" s="1031"/>
      <c r="LLW485" s="1031"/>
      <c r="LLX485" s="1031"/>
      <c r="LLY485" s="1031"/>
      <c r="LLZ485" s="1031"/>
      <c r="LMA485" s="1031"/>
      <c r="LMB485" s="1031"/>
      <c r="LMC485" s="1031"/>
      <c r="LMD485" s="1031"/>
      <c r="LME485" s="1031"/>
      <c r="LMF485" s="1031"/>
      <c r="LMG485" s="1031"/>
      <c r="LMH485" s="1031"/>
      <c r="LMI485" s="1031"/>
      <c r="LMJ485" s="1031"/>
      <c r="LMK485" s="1031"/>
      <c r="LML485" s="1031"/>
      <c r="LMM485" s="1031"/>
      <c r="LMN485" s="1031"/>
      <c r="LMO485" s="1031"/>
      <c r="LMP485" s="1031"/>
      <c r="LMQ485" s="1031"/>
      <c r="LMR485" s="1031"/>
      <c r="LMS485" s="1031"/>
      <c r="LMT485" s="1031"/>
      <c r="LMU485" s="1031"/>
      <c r="LMV485" s="1031"/>
      <c r="LMW485" s="1031"/>
      <c r="LMX485" s="1031"/>
      <c r="LMY485" s="1031"/>
      <c r="LMZ485" s="1031"/>
      <c r="LNA485" s="1031"/>
      <c r="LNB485" s="1031"/>
      <c r="LNC485" s="1031"/>
      <c r="LND485" s="1031"/>
      <c r="LNE485" s="1031"/>
      <c r="LNF485" s="1031"/>
      <c r="LNG485" s="1031"/>
      <c r="LNH485" s="1031"/>
      <c r="LNI485" s="1031"/>
      <c r="LNJ485" s="1031"/>
      <c r="LNK485" s="1031"/>
      <c r="LNL485" s="1031"/>
      <c r="LNM485" s="1031"/>
      <c r="LNN485" s="1031"/>
      <c r="LNO485" s="1031"/>
      <c r="LNP485" s="1031"/>
      <c r="LNQ485" s="1031"/>
      <c r="LNR485" s="1031"/>
      <c r="LNS485" s="1031"/>
      <c r="LNT485" s="1031"/>
      <c r="LNU485" s="1031"/>
      <c r="LNV485" s="1031"/>
      <c r="LNW485" s="1031"/>
      <c r="LNX485" s="1031"/>
      <c r="LNY485" s="1031"/>
      <c r="LNZ485" s="1031"/>
      <c r="LOA485" s="1031"/>
      <c r="LOB485" s="1031"/>
      <c r="LOC485" s="1031"/>
      <c r="LOD485" s="1031"/>
      <c r="LOE485" s="1031"/>
      <c r="LOF485" s="1031"/>
      <c r="LOG485" s="1031"/>
      <c r="LOH485" s="1031"/>
      <c r="LOI485" s="1031"/>
      <c r="LOJ485" s="1031"/>
      <c r="LOK485" s="1031"/>
      <c r="LOL485" s="1031"/>
      <c r="LOM485" s="1031"/>
      <c r="LON485" s="1031"/>
      <c r="LOO485" s="1031"/>
      <c r="LOP485" s="1031"/>
      <c r="LOQ485" s="1031"/>
      <c r="LOR485" s="1031"/>
      <c r="LOS485" s="1031"/>
      <c r="LOT485" s="1031"/>
      <c r="LOU485" s="1031"/>
      <c r="LOV485" s="1031"/>
      <c r="LOW485" s="1031"/>
      <c r="LOX485" s="1031"/>
      <c r="LOY485" s="1031"/>
      <c r="LOZ485" s="1031"/>
      <c r="LPA485" s="1031"/>
      <c r="LPB485" s="1031"/>
      <c r="LPC485" s="1031"/>
      <c r="LPD485" s="1031"/>
      <c r="LPE485" s="1031"/>
      <c r="LPF485" s="1031"/>
      <c r="LPG485" s="1031"/>
      <c r="LPH485" s="1031"/>
      <c r="LPI485" s="1031"/>
      <c r="LPJ485" s="1031"/>
      <c r="LPK485" s="1031"/>
      <c r="LPL485" s="1031"/>
      <c r="LPM485" s="1031"/>
      <c r="LPN485" s="1031"/>
      <c r="LPO485" s="1031"/>
      <c r="LPP485" s="1031"/>
      <c r="LPQ485" s="1031"/>
      <c r="LPR485" s="1031"/>
      <c r="LPS485" s="1031"/>
      <c r="LPT485" s="1031"/>
      <c r="LPU485" s="1031"/>
      <c r="LPV485" s="1031"/>
      <c r="LPW485" s="1031"/>
      <c r="LPX485" s="1031"/>
      <c r="LPY485" s="1031"/>
      <c r="LPZ485" s="1031"/>
      <c r="LQA485" s="1031"/>
      <c r="LQB485" s="1031"/>
      <c r="LQC485" s="1031"/>
      <c r="LQD485" s="1031"/>
      <c r="LQE485" s="1031"/>
      <c r="LQF485" s="1031"/>
      <c r="LQG485" s="1031"/>
      <c r="LQH485" s="1031"/>
      <c r="LQI485" s="1031"/>
      <c r="LQJ485" s="1031"/>
      <c r="LQK485" s="1031"/>
      <c r="LQL485" s="1031"/>
      <c r="LQM485" s="1031"/>
      <c r="LQN485" s="1031"/>
      <c r="LQO485" s="1031"/>
      <c r="LQP485" s="1031"/>
      <c r="LQQ485" s="1031"/>
      <c r="LQR485" s="1031"/>
      <c r="LQS485" s="1031"/>
      <c r="LQT485" s="1031"/>
      <c r="LQU485" s="1031"/>
      <c r="LQV485" s="1031"/>
      <c r="LQW485" s="1031"/>
      <c r="LQX485" s="1031"/>
      <c r="LQY485" s="1031"/>
      <c r="LQZ485" s="1031"/>
      <c r="LRA485" s="1031"/>
      <c r="LRB485" s="1031"/>
      <c r="LRC485" s="1031"/>
      <c r="LRD485" s="1031"/>
      <c r="LRE485" s="1031"/>
      <c r="LRF485" s="1031"/>
      <c r="LRG485" s="1031"/>
      <c r="LRH485" s="1031"/>
      <c r="LRI485" s="1031"/>
      <c r="LRJ485" s="1031"/>
      <c r="LRK485" s="1031"/>
      <c r="LRL485" s="1031"/>
      <c r="LRM485" s="1031"/>
      <c r="LRN485" s="1031"/>
      <c r="LRO485" s="1031"/>
      <c r="LRP485" s="1031"/>
      <c r="LRQ485" s="1031"/>
      <c r="LRR485" s="1031"/>
      <c r="LRS485" s="1031"/>
      <c r="LRT485" s="1031"/>
      <c r="LRU485" s="1031"/>
      <c r="LRV485" s="1031"/>
      <c r="LRW485" s="1031"/>
      <c r="LRX485" s="1031"/>
      <c r="LRY485" s="1031"/>
      <c r="LRZ485" s="1031"/>
      <c r="LSA485" s="1031"/>
      <c r="LSB485" s="1031"/>
      <c r="LSC485" s="1031"/>
      <c r="LSD485" s="1031"/>
      <c r="LSE485" s="1031"/>
      <c r="LSF485" s="1031"/>
      <c r="LSG485" s="1031"/>
      <c r="LSH485" s="1031"/>
      <c r="LSI485" s="1031"/>
      <c r="LSJ485" s="1031"/>
      <c r="LSK485" s="1031"/>
      <c r="LSL485" s="1031"/>
      <c r="LSM485" s="1031"/>
      <c r="LSN485" s="1031"/>
      <c r="LSO485" s="1031"/>
      <c r="LSP485" s="1031"/>
      <c r="LSQ485" s="1031"/>
      <c r="LSR485" s="1031"/>
      <c r="LSS485" s="1031"/>
      <c r="LST485" s="1031"/>
      <c r="LSU485" s="1031"/>
      <c r="LSV485" s="1031"/>
      <c r="LSW485" s="1031"/>
      <c r="LSX485" s="1031"/>
      <c r="LSY485" s="1031"/>
      <c r="LSZ485" s="1031"/>
      <c r="LTA485" s="1031"/>
      <c r="LTB485" s="1031"/>
      <c r="LTC485" s="1031"/>
      <c r="LTD485" s="1031"/>
      <c r="LTE485" s="1031"/>
      <c r="LTF485" s="1031"/>
      <c r="LTG485" s="1031"/>
      <c r="LTH485" s="1031"/>
      <c r="LTI485" s="1031"/>
      <c r="LTJ485" s="1031"/>
      <c r="LTK485" s="1031"/>
      <c r="LTL485" s="1031"/>
      <c r="LTM485" s="1031"/>
      <c r="LTN485" s="1031"/>
      <c r="LTO485" s="1031"/>
      <c r="LTP485" s="1031"/>
      <c r="LTQ485" s="1031"/>
      <c r="LTR485" s="1031"/>
      <c r="LTS485" s="1031"/>
      <c r="LTT485" s="1031"/>
      <c r="LTU485" s="1031"/>
      <c r="LTV485" s="1031"/>
      <c r="LTW485" s="1031"/>
      <c r="LTX485" s="1031"/>
      <c r="LTY485" s="1031"/>
      <c r="LTZ485" s="1031"/>
      <c r="LUA485" s="1031"/>
      <c r="LUB485" s="1031"/>
      <c r="LUC485" s="1031"/>
      <c r="LUD485" s="1031"/>
      <c r="LUE485" s="1031"/>
      <c r="LUF485" s="1031"/>
      <c r="LUG485" s="1031"/>
      <c r="LUH485" s="1031"/>
      <c r="LUI485" s="1031"/>
      <c r="LUJ485" s="1031"/>
      <c r="LUK485" s="1031"/>
      <c r="LUL485" s="1031"/>
      <c r="LUM485" s="1031"/>
      <c r="LUN485" s="1031"/>
      <c r="LUO485" s="1031"/>
      <c r="LUP485" s="1031"/>
      <c r="LUQ485" s="1031"/>
      <c r="LUR485" s="1031"/>
      <c r="LUS485" s="1031"/>
      <c r="LUT485" s="1031"/>
      <c r="LUU485" s="1031"/>
      <c r="LUV485" s="1031"/>
      <c r="LUW485" s="1031"/>
      <c r="LUX485" s="1031"/>
      <c r="LUY485" s="1031"/>
      <c r="LUZ485" s="1031"/>
      <c r="LVA485" s="1031"/>
      <c r="LVB485" s="1031"/>
      <c r="LVC485" s="1031"/>
      <c r="LVD485" s="1031"/>
      <c r="LVE485" s="1031"/>
      <c r="LVF485" s="1031"/>
      <c r="LVG485" s="1031"/>
      <c r="LVH485" s="1031"/>
      <c r="LVI485" s="1031"/>
      <c r="LVJ485" s="1031"/>
      <c r="LVK485" s="1031"/>
      <c r="LVL485" s="1031"/>
      <c r="LVM485" s="1031"/>
      <c r="LVN485" s="1031"/>
      <c r="LVO485" s="1031"/>
      <c r="LVP485" s="1031"/>
      <c r="LVQ485" s="1031"/>
      <c r="LVR485" s="1031"/>
      <c r="LVS485" s="1031"/>
      <c r="LVT485" s="1031"/>
      <c r="LVU485" s="1031"/>
      <c r="LVV485" s="1031"/>
      <c r="LVW485" s="1031"/>
      <c r="LVX485" s="1031"/>
      <c r="LVY485" s="1031"/>
      <c r="LVZ485" s="1031"/>
      <c r="LWA485" s="1031"/>
      <c r="LWB485" s="1031"/>
      <c r="LWC485" s="1031"/>
      <c r="LWD485" s="1031"/>
      <c r="LWE485" s="1031"/>
      <c r="LWF485" s="1031"/>
      <c r="LWG485" s="1031"/>
      <c r="LWH485" s="1031"/>
      <c r="LWI485" s="1031"/>
      <c r="LWJ485" s="1031"/>
      <c r="LWK485" s="1031"/>
      <c r="LWL485" s="1031"/>
      <c r="LWM485" s="1031"/>
      <c r="LWN485" s="1031"/>
      <c r="LWO485" s="1031"/>
      <c r="LWP485" s="1031"/>
      <c r="LWQ485" s="1031"/>
      <c r="LWR485" s="1031"/>
      <c r="LWS485" s="1031"/>
      <c r="LWT485" s="1031"/>
      <c r="LWU485" s="1031"/>
      <c r="LWV485" s="1031"/>
      <c r="LWW485" s="1031"/>
      <c r="LWX485" s="1031"/>
      <c r="LWY485" s="1031"/>
      <c r="LWZ485" s="1031"/>
      <c r="LXA485" s="1031"/>
      <c r="LXB485" s="1031"/>
      <c r="LXC485" s="1031"/>
      <c r="LXD485" s="1031"/>
      <c r="LXE485" s="1031"/>
      <c r="LXF485" s="1031"/>
      <c r="LXG485" s="1031"/>
      <c r="LXH485" s="1031"/>
      <c r="LXI485" s="1031"/>
      <c r="LXJ485" s="1031"/>
      <c r="LXK485" s="1031"/>
      <c r="LXL485" s="1031"/>
      <c r="LXM485" s="1031"/>
      <c r="LXN485" s="1031"/>
      <c r="LXO485" s="1031"/>
      <c r="LXP485" s="1031"/>
      <c r="LXQ485" s="1031"/>
      <c r="LXR485" s="1031"/>
      <c r="LXS485" s="1031"/>
      <c r="LXT485" s="1031"/>
      <c r="LXU485" s="1031"/>
      <c r="LXV485" s="1031"/>
      <c r="LXW485" s="1031"/>
      <c r="LXX485" s="1031"/>
      <c r="LXY485" s="1031"/>
      <c r="LXZ485" s="1031"/>
      <c r="LYA485" s="1031"/>
      <c r="LYB485" s="1031"/>
      <c r="LYC485" s="1031"/>
      <c r="LYD485" s="1031"/>
      <c r="LYE485" s="1031"/>
      <c r="LYF485" s="1031"/>
      <c r="LYG485" s="1031"/>
      <c r="LYH485" s="1031"/>
      <c r="LYI485" s="1031"/>
      <c r="LYJ485" s="1031"/>
      <c r="LYK485" s="1031"/>
      <c r="LYL485" s="1031"/>
      <c r="LYM485" s="1031"/>
      <c r="LYN485" s="1031"/>
      <c r="LYO485" s="1031"/>
      <c r="LYP485" s="1031"/>
      <c r="LYQ485" s="1031"/>
      <c r="LYR485" s="1031"/>
      <c r="LYS485" s="1031"/>
      <c r="LYT485" s="1031"/>
      <c r="LYU485" s="1031"/>
      <c r="LYV485" s="1031"/>
      <c r="LYW485" s="1031"/>
      <c r="LYX485" s="1031"/>
      <c r="LYY485" s="1031"/>
      <c r="LYZ485" s="1031"/>
      <c r="LZA485" s="1031"/>
      <c r="LZB485" s="1031"/>
      <c r="LZC485" s="1031"/>
      <c r="LZD485" s="1031"/>
      <c r="LZE485" s="1031"/>
      <c r="LZF485" s="1031"/>
      <c r="LZG485" s="1031"/>
      <c r="LZH485" s="1031"/>
      <c r="LZI485" s="1031"/>
      <c r="LZJ485" s="1031"/>
      <c r="LZK485" s="1031"/>
      <c r="LZL485" s="1031"/>
      <c r="LZM485" s="1031"/>
      <c r="LZN485" s="1031"/>
      <c r="LZO485" s="1031"/>
      <c r="LZP485" s="1031"/>
      <c r="LZQ485" s="1031"/>
      <c r="LZR485" s="1031"/>
      <c r="LZS485" s="1031"/>
      <c r="LZT485" s="1031"/>
      <c r="LZU485" s="1031"/>
      <c r="LZV485" s="1031"/>
      <c r="LZW485" s="1031"/>
      <c r="LZX485" s="1031"/>
      <c r="LZY485" s="1031"/>
      <c r="LZZ485" s="1031"/>
      <c r="MAA485" s="1031"/>
      <c r="MAB485" s="1031"/>
      <c r="MAC485" s="1031"/>
      <c r="MAD485" s="1031"/>
      <c r="MAE485" s="1031"/>
      <c r="MAF485" s="1031"/>
      <c r="MAG485" s="1031"/>
      <c r="MAH485" s="1031"/>
      <c r="MAI485" s="1031"/>
      <c r="MAJ485" s="1031"/>
      <c r="MAK485" s="1031"/>
      <c r="MAL485" s="1031"/>
      <c r="MAM485" s="1031"/>
      <c r="MAN485" s="1031"/>
      <c r="MAO485" s="1031"/>
      <c r="MAP485" s="1031"/>
      <c r="MAQ485" s="1031"/>
      <c r="MAR485" s="1031"/>
      <c r="MAS485" s="1031"/>
      <c r="MAT485" s="1031"/>
      <c r="MAU485" s="1031"/>
      <c r="MAV485" s="1031"/>
      <c r="MAW485" s="1031"/>
      <c r="MAX485" s="1031"/>
      <c r="MAY485" s="1031"/>
      <c r="MAZ485" s="1031"/>
      <c r="MBA485" s="1031"/>
      <c r="MBB485" s="1031"/>
      <c r="MBC485" s="1031"/>
      <c r="MBD485" s="1031"/>
      <c r="MBE485" s="1031"/>
      <c r="MBF485" s="1031"/>
      <c r="MBG485" s="1031"/>
      <c r="MBH485" s="1031"/>
      <c r="MBI485" s="1031"/>
      <c r="MBJ485" s="1031"/>
      <c r="MBK485" s="1031"/>
      <c r="MBL485" s="1031"/>
      <c r="MBM485" s="1031"/>
      <c r="MBN485" s="1031"/>
      <c r="MBO485" s="1031"/>
      <c r="MBP485" s="1031"/>
      <c r="MBQ485" s="1031"/>
      <c r="MBR485" s="1031"/>
      <c r="MBS485" s="1031"/>
      <c r="MBT485" s="1031"/>
      <c r="MBU485" s="1031"/>
      <c r="MBV485" s="1031"/>
      <c r="MBW485" s="1031"/>
      <c r="MBX485" s="1031"/>
      <c r="MBY485" s="1031"/>
      <c r="MBZ485" s="1031"/>
      <c r="MCA485" s="1031"/>
      <c r="MCB485" s="1031"/>
      <c r="MCC485" s="1031"/>
      <c r="MCD485" s="1031"/>
      <c r="MCE485" s="1031"/>
      <c r="MCF485" s="1031"/>
      <c r="MCG485" s="1031"/>
      <c r="MCH485" s="1031"/>
      <c r="MCI485" s="1031"/>
      <c r="MCJ485" s="1031"/>
      <c r="MCK485" s="1031"/>
      <c r="MCL485" s="1031"/>
      <c r="MCM485" s="1031"/>
      <c r="MCN485" s="1031"/>
      <c r="MCO485" s="1031"/>
      <c r="MCP485" s="1031"/>
      <c r="MCQ485" s="1031"/>
      <c r="MCR485" s="1031"/>
      <c r="MCS485" s="1031"/>
      <c r="MCT485" s="1031"/>
      <c r="MCU485" s="1031"/>
      <c r="MCV485" s="1031"/>
      <c r="MCW485" s="1031"/>
      <c r="MCX485" s="1031"/>
      <c r="MCY485" s="1031"/>
      <c r="MCZ485" s="1031"/>
      <c r="MDA485" s="1031"/>
      <c r="MDB485" s="1031"/>
      <c r="MDC485" s="1031"/>
      <c r="MDD485" s="1031"/>
      <c r="MDE485" s="1031"/>
      <c r="MDF485" s="1031"/>
      <c r="MDG485" s="1031"/>
      <c r="MDH485" s="1031"/>
      <c r="MDI485" s="1031"/>
      <c r="MDJ485" s="1031"/>
      <c r="MDK485" s="1031"/>
      <c r="MDL485" s="1031"/>
      <c r="MDM485" s="1031"/>
      <c r="MDN485" s="1031"/>
      <c r="MDO485" s="1031"/>
      <c r="MDP485" s="1031"/>
      <c r="MDQ485" s="1031"/>
      <c r="MDR485" s="1031"/>
      <c r="MDS485" s="1031"/>
      <c r="MDT485" s="1031"/>
      <c r="MDU485" s="1031"/>
      <c r="MDV485" s="1031"/>
      <c r="MDW485" s="1031"/>
      <c r="MDX485" s="1031"/>
      <c r="MDY485" s="1031"/>
      <c r="MDZ485" s="1031"/>
      <c r="MEA485" s="1031"/>
      <c r="MEB485" s="1031"/>
      <c r="MEC485" s="1031"/>
      <c r="MED485" s="1031"/>
      <c r="MEE485" s="1031"/>
      <c r="MEF485" s="1031"/>
      <c r="MEG485" s="1031"/>
      <c r="MEH485" s="1031"/>
      <c r="MEI485" s="1031"/>
      <c r="MEJ485" s="1031"/>
      <c r="MEK485" s="1031"/>
      <c r="MEL485" s="1031"/>
      <c r="MEM485" s="1031"/>
      <c r="MEN485" s="1031"/>
      <c r="MEO485" s="1031"/>
      <c r="MEP485" s="1031"/>
      <c r="MEQ485" s="1031"/>
      <c r="MER485" s="1031"/>
      <c r="MES485" s="1031"/>
      <c r="MET485" s="1031"/>
      <c r="MEU485" s="1031"/>
      <c r="MEV485" s="1031"/>
      <c r="MEW485" s="1031"/>
      <c r="MEX485" s="1031"/>
      <c r="MEY485" s="1031"/>
      <c r="MEZ485" s="1031"/>
      <c r="MFA485" s="1031"/>
      <c r="MFB485" s="1031"/>
      <c r="MFC485" s="1031"/>
      <c r="MFD485" s="1031"/>
      <c r="MFE485" s="1031"/>
      <c r="MFF485" s="1031"/>
      <c r="MFG485" s="1031"/>
      <c r="MFH485" s="1031"/>
      <c r="MFI485" s="1031"/>
      <c r="MFJ485" s="1031"/>
      <c r="MFK485" s="1031"/>
      <c r="MFL485" s="1031"/>
      <c r="MFM485" s="1031"/>
      <c r="MFN485" s="1031"/>
      <c r="MFO485" s="1031"/>
      <c r="MFP485" s="1031"/>
      <c r="MFQ485" s="1031"/>
      <c r="MFR485" s="1031"/>
      <c r="MFS485" s="1031"/>
      <c r="MFT485" s="1031"/>
      <c r="MFU485" s="1031"/>
      <c r="MFV485" s="1031"/>
      <c r="MFW485" s="1031"/>
      <c r="MFX485" s="1031"/>
      <c r="MFY485" s="1031"/>
      <c r="MFZ485" s="1031"/>
      <c r="MGA485" s="1031"/>
      <c r="MGB485" s="1031"/>
      <c r="MGC485" s="1031"/>
      <c r="MGD485" s="1031"/>
      <c r="MGE485" s="1031"/>
      <c r="MGF485" s="1031"/>
      <c r="MGG485" s="1031"/>
      <c r="MGH485" s="1031"/>
      <c r="MGI485" s="1031"/>
      <c r="MGJ485" s="1031"/>
      <c r="MGK485" s="1031"/>
      <c r="MGL485" s="1031"/>
      <c r="MGM485" s="1031"/>
      <c r="MGN485" s="1031"/>
      <c r="MGO485" s="1031"/>
      <c r="MGP485" s="1031"/>
      <c r="MGQ485" s="1031"/>
      <c r="MGR485" s="1031"/>
      <c r="MGS485" s="1031"/>
      <c r="MGT485" s="1031"/>
      <c r="MGU485" s="1031"/>
      <c r="MGV485" s="1031"/>
      <c r="MGW485" s="1031"/>
      <c r="MGX485" s="1031"/>
      <c r="MGY485" s="1031"/>
      <c r="MGZ485" s="1031"/>
      <c r="MHA485" s="1031"/>
      <c r="MHB485" s="1031"/>
      <c r="MHC485" s="1031"/>
      <c r="MHD485" s="1031"/>
      <c r="MHE485" s="1031"/>
      <c r="MHF485" s="1031"/>
      <c r="MHG485" s="1031"/>
      <c r="MHH485" s="1031"/>
      <c r="MHI485" s="1031"/>
      <c r="MHJ485" s="1031"/>
      <c r="MHK485" s="1031"/>
      <c r="MHL485" s="1031"/>
      <c r="MHM485" s="1031"/>
      <c r="MHN485" s="1031"/>
      <c r="MHO485" s="1031"/>
      <c r="MHP485" s="1031"/>
      <c r="MHQ485" s="1031"/>
      <c r="MHR485" s="1031"/>
      <c r="MHS485" s="1031"/>
      <c r="MHT485" s="1031"/>
      <c r="MHU485" s="1031"/>
      <c r="MHV485" s="1031"/>
      <c r="MHW485" s="1031"/>
      <c r="MHX485" s="1031"/>
      <c r="MHY485" s="1031"/>
      <c r="MHZ485" s="1031"/>
      <c r="MIA485" s="1031"/>
      <c r="MIB485" s="1031"/>
      <c r="MIC485" s="1031"/>
      <c r="MID485" s="1031"/>
      <c r="MIE485" s="1031"/>
      <c r="MIF485" s="1031"/>
      <c r="MIG485" s="1031"/>
      <c r="MIH485" s="1031"/>
      <c r="MII485" s="1031"/>
      <c r="MIJ485" s="1031"/>
      <c r="MIK485" s="1031"/>
      <c r="MIL485" s="1031"/>
      <c r="MIM485" s="1031"/>
      <c r="MIN485" s="1031"/>
      <c r="MIO485" s="1031"/>
      <c r="MIP485" s="1031"/>
      <c r="MIQ485" s="1031"/>
      <c r="MIR485" s="1031"/>
      <c r="MIS485" s="1031"/>
      <c r="MIT485" s="1031"/>
      <c r="MIU485" s="1031"/>
      <c r="MIV485" s="1031"/>
      <c r="MIW485" s="1031"/>
      <c r="MIX485" s="1031"/>
      <c r="MIY485" s="1031"/>
      <c r="MIZ485" s="1031"/>
      <c r="MJA485" s="1031"/>
      <c r="MJB485" s="1031"/>
      <c r="MJC485" s="1031"/>
      <c r="MJD485" s="1031"/>
      <c r="MJE485" s="1031"/>
      <c r="MJF485" s="1031"/>
      <c r="MJG485" s="1031"/>
      <c r="MJH485" s="1031"/>
      <c r="MJI485" s="1031"/>
      <c r="MJJ485" s="1031"/>
      <c r="MJK485" s="1031"/>
      <c r="MJL485" s="1031"/>
      <c r="MJM485" s="1031"/>
      <c r="MJN485" s="1031"/>
      <c r="MJO485" s="1031"/>
      <c r="MJP485" s="1031"/>
      <c r="MJQ485" s="1031"/>
      <c r="MJR485" s="1031"/>
      <c r="MJS485" s="1031"/>
      <c r="MJT485" s="1031"/>
      <c r="MJU485" s="1031"/>
      <c r="MJV485" s="1031"/>
      <c r="MJW485" s="1031"/>
      <c r="MJX485" s="1031"/>
      <c r="MJY485" s="1031"/>
      <c r="MJZ485" s="1031"/>
      <c r="MKA485" s="1031"/>
      <c r="MKB485" s="1031"/>
      <c r="MKC485" s="1031"/>
      <c r="MKD485" s="1031"/>
      <c r="MKE485" s="1031"/>
      <c r="MKF485" s="1031"/>
      <c r="MKG485" s="1031"/>
      <c r="MKH485" s="1031"/>
      <c r="MKI485" s="1031"/>
      <c r="MKJ485" s="1031"/>
      <c r="MKK485" s="1031"/>
      <c r="MKL485" s="1031"/>
      <c r="MKM485" s="1031"/>
      <c r="MKN485" s="1031"/>
      <c r="MKO485" s="1031"/>
      <c r="MKP485" s="1031"/>
      <c r="MKQ485" s="1031"/>
      <c r="MKR485" s="1031"/>
      <c r="MKS485" s="1031"/>
      <c r="MKT485" s="1031"/>
      <c r="MKU485" s="1031"/>
      <c r="MKV485" s="1031"/>
      <c r="MKW485" s="1031"/>
      <c r="MKX485" s="1031"/>
      <c r="MKY485" s="1031"/>
      <c r="MKZ485" s="1031"/>
      <c r="MLA485" s="1031"/>
      <c r="MLB485" s="1031"/>
      <c r="MLC485" s="1031"/>
      <c r="MLD485" s="1031"/>
      <c r="MLE485" s="1031"/>
      <c r="MLF485" s="1031"/>
      <c r="MLG485" s="1031"/>
      <c r="MLH485" s="1031"/>
      <c r="MLI485" s="1031"/>
      <c r="MLJ485" s="1031"/>
      <c r="MLK485" s="1031"/>
      <c r="MLL485" s="1031"/>
      <c r="MLM485" s="1031"/>
      <c r="MLN485" s="1031"/>
      <c r="MLO485" s="1031"/>
      <c r="MLP485" s="1031"/>
      <c r="MLQ485" s="1031"/>
      <c r="MLR485" s="1031"/>
      <c r="MLS485" s="1031"/>
      <c r="MLT485" s="1031"/>
      <c r="MLU485" s="1031"/>
      <c r="MLV485" s="1031"/>
      <c r="MLW485" s="1031"/>
      <c r="MLX485" s="1031"/>
      <c r="MLY485" s="1031"/>
      <c r="MLZ485" s="1031"/>
      <c r="MMA485" s="1031"/>
      <c r="MMB485" s="1031"/>
      <c r="MMC485" s="1031"/>
      <c r="MMD485" s="1031"/>
      <c r="MME485" s="1031"/>
      <c r="MMF485" s="1031"/>
      <c r="MMG485" s="1031"/>
      <c r="MMH485" s="1031"/>
      <c r="MMI485" s="1031"/>
      <c r="MMJ485" s="1031"/>
      <c r="MMK485" s="1031"/>
      <c r="MML485" s="1031"/>
      <c r="MMM485" s="1031"/>
      <c r="MMN485" s="1031"/>
      <c r="MMO485" s="1031"/>
      <c r="MMP485" s="1031"/>
      <c r="MMQ485" s="1031"/>
      <c r="MMR485" s="1031"/>
      <c r="MMS485" s="1031"/>
      <c r="MMT485" s="1031"/>
      <c r="MMU485" s="1031"/>
      <c r="MMV485" s="1031"/>
      <c r="MMW485" s="1031"/>
      <c r="MMX485" s="1031"/>
      <c r="MMY485" s="1031"/>
      <c r="MMZ485" s="1031"/>
      <c r="MNA485" s="1031"/>
      <c r="MNB485" s="1031"/>
      <c r="MNC485" s="1031"/>
      <c r="MND485" s="1031"/>
      <c r="MNE485" s="1031"/>
      <c r="MNF485" s="1031"/>
      <c r="MNG485" s="1031"/>
      <c r="MNH485" s="1031"/>
      <c r="MNI485" s="1031"/>
      <c r="MNJ485" s="1031"/>
      <c r="MNK485" s="1031"/>
      <c r="MNL485" s="1031"/>
      <c r="MNM485" s="1031"/>
      <c r="MNN485" s="1031"/>
      <c r="MNO485" s="1031"/>
      <c r="MNP485" s="1031"/>
      <c r="MNQ485" s="1031"/>
      <c r="MNR485" s="1031"/>
      <c r="MNS485" s="1031"/>
      <c r="MNT485" s="1031"/>
      <c r="MNU485" s="1031"/>
      <c r="MNV485" s="1031"/>
      <c r="MNW485" s="1031"/>
      <c r="MNX485" s="1031"/>
      <c r="MNY485" s="1031"/>
      <c r="MNZ485" s="1031"/>
      <c r="MOA485" s="1031"/>
      <c r="MOB485" s="1031"/>
      <c r="MOC485" s="1031"/>
      <c r="MOD485" s="1031"/>
      <c r="MOE485" s="1031"/>
      <c r="MOF485" s="1031"/>
      <c r="MOG485" s="1031"/>
      <c r="MOH485" s="1031"/>
      <c r="MOI485" s="1031"/>
      <c r="MOJ485" s="1031"/>
      <c r="MOK485" s="1031"/>
      <c r="MOL485" s="1031"/>
      <c r="MOM485" s="1031"/>
      <c r="MON485" s="1031"/>
      <c r="MOO485" s="1031"/>
      <c r="MOP485" s="1031"/>
      <c r="MOQ485" s="1031"/>
      <c r="MOR485" s="1031"/>
      <c r="MOS485" s="1031"/>
      <c r="MOT485" s="1031"/>
      <c r="MOU485" s="1031"/>
      <c r="MOV485" s="1031"/>
      <c r="MOW485" s="1031"/>
      <c r="MOX485" s="1031"/>
      <c r="MOY485" s="1031"/>
      <c r="MOZ485" s="1031"/>
      <c r="MPA485" s="1031"/>
      <c r="MPB485" s="1031"/>
      <c r="MPC485" s="1031"/>
      <c r="MPD485" s="1031"/>
      <c r="MPE485" s="1031"/>
      <c r="MPF485" s="1031"/>
      <c r="MPG485" s="1031"/>
      <c r="MPH485" s="1031"/>
      <c r="MPI485" s="1031"/>
      <c r="MPJ485" s="1031"/>
      <c r="MPK485" s="1031"/>
      <c r="MPL485" s="1031"/>
      <c r="MPM485" s="1031"/>
      <c r="MPN485" s="1031"/>
      <c r="MPO485" s="1031"/>
      <c r="MPP485" s="1031"/>
      <c r="MPQ485" s="1031"/>
      <c r="MPR485" s="1031"/>
      <c r="MPS485" s="1031"/>
      <c r="MPT485" s="1031"/>
      <c r="MPU485" s="1031"/>
      <c r="MPV485" s="1031"/>
      <c r="MPW485" s="1031"/>
      <c r="MPX485" s="1031"/>
      <c r="MPY485" s="1031"/>
      <c r="MPZ485" s="1031"/>
      <c r="MQA485" s="1031"/>
      <c r="MQB485" s="1031"/>
      <c r="MQC485" s="1031"/>
      <c r="MQD485" s="1031"/>
      <c r="MQE485" s="1031"/>
      <c r="MQF485" s="1031"/>
      <c r="MQG485" s="1031"/>
      <c r="MQH485" s="1031"/>
      <c r="MQI485" s="1031"/>
      <c r="MQJ485" s="1031"/>
      <c r="MQK485" s="1031"/>
      <c r="MQL485" s="1031"/>
      <c r="MQM485" s="1031"/>
      <c r="MQN485" s="1031"/>
      <c r="MQO485" s="1031"/>
      <c r="MQP485" s="1031"/>
      <c r="MQQ485" s="1031"/>
      <c r="MQR485" s="1031"/>
      <c r="MQS485" s="1031"/>
      <c r="MQT485" s="1031"/>
      <c r="MQU485" s="1031"/>
      <c r="MQV485" s="1031"/>
      <c r="MQW485" s="1031"/>
      <c r="MQX485" s="1031"/>
      <c r="MQY485" s="1031"/>
      <c r="MQZ485" s="1031"/>
      <c r="MRA485" s="1031"/>
      <c r="MRB485" s="1031"/>
      <c r="MRC485" s="1031"/>
      <c r="MRD485" s="1031"/>
      <c r="MRE485" s="1031"/>
      <c r="MRF485" s="1031"/>
      <c r="MRG485" s="1031"/>
      <c r="MRH485" s="1031"/>
      <c r="MRI485" s="1031"/>
      <c r="MRJ485" s="1031"/>
      <c r="MRK485" s="1031"/>
      <c r="MRL485" s="1031"/>
      <c r="MRM485" s="1031"/>
      <c r="MRN485" s="1031"/>
      <c r="MRO485" s="1031"/>
      <c r="MRP485" s="1031"/>
      <c r="MRQ485" s="1031"/>
      <c r="MRR485" s="1031"/>
      <c r="MRS485" s="1031"/>
      <c r="MRT485" s="1031"/>
      <c r="MRU485" s="1031"/>
      <c r="MRV485" s="1031"/>
      <c r="MRW485" s="1031"/>
      <c r="MRX485" s="1031"/>
      <c r="MRY485" s="1031"/>
      <c r="MRZ485" s="1031"/>
      <c r="MSA485" s="1031"/>
      <c r="MSB485" s="1031"/>
      <c r="MSC485" s="1031"/>
      <c r="MSD485" s="1031"/>
      <c r="MSE485" s="1031"/>
      <c r="MSF485" s="1031"/>
      <c r="MSG485" s="1031"/>
      <c r="MSH485" s="1031"/>
      <c r="MSI485" s="1031"/>
      <c r="MSJ485" s="1031"/>
      <c r="MSK485" s="1031"/>
      <c r="MSL485" s="1031"/>
      <c r="MSM485" s="1031"/>
      <c r="MSN485" s="1031"/>
      <c r="MSO485" s="1031"/>
      <c r="MSP485" s="1031"/>
      <c r="MSQ485" s="1031"/>
      <c r="MSR485" s="1031"/>
      <c r="MSS485" s="1031"/>
      <c r="MST485" s="1031"/>
      <c r="MSU485" s="1031"/>
      <c r="MSV485" s="1031"/>
      <c r="MSW485" s="1031"/>
      <c r="MSX485" s="1031"/>
      <c r="MSY485" s="1031"/>
      <c r="MSZ485" s="1031"/>
      <c r="MTA485" s="1031"/>
      <c r="MTB485" s="1031"/>
      <c r="MTC485" s="1031"/>
      <c r="MTD485" s="1031"/>
      <c r="MTE485" s="1031"/>
      <c r="MTF485" s="1031"/>
      <c r="MTG485" s="1031"/>
      <c r="MTH485" s="1031"/>
      <c r="MTI485" s="1031"/>
      <c r="MTJ485" s="1031"/>
      <c r="MTK485" s="1031"/>
      <c r="MTL485" s="1031"/>
      <c r="MTM485" s="1031"/>
      <c r="MTN485" s="1031"/>
      <c r="MTO485" s="1031"/>
      <c r="MTP485" s="1031"/>
      <c r="MTQ485" s="1031"/>
      <c r="MTR485" s="1031"/>
      <c r="MTS485" s="1031"/>
      <c r="MTT485" s="1031"/>
      <c r="MTU485" s="1031"/>
      <c r="MTV485" s="1031"/>
      <c r="MTW485" s="1031"/>
      <c r="MTX485" s="1031"/>
      <c r="MTY485" s="1031"/>
      <c r="MTZ485" s="1031"/>
      <c r="MUA485" s="1031"/>
      <c r="MUB485" s="1031"/>
      <c r="MUC485" s="1031"/>
      <c r="MUD485" s="1031"/>
      <c r="MUE485" s="1031"/>
      <c r="MUF485" s="1031"/>
      <c r="MUG485" s="1031"/>
      <c r="MUH485" s="1031"/>
      <c r="MUI485" s="1031"/>
      <c r="MUJ485" s="1031"/>
      <c r="MUK485" s="1031"/>
      <c r="MUL485" s="1031"/>
      <c r="MUM485" s="1031"/>
      <c r="MUN485" s="1031"/>
      <c r="MUO485" s="1031"/>
      <c r="MUP485" s="1031"/>
      <c r="MUQ485" s="1031"/>
      <c r="MUR485" s="1031"/>
      <c r="MUS485" s="1031"/>
      <c r="MUT485" s="1031"/>
      <c r="MUU485" s="1031"/>
      <c r="MUV485" s="1031"/>
      <c r="MUW485" s="1031"/>
      <c r="MUX485" s="1031"/>
      <c r="MUY485" s="1031"/>
      <c r="MUZ485" s="1031"/>
      <c r="MVA485" s="1031"/>
      <c r="MVB485" s="1031"/>
      <c r="MVC485" s="1031"/>
      <c r="MVD485" s="1031"/>
      <c r="MVE485" s="1031"/>
      <c r="MVF485" s="1031"/>
      <c r="MVG485" s="1031"/>
      <c r="MVH485" s="1031"/>
      <c r="MVI485" s="1031"/>
      <c r="MVJ485" s="1031"/>
      <c r="MVK485" s="1031"/>
      <c r="MVL485" s="1031"/>
      <c r="MVM485" s="1031"/>
      <c r="MVN485" s="1031"/>
      <c r="MVO485" s="1031"/>
      <c r="MVP485" s="1031"/>
      <c r="MVQ485" s="1031"/>
      <c r="MVR485" s="1031"/>
      <c r="MVS485" s="1031"/>
      <c r="MVT485" s="1031"/>
      <c r="MVU485" s="1031"/>
      <c r="MVV485" s="1031"/>
      <c r="MVW485" s="1031"/>
      <c r="MVX485" s="1031"/>
      <c r="MVY485" s="1031"/>
      <c r="MVZ485" s="1031"/>
      <c r="MWA485" s="1031"/>
      <c r="MWB485" s="1031"/>
      <c r="MWC485" s="1031"/>
      <c r="MWD485" s="1031"/>
      <c r="MWE485" s="1031"/>
      <c r="MWF485" s="1031"/>
      <c r="MWG485" s="1031"/>
      <c r="MWH485" s="1031"/>
      <c r="MWI485" s="1031"/>
      <c r="MWJ485" s="1031"/>
      <c r="MWK485" s="1031"/>
      <c r="MWL485" s="1031"/>
      <c r="MWM485" s="1031"/>
      <c r="MWN485" s="1031"/>
      <c r="MWO485" s="1031"/>
      <c r="MWP485" s="1031"/>
      <c r="MWQ485" s="1031"/>
      <c r="MWR485" s="1031"/>
      <c r="MWS485" s="1031"/>
      <c r="MWT485" s="1031"/>
      <c r="MWU485" s="1031"/>
      <c r="MWV485" s="1031"/>
      <c r="MWW485" s="1031"/>
      <c r="MWX485" s="1031"/>
      <c r="MWY485" s="1031"/>
      <c r="MWZ485" s="1031"/>
      <c r="MXA485" s="1031"/>
      <c r="MXB485" s="1031"/>
      <c r="MXC485" s="1031"/>
      <c r="MXD485" s="1031"/>
      <c r="MXE485" s="1031"/>
      <c r="MXF485" s="1031"/>
      <c r="MXG485" s="1031"/>
      <c r="MXH485" s="1031"/>
      <c r="MXI485" s="1031"/>
      <c r="MXJ485" s="1031"/>
      <c r="MXK485" s="1031"/>
      <c r="MXL485" s="1031"/>
      <c r="MXM485" s="1031"/>
      <c r="MXN485" s="1031"/>
      <c r="MXO485" s="1031"/>
      <c r="MXP485" s="1031"/>
      <c r="MXQ485" s="1031"/>
      <c r="MXR485" s="1031"/>
      <c r="MXS485" s="1031"/>
      <c r="MXT485" s="1031"/>
      <c r="MXU485" s="1031"/>
      <c r="MXV485" s="1031"/>
      <c r="MXW485" s="1031"/>
      <c r="MXX485" s="1031"/>
      <c r="MXY485" s="1031"/>
      <c r="MXZ485" s="1031"/>
      <c r="MYA485" s="1031"/>
      <c r="MYB485" s="1031"/>
      <c r="MYC485" s="1031"/>
      <c r="MYD485" s="1031"/>
      <c r="MYE485" s="1031"/>
      <c r="MYF485" s="1031"/>
      <c r="MYG485" s="1031"/>
      <c r="MYH485" s="1031"/>
      <c r="MYI485" s="1031"/>
      <c r="MYJ485" s="1031"/>
      <c r="MYK485" s="1031"/>
      <c r="MYL485" s="1031"/>
      <c r="MYM485" s="1031"/>
      <c r="MYN485" s="1031"/>
      <c r="MYO485" s="1031"/>
      <c r="MYP485" s="1031"/>
      <c r="MYQ485" s="1031"/>
      <c r="MYR485" s="1031"/>
      <c r="MYS485" s="1031"/>
      <c r="MYT485" s="1031"/>
      <c r="MYU485" s="1031"/>
      <c r="MYV485" s="1031"/>
      <c r="MYW485" s="1031"/>
      <c r="MYX485" s="1031"/>
      <c r="MYY485" s="1031"/>
      <c r="MYZ485" s="1031"/>
      <c r="MZA485" s="1031"/>
      <c r="MZB485" s="1031"/>
      <c r="MZC485" s="1031"/>
      <c r="MZD485" s="1031"/>
      <c r="MZE485" s="1031"/>
      <c r="MZF485" s="1031"/>
      <c r="MZG485" s="1031"/>
      <c r="MZH485" s="1031"/>
      <c r="MZI485" s="1031"/>
      <c r="MZJ485" s="1031"/>
      <c r="MZK485" s="1031"/>
      <c r="MZL485" s="1031"/>
      <c r="MZM485" s="1031"/>
      <c r="MZN485" s="1031"/>
      <c r="MZO485" s="1031"/>
      <c r="MZP485" s="1031"/>
      <c r="MZQ485" s="1031"/>
      <c r="MZR485" s="1031"/>
      <c r="MZS485" s="1031"/>
      <c r="MZT485" s="1031"/>
      <c r="MZU485" s="1031"/>
      <c r="MZV485" s="1031"/>
      <c r="MZW485" s="1031"/>
      <c r="MZX485" s="1031"/>
      <c r="MZY485" s="1031"/>
      <c r="MZZ485" s="1031"/>
      <c r="NAA485" s="1031"/>
      <c r="NAB485" s="1031"/>
      <c r="NAC485" s="1031"/>
      <c r="NAD485" s="1031"/>
      <c r="NAE485" s="1031"/>
      <c r="NAF485" s="1031"/>
      <c r="NAG485" s="1031"/>
      <c r="NAH485" s="1031"/>
      <c r="NAI485" s="1031"/>
      <c r="NAJ485" s="1031"/>
      <c r="NAK485" s="1031"/>
      <c r="NAL485" s="1031"/>
      <c r="NAM485" s="1031"/>
      <c r="NAN485" s="1031"/>
      <c r="NAO485" s="1031"/>
      <c r="NAP485" s="1031"/>
      <c r="NAQ485" s="1031"/>
      <c r="NAR485" s="1031"/>
      <c r="NAS485" s="1031"/>
      <c r="NAT485" s="1031"/>
      <c r="NAU485" s="1031"/>
      <c r="NAV485" s="1031"/>
      <c r="NAW485" s="1031"/>
      <c r="NAX485" s="1031"/>
      <c r="NAY485" s="1031"/>
      <c r="NAZ485" s="1031"/>
      <c r="NBA485" s="1031"/>
      <c r="NBB485" s="1031"/>
      <c r="NBC485" s="1031"/>
      <c r="NBD485" s="1031"/>
      <c r="NBE485" s="1031"/>
      <c r="NBF485" s="1031"/>
      <c r="NBG485" s="1031"/>
      <c r="NBH485" s="1031"/>
      <c r="NBI485" s="1031"/>
      <c r="NBJ485" s="1031"/>
      <c r="NBK485" s="1031"/>
      <c r="NBL485" s="1031"/>
      <c r="NBM485" s="1031"/>
      <c r="NBN485" s="1031"/>
      <c r="NBO485" s="1031"/>
      <c r="NBP485" s="1031"/>
      <c r="NBQ485" s="1031"/>
      <c r="NBR485" s="1031"/>
      <c r="NBS485" s="1031"/>
      <c r="NBT485" s="1031"/>
      <c r="NBU485" s="1031"/>
      <c r="NBV485" s="1031"/>
      <c r="NBW485" s="1031"/>
      <c r="NBX485" s="1031"/>
      <c r="NBY485" s="1031"/>
      <c r="NBZ485" s="1031"/>
      <c r="NCA485" s="1031"/>
      <c r="NCB485" s="1031"/>
      <c r="NCC485" s="1031"/>
      <c r="NCD485" s="1031"/>
      <c r="NCE485" s="1031"/>
      <c r="NCF485" s="1031"/>
      <c r="NCG485" s="1031"/>
      <c r="NCH485" s="1031"/>
      <c r="NCI485" s="1031"/>
      <c r="NCJ485" s="1031"/>
      <c r="NCK485" s="1031"/>
      <c r="NCL485" s="1031"/>
      <c r="NCM485" s="1031"/>
      <c r="NCN485" s="1031"/>
      <c r="NCO485" s="1031"/>
      <c r="NCP485" s="1031"/>
      <c r="NCQ485" s="1031"/>
      <c r="NCR485" s="1031"/>
      <c r="NCS485" s="1031"/>
      <c r="NCT485" s="1031"/>
      <c r="NCU485" s="1031"/>
      <c r="NCV485" s="1031"/>
      <c r="NCW485" s="1031"/>
      <c r="NCX485" s="1031"/>
      <c r="NCY485" s="1031"/>
      <c r="NCZ485" s="1031"/>
      <c r="NDA485" s="1031"/>
      <c r="NDB485" s="1031"/>
      <c r="NDC485" s="1031"/>
      <c r="NDD485" s="1031"/>
      <c r="NDE485" s="1031"/>
      <c r="NDF485" s="1031"/>
      <c r="NDG485" s="1031"/>
      <c r="NDH485" s="1031"/>
      <c r="NDI485" s="1031"/>
      <c r="NDJ485" s="1031"/>
      <c r="NDK485" s="1031"/>
      <c r="NDL485" s="1031"/>
      <c r="NDM485" s="1031"/>
      <c r="NDN485" s="1031"/>
      <c r="NDO485" s="1031"/>
      <c r="NDP485" s="1031"/>
      <c r="NDQ485" s="1031"/>
      <c r="NDR485" s="1031"/>
      <c r="NDS485" s="1031"/>
      <c r="NDT485" s="1031"/>
      <c r="NDU485" s="1031"/>
      <c r="NDV485" s="1031"/>
      <c r="NDW485" s="1031"/>
      <c r="NDX485" s="1031"/>
      <c r="NDY485" s="1031"/>
      <c r="NDZ485" s="1031"/>
      <c r="NEA485" s="1031"/>
      <c r="NEB485" s="1031"/>
      <c r="NEC485" s="1031"/>
      <c r="NED485" s="1031"/>
      <c r="NEE485" s="1031"/>
      <c r="NEF485" s="1031"/>
      <c r="NEG485" s="1031"/>
      <c r="NEH485" s="1031"/>
      <c r="NEI485" s="1031"/>
      <c r="NEJ485" s="1031"/>
      <c r="NEK485" s="1031"/>
      <c r="NEL485" s="1031"/>
      <c r="NEM485" s="1031"/>
      <c r="NEN485" s="1031"/>
      <c r="NEO485" s="1031"/>
      <c r="NEP485" s="1031"/>
      <c r="NEQ485" s="1031"/>
      <c r="NER485" s="1031"/>
      <c r="NES485" s="1031"/>
      <c r="NET485" s="1031"/>
      <c r="NEU485" s="1031"/>
      <c r="NEV485" s="1031"/>
      <c r="NEW485" s="1031"/>
      <c r="NEX485" s="1031"/>
      <c r="NEY485" s="1031"/>
      <c r="NEZ485" s="1031"/>
      <c r="NFA485" s="1031"/>
      <c r="NFB485" s="1031"/>
      <c r="NFC485" s="1031"/>
      <c r="NFD485" s="1031"/>
      <c r="NFE485" s="1031"/>
      <c r="NFF485" s="1031"/>
      <c r="NFG485" s="1031"/>
      <c r="NFH485" s="1031"/>
      <c r="NFI485" s="1031"/>
      <c r="NFJ485" s="1031"/>
      <c r="NFK485" s="1031"/>
      <c r="NFL485" s="1031"/>
      <c r="NFM485" s="1031"/>
      <c r="NFN485" s="1031"/>
      <c r="NFO485" s="1031"/>
      <c r="NFP485" s="1031"/>
      <c r="NFQ485" s="1031"/>
      <c r="NFR485" s="1031"/>
      <c r="NFS485" s="1031"/>
      <c r="NFT485" s="1031"/>
      <c r="NFU485" s="1031"/>
      <c r="NFV485" s="1031"/>
      <c r="NFW485" s="1031"/>
      <c r="NFX485" s="1031"/>
      <c r="NFY485" s="1031"/>
      <c r="NFZ485" s="1031"/>
      <c r="NGA485" s="1031"/>
      <c r="NGB485" s="1031"/>
      <c r="NGC485" s="1031"/>
      <c r="NGD485" s="1031"/>
      <c r="NGE485" s="1031"/>
      <c r="NGF485" s="1031"/>
      <c r="NGG485" s="1031"/>
      <c r="NGH485" s="1031"/>
      <c r="NGI485" s="1031"/>
      <c r="NGJ485" s="1031"/>
      <c r="NGK485" s="1031"/>
      <c r="NGL485" s="1031"/>
      <c r="NGM485" s="1031"/>
      <c r="NGN485" s="1031"/>
      <c r="NGO485" s="1031"/>
      <c r="NGP485" s="1031"/>
      <c r="NGQ485" s="1031"/>
      <c r="NGR485" s="1031"/>
      <c r="NGS485" s="1031"/>
      <c r="NGT485" s="1031"/>
      <c r="NGU485" s="1031"/>
      <c r="NGV485" s="1031"/>
      <c r="NGW485" s="1031"/>
      <c r="NGX485" s="1031"/>
      <c r="NGY485" s="1031"/>
      <c r="NGZ485" s="1031"/>
      <c r="NHA485" s="1031"/>
      <c r="NHB485" s="1031"/>
      <c r="NHC485" s="1031"/>
      <c r="NHD485" s="1031"/>
      <c r="NHE485" s="1031"/>
      <c r="NHF485" s="1031"/>
      <c r="NHG485" s="1031"/>
      <c r="NHH485" s="1031"/>
      <c r="NHI485" s="1031"/>
      <c r="NHJ485" s="1031"/>
      <c r="NHK485" s="1031"/>
      <c r="NHL485" s="1031"/>
      <c r="NHM485" s="1031"/>
      <c r="NHN485" s="1031"/>
      <c r="NHO485" s="1031"/>
      <c r="NHP485" s="1031"/>
      <c r="NHQ485" s="1031"/>
      <c r="NHR485" s="1031"/>
      <c r="NHS485" s="1031"/>
      <c r="NHT485" s="1031"/>
      <c r="NHU485" s="1031"/>
      <c r="NHV485" s="1031"/>
      <c r="NHW485" s="1031"/>
      <c r="NHX485" s="1031"/>
      <c r="NHY485" s="1031"/>
      <c r="NHZ485" s="1031"/>
      <c r="NIA485" s="1031"/>
      <c r="NIB485" s="1031"/>
      <c r="NIC485" s="1031"/>
      <c r="NID485" s="1031"/>
      <c r="NIE485" s="1031"/>
      <c r="NIF485" s="1031"/>
      <c r="NIG485" s="1031"/>
      <c r="NIH485" s="1031"/>
      <c r="NII485" s="1031"/>
      <c r="NIJ485" s="1031"/>
      <c r="NIK485" s="1031"/>
      <c r="NIL485" s="1031"/>
      <c r="NIM485" s="1031"/>
      <c r="NIN485" s="1031"/>
      <c r="NIO485" s="1031"/>
      <c r="NIP485" s="1031"/>
      <c r="NIQ485" s="1031"/>
      <c r="NIR485" s="1031"/>
      <c r="NIS485" s="1031"/>
      <c r="NIT485" s="1031"/>
      <c r="NIU485" s="1031"/>
      <c r="NIV485" s="1031"/>
      <c r="NIW485" s="1031"/>
      <c r="NIX485" s="1031"/>
      <c r="NIY485" s="1031"/>
      <c r="NIZ485" s="1031"/>
      <c r="NJA485" s="1031"/>
      <c r="NJB485" s="1031"/>
      <c r="NJC485" s="1031"/>
      <c r="NJD485" s="1031"/>
      <c r="NJE485" s="1031"/>
      <c r="NJF485" s="1031"/>
      <c r="NJG485" s="1031"/>
      <c r="NJH485" s="1031"/>
      <c r="NJI485" s="1031"/>
      <c r="NJJ485" s="1031"/>
      <c r="NJK485" s="1031"/>
      <c r="NJL485" s="1031"/>
      <c r="NJM485" s="1031"/>
      <c r="NJN485" s="1031"/>
      <c r="NJO485" s="1031"/>
      <c r="NJP485" s="1031"/>
      <c r="NJQ485" s="1031"/>
      <c r="NJR485" s="1031"/>
      <c r="NJS485" s="1031"/>
      <c r="NJT485" s="1031"/>
      <c r="NJU485" s="1031"/>
      <c r="NJV485" s="1031"/>
      <c r="NJW485" s="1031"/>
      <c r="NJX485" s="1031"/>
      <c r="NJY485" s="1031"/>
      <c r="NJZ485" s="1031"/>
      <c r="NKA485" s="1031"/>
      <c r="NKB485" s="1031"/>
      <c r="NKC485" s="1031"/>
      <c r="NKD485" s="1031"/>
      <c r="NKE485" s="1031"/>
      <c r="NKF485" s="1031"/>
      <c r="NKG485" s="1031"/>
      <c r="NKH485" s="1031"/>
      <c r="NKI485" s="1031"/>
      <c r="NKJ485" s="1031"/>
      <c r="NKK485" s="1031"/>
      <c r="NKL485" s="1031"/>
      <c r="NKM485" s="1031"/>
      <c r="NKN485" s="1031"/>
      <c r="NKO485" s="1031"/>
      <c r="NKP485" s="1031"/>
      <c r="NKQ485" s="1031"/>
      <c r="NKR485" s="1031"/>
      <c r="NKS485" s="1031"/>
      <c r="NKT485" s="1031"/>
      <c r="NKU485" s="1031"/>
      <c r="NKV485" s="1031"/>
      <c r="NKW485" s="1031"/>
      <c r="NKX485" s="1031"/>
      <c r="NKY485" s="1031"/>
      <c r="NKZ485" s="1031"/>
      <c r="NLA485" s="1031"/>
      <c r="NLB485" s="1031"/>
      <c r="NLC485" s="1031"/>
      <c r="NLD485" s="1031"/>
      <c r="NLE485" s="1031"/>
      <c r="NLF485" s="1031"/>
      <c r="NLG485" s="1031"/>
      <c r="NLH485" s="1031"/>
      <c r="NLI485" s="1031"/>
      <c r="NLJ485" s="1031"/>
      <c r="NLK485" s="1031"/>
      <c r="NLL485" s="1031"/>
      <c r="NLM485" s="1031"/>
      <c r="NLN485" s="1031"/>
      <c r="NLO485" s="1031"/>
      <c r="NLP485" s="1031"/>
      <c r="NLQ485" s="1031"/>
      <c r="NLR485" s="1031"/>
      <c r="NLS485" s="1031"/>
      <c r="NLT485" s="1031"/>
      <c r="NLU485" s="1031"/>
      <c r="NLV485" s="1031"/>
      <c r="NLW485" s="1031"/>
      <c r="NLX485" s="1031"/>
      <c r="NLY485" s="1031"/>
      <c r="NLZ485" s="1031"/>
      <c r="NMA485" s="1031"/>
      <c r="NMB485" s="1031"/>
      <c r="NMC485" s="1031"/>
      <c r="NMD485" s="1031"/>
      <c r="NME485" s="1031"/>
      <c r="NMF485" s="1031"/>
      <c r="NMG485" s="1031"/>
      <c r="NMH485" s="1031"/>
      <c r="NMI485" s="1031"/>
      <c r="NMJ485" s="1031"/>
      <c r="NMK485" s="1031"/>
      <c r="NML485" s="1031"/>
      <c r="NMM485" s="1031"/>
      <c r="NMN485" s="1031"/>
      <c r="NMO485" s="1031"/>
      <c r="NMP485" s="1031"/>
      <c r="NMQ485" s="1031"/>
      <c r="NMR485" s="1031"/>
      <c r="NMS485" s="1031"/>
      <c r="NMT485" s="1031"/>
      <c r="NMU485" s="1031"/>
      <c r="NMV485" s="1031"/>
      <c r="NMW485" s="1031"/>
      <c r="NMX485" s="1031"/>
      <c r="NMY485" s="1031"/>
      <c r="NMZ485" s="1031"/>
      <c r="NNA485" s="1031"/>
      <c r="NNB485" s="1031"/>
      <c r="NNC485" s="1031"/>
      <c r="NND485" s="1031"/>
      <c r="NNE485" s="1031"/>
      <c r="NNF485" s="1031"/>
      <c r="NNG485" s="1031"/>
      <c r="NNH485" s="1031"/>
      <c r="NNI485" s="1031"/>
      <c r="NNJ485" s="1031"/>
      <c r="NNK485" s="1031"/>
      <c r="NNL485" s="1031"/>
      <c r="NNM485" s="1031"/>
      <c r="NNN485" s="1031"/>
      <c r="NNO485" s="1031"/>
      <c r="NNP485" s="1031"/>
      <c r="NNQ485" s="1031"/>
      <c r="NNR485" s="1031"/>
      <c r="NNS485" s="1031"/>
      <c r="NNT485" s="1031"/>
      <c r="NNU485" s="1031"/>
      <c r="NNV485" s="1031"/>
      <c r="NNW485" s="1031"/>
      <c r="NNX485" s="1031"/>
      <c r="NNY485" s="1031"/>
      <c r="NNZ485" s="1031"/>
      <c r="NOA485" s="1031"/>
      <c r="NOB485" s="1031"/>
      <c r="NOC485" s="1031"/>
      <c r="NOD485" s="1031"/>
      <c r="NOE485" s="1031"/>
      <c r="NOF485" s="1031"/>
      <c r="NOG485" s="1031"/>
      <c r="NOH485" s="1031"/>
      <c r="NOI485" s="1031"/>
      <c r="NOJ485" s="1031"/>
      <c r="NOK485" s="1031"/>
      <c r="NOL485" s="1031"/>
      <c r="NOM485" s="1031"/>
      <c r="NON485" s="1031"/>
      <c r="NOO485" s="1031"/>
      <c r="NOP485" s="1031"/>
      <c r="NOQ485" s="1031"/>
      <c r="NOR485" s="1031"/>
      <c r="NOS485" s="1031"/>
      <c r="NOT485" s="1031"/>
      <c r="NOU485" s="1031"/>
      <c r="NOV485" s="1031"/>
      <c r="NOW485" s="1031"/>
      <c r="NOX485" s="1031"/>
      <c r="NOY485" s="1031"/>
      <c r="NOZ485" s="1031"/>
      <c r="NPA485" s="1031"/>
      <c r="NPB485" s="1031"/>
      <c r="NPC485" s="1031"/>
      <c r="NPD485" s="1031"/>
      <c r="NPE485" s="1031"/>
      <c r="NPF485" s="1031"/>
      <c r="NPG485" s="1031"/>
      <c r="NPH485" s="1031"/>
      <c r="NPI485" s="1031"/>
      <c r="NPJ485" s="1031"/>
      <c r="NPK485" s="1031"/>
      <c r="NPL485" s="1031"/>
      <c r="NPM485" s="1031"/>
      <c r="NPN485" s="1031"/>
      <c r="NPO485" s="1031"/>
      <c r="NPP485" s="1031"/>
      <c r="NPQ485" s="1031"/>
      <c r="NPR485" s="1031"/>
      <c r="NPS485" s="1031"/>
      <c r="NPT485" s="1031"/>
      <c r="NPU485" s="1031"/>
      <c r="NPV485" s="1031"/>
      <c r="NPW485" s="1031"/>
      <c r="NPX485" s="1031"/>
      <c r="NPY485" s="1031"/>
      <c r="NPZ485" s="1031"/>
      <c r="NQA485" s="1031"/>
      <c r="NQB485" s="1031"/>
      <c r="NQC485" s="1031"/>
      <c r="NQD485" s="1031"/>
      <c r="NQE485" s="1031"/>
      <c r="NQF485" s="1031"/>
      <c r="NQG485" s="1031"/>
      <c r="NQH485" s="1031"/>
      <c r="NQI485" s="1031"/>
      <c r="NQJ485" s="1031"/>
      <c r="NQK485" s="1031"/>
      <c r="NQL485" s="1031"/>
      <c r="NQM485" s="1031"/>
      <c r="NQN485" s="1031"/>
      <c r="NQO485" s="1031"/>
      <c r="NQP485" s="1031"/>
      <c r="NQQ485" s="1031"/>
      <c r="NQR485" s="1031"/>
      <c r="NQS485" s="1031"/>
      <c r="NQT485" s="1031"/>
      <c r="NQU485" s="1031"/>
      <c r="NQV485" s="1031"/>
      <c r="NQW485" s="1031"/>
      <c r="NQX485" s="1031"/>
      <c r="NQY485" s="1031"/>
      <c r="NQZ485" s="1031"/>
      <c r="NRA485" s="1031"/>
      <c r="NRB485" s="1031"/>
      <c r="NRC485" s="1031"/>
      <c r="NRD485" s="1031"/>
      <c r="NRE485" s="1031"/>
      <c r="NRF485" s="1031"/>
      <c r="NRG485" s="1031"/>
      <c r="NRH485" s="1031"/>
      <c r="NRI485" s="1031"/>
      <c r="NRJ485" s="1031"/>
      <c r="NRK485" s="1031"/>
      <c r="NRL485" s="1031"/>
      <c r="NRM485" s="1031"/>
      <c r="NRN485" s="1031"/>
      <c r="NRO485" s="1031"/>
      <c r="NRP485" s="1031"/>
      <c r="NRQ485" s="1031"/>
      <c r="NRR485" s="1031"/>
      <c r="NRS485" s="1031"/>
      <c r="NRT485" s="1031"/>
      <c r="NRU485" s="1031"/>
      <c r="NRV485" s="1031"/>
      <c r="NRW485" s="1031"/>
      <c r="NRX485" s="1031"/>
      <c r="NRY485" s="1031"/>
      <c r="NRZ485" s="1031"/>
      <c r="NSA485" s="1031"/>
      <c r="NSB485" s="1031"/>
      <c r="NSC485" s="1031"/>
      <c r="NSD485" s="1031"/>
      <c r="NSE485" s="1031"/>
      <c r="NSF485" s="1031"/>
      <c r="NSG485" s="1031"/>
      <c r="NSH485" s="1031"/>
      <c r="NSI485" s="1031"/>
      <c r="NSJ485" s="1031"/>
      <c r="NSK485" s="1031"/>
      <c r="NSL485" s="1031"/>
      <c r="NSM485" s="1031"/>
      <c r="NSN485" s="1031"/>
      <c r="NSO485" s="1031"/>
      <c r="NSP485" s="1031"/>
      <c r="NSQ485" s="1031"/>
      <c r="NSR485" s="1031"/>
      <c r="NSS485" s="1031"/>
      <c r="NST485" s="1031"/>
      <c r="NSU485" s="1031"/>
      <c r="NSV485" s="1031"/>
      <c r="NSW485" s="1031"/>
      <c r="NSX485" s="1031"/>
      <c r="NSY485" s="1031"/>
      <c r="NSZ485" s="1031"/>
      <c r="NTA485" s="1031"/>
      <c r="NTB485" s="1031"/>
      <c r="NTC485" s="1031"/>
      <c r="NTD485" s="1031"/>
      <c r="NTE485" s="1031"/>
      <c r="NTF485" s="1031"/>
      <c r="NTG485" s="1031"/>
      <c r="NTH485" s="1031"/>
      <c r="NTI485" s="1031"/>
      <c r="NTJ485" s="1031"/>
      <c r="NTK485" s="1031"/>
      <c r="NTL485" s="1031"/>
      <c r="NTM485" s="1031"/>
      <c r="NTN485" s="1031"/>
      <c r="NTO485" s="1031"/>
      <c r="NTP485" s="1031"/>
      <c r="NTQ485" s="1031"/>
      <c r="NTR485" s="1031"/>
      <c r="NTS485" s="1031"/>
      <c r="NTT485" s="1031"/>
      <c r="NTU485" s="1031"/>
      <c r="NTV485" s="1031"/>
      <c r="NTW485" s="1031"/>
      <c r="NTX485" s="1031"/>
      <c r="NTY485" s="1031"/>
      <c r="NTZ485" s="1031"/>
      <c r="NUA485" s="1031"/>
      <c r="NUB485" s="1031"/>
      <c r="NUC485" s="1031"/>
      <c r="NUD485" s="1031"/>
      <c r="NUE485" s="1031"/>
      <c r="NUF485" s="1031"/>
      <c r="NUG485" s="1031"/>
      <c r="NUH485" s="1031"/>
      <c r="NUI485" s="1031"/>
      <c r="NUJ485" s="1031"/>
      <c r="NUK485" s="1031"/>
      <c r="NUL485" s="1031"/>
      <c r="NUM485" s="1031"/>
      <c r="NUN485" s="1031"/>
      <c r="NUO485" s="1031"/>
      <c r="NUP485" s="1031"/>
      <c r="NUQ485" s="1031"/>
      <c r="NUR485" s="1031"/>
      <c r="NUS485" s="1031"/>
      <c r="NUT485" s="1031"/>
      <c r="NUU485" s="1031"/>
      <c r="NUV485" s="1031"/>
      <c r="NUW485" s="1031"/>
      <c r="NUX485" s="1031"/>
      <c r="NUY485" s="1031"/>
      <c r="NUZ485" s="1031"/>
      <c r="NVA485" s="1031"/>
      <c r="NVB485" s="1031"/>
      <c r="NVC485" s="1031"/>
      <c r="NVD485" s="1031"/>
      <c r="NVE485" s="1031"/>
      <c r="NVF485" s="1031"/>
      <c r="NVG485" s="1031"/>
      <c r="NVH485" s="1031"/>
      <c r="NVI485" s="1031"/>
      <c r="NVJ485" s="1031"/>
      <c r="NVK485" s="1031"/>
      <c r="NVL485" s="1031"/>
      <c r="NVM485" s="1031"/>
      <c r="NVN485" s="1031"/>
      <c r="NVO485" s="1031"/>
      <c r="NVP485" s="1031"/>
      <c r="NVQ485" s="1031"/>
      <c r="NVR485" s="1031"/>
      <c r="NVS485" s="1031"/>
      <c r="NVT485" s="1031"/>
      <c r="NVU485" s="1031"/>
      <c r="NVV485" s="1031"/>
      <c r="NVW485" s="1031"/>
      <c r="NVX485" s="1031"/>
      <c r="NVY485" s="1031"/>
      <c r="NVZ485" s="1031"/>
      <c r="NWA485" s="1031"/>
      <c r="NWB485" s="1031"/>
      <c r="NWC485" s="1031"/>
      <c r="NWD485" s="1031"/>
      <c r="NWE485" s="1031"/>
      <c r="NWF485" s="1031"/>
      <c r="NWG485" s="1031"/>
      <c r="NWH485" s="1031"/>
      <c r="NWI485" s="1031"/>
      <c r="NWJ485" s="1031"/>
      <c r="NWK485" s="1031"/>
      <c r="NWL485" s="1031"/>
      <c r="NWM485" s="1031"/>
      <c r="NWN485" s="1031"/>
      <c r="NWO485" s="1031"/>
      <c r="NWP485" s="1031"/>
      <c r="NWQ485" s="1031"/>
      <c r="NWR485" s="1031"/>
      <c r="NWS485" s="1031"/>
      <c r="NWT485" s="1031"/>
      <c r="NWU485" s="1031"/>
      <c r="NWV485" s="1031"/>
      <c r="NWW485" s="1031"/>
      <c r="NWX485" s="1031"/>
      <c r="NWY485" s="1031"/>
      <c r="NWZ485" s="1031"/>
      <c r="NXA485" s="1031"/>
      <c r="NXB485" s="1031"/>
      <c r="NXC485" s="1031"/>
      <c r="NXD485" s="1031"/>
      <c r="NXE485" s="1031"/>
      <c r="NXF485" s="1031"/>
      <c r="NXG485" s="1031"/>
      <c r="NXH485" s="1031"/>
      <c r="NXI485" s="1031"/>
      <c r="NXJ485" s="1031"/>
      <c r="NXK485" s="1031"/>
      <c r="NXL485" s="1031"/>
      <c r="NXM485" s="1031"/>
      <c r="NXN485" s="1031"/>
      <c r="NXO485" s="1031"/>
      <c r="NXP485" s="1031"/>
      <c r="NXQ485" s="1031"/>
      <c r="NXR485" s="1031"/>
      <c r="NXS485" s="1031"/>
      <c r="NXT485" s="1031"/>
      <c r="NXU485" s="1031"/>
      <c r="NXV485" s="1031"/>
      <c r="NXW485" s="1031"/>
      <c r="NXX485" s="1031"/>
      <c r="NXY485" s="1031"/>
      <c r="NXZ485" s="1031"/>
      <c r="NYA485" s="1031"/>
      <c r="NYB485" s="1031"/>
      <c r="NYC485" s="1031"/>
      <c r="NYD485" s="1031"/>
      <c r="NYE485" s="1031"/>
      <c r="NYF485" s="1031"/>
      <c r="NYG485" s="1031"/>
      <c r="NYH485" s="1031"/>
      <c r="NYI485" s="1031"/>
      <c r="NYJ485" s="1031"/>
      <c r="NYK485" s="1031"/>
      <c r="NYL485" s="1031"/>
      <c r="NYM485" s="1031"/>
      <c r="NYN485" s="1031"/>
      <c r="NYO485" s="1031"/>
      <c r="NYP485" s="1031"/>
      <c r="NYQ485" s="1031"/>
      <c r="NYR485" s="1031"/>
      <c r="NYS485" s="1031"/>
      <c r="NYT485" s="1031"/>
      <c r="NYU485" s="1031"/>
      <c r="NYV485" s="1031"/>
      <c r="NYW485" s="1031"/>
      <c r="NYX485" s="1031"/>
      <c r="NYY485" s="1031"/>
      <c r="NYZ485" s="1031"/>
      <c r="NZA485" s="1031"/>
      <c r="NZB485" s="1031"/>
      <c r="NZC485" s="1031"/>
      <c r="NZD485" s="1031"/>
      <c r="NZE485" s="1031"/>
      <c r="NZF485" s="1031"/>
      <c r="NZG485" s="1031"/>
      <c r="NZH485" s="1031"/>
      <c r="NZI485" s="1031"/>
      <c r="NZJ485" s="1031"/>
      <c r="NZK485" s="1031"/>
      <c r="NZL485" s="1031"/>
      <c r="NZM485" s="1031"/>
      <c r="NZN485" s="1031"/>
      <c r="NZO485" s="1031"/>
      <c r="NZP485" s="1031"/>
      <c r="NZQ485" s="1031"/>
      <c r="NZR485" s="1031"/>
      <c r="NZS485" s="1031"/>
      <c r="NZT485" s="1031"/>
      <c r="NZU485" s="1031"/>
      <c r="NZV485" s="1031"/>
      <c r="NZW485" s="1031"/>
      <c r="NZX485" s="1031"/>
      <c r="NZY485" s="1031"/>
      <c r="NZZ485" s="1031"/>
      <c r="OAA485" s="1031"/>
      <c r="OAB485" s="1031"/>
      <c r="OAC485" s="1031"/>
      <c r="OAD485" s="1031"/>
      <c r="OAE485" s="1031"/>
      <c r="OAF485" s="1031"/>
      <c r="OAG485" s="1031"/>
      <c r="OAH485" s="1031"/>
      <c r="OAI485" s="1031"/>
      <c r="OAJ485" s="1031"/>
      <c r="OAK485" s="1031"/>
      <c r="OAL485" s="1031"/>
      <c r="OAM485" s="1031"/>
      <c r="OAN485" s="1031"/>
      <c r="OAO485" s="1031"/>
      <c r="OAP485" s="1031"/>
      <c r="OAQ485" s="1031"/>
      <c r="OAR485" s="1031"/>
      <c r="OAS485" s="1031"/>
      <c r="OAT485" s="1031"/>
      <c r="OAU485" s="1031"/>
      <c r="OAV485" s="1031"/>
      <c r="OAW485" s="1031"/>
      <c r="OAX485" s="1031"/>
      <c r="OAY485" s="1031"/>
      <c r="OAZ485" s="1031"/>
      <c r="OBA485" s="1031"/>
      <c r="OBB485" s="1031"/>
      <c r="OBC485" s="1031"/>
      <c r="OBD485" s="1031"/>
      <c r="OBE485" s="1031"/>
      <c r="OBF485" s="1031"/>
      <c r="OBG485" s="1031"/>
      <c r="OBH485" s="1031"/>
      <c r="OBI485" s="1031"/>
      <c r="OBJ485" s="1031"/>
      <c r="OBK485" s="1031"/>
      <c r="OBL485" s="1031"/>
      <c r="OBM485" s="1031"/>
      <c r="OBN485" s="1031"/>
      <c r="OBO485" s="1031"/>
      <c r="OBP485" s="1031"/>
      <c r="OBQ485" s="1031"/>
      <c r="OBR485" s="1031"/>
      <c r="OBS485" s="1031"/>
      <c r="OBT485" s="1031"/>
      <c r="OBU485" s="1031"/>
      <c r="OBV485" s="1031"/>
      <c r="OBW485" s="1031"/>
      <c r="OBX485" s="1031"/>
      <c r="OBY485" s="1031"/>
      <c r="OBZ485" s="1031"/>
      <c r="OCA485" s="1031"/>
      <c r="OCB485" s="1031"/>
      <c r="OCC485" s="1031"/>
      <c r="OCD485" s="1031"/>
      <c r="OCE485" s="1031"/>
      <c r="OCF485" s="1031"/>
      <c r="OCG485" s="1031"/>
      <c r="OCH485" s="1031"/>
      <c r="OCI485" s="1031"/>
      <c r="OCJ485" s="1031"/>
      <c r="OCK485" s="1031"/>
      <c r="OCL485" s="1031"/>
      <c r="OCM485" s="1031"/>
      <c r="OCN485" s="1031"/>
      <c r="OCO485" s="1031"/>
      <c r="OCP485" s="1031"/>
      <c r="OCQ485" s="1031"/>
      <c r="OCR485" s="1031"/>
      <c r="OCS485" s="1031"/>
      <c r="OCT485" s="1031"/>
      <c r="OCU485" s="1031"/>
      <c r="OCV485" s="1031"/>
      <c r="OCW485" s="1031"/>
      <c r="OCX485" s="1031"/>
      <c r="OCY485" s="1031"/>
      <c r="OCZ485" s="1031"/>
      <c r="ODA485" s="1031"/>
      <c r="ODB485" s="1031"/>
      <c r="ODC485" s="1031"/>
      <c r="ODD485" s="1031"/>
      <c r="ODE485" s="1031"/>
      <c r="ODF485" s="1031"/>
      <c r="ODG485" s="1031"/>
      <c r="ODH485" s="1031"/>
      <c r="ODI485" s="1031"/>
      <c r="ODJ485" s="1031"/>
      <c r="ODK485" s="1031"/>
      <c r="ODL485" s="1031"/>
      <c r="ODM485" s="1031"/>
      <c r="ODN485" s="1031"/>
      <c r="ODO485" s="1031"/>
      <c r="ODP485" s="1031"/>
      <c r="ODQ485" s="1031"/>
      <c r="ODR485" s="1031"/>
      <c r="ODS485" s="1031"/>
      <c r="ODT485" s="1031"/>
      <c r="ODU485" s="1031"/>
      <c r="ODV485" s="1031"/>
      <c r="ODW485" s="1031"/>
      <c r="ODX485" s="1031"/>
      <c r="ODY485" s="1031"/>
      <c r="ODZ485" s="1031"/>
      <c r="OEA485" s="1031"/>
      <c r="OEB485" s="1031"/>
      <c r="OEC485" s="1031"/>
      <c r="OED485" s="1031"/>
      <c r="OEE485" s="1031"/>
      <c r="OEF485" s="1031"/>
      <c r="OEG485" s="1031"/>
      <c r="OEH485" s="1031"/>
      <c r="OEI485" s="1031"/>
      <c r="OEJ485" s="1031"/>
      <c r="OEK485" s="1031"/>
      <c r="OEL485" s="1031"/>
      <c r="OEM485" s="1031"/>
      <c r="OEN485" s="1031"/>
      <c r="OEO485" s="1031"/>
      <c r="OEP485" s="1031"/>
      <c r="OEQ485" s="1031"/>
      <c r="OER485" s="1031"/>
      <c r="OES485" s="1031"/>
      <c r="OET485" s="1031"/>
      <c r="OEU485" s="1031"/>
      <c r="OEV485" s="1031"/>
      <c r="OEW485" s="1031"/>
      <c r="OEX485" s="1031"/>
      <c r="OEY485" s="1031"/>
      <c r="OEZ485" s="1031"/>
      <c r="OFA485" s="1031"/>
      <c r="OFB485" s="1031"/>
      <c r="OFC485" s="1031"/>
      <c r="OFD485" s="1031"/>
      <c r="OFE485" s="1031"/>
      <c r="OFF485" s="1031"/>
      <c r="OFG485" s="1031"/>
      <c r="OFH485" s="1031"/>
      <c r="OFI485" s="1031"/>
      <c r="OFJ485" s="1031"/>
      <c r="OFK485" s="1031"/>
      <c r="OFL485" s="1031"/>
      <c r="OFM485" s="1031"/>
      <c r="OFN485" s="1031"/>
      <c r="OFO485" s="1031"/>
      <c r="OFP485" s="1031"/>
      <c r="OFQ485" s="1031"/>
      <c r="OFR485" s="1031"/>
      <c r="OFS485" s="1031"/>
      <c r="OFT485" s="1031"/>
      <c r="OFU485" s="1031"/>
      <c r="OFV485" s="1031"/>
      <c r="OFW485" s="1031"/>
      <c r="OFX485" s="1031"/>
      <c r="OFY485" s="1031"/>
      <c r="OFZ485" s="1031"/>
      <c r="OGA485" s="1031"/>
      <c r="OGB485" s="1031"/>
      <c r="OGC485" s="1031"/>
      <c r="OGD485" s="1031"/>
      <c r="OGE485" s="1031"/>
      <c r="OGF485" s="1031"/>
      <c r="OGG485" s="1031"/>
      <c r="OGH485" s="1031"/>
      <c r="OGI485" s="1031"/>
      <c r="OGJ485" s="1031"/>
      <c r="OGK485" s="1031"/>
      <c r="OGL485" s="1031"/>
      <c r="OGM485" s="1031"/>
      <c r="OGN485" s="1031"/>
      <c r="OGO485" s="1031"/>
      <c r="OGP485" s="1031"/>
      <c r="OGQ485" s="1031"/>
      <c r="OGR485" s="1031"/>
      <c r="OGS485" s="1031"/>
      <c r="OGT485" s="1031"/>
      <c r="OGU485" s="1031"/>
      <c r="OGV485" s="1031"/>
      <c r="OGW485" s="1031"/>
      <c r="OGX485" s="1031"/>
      <c r="OGY485" s="1031"/>
      <c r="OGZ485" s="1031"/>
      <c r="OHA485" s="1031"/>
      <c r="OHB485" s="1031"/>
      <c r="OHC485" s="1031"/>
      <c r="OHD485" s="1031"/>
      <c r="OHE485" s="1031"/>
      <c r="OHF485" s="1031"/>
      <c r="OHG485" s="1031"/>
      <c r="OHH485" s="1031"/>
      <c r="OHI485" s="1031"/>
      <c r="OHJ485" s="1031"/>
      <c r="OHK485" s="1031"/>
      <c r="OHL485" s="1031"/>
      <c r="OHM485" s="1031"/>
      <c r="OHN485" s="1031"/>
      <c r="OHO485" s="1031"/>
      <c r="OHP485" s="1031"/>
      <c r="OHQ485" s="1031"/>
      <c r="OHR485" s="1031"/>
      <c r="OHS485" s="1031"/>
      <c r="OHT485" s="1031"/>
      <c r="OHU485" s="1031"/>
      <c r="OHV485" s="1031"/>
      <c r="OHW485" s="1031"/>
      <c r="OHX485" s="1031"/>
      <c r="OHY485" s="1031"/>
      <c r="OHZ485" s="1031"/>
      <c r="OIA485" s="1031"/>
      <c r="OIB485" s="1031"/>
      <c r="OIC485" s="1031"/>
      <c r="OID485" s="1031"/>
      <c r="OIE485" s="1031"/>
      <c r="OIF485" s="1031"/>
      <c r="OIG485" s="1031"/>
      <c r="OIH485" s="1031"/>
      <c r="OII485" s="1031"/>
      <c r="OIJ485" s="1031"/>
      <c r="OIK485" s="1031"/>
      <c r="OIL485" s="1031"/>
      <c r="OIM485" s="1031"/>
      <c r="OIN485" s="1031"/>
      <c r="OIO485" s="1031"/>
      <c r="OIP485" s="1031"/>
      <c r="OIQ485" s="1031"/>
      <c r="OIR485" s="1031"/>
      <c r="OIS485" s="1031"/>
      <c r="OIT485" s="1031"/>
      <c r="OIU485" s="1031"/>
      <c r="OIV485" s="1031"/>
      <c r="OIW485" s="1031"/>
      <c r="OIX485" s="1031"/>
      <c r="OIY485" s="1031"/>
      <c r="OIZ485" s="1031"/>
      <c r="OJA485" s="1031"/>
      <c r="OJB485" s="1031"/>
      <c r="OJC485" s="1031"/>
      <c r="OJD485" s="1031"/>
      <c r="OJE485" s="1031"/>
      <c r="OJF485" s="1031"/>
      <c r="OJG485" s="1031"/>
      <c r="OJH485" s="1031"/>
      <c r="OJI485" s="1031"/>
      <c r="OJJ485" s="1031"/>
      <c r="OJK485" s="1031"/>
      <c r="OJL485" s="1031"/>
      <c r="OJM485" s="1031"/>
      <c r="OJN485" s="1031"/>
      <c r="OJO485" s="1031"/>
      <c r="OJP485" s="1031"/>
      <c r="OJQ485" s="1031"/>
      <c r="OJR485" s="1031"/>
      <c r="OJS485" s="1031"/>
      <c r="OJT485" s="1031"/>
      <c r="OJU485" s="1031"/>
      <c r="OJV485" s="1031"/>
      <c r="OJW485" s="1031"/>
      <c r="OJX485" s="1031"/>
      <c r="OJY485" s="1031"/>
      <c r="OJZ485" s="1031"/>
      <c r="OKA485" s="1031"/>
      <c r="OKB485" s="1031"/>
      <c r="OKC485" s="1031"/>
      <c r="OKD485" s="1031"/>
      <c r="OKE485" s="1031"/>
      <c r="OKF485" s="1031"/>
      <c r="OKG485" s="1031"/>
      <c r="OKH485" s="1031"/>
      <c r="OKI485" s="1031"/>
      <c r="OKJ485" s="1031"/>
      <c r="OKK485" s="1031"/>
      <c r="OKL485" s="1031"/>
      <c r="OKM485" s="1031"/>
      <c r="OKN485" s="1031"/>
      <c r="OKO485" s="1031"/>
      <c r="OKP485" s="1031"/>
      <c r="OKQ485" s="1031"/>
      <c r="OKR485" s="1031"/>
      <c r="OKS485" s="1031"/>
      <c r="OKT485" s="1031"/>
      <c r="OKU485" s="1031"/>
      <c r="OKV485" s="1031"/>
      <c r="OKW485" s="1031"/>
      <c r="OKX485" s="1031"/>
      <c r="OKY485" s="1031"/>
      <c r="OKZ485" s="1031"/>
      <c r="OLA485" s="1031"/>
      <c r="OLB485" s="1031"/>
      <c r="OLC485" s="1031"/>
      <c r="OLD485" s="1031"/>
      <c r="OLE485" s="1031"/>
      <c r="OLF485" s="1031"/>
      <c r="OLG485" s="1031"/>
      <c r="OLH485" s="1031"/>
      <c r="OLI485" s="1031"/>
      <c r="OLJ485" s="1031"/>
      <c r="OLK485" s="1031"/>
      <c r="OLL485" s="1031"/>
      <c r="OLM485" s="1031"/>
      <c r="OLN485" s="1031"/>
      <c r="OLO485" s="1031"/>
      <c r="OLP485" s="1031"/>
      <c r="OLQ485" s="1031"/>
      <c r="OLR485" s="1031"/>
      <c r="OLS485" s="1031"/>
      <c r="OLT485" s="1031"/>
      <c r="OLU485" s="1031"/>
      <c r="OLV485" s="1031"/>
      <c r="OLW485" s="1031"/>
      <c r="OLX485" s="1031"/>
      <c r="OLY485" s="1031"/>
      <c r="OLZ485" s="1031"/>
      <c r="OMA485" s="1031"/>
      <c r="OMB485" s="1031"/>
      <c r="OMC485" s="1031"/>
      <c r="OMD485" s="1031"/>
      <c r="OME485" s="1031"/>
      <c r="OMF485" s="1031"/>
      <c r="OMG485" s="1031"/>
      <c r="OMH485" s="1031"/>
      <c r="OMI485" s="1031"/>
      <c r="OMJ485" s="1031"/>
      <c r="OMK485" s="1031"/>
      <c r="OML485" s="1031"/>
      <c r="OMM485" s="1031"/>
      <c r="OMN485" s="1031"/>
      <c r="OMO485" s="1031"/>
      <c r="OMP485" s="1031"/>
      <c r="OMQ485" s="1031"/>
      <c r="OMR485" s="1031"/>
      <c r="OMS485" s="1031"/>
      <c r="OMT485" s="1031"/>
      <c r="OMU485" s="1031"/>
      <c r="OMV485" s="1031"/>
      <c r="OMW485" s="1031"/>
      <c r="OMX485" s="1031"/>
      <c r="OMY485" s="1031"/>
      <c r="OMZ485" s="1031"/>
      <c r="ONA485" s="1031"/>
      <c r="ONB485" s="1031"/>
      <c r="ONC485" s="1031"/>
      <c r="OND485" s="1031"/>
      <c r="ONE485" s="1031"/>
      <c r="ONF485" s="1031"/>
      <c r="ONG485" s="1031"/>
      <c r="ONH485" s="1031"/>
      <c r="ONI485" s="1031"/>
      <c r="ONJ485" s="1031"/>
      <c r="ONK485" s="1031"/>
      <c r="ONL485" s="1031"/>
      <c r="ONM485" s="1031"/>
      <c r="ONN485" s="1031"/>
      <c r="ONO485" s="1031"/>
      <c r="ONP485" s="1031"/>
      <c r="ONQ485" s="1031"/>
      <c r="ONR485" s="1031"/>
      <c r="ONS485" s="1031"/>
      <c r="ONT485" s="1031"/>
      <c r="ONU485" s="1031"/>
      <c r="ONV485" s="1031"/>
      <c r="ONW485" s="1031"/>
      <c r="ONX485" s="1031"/>
      <c r="ONY485" s="1031"/>
      <c r="ONZ485" s="1031"/>
      <c r="OOA485" s="1031"/>
      <c r="OOB485" s="1031"/>
      <c r="OOC485" s="1031"/>
      <c r="OOD485" s="1031"/>
      <c r="OOE485" s="1031"/>
      <c r="OOF485" s="1031"/>
      <c r="OOG485" s="1031"/>
      <c r="OOH485" s="1031"/>
      <c r="OOI485" s="1031"/>
      <c r="OOJ485" s="1031"/>
      <c r="OOK485" s="1031"/>
      <c r="OOL485" s="1031"/>
      <c r="OOM485" s="1031"/>
      <c r="OON485" s="1031"/>
      <c r="OOO485" s="1031"/>
      <c r="OOP485" s="1031"/>
      <c r="OOQ485" s="1031"/>
      <c r="OOR485" s="1031"/>
      <c r="OOS485" s="1031"/>
      <c r="OOT485" s="1031"/>
      <c r="OOU485" s="1031"/>
      <c r="OOV485" s="1031"/>
      <c r="OOW485" s="1031"/>
      <c r="OOX485" s="1031"/>
      <c r="OOY485" s="1031"/>
      <c r="OOZ485" s="1031"/>
      <c r="OPA485" s="1031"/>
      <c r="OPB485" s="1031"/>
      <c r="OPC485" s="1031"/>
      <c r="OPD485" s="1031"/>
      <c r="OPE485" s="1031"/>
      <c r="OPF485" s="1031"/>
      <c r="OPG485" s="1031"/>
      <c r="OPH485" s="1031"/>
      <c r="OPI485" s="1031"/>
      <c r="OPJ485" s="1031"/>
      <c r="OPK485" s="1031"/>
      <c r="OPL485" s="1031"/>
      <c r="OPM485" s="1031"/>
      <c r="OPN485" s="1031"/>
      <c r="OPO485" s="1031"/>
      <c r="OPP485" s="1031"/>
      <c r="OPQ485" s="1031"/>
      <c r="OPR485" s="1031"/>
      <c r="OPS485" s="1031"/>
      <c r="OPT485" s="1031"/>
      <c r="OPU485" s="1031"/>
      <c r="OPV485" s="1031"/>
      <c r="OPW485" s="1031"/>
      <c r="OPX485" s="1031"/>
      <c r="OPY485" s="1031"/>
      <c r="OPZ485" s="1031"/>
      <c r="OQA485" s="1031"/>
      <c r="OQB485" s="1031"/>
      <c r="OQC485" s="1031"/>
      <c r="OQD485" s="1031"/>
      <c r="OQE485" s="1031"/>
      <c r="OQF485" s="1031"/>
      <c r="OQG485" s="1031"/>
      <c r="OQH485" s="1031"/>
      <c r="OQI485" s="1031"/>
      <c r="OQJ485" s="1031"/>
      <c r="OQK485" s="1031"/>
      <c r="OQL485" s="1031"/>
      <c r="OQM485" s="1031"/>
      <c r="OQN485" s="1031"/>
      <c r="OQO485" s="1031"/>
      <c r="OQP485" s="1031"/>
      <c r="OQQ485" s="1031"/>
      <c r="OQR485" s="1031"/>
      <c r="OQS485" s="1031"/>
      <c r="OQT485" s="1031"/>
      <c r="OQU485" s="1031"/>
      <c r="OQV485" s="1031"/>
      <c r="OQW485" s="1031"/>
      <c r="OQX485" s="1031"/>
      <c r="OQY485" s="1031"/>
      <c r="OQZ485" s="1031"/>
      <c r="ORA485" s="1031"/>
      <c r="ORB485" s="1031"/>
      <c r="ORC485" s="1031"/>
      <c r="ORD485" s="1031"/>
      <c r="ORE485" s="1031"/>
      <c r="ORF485" s="1031"/>
      <c r="ORG485" s="1031"/>
      <c r="ORH485" s="1031"/>
      <c r="ORI485" s="1031"/>
      <c r="ORJ485" s="1031"/>
      <c r="ORK485" s="1031"/>
      <c r="ORL485" s="1031"/>
      <c r="ORM485" s="1031"/>
      <c r="ORN485" s="1031"/>
      <c r="ORO485" s="1031"/>
      <c r="ORP485" s="1031"/>
      <c r="ORQ485" s="1031"/>
      <c r="ORR485" s="1031"/>
      <c r="ORS485" s="1031"/>
      <c r="ORT485" s="1031"/>
      <c r="ORU485" s="1031"/>
      <c r="ORV485" s="1031"/>
      <c r="ORW485" s="1031"/>
      <c r="ORX485" s="1031"/>
      <c r="ORY485" s="1031"/>
      <c r="ORZ485" s="1031"/>
      <c r="OSA485" s="1031"/>
      <c r="OSB485" s="1031"/>
      <c r="OSC485" s="1031"/>
      <c r="OSD485" s="1031"/>
      <c r="OSE485" s="1031"/>
      <c r="OSF485" s="1031"/>
      <c r="OSG485" s="1031"/>
      <c r="OSH485" s="1031"/>
      <c r="OSI485" s="1031"/>
      <c r="OSJ485" s="1031"/>
      <c r="OSK485" s="1031"/>
      <c r="OSL485" s="1031"/>
      <c r="OSM485" s="1031"/>
      <c r="OSN485" s="1031"/>
      <c r="OSO485" s="1031"/>
      <c r="OSP485" s="1031"/>
      <c r="OSQ485" s="1031"/>
      <c r="OSR485" s="1031"/>
      <c r="OSS485" s="1031"/>
      <c r="OST485" s="1031"/>
      <c r="OSU485" s="1031"/>
      <c r="OSV485" s="1031"/>
      <c r="OSW485" s="1031"/>
      <c r="OSX485" s="1031"/>
      <c r="OSY485" s="1031"/>
      <c r="OSZ485" s="1031"/>
      <c r="OTA485" s="1031"/>
      <c r="OTB485" s="1031"/>
      <c r="OTC485" s="1031"/>
      <c r="OTD485" s="1031"/>
      <c r="OTE485" s="1031"/>
      <c r="OTF485" s="1031"/>
      <c r="OTG485" s="1031"/>
      <c r="OTH485" s="1031"/>
      <c r="OTI485" s="1031"/>
      <c r="OTJ485" s="1031"/>
      <c r="OTK485" s="1031"/>
      <c r="OTL485" s="1031"/>
      <c r="OTM485" s="1031"/>
      <c r="OTN485" s="1031"/>
      <c r="OTO485" s="1031"/>
      <c r="OTP485" s="1031"/>
      <c r="OTQ485" s="1031"/>
      <c r="OTR485" s="1031"/>
      <c r="OTS485" s="1031"/>
      <c r="OTT485" s="1031"/>
      <c r="OTU485" s="1031"/>
      <c r="OTV485" s="1031"/>
      <c r="OTW485" s="1031"/>
      <c r="OTX485" s="1031"/>
      <c r="OTY485" s="1031"/>
      <c r="OTZ485" s="1031"/>
      <c r="OUA485" s="1031"/>
      <c r="OUB485" s="1031"/>
      <c r="OUC485" s="1031"/>
      <c r="OUD485" s="1031"/>
      <c r="OUE485" s="1031"/>
      <c r="OUF485" s="1031"/>
      <c r="OUG485" s="1031"/>
      <c r="OUH485" s="1031"/>
      <c r="OUI485" s="1031"/>
      <c r="OUJ485" s="1031"/>
      <c r="OUK485" s="1031"/>
      <c r="OUL485" s="1031"/>
      <c r="OUM485" s="1031"/>
      <c r="OUN485" s="1031"/>
      <c r="OUO485" s="1031"/>
      <c r="OUP485" s="1031"/>
      <c r="OUQ485" s="1031"/>
      <c r="OUR485" s="1031"/>
      <c r="OUS485" s="1031"/>
      <c r="OUT485" s="1031"/>
      <c r="OUU485" s="1031"/>
      <c r="OUV485" s="1031"/>
      <c r="OUW485" s="1031"/>
      <c r="OUX485" s="1031"/>
      <c r="OUY485" s="1031"/>
      <c r="OUZ485" s="1031"/>
      <c r="OVA485" s="1031"/>
      <c r="OVB485" s="1031"/>
      <c r="OVC485" s="1031"/>
      <c r="OVD485" s="1031"/>
      <c r="OVE485" s="1031"/>
      <c r="OVF485" s="1031"/>
      <c r="OVG485" s="1031"/>
      <c r="OVH485" s="1031"/>
      <c r="OVI485" s="1031"/>
      <c r="OVJ485" s="1031"/>
      <c r="OVK485" s="1031"/>
      <c r="OVL485" s="1031"/>
      <c r="OVM485" s="1031"/>
      <c r="OVN485" s="1031"/>
      <c r="OVO485" s="1031"/>
      <c r="OVP485" s="1031"/>
      <c r="OVQ485" s="1031"/>
      <c r="OVR485" s="1031"/>
      <c r="OVS485" s="1031"/>
      <c r="OVT485" s="1031"/>
      <c r="OVU485" s="1031"/>
      <c r="OVV485" s="1031"/>
      <c r="OVW485" s="1031"/>
      <c r="OVX485" s="1031"/>
      <c r="OVY485" s="1031"/>
      <c r="OVZ485" s="1031"/>
      <c r="OWA485" s="1031"/>
      <c r="OWB485" s="1031"/>
      <c r="OWC485" s="1031"/>
      <c r="OWD485" s="1031"/>
      <c r="OWE485" s="1031"/>
      <c r="OWF485" s="1031"/>
      <c r="OWG485" s="1031"/>
      <c r="OWH485" s="1031"/>
      <c r="OWI485" s="1031"/>
      <c r="OWJ485" s="1031"/>
      <c r="OWK485" s="1031"/>
      <c r="OWL485" s="1031"/>
      <c r="OWM485" s="1031"/>
      <c r="OWN485" s="1031"/>
      <c r="OWO485" s="1031"/>
      <c r="OWP485" s="1031"/>
      <c r="OWQ485" s="1031"/>
      <c r="OWR485" s="1031"/>
      <c r="OWS485" s="1031"/>
      <c r="OWT485" s="1031"/>
      <c r="OWU485" s="1031"/>
      <c r="OWV485" s="1031"/>
      <c r="OWW485" s="1031"/>
      <c r="OWX485" s="1031"/>
      <c r="OWY485" s="1031"/>
      <c r="OWZ485" s="1031"/>
      <c r="OXA485" s="1031"/>
      <c r="OXB485" s="1031"/>
      <c r="OXC485" s="1031"/>
      <c r="OXD485" s="1031"/>
      <c r="OXE485" s="1031"/>
      <c r="OXF485" s="1031"/>
      <c r="OXG485" s="1031"/>
      <c r="OXH485" s="1031"/>
      <c r="OXI485" s="1031"/>
      <c r="OXJ485" s="1031"/>
      <c r="OXK485" s="1031"/>
      <c r="OXL485" s="1031"/>
      <c r="OXM485" s="1031"/>
      <c r="OXN485" s="1031"/>
      <c r="OXO485" s="1031"/>
      <c r="OXP485" s="1031"/>
      <c r="OXQ485" s="1031"/>
      <c r="OXR485" s="1031"/>
      <c r="OXS485" s="1031"/>
      <c r="OXT485" s="1031"/>
      <c r="OXU485" s="1031"/>
      <c r="OXV485" s="1031"/>
      <c r="OXW485" s="1031"/>
      <c r="OXX485" s="1031"/>
      <c r="OXY485" s="1031"/>
      <c r="OXZ485" s="1031"/>
      <c r="OYA485" s="1031"/>
      <c r="OYB485" s="1031"/>
      <c r="OYC485" s="1031"/>
      <c r="OYD485" s="1031"/>
      <c r="OYE485" s="1031"/>
      <c r="OYF485" s="1031"/>
      <c r="OYG485" s="1031"/>
      <c r="OYH485" s="1031"/>
      <c r="OYI485" s="1031"/>
      <c r="OYJ485" s="1031"/>
      <c r="OYK485" s="1031"/>
      <c r="OYL485" s="1031"/>
      <c r="OYM485" s="1031"/>
      <c r="OYN485" s="1031"/>
      <c r="OYO485" s="1031"/>
      <c r="OYP485" s="1031"/>
      <c r="OYQ485" s="1031"/>
      <c r="OYR485" s="1031"/>
      <c r="OYS485" s="1031"/>
      <c r="OYT485" s="1031"/>
      <c r="OYU485" s="1031"/>
      <c r="OYV485" s="1031"/>
      <c r="OYW485" s="1031"/>
      <c r="OYX485" s="1031"/>
      <c r="OYY485" s="1031"/>
      <c r="OYZ485" s="1031"/>
      <c r="OZA485" s="1031"/>
      <c r="OZB485" s="1031"/>
      <c r="OZC485" s="1031"/>
      <c r="OZD485" s="1031"/>
      <c r="OZE485" s="1031"/>
      <c r="OZF485" s="1031"/>
      <c r="OZG485" s="1031"/>
      <c r="OZH485" s="1031"/>
      <c r="OZI485" s="1031"/>
      <c r="OZJ485" s="1031"/>
      <c r="OZK485" s="1031"/>
      <c r="OZL485" s="1031"/>
      <c r="OZM485" s="1031"/>
      <c r="OZN485" s="1031"/>
      <c r="OZO485" s="1031"/>
      <c r="OZP485" s="1031"/>
      <c r="OZQ485" s="1031"/>
      <c r="OZR485" s="1031"/>
      <c r="OZS485" s="1031"/>
      <c r="OZT485" s="1031"/>
      <c r="OZU485" s="1031"/>
      <c r="OZV485" s="1031"/>
      <c r="OZW485" s="1031"/>
      <c r="OZX485" s="1031"/>
      <c r="OZY485" s="1031"/>
      <c r="OZZ485" s="1031"/>
      <c r="PAA485" s="1031"/>
      <c r="PAB485" s="1031"/>
      <c r="PAC485" s="1031"/>
      <c r="PAD485" s="1031"/>
      <c r="PAE485" s="1031"/>
      <c r="PAF485" s="1031"/>
      <c r="PAG485" s="1031"/>
      <c r="PAH485" s="1031"/>
      <c r="PAI485" s="1031"/>
      <c r="PAJ485" s="1031"/>
      <c r="PAK485" s="1031"/>
      <c r="PAL485" s="1031"/>
      <c r="PAM485" s="1031"/>
      <c r="PAN485" s="1031"/>
      <c r="PAO485" s="1031"/>
      <c r="PAP485" s="1031"/>
      <c r="PAQ485" s="1031"/>
      <c r="PAR485" s="1031"/>
      <c r="PAS485" s="1031"/>
      <c r="PAT485" s="1031"/>
      <c r="PAU485" s="1031"/>
      <c r="PAV485" s="1031"/>
      <c r="PAW485" s="1031"/>
      <c r="PAX485" s="1031"/>
      <c r="PAY485" s="1031"/>
      <c r="PAZ485" s="1031"/>
      <c r="PBA485" s="1031"/>
      <c r="PBB485" s="1031"/>
      <c r="PBC485" s="1031"/>
      <c r="PBD485" s="1031"/>
      <c r="PBE485" s="1031"/>
      <c r="PBF485" s="1031"/>
      <c r="PBG485" s="1031"/>
      <c r="PBH485" s="1031"/>
      <c r="PBI485" s="1031"/>
      <c r="PBJ485" s="1031"/>
      <c r="PBK485" s="1031"/>
      <c r="PBL485" s="1031"/>
      <c r="PBM485" s="1031"/>
      <c r="PBN485" s="1031"/>
      <c r="PBO485" s="1031"/>
      <c r="PBP485" s="1031"/>
      <c r="PBQ485" s="1031"/>
      <c r="PBR485" s="1031"/>
      <c r="PBS485" s="1031"/>
      <c r="PBT485" s="1031"/>
      <c r="PBU485" s="1031"/>
      <c r="PBV485" s="1031"/>
      <c r="PBW485" s="1031"/>
      <c r="PBX485" s="1031"/>
      <c r="PBY485" s="1031"/>
      <c r="PBZ485" s="1031"/>
      <c r="PCA485" s="1031"/>
      <c r="PCB485" s="1031"/>
      <c r="PCC485" s="1031"/>
      <c r="PCD485" s="1031"/>
      <c r="PCE485" s="1031"/>
      <c r="PCF485" s="1031"/>
      <c r="PCG485" s="1031"/>
      <c r="PCH485" s="1031"/>
      <c r="PCI485" s="1031"/>
      <c r="PCJ485" s="1031"/>
      <c r="PCK485" s="1031"/>
      <c r="PCL485" s="1031"/>
      <c r="PCM485" s="1031"/>
      <c r="PCN485" s="1031"/>
      <c r="PCO485" s="1031"/>
      <c r="PCP485" s="1031"/>
      <c r="PCQ485" s="1031"/>
      <c r="PCR485" s="1031"/>
      <c r="PCS485" s="1031"/>
      <c r="PCT485" s="1031"/>
      <c r="PCU485" s="1031"/>
      <c r="PCV485" s="1031"/>
      <c r="PCW485" s="1031"/>
      <c r="PCX485" s="1031"/>
      <c r="PCY485" s="1031"/>
      <c r="PCZ485" s="1031"/>
      <c r="PDA485" s="1031"/>
      <c r="PDB485" s="1031"/>
      <c r="PDC485" s="1031"/>
      <c r="PDD485" s="1031"/>
      <c r="PDE485" s="1031"/>
      <c r="PDF485" s="1031"/>
      <c r="PDG485" s="1031"/>
      <c r="PDH485" s="1031"/>
      <c r="PDI485" s="1031"/>
      <c r="PDJ485" s="1031"/>
      <c r="PDK485" s="1031"/>
      <c r="PDL485" s="1031"/>
      <c r="PDM485" s="1031"/>
      <c r="PDN485" s="1031"/>
      <c r="PDO485" s="1031"/>
      <c r="PDP485" s="1031"/>
      <c r="PDQ485" s="1031"/>
      <c r="PDR485" s="1031"/>
      <c r="PDS485" s="1031"/>
      <c r="PDT485" s="1031"/>
      <c r="PDU485" s="1031"/>
      <c r="PDV485" s="1031"/>
      <c r="PDW485" s="1031"/>
      <c r="PDX485" s="1031"/>
      <c r="PDY485" s="1031"/>
      <c r="PDZ485" s="1031"/>
      <c r="PEA485" s="1031"/>
      <c r="PEB485" s="1031"/>
      <c r="PEC485" s="1031"/>
      <c r="PED485" s="1031"/>
      <c r="PEE485" s="1031"/>
      <c r="PEF485" s="1031"/>
      <c r="PEG485" s="1031"/>
      <c r="PEH485" s="1031"/>
      <c r="PEI485" s="1031"/>
      <c r="PEJ485" s="1031"/>
      <c r="PEK485" s="1031"/>
      <c r="PEL485" s="1031"/>
      <c r="PEM485" s="1031"/>
      <c r="PEN485" s="1031"/>
      <c r="PEO485" s="1031"/>
      <c r="PEP485" s="1031"/>
      <c r="PEQ485" s="1031"/>
      <c r="PER485" s="1031"/>
      <c r="PES485" s="1031"/>
      <c r="PET485" s="1031"/>
      <c r="PEU485" s="1031"/>
      <c r="PEV485" s="1031"/>
      <c r="PEW485" s="1031"/>
      <c r="PEX485" s="1031"/>
      <c r="PEY485" s="1031"/>
      <c r="PEZ485" s="1031"/>
      <c r="PFA485" s="1031"/>
      <c r="PFB485" s="1031"/>
      <c r="PFC485" s="1031"/>
      <c r="PFD485" s="1031"/>
      <c r="PFE485" s="1031"/>
      <c r="PFF485" s="1031"/>
      <c r="PFG485" s="1031"/>
      <c r="PFH485" s="1031"/>
      <c r="PFI485" s="1031"/>
      <c r="PFJ485" s="1031"/>
      <c r="PFK485" s="1031"/>
      <c r="PFL485" s="1031"/>
      <c r="PFM485" s="1031"/>
      <c r="PFN485" s="1031"/>
      <c r="PFO485" s="1031"/>
      <c r="PFP485" s="1031"/>
      <c r="PFQ485" s="1031"/>
      <c r="PFR485" s="1031"/>
      <c r="PFS485" s="1031"/>
      <c r="PFT485" s="1031"/>
      <c r="PFU485" s="1031"/>
      <c r="PFV485" s="1031"/>
      <c r="PFW485" s="1031"/>
      <c r="PFX485" s="1031"/>
      <c r="PFY485" s="1031"/>
      <c r="PFZ485" s="1031"/>
      <c r="PGA485" s="1031"/>
      <c r="PGB485" s="1031"/>
      <c r="PGC485" s="1031"/>
      <c r="PGD485" s="1031"/>
      <c r="PGE485" s="1031"/>
      <c r="PGF485" s="1031"/>
      <c r="PGG485" s="1031"/>
      <c r="PGH485" s="1031"/>
      <c r="PGI485" s="1031"/>
      <c r="PGJ485" s="1031"/>
      <c r="PGK485" s="1031"/>
      <c r="PGL485" s="1031"/>
      <c r="PGM485" s="1031"/>
      <c r="PGN485" s="1031"/>
      <c r="PGO485" s="1031"/>
      <c r="PGP485" s="1031"/>
      <c r="PGQ485" s="1031"/>
      <c r="PGR485" s="1031"/>
      <c r="PGS485" s="1031"/>
      <c r="PGT485" s="1031"/>
      <c r="PGU485" s="1031"/>
      <c r="PGV485" s="1031"/>
      <c r="PGW485" s="1031"/>
      <c r="PGX485" s="1031"/>
      <c r="PGY485" s="1031"/>
      <c r="PGZ485" s="1031"/>
      <c r="PHA485" s="1031"/>
      <c r="PHB485" s="1031"/>
      <c r="PHC485" s="1031"/>
      <c r="PHD485" s="1031"/>
      <c r="PHE485" s="1031"/>
      <c r="PHF485" s="1031"/>
      <c r="PHG485" s="1031"/>
      <c r="PHH485" s="1031"/>
      <c r="PHI485" s="1031"/>
      <c r="PHJ485" s="1031"/>
      <c r="PHK485" s="1031"/>
      <c r="PHL485" s="1031"/>
      <c r="PHM485" s="1031"/>
      <c r="PHN485" s="1031"/>
      <c r="PHO485" s="1031"/>
      <c r="PHP485" s="1031"/>
      <c r="PHQ485" s="1031"/>
      <c r="PHR485" s="1031"/>
      <c r="PHS485" s="1031"/>
      <c r="PHT485" s="1031"/>
      <c r="PHU485" s="1031"/>
      <c r="PHV485" s="1031"/>
      <c r="PHW485" s="1031"/>
      <c r="PHX485" s="1031"/>
      <c r="PHY485" s="1031"/>
      <c r="PHZ485" s="1031"/>
      <c r="PIA485" s="1031"/>
      <c r="PIB485" s="1031"/>
      <c r="PIC485" s="1031"/>
      <c r="PID485" s="1031"/>
      <c r="PIE485" s="1031"/>
      <c r="PIF485" s="1031"/>
      <c r="PIG485" s="1031"/>
      <c r="PIH485" s="1031"/>
      <c r="PII485" s="1031"/>
      <c r="PIJ485" s="1031"/>
      <c r="PIK485" s="1031"/>
      <c r="PIL485" s="1031"/>
      <c r="PIM485" s="1031"/>
      <c r="PIN485" s="1031"/>
      <c r="PIO485" s="1031"/>
      <c r="PIP485" s="1031"/>
      <c r="PIQ485" s="1031"/>
      <c r="PIR485" s="1031"/>
      <c r="PIS485" s="1031"/>
      <c r="PIT485" s="1031"/>
      <c r="PIU485" s="1031"/>
      <c r="PIV485" s="1031"/>
      <c r="PIW485" s="1031"/>
      <c r="PIX485" s="1031"/>
      <c r="PIY485" s="1031"/>
      <c r="PIZ485" s="1031"/>
      <c r="PJA485" s="1031"/>
      <c r="PJB485" s="1031"/>
      <c r="PJC485" s="1031"/>
      <c r="PJD485" s="1031"/>
      <c r="PJE485" s="1031"/>
      <c r="PJF485" s="1031"/>
      <c r="PJG485" s="1031"/>
      <c r="PJH485" s="1031"/>
      <c r="PJI485" s="1031"/>
      <c r="PJJ485" s="1031"/>
      <c r="PJK485" s="1031"/>
      <c r="PJL485" s="1031"/>
      <c r="PJM485" s="1031"/>
      <c r="PJN485" s="1031"/>
      <c r="PJO485" s="1031"/>
      <c r="PJP485" s="1031"/>
      <c r="PJQ485" s="1031"/>
      <c r="PJR485" s="1031"/>
      <c r="PJS485" s="1031"/>
      <c r="PJT485" s="1031"/>
      <c r="PJU485" s="1031"/>
      <c r="PJV485" s="1031"/>
      <c r="PJW485" s="1031"/>
      <c r="PJX485" s="1031"/>
      <c r="PJY485" s="1031"/>
      <c r="PJZ485" s="1031"/>
      <c r="PKA485" s="1031"/>
      <c r="PKB485" s="1031"/>
      <c r="PKC485" s="1031"/>
      <c r="PKD485" s="1031"/>
      <c r="PKE485" s="1031"/>
      <c r="PKF485" s="1031"/>
      <c r="PKG485" s="1031"/>
      <c r="PKH485" s="1031"/>
      <c r="PKI485" s="1031"/>
      <c r="PKJ485" s="1031"/>
      <c r="PKK485" s="1031"/>
      <c r="PKL485" s="1031"/>
      <c r="PKM485" s="1031"/>
      <c r="PKN485" s="1031"/>
      <c r="PKO485" s="1031"/>
      <c r="PKP485" s="1031"/>
      <c r="PKQ485" s="1031"/>
      <c r="PKR485" s="1031"/>
      <c r="PKS485" s="1031"/>
      <c r="PKT485" s="1031"/>
      <c r="PKU485" s="1031"/>
      <c r="PKV485" s="1031"/>
      <c r="PKW485" s="1031"/>
      <c r="PKX485" s="1031"/>
      <c r="PKY485" s="1031"/>
      <c r="PKZ485" s="1031"/>
      <c r="PLA485" s="1031"/>
      <c r="PLB485" s="1031"/>
      <c r="PLC485" s="1031"/>
      <c r="PLD485" s="1031"/>
      <c r="PLE485" s="1031"/>
      <c r="PLF485" s="1031"/>
      <c r="PLG485" s="1031"/>
      <c r="PLH485" s="1031"/>
      <c r="PLI485" s="1031"/>
      <c r="PLJ485" s="1031"/>
      <c r="PLK485" s="1031"/>
      <c r="PLL485" s="1031"/>
      <c r="PLM485" s="1031"/>
      <c r="PLN485" s="1031"/>
      <c r="PLO485" s="1031"/>
      <c r="PLP485" s="1031"/>
      <c r="PLQ485" s="1031"/>
      <c r="PLR485" s="1031"/>
      <c r="PLS485" s="1031"/>
      <c r="PLT485" s="1031"/>
      <c r="PLU485" s="1031"/>
      <c r="PLV485" s="1031"/>
      <c r="PLW485" s="1031"/>
      <c r="PLX485" s="1031"/>
      <c r="PLY485" s="1031"/>
      <c r="PLZ485" s="1031"/>
      <c r="PMA485" s="1031"/>
      <c r="PMB485" s="1031"/>
      <c r="PMC485" s="1031"/>
      <c r="PMD485" s="1031"/>
      <c r="PME485" s="1031"/>
      <c r="PMF485" s="1031"/>
      <c r="PMG485" s="1031"/>
      <c r="PMH485" s="1031"/>
      <c r="PMI485" s="1031"/>
      <c r="PMJ485" s="1031"/>
      <c r="PMK485" s="1031"/>
      <c r="PML485" s="1031"/>
      <c r="PMM485" s="1031"/>
      <c r="PMN485" s="1031"/>
      <c r="PMO485" s="1031"/>
      <c r="PMP485" s="1031"/>
      <c r="PMQ485" s="1031"/>
      <c r="PMR485" s="1031"/>
      <c r="PMS485" s="1031"/>
      <c r="PMT485" s="1031"/>
      <c r="PMU485" s="1031"/>
      <c r="PMV485" s="1031"/>
      <c r="PMW485" s="1031"/>
      <c r="PMX485" s="1031"/>
      <c r="PMY485" s="1031"/>
      <c r="PMZ485" s="1031"/>
      <c r="PNA485" s="1031"/>
      <c r="PNB485" s="1031"/>
      <c r="PNC485" s="1031"/>
      <c r="PND485" s="1031"/>
      <c r="PNE485" s="1031"/>
      <c r="PNF485" s="1031"/>
      <c r="PNG485" s="1031"/>
      <c r="PNH485" s="1031"/>
      <c r="PNI485" s="1031"/>
      <c r="PNJ485" s="1031"/>
      <c r="PNK485" s="1031"/>
      <c r="PNL485" s="1031"/>
      <c r="PNM485" s="1031"/>
      <c r="PNN485" s="1031"/>
      <c r="PNO485" s="1031"/>
      <c r="PNP485" s="1031"/>
      <c r="PNQ485" s="1031"/>
      <c r="PNR485" s="1031"/>
      <c r="PNS485" s="1031"/>
      <c r="PNT485" s="1031"/>
      <c r="PNU485" s="1031"/>
      <c r="PNV485" s="1031"/>
      <c r="PNW485" s="1031"/>
      <c r="PNX485" s="1031"/>
      <c r="PNY485" s="1031"/>
      <c r="PNZ485" s="1031"/>
      <c r="POA485" s="1031"/>
      <c r="POB485" s="1031"/>
      <c r="POC485" s="1031"/>
      <c r="POD485" s="1031"/>
      <c r="POE485" s="1031"/>
      <c r="POF485" s="1031"/>
      <c r="POG485" s="1031"/>
      <c r="POH485" s="1031"/>
      <c r="POI485" s="1031"/>
      <c r="POJ485" s="1031"/>
      <c r="POK485" s="1031"/>
      <c r="POL485" s="1031"/>
      <c r="POM485" s="1031"/>
      <c r="PON485" s="1031"/>
      <c r="POO485" s="1031"/>
      <c r="POP485" s="1031"/>
      <c r="POQ485" s="1031"/>
      <c r="POR485" s="1031"/>
      <c r="POS485" s="1031"/>
      <c r="POT485" s="1031"/>
      <c r="POU485" s="1031"/>
      <c r="POV485" s="1031"/>
      <c r="POW485" s="1031"/>
      <c r="POX485" s="1031"/>
      <c r="POY485" s="1031"/>
      <c r="POZ485" s="1031"/>
      <c r="PPA485" s="1031"/>
      <c r="PPB485" s="1031"/>
      <c r="PPC485" s="1031"/>
      <c r="PPD485" s="1031"/>
      <c r="PPE485" s="1031"/>
      <c r="PPF485" s="1031"/>
      <c r="PPG485" s="1031"/>
      <c r="PPH485" s="1031"/>
      <c r="PPI485" s="1031"/>
      <c r="PPJ485" s="1031"/>
      <c r="PPK485" s="1031"/>
      <c r="PPL485" s="1031"/>
      <c r="PPM485" s="1031"/>
      <c r="PPN485" s="1031"/>
      <c r="PPO485" s="1031"/>
      <c r="PPP485" s="1031"/>
      <c r="PPQ485" s="1031"/>
      <c r="PPR485" s="1031"/>
      <c r="PPS485" s="1031"/>
      <c r="PPT485" s="1031"/>
      <c r="PPU485" s="1031"/>
      <c r="PPV485" s="1031"/>
      <c r="PPW485" s="1031"/>
      <c r="PPX485" s="1031"/>
      <c r="PPY485" s="1031"/>
      <c r="PPZ485" s="1031"/>
      <c r="PQA485" s="1031"/>
      <c r="PQB485" s="1031"/>
      <c r="PQC485" s="1031"/>
      <c r="PQD485" s="1031"/>
      <c r="PQE485" s="1031"/>
      <c r="PQF485" s="1031"/>
      <c r="PQG485" s="1031"/>
      <c r="PQH485" s="1031"/>
      <c r="PQI485" s="1031"/>
      <c r="PQJ485" s="1031"/>
      <c r="PQK485" s="1031"/>
      <c r="PQL485" s="1031"/>
      <c r="PQM485" s="1031"/>
      <c r="PQN485" s="1031"/>
      <c r="PQO485" s="1031"/>
      <c r="PQP485" s="1031"/>
      <c r="PQQ485" s="1031"/>
      <c r="PQR485" s="1031"/>
      <c r="PQS485" s="1031"/>
      <c r="PQT485" s="1031"/>
      <c r="PQU485" s="1031"/>
      <c r="PQV485" s="1031"/>
      <c r="PQW485" s="1031"/>
      <c r="PQX485" s="1031"/>
      <c r="PQY485" s="1031"/>
      <c r="PQZ485" s="1031"/>
      <c r="PRA485" s="1031"/>
      <c r="PRB485" s="1031"/>
      <c r="PRC485" s="1031"/>
      <c r="PRD485" s="1031"/>
      <c r="PRE485" s="1031"/>
      <c r="PRF485" s="1031"/>
      <c r="PRG485" s="1031"/>
      <c r="PRH485" s="1031"/>
      <c r="PRI485" s="1031"/>
      <c r="PRJ485" s="1031"/>
      <c r="PRK485" s="1031"/>
      <c r="PRL485" s="1031"/>
      <c r="PRM485" s="1031"/>
      <c r="PRN485" s="1031"/>
      <c r="PRO485" s="1031"/>
      <c r="PRP485" s="1031"/>
      <c r="PRQ485" s="1031"/>
      <c r="PRR485" s="1031"/>
      <c r="PRS485" s="1031"/>
      <c r="PRT485" s="1031"/>
      <c r="PRU485" s="1031"/>
      <c r="PRV485" s="1031"/>
      <c r="PRW485" s="1031"/>
      <c r="PRX485" s="1031"/>
      <c r="PRY485" s="1031"/>
      <c r="PRZ485" s="1031"/>
      <c r="PSA485" s="1031"/>
      <c r="PSB485" s="1031"/>
      <c r="PSC485" s="1031"/>
      <c r="PSD485" s="1031"/>
      <c r="PSE485" s="1031"/>
      <c r="PSF485" s="1031"/>
      <c r="PSG485" s="1031"/>
      <c r="PSH485" s="1031"/>
      <c r="PSI485" s="1031"/>
      <c r="PSJ485" s="1031"/>
      <c r="PSK485" s="1031"/>
      <c r="PSL485" s="1031"/>
      <c r="PSM485" s="1031"/>
      <c r="PSN485" s="1031"/>
      <c r="PSO485" s="1031"/>
      <c r="PSP485" s="1031"/>
      <c r="PSQ485" s="1031"/>
      <c r="PSR485" s="1031"/>
      <c r="PSS485" s="1031"/>
      <c r="PST485" s="1031"/>
      <c r="PSU485" s="1031"/>
      <c r="PSV485" s="1031"/>
      <c r="PSW485" s="1031"/>
      <c r="PSX485" s="1031"/>
      <c r="PSY485" s="1031"/>
      <c r="PSZ485" s="1031"/>
      <c r="PTA485" s="1031"/>
      <c r="PTB485" s="1031"/>
      <c r="PTC485" s="1031"/>
      <c r="PTD485" s="1031"/>
      <c r="PTE485" s="1031"/>
      <c r="PTF485" s="1031"/>
      <c r="PTG485" s="1031"/>
      <c r="PTH485" s="1031"/>
      <c r="PTI485" s="1031"/>
      <c r="PTJ485" s="1031"/>
      <c r="PTK485" s="1031"/>
      <c r="PTL485" s="1031"/>
      <c r="PTM485" s="1031"/>
      <c r="PTN485" s="1031"/>
      <c r="PTO485" s="1031"/>
      <c r="PTP485" s="1031"/>
      <c r="PTQ485" s="1031"/>
      <c r="PTR485" s="1031"/>
      <c r="PTS485" s="1031"/>
      <c r="PTT485" s="1031"/>
      <c r="PTU485" s="1031"/>
      <c r="PTV485" s="1031"/>
      <c r="PTW485" s="1031"/>
      <c r="PTX485" s="1031"/>
      <c r="PTY485" s="1031"/>
      <c r="PTZ485" s="1031"/>
      <c r="PUA485" s="1031"/>
      <c r="PUB485" s="1031"/>
      <c r="PUC485" s="1031"/>
      <c r="PUD485" s="1031"/>
      <c r="PUE485" s="1031"/>
      <c r="PUF485" s="1031"/>
      <c r="PUG485" s="1031"/>
      <c r="PUH485" s="1031"/>
      <c r="PUI485" s="1031"/>
      <c r="PUJ485" s="1031"/>
      <c r="PUK485" s="1031"/>
      <c r="PUL485" s="1031"/>
      <c r="PUM485" s="1031"/>
      <c r="PUN485" s="1031"/>
      <c r="PUO485" s="1031"/>
      <c r="PUP485" s="1031"/>
      <c r="PUQ485" s="1031"/>
      <c r="PUR485" s="1031"/>
      <c r="PUS485" s="1031"/>
      <c r="PUT485" s="1031"/>
      <c r="PUU485" s="1031"/>
      <c r="PUV485" s="1031"/>
      <c r="PUW485" s="1031"/>
      <c r="PUX485" s="1031"/>
      <c r="PUY485" s="1031"/>
      <c r="PUZ485" s="1031"/>
      <c r="PVA485" s="1031"/>
      <c r="PVB485" s="1031"/>
      <c r="PVC485" s="1031"/>
      <c r="PVD485" s="1031"/>
      <c r="PVE485" s="1031"/>
      <c r="PVF485" s="1031"/>
      <c r="PVG485" s="1031"/>
      <c r="PVH485" s="1031"/>
      <c r="PVI485" s="1031"/>
      <c r="PVJ485" s="1031"/>
      <c r="PVK485" s="1031"/>
      <c r="PVL485" s="1031"/>
      <c r="PVM485" s="1031"/>
      <c r="PVN485" s="1031"/>
      <c r="PVO485" s="1031"/>
      <c r="PVP485" s="1031"/>
      <c r="PVQ485" s="1031"/>
      <c r="PVR485" s="1031"/>
      <c r="PVS485" s="1031"/>
      <c r="PVT485" s="1031"/>
      <c r="PVU485" s="1031"/>
      <c r="PVV485" s="1031"/>
      <c r="PVW485" s="1031"/>
      <c r="PVX485" s="1031"/>
      <c r="PVY485" s="1031"/>
      <c r="PVZ485" s="1031"/>
      <c r="PWA485" s="1031"/>
      <c r="PWB485" s="1031"/>
      <c r="PWC485" s="1031"/>
      <c r="PWD485" s="1031"/>
      <c r="PWE485" s="1031"/>
      <c r="PWF485" s="1031"/>
      <c r="PWG485" s="1031"/>
      <c r="PWH485" s="1031"/>
      <c r="PWI485" s="1031"/>
      <c r="PWJ485" s="1031"/>
      <c r="PWK485" s="1031"/>
      <c r="PWL485" s="1031"/>
      <c r="PWM485" s="1031"/>
      <c r="PWN485" s="1031"/>
      <c r="PWO485" s="1031"/>
      <c r="PWP485" s="1031"/>
      <c r="PWQ485" s="1031"/>
      <c r="PWR485" s="1031"/>
      <c r="PWS485" s="1031"/>
      <c r="PWT485" s="1031"/>
      <c r="PWU485" s="1031"/>
      <c r="PWV485" s="1031"/>
      <c r="PWW485" s="1031"/>
      <c r="PWX485" s="1031"/>
      <c r="PWY485" s="1031"/>
      <c r="PWZ485" s="1031"/>
      <c r="PXA485" s="1031"/>
      <c r="PXB485" s="1031"/>
      <c r="PXC485" s="1031"/>
      <c r="PXD485" s="1031"/>
      <c r="PXE485" s="1031"/>
      <c r="PXF485" s="1031"/>
      <c r="PXG485" s="1031"/>
      <c r="PXH485" s="1031"/>
      <c r="PXI485" s="1031"/>
      <c r="PXJ485" s="1031"/>
      <c r="PXK485" s="1031"/>
      <c r="PXL485" s="1031"/>
      <c r="PXM485" s="1031"/>
      <c r="PXN485" s="1031"/>
      <c r="PXO485" s="1031"/>
      <c r="PXP485" s="1031"/>
      <c r="PXQ485" s="1031"/>
      <c r="PXR485" s="1031"/>
      <c r="PXS485" s="1031"/>
      <c r="PXT485" s="1031"/>
      <c r="PXU485" s="1031"/>
      <c r="PXV485" s="1031"/>
      <c r="PXW485" s="1031"/>
      <c r="PXX485" s="1031"/>
      <c r="PXY485" s="1031"/>
      <c r="PXZ485" s="1031"/>
      <c r="PYA485" s="1031"/>
      <c r="PYB485" s="1031"/>
      <c r="PYC485" s="1031"/>
      <c r="PYD485" s="1031"/>
      <c r="PYE485" s="1031"/>
      <c r="PYF485" s="1031"/>
      <c r="PYG485" s="1031"/>
      <c r="PYH485" s="1031"/>
      <c r="PYI485" s="1031"/>
      <c r="PYJ485" s="1031"/>
      <c r="PYK485" s="1031"/>
      <c r="PYL485" s="1031"/>
      <c r="PYM485" s="1031"/>
      <c r="PYN485" s="1031"/>
      <c r="PYO485" s="1031"/>
      <c r="PYP485" s="1031"/>
      <c r="PYQ485" s="1031"/>
      <c r="PYR485" s="1031"/>
      <c r="PYS485" s="1031"/>
      <c r="PYT485" s="1031"/>
      <c r="PYU485" s="1031"/>
      <c r="PYV485" s="1031"/>
      <c r="PYW485" s="1031"/>
      <c r="PYX485" s="1031"/>
      <c r="PYY485" s="1031"/>
      <c r="PYZ485" s="1031"/>
      <c r="PZA485" s="1031"/>
      <c r="PZB485" s="1031"/>
      <c r="PZC485" s="1031"/>
      <c r="PZD485" s="1031"/>
      <c r="PZE485" s="1031"/>
      <c r="PZF485" s="1031"/>
      <c r="PZG485" s="1031"/>
      <c r="PZH485" s="1031"/>
      <c r="PZI485" s="1031"/>
      <c r="PZJ485" s="1031"/>
      <c r="PZK485" s="1031"/>
      <c r="PZL485" s="1031"/>
      <c r="PZM485" s="1031"/>
      <c r="PZN485" s="1031"/>
      <c r="PZO485" s="1031"/>
      <c r="PZP485" s="1031"/>
      <c r="PZQ485" s="1031"/>
      <c r="PZR485" s="1031"/>
      <c r="PZS485" s="1031"/>
      <c r="PZT485" s="1031"/>
      <c r="PZU485" s="1031"/>
      <c r="PZV485" s="1031"/>
      <c r="PZW485" s="1031"/>
      <c r="PZX485" s="1031"/>
      <c r="PZY485" s="1031"/>
      <c r="PZZ485" s="1031"/>
      <c r="QAA485" s="1031"/>
      <c r="QAB485" s="1031"/>
      <c r="QAC485" s="1031"/>
      <c r="QAD485" s="1031"/>
      <c r="QAE485" s="1031"/>
      <c r="QAF485" s="1031"/>
      <c r="QAG485" s="1031"/>
      <c r="QAH485" s="1031"/>
      <c r="QAI485" s="1031"/>
      <c r="QAJ485" s="1031"/>
      <c r="QAK485" s="1031"/>
      <c r="QAL485" s="1031"/>
      <c r="QAM485" s="1031"/>
      <c r="QAN485" s="1031"/>
      <c r="QAO485" s="1031"/>
      <c r="QAP485" s="1031"/>
      <c r="QAQ485" s="1031"/>
      <c r="QAR485" s="1031"/>
      <c r="QAS485" s="1031"/>
      <c r="QAT485" s="1031"/>
      <c r="QAU485" s="1031"/>
      <c r="QAV485" s="1031"/>
      <c r="QAW485" s="1031"/>
      <c r="QAX485" s="1031"/>
      <c r="QAY485" s="1031"/>
      <c r="QAZ485" s="1031"/>
      <c r="QBA485" s="1031"/>
      <c r="QBB485" s="1031"/>
      <c r="QBC485" s="1031"/>
      <c r="QBD485" s="1031"/>
      <c r="QBE485" s="1031"/>
      <c r="QBF485" s="1031"/>
      <c r="QBG485" s="1031"/>
      <c r="QBH485" s="1031"/>
      <c r="QBI485" s="1031"/>
      <c r="QBJ485" s="1031"/>
      <c r="QBK485" s="1031"/>
      <c r="QBL485" s="1031"/>
      <c r="QBM485" s="1031"/>
      <c r="QBN485" s="1031"/>
      <c r="QBO485" s="1031"/>
      <c r="QBP485" s="1031"/>
      <c r="QBQ485" s="1031"/>
      <c r="QBR485" s="1031"/>
      <c r="QBS485" s="1031"/>
      <c r="QBT485" s="1031"/>
      <c r="QBU485" s="1031"/>
      <c r="QBV485" s="1031"/>
      <c r="QBW485" s="1031"/>
      <c r="QBX485" s="1031"/>
      <c r="QBY485" s="1031"/>
      <c r="QBZ485" s="1031"/>
      <c r="QCA485" s="1031"/>
      <c r="QCB485" s="1031"/>
      <c r="QCC485" s="1031"/>
      <c r="QCD485" s="1031"/>
      <c r="QCE485" s="1031"/>
      <c r="QCF485" s="1031"/>
      <c r="QCG485" s="1031"/>
      <c r="QCH485" s="1031"/>
      <c r="QCI485" s="1031"/>
      <c r="QCJ485" s="1031"/>
      <c r="QCK485" s="1031"/>
      <c r="QCL485" s="1031"/>
      <c r="QCM485" s="1031"/>
      <c r="QCN485" s="1031"/>
      <c r="QCO485" s="1031"/>
      <c r="QCP485" s="1031"/>
      <c r="QCQ485" s="1031"/>
      <c r="QCR485" s="1031"/>
      <c r="QCS485" s="1031"/>
      <c r="QCT485" s="1031"/>
      <c r="QCU485" s="1031"/>
      <c r="QCV485" s="1031"/>
      <c r="QCW485" s="1031"/>
      <c r="QCX485" s="1031"/>
      <c r="QCY485" s="1031"/>
      <c r="QCZ485" s="1031"/>
      <c r="QDA485" s="1031"/>
      <c r="QDB485" s="1031"/>
      <c r="QDC485" s="1031"/>
      <c r="QDD485" s="1031"/>
      <c r="QDE485" s="1031"/>
      <c r="QDF485" s="1031"/>
      <c r="QDG485" s="1031"/>
      <c r="QDH485" s="1031"/>
      <c r="QDI485" s="1031"/>
      <c r="QDJ485" s="1031"/>
      <c r="QDK485" s="1031"/>
      <c r="QDL485" s="1031"/>
      <c r="QDM485" s="1031"/>
      <c r="QDN485" s="1031"/>
      <c r="QDO485" s="1031"/>
      <c r="QDP485" s="1031"/>
      <c r="QDQ485" s="1031"/>
      <c r="QDR485" s="1031"/>
      <c r="QDS485" s="1031"/>
      <c r="QDT485" s="1031"/>
      <c r="QDU485" s="1031"/>
      <c r="QDV485" s="1031"/>
      <c r="QDW485" s="1031"/>
      <c r="QDX485" s="1031"/>
      <c r="QDY485" s="1031"/>
      <c r="QDZ485" s="1031"/>
      <c r="QEA485" s="1031"/>
      <c r="QEB485" s="1031"/>
      <c r="QEC485" s="1031"/>
      <c r="QED485" s="1031"/>
      <c r="QEE485" s="1031"/>
      <c r="QEF485" s="1031"/>
      <c r="QEG485" s="1031"/>
      <c r="QEH485" s="1031"/>
      <c r="QEI485" s="1031"/>
      <c r="QEJ485" s="1031"/>
      <c r="QEK485" s="1031"/>
      <c r="QEL485" s="1031"/>
      <c r="QEM485" s="1031"/>
      <c r="QEN485" s="1031"/>
      <c r="QEO485" s="1031"/>
      <c r="QEP485" s="1031"/>
      <c r="QEQ485" s="1031"/>
      <c r="QER485" s="1031"/>
      <c r="QES485" s="1031"/>
      <c r="QET485" s="1031"/>
      <c r="QEU485" s="1031"/>
      <c r="QEV485" s="1031"/>
      <c r="QEW485" s="1031"/>
      <c r="QEX485" s="1031"/>
      <c r="QEY485" s="1031"/>
      <c r="QEZ485" s="1031"/>
      <c r="QFA485" s="1031"/>
      <c r="QFB485" s="1031"/>
      <c r="QFC485" s="1031"/>
      <c r="QFD485" s="1031"/>
      <c r="QFE485" s="1031"/>
      <c r="QFF485" s="1031"/>
      <c r="QFG485" s="1031"/>
      <c r="QFH485" s="1031"/>
      <c r="QFI485" s="1031"/>
      <c r="QFJ485" s="1031"/>
      <c r="QFK485" s="1031"/>
      <c r="QFL485" s="1031"/>
      <c r="QFM485" s="1031"/>
      <c r="QFN485" s="1031"/>
      <c r="QFO485" s="1031"/>
      <c r="QFP485" s="1031"/>
      <c r="QFQ485" s="1031"/>
      <c r="QFR485" s="1031"/>
      <c r="QFS485" s="1031"/>
      <c r="QFT485" s="1031"/>
      <c r="QFU485" s="1031"/>
      <c r="QFV485" s="1031"/>
      <c r="QFW485" s="1031"/>
      <c r="QFX485" s="1031"/>
      <c r="QFY485" s="1031"/>
      <c r="QFZ485" s="1031"/>
      <c r="QGA485" s="1031"/>
      <c r="QGB485" s="1031"/>
      <c r="QGC485" s="1031"/>
      <c r="QGD485" s="1031"/>
      <c r="QGE485" s="1031"/>
      <c r="QGF485" s="1031"/>
      <c r="QGG485" s="1031"/>
      <c r="QGH485" s="1031"/>
      <c r="QGI485" s="1031"/>
      <c r="QGJ485" s="1031"/>
      <c r="QGK485" s="1031"/>
      <c r="QGL485" s="1031"/>
      <c r="QGM485" s="1031"/>
      <c r="QGN485" s="1031"/>
      <c r="QGO485" s="1031"/>
      <c r="QGP485" s="1031"/>
      <c r="QGQ485" s="1031"/>
      <c r="QGR485" s="1031"/>
      <c r="QGS485" s="1031"/>
      <c r="QGT485" s="1031"/>
      <c r="QGU485" s="1031"/>
      <c r="QGV485" s="1031"/>
      <c r="QGW485" s="1031"/>
      <c r="QGX485" s="1031"/>
      <c r="QGY485" s="1031"/>
      <c r="QGZ485" s="1031"/>
      <c r="QHA485" s="1031"/>
      <c r="QHB485" s="1031"/>
      <c r="QHC485" s="1031"/>
      <c r="QHD485" s="1031"/>
      <c r="QHE485" s="1031"/>
      <c r="QHF485" s="1031"/>
      <c r="QHG485" s="1031"/>
      <c r="QHH485" s="1031"/>
      <c r="QHI485" s="1031"/>
      <c r="QHJ485" s="1031"/>
      <c r="QHK485" s="1031"/>
      <c r="QHL485" s="1031"/>
      <c r="QHM485" s="1031"/>
      <c r="QHN485" s="1031"/>
      <c r="QHO485" s="1031"/>
      <c r="QHP485" s="1031"/>
      <c r="QHQ485" s="1031"/>
      <c r="QHR485" s="1031"/>
      <c r="QHS485" s="1031"/>
      <c r="QHT485" s="1031"/>
      <c r="QHU485" s="1031"/>
      <c r="QHV485" s="1031"/>
      <c r="QHW485" s="1031"/>
      <c r="QHX485" s="1031"/>
      <c r="QHY485" s="1031"/>
      <c r="QHZ485" s="1031"/>
      <c r="QIA485" s="1031"/>
      <c r="QIB485" s="1031"/>
      <c r="QIC485" s="1031"/>
      <c r="QID485" s="1031"/>
      <c r="QIE485" s="1031"/>
      <c r="QIF485" s="1031"/>
      <c r="QIG485" s="1031"/>
      <c r="QIH485" s="1031"/>
      <c r="QII485" s="1031"/>
      <c r="QIJ485" s="1031"/>
      <c r="QIK485" s="1031"/>
      <c r="QIL485" s="1031"/>
      <c r="QIM485" s="1031"/>
      <c r="QIN485" s="1031"/>
      <c r="QIO485" s="1031"/>
      <c r="QIP485" s="1031"/>
      <c r="QIQ485" s="1031"/>
      <c r="QIR485" s="1031"/>
      <c r="QIS485" s="1031"/>
      <c r="QIT485" s="1031"/>
      <c r="QIU485" s="1031"/>
      <c r="QIV485" s="1031"/>
      <c r="QIW485" s="1031"/>
      <c r="QIX485" s="1031"/>
      <c r="QIY485" s="1031"/>
      <c r="QIZ485" s="1031"/>
      <c r="QJA485" s="1031"/>
      <c r="QJB485" s="1031"/>
      <c r="QJC485" s="1031"/>
      <c r="QJD485" s="1031"/>
      <c r="QJE485" s="1031"/>
      <c r="QJF485" s="1031"/>
      <c r="QJG485" s="1031"/>
      <c r="QJH485" s="1031"/>
      <c r="QJI485" s="1031"/>
      <c r="QJJ485" s="1031"/>
      <c r="QJK485" s="1031"/>
      <c r="QJL485" s="1031"/>
      <c r="QJM485" s="1031"/>
      <c r="QJN485" s="1031"/>
      <c r="QJO485" s="1031"/>
      <c r="QJP485" s="1031"/>
      <c r="QJQ485" s="1031"/>
      <c r="QJR485" s="1031"/>
      <c r="QJS485" s="1031"/>
      <c r="QJT485" s="1031"/>
      <c r="QJU485" s="1031"/>
      <c r="QJV485" s="1031"/>
      <c r="QJW485" s="1031"/>
      <c r="QJX485" s="1031"/>
      <c r="QJY485" s="1031"/>
      <c r="QJZ485" s="1031"/>
      <c r="QKA485" s="1031"/>
      <c r="QKB485" s="1031"/>
      <c r="QKC485" s="1031"/>
      <c r="QKD485" s="1031"/>
      <c r="QKE485" s="1031"/>
      <c r="QKF485" s="1031"/>
      <c r="QKG485" s="1031"/>
      <c r="QKH485" s="1031"/>
      <c r="QKI485" s="1031"/>
      <c r="QKJ485" s="1031"/>
      <c r="QKK485" s="1031"/>
      <c r="QKL485" s="1031"/>
      <c r="QKM485" s="1031"/>
      <c r="QKN485" s="1031"/>
      <c r="QKO485" s="1031"/>
      <c r="QKP485" s="1031"/>
      <c r="QKQ485" s="1031"/>
      <c r="QKR485" s="1031"/>
      <c r="QKS485" s="1031"/>
      <c r="QKT485" s="1031"/>
      <c r="QKU485" s="1031"/>
      <c r="QKV485" s="1031"/>
      <c r="QKW485" s="1031"/>
      <c r="QKX485" s="1031"/>
      <c r="QKY485" s="1031"/>
      <c r="QKZ485" s="1031"/>
      <c r="QLA485" s="1031"/>
      <c r="QLB485" s="1031"/>
      <c r="QLC485" s="1031"/>
      <c r="QLD485" s="1031"/>
      <c r="QLE485" s="1031"/>
      <c r="QLF485" s="1031"/>
      <c r="QLG485" s="1031"/>
      <c r="QLH485" s="1031"/>
      <c r="QLI485" s="1031"/>
      <c r="QLJ485" s="1031"/>
      <c r="QLK485" s="1031"/>
      <c r="QLL485" s="1031"/>
      <c r="QLM485" s="1031"/>
      <c r="QLN485" s="1031"/>
      <c r="QLO485" s="1031"/>
      <c r="QLP485" s="1031"/>
      <c r="QLQ485" s="1031"/>
      <c r="QLR485" s="1031"/>
      <c r="QLS485" s="1031"/>
      <c r="QLT485" s="1031"/>
      <c r="QLU485" s="1031"/>
      <c r="QLV485" s="1031"/>
      <c r="QLW485" s="1031"/>
      <c r="QLX485" s="1031"/>
      <c r="QLY485" s="1031"/>
      <c r="QLZ485" s="1031"/>
      <c r="QMA485" s="1031"/>
      <c r="QMB485" s="1031"/>
      <c r="QMC485" s="1031"/>
      <c r="QMD485" s="1031"/>
      <c r="QME485" s="1031"/>
      <c r="QMF485" s="1031"/>
      <c r="QMG485" s="1031"/>
      <c r="QMH485" s="1031"/>
      <c r="QMI485" s="1031"/>
      <c r="QMJ485" s="1031"/>
      <c r="QMK485" s="1031"/>
      <c r="QML485" s="1031"/>
      <c r="QMM485" s="1031"/>
      <c r="QMN485" s="1031"/>
      <c r="QMO485" s="1031"/>
      <c r="QMP485" s="1031"/>
      <c r="QMQ485" s="1031"/>
      <c r="QMR485" s="1031"/>
      <c r="QMS485" s="1031"/>
      <c r="QMT485" s="1031"/>
      <c r="QMU485" s="1031"/>
      <c r="QMV485" s="1031"/>
      <c r="QMW485" s="1031"/>
      <c r="QMX485" s="1031"/>
      <c r="QMY485" s="1031"/>
      <c r="QMZ485" s="1031"/>
      <c r="QNA485" s="1031"/>
      <c r="QNB485" s="1031"/>
      <c r="QNC485" s="1031"/>
      <c r="QND485" s="1031"/>
      <c r="QNE485" s="1031"/>
      <c r="QNF485" s="1031"/>
      <c r="QNG485" s="1031"/>
      <c r="QNH485" s="1031"/>
      <c r="QNI485" s="1031"/>
      <c r="QNJ485" s="1031"/>
      <c r="QNK485" s="1031"/>
      <c r="QNL485" s="1031"/>
      <c r="QNM485" s="1031"/>
      <c r="QNN485" s="1031"/>
      <c r="QNO485" s="1031"/>
      <c r="QNP485" s="1031"/>
      <c r="QNQ485" s="1031"/>
      <c r="QNR485" s="1031"/>
      <c r="QNS485" s="1031"/>
      <c r="QNT485" s="1031"/>
      <c r="QNU485" s="1031"/>
      <c r="QNV485" s="1031"/>
      <c r="QNW485" s="1031"/>
      <c r="QNX485" s="1031"/>
      <c r="QNY485" s="1031"/>
      <c r="QNZ485" s="1031"/>
      <c r="QOA485" s="1031"/>
      <c r="QOB485" s="1031"/>
      <c r="QOC485" s="1031"/>
      <c r="QOD485" s="1031"/>
      <c r="QOE485" s="1031"/>
      <c r="QOF485" s="1031"/>
      <c r="QOG485" s="1031"/>
      <c r="QOH485" s="1031"/>
      <c r="QOI485" s="1031"/>
      <c r="QOJ485" s="1031"/>
      <c r="QOK485" s="1031"/>
      <c r="QOL485" s="1031"/>
      <c r="QOM485" s="1031"/>
      <c r="QON485" s="1031"/>
      <c r="QOO485" s="1031"/>
      <c r="QOP485" s="1031"/>
      <c r="QOQ485" s="1031"/>
      <c r="QOR485" s="1031"/>
      <c r="QOS485" s="1031"/>
      <c r="QOT485" s="1031"/>
      <c r="QOU485" s="1031"/>
      <c r="QOV485" s="1031"/>
      <c r="QOW485" s="1031"/>
      <c r="QOX485" s="1031"/>
      <c r="QOY485" s="1031"/>
      <c r="QOZ485" s="1031"/>
      <c r="QPA485" s="1031"/>
      <c r="QPB485" s="1031"/>
      <c r="QPC485" s="1031"/>
      <c r="QPD485" s="1031"/>
      <c r="QPE485" s="1031"/>
      <c r="QPF485" s="1031"/>
      <c r="QPG485" s="1031"/>
      <c r="QPH485" s="1031"/>
      <c r="QPI485" s="1031"/>
      <c r="QPJ485" s="1031"/>
      <c r="QPK485" s="1031"/>
      <c r="QPL485" s="1031"/>
      <c r="QPM485" s="1031"/>
      <c r="QPN485" s="1031"/>
      <c r="QPO485" s="1031"/>
      <c r="QPP485" s="1031"/>
      <c r="QPQ485" s="1031"/>
      <c r="QPR485" s="1031"/>
      <c r="QPS485" s="1031"/>
      <c r="QPT485" s="1031"/>
      <c r="QPU485" s="1031"/>
      <c r="QPV485" s="1031"/>
      <c r="QPW485" s="1031"/>
      <c r="QPX485" s="1031"/>
      <c r="QPY485" s="1031"/>
      <c r="QPZ485" s="1031"/>
      <c r="QQA485" s="1031"/>
      <c r="QQB485" s="1031"/>
      <c r="QQC485" s="1031"/>
      <c r="QQD485" s="1031"/>
      <c r="QQE485" s="1031"/>
      <c r="QQF485" s="1031"/>
      <c r="QQG485" s="1031"/>
      <c r="QQH485" s="1031"/>
      <c r="QQI485" s="1031"/>
      <c r="QQJ485" s="1031"/>
      <c r="QQK485" s="1031"/>
      <c r="QQL485" s="1031"/>
      <c r="QQM485" s="1031"/>
      <c r="QQN485" s="1031"/>
      <c r="QQO485" s="1031"/>
      <c r="QQP485" s="1031"/>
      <c r="QQQ485" s="1031"/>
      <c r="QQR485" s="1031"/>
      <c r="QQS485" s="1031"/>
      <c r="QQT485" s="1031"/>
      <c r="QQU485" s="1031"/>
      <c r="QQV485" s="1031"/>
      <c r="QQW485" s="1031"/>
      <c r="QQX485" s="1031"/>
      <c r="QQY485" s="1031"/>
      <c r="QQZ485" s="1031"/>
      <c r="QRA485" s="1031"/>
      <c r="QRB485" s="1031"/>
      <c r="QRC485" s="1031"/>
      <c r="QRD485" s="1031"/>
      <c r="QRE485" s="1031"/>
      <c r="QRF485" s="1031"/>
      <c r="QRG485" s="1031"/>
      <c r="QRH485" s="1031"/>
      <c r="QRI485" s="1031"/>
      <c r="QRJ485" s="1031"/>
      <c r="QRK485" s="1031"/>
      <c r="QRL485" s="1031"/>
      <c r="QRM485" s="1031"/>
      <c r="QRN485" s="1031"/>
      <c r="QRO485" s="1031"/>
      <c r="QRP485" s="1031"/>
      <c r="QRQ485" s="1031"/>
      <c r="QRR485" s="1031"/>
      <c r="QRS485" s="1031"/>
      <c r="QRT485" s="1031"/>
      <c r="QRU485" s="1031"/>
      <c r="QRV485" s="1031"/>
      <c r="QRW485" s="1031"/>
      <c r="QRX485" s="1031"/>
      <c r="QRY485" s="1031"/>
      <c r="QRZ485" s="1031"/>
      <c r="QSA485" s="1031"/>
      <c r="QSB485" s="1031"/>
      <c r="QSC485" s="1031"/>
      <c r="QSD485" s="1031"/>
      <c r="QSE485" s="1031"/>
      <c r="QSF485" s="1031"/>
      <c r="QSG485" s="1031"/>
      <c r="QSH485" s="1031"/>
      <c r="QSI485" s="1031"/>
      <c r="QSJ485" s="1031"/>
      <c r="QSK485" s="1031"/>
      <c r="QSL485" s="1031"/>
      <c r="QSM485" s="1031"/>
      <c r="QSN485" s="1031"/>
      <c r="QSO485" s="1031"/>
      <c r="QSP485" s="1031"/>
      <c r="QSQ485" s="1031"/>
      <c r="QSR485" s="1031"/>
      <c r="QSS485" s="1031"/>
      <c r="QST485" s="1031"/>
      <c r="QSU485" s="1031"/>
      <c r="QSV485" s="1031"/>
      <c r="QSW485" s="1031"/>
      <c r="QSX485" s="1031"/>
      <c r="QSY485" s="1031"/>
      <c r="QSZ485" s="1031"/>
      <c r="QTA485" s="1031"/>
      <c r="QTB485" s="1031"/>
      <c r="QTC485" s="1031"/>
      <c r="QTD485" s="1031"/>
      <c r="QTE485" s="1031"/>
      <c r="QTF485" s="1031"/>
      <c r="QTG485" s="1031"/>
      <c r="QTH485" s="1031"/>
      <c r="QTI485" s="1031"/>
      <c r="QTJ485" s="1031"/>
      <c r="QTK485" s="1031"/>
      <c r="QTL485" s="1031"/>
      <c r="QTM485" s="1031"/>
      <c r="QTN485" s="1031"/>
      <c r="QTO485" s="1031"/>
      <c r="QTP485" s="1031"/>
      <c r="QTQ485" s="1031"/>
      <c r="QTR485" s="1031"/>
      <c r="QTS485" s="1031"/>
      <c r="QTT485" s="1031"/>
      <c r="QTU485" s="1031"/>
      <c r="QTV485" s="1031"/>
      <c r="QTW485" s="1031"/>
      <c r="QTX485" s="1031"/>
      <c r="QTY485" s="1031"/>
      <c r="QTZ485" s="1031"/>
      <c r="QUA485" s="1031"/>
      <c r="QUB485" s="1031"/>
      <c r="QUC485" s="1031"/>
      <c r="QUD485" s="1031"/>
      <c r="QUE485" s="1031"/>
      <c r="QUF485" s="1031"/>
      <c r="QUG485" s="1031"/>
      <c r="QUH485" s="1031"/>
      <c r="QUI485" s="1031"/>
      <c r="QUJ485" s="1031"/>
      <c r="QUK485" s="1031"/>
      <c r="QUL485" s="1031"/>
      <c r="QUM485" s="1031"/>
      <c r="QUN485" s="1031"/>
      <c r="QUO485" s="1031"/>
      <c r="QUP485" s="1031"/>
      <c r="QUQ485" s="1031"/>
      <c r="QUR485" s="1031"/>
      <c r="QUS485" s="1031"/>
      <c r="QUT485" s="1031"/>
      <c r="QUU485" s="1031"/>
      <c r="QUV485" s="1031"/>
      <c r="QUW485" s="1031"/>
      <c r="QUX485" s="1031"/>
      <c r="QUY485" s="1031"/>
      <c r="QUZ485" s="1031"/>
      <c r="QVA485" s="1031"/>
      <c r="QVB485" s="1031"/>
      <c r="QVC485" s="1031"/>
      <c r="QVD485" s="1031"/>
      <c r="QVE485" s="1031"/>
      <c r="QVF485" s="1031"/>
      <c r="QVG485" s="1031"/>
      <c r="QVH485" s="1031"/>
      <c r="QVI485" s="1031"/>
      <c r="QVJ485" s="1031"/>
      <c r="QVK485" s="1031"/>
      <c r="QVL485" s="1031"/>
      <c r="QVM485" s="1031"/>
      <c r="QVN485" s="1031"/>
      <c r="QVO485" s="1031"/>
      <c r="QVP485" s="1031"/>
      <c r="QVQ485" s="1031"/>
      <c r="QVR485" s="1031"/>
      <c r="QVS485" s="1031"/>
      <c r="QVT485" s="1031"/>
      <c r="QVU485" s="1031"/>
      <c r="QVV485" s="1031"/>
      <c r="QVW485" s="1031"/>
      <c r="QVX485" s="1031"/>
      <c r="QVY485" s="1031"/>
      <c r="QVZ485" s="1031"/>
      <c r="QWA485" s="1031"/>
      <c r="QWB485" s="1031"/>
      <c r="QWC485" s="1031"/>
      <c r="QWD485" s="1031"/>
      <c r="QWE485" s="1031"/>
      <c r="QWF485" s="1031"/>
      <c r="QWG485" s="1031"/>
      <c r="QWH485" s="1031"/>
      <c r="QWI485" s="1031"/>
      <c r="QWJ485" s="1031"/>
      <c r="QWK485" s="1031"/>
      <c r="QWL485" s="1031"/>
      <c r="QWM485" s="1031"/>
      <c r="QWN485" s="1031"/>
      <c r="QWO485" s="1031"/>
      <c r="QWP485" s="1031"/>
      <c r="QWQ485" s="1031"/>
      <c r="QWR485" s="1031"/>
      <c r="QWS485" s="1031"/>
      <c r="QWT485" s="1031"/>
      <c r="QWU485" s="1031"/>
      <c r="QWV485" s="1031"/>
      <c r="QWW485" s="1031"/>
      <c r="QWX485" s="1031"/>
      <c r="QWY485" s="1031"/>
      <c r="QWZ485" s="1031"/>
      <c r="QXA485" s="1031"/>
      <c r="QXB485" s="1031"/>
      <c r="QXC485" s="1031"/>
      <c r="QXD485" s="1031"/>
      <c r="QXE485" s="1031"/>
      <c r="QXF485" s="1031"/>
      <c r="QXG485" s="1031"/>
      <c r="QXH485" s="1031"/>
      <c r="QXI485" s="1031"/>
      <c r="QXJ485" s="1031"/>
      <c r="QXK485" s="1031"/>
      <c r="QXL485" s="1031"/>
      <c r="QXM485" s="1031"/>
      <c r="QXN485" s="1031"/>
      <c r="QXO485" s="1031"/>
      <c r="QXP485" s="1031"/>
      <c r="QXQ485" s="1031"/>
      <c r="QXR485" s="1031"/>
      <c r="QXS485" s="1031"/>
      <c r="QXT485" s="1031"/>
      <c r="QXU485" s="1031"/>
      <c r="QXV485" s="1031"/>
      <c r="QXW485" s="1031"/>
      <c r="QXX485" s="1031"/>
      <c r="QXY485" s="1031"/>
      <c r="QXZ485" s="1031"/>
      <c r="QYA485" s="1031"/>
      <c r="QYB485" s="1031"/>
      <c r="QYC485" s="1031"/>
      <c r="QYD485" s="1031"/>
      <c r="QYE485" s="1031"/>
      <c r="QYF485" s="1031"/>
      <c r="QYG485" s="1031"/>
      <c r="QYH485" s="1031"/>
      <c r="QYI485" s="1031"/>
      <c r="QYJ485" s="1031"/>
      <c r="QYK485" s="1031"/>
      <c r="QYL485" s="1031"/>
      <c r="QYM485" s="1031"/>
      <c r="QYN485" s="1031"/>
      <c r="QYO485" s="1031"/>
      <c r="QYP485" s="1031"/>
      <c r="QYQ485" s="1031"/>
      <c r="QYR485" s="1031"/>
      <c r="QYS485" s="1031"/>
      <c r="QYT485" s="1031"/>
      <c r="QYU485" s="1031"/>
      <c r="QYV485" s="1031"/>
      <c r="QYW485" s="1031"/>
      <c r="QYX485" s="1031"/>
      <c r="QYY485" s="1031"/>
      <c r="QYZ485" s="1031"/>
      <c r="QZA485" s="1031"/>
      <c r="QZB485" s="1031"/>
      <c r="QZC485" s="1031"/>
      <c r="QZD485" s="1031"/>
      <c r="QZE485" s="1031"/>
      <c r="QZF485" s="1031"/>
      <c r="QZG485" s="1031"/>
      <c r="QZH485" s="1031"/>
      <c r="QZI485" s="1031"/>
      <c r="QZJ485" s="1031"/>
      <c r="QZK485" s="1031"/>
      <c r="QZL485" s="1031"/>
      <c r="QZM485" s="1031"/>
      <c r="QZN485" s="1031"/>
      <c r="QZO485" s="1031"/>
      <c r="QZP485" s="1031"/>
      <c r="QZQ485" s="1031"/>
      <c r="QZR485" s="1031"/>
      <c r="QZS485" s="1031"/>
      <c r="QZT485" s="1031"/>
      <c r="QZU485" s="1031"/>
      <c r="QZV485" s="1031"/>
      <c r="QZW485" s="1031"/>
      <c r="QZX485" s="1031"/>
      <c r="QZY485" s="1031"/>
      <c r="QZZ485" s="1031"/>
      <c r="RAA485" s="1031"/>
      <c r="RAB485" s="1031"/>
      <c r="RAC485" s="1031"/>
      <c r="RAD485" s="1031"/>
      <c r="RAE485" s="1031"/>
      <c r="RAF485" s="1031"/>
      <c r="RAG485" s="1031"/>
      <c r="RAH485" s="1031"/>
      <c r="RAI485" s="1031"/>
      <c r="RAJ485" s="1031"/>
      <c r="RAK485" s="1031"/>
      <c r="RAL485" s="1031"/>
      <c r="RAM485" s="1031"/>
      <c r="RAN485" s="1031"/>
      <c r="RAO485" s="1031"/>
      <c r="RAP485" s="1031"/>
      <c r="RAQ485" s="1031"/>
      <c r="RAR485" s="1031"/>
      <c r="RAS485" s="1031"/>
      <c r="RAT485" s="1031"/>
      <c r="RAU485" s="1031"/>
      <c r="RAV485" s="1031"/>
      <c r="RAW485" s="1031"/>
      <c r="RAX485" s="1031"/>
      <c r="RAY485" s="1031"/>
      <c r="RAZ485" s="1031"/>
      <c r="RBA485" s="1031"/>
      <c r="RBB485" s="1031"/>
      <c r="RBC485" s="1031"/>
      <c r="RBD485" s="1031"/>
      <c r="RBE485" s="1031"/>
      <c r="RBF485" s="1031"/>
      <c r="RBG485" s="1031"/>
      <c r="RBH485" s="1031"/>
      <c r="RBI485" s="1031"/>
      <c r="RBJ485" s="1031"/>
      <c r="RBK485" s="1031"/>
      <c r="RBL485" s="1031"/>
      <c r="RBM485" s="1031"/>
      <c r="RBN485" s="1031"/>
      <c r="RBO485" s="1031"/>
      <c r="RBP485" s="1031"/>
      <c r="RBQ485" s="1031"/>
      <c r="RBR485" s="1031"/>
      <c r="RBS485" s="1031"/>
      <c r="RBT485" s="1031"/>
      <c r="RBU485" s="1031"/>
      <c r="RBV485" s="1031"/>
      <c r="RBW485" s="1031"/>
      <c r="RBX485" s="1031"/>
      <c r="RBY485" s="1031"/>
      <c r="RBZ485" s="1031"/>
      <c r="RCA485" s="1031"/>
      <c r="RCB485" s="1031"/>
      <c r="RCC485" s="1031"/>
      <c r="RCD485" s="1031"/>
      <c r="RCE485" s="1031"/>
      <c r="RCF485" s="1031"/>
      <c r="RCG485" s="1031"/>
      <c r="RCH485" s="1031"/>
      <c r="RCI485" s="1031"/>
      <c r="RCJ485" s="1031"/>
      <c r="RCK485" s="1031"/>
      <c r="RCL485" s="1031"/>
      <c r="RCM485" s="1031"/>
      <c r="RCN485" s="1031"/>
      <c r="RCO485" s="1031"/>
      <c r="RCP485" s="1031"/>
      <c r="RCQ485" s="1031"/>
      <c r="RCR485" s="1031"/>
      <c r="RCS485" s="1031"/>
      <c r="RCT485" s="1031"/>
      <c r="RCU485" s="1031"/>
      <c r="RCV485" s="1031"/>
      <c r="RCW485" s="1031"/>
      <c r="RCX485" s="1031"/>
      <c r="RCY485" s="1031"/>
      <c r="RCZ485" s="1031"/>
      <c r="RDA485" s="1031"/>
      <c r="RDB485" s="1031"/>
      <c r="RDC485" s="1031"/>
      <c r="RDD485" s="1031"/>
      <c r="RDE485" s="1031"/>
      <c r="RDF485" s="1031"/>
      <c r="RDG485" s="1031"/>
      <c r="RDH485" s="1031"/>
      <c r="RDI485" s="1031"/>
      <c r="RDJ485" s="1031"/>
      <c r="RDK485" s="1031"/>
      <c r="RDL485" s="1031"/>
      <c r="RDM485" s="1031"/>
      <c r="RDN485" s="1031"/>
      <c r="RDO485" s="1031"/>
      <c r="RDP485" s="1031"/>
      <c r="RDQ485" s="1031"/>
      <c r="RDR485" s="1031"/>
      <c r="RDS485" s="1031"/>
      <c r="RDT485" s="1031"/>
      <c r="RDU485" s="1031"/>
      <c r="RDV485" s="1031"/>
      <c r="RDW485" s="1031"/>
      <c r="RDX485" s="1031"/>
      <c r="RDY485" s="1031"/>
      <c r="RDZ485" s="1031"/>
      <c r="REA485" s="1031"/>
      <c r="REB485" s="1031"/>
      <c r="REC485" s="1031"/>
      <c r="RED485" s="1031"/>
      <c r="REE485" s="1031"/>
      <c r="REF485" s="1031"/>
      <c r="REG485" s="1031"/>
      <c r="REH485" s="1031"/>
      <c r="REI485" s="1031"/>
      <c r="REJ485" s="1031"/>
      <c r="REK485" s="1031"/>
      <c r="REL485" s="1031"/>
      <c r="REM485" s="1031"/>
      <c r="REN485" s="1031"/>
      <c r="REO485" s="1031"/>
      <c r="REP485" s="1031"/>
      <c r="REQ485" s="1031"/>
      <c r="RER485" s="1031"/>
      <c r="RES485" s="1031"/>
      <c r="RET485" s="1031"/>
      <c r="REU485" s="1031"/>
      <c r="REV485" s="1031"/>
      <c r="REW485" s="1031"/>
      <c r="REX485" s="1031"/>
      <c r="REY485" s="1031"/>
      <c r="REZ485" s="1031"/>
      <c r="RFA485" s="1031"/>
      <c r="RFB485" s="1031"/>
      <c r="RFC485" s="1031"/>
      <c r="RFD485" s="1031"/>
      <c r="RFE485" s="1031"/>
      <c r="RFF485" s="1031"/>
      <c r="RFG485" s="1031"/>
      <c r="RFH485" s="1031"/>
      <c r="RFI485" s="1031"/>
      <c r="RFJ485" s="1031"/>
      <c r="RFK485" s="1031"/>
      <c r="RFL485" s="1031"/>
      <c r="RFM485" s="1031"/>
      <c r="RFN485" s="1031"/>
      <c r="RFO485" s="1031"/>
      <c r="RFP485" s="1031"/>
      <c r="RFQ485" s="1031"/>
      <c r="RFR485" s="1031"/>
      <c r="RFS485" s="1031"/>
      <c r="RFT485" s="1031"/>
      <c r="RFU485" s="1031"/>
      <c r="RFV485" s="1031"/>
      <c r="RFW485" s="1031"/>
      <c r="RFX485" s="1031"/>
      <c r="RFY485" s="1031"/>
      <c r="RFZ485" s="1031"/>
      <c r="RGA485" s="1031"/>
      <c r="RGB485" s="1031"/>
      <c r="RGC485" s="1031"/>
      <c r="RGD485" s="1031"/>
      <c r="RGE485" s="1031"/>
      <c r="RGF485" s="1031"/>
      <c r="RGG485" s="1031"/>
      <c r="RGH485" s="1031"/>
      <c r="RGI485" s="1031"/>
      <c r="RGJ485" s="1031"/>
      <c r="RGK485" s="1031"/>
      <c r="RGL485" s="1031"/>
      <c r="RGM485" s="1031"/>
      <c r="RGN485" s="1031"/>
      <c r="RGO485" s="1031"/>
      <c r="RGP485" s="1031"/>
      <c r="RGQ485" s="1031"/>
      <c r="RGR485" s="1031"/>
      <c r="RGS485" s="1031"/>
      <c r="RGT485" s="1031"/>
      <c r="RGU485" s="1031"/>
      <c r="RGV485" s="1031"/>
      <c r="RGW485" s="1031"/>
      <c r="RGX485" s="1031"/>
      <c r="RGY485" s="1031"/>
      <c r="RGZ485" s="1031"/>
      <c r="RHA485" s="1031"/>
      <c r="RHB485" s="1031"/>
      <c r="RHC485" s="1031"/>
      <c r="RHD485" s="1031"/>
      <c r="RHE485" s="1031"/>
      <c r="RHF485" s="1031"/>
      <c r="RHG485" s="1031"/>
      <c r="RHH485" s="1031"/>
      <c r="RHI485" s="1031"/>
      <c r="RHJ485" s="1031"/>
      <c r="RHK485" s="1031"/>
      <c r="RHL485" s="1031"/>
      <c r="RHM485" s="1031"/>
      <c r="RHN485" s="1031"/>
      <c r="RHO485" s="1031"/>
      <c r="RHP485" s="1031"/>
      <c r="RHQ485" s="1031"/>
      <c r="RHR485" s="1031"/>
      <c r="RHS485" s="1031"/>
      <c r="RHT485" s="1031"/>
      <c r="RHU485" s="1031"/>
      <c r="RHV485" s="1031"/>
      <c r="RHW485" s="1031"/>
      <c r="RHX485" s="1031"/>
      <c r="RHY485" s="1031"/>
      <c r="RHZ485" s="1031"/>
      <c r="RIA485" s="1031"/>
      <c r="RIB485" s="1031"/>
      <c r="RIC485" s="1031"/>
      <c r="RID485" s="1031"/>
      <c r="RIE485" s="1031"/>
      <c r="RIF485" s="1031"/>
      <c r="RIG485" s="1031"/>
      <c r="RIH485" s="1031"/>
      <c r="RII485" s="1031"/>
      <c r="RIJ485" s="1031"/>
      <c r="RIK485" s="1031"/>
      <c r="RIL485" s="1031"/>
      <c r="RIM485" s="1031"/>
      <c r="RIN485" s="1031"/>
      <c r="RIO485" s="1031"/>
      <c r="RIP485" s="1031"/>
      <c r="RIQ485" s="1031"/>
      <c r="RIR485" s="1031"/>
      <c r="RIS485" s="1031"/>
      <c r="RIT485" s="1031"/>
      <c r="RIU485" s="1031"/>
      <c r="RIV485" s="1031"/>
      <c r="RIW485" s="1031"/>
      <c r="RIX485" s="1031"/>
      <c r="RIY485" s="1031"/>
      <c r="RIZ485" s="1031"/>
      <c r="RJA485" s="1031"/>
      <c r="RJB485" s="1031"/>
      <c r="RJC485" s="1031"/>
      <c r="RJD485" s="1031"/>
      <c r="RJE485" s="1031"/>
      <c r="RJF485" s="1031"/>
      <c r="RJG485" s="1031"/>
      <c r="RJH485" s="1031"/>
      <c r="RJI485" s="1031"/>
      <c r="RJJ485" s="1031"/>
      <c r="RJK485" s="1031"/>
      <c r="RJL485" s="1031"/>
      <c r="RJM485" s="1031"/>
      <c r="RJN485" s="1031"/>
      <c r="RJO485" s="1031"/>
      <c r="RJP485" s="1031"/>
      <c r="RJQ485" s="1031"/>
      <c r="RJR485" s="1031"/>
      <c r="RJS485" s="1031"/>
      <c r="RJT485" s="1031"/>
      <c r="RJU485" s="1031"/>
      <c r="RJV485" s="1031"/>
      <c r="RJW485" s="1031"/>
      <c r="RJX485" s="1031"/>
      <c r="RJY485" s="1031"/>
      <c r="RJZ485" s="1031"/>
      <c r="RKA485" s="1031"/>
      <c r="RKB485" s="1031"/>
      <c r="RKC485" s="1031"/>
      <c r="RKD485" s="1031"/>
      <c r="RKE485" s="1031"/>
      <c r="RKF485" s="1031"/>
      <c r="RKG485" s="1031"/>
      <c r="RKH485" s="1031"/>
      <c r="RKI485" s="1031"/>
      <c r="RKJ485" s="1031"/>
      <c r="RKK485" s="1031"/>
      <c r="RKL485" s="1031"/>
      <c r="RKM485" s="1031"/>
      <c r="RKN485" s="1031"/>
      <c r="RKO485" s="1031"/>
      <c r="RKP485" s="1031"/>
      <c r="RKQ485" s="1031"/>
      <c r="RKR485" s="1031"/>
      <c r="RKS485" s="1031"/>
      <c r="RKT485" s="1031"/>
      <c r="RKU485" s="1031"/>
      <c r="RKV485" s="1031"/>
      <c r="RKW485" s="1031"/>
      <c r="RKX485" s="1031"/>
      <c r="RKY485" s="1031"/>
      <c r="RKZ485" s="1031"/>
      <c r="RLA485" s="1031"/>
      <c r="RLB485" s="1031"/>
      <c r="RLC485" s="1031"/>
      <c r="RLD485" s="1031"/>
      <c r="RLE485" s="1031"/>
      <c r="RLF485" s="1031"/>
      <c r="RLG485" s="1031"/>
      <c r="RLH485" s="1031"/>
      <c r="RLI485" s="1031"/>
      <c r="RLJ485" s="1031"/>
      <c r="RLK485" s="1031"/>
      <c r="RLL485" s="1031"/>
      <c r="RLM485" s="1031"/>
      <c r="RLN485" s="1031"/>
      <c r="RLO485" s="1031"/>
      <c r="RLP485" s="1031"/>
      <c r="RLQ485" s="1031"/>
      <c r="RLR485" s="1031"/>
      <c r="RLS485" s="1031"/>
      <c r="RLT485" s="1031"/>
      <c r="RLU485" s="1031"/>
      <c r="RLV485" s="1031"/>
      <c r="RLW485" s="1031"/>
      <c r="RLX485" s="1031"/>
      <c r="RLY485" s="1031"/>
      <c r="RLZ485" s="1031"/>
      <c r="RMA485" s="1031"/>
      <c r="RMB485" s="1031"/>
      <c r="RMC485" s="1031"/>
      <c r="RMD485" s="1031"/>
      <c r="RME485" s="1031"/>
      <c r="RMF485" s="1031"/>
      <c r="RMG485" s="1031"/>
      <c r="RMH485" s="1031"/>
      <c r="RMI485" s="1031"/>
      <c r="RMJ485" s="1031"/>
      <c r="RMK485" s="1031"/>
      <c r="RML485" s="1031"/>
      <c r="RMM485" s="1031"/>
      <c r="RMN485" s="1031"/>
      <c r="RMO485" s="1031"/>
      <c r="RMP485" s="1031"/>
      <c r="RMQ485" s="1031"/>
      <c r="RMR485" s="1031"/>
      <c r="RMS485" s="1031"/>
      <c r="RMT485" s="1031"/>
      <c r="RMU485" s="1031"/>
      <c r="RMV485" s="1031"/>
      <c r="RMW485" s="1031"/>
      <c r="RMX485" s="1031"/>
      <c r="RMY485" s="1031"/>
      <c r="RMZ485" s="1031"/>
      <c r="RNA485" s="1031"/>
      <c r="RNB485" s="1031"/>
      <c r="RNC485" s="1031"/>
      <c r="RND485" s="1031"/>
      <c r="RNE485" s="1031"/>
      <c r="RNF485" s="1031"/>
      <c r="RNG485" s="1031"/>
      <c r="RNH485" s="1031"/>
      <c r="RNI485" s="1031"/>
      <c r="RNJ485" s="1031"/>
      <c r="RNK485" s="1031"/>
      <c r="RNL485" s="1031"/>
      <c r="RNM485" s="1031"/>
      <c r="RNN485" s="1031"/>
      <c r="RNO485" s="1031"/>
      <c r="RNP485" s="1031"/>
      <c r="RNQ485" s="1031"/>
      <c r="RNR485" s="1031"/>
      <c r="RNS485" s="1031"/>
      <c r="RNT485" s="1031"/>
      <c r="RNU485" s="1031"/>
      <c r="RNV485" s="1031"/>
      <c r="RNW485" s="1031"/>
      <c r="RNX485" s="1031"/>
      <c r="RNY485" s="1031"/>
      <c r="RNZ485" s="1031"/>
      <c r="ROA485" s="1031"/>
      <c r="ROB485" s="1031"/>
      <c r="ROC485" s="1031"/>
      <c r="ROD485" s="1031"/>
      <c r="ROE485" s="1031"/>
      <c r="ROF485" s="1031"/>
      <c r="ROG485" s="1031"/>
      <c r="ROH485" s="1031"/>
      <c r="ROI485" s="1031"/>
      <c r="ROJ485" s="1031"/>
      <c r="ROK485" s="1031"/>
      <c r="ROL485" s="1031"/>
      <c r="ROM485" s="1031"/>
      <c r="RON485" s="1031"/>
      <c r="ROO485" s="1031"/>
      <c r="ROP485" s="1031"/>
      <c r="ROQ485" s="1031"/>
      <c r="ROR485" s="1031"/>
      <c r="ROS485" s="1031"/>
      <c r="ROT485" s="1031"/>
      <c r="ROU485" s="1031"/>
      <c r="ROV485" s="1031"/>
      <c r="ROW485" s="1031"/>
      <c r="ROX485" s="1031"/>
      <c r="ROY485" s="1031"/>
      <c r="ROZ485" s="1031"/>
      <c r="RPA485" s="1031"/>
      <c r="RPB485" s="1031"/>
      <c r="RPC485" s="1031"/>
      <c r="RPD485" s="1031"/>
      <c r="RPE485" s="1031"/>
      <c r="RPF485" s="1031"/>
      <c r="RPG485" s="1031"/>
      <c r="RPH485" s="1031"/>
      <c r="RPI485" s="1031"/>
      <c r="RPJ485" s="1031"/>
      <c r="RPK485" s="1031"/>
      <c r="RPL485" s="1031"/>
      <c r="RPM485" s="1031"/>
      <c r="RPN485" s="1031"/>
      <c r="RPO485" s="1031"/>
      <c r="RPP485" s="1031"/>
      <c r="RPQ485" s="1031"/>
      <c r="RPR485" s="1031"/>
      <c r="RPS485" s="1031"/>
      <c r="RPT485" s="1031"/>
      <c r="RPU485" s="1031"/>
      <c r="RPV485" s="1031"/>
      <c r="RPW485" s="1031"/>
      <c r="RPX485" s="1031"/>
      <c r="RPY485" s="1031"/>
      <c r="RPZ485" s="1031"/>
      <c r="RQA485" s="1031"/>
      <c r="RQB485" s="1031"/>
      <c r="RQC485" s="1031"/>
      <c r="RQD485" s="1031"/>
      <c r="RQE485" s="1031"/>
      <c r="RQF485" s="1031"/>
      <c r="RQG485" s="1031"/>
      <c r="RQH485" s="1031"/>
      <c r="RQI485" s="1031"/>
      <c r="RQJ485" s="1031"/>
      <c r="RQK485" s="1031"/>
      <c r="RQL485" s="1031"/>
      <c r="RQM485" s="1031"/>
      <c r="RQN485" s="1031"/>
      <c r="RQO485" s="1031"/>
      <c r="RQP485" s="1031"/>
      <c r="RQQ485" s="1031"/>
      <c r="RQR485" s="1031"/>
      <c r="RQS485" s="1031"/>
      <c r="RQT485" s="1031"/>
      <c r="RQU485" s="1031"/>
      <c r="RQV485" s="1031"/>
      <c r="RQW485" s="1031"/>
      <c r="RQX485" s="1031"/>
      <c r="RQY485" s="1031"/>
      <c r="RQZ485" s="1031"/>
      <c r="RRA485" s="1031"/>
      <c r="RRB485" s="1031"/>
      <c r="RRC485" s="1031"/>
      <c r="RRD485" s="1031"/>
      <c r="RRE485" s="1031"/>
      <c r="RRF485" s="1031"/>
      <c r="RRG485" s="1031"/>
      <c r="RRH485" s="1031"/>
      <c r="RRI485" s="1031"/>
      <c r="RRJ485" s="1031"/>
      <c r="RRK485" s="1031"/>
      <c r="RRL485" s="1031"/>
      <c r="RRM485" s="1031"/>
      <c r="RRN485" s="1031"/>
      <c r="RRO485" s="1031"/>
      <c r="RRP485" s="1031"/>
      <c r="RRQ485" s="1031"/>
      <c r="RRR485" s="1031"/>
      <c r="RRS485" s="1031"/>
      <c r="RRT485" s="1031"/>
      <c r="RRU485" s="1031"/>
      <c r="RRV485" s="1031"/>
      <c r="RRW485" s="1031"/>
      <c r="RRX485" s="1031"/>
      <c r="RRY485" s="1031"/>
      <c r="RRZ485" s="1031"/>
      <c r="RSA485" s="1031"/>
      <c r="RSB485" s="1031"/>
      <c r="RSC485" s="1031"/>
      <c r="RSD485" s="1031"/>
      <c r="RSE485" s="1031"/>
      <c r="RSF485" s="1031"/>
      <c r="RSG485" s="1031"/>
      <c r="RSH485" s="1031"/>
      <c r="RSI485" s="1031"/>
      <c r="RSJ485" s="1031"/>
      <c r="RSK485" s="1031"/>
      <c r="RSL485" s="1031"/>
      <c r="RSM485" s="1031"/>
      <c r="RSN485" s="1031"/>
      <c r="RSO485" s="1031"/>
      <c r="RSP485" s="1031"/>
      <c r="RSQ485" s="1031"/>
      <c r="RSR485" s="1031"/>
      <c r="RSS485" s="1031"/>
      <c r="RST485" s="1031"/>
      <c r="RSU485" s="1031"/>
      <c r="RSV485" s="1031"/>
      <c r="RSW485" s="1031"/>
      <c r="RSX485" s="1031"/>
      <c r="RSY485" s="1031"/>
      <c r="RSZ485" s="1031"/>
      <c r="RTA485" s="1031"/>
      <c r="RTB485" s="1031"/>
      <c r="RTC485" s="1031"/>
      <c r="RTD485" s="1031"/>
      <c r="RTE485" s="1031"/>
      <c r="RTF485" s="1031"/>
      <c r="RTG485" s="1031"/>
      <c r="RTH485" s="1031"/>
      <c r="RTI485" s="1031"/>
      <c r="RTJ485" s="1031"/>
      <c r="RTK485" s="1031"/>
      <c r="RTL485" s="1031"/>
      <c r="RTM485" s="1031"/>
      <c r="RTN485" s="1031"/>
      <c r="RTO485" s="1031"/>
      <c r="RTP485" s="1031"/>
      <c r="RTQ485" s="1031"/>
      <c r="RTR485" s="1031"/>
      <c r="RTS485" s="1031"/>
      <c r="RTT485" s="1031"/>
      <c r="RTU485" s="1031"/>
      <c r="RTV485" s="1031"/>
      <c r="RTW485" s="1031"/>
      <c r="RTX485" s="1031"/>
      <c r="RTY485" s="1031"/>
      <c r="RTZ485" s="1031"/>
      <c r="RUA485" s="1031"/>
      <c r="RUB485" s="1031"/>
      <c r="RUC485" s="1031"/>
      <c r="RUD485" s="1031"/>
      <c r="RUE485" s="1031"/>
      <c r="RUF485" s="1031"/>
      <c r="RUG485" s="1031"/>
      <c r="RUH485" s="1031"/>
      <c r="RUI485" s="1031"/>
      <c r="RUJ485" s="1031"/>
      <c r="RUK485" s="1031"/>
      <c r="RUL485" s="1031"/>
      <c r="RUM485" s="1031"/>
      <c r="RUN485" s="1031"/>
      <c r="RUO485" s="1031"/>
      <c r="RUP485" s="1031"/>
      <c r="RUQ485" s="1031"/>
      <c r="RUR485" s="1031"/>
      <c r="RUS485" s="1031"/>
      <c r="RUT485" s="1031"/>
      <c r="RUU485" s="1031"/>
      <c r="RUV485" s="1031"/>
      <c r="RUW485" s="1031"/>
      <c r="RUX485" s="1031"/>
      <c r="RUY485" s="1031"/>
      <c r="RUZ485" s="1031"/>
      <c r="RVA485" s="1031"/>
      <c r="RVB485" s="1031"/>
      <c r="RVC485" s="1031"/>
      <c r="RVD485" s="1031"/>
      <c r="RVE485" s="1031"/>
      <c r="RVF485" s="1031"/>
      <c r="RVG485" s="1031"/>
      <c r="RVH485" s="1031"/>
      <c r="RVI485" s="1031"/>
      <c r="RVJ485" s="1031"/>
      <c r="RVK485" s="1031"/>
      <c r="RVL485" s="1031"/>
      <c r="RVM485" s="1031"/>
      <c r="RVN485" s="1031"/>
      <c r="RVO485" s="1031"/>
      <c r="RVP485" s="1031"/>
      <c r="RVQ485" s="1031"/>
      <c r="RVR485" s="1031"/>
      <c r="RVS485" s="1031"/>
      <c r="RVT485" s="1031"/>
      <c r="RVU485" s="1031"/>
      <c r="RVV485" s="1031"/>
      <c r="RVW485" s="1031"/>
      <c r="RVX485" s="1031"/>
      <c r="RVY485" s="1031"/>
      <c r="RVZ485" s="1031"/>
      <c r="RWA485" s="1031"/>
      <c r="RWB485" s="1031"/>
      <c r="RWC485" s="1031"/>
      <c r="RWD485" s="1031"/>
      <c r="RWE485" s="1031"/>
      <c r="RWF485" s="1031"/>
      <c r="RWG485" s="1031"/>
      <c r="RWH485" s="1031"/>
      <c r="RWI485" s="1031"/>
      <c r="RWJ485" s="1031"/>
      <c r="RWK485" s="1031"/>
      <c r="RWL485" s="1031"/>
      <c r="RWM485" s="1031"/>
      <c r="RWN485" s="1031"/>
      <c r="RWO485" s="1031"/>
      <c r="RWP485" s="1031"/>
      <c r="RWQ485" s="1031"/>
      <c r="RWR485" s="1031"/>
      <c r="RWS485" s="1031"/>
      <c r="RWT485" s="1031"/>
      <c r="RWU485" s="1031"/>
      <c r="RWV485" s="1031"/>
      <c r="RWW485" s="1031"/>
      <c r="RWX485" s="1031"/>
      <c r="RWY485" s="1031"/>
      <c r="RWZ485" s="1031"/>
      <c r="RXA485" s="1031"/>
      <c r="RXB485" s="1031"/>
      <c r="RXC485" s="1031"/>
      <c r="RXD485" s="1031"/>
      <c r="RXE485" s="1031"/>
      <c r="RXF485" s="1031"/>
      <c r="RXG485" s="1031"/>
      <c r="RXH485" s="1031"/>
      <c r="RXI485" s="1031"/>
      <c r="RXJ485" s="1031"/>
      <c r="RXK485" s="1031"/>
      <c r="RXL485" s="1031"/>
      <c r="RXM485" s="1031"/>
      <c r="RXN485" s="1031"/>
      <c r="RXO485" s="1031"/>
      <c r="RXP485" s="1031"/>
      <c r="RXQ485" s="1031"/>
      <c r="RXR485" s="1031"/>
      <c r="RXS485" s="1031"/>
      <c r="RXT485" s="1031"/>
      <c r="RXU485" s="1031"/>
      <c r="RXV485" s="1031"/>
      <c r="RXW485" s="1031"/>
      <c r="RXX485" s="1031"/>
      <c r="RXY485" s="1031"/>
      <c r="RXZ485" s="1031"/>
      <c r="RYA485" s="1031"/>
      <c r="RYB485" s="1031"/>
      <c r="RYC485" s="1031"/>
      <c r="RYD485" s="1031"/>
      <c r="RYE485" s="1031"/>
      <c r="RYF485" s="1031"/>
      <c r="RYG485" s="1031"/>
      <c r="RYH485" s="1031"/>
      <c r="RYI485" s="1031"/>
      <c r="RYJ485" s="1031"/>
      <c r="RYK485" s="1031"/>
      <c r="RYL485" s="1031"/>
      <c r="RYM485" s="1031"/>
      <c r="RYN485" s="1031"/>
      <c r="RYO485" s="1031"/>
      <c r="RYP485" s="1031"/>
      <c r="RYQ485" s="1031"/>
      <c r="RYR485" s="1031"/>
      <c r="RYS485" s="1031"/>
      <c r="RYT485" s="1031"/>
      <c r="RYU485" s="1031"/>
      <c r="RYV485" s="1031"/>
      <c r="RYW485" s="1031"/>
      <c r="RYX485" s="1031"/>
      <c r="RYY485" s="1031"/>
      <c r="RYZ485" s="1031"/>
      <c r="RZA485" s="1031"/>
      <c r="RZB485" s="1031"/>
      <c r="RZC485" s="1031"/>
      <c r="RZD485" s="1031"/>
      <c r="RZE485" s="1031"/>
      <c r="RZF485" s="1031"/>
      <c r="RZG485" s="1031"/>
      <c r="RZH485" s="1031"/>
      <c r="RZI485" s="1031"/>
      <c r="RZJ485" s="1031"/>
      <c r="RZK485" s="1031"/>
      <c r="RZL485" s="1031"/>
      <c r="RZM485" s="1031"/>
      <c r="RZN485" s="1031"/>
      <c r="RZO485" s="1031"/>
      <c r="RZP485" s="1031"/>
      <c r="RZQ485" s="1031"/>
      <c r="RZR485" s="1031"/>
      <c r="RZS485" s="1031"/>
      <c r="RZT485" s="1031"/>
      <c r="RZU485" s="1031"/>
      <c r="RZV485" s="1031"/>
      <c r="RZW485" s="1031"/>
      <c r="RZX485" s="1031"/>
      <c r="RZY485" s="1031"/>
      <c r="RZZ485" s="1031"/>
      <c r="SAA485" s="1031"/>
      <c r="SAB485" s="1031"/>
      <c r="SAC485" s="1031"/>
      <c r="SAD485" s="1031"/>
      <c r="SAE485" s="1031"/>
      <c r="SAF485" s="1031"/>
      <c r="SAG485" s="1031"/>
      <c r="SAH485" s="1031"/>
      <c r="SAI485" s="1031"/>
      <c r="SAJ485" s="1031"/>
      <c r="SAK485" s="1031"/>
      <c r="SAL485" s="1031"/>
      <c r="SAM485" s="1031"/>
      <c r="SAN485" s="1031"/>
      <c r="SAO485" s="1031"/>
      <c r="SAP485" s="1031"/>
      <c r="SAQ485" s="1031"/>
      <c r="SAR485" s="1031"/>
      <c r="SAS485" s="1031"/>
      <c r="SAT485" s="1031"/>
      <c r="SAU485" s="1031"/>
      <c r="SAV485" s="1031"/>
      <c r="SAW485" s="1031"/>
      <c r="SAX485" s="1031"/>
      <c r="SAY485" s="1031"/>
      <c r="SAZ485" s="1031"/>
      <c r="SBA485" s="1031"/>
      <c r="SBB485" s="1031"/>
      <c r="SBC485" s="1031"/>
      <c r="SBD485" s="1031"/>
      <c r="SBE485" s="1031"/>
      <c r="SBF485" s="1031"/>
      <c r="SBG485" s="1031"/>
      <c r="SBH485" s="1031"/>
      <c r="SBI485" s="1031"/>
      <c r="SBJ485" s="1031"/>
      <c r="SBK485" s="1031"/>
      <c r="SBL485" s="1031"/>
      <c r="SBM485" s="1031"/>
      <c r="SBN485" s="1031"/>
      <c r="SBO485" s="1031"/>
      <c r="SBP485" s="1031"/>
      <c r="SBQ485" s="1031"/>
      <c r="SBR485" s="1031"/>
      <c r="SBS485" s="1031"/>
      <c r="SBT485" s="1031"/>
      <c r="SBU485" s="1031"/>
      <c r="SBV485" s="1031"/>
      <c r="SBW485" s="1031"/>
      <c r="SBX485" s="1031"/>
      <c r="SBY485" s="1031"/>
      <c r="SBZ485" s="1031"/>
      <c r="SCA485" s="1031"/>
      <c r="SCB485" s="1031"/>
      <c r="SCC485" s="1031"/>
      <c r="SCD485" s="1031"/>
      <c r="SCE485" s="1031"/>
      <c r="SCF485" s="1031"/>
      <c r="SCG485" s="1031"/>
      <c r="SCH485" s="1031"/>
      <c r="SCI485" s="1031"/>
      <c r="SCJ485" s="1031"/>
      <c r="SCK485" s="1031"/>
      <c r="SCL485" s="1031"/>
      <c r="SCM485" s="1031"/>
      <c r="SCN485" s="1031"/>
      <c r="SCO485" s="1031"/>
      <c r="SCP485" s="1031"/>
      <c r="SCQ485" s="1031"/>
      <c r="SCR485" s="1031"/>
      <c r="SCS485" s="1031"/>
      <c r="SCT485" s="1031"/>
      <c r="SCU485" s="1031"/>
      <c r="SCV485" s="1031"/>
      <c r="SCW485" s="1031"/>
      <c r="SCX485" s="1031"/>
      <c r="SCY485" s="1031"/>
      <c r="SCZ485" s="1031"/>
      <c r="SDA485" s="1031"/>
      <c r="SDB485" s="1031"/>
      <c r="SDC485" s="1031"/>
      <c r="SDD485" s="1031"/>
      <c r="SDE485" s="1031"/>
      <c r="SDF485" s="1031"/>
      <c r="SDG485" s="1031"/>
      <c r="SDH485" s="1031"/>
      <c r="SDI485" s="1031"/>
      <c r="SDJ485" s="1031"/>
      <c r="SDK485" s="1031"/>
      <c r="SDL485" s="1031"/>
      <c r="SDM485" s="1031"/>
      <c r="SDN485" s="1031"/>
      <c r="SDO485" s="1031"/>
      <c r="SDP485" s="1031"/>
      <c r="SDQ485" s="1031"/>
      <c r="SDR485" s="1031"/>
      <c r="SDS485" s="1031"/>
      <c r="SDT485" s="1031"/>
      <c r="SDU485" s="1031"/>
      <c r="SDV485" s="1031"/>
      <c r="SDW485" s="1031"/>
      <c r="SDX485" s="1031"/>
      <c r="SDY485" s="1031"/>
      <c r="SDZ485" s="1031"/>
      <c r="SEA485" s="1031"/>
      <c r="SEB485" s="1031"/>
      <c r="SEC485" s="1031"/>
      <c r="SED485" s="1031"/>
      <c r="SEE485" s="1031"/>
      <c r="SEF485" s="1031"/>
      <c r="SEG485" s="1031"/>
      <c r="SEH485" s="1031"/>
      <c r="SEI485" s="1031"/>
      <c r="SEJ485" s="1031"/>
      <c r="SEK485" s="1031"/>
      <c r="SEL485" s="1031"/>
      <c r="SEM485" s="1031"/>
      <c r="SEN485" s="1031"/>
      <c r="SEO485" s="1031"/>
      <c r="SEP485" s="1031"/>
      <c r="SEQ485" s="1031"/>
      <c r="SER485" s="1031"/>
      <c r="SES485" s="1031"/>
      <c r="SET485" s="1031"/>
      <c r="SEU485" s="1031"/>
      <c r="SEV485" s="1031"/>
      <c r="SEW485" s="1031"/>
      <c r="SEX485" s="1031"/>
      <c r="SEY485" s="1031"/>
      <c r="SEZ485" s="1031"/>
      <c r="SFA485" s="1031"/>
      <c r="SFB485" s="1031"/>
      <c r="SFC485" s="1031"/>
      <c r="SFD485" s="1031"/>
      <c r="SFE485" s="1031"/>
      <c r="SFF485" s="1031"/>
      <c r="SFG485" s="1031"/>
      <c r="SFH485" s="1031"/>
      <c r="SFI485" s="1031"/>
      <c r="SFJ485" s="1031"/>
      <c r="SFK485" s="1031"/>
      <c r="SFL485" s="1031"/>
      <c r="SFM485" s="1031"/>
      <c r="SFN485" s="1031"/>
      <c r="SFO485" s="1031"/>
      <c r="SFP485" s="1031"/>
      <c r="SFQ485" s="1031"/>
      <c r="SFR485" s="1031"/>
      <c r="SFS485" s="1031"/>
      <c r="SFT485" s="1031"/>
      <c r="SFU485" s="1031"/>
      <c r="SFV485" s="1031"/>
      <c r="SFW485" s="1031"/>
      <c r="SFX485" s="1031"/>
      <c r="SFY485" s="1031"/>
      <c r="SFZ485" s="1031"/>
      <c r="SGA485" s="1031"/>
      <c r="SGB485" s="1031"/>
      <c r="SGC485" s="1031"/>
      <c r="SGD485" s="1031"/>
      <c r="SGE485" s="1031"/>
      <c r="SGF485" s="1031"/>
      <c r="SGG485" s="1031"/>
      <c r="SGH485" s="1031"/>
      <c r="SGI485" s="1031"/>
      <c r="SGJ485" s="1031"/>
      <c r="SGK485" s="1031"/>
      <c r="SGL485" s="1031"/>
      <c r="SGM485" s="1031"/>
      <c r="SGN485" s="1031"/>
      <c r="SGO485" s="1031"/>
      <c r="SGP485" s="1031"/>
      <c r="SGQ485" s="1031"/>
      <c r="SGR485" s="1031"/>
      <c r="SGS485" s="1031"/>
      <c r="SGT485" s="1031"/>
      <c r="SGU485" s="1031"/>
      <c r="SGV485" s="1031"/>
      <c r="SGW485" s="1031"/>
      <c r="SGX485" s="1031"/>
      <c r="SGY485" s="1031"/>
      <c r="SGZ485" s="1031"/>
      <c r="SHA485" s="1031"/>
      <c r="SHB485" s="1031"/>
      <c r="SHC485" s="1031"/>
      <c r="SHD485" s="1031"/>
      <c r="SHE485" s="1031"/>
      <c r="SHF485" s="1031"/>
      <c r="SHG485" s="1031"/>
      <c r="SHH485" s="1031"/>
      <c r="SHI485" s="1031"/>
      <c r="SHJ485" s="1031"/>
      <c r="SHK485" s="1031"/>
      <c r="SHL485" s="1031"/>
      <c r="SHM485" s="1031"/>
      <c r="SHN485" s="1031"/>
      <c r="SHO485" s="1031"/>
      <c r="SHP485" s="1031"/>
      <c r="SHQ485" s="1031"/>
      <c r="SHR485" s="1031"/>
      <c r="SHS485" s="1031"/>
      <c r="SHT485" s="1031"/>
      <c r="SHU485" s="1031"/>
      <c r="SHV485" s="1031"/>
      <c r="SHW485" s="1031"/>
      <c r="SHX485" s="1031"/>
      <c r="SHY485" s="1031"/>
      <c r="SHZ485" s="1031"/>
      <c r="SIA485" s="1031"/>
      <c r="SIB485" s="1031"/>
      <c r="SIC485" s="1031"/>
      <c r="SID485" s="1031"/>
      <c r="SIE485" s="1031"/>
      <c r="SIF485" s="1031"/>
      <c r="SIG485" s="1031"/>
      <c r="SIH485" s="1031"/>
      <c r="SII485" s="1031"/>
      <c r="SIJ485" s="1031"/>
      <c r="SIK485" s="1031"/>
      <c r="SIL485" s="1031"/>
      <c r="SIM485" s="1031"/>
      <c r="SIN485" s="1031"/>
      <c r="SIO485" s="1031"/>
      <c r="SIP485" s="1031"/>
      <c r="SIQ485" s="1031"/>
      <c r="SIR485" s="1031"/>
      <c r="SIS485" s="1031"/>
      <c r="SIT485" s="1031"/>
      <c r="SIU485" s="1031"/>
      <c r="SIV485" s="1031"/>
      <c r="SIW485" s="1031"/>
      <c r="SIX485" s="1031"/>
      <c r="SIY485" s="1031"/>
      <c r="SIZ485" s="1031"/>
      <c r="SJA485" s="1031"/>
      <c r="SJB485" s="1031"/>
      <c r="SJC485" s="1031"/>
      <c r="SJD485" s="1031"/>
      <c r="SJE485" s="1031"/>
      <c r="SJF485" s="1031"/>
      <c r="SJG485" s="1031"/>
      <c r="SJH485" s="1031"/>
      <c r="SJI485" s="1031"/>
      <c r="SJJ485" s="1031"/>
      <c r="SJK485" s="1031"/>
      <c r="SJL485" s="1031"/>
      <c r="SJM485" s="1031"/>
      <c r="SJN485" s="1031"/>
      <c r="SJO485" s="1031"/>
      <c r="SJP485" s="1031"/>
      <c r="SJQ485" s="1031"/>
      <c r="SJR485" s="1031"/>
      <c r="SJS485" s="1031"/>
      <c r="SJT485" s="1031"/>
      <c r="SJU485" s="1031"/>
      <c r="SJV485" s="1031"/>
      <c r="SJW485" s="1031"/>
      <c r="SJX485" s="1031"/>
      <c r="SJY485" s="1031"/>
      <c r="SJZ485" s="1031"/>
      <c r="SKA485" s="1031"/>
      <c r="SKB485" s="1031"/>
      <c r="SKC485" s="1031"/>
      <c r="SKD485" s="1031"/>
      <c r="SKE485" s="1031"/>
      <c r="SKF485" s="1031"/>
      <c r="SKG485" s="1031"/>
      <c r="SKH485" s="1031"/>
      <c r="SKI485" s="1031"/>
      <c r="SKJ485" s="1031"/>
      <c r="SKK485" s="1031"/>
      <c r="SKL485" s="1031"/>
      <c r="SKM485" s="1031"/>
      <c r="SKN485" s="1031"/>
      <c r="SKO485" s="1031"/>
      <c r="SKP485" s="1031"/>
      <c r="SKQ485" s="1031"/>
      <c r="SKR485" s="1031"/>
      <c r="SKS485" s="1031"/>
      <c r="SKT485" s="1031"/>
      <c r="SKU485" s="1031"/>
      <c r="SKV485" s="1031"/>
      <c r="SKW485" s="1031"/>
      <c r="SKX485" s="1031"/>
      <c r="SKY485" s="1031"/>
      <c r="SKZ485" s="1031"/>
      <c r="SLA485" s="1031"/>
      <c r="SLB485" s="1031"/>
      <c r="SLC485" s="1031"/>
      <c r="SLD485" s="1031"/>
      <c r="SLE485" s="1031"/>
      <c r="SLF485" s="1031"/>
      <c r="SLG485" s="1031"/>
      <c r="SLH485" s="1031"/>
      <c r="SLI485" s="1031"/>
      <c r="SLJ485" s="1031"/>
      <c r="SLK485" s="1031"/>
      <c r="SLL485" s="1031"/>
      <c r="SLM485" s="1031"/>
      <c r="SLN485" s="1031"/>
      <c r="SLO485" s="1031"/>
      <c r="SLP485" s="1031"/>
      <c r="SLQ485" s="1031"/>
      <c r="SLR485" s="1031"/>
      <c r="SLS485" s="1031"/>
      <c r="SLT485" s="1031"/>
      <c r="SLU485" s="1031"/>
      <c r="SLV485" s="1031"/>
      <c r="SLW485" s="1031"/>
      <c r="SLX485" s="1031"/>
      <c r="SLY485" s="1031"/>
      <c r="SLZ485" s="1031"/>
      <c r="SMA485" s="1031"/>
      <c r="SMB485" s="1031"/>
      <c r="SMC485" s="1031"/>
      <c r="SMD485" s="1031"/>
      <c r="SME485" s="1031"/>
      <c r="SMF485" s="1031"/>
      <c r="SMG485" s="1031"/>
      <c r="SMH485" s="1031"/>
      <c r="SMI485" s="1031"/>
      <c r="SMJ485" s="1031"/>
      <c r="SMK485" s="1031"/>
      <c r="SML485" s="1031"/>
      <c r="SMM485" s="1031"/>
      <c r="SMN485" s="1031"/>
      <c r="SMO485" s="1031"/>
      <c r="SMP485" s="1031"/>
      <c r="SMQ485" s="1031"/>
      <c r="SMR485" s="1031"/>
      <c r="SMS485" s="1031"/>
      <c r="SMT485" s="1031"/>
      <c r="SMU485" s="1031"/>
      <c r="SMV485" s="1031"/>
      <c r="SMW485" s="1031"/>
      <c r="SMX485" s="1031"/>
      <c r="SMY485" s="1031"/>
      <c r="SMZ485" s="1031"/>
      <c r="SNA485" s="1031"/>
      <c r="SNB485" s="1031"/>
      <c r="SNC485" s="1031"/>
      <c r="SND485" s="1031"/>
      <c r="SNE485" s="1031"/>
      <c r="SNF485" s="1031"/>
      <c r="SNG485" s="1031"/>
      <c r="SNH485" s="1031"/>
      <c r="SNI485" s="1031"/>
      <c r="SNJ485" s="1031"/>
      <c r="SNK485" s="1031"/>
      <c r="SNL485" s="1031"/>
      <c r="SNM485" s="1031"/>
      <c r="SNN485" s="1031"/>
      <c r="SNO485" s="1031"/>
      <c r="SNP485" s="1031"/>
      <c r="SNQ485" s="1031"/>
      <c r="SNR485" s="1031"/>
      <c r="SNS485" s="1031"/>
      <c r="SNT485" s="1031"/>
      <c r="SNU485" s="1031"/>
      <c r="SNV485" s="1031"/>
      <c r="SNW485" s="1031"/>
      <c r="SNX485" s="1031"/>
      <c r="SNY485" s="1031"/>
      <c r="SNZ485" s="1031"/>
      <c r="SOA485" s="1031"/>
      <c r="SOB485" s="1031"/>
      <c r="SOC485" s="1031"/>
      <c r="SOD485" s="1031"/>
      <c r="SOE485" s="1031"/>
      <c r="SOF485" s="1031"/>
      <c r="SOG485" s="1031"/>
      <c r="SOH485" s="1031"/>
      <c r="SOI485" s="1031"/>
      <c r="SOJ485" s="1031"/>
      <c r="SOK485" s="1031"/>
      <c r="SOL485" s="1031"/>
      <c r="SOM485" s="1031"/>
      <c r="SON485" s="1031"/>
      <c r="SOO485" s="1031"/>
      <c r="SOP485" s="1031"/>
      <c r="SOQ485" s="1031"/>
      <c r="SOR485" s="1031"/>
      <c r="SOS485" s="1031"/>
      <c r="SOT485" s="1031"/>
      <c r="SOU485" s="1031"/>
      <c r="SOV485" s="1031"/>
      <c r="SOW485" s="1031"/>
      <c r="SOX485" s="1031"/>
      <c r="SOY485" s="1031"/>
      <c r="SOZ485" s="1031"/>
      <c r="SPA485" s="1031"/>
      <c r="SPB485" s="1031"/>
      <c r="SPC485" s="1031"/>
      <c r="SPD485" s="1031"/>
      <c r="SPE485" s="1031"/>
      <c r="SPF485" s="1031"/>
      <c r="SPG485" s="1031"/>
      <c r="SPH485" s="1031"/>
      <c r="SPI485" s="1031"/>
      <c r="SPJ485" s="1031"/>
      <c r="SPK485" s="1031"/>
      <c r="SPL485" s="1031"/>
      <c r="SPM485" s="1031"/>
      <c r="SPN485" s="1031"/>
      <c r="SPO485" s="1031"/>
      <c r="SPP485" s="1031"/>
      <c r="SPQ485" s="1031"/>
      <c r="SPR485" s="1031"/>
      <c r="SPS485" s="1031"/>
      <c r="SPT485" s="1031"/>
      <c r="SPU485" s="1031"/>
      <c r="SPV485" s="1031"/>
      <c r="SPW485" s="1031"/>
      <c r="SPX485" s="1031"/>
      <c r="SPY485" s="1031"/>
      <c r="SPZ485" s="1031"/>
      <c r="SQA485" s="1031"/>
      <c r="SQB485" s="1031"/>
      <c r="SQC485" s="1031"/>
      <c r="SQD485" s="1031"/>
      <c r="SQE485" s="1031"/>
      <c r="SQF485" s="1031"/>
      <c r="SQG485" s="1031"/>
      <c r="SQH485" s="1031"/>
      <c r="SQI485" s="1031"/>
      <c r="SQJ485" s="1031"/>
      <c r="SQK485" s="1031"/>
      <c r="SQL485" s="1031"/>
      <c r="SQM485" s="1031"/>
      <c r="SQN485" s="1031"/>
      <c r="SQO485" s="1031"/>
      <c r="SQP485" s="1031"/>
      <c r="SQQ485" s="1031"/>
      <c r="SQR485" s="1031"/>
      <c r="SQS485" s="1031"/>
      <c r="SQT485" s="1031"/>
      <c r="SQU485" s="1031"/>
      <c r="SQV485" s="1031"/>
      <c r="SQW485" s="1031"/>
      <c r="SQX485" s="1031"/>
      <c r="SQY485" s="1031"/>
      <c r="SQZ485" s="1031"/>
      <c r="SRA485" s="1031"/>
      <c r="SRB485" s="1031"/>
      <c r="SRC485" s="1031"/>
      <c r="SRD485" s="1031"/>
      <c r="SRE485" s="1031"/>
      <c r="SRF485" s="1031"/>
      <c r="SRG485" s="1031"/>
      <c r="SRH485" s="1031"/>
      <c r="SRI485" s="1031"/>
      <c r="SRJ485" s="1031"/>
      <c r="SRK485" s="1031"/>
      <c r="SRL485" s="1031"/>
      <c r="SRM485" s="1031"/>
      <c r="SRN485" s="1031"/>
      <c r="SRO485" s="1031"/>
      <c r="SRP485" s="1031"/>
      <c r="SRQ485" s="1031"/>
      <c r="SRR485" s="1031"/>
      <c r="SRS485" s="1031"/>
      <c r="SRT485" s="1031"/>
      <c r="SRU485" s="1031"/>
      <c r="SRV485" s="1031"/>
      <c r="SRW485" s="1031"/>
      <c r="SRX485" s="1031"/>
      <c r="SRY485" s="1031"/>
      <c r="SRZ485" s="1031"/>
      <c r="SSA485" s="1031"/>
      <c r="SSB485" s="1031"/>
      <c r="SSC485" s="1031"/>
      <c r="SSD485" s="1031"/>
      <c r="SSE485" s="1031"/>
      <c r="SSF485" s="1031"/>
      <c r="SSG485" s="1031"/>
      <c r="SSH485" s="1031"/>
      <c r="SSI485" s="1031"/>
      <c r="SSJ485" s="1031"/>
      <c r="SSK485" s="1031"/>
      <c r="SSL485" s="1031"/>
      <c r="SSM485" s="1031"/>
      <c r="SSN485" s="1031"/>
      <c r="SSO485" s="1031"/>
      <c r="SSP485" s="1031"/>
      <c r="SSQ485" s="1031"/>
      <c r="SSR485" s="1031"/>
      <c r="SSS485" s="1031"/>
      <c r="SST485" s="1031"/>
      <c r="SSU485" s="1031"/>
      <c r="SSV485" s="1031"/>
      <c r="SSW485" s="1031"/>
      <c r="SSX485" s="1031"/>
      <c r="SSY485" s="1031"/>
      <c r="SSZ485" s="1031"/>
      <c r="STA485" s="1031"/>
      <c r="STB485" s="1031"/>
      <c r="STC485" s="1031"/>
      <c r="STD485" s="1031"/>
      <c r="STE485" s="1031"/>
      <c r="STF485" s="1031"/>
      <c r="STG485" s="1031"/>
      <c r="STH485" s="1031"/>
      <c r="STI485" s="1031"/>
      <c r="STJ485" s="1031"/>
      <c r="STK485" s="1031"/>
      <c r="STL485" s="1031"/>
      <c r="STM485" s="1031"/>
      <c r="STN485" s="1031"/>
      <c r="STO485" s="1031"/>
      <c r="STP485" s="1031"/>
      <c r="STQ485" s="1031"/>
      <c r="STR485" s="1031"/>
      <c r="STS485" s="1031"/>
      <c r="STT485" s="1031"/>
      <c r="STU485" s="1031"/>
      <c r="STV485" s="1031"/>
      <c r="STW485" s="1031"/>
      <c r="STX485" s="1031"/>
      <c r="STY485" s="1031"/>
      <c r="STZ485" s="1031"/>
      <c r="SUA485" s="1031"/>
      <c r="SUB485" s="1031"/>
      <c r="SUC485" s="1031"/>
      <c r="SUD485" s="1031"/>
      <c r="SUE485" s="1031"/>
      <c r="SUF485" s="1031"/>
      <c r="SUG485" s="1031"/>
      <c r="SUH485" s="1031"/>
      <c r="SUI485" s="1031"/>
      <c r="SUJ485" s="1031"/>
      <c r="SUK485" s="1031"/>
      <c r="SUL485" s="1031"/>
      <c r="SUM485" s="1031"/>
      <c r="SUN485" s="1031"/>
      <c r="SUO485" s="1031"/>
      <c r="SUP485" s="1031"/>
      <c r="SUQ485" s="1031"/>
      <c r="SUR485" s="1031"/>
      <c r="SUS485" s="1031"/>
      <c r="SUT485" s="1031"/>
      <c r="SUU485" s="1031"/>
      <c r="SUV485" s="1031"/>
      <c r="SUW485" s="1031"/>
      <c r="SUX485" s="1031"/>
      <c r="SUY485" s="1031"/>
      <c r="SUZ485" s="1031"/>
      <c r="SVA485" s="1031"/>
      <c r="SVB485" s="1031"/>
      <c r="SVC485" s="1031"/>
      <c r="SVD485" s="1031"/>
      <c r="SVE485" s="1031"/>
      <c r="SVF485" s="1031"/>
      <c r="SVG485" s="1031"/>
      <c r="SVH485" s="1031"/>
      <c r="SVI485" s="1031"/>
      <c r="SVJ485" s="1031"/>
      <c r="SVK485" s="1031"/>
      <c r="SVL485" s="1031"/>
      <c r="SVM485" s="1031"/>
      <c r="SVN485" s="1031"/>
      <c r="SVO485" s="1031"/>
      <c r="SVP485" s="1031"/>
      <c r="SVQ485" s="1031"/>
      <c r="SVR485" s="1031"/>
      <c r="SVS485" s="1031"/>
      <c r="SVT485" s="1031"/>
      <c r="SVU485" s="1031"/>
      <c r="SVV485" s="1031"/>
      <c r="SVW485" s="1031"/>
      <c r="SVX485" s="1031"/>
      <c r="SVY485" s="1031"/>
      <c r="SVZ485" s="1031"/>
      <c r="SWA485" s="1031"/>
      <c r="SWB485" s="1031"/>
      <c r="SWC485" s="1031"/>
      <c r="SWD485" s="1031"/>
      <c r="SWE485" s="1031"/>
      <c r="SWF485" s="1031"/>
      <c r="SWG485" s="1031"/>
      <c r="SWH485" s="1031"/>
      <c r="SWI485" s="1031"/>
      <c r="SWJ485" s="1031"/>
      <c r="SWK485" s="1031"/>
      <c r="SWL485" s="1031"/>
      <c r="SWM485" s="1031"/>
      <c r="SWN485" s="1031"/>
      <c r="SWO485" s="1031"/>
      <c r="SWP485" s="1031"/>
      <c r="SWQ485" s="1031"/>
      <c r="SWR485" s="1031"/>
      <c r="SWS485" s="1031"/>
      <c r="SWT485" s="1031"/>
      <c r="SWU485" s="1031"/>
      <c r="SWV485" s="1031"/>
      <c r="SWW485" s="1031"/>
      <c r="SWX485" s="1031"/>
      <c r="SWY485" s="1031"/>
      <c r="SWZ485" s="1031"/>
      <c r="SXA485" s="1031"/>
      <c r="SXB485" s="1031"/>
      <c r="SXC485" s="1031"/>
      <c r="SXD485" s="1031"/>
      <c r="SXE485" s="1031"/>
      <c r="SXF485" s="1031"/>
      <c r="SXG485" s="1031"/>
      <c r="SXH485" s="1031"/>
      <c r="SXI485" s="1031"/>
      <c r="SXJ485" s="1031"/>
      <c r="SXK485" s="1031"/>
      <c r="SXL485" s="1031"/>
      <c r="SXM485" s="1031"/>
      <c r="SXN485" s="1031"/>
      <c r="SXO485" s="1031"/>
      <c r="SXP485" s="1031"/>
      <c r="SXQ485" s="1031"/>
      <c r="SXR485" s="1031"/>
      <c r="SXS485" s="1031"/>
      <c r="SXT485" s="1031"/>
      <c r="SXU485" s="1031"/>
      <c r="SXV485" s="1031"/>
      <c r="SXW485" s="1031"/>
      <c r="SXX485" s="1031"/>
      <c r="SXY485" s="1031"/>
      <c r="SXZ485" s="1031"/>
      <c r="SYA485" s="1031"/>
      <c r="SYB485" s="1031"/>
      <c r="SYC485" s="1031"/>
      <c r="SYD485" s="1031"/>
      <c r="SYE485" s="1031"/>
      <c r="SYF485" s="1031"/>
      <c r="SYG485" s="1031"/>
      <c r="SYH485" s="1031"/>
      <c r="SYI485" s="1031"/>
      <c r="SYJ485" s="1031"/>
      <c r="SYK485" s="1031"/>
      <c r="SYL485" s="1031"/>
      <c r="SYM485" s="1031"/>
      <c r="SYN485" s="1031"/>
      <c r="SYO485" s="1031"/>
      <c r="SYP485" s="1031"/>
      <c r="SYQ485" s="1031"/>
      <c r="SYR485" s="1031"/>
      <c r="SYS485" s="1031"/>
      <c r="SYT485" s="1031"/>
      <c r="SYU485" s="1031"/>
      <c r="SYV485" s="1031"/>
      <c r="SYW485" s="1031"/>
      <c r="SYX485" s="1031"/>
      <c r="SYY485" s="1031"/>
      <c r="SYZ485" s="1031"/>
      <c r="SZA485" s="1031"/>
      <c r="SZB485" s="1031"/>
      <c r="SZC485" s="1031"/>
      <c r="SZD485" s="1031"/>
      <c r="SZE485" s="1031"/>
      <c r="SZF485" s="1031"/>
      <c r="SZG485" s="1031"/>
      <c r="SZH485" s="1031"/>
      <c r="SZI485" s="1031"/>
      <c r="SZJ485" s="1031"/>
      <c r="SZK485" s="1031"/>
      <c r="SZL485" s="1031"/>
      <c r="SZM485" s="1031"/>
      <c r="SZN485" s="1031"/>
      <c r="SZO485" s="1031"/>
      <c r="SZP485" s="1031"/>
      <c r="SZQ485" s="1031"/>
      <c r="SZR485" s="1031"/>
      <c r="SZS485" s="1031"/>
      <c r="SZT485" s="1031"/>
      <c r="SZU485" s="1031"/>
      <c r="SZV485" s="1031"/>
      <c r="SZW485" s="1031"/>
      <c r="SZX485" s="1031"/>
      <c r="SZY485" s="1031"/>
      <c r="SZZ485" s="1031"/>
      <c r="TAA485" s="1031"/>
      <c r="TAB485" s="1031"/>
      <c r="TAC485" s="1031"/>
      <c r="TAD485" s="1031"/>
      <c r="TAE485" s="1031"/>
      <c r="TAF485" s="1031"/>
      <c r="TAG485" s="1031"/>
      <c r="TAH485" s="1031"/>
      <c r="TAI485" s="1031"/>
      <c r="TAJ485" s="1031"/>
      <c r="TAK485" s="1031"/>
      <c r="TAL485" s="1031"/>
      <c r="TAM485" s="1031"/>
      <c r="TAN485" s="1031"/>
      <c r="TAO485" s="1031"/>
      <c r="TAP485" s="1031"/>
      <c r="TAQ485" s="1031"/>
      <c r="TAR485" s="1031"/>
      <c r="TAS485" s="1031"/>
      <c r="TAT485" s="1031"/>
      <c r="TAU485" s="1031"/>
      <c r="TAV485" s="1031"/>
      <c r="TAW485" s="1031"/>
      <c r="TAX485" s="1031"/>
      <c r="TAY485" s="1031"/>
      <c r="TAZ485" s="1031"/>
      <c r="TBA485" s="1031"/>
      <c r="TBB485" s="1031"/>
      <c r="TBC485" s="1031"/>
      <c r="TBD485" s="1031"/>
      <c r="TBE485" s="1031"/>
      <c r="TBF485" s="1031"/>
      <c r="TBG485" s="1031"/>
      <c r="TBH485" s="1031"/>
      <c r="TBI485" s="1031"/>
      <c r="TBJ485" s="1031"/>
      <c r="TBK485" s="1031"/>
      <c r="TBL485" s="1031"/>
      <c r="TBM485" s="1031"/>
      <c r="TBN485" s="1031"/>
      <c r="TBO485" s="1031"/>
      <c r="TBP485" s="1031"/>
      <c r="TBQ485" s="1031"/>
      <c r="TBR485" s="1031"/>
      <c r="TBS485" s="1031"/>
      <c r="TBT485" s="1031"/>
      <c r="TBU485" s="1031"/>
      <c r="TBV485" s="1031"/>
      <c r="TBW485" s="1031"/>
      <c r="TBX485" s="1031"/>
      <c r="TBY485" s="1031"/>
      <c r="TBZ485" s="1031"/>
      <c r="TCA485" s="1031"/>
      <c r="TCB485" s="1031"/>
      <c r="TCC485" s="1031"/>
      <c r="TCD485" s="1031"/>
      <c r="TCE485" s="1031"/>
      <c r="TCF485" s="1031"/>
      <c r="TCG485" s="1031"/>
      <c r="TCH485" s="1031"/>
      <c r="TCI485" s="1031"/>
      <c r="TCJ485" s="1031"/>
      <c r="TCK485" s="1031"/>
      <c r="TCL485" s="1031"/>
      <c r="TCM485" s="1031"/>
      <c r="TCN485" s="1031"/>
      <c r="TCO485" s="1031"/>
      <c r="TCP485" s="1031"/>
      <c r="TCQ485" s="1031"/>
      <c r="TCR485" s="1031"/>
      <c r="TCS485" s="1031"/>
      <c r="TCT485" s="1031"/>
      <c r="TCU485" s="1031"/>
      <c r="TCV485" s="1031"/>
      <c r="TCW485" s="1031"/>
      <c r="TCX485" s="1031"/>
      <c r="TCY485" s="1031"/>
      <c r="TCZ485" s="1031"/>
      <c r="TDA485" s="1031"/>
      <c r="TDB485" s="1031"/>
      <c r="TDC485" s="1031"/>
      <c r="TDD485" s="1031"/>
      <c r="TDE485" s="1031"/>
      <c r="TDF485" s="1031"/>
      <c r="TDG485" s="1031"/>
      <c r="TDH485" s="1031"/>
      <c r="TDI485" s="1031"/>
      <c r="TDJ485" s="1031"/>
      <c r="TDK485" s="1031"/>
      <c r="TDL485" s="1031"/>
      <c r="TDM485" s="1031"/>
      <c r="TDN485" s="1031"/>
      <c r="TDO485" s="1031"/>
      <c r="TDP485" s="1031"/>
      <c r="TDQ485" s="1031"/>
      <c r="TDR485" s="1031"/>
      <c r="TDS485" s="1031"/>
      <c r="TDT485" s="1031"/>
      <c r="TDU485" s="1031"/>
      <c r="TDV485" s="1031"/>
      <c r="TDW485" s="1031"/>
      <c r="TDX485" s="1031"/>
      <c r="TDY485" s="1031"/>
      <c r="TDZ485" s="1031"/>
      <c r="TEA485" s="1031"/>
      <c r="TEB485" s="1031"/>
      <c r="TEC485" s="1031"/>
      <c r="TED485" s="1031"/>
      <c r="TEE485" s="1031"/>
      <c r="TEF485" s="1031"/>
      <c r="TEG485" s="1031"/>
      <c r="TEH485" s="1031"/>
      <c r="TEI485" s="1031"/>
      <c r="TEJ485" s="1031"/>
      <c r="TEK485" s="1031"/>
      <c r="TEL485" s="1031"/>
      <c r="TEM485" s="1031"/>
      <c r="TEN485" s="1031"/>
      <c r="TEO485" s="1031"/>
      <c r="TEP485" s="1031"/>
      <c r="TEQ485" s="1031"/>
      <c r="TER485" s="1031"/>
      <c r="TES485" s="1031"/>
      <c r="TET485" s="1031"/>
      <c r="TEU485" s="1031"/>
      <c r="TEV485" s="1031"/>
      <c r="TEW485" s="1031"/>
      <c r="TEX485" s="1031"/>
      <c r="TEY485" s="1031"/>
      <c r="TEZ485" s="1031"/>
      <c r="TFA485" s="1031"/>
      <c r="TFB485" s="1031"/>
      <c r="TFC485" s="1031"/>
      <c r="TFD485" s="1031"/>
      <c r="TFE485" s="1031"/>
      <c r="TFF485" s="1031"/>
      <c r="TFG485" s="1031"/>
      <c r="TFH485" s="1031"/>
      <c r="TFI485" s="1031"/>
      <c r="TFJ485" s="1031"/>
      <c r="TFK485" s="1031"/>
      <c r="TFL485" s="1031"/>
      <c r="TFM485" s="1031"/>
      <c r="TFN485" s="1031"/>
      <c r="TFO485" s="1031"/>
      <c r="TFP485" s="1031"/>
      <c r="TFQ485" s="1031"/>
      <c r="TFR485" s="1031"/>
      <c r="TFS485" s="1031"/>
      <c r="TFT485" s="1031"/>
      <c r="TFU485" s="1031"/>
      <c r="TFV485" s="1031"/>
      <c r="TFW485" s="1031"/>
      <c r="TFX485" s="1031"/>
      <c r="TFY485" s="1031"/>
      <c r="TFZ485" s="1031"/>
      <c r="TGA485" s="1031"/>
      <c r="TGB485" s="1031"/>
      <c r="TGC485" s="1031"/>
      <c r="TGD485" s="1031"/>
      <c r="TGE485" s="1031"/>
      <c r="TGF485" s="1031"/>
      <c r="TGG485" s="1031"/>
      <c r="TGH485" s="1031"/>
      <c r="TGI485" s="1031"/>
      <c r="TGJ485" s="1031"/>
      <c r="TGK485" s="1031"/>
      <c r="TGL485" s="1031"/>
      <c r="TGM485" s="1031"/>
      <c r="TGN485" s="1031"/>
      <c r="TGO485" s="1031"/>
      <c r="TGP485" s="1031"/>
      <c r="TGQ485" s="1031"/>
      <c r="TGR485" s="1031"/>
      <c r="TGS485" s="1031"/>
      <c r="TGT485" s="1031"/>
      <c r="TGU485" s="1031"/>
      <c r="TGV485" s="1031"/>
      <c r="TGW485" s="1031"/>
      <c r="TGX485" s="1031"/>
      <c r="TGY485" s="1031"/>
      <c r="TGZ485" s="1031"/>
      <c r="THA485" s="1031"/>
      <c r="THB485" s="1031"/>
      <c r="THC485" s="1031"/>
      <c r="THD485" s="1031"/>
      <c r="THE485" s="1031"/>
      <c r="THF485" s="1031"/>
      <c r="THG485" s="1031"/>
      <c r="THH485" s="1031"/>
      <c r="THI485" s="1031"/>
      <c r="THJ485" s="1031"/>
      <c r="THK485" s="1031"/>
      <c r="THL485" s="1031"/>
      <c r="THM485" s="1031"/>
      <c r="THN485" s="1031"/>
      <c r="THO485" s="1031"/>
      <c r="THP485" s="1031"/>
      <c r="THQ485" s="1031"/>
      <c r="THR485" s="1031"/>
      <c r="THS485" s="1031"/>
      <c r="THT485" s="1031"/>
      <c r="THU485" s="1031"/>
      <c r="THV485" s="1031"/>
      <c r="THW485" s="1031"/>
      <c r="THX485" s="1031"/>
      <c r="THY485" s="1031"/>
      <c r="THZ485" s="1031"/>
      <c r="TIA485" s="1031"/>
      <c r="TIB485" s="1031"/>
      <c r="TIC485" s="1031"/>
      <c r="TID485" s="1031"/>
      <c r="TIE485" s="1031"/>
      <c r="TIF485" s="1031"/>
      <c r="TIG485" s="1031"/>
      <c r="TIH485" s="1031"/>
      <c r="TII485" s="1031"/>
      <c r="TIJ485" s="1031"/>
      <c r="TIK485" s="1031"/>
      <c r="TIL485" s="1031"/>
      <c r="TIM485" s="1031"/>
      <c r="TIN485" s="1031"/>
      <c r="TIO485" s="1031"/>
      <c r="TIP485" s="1031"/>
      <c r="TIQ485" s="1031"/>
      <c r="TIR485" s="1031"/>
      <c r="TIS485" s="1031"/>
      <c r="TIT485" s="1031"/>
      <c r="TIU485" s="1031"/>
      <c r="TIV485" s="1031"/>
      <c r="TIW485" s="1031"/>
      <c r="TIX485" s="1031"/>
      <c r="TIY485" s="1031"/>
      <c r="TIZ485" s="1031"/>
      <c r="TJA485" s="1031"/>
      <c r="TJB485" s="1031"/>
      <c r="TJC485" s="1031"/>
      <c r="TJD485" s="1031"/>
      <c r="TJE485" s="1031"/>
      <c r="TJF485" s="1031"/>
      <c r="TJG485" s="1031"/>
      <c r="TJH485" s="1031"/>
      <c r="TJI485" s="1031"/>
      <c r="TJJ485" s="1031"/>
      <c r="TJK485" s="1031"/>
      <c r="TJL485" s="1031"/>
      <c r="TJM485" s="1031"/>
      <c r="TJN485" s="1031"/>
      <c r="TJO485" s="1031"/>
      <c r="TJP485" s="1031"/>
      <c r="TJQ485" s="1031"/>
      <c r="TJR485" s="1031"/>
      <c r="TJS485" s="1031"/>
      <c r="TJT485" s="1031"/>
      <c r="TJU485" s="1031"/>
      <c r="TJV485" s="1031"/>
      <c r="TJW485" s="1031"/>
      <c r="TJX485" s="1031"/>
      <c r="TJY485" s="1031"/>
      <c r="TJZ485" s="1031"/>
      <c r="TKA485" s="1031"/>
      <c r="TKB485" s="1031"/>
      <c r="TKC485" s="1031"/>
      <c r="TKD485" s="1031"/>
      <c r="TKE485" s="1031"/>
      <c r="TKF485" s="1031"/>
      <c r="TKG485" s="1031"/>
      <c r="TKH485" s="1031"/>
      <c r="TKI485" s="1031"/>
      <c r="TKJ485" s="1031"/>
      <c r="TKK485" s="1031"/>
      <c r="TKL485" s="1031"/>
      <c r="TKM485" s="1031"/>
      <c r="TKN485" s="1031"/>
      <c r="TKO485" s="1031"/>
      <c r="TKP485" s="1031"/>
      <c r="TKQ485" s="1031"/>
      <c r="TKR485" s="1031"/>
      <c r="TKS485" s="1031"/>
      <c r="TKT485" s="1031"/>
      <c r="TKU485" s="1031"/>
      <c r="TKV485" s="1031"/>
      <c r="TKW485" s="1031"/>
      <c r="TKX485" s="1031"/>
      <c r="TKY485" s="1031"/>
      <c r="TKZ485" s="1031"/>
      <c r="TLA485" s="1031"/>
      <c r="TLB485" s="1031"/>
      <c r="TLC485" s="1031"/>
      <c r="TLD485" s="1031"/>
      <c r="TLE485" s="1031"/>
      <c r="TLF485" s="1031"/>
      <c r="TLG485" s="1031"/>
      <c r="TLH485" s="1031"/>
      <c r="TLI485" s="1031"/>
      <c r="TLJ485" s="1031"/>
      <c r="TLK485" s="1031"/>
      <c r="TLL485" s="1031"/>
      <c r="TLM485" s="1031"/>
      <c r="TLN485" s="1031"/>
      <c r="TLO485" s="1031"/>
      <c r="TLP485" s="1031"/>
      <c r="TLQ485" s="1031"/>
      <c r="TLR485" s="1031"/>
      <c r="TLS485" s="1031"/>
      <c r="TLT485" s="1031"/>
      <c r="TLU485" s="1031"/>
      <c r="TLV485" s="1031"/>
      <c r="TLW485" s="1031"/>
      <c r="TLX485" s="1031"/>
      <c r="TLY485" s="1031"/>
      <c r="TLZ485" s="1031"/>
      <c r="TMA485" s="1031"/>
      <c r="TMB485" s="1031"/>
      <c r="TMC485" s="1031"/>
      <c r="TMD485" s="1031"/>
      <c r="TME485" s="1031"/>
      <c r="TMF485" s="1031"/>
      <c r="TMG485" s="1031"/>
      <c r="TMH485" s="1031"/>
      <c r="TMI485" s="1031"/>
      <c r="TMJ485" s="1031"/>
      <c r="TMK485" s="1031"/>
      <c r="TML485" s="1031"/>
      <c r="TMM485" s="1031"/>
      <c r="TMN485" s="1031"/>
      <c r="TMO485" s="1031"/>
      <c r="TMP485" s="1031"/>
      <c r="TMQ485" s="1031"/>
      <c r="TMR485" s="1031"/>
      <c r="TMS485" s="1031"/>
      <c r="TMT485" s="1031"/>
      <c r="TMU485" s="1031"/>
      <c r="TMV485" s="1031"/>
      <c r="TMW485" s="1031"/>
      <c r="TMX485" s="1031"/>
      <c r="TMY485" s="1031"/>
      <c r="TMZ485" s="1031"/>
      <c r="TNA485" s="1031"/>
      <c r="TNB485" s="1031"/>
      <c r="TNC485" s="1031"/>
      <c r="TND485" s="1031"/>
      <c r="TNE485" s="1031"/>
      <c r="TNF485" s="1031"/>
      <c r="TNG485" s="1031"/>
      <c r="TNH485" s="1031"/>
      <c r="TNI485" s="1031"/>
      <c r="TNJ485" s="1031"/>
      <c r="TNK485" s="1031"/>
      <c r="TNL485" s="1031"/>
      <c r="TNM485" s="1031"/>
      <c r="TNN485" s="1031"/>
      <c r="TNO485" s="1031"/>
      <c r="TNP485" s="1031"/>
      <c r="TNQ485" s="1031"/>
      <c r="TNR485" s="1031"/>
      <c r="TNS485" s="1031"/>
      <c r="TNT485" s="1031"/>
      <c r="TNU485" s="1031"/>
      <c r="TNV485" s="1031"/>
      <c r="TNW485" s="1031"/>
      <c r="TNX485" s="1031"/>
      <c r="TNY485" s="1031"/>
      <c r="TNZ485" s="1031"/>
      <c r="TOA485" s="1031"/>
      <c r="TOB485" s="1031"/>
      <c r="TOC485" s="1031"/>
      <c r="TOD485" s="1031"/>
      <c r="TOE485" s="1031"/>
      <c r="TOF485" s="1031"/>
      <c r="TOG485" s="1031"/>
      <c r="TOH485" s="1031"/>
      <c r="TOI485" s="1031"/>
      <c r="TOJ485" s="1031"/>
      <c r="TOK485" s="1031"/>
      <c r="TOL485" s="1031"/>
      <c r="TOM485" s="1031"/>
      <c r="TON485" s="1031"/>
      <c r="TOO485" s="1031"/>
      <c r="TOP485" s="1031"/>
      <c r="TOQ485" s="1031"/>
      <c r="TOR485" s="1031"/>
      <c r="TOS485" s="1031"/>
      <c r="TOT485" s="1031"/>
      <c r="TOU485" s="1031"/>
      <c r="TOV485" s="1031"/>
      <c r="TOW485" s="1031"/>
      <c r="TOX485" s="1031"/>
      <c r="TOY485" s="1031"/>
      <c r="TOZ485" s="1031"/>
      <c r="TPA485" s="1031"/>
      <c r="TPB485" s="1031"/>
      <c r="TPC485" s="1031"/>
      <c r="TPD485" s="1031"/>
      <c r="TPE485" s="1031"/>
      <c r="TPF485" s="1031"/>
      <c r="TPG485" s="1031"/>
      <c r="TPH485" s="1031"/>
      <c r="TPI485" s="1031"/>
      <c r="TPJ485" s="1031"/>
      <c r="TPK485" s="1031"/>
      <c r="TPL485" s="1031"/>
      <c r="TPM485" s="1031"/>
      <c r="TPN485" s="1031"/>
      <c r="TPO485" s="1031"/>
      <c r="TPP485" s="1031"/>
      <c r="TPQ485" s="1031"/>
      <c r="TPR485" s="1031"/>
      <c r="TPS485" s="1031"/>
      <c r="TPT485" s="1031"/>
      <c r="TPU485" s="1031"/>
      <c r="TPV485" s="1031"/>
      <c r="TPW485" s="1031"/>
      <c r="TPX485" s="1031"/>
      <c r="TPY485" s="1031"/>
      <c r="TPZ485" s="1031"/>
      <c r="TQA485" s="1031"/>
      <c r="TQB485" s="1031"/>
      <c r="TQC485" s="1031"/>
      <c r="TQD485" s="1031"/>
      <c r="TQE485" s="1031"/>
      <c r="TQF485" s="1031"/>
      <c r="TQG485" s="1031"/>
      <c r="TQH485" s="1031"/>
      <c r="TQI485" s="1031"/>
      <c r="TQJ485" s="1031"/>
      <c r="TQK485" s="1031"/>
      <c r="TQL485" s="1031"/>
      <c r="TQM485" s="1031"/>
      <c r="TQN485" s="1031"/>
      <c r="TQO485" s="1031"/>
      <c r="TQP485" s="1031"/>
      <c r="TQQ485" s="1031"/>
      <c r="TQR485" s="1031"/>
      <c r="TQS485" s="1031"/>
      <c r="TQT485" s="1031"/>
      <c r="TQU485" s="1031"/>
      <c r="TQV485" s="1031"/>
      <c r="TQW485" s="1031"/>
      <c r="TQX485" s="1031"/>
      <c r="TQY485" s="1031"/>
      <c r="TQZ485" s="1031"/>
      <c r="TRA485" s="1031"/>
      <c r="TRB485" s="1031"/>
      <c r="TRC485" s="1031"/>
      <c r="TRD485" s="1031"/>
      <c r="TRE485" s="1031"/>
      <c r="TRF485" s="1031"/>
      <c r="TRG485" s="1031"/>
      <c r="TRH485" s="1031"/>
      <c r="TRI485" s="1031"/>
      <c r="TRJ485" s="1031"/>
      <c r="TRK485" s="1031"/>
      <c r="TRL485" s="1031"/>
      <c r="TRM485" s="1031"/>
      <c r="TRN485" s="1031"/>
      <c r="TRO485" s="1031"/>
      <c r="TRP485" s="1031"/>
      <c r="TRQ485" s="1031"/>
      <c r="TRR485" s="1031"/>
      <c r="TRS485" s="1031"/>
      <c r="TRT485" s="1031"/>
      <c r="TRU485" s="1031"/>
      <c r="TRV485" s="1031"/>
      <c r="TRW485" s="1031"/>
      <c r="TRX485" s="1031"/>
      <c r="TRY485" s="1031"/>
      <c r="TRZ485" s="1031"/>
      <c r="TSA485" s="1031"/>
      <c r="TSB485" s="1031"/>
      <c r="TSC485" s="1031"/>
      <c r="TSD485" s="1031"/>
      <c r="TSE485" s="1031"/>
      <c r="TSF485" s="1031"/>
      <c r="TSG485" s="1031"/>
      <c r="TSH485" s="1031"/>
      <c r="TSI485" s="1031"/>
      <c r="TSJ485" s="1031"/>
      <c r="TSK485" s="1031"/>
      <c r="TSL485" s="1031"/>
      <c r="TSM485" s="1031"/>
      <c r="TSN485" s="1031"/>
      <c r="TSO485" s="1031"/>
      <c r="TSP485" s="1031"/>
      <c r="TSQ485" s="1031"/>
      <c r="TSR485" s="1031"/>
      <c r="TSS485" s="1031"/>
      <c r="TST485" s="1031"/>
      <c r="TSU485" s="1031"/>
      <c r="TSV485" s="1031"/>
      <c r="TSW485" s="1031"/>
      <c r="TSX485" s="1031"/>
      <c r="TSY485" s="1031"/>
      <c r="TSZ485" s="1031"/>
      <c r="TTA485" s="1031"/>
      <c r="TTB485" s="1031"/>
      <c r="TTC485" s="1031"/>
      <c r="TTD485" s="1031"/>
      <c r="TTE485" s="1031"/>
      <c r="TTF485" s="1031"/>
      <c r="TTG485" s="1031"/>
      <c r="TTH485" s="1031"/>
      <c r="TTI485" s="1031"/>
      <c r="TTJ485" s="1031"/>
      <c r="TTK485" s="1031"/>
      <c r="TTL485" s="1031"/>
      <c r="TTM485" s="1031"/>
      <c r="TTN485" s="1031"/>
      <c r="TTO485" s="1031"/>
      <c r="TTP485" s="1031"/>
      <c r="TTQ485" s="1031"/>
      <c r="TTR485" s="1031"/>
      <c r="TTS485" s="1031"/>
      <c r="TTT485" s="1031"/>
      <c r="TTU485" s="1031"/>
      <c r="TTV485" s="1031"/>
      <c r="TTW485" s="1031"/>
      <c r="TTX485" s="1031"/>
      <c r="TTY485" s="1031"/>
      <c r="TTZ485" s="1031"/>
      <c r="TUA485" s="1031"/>
      <c r="TUB485" s="1031"/>
      <c r="TUC485" s="1031"/>
      <c r="TUD485" s="1031"/>
      <c r="TUE485" s="1031"/>
      <c r="TUF485" s="1031"/>
      <c r="TUG485" s="1031"/>
      <c r="TUH485" s="1031"/>
      <c r="TUI485" s="1031"/>
      <c r="TUJ485" s="1031"/>
      <c r="TUK485" s="1031"/>
      <c r="TUL485" s="1031"/>
      <c r="TUM485" s="1031"/>
      <c r="TUN485" s="1031"/>
      <c r="TUO485" s="1031"/>
      <c r="TUP485" s="1031"/>
      <c r="TUQ485" s="1031"/>
      <c r="TUR485" s="1031"/>
      <c r="TUS485" s="1031"/>
      <c r="TUT485" s="1031"/>
      <c r="TUU485" s="1031"/>
      <c r="TUV485" s="1031"/>
      <c r="TUW485" s="1031"/>
      <c r="TUX485" s="1031"/>
      <c r="TUY485" s="1031"/>
      <c r="TUZ485" s="1031"/>
      <c r="TVA485" s="1031"/>
      <c r="TVB485" s="1031"/>
      <c r="TVC485" s="1031"/>
      <c r="TVD485" s="1031"/>
      <c r="TVE485" s="1031"/>
      <c r="TVF485" s="1031"/>
      <c r="TVG485" s="1031"/>
      <c r="TVH485" s="1031"/>
      <c r="TVI485" s="1031"/>
      <c r="TVJ485" s="1031"/>
      <c r="TVK485" s="1031"/>
      <c r="TVL485" s="1031"/>
      <c r="TVM485" s="1031"/>
      <c r="TVN485" s="1031"/>
      <c r="TVO485" s="1031"/>
      <c r="TVP485" s="1031"/>
      <c r="TVQ485" s="1031"/>
      <c r="TVR485" s="1031"/>
      <c r="TVS485" s="1031"/>
      <c r="TVT485" s="1031"/>
      <c r="TVU485" s="1031"/>
      <c r="TVV485" s="1031"/>
      <c r="TVW485" s="1031"/>
      <c r="TVX485" s="1031"/>
      <c r="TVY485" s="1031"/>
      <c r="TVZ485" s="1031"/>
      <c r="TWA485" s="1031"/>
      <c r="TWB485" s="1031"/>
      <c r="TWC485" s="1031"/>
      <c r="TWD485" s="1031"/>
      <c r="TWE485" s="1031"/>
      <c r="TWF485" s="1031"/>
      <c r="TWG485" s="1031"/>
      <c r="TWH485" s="1031"/>
      <c r="TWI485" s="1031"/>
      <c r="TWJ485" s="1031"/>
      <c r="TWK485" s="1031"/>
      <c r="TWL485" s="1031"/>
      <c r="TWM485" s="1031"/>
      <c r="TWN485" s="1031"/>
      <c r="TWO485" s="1031"/>
      <c r="TWP485" s="1031"/>
      <c r="TWQ485" s="1031"/>
      <c r="TWR485" s="1031"/>
      <c r="TWS485" s="1031"/>
      <c r="TWT485" s="1031"/>
      <c r="TWU485" s="1031"/>
      <c r="TWV485" s="1031"/>
      <c r="TWW485" s="1031"/>
      <c r="TWX485" s="1031"/>
      <c r="TWY485" s="1031"/>
      <c r="TWZ485" s="1031"/>
      <c r="TXA485" s="1031"/>
      <c r="TXB485" s="1031"/>
      <c r="TXC485" s="1031"/>
      <c r="TXD485" s="1031"/>
      <c r="TXE485" s="1031"/>
      <c r="TXF485" s="1031"/>
      <c r="TXG485" s="1031"/>
      <c r="TXH485" s="1031"/>
      <c r="TXI485" s="1031"/>
      <c r="TXJ485" s="1031"/>
      <c r="TXK485" s="1031"/>
      <c r="TXL485" s="1031"/>
      <c r="TXM485" s="1031"/>
      <c r="TXN485" s="1031"/>
      <c r="TXO485" s="1031"/>
      <c r="TXP485" s="1031"/>
      <c r="TXQ485" s="1031"/>
      <c r="TXR485" s="1031"/>
      <c r="TXS485" s="1031"/>
      <c r="TXT485" s="1031"/>
      <c r="TXU485" s="1031"/>
      <c r="TXV485" s="1031"/>
      <c r="TXW485" s="1031"/>
      <c r="TXX485" s="1031"/>
      <c r="TXY485" s="1031"/>
      <c r="TXZ485" s="1031"/>
      <c r="TYA485" s="1031"/>
      <c r="TYB485" s="1031"/>
      <c r="TYC485" s="1031"/>
      <c r="TYD485" s="1031"/>
      <c r="TYE485" s="1031"/>
      <c r="TYF485" s="1031"/>
      <c r="TYG485" s="1031"/>
      <c r="TYH485" s="1031"/>
      <c r="TYI485" s="1031"/>
      <c r="TYJ485" s="1031"/>
      <c r="TYK485" s="1031"/>
      <c r="TYL485" s="1031"/>
      <c r="TYM485" s="1031"/>
      <c r="TYN485" s="1031"/>
      <c r="TYO485" s="1031"/>
      <c r="TYP485" s="1031"/>
      <c r="TYQ485" s="1031"/>
      <c r="TYR485" s="1031"/>
      <c r="TYS485" s="1031"/>
      <c r="TYT485" s="1031"/>
      <c r="TYU485" s="1031"/>
      <c r="TYV485" s="1031"/>
      <c r="TYW485" s="1031"/>
      <c r="TYX485" s="1031"/>
      <c r="TYY485" s="1031"/>
      <c r="TYZ485" s="1031"/>
      <c r="TZA485" s="1031"/>
      <c r="TZB485" s="1031"/>
      <c r="TZC485" s="1031"/>
      <c r="TZD485" s="1031"/>
      <c r="TZE485" s="1031"/>
      <c r="TZF485" s="1031"/>
      <c r="TZG485" s="1031"/>
      <c r="TZH485" s="1031"/>
      <c r="TZI485" s="1031"/>
      <c r="TZJ485" s="1031"/>
      <c r="TZK485" s="1031"/>
      <c r="TZL485" s="1031"/>
      <c r="TZM485" s="1031"/>
      <c r="TZN485" s="1031"/>
      <c r="TZO485" s="1031"/>
      <c r="TZP485" s="1031"/>
      <c r="TZQ485" s="1031"/>
      <c r="TZR485" s="1031"/>
      <c r="TZS485" s="1031"/>
      <c r="TZT485" s="1031"/>
      <c r="TZU485" s="1031"/>
      <c r="TZV485" s="1031"/>
      <c r="TZW485" s="1031"/>
      <c r="TZX485" s="1031"/>
      <c r="TZY485" s="1031"/>
      <c r="TZZ485" s="1031"/>
      <c r="UAA485" s="1031"/>
      <c r="UAB485" s="1031"/>
      <c r="UAC485" s="1031"/>
      <c r="UAD485" s="1031"/>
      <c r="UAE485" s="1031"/>
      <c r="UAF485" s="1031"/>
      <c r="UAG485" s="1031"/>
      <c r="UAH485" s="1031"/>
      <c r="UAI485" s="1031"/>
      <c r="UAJ485" s="1031"/>
      <c r="UAK485" s="1031"/>
      <c r="UAL485" s="1031"/>
      <c r="UAM485" s="1031"/>
      <c r="UAN485" s="1031"/>
      <c r="UAO485" s="1031"/>
      <c r="UAP485" s="1031"/>
      <c r="UAQ485" s="1031"/>
      <c r="UAR485" s="1031"/>
      <c r="UAS485" s="1031"/>
      <c r="UAT485" s="1031"/>
      <c r="UAU485" s="1031"/>
      <c r="UAV485" s="1031"/>
      <c r="UAW485" s="1031"/>
      <c r="UAX485" s="1031"/>
      <c r="UAY485" s="1031"/>
      <c r="UAZ485" s="1031"/>
      <c r="UBA485" s="1031"/>
      <c r="UBB485" s="1031"/>
      <c r="UBC485" s="1031"/>
      <c r="UBD485" s="1031"/>
      <c r="UBE485" s="1031"/>
      <c r="UBF485" s="1031"/>
      <c r="UBG485" s="1031"/>
      <c r="UBH485" s="1031"/>
      <c r="UBI485" s="1031"/>
      <c r="UBJ485" s="1031"/>
      <c r="UBK485" s="1031"/>
      <c r="UBL485" s="1031"/>
      <c r="UBM485" s="1031"/>
      <c r="UBN485" s="1031"/>
      <c r="UBO485" s="1031"/>
      <c r="UBP485" s="1031"/>
      <c r="UBQ485" s="1031"/>
      <c r="UBR485" s="1031"/>
      <c r="UBS485" s="1031"/>
      <c r="UBT485" s="1031"/>
      <c r="UBU485" s="1031"/>
      <c r="UBV485" s="1031"/>
      <c r="UBW485" s="1031"/>
      <c r="UBX485" s="1031"/>
      <c r="UBY485" s="1031"/>
      <c r="UBZ485" s="1031"/>
      <c r="UCA485" s="1031"/>
      <c r="UCB485" s="1031"/>
      <c r="UCC485" s="1031"/>
      <c r="UCD485" s="1031"/>
      <c r="UCE485" s="1031"/>
      <c r="UCF485" s="1031"/>
      <c r="UCG485" s="1031"/>
      <c r="UCH485" s="1031"/>
      <c r="UCI485" s="1031"/>
      <c r="UCJ485" s="1031"/>
      <c r="UCK485" s="1031"/>
      <c r="UCL485" s="1031"/>
      <c r="UCM485" s="1031"/>
      <c r="UCN485" s="1031"/>
      <c r="UCO485" s="1031"/>
      <c r="UCP485" s="1031"/>
      <c r="UCQ485" s="1031"/>
      <c r="UCR485" s="1031"/>
      <c r="UCS485" s="1031"/>
      <c r="UCT485" s="1031"/>
      <c r="UCU485" s="1031"/>
      <c r="UCV485" s="1031"/>
      <c r="UCW485" s="1031"/>
      <c r="UCX485" s="1031"/>
      <c r="UCY485" s="1031"/>
      <c r="UCZ485" s="1031"/>
      <c r="UDA485" s="1031"/>
      <c r="UDB485" s="1031"/>
      <c r="UDC485" s="1031"/>
      <c r="UDD485" s="1031"/>
      <c r="UDE485" s="1031"/>
      <c r="UDF485" s="1031"/>
      <c r="UDG485" s="1031"/>
      <c r="UDH485" s="1031"/>
      <c r="UDI485" s="1031"/>
      <c r="UDJ485" s="1031"/>
      <c r="UDK485" s="1031"/>
      <c r="UDL485" s="1031"/>
      <c r="UDM485" s="1031"/>
      <c r="UDN485" s="1031"/>
      <c r="UDO485" s="1031"/>
      <c r="UDP485" s="1031"/>
      <c r="UDQ485" s="1031"/>
      <c r="UDR485" s="1031"/>
      <c r="UDS485" s="1031"/>
      <c r="UDT485" s="1031"/>
      <c r="UDU485" s="1031"/>
      <c r="UDV485" s="1031"/>
      <c r="UDW485" s="1031"/>
      <c r="UDX485" s="1031"/>
      <c r="UDY485" s="1031"/>
      <c r="UDZ485" s="1031"/>
      <c r="UEA485" s="1031"/>
      <c r="UEB485" s="1031"/>
      <c r="UEC485" s="1031"/>
      <c r="UED485" s="1031"/>
      <c r="UEE485" s="1031"/>
      <c r="UEF485" s="1031"/>
      <c r="UEG485" s="1031"/>
      <c r="UEH485" s="1031"/>
      <c r="UEI485" s="1031"/>
      <c r="UEJ485" s="1031"/>
      <c r="UEK485" s="1031"/>
      <c r="UEL485" s="1031"/>
      <c r="UEM485" s="1031"/>
      <c r="UEN485" s="1031"/>
      <c r="UEO485" s="1031"/>
      <c r="UEP485" s="1031"/>
      <c r="UEQ485" s="1031"/>
      <c r="UER485" s="1031"/>
      <c r="UES485" s="1031"/>
      <c r="UET485" s="1031"/>
      <c r="UEU485" s="1031"/>
      <c r="UEV485" s="1031"/>
      <c r="UEW485" s="1031"/>
      <c r="UEX485" s="1031"/>
      <c r="UEY485" s="1031"/>
      <c r="UEZ485" s="1031"/>
      <c r="UFA485" s="1031"/>
      <c r="UFB485" s="1031"/>
      <c r="UFC485" s="1031"/>
      <c r="UFD485" s="1031"/>
      <c r="UFE485" s="1031"/>
      <c r="UFF485" s="1031"/>
      <c r="UFG485" s="1031"/>
      <c r="UFH485" s="1031"/>
      <c r="UFI485" s="1031"/>
      <c r="UFJ485" s="1031"/>
      <c r="UFK485" s="1031"/>
      <c r="UFL485" s="1031"/>
      <c r="UFM485" s="1031"/>
      <c r="UFN485" s="1031"/>
      <c r="UFO485" s="1031"/>
      <c r="UFP485" s="1031"/>
      <c r="UFQ485" s="1031"/>
      <c r="UFR485" s="1031"/>
      <c r="UFS485" s="1031"/>
      <c r="UFT485" s="1031"/>
      <c r="UFU485" s="1031"/>
      <c r="UFV485" s="1031"/>
      <c r="UFW485" s="1031"/>
      <c r="UFX485" s="1031"/>
      <c r="UFY485" s="1031"/>
      <c r="UFZ485" s="1031"/>
      <c r="UGA485" s="1031"/>
      <c r="UGB485" s="1031"/>
      <c r="UGC485" s="1031"/>
      <c r="UGD485" s="1031"/>
      <c r="UGE485" s="1031"/>
      <c r="UGF485" s="1031"/>
      <c r="UGG485" s="1031"/>
      <c r="UGH485" s="1031"/>
      <c r="UGI485" s="1031"/>
      <c r="UGJ485" s="1031"/>
      <c r="UGK485" s="1031"/>
      <c r="UGL485" s="1031"/>
      <c r="UGM485" s="1031"/>
      <c r="UGN485" s="1031"/>
      <c r="UGO485" s="1031"/>
      <c r="UGP485" s="1031"/>
      <c r="UGQ485" s="1031"/>
      <c r="UGR485" s="1031"/>
      <c r="UGS485" s="1031"/>
      <c r="UGT485" s="1031"/>
      <c r="UGU485" s="1031"/>
      <c r="UGV485" s="1031"/>
      <c r="UGW485" s="1031"/>
      <c r="UGX485" s="1031"/>
      <c r="UGY485" s="1031"/>
      <c r="UGZ485" s="1031"/>
      <c r="UHA485" s="1031"/>
      <c r="UHB485" s="1031"/>
      <c r="UHC485" s="1031"/>
      <c r="UHD485" s="1031"/>
      <c r="UHE485" s="1031"/>
      <c r="UHF485" s="1031"/>
      <c r="UHG485" s="1031"/>
      <c r="UHH485" s="1031"/>
      <c r="UHI485" s="1031"/>
      <c r="UHJ485" s="1031"/>
      <c r="UHK485" s="1031"/>
      <c r="UHL485" s="1031"/>
      <c r="UHM485" s="1031"/>
      <c r="UHN485" s="1031"/>
      <c r="UHO485" s="1031"/>
      <c r="UHP485" s="1031"/>
      <c r="UHQ485" s="1031"/>
      <c r="UHR485" s="1031"/>
      <c r="UHS485" s="1031"/>
      <c r="UHT485" s="1031"/>
      <c r="UHU485" s="1031"/>
      <c r="UHV485" s="1031"/>
      <c r="UHW485" s="1031"/>
      <c r="UHX485" s="1031"/>
      <c r="UHY485" s="1031"/>
      <c r="UHZ485" s="1031"/>
      <c r="UIA485" s="1031"/>
      <c r="UIB485" s="1031"/>
      <c r="UIC485" s="1031"/>
      <c r="UID485" s="1031"/>
      <c r="UIE485" s="1031"/>
      <c r="UIF485" s="1031"/>
      <c r="UIG485" s="1031"/>
      <c r="UIH485" s="1031"/>
      <c r="UII485" s="1031"/>
      <c r="UIJ485" s="1031"/>
      <c r="UIK485" s="1031"/>
      <c r="UIL485" s="1031"/>
      <c r="UIM485" s="1031"/>
      <c r="UIN485" s="1031"/>
      <c r="UIO485" s="1031"/>
      <c r="UIP485" s="1031"/>
      <c r="UIQ485" s="1031"/>
      <c r="UIR485" s="1031"/>
      <c r="UIS485" s="1031"/>
      <c r="UIT485" s="1031"/>
      <c r="UIU485" s="1031"/>
      <c r="UIV485" s="1031"/>
      <c r="UIW485" s="1031"/>
      <c r="UIX485" s="1031"/>
      <c r="UIY485" s="1031"/>
      <c r="UIZ485" s="1031"/>
      <c r="UJA485" s="1031"/>
      <c r="UJB485" s="1031"/>
      <c r="UJC485" s="1031"/>
      <c r="UJD485" s="1031"/>
      <c r="UJE485" s="1031"/>
      <c r="UJF485" s="1031"/>
      <c r="UJG485" s="1031"/>
      <c r="UJH485" s="1031"/>
      <c r="UJI485" s="1031"/>
      <c r="UJJ485" s="1031"/>
      <c r="UJK485" s="1031"/>
      <c r="UJL485" s="1031"/>
      <c r="UJM485" s="1031"/>
      <c r="UJN485" s="1031"/>
      <c r="UJO485" s="1031"/>
      <c r="UJP485" s="1031"/>
      <c r="UJQ485" s="1031"/>
      <c r="UJR485" s="1031"/>
      <c r="UJS485" s="1031"/>
      <c r="UJT485" s="1031"/>
      <c r="UJU485" s="1031"/>
      <c r="UJV485" s="1031"/>
      <c r="UJW485" s="1031"/>
      <c r="UJX485" s="1031"/>
      <c r="UJY485" s="1031"/>
      <c r="UJZ485" s="1031"/>
      <c r="UKA485" s="1031"/>
      <c r="UKB485" s="1031"/>
      <c r="UKC485" s="1031"/>
      <c r="UKD485" s="1031"/>
      <c r="UKE485" s="1031"/>
      <c r="UKF485" s="1031"/>
      <c r="UKG485" s="1031"/>
      <c r="UKH485" s="1031"/>
      <c r="UKI485" s="1031"/>
      <c r="UKJ485" s="1031"/>
      <c r="UKK485" s="1031"/>
      <c r="UKL485" s="1031"/>
      <c r="UKM485" s="1031"/>
      <c r="UKN485" s="1031"/>
      <c r="UKO485" s="1031"/>
      <c r="UKP485" s="1031"/>
      <c r="UKQ485" s="1031"/>
      <c r="UKR485" s="1031"/>
      <c r="UKS485" s="1031"/>
      <c r="UKT485" s="1031"/>
      <c r="UKU485" s="1031"/>
      <c r="UKV485" s="1031"/>
      <c r="UKW485" s="1031"/>
      <c r="UKX485" s="1031"/>
      <c r="UKY485" s="1031"/>
      <c r="UKZ485" s="1031"/>
      <c r="ULA485" s="1031"/>
      <c r="ULB485" s="1031"/>
      <c r="ULC485" s="1031"/>
      <c r="ULD485" s="1031"/>
      <c r="ULE485" s="1031"/>
      <c r="ULF485" s="1031"/>
      <c r="ULG485" s="1031"/>
      <c r="ULH485" s="1031"/>
      <c r="ULI485" s="1031"/>
      <c r="ULJ485" s="1031"/>
      <c r="ULK485" s="1031"/>
      <c r="ULL485" s="1031"/>
      <c r="ULM485" s="1031"/>
      <c r="ULN485" s="1031"/>
      <c r="ULO485" s="1031"/>
      <c r="ULP485" s="1031"/>
      <c r="ULQ485" s="1031"/>
      <c r="ULR485" s="1031"/>
      <c r="ULS485" s="1031"/>
      <c r="ULT485" s="1031"/>
      <c r="ULU485" s="1031"/>
      <c r="ULV485" s="1031"/>
      <c r="ULW485" s="1031"/>
      <c r="ULX485" s="1031"/>
      <c r="ULY485" s="1031"/>
      <c r="ULZ485" s="1031"/>
      <c r="UMA485" s="1031"/>
      <c r="UMB485" s="1031"/>
      <c r="UMC485" s="1031"/>
      <c r="UMD485" s="1031"/>
      <c r="UME485" s="1031"/>
      <c r="UMF485" s="1031"/>
      <c r="UMG485" s="1031"/>
      <c r="UMH485" s="1031"/>
      <c r="UMI485" s="1031"/>
      <c r="UMJ485" s="1031"/>
      <c r="UMK485" s="1031"/>
      <c r="UML485" s="1031"/>
      <c r="UMM485" s="1031"/>
      <c r="UMN485" s="1031"/>
      <c r="UMO485" s="1031"/>
      <c r="UMP485" s="1031"/>
      <c r="UMQ485" s="1031"/>
      <c r="UMR485" s="1031"/>
      <c r="UMS485" s="1031"/>
      <c r="UMT485" s="1031"/>
      <c r="UMU485" s="1031"/>
      <c r="UMV485" s="1031"/>
      <c r="UMW485" s="1031"/>
      <c r="UMX485" s="1031"/>
      <c r="UMY485" s="1031"/>
      <c r="UMZ485" s="1031"/>
      <c r="UNA485" s="1031"/>
      <c r="UNB485" s="1031"/>
      <c r="UNC485" s="1031"/>
      <c r="UND485" s="1031"/>
      <c r="UNE485" s="1031"/>
      <c r="UNF485" s="1031"/>
      <c r="UNG485" s="1031"/>
      <c r="UNH485" s="1031"/>
      <c r="UNI485" s="1031"/>
      <c r="UNJ485" s="1031"/>
      <c r="UNK485" s="1031"/>
      <c r="UNL485" s="1031"/>
      <c r="UNM485" s="1031"/>
      <c r="UNN485" s="1031"/>
      <c r="UNO485" s="1031"/>
      <c r="UNP485" s="1031"/>
      <c r="UNQ485" s="1031"/>
      <c r="UNR485" s="1031"/>
      <c r="UNS485" s="1031"/>
      <c r="UNT485" s="1031"/>
      <c r="UNU485" s="1031"/>
      <c r="UNV485" s="1031"/>
      <c r="UNW485" s="1031"/>
      <c r="UNX485" s="1031"/>
      <c r="UNY485" s="1031"/>
      <c r="UNZ485" s="1031"/>
      <c r="UOA485" s="1031"/>
      <c r="UOB485" s="1031"/>
      <c r="UOC485" s="1031"/>
      <c r="UOD485" s="1031"/>
      <c r="UOE485" s="1031"/>
      <c r="UOF485" s="1031"/>
      <c r="UOG485" s="1031"/>
      <c r="UOH485" s="1031"/>
      <c r="UOI485" s="1031"/>
      <c r="UOJ485" s="1031"/>
      <c r="UOK485" s="1031"/>
      <c r="UOL485" s="1031"/>
      <c r="UOM485" s="1031"/>
      <c r="UON485" s="1031"/>
      <c r="UOO485" s="1031"/>
      <c r="UOP485" s="1031"/>
      <c r="UOQ485" s="1031"/>
      <c r="UOR485" s="1031"/>
      <c r="UOS485" s="1031"/>
      <c r="UOT485" s="1031"/>
      <c r="UOU485" s="1031"/>
      <c r="UOV485" s="1031"/>
      <c r="UOW485" s="1031"/>
      <c r="UOX485" s="1031"/>
      <c r="UOY485" s="1031"/>
      <c r="UOZ485" s="1031"/>
      <c r="UPA485" s="1031"/>
      <c r="UPB485" s="1031"/>
      <c r="UPC485" s="1031"/>
      <c r="UPD485" s="1031"/>
      <c r="UPE485" s="1031"/>
      <c r="UPF485" s="1031"/>
      <c r="UPG485" s="1031"/>
      <c r="UPH485" s="1031"/>
      <c r="UPI485" s="1031"/>
      <c r="UPJ485" s="1031"/>
      <c r="UPK485" s="1031"/>
      <c r="UPL485" s="1031"/>
      <c r="UPM485" s="1031"/>
      <c r="UPN485" s="1031"/>
      <c r="UPO485" s="1031"/>
      <c r="UPP485" s="1031"/>
      <c r="UPQ485" s="1031"/>
      <c r="UPR485" s="1031"/>
      <c r="UPS485" s="1031"/>
      <c r="UPT485" s="1031"/>
      <c r="UPU485" s="1031"/>
      <c r="UPV485" s="1031"/>
      <c r="UPW485" s="1031"/>
      <c r="UPX485" s="1031"/>
      <c r="UPY485" s="1031"/>
      <c r="UPZ485" s="1031"/>
      <c r="UQA485" s="1031"/>
      <c r="UQB485" s="1031"/>
      <c r="UQC485" s="1031"/>
      <c r="UQD485" s="1031"/>
      <c r="UQE485" s="1031"/>
      <c r="UQF485" s="1031"/>
      <c r="UQG485" s="1031"/>
      <c r="UQH485" s="1031"/>
      <c r="UQI485" s="1031"/>
      <c r="UQJ485" s="1031"/>
      <c r="UQK485" s="1031"/>
      <c r="UQL485" s="1031"/>
      <c r="UQM485" s="1031"/>
      <c r="UQN485" s="1031"/>
      <c r="UQO485" s="1031"/>
      <c r="UQP485" s="1031"/>
      <c r="UQQ485" s="1031"/>
      <c r="UQR485" s="1031"/>
      <c r="UQS485" s="1031"/>
      <c r="UQT485" s="1031"/>
      <c r="UQU485" s="1031"/>
      <c r="UQV485" s="1031"/>
      <c r="UQW485" s="1031"/>
      <c r="UQX485" s="1031"/>
      <c r="UQY485" s="1031"/>
      <c r="UQZ485" s="1031"/>
      <c r="URA485" s="1031"/>
      <c r="URB485" s="1031"/>
      <c r="URC485" s="1031"/>
      <c r="URD485" s="1031"/>
      <c r="URE485" s="1031"/>
      <c r="URF485" s="1031"/>
      <c r="URG485" s="1031"/>
      <c r="URH485" s="1031"/>
      <c r="URI485" s="1031"/>
      <c r="URJ485" s="1031"/>
      <c r="URK485" s="1031"/>
      <c r="URL485" s="1031"/>
      <c r="URM485" s="1031"/>
      <c r="URN485" s="1031"/>
      <c r="URO485" s="1031"/>
      <c r="URP485" s="1031"/>
      <c r="URQ485" s="1031"/>
      <c r="URR485" s="1031"/>
      <c r="URS485" s="1031"/>
      <c r="URT485" s="1031"/>
      <c r="URU485" s="1031"/>
      <c r="URV485" s="1031"/>
      <c r="URW485" s="1031"/>
      <c r="URX485" s="1031"/>
      <c r="URY485" s="1031"/>
      <c r="URZ485" s="1031"/>
      <c r="USA485" s="1031"/>
      <c r="USB485" s="1031"/>
      <c r="USC485" s="1031"/>
      <c r="USD485" s="1031"/>
      <c r="USE485" s="1031"/>
      <c r="USF485" s="1031"/>
      <c r="USG485" s="1031"/>
      <c r="USH485" s="1031"/>
      <c r="USI485" s="1031"/>
      <c r="USJ485" s="1031"/>
      <c r="USK485" s="1031"/>
      <c r="USL485" s="1031"/>
      <c r="USM485" s="1031"/>
      <c r="USN485" s="1031"/>
      <c r="USO485" s="1031"/>
      <c r="USP485" s="1031"/>
      <c r="USQ485" s="1031"/>
      <c r="USR485" s="1031"/>
      <c r="USS485" s="1031"/>
      <c r="UST485" s="1031"/>
      <c r="USU485" s="1031"/>
      <c r="USV485" s="1031"/>
      <c r="USW485" s="1031"/>
      <c r="USX485" s="1031"/>
      <c r="USY485" s="1031"/>
      <c r="USZ485" s="1031"/>
      <c r="UTA485" s="1031"/>
      <c r="UTB485" s="1031"/>
      <c r="UTC485" s="1031"/>
      <c r="UTD485" s="1031"/>
      <c r="UTE485" s="1031"/>
      <c r="UTF485" s="1031"/>
      <c r="UTG485" s="1031"/>
      <c r="UTH485" s="1031"/>
      <c r="UTI485" s="1031"/>
      <c r="UTJ485" s="1031"/>
      <c r="UTK485" s="1031"/>
      <c r="UTL485" s="1031"/>
      <c r="UTM485" s="1031"/>
      <c r="UTN485" s="1031"/>
      <c r="UTO485" s="1031"/>
      <c r="UTP485" s="1031"/>
      <c r="UTQ485" s="1031"/>
      <c r="UTR485" s="1031"/>
      <c r="UTS485" s="1031"/>
      <c r="UTT485" s="1031"/>
      <c r="UTU485" s="1031"/>
      <c r="UTV485" s="1031"/>
      <c r="UTW485" s="1031"/>
      <c r="UTX485" s="1031"/>
      <c r="UTY485" s="1031"/>
      <c r="UTZ485" s="1031"/>
      <c r="UUA485" s="1031"/>
      <c r="UUB485" s="1031"/>
      <c r="UUC485" s="1031"/>
      <c r="UUD485" s="1031"/>
      <c r="UUE485" s="1031"/>
      <c r="UUF485" s="1031"/>
      <c r="UUG485" s="1031"/>
      <c r="UUH485" s="1031"/>
      <c r="UUI485" s="1031"/>
      <c r="UUJ485" s="1031"/>
      <c r="UUK485" s="1031"/>
      <c r="UUL485" s="1031"/>
      <c r="UUM485" s="1031"/>
      <c r="UUN485" s="1031"/>
      <c r="UUO485" s="1031"/>
      <c r="UUP485" s="1031"/>
      <c r="UUQ485" s="1031"/>
      <c r="UUR485" s="1031"/>
      <c r="UUS485" s="1031"/>
      <c r="UUT485" s="1031"/>
      <c r="UUU485" s="1031"/>
      <c r="UUV485" s="1031"/>
      <c r="UUW485" s="1031"/>
      <c r="UUX485" s="1031"/>
      <c r="UUY485" s="1031"/>
      <c r="UUZ485" s="1031"/>
      <c r="UVA485" s="1031"/>
      <c r="UVB485" s="1031"/>
      <c r="UVC485" s="1031"/>
      <c r="UVD485" s="1031"/>
      <c r="UVE485" s="1031"/>
      <c r="UVF485" s="1031"/>
      <c r="UVG485" s="1031"/>
      <c r="UVH485" s="1031"/>
      <c r="UVI485" s="1031"/>
      <c r="UVJ485" s="1031"/>
      <c r="UVK485" s="1031"/>
      <c r="UVL485" s="1031"/>
      <c r="UVM485" s="1031"/>
      <c r="UVN485" s="1031"/>
      <c r="UVO485" s="1031"/>
      <c r="UVP485" s="1031"/>
      <c r="UVQ485" s="1031"/>
      <c r="UVR485" s="1031"/>
      <c r="UVS485" s="1031"/>
      <c r="UVT485" s="1031"/>
      <c r="UVU485" s="1031"/>
      <c r="UVV485" s="1031"/>
      <c r="UVW485" s="1031"/>
      <c r="UVX485" s="1031"/>
      <c r="UVY485" s="1031"/>
      <c r="UVZ485" s="1031"/>
      <c r="UWA485" s="1031"/>
      <c r="UWB485" s="1031"/>
      <c r="UWC485" s="1031"/>
      <c r="UWD485" s="1031"/>
      <c r="UWE485" s="1031"/>
      <c r="UWF485" s="1031"/>
      <c r="UWG485" s="1031"/>
      <c r="UWH485" s="1031"/>
      <c r="UWI485" s="1031"/>
      <c r="UWJ485" s="1031"/>
      <c r="UWK485" s="1031"/>
      <c r="UWL485" s="1031"/>
      <c r="UWM485" s="1031"/>
      <c r="UWN485" s="1031"/>
      <c r="UWO485" s="1031"/>
      <c r="UWP485" s="1031"/>
      <c r="UWQ485" s="1031"/>
      <c r="UWR485" s="1031"/>
      <c r="UWS485" s="1031"/>
      <c r="UWT485" s="1031"/>
      <c r="UWU485" s="1031"/>
      <c r="UWV485" s="1031"/>
      <c r="UWW485" s="1031"/>
      <c r="UWX485" s="1031"/>
      <c r="UWY485" s="1031"/>
      <c r="UWZ485" s="1031"/>
      <c r="UXA485" s="1031"/>
      <c r="UXB485" s="1031"/>
      <c r="UXC485" s="1031"/>
      <c r="UXD485" s="1031"/>
      <c r="UXE485" s="1031"/>
      <c r="UXF485" s="1031"/>
      <c r="UXG485" s="1031"/>
      <c r="UXH485" s="1031"/>
      <c r="UXI485" s="1031"/>
      <c r="UXJ485" s="1031"/>
      <c r="UXK485" s="1031"/>
      <c r="UXL485" s="1031"/>
      <c r="UXM485" s="1031"/>
      <c r="UXN485" s="1031"/>
      <c r="UXO485" s="1031"/>
      <c r="UXP485" s="1031"/>
      <c r="UXQ485" s="1031"/>
      <c r="UXR485" s="1031"/>
      <c r="UXS485" s="1031"/>
      <c r="UXT485" s="1031"/>
      <c r="UXU485" s="1031"/>
      <c r="UXV485" s="1031"/>
      <c r="UXW485" s="1031"/>
      <c r="UXX485" s="1031"/>
      <c r="UXY485" s="1031"/>
      <c r="UXZ485" s="1031"/>
      <c r="UYA485" s="1031"/>
      <c r="UYB485" s="1031"/>
      <c r="UYC485" s="1031"/>
      <c r="UYD485" s="1031"/>
      <c r="UYE485" s="1031"/>
      <c r="UYF485" s="1031"/>
      <c r="UYG485" s="1031"/>
      <c r="UYH485" s="1031"/>
      <c r="UYI485" s="1031"/>
      <c r="UYJ485" s="1031"/>
      <c r="UYK485" s="1031"/>
      <c r="UYL485" s="1031"/>
      <c r="UYM485" s="1031"/>
      <c r="UYN485" s="1031"/>
      <c r="UYO485" s="1031"/>
      <c r="UYP485" s="1031"/>
      <c r="UYQ485" s="1031"/>
      <c r="UYR485" s="1031"/>
      <c r="UYS485" s="1031"/>
      <c r="UYT485" s="1031"/>
      <c r="UYU485" s="1031"/>
      <c r="UYV485" s="1031"/>
      <c r="UYW485" s="1031"/>
      <c r="UYX485" s="1031"/>
      <c r="UYY485" s="1031"/>
      <c r="UYZ485" s="1031"/>
      <c r="UZA485" s="1031"/>
      <c r="UZB485" s="1031"/>
      <c r="UZC485" s="1031"/>
      <c r="UZD485" s="1031"/>
      <c r="UZE485" s="1031"/>
      <c r="UZF485" s="1031"/>
      <c r="UZG485" s="1031"/>
      <c r="UZH485" s="1031"/>
      <c r="UZI485" s="1031"/>
      <c r="UZJ485" s="1031"/>
      <c r="UZK485" s="1031"/>
      <c r="UZL485" s="1031"/>
      <c r="UZM485" s="1031"/>
      <c r="UZN485" s="1031"/>
      <c r="UZO485" s="1031"/>
      <c r="UZP485" s="1031"/>
      <c r="UZQ485" s="1031"/>
      <c r="UZR485" s="1031"/>
      <c r="UZS485" s="1031"/>
      <c r="UZT485" s="1031"/>
      <c r="UZU485" s="1031"/>
      <c r="UZV485" s="1031"/>
      <c r="UZW485" s="1031"/>
      <c r="UZX485" s="1031"/>
      <c r="UZY485" s="1031"/>
      <c r="UZZ485" s="1031"/>
      <c r="VAA485" s="1031"/>
      <c r="VAB485" s="1031"/>
      <c r="VAC485" s="1031"/>
      <c r="VAD485" s="1031"/>
      <c r="VAE485" s="1031"/>
      <c r="VAF485" s="1031"/>
      <c r="VAG485" s="1031"/>
      <c r="VAH485" s="1031"/>
      <c r="VAI485" s="1031"/>
      <c r="VAJ485" s="1031"/>
      <c r="VAK485" s="1031"/>
      <c r="VAL485" s="1031"/>
      <c r="VAM485" s="1031"/>
      <c r="VAN485" s="1031"/>
      <c r="VAO485" s="1031"/>
      <c r="VAP485" s="1031"/>
      <c r="VAQ485" s="1031"/>
      <c r="VAR485" s="1031"/>
      <c r="VAS485" s="1031"/>
      <c r="VAT485" s="1031"/>
      <c r="VAU485" s="1031"/>
      <c r="VAV485" s="1031"/>
      <c r="VAW485" s="1031"/>
      <c r="VAX485" s="1031"/>
      <c r="VAY485" s="1031"/>
      <c r="VAZ485" s="1031"/>
      <c r="VBA485" s="1031"/>
      <c r="VBB485" s="1031"/>
      <c r="VBC485" s="1031"/>
      <c r="VBD485" s="1031"/>
      <c r="VBE485" s="1031"/>
      <c r="VBF485" s="1031"/>
      <c r="VBG485" s="1031"/>
      <c r="VBH485" s="1031"/>
      <c r="VBI485" s="1031"/>
      <c r="VBJ485" s="1031"/>
      <c r="VBK485" s="1031"/>
      <c r="VBL485" s="1031"/>
      <c r="VBM485" s="1031"/>
      <c r="VBN485" s="1031"/>
      <c r="VBO485" s="1031"/>
      <c r="VBP485" s="1031"/>
      <c r="VBQ485" s="1031"/>
      <c r="VBR485" s="1031"/>
      <c r="VBS485" s="1031"/>
      <c r="VBT485" s="1031"/>
      <c r="VBU485" s="1031"/>
      <c r="VBV485" s="1031"/>
      <c r="VBW485" s="1031"/>
      <c r="VBX485" s="1031"/>
      <c r="VBY485" s="1031"/>
      <c r="VBZ485" s="1031"/>
      <c r="VCA485" s="1031"/>
      <c r="VCB485" s="1031"/>
      <c r="VCC485" s="1031"/>
      <c r="VCD485" s="1031"/>
      <c r="VCE485" s="1031"/>
      <c r="VCF485" s="1031"/>
      <c r="VCG485" s="1031"/>
      <c r="VCH485" s="1031"/>
      <c r="VCI485" s="1031"/>
      <c r="VCJ485" s="1031"/>
      <c r="VCK485" s="1031"/>
      <c r="VCL485" s="1031"/>
      <c r="VCM485" s="1031"/>
      <c r="VCN485" s="1031"/>
      <c r="VCO485" s="1031"/>
      <c r="VCP485" s="1031"/>
      <c r="VCQ485" s="1031"/>
      <c r="VCR485" s="1031"/>
      <c r="VCS485" s="1031"/>
      <c r="VCT485" s="1031"/>
      <c r="VCU485" s="1031"/>
      <c r="VCV485" s="1031"/>
      <c r="VCW485" s="1031"/>
      <c r="VCX485" s="1031"/>
      <c r="VCY485" s="1031"/>
      <c r="VCZ485" s="1031"/>
      <c r="VDA485" s="1031"/>
      <c r="VDB485" s="1031"/>
      <c r="VDC485" s="1031"/>
      <c r="VDD485" s="1031"/>
      <c r="VDE485" s="1031"/>
      <c r="VDF485" s="1031"/>
      <c r="VDG485" s="1031"/>
      <c r="VDH485" s="1031"/>
      <c r="VDI485" s="1031"/>
      <c r="VDJ485" s="1031"/>
      <c r="VDK485" s="1031"/>
      <c r="VDL485" s="1031"/>
      <c r="VDM485" s="1031"/>
      <c r="VDN485" s="1031"/>
      <c r="VDO485" s="1031"/>
      <c r="VDP485" s="1031"/>
      <c r="VDQ485" s="1031"/>
      <c r="VDR485" s="1031"/>
      <c r="VDS485" s="1031"/>
      <c r="VDT485" s="1031"/>
      <c r="VDU485" s="1031"/>
      <c r="VDV485" s="1031"/>
      <c r="VDW485" s="1031"/>
      <c r="VDX485" s="1031"/>
      <c r="VDY485" s="1031"/>
      <c r="VDZ485" s="1031"/>
      <c r="VEA485" s="1031"/>
      <c r="VEB485" s="1031"/>
      <c r="VEC485" s="1031"/>
      <c r="VED485" s="1031"/>
      <c r="VEE485" s="1031"/>
      <c r="VEF485" s="1031"/>
      <c r="VEG485" s="1031"/>
      <c r="VEH485" s="1031"/>
      <c r="VEI485" s="1031"/>
      <c r="VEJ485" s="1031"/>
      <c r="VEK485" s="1031"/>
      <c r="VEL485" s="1031"/>
      <c r="VEM485" s="1031"/>
      <c r="VEN485" s="1031"/>
      <c r="VEO485" s="1031"/>
      <c r="VEP485" s="1031"/>
      <c r="VEQ485" s="1031"/>
      <c r="VER485" s="1031"/>
      <c r="VES485" s="1031"/>
      <c r="VET485" s="1031"/>
      <c r="VEU485" s="1031"/>
      <c r="VEV485" s="1031"/>
      <c r="VEW485" s="1031"/>
      <c r="VEX485" s="1031"/>
      <c r="VEY485" s="1031"/>
      <c r="VEZ485" s="1031"/>
      <c r="VFA485" s="1031"/>
      <c r="VFB485" s="1031"/>
      <c r="VFC485" s="1031"/>
      <c r="VFD485" s="1031"/>
      <c r="VFE485" s="1031"/>
      <c r="VFF485" s="1031"/>
      <c r="VFG485" s="1031"/>
      <c r="VFH485" s="1031"/>
      <c r="VFI485" s="1031"/>
      <c r="VFJ485" s="1031"/>
      <c r="VFK485" s="1031"/>
      <c r="VFL485" s="1031"/>
      <c r="VFM485" s="1031"/>
      <c r="VFN485" s="1031"/>
      <c r="VFO485" s="1031"/>
      <c r="VFP485" s="1031"/>
      <c r="VFQ485" s="1031"/>
      <c r="VFR485" s="1031"/>
      <c r="VFS485" s="1031"/>
      <c r="VFT485" s="1031"/>
      <c r="VFU485" s="1031"/>
      <c r="VFV485" s="1031"/>
      <c r="VFW485" s="1031"/>
      <c r="VFX485" s="1031"/>
      <c r="VFY485" s="1031"/>
      <c r="VFZ485" s="1031"/>
      <c r="VGA485" s="1031"/>
      <c r="VGB485" s="1031"/>
      <c r="VGC485" s="1031"/>
      <c r="VGD485" s="1031"/>
      <c r="VGE485" s="1031"/>
      <c r="VGF485" s="1031"/>
      <c r="VGG485" s="1031"/>
      <c r="VGH485" s="1031"/>
      <c r="VGI485" s="1031"/>
      <c r="VGJ485" s="1031"/>
      <c r="VGK485" s="1031"/>
      <c r="VGL485" s="1031"/>
      <c r="VGM485" s="1031"/>
      <c r="VGN485" s="1031"/>
      <c r="VGO485" s="1031"/>
      <c r="VGP485" s="1031"/>
      <c r="VGQ485" s="1031"/>
      <c r="VGR485" s="1031"/>
      <c r="VGS485" s="1031"/>
      <c r="VGT485" s="1031"/>
      <c r="VGU485" s="1031"/>
      <c r="VGV485" s="1031"/>
      <c r="VGW485" s="1031"/>
      <c r="VGX485" s="1031"/>
      <c r="VGY485" s="1031"/>
      <c r="VGZ485" s="1031"/>
      <c r="VHA485" s="1031"/>
      <c r="VHB485" s="1031"/>
      <c r="VHC485" s="1031"/>
      <c r="VHD485" s="1031"/>
      <c r="VHE485" s="1031"/>
      <c r="VHF485" s="1031"/>
      <c r="VHG485" s="1031"/>
      <c r="VHH485" s="1031"/>
      <c r="VHI485" s="1031"/>
      <c r="VHJ485" s="1031"/>
      <c r="VHK485" s="1031"/>
      <c r="VHL485" s="1031"/>
      <c r="VHM485" s="1031"/>
      <c r="VHN485" s="1031"/>
      <c r="VHO485" s="1031"/>
      <c r="VHP485" s="1031"/>
      <c r="VHQ485" s="1031"/>
      <c r="VHR485" s="1031"/>
      <c r="VHS485" s="1031"/>
      <c r="VHT485" s="1031"/>
      <c r="VHU485" s="1031"/>
      <c r="VHV485" s="1031"/>
      <c r="VHW485" s="1031"/>
      <c r="VHX485" s="1031"/>
      <c r="VHY485" s="1031"/>
      <c r="VHZ485" s="1031"/>
      <c r="VIA485" s="1031"/>
      <c r="VIB485" s="1031"/>
      <c r="VIC485" s="1031"/>
      <c r="VID485" s="1031"/>
      <c r="VIE485" s="1031"/>
      <c r="VIF485" s="1031"/>
      <c r="VIG485" s="1031"/>
      <c r="VIH485" s="1031"/>
      <c r="VII485" s="1031"/>
      <c r="VIJ485" s="1031"/>
      <c r="VIK485" s="1031"/>
      <c r="VIL485" s="1031"/>
      <c r="VIM485" s="1031"/>
      <c r="VIN485" s="1031"/>
      <c r="VIO485" s="1031"/>
      <c r="VIP485" s="1031"/>
      <c r="VIQ485" s="1031"/>
      <c r="VIR485" s="1031"/>
      <c r="VIS485" s="1031"/>
      <c r="VIT485" s="1031"/>
      <c r="VIU485" s="1031"/>
      <c r="VIV485" s="1031"/>
      <c r="VIW485" s="1031"/>
      <c r="VIX485" s="1031"/>
      <c r="VIY485" s="1031"/>
      <c r="VIZ485" s="1031"/>
      <c r="VJA485" s="1031"/>
      <c r="VJB485" s="1031"/>
      <c r="VJC485" s="1031"/>
      <c r="VJD485" s="1031"/>
      <c r="VJE485" s="1031"/>
      <c r="VJF485" s="1031"/>
      <c r="VJG485" s="1031"/>
      <c r="VJH485" s="1031"/>
      <c r="VJI485" s="1031"/>
      <c r="VJJ485" s="1031"/>
      <c r="VJK485" s="1031"/>
      <c r="VJL485" s="1031"/>
      <c r="VJM485" s="1031"/>
      <c r="VJN485" s="1031"/>
      <c r="VJO485" s="1031"/>
      <c r="VJP485" s="1031"/>
      <c r="VJQ485" s="1031"/>
      <c r="VJR485" s="1031"/>
      <c r="VJS485" s="1031"/>
      <c r="VJT485" s="1031"/>
      <c r="VJU485" s="1031"/>
      <c r="VJV485" s="1031"/>
      <c r="VJW485" s="1031"/>
      <c r="VJX485" s="1031"/>
      <c r="VJY485" s="1031"/>
      <c r="VJZ485" s="1031"/>
      <c r="VKA485" s="1031"/>
      <c r="VKB485" s="1031"/>
      <c r="VKC485" s="1031"/>
      <c r="VKD485" s="1031"/>
      <c r="VKE485" s="1031"/>
      <c r="VKF485" s="1031"/>
      <c r="VKG485" s="1031"/>
      <c r="VKH485" s="1031"/>
      <c r="VKI485" s="1031"/>
      <c r="VKJ485" s="1031"/>
      <c r="VKK485" s="1031"/>
      <c r="VKL485" s="1031"/>
      <c r="VKM485" s="1031"/>
      <c r="VKN485" s="1031"/>
      <c r="VKO485" s="1031"/>
      <c r="VKP485" s="1031"/>
      <c r="VKQ485" s="1031"/>
      <c r="VKR485" s="1031"/>
      <c r="VKS485" s="1031"/>
      <c r="VKT485" s="1031"/>
      <c r="VKU485" s="1031"/>
      <c r="VKV485" s="1031"/>
      <c r="VKW485" s="1031"/>
      <c r="VKX485" s="1031"/>
      <c r="VKY485" s="1031"/>
      <c r="VKZ485" s="1031"/>
      <c r="VLA485" s="1031"/>
      <c r="VLB485" s="1031"/>
      <c r="VLC485" s="1031"/>
      <c r="VLD485" s="1031"/>
      <c r="VLE485" s="1031"/>
      <c r="VLF485" s="1031"/>
      <c r="VLG485" s="1031"/>
      <c r="VLH485" s="1031"/>
      <c r="VLI485" s="1031"/>
      <c r="VLJ485" s="1031"/>
      <c r="VLK485" s="1031"/>
      <c r="VLL485" s="1031"/>
      <c r="VLM485" s="1031"/>
      <c r="VLN485" s="1031"/>
      <c r="VLO485" s="1031"/>
      <c r="VLP485" s="1031"/>
      <c r="VLQ485" s="1031"/>
      <c r="VLR485" s="1031"/>
      <c r="VLS485" s="1031"/>
      <c r="VLT485" s="1031"/>
      <c r="VLU485" s="1031"/>
      <c r="VLV485" s="1031"/>
      <c r="VLW485" s="1031"/>
      <c r="VLX485" s="1031"/>
      <c r="VLY485" s="1031"/>
      <c r="VLZ485" s="1031"/>
      <c r="VMA485" s="1031"/>
      <c r="VMB485" s="1031"/>
      <c r="VMC485" s="1031"/>
      <c r="VMD485" s="1031"/>
      <c r="VME485" s="1031"/>
      <c r="VMF485" s="1031"/>
      <c r="VMG485" s="1031"/>
      <c r="VMH485" s="1031"/>
      <c r="VMI485" s="1031"/>
      <c r="VMJ485" s="1031"/>
      <c r="VMK485" s="1031"/>
      <c r="VML485" s="1031"/>
      <c r="VMM485" s="1031"/>
      <c r="VMN485" s="1031"/>
      <c r="VMO485" s="1031"/>
      <c r="VMP485" s="1031"/>
      <c r="VMQ485" s="1031"/>
      <c r="VMR485" s="1031"/>
      <c r="VMS485" s="1031"/>
      <c r="VMT485" s="1031"/>
      <c r="VMU485" s="1031"/>
      <c r="VMV485" s="1031"/>
      <c r="VMW485" s="1031"/>
      <c r="VMX485" s="1031"/>
      <c r="VMY485" s="1031"/>
      <c r="VMZ485" s="1031"/>
      <c r="VNA485" s="1031"/>
      <c r="VNB485" s="1031"/>
      <c r="VNC485" s="1031"/>
      <c r="VND485" s="1031"/>
      <c r="VNE485" s="1031"/>
      <c r="VNF485" s="1031"/>
      <c r="VNG485" s="1031"/>
      <c r="VNH485" s="1031"/>
      <c r="VNI485" s="1031"/>
      <c r="VNJ485" s="1031"/>
      <c r="VNK485" s="1031"/>
      <c r="VNL485" s="1031"/>
      <c r="VNM485" s="1031"/>
      <c r="VNN485" s="1031"/>
      <c r="VNO485" s="1031"/>
      <c r="VNP485" s="1031"/>
      <c r="VNQ485" s="1031"/>
      <c r="VNR485" s="1031"/>
      <c r="VNS485" s="1031"/>
      <c r="VNT485" s="1031"/>
      <c r="VNU485" s="1031"/>
      <c r="VNV485" s="1031"/>
      <c r="VNW485" s="1031"/>
      <c r="VNX485" s="1031"/>
      <c r="VNY485" s="1031"/>
      <c r="VNZ485" s="1031"/>
      <c r="VOA485" s="1031"/>
      <c r="VOB485" s="1031"/>
      <c r="VOC485" s="1031"/>
      <c r="VOD485" s="1031"/>
      <c r="VOE485" s="1031"/>
      <c r="VOF485" s="1031"/>
      <c r="VOG485" s="1031"/>
      <c r="VOH485" s="1031"/>
      <c r="VOI485" s="1031"/>
      <c r="VOJ485" s="1031"/>
      <c r="VOK485" s="1031"/>
      <c r="VOL485" s="1031"/>
      <c r="VOM485" s="1031"/>
      <c r="VON485" s="1031"/>
      <c r="VOO485" s="1031"/>
      <c r="VOP485" s="1031"/>
      <c r="VOQ485" s="1031"/>
      <c r="VOR485" s="1031"/>
      <c r="VOS485" s="1031"/>
      <c r="VOT485" s="1031"/>
      <c r="VOU485" s="1031"/>
      <c r="VOV485" s="1031"/>
      <c r="VOW485" s="1031"/>
      <c r="VOX485" s="1031"/>
      <c r="VOY485" s="1031"/>
      <c r="VOZ485" s="1031"/>
      <c r="VPA485" s="1031"/>
      <c r="VPB485" s="1031"/>
      <c r="VPC485" s="1031"/>
      <c r="VPD485" s="1031"/>
      <c r="VPE485" s="1031"/>
      <c r="VPF485" s="1031"/>
      <c r="VPG485" s="1031"/>
      <c r="VPH485" s="1031"/>
      <c r="VPI485" s="1031"/>
      <c r="VPJ485" s="1031"/>
      <c r="VPK485" s="1031"/>
      <c r="VPL485" s="1031"/>
      <c r="VPM485" s="1031"/>
      <c r="VPN485" s="1031"/>
      <c r="VPO485" s="1031"/>
      <c r="VPP485" s="1031"/>
      <c r="VPQ485" s="1031"/>
      <c r="VPR485" s="1031"/>
      <c r="VPS485" s="1031"/>
      <c r="VPT485" s="1031"/>
      <c r="VPU485" s="1031"/>
      <c r="VPV485" s="1031"/>
      <c r="VPW485" s="1031"/>
      <c r="VPX485" s="1031"/>
      <c r="VPY485" s="1031"/>
      <c r="VPZ485" s="1031"/>
      <c r="VQA485" s="1031"/>
      <c r="VQB485" s="1031"/>
      <c r="VQC485" s="1031"/>
      <c r="VQD485" s="1031"/>
      <c r="VQE485" s="1031"/>
      <c r="VQF485" s="1031"/>
      <c r="VQG485" s="1031"/>
      <c r="VQH485" s="1031"/>
      <c r="VQI485" s="1031"/>
      <c r="VQJ485" s="1031"/>
      <c r="VQK485" s="1031"/>
      <c r="VQL485" s="1031"/>
      <c r="VQM485" s="1031"/>
      <c r="VQN485" s="1031"/>
      <c r="VQO485" s="1031"/>
      <c r="VQP485" s="1031"/>
      <c r="VQQ485" s="1031"/>
      <c r="VQR485" s="1031"/>
      <c r="VQS485" s="1031"/>
      <c r="VQT485" s="1031"/>
      <c r="VQU485" s="1031"/>
      <c r="VQV485" s="1031"/>
      <c r="VQW485" s="1031"/>
      <c r="VQX485" s="1031"/>
      <c r="VQY485" s="1031"/>
      <c r="VQZ485" s="1031"/>
      <c r="VRA485" s="1031"/>
      <c r="VRB485" s="1031"/>
      <c r="VRC485" s="1031"/>
      <c r="VRD485" s="1031"/>
      <c r="VRE485" s="1031"/>
      <c r="VRF485" s="1031"/>
      <c r="VRG485" s="1031"/>
      <c r="VRH485" s="1031"/>
      <c r="VRI485" s="1031"/>
      <c r="VRJ485" s="1031"/>
      <c r="VRK485" s="1031"/>
      <c r="VRL485" s="1031"/>
      <c r="VRM485" s="1031"/>
      <c r="VRN485" s="1031"/>
      <c r="VRO485" s="1031"/>
      <c r="VRP485" s="1031"/>
      <c r="VRQ485" s="1031"/>
      <c r="VRR485" s="1031"/>
      <c r="VRS485" s="1031"/>
      <c r="VRT485" s="1031"/>
      <c r="VRU485" s="1031"/>
      <c r="VRV485" s="1031"/>
      <c r="VRW485" s="1031"/>
      <c r="VRX485" s="1031"/>
      <c r="VRY485" s="1031"/>
      <c r="VRZ485" s="1031"/>
      <c r="VSA485" s="1031"/>
      <c r="VSB485" s="1031"/>
      <c r="VSC485" s="1031"/>
      <c r="VSD485" s="1031"/>
      <c r="VSE485" s="1031"/>
      <c r="VSF485" s="1031"/>
      <c r="VSG485" s="1031"/>
      <c r="VSH485" s="1031"/>
      <c r="VSI485" s="1031"/>
      <c r="VSJ485" s="1031"/>
      <c r="VSK485" s="1031"/>
      <c r="VSL485" s="1031"/>
      <c r="VSM485" s="1031"/>
      <c r="VSN485" s="1031"/>
      <c r="VSO485" s="1031"/>
      <c r="VSP485" s="1031"/>
      <c r="VSQ485" s="1031"/>
      <c r="VSR485" s="1031"/>
      <c r="VSS485" s="1031"/>
      <c r="VST485" s="1031"/>
      <c r="VSU485" s="1031"/>
      <c r="VSV485" s="1031"/>
      <c r="VSW485" s="1031"/>
      <c r="VSX485" s="1031"/>
      <c r="VSY485" s="1031"/>
      <c r="VSZ485" s="1031"/>
      <c r="VTA485" s="1031"/>
      <c r="VTB485" s="1031"/>
      <c r="VTC485" s="1031"/>
      <c r="VTD485" s="1031"/>
      <c r="VTE485" s="1031"/>
      <c r="VTF485" s="1031"/>
      <c r="VTG485" s="1031"/>
      <c r="VTH485" s="1031"/>
      <c r="VTI485" s="1031"/>
      <c r="VTJ485" s="1031"/>
      <c r="VTK485" s="1031"/>
      <c r="VTL485" s="1031"/>
      <c r="VTM485" s="1031"/>
      <c r="VTN485" s="1031"/>
      <c r="VTO485" s="1031"/>
      <c r="VTP485" s="1031"/>
      <c r="VTQ485" s="1031"/>
      <c r="VTR485" s="1031"/>
      <c r="VTS485" s="1031"/>
      <c r="VTT485" s="1031"/>
      <c r="VTU485" s="1031"/>
      <c r="VTV485" s="1031"/>
      <c r="VTW485" s="1031"/>
      <c r="VTX485" s="1031"/>
      <c r="VTY485" s="1031"/>
      <c r="VTZ485" s="1031"/>
      <c r="VUA485" s="1031"/>
      <c r="VUB485" s="1031"/>
      <c r="VUC485" s="1031"/>
      <c r="VUD485" s="1031"/>
      <c r="VUE485" s="1031"/>
      <c r="VUF485" s="1031"/>
      <c r="VUG485" s="1031"/>
      <c r="VUH485" s="1031"/>
      <c r="VUI485" s="1031"/>
      <c r="VUJ485" s="1031"/>
      <c r="VUK485" s="1031"/>
      <c r="VUL485" s="1031"/>
      <c r="VUM485" s="1031"/>
      <c r="VUN485" s="1031"/>
      <c r="VUO485" s="1031"/>
      <c r="VUP485" s="1031"/>
      <c r="VUQ485" s="1031"/>
      <c r="VUR485" s="1031"/>
      <c r="VUS485" s="1031"/>
      <c r="VUT485" s="1031"/>
      <c r="VUU485" s="1031"/>
      <c r="VUV485" s="1031"/>
      <c r="VUW485" s="1031"/>
      <c r="VUX485" s="1031"/>
      <c r="VUY485" s="1031"/>
      <c r="VUZ485" s="1031"/>
      <c r="VVA485" s="1031"/>
      <c r="VVB485" s="1031"/>
      <c r="VVC485" s="1031"/>
      <c r="VVD485" s="1031"/>
      <c r="VVE485" s="1031"/>
      <c r="VVF485" s="1031"/>
      <c r="VVG485" s="1031"/>
      <c r="VVH485" s="1031"/>
      <c r="VVI485" s="1031"/>
      <c r="VVJ485" s="1031"/>
      <c r="VVK485" s="1031"/>
      <c r="VVL485" s="1031"/>
      <c r="VVM485" s="1031"/>
      <c r="VVN485" s="1031"/>
      <c r="VVO485" s="1031"/>
      <c r="VVP485" s="1031"/>
      <c r="VVQ485" s="1031"/>
      <c r="VVR485" s="1031"/>
      <c r="VVS485" s="1031"/>
      <c r="VVT485" s="1031"/>
      <c r="VVU485" s="1031"/>
      <c r="VVV485" s="1031"/>
      <c r="VVW485" s="1031"/>
      <c r="VVX485" s="1031"/>
      <c r="VVY485" s="1031"/>
      <c r="VVZ485" s="1031"/>
      <c r="VWA485" s="1031"/>
      <c r="VWB485" s="1031"/>
      <c r="VWC485" s="1031"/>
      <c r="VWD485" s="1031"/>
      <c r="VWE485" s="1031"/>
      <c r="VWF485" s="1031"/>
      <c r="VWG485" s="1031"/>
      <c r="VWH485" s="1031"/>
      <c r="VWI485" s="1031"/>
      <c r="VWJ485" s="1031"/>
      <c r="VWK485" s="1031"/>
      <c r="VWL485" s="1031"/>
      <c r="VWM485" s="1031"/>
      <c r="VWN485" s="1031"/>
      <c r="VWO485" s="1031"/>
      <c r="VWP485" s="1031"/>
      <c r="VWQ485" s="1031"/>
      <c r="VWR485" s="1031"/>
      <c r="VWS485" s="1031"/>
      <c r="VWT485" s="1031"/>
      <c r="VWU485" s="1031"/>
      <c r="VWV485" s="1031"/>
      <c r="VWW485" s="1031"/>
      <c r="VWX485" s="1031"/>
      <c r="VWY485" s="1031"/>
      <c r="VWZ485" s="1031"/>
      <c r="VXA485" s="1031"/>
      <c r="VXB485" s="1031"/>
      <c r="VXC485" s="1031"/>
      <c r="VXD485" s="1031"/>
      <c r="VXE485" s="1031"/>
      <c r="VXF485" s="1031"/>
      <c r="VXG485" s="1031"/>
      <c r="VXH485" s="1031"/>
      <c r="VXI485" s="1031"/>
      <c r="VXJ485" s="1031"/>
      <c r="VXK485" s="1031"/>
      <c r="VXL485" s="1031"/>
      <c r="VXM485" s="1031"/>
      <c r="VXN485" s="1031"/>
      <c r="VXO485" s="1031"/>
      <c r="VXP485" s="1031"/>
      <c r="VXQ485" s="1031"/>
      <c r="VXR485" s="1031"/>
      <c r="VXS485" s="1031"/>
      <c r="VXT485" s="1031"/>
      <c r="VXU485" s="1031"/>
      <c r="VXV485" s="1031"/>
      <c r="VXW485" s="1031"/>
      <c r="VXX485" s="1031"/>
      <c r="VXY485" s="1031"/>
      <c r="VXZ485" s="1031"/>
      <c r="VYA485" s="1031"/>
      <c r="VYB485" s="1031"/>
      <c r="VYC485" s="1031"/>
      <c r="VYD485" s="1031"/>
      <c r="VYE485" s="1031"/>
      <c r="VYF485" s="1031"/>
      <c r="VYG485" s="1031"/>
      <c r="VYH485" s="1031"/>
      <c r="VYI485" s="1031"/>
      <c r="VYJ485" s="1031"/>
      <c r="VYK485" s="1031"/>
      <c r="VYL485" s="1031"/>
      <c r="VYM485" s="1031"/>
      <c r="VYN485" s="1031"/>
      <c r="VYO485" s="1031"/>
      <c r="VYP485" s="1031"/>
      <c r="VYQ485" s="1031"/>
      <c r="VYR485" s="1031"/>
      <c r="VYS485" s="1031"/>
      <c r="VYT485" s="1031"/>
      <c r="VYU485" s="1031"/>
      <c r="VYV485" s="1031"/>
      <c r="VYW485" s="1031"/>
      <c r="VYX485" s="1031"/>
      <c r="VYY485" s="1031"/>
      <c r="VYZ485" s="1031"/>
      <c r="VZA485" s="1031"/>
      <c r="VZB485" s="1031"/>
      <c r="VZC485" s="1031"/>
      <c r="VZD485" s="1031"/>
      <c r="VZE485" s="1031"/>
      <c r="VZF485" s="1031"/>
      <c r="VZG485" s="1031"/>
      <c r="VZH485" s="1031"/>
      <c r="VZI485" s="1031"/>
      <c r="VZJ485" s="1031"/>
      <c r="VZK485" s="1031"/>
      <c r="VZL485" s="1031"/>
      <c r="VZM485" s="1031"/>
      <c r="VZN485" s="1031"/>
      <c r="VZO485" s="1031"/>
      <c r="VZP485" s="1031"/>
      <c r="VZQ485" s="1031"/>
      <c r="VZR485" s="1031"/>
      <c r="VZS485" s="1031"/>
      <c r="VZT485" s="1031"/>
      <c r="VZU485" s="1031"/>
      <c r="VZV485" s="1031"/>
      <c r="VZW485" s="1031"/>
      <c r="VZX485" s="1031"/>
      <c r="VZY485" s="1031"/>
      <c r="VZZ485" s="1031"/>
      <c r="WAA485" s="1031"/>
      <c r="WAB485" s="1031"/>
      <c r="WAC485" s="1031"/>
      <c r="WAD485" s="1031"/>
      <c r="WAE485" s="1031"/>
      <c r="WAF485" s="1031"/>
      <c r="WAG485" s="1031"/>
      <c r="WAH485" s="1031"/>
      <c r="WAI485" s="1031"/>
      <c r="WAJ485" s="1031"/>
      <c r="WAK485" s="1031"/>
      <c r="WAL485" s="1031"/>
      <c r="WAM485" s="1031"/>
      <c r="WAN485" s="1031"/>
      <c r="WAO485" s="1031"/>
      <c r="WAP485" s="1031"/>
      <c r="WAQ485" s="1031"/>
      <c r="WAR485" s="1031"/>
      <c r="WAS485" s="1031"/>
      <c r="WAT485" s="1031"/>
      <c r="WAU485" s="1031"/>
      <c r="WAV485" s="1031"/>
      <c r="WAW485" s="1031"/>
      <c r="WAX485" s="1031"/>
      <c r="WAY485" s="1031"/>
      <c r="WAZ485" s="1031"/>
      <c r="WBA485" s="1031"/>
      <c r="WBB485" s="1031"/>
      <c r="WBC485" s="1031"/>
      <c r="WBD485" s="1031"/>
      <c r="WBE485" s="1031"/>
      <c r="WBF485" s="1031"/>
      <c r="WBG485" s="1031"/>
      <c r="WBH485" s="1031"/>
      <c r="WBI485" s="1031"/>
      <c r="WBJ485" s="1031"/>
      <c r="WBK485" s="1031"/>
      <c r="WBL485" s="1031"/>
      <c r="WBM485" s="1031"/>
      <c r="WBN485" s="1031"/>
      <c r="WBO485" s="1031"/>
      <c r="WBP485" s="1031"/>
      <c r="WBQ485" s="1031"/>
      <c r="WBR485" s="1031"/>
      <c r="WBS485" s="1031"/>
      <c r="WBT485" s="1031"/>
      <c r="WBU485" s="1031"/>
      <c r="WBV485" s="1031"/>
      <c r="WBW485" s="1031"/>
      <c r="WBX485" s="1031"/>
      <c r="WBY485" s="1031"/>
      <c r="WBZ485" s="1031"/>
      <c r="WCA485" s="1031"/>
      <c r="WCB485" s="1031"/>
      <c r="WCC485" s="1031"/>
      <c r="WCD485" s="1031"/>
      <c r="WCE485" s="1031"/>
      <c r="WCF485" s="1031"/>
      <c r="WCG485" s="1031"/>
      <c r="WCH485" s="1031"/>
      <c r="WCI485" s="1031"/>
      <c r="WCJ485" s="1031"/>
      <c r="WCK485" s="1031"/>
      <c r="WCL485" s="1031"/>
      <c r="WCM485" s="1031"/>
      <c r="WCN485" s="1031"/>
      <c r="WCO485" s="1031"/>
      <c r="WCP485" s="1031"/>
      <c r="WCQ485" s="1031"/>
      <c r="WCR485" s="1031"/>
      <c r="WCS485" s="1031"/>
      <c r="WCT485" s="1031"/>
      <c r="WCU485" s="1031"/>
      <c r="WCV485" s="1031"/>
      <c r="WCW485" s="1031"/>
      <c r="WCX485" s="1031"/>
      <c r="WCY485" s="1031"/>
      <c r="WCZ485" s="1031"/>
      <c r="WDA485" s="1031"/>
      <c r="WDB485" s="1031"/>
      <c r="WDC485" s="1031"/>
      <c r="WDD485" s="1031"/>
      <c r="WDE485" s="1031"/>
      <c r="WDF485" s="1031"/>
      <c r="WDG485" s="1031"/>
      <c r="WDH485" s="1031"/>
      <c r="WDI485" s="1031"/>
      <c r="WDJ485" s="1031"/>
      <c r="WDK485" s="1031"/>
      <c r="WDL485" s="1031"/>
      <c r="WDM485" s="1031"/>
      <c r="WDN485" s="1031"/>
      <c r="WDO485" s="1031"/>
      <c r="WDP485" s="1031"/>
      <c r="WDQ485" s="1031"/>
      <c r="WDR485" s="1031"/>
      <c r="WDS485" s="1031"/>
      <c r="WDT485" s="1031"/>
      <c r="WDU485" s="1031"/>
      <c r="WDV485" s="1031"/>
      <c r="WDW485" s="1031"/>
      <c r="WDX485" s="1031"/>
      <c r="WDY485" s="1031"/>
      <c r="WDZ485" s="1031"/>
      <c r="WEA485" s="1031"/>
      <c r="WEB485" s="1031"/>
      <c r="WEC485" s="1031"/>
      <c r="WED485" s="1031"/>
      <c r="WEE485" s="1031"/>
      <c r="WEF485" s="1031"/>
      <c r="WEG485" s="1031"/>
      <c r="WEH485" s="1031"/>
      <c r="WEI485" s="1031"/>
      <c r="WEJ485" s="1031"/>
      <c r="WEK485" s="1031"/>
      <c r="WEL485" s="1031"/>
      <c r="WEM485" s="1031"/>
      <c r="WEN485" s="1031"/>
      <c r="WEO485" s="1031"/>
      <c r="WEP485" s="1031"/>
      <c r="WEQ485" s="1031"/>
      <c r="WER485" s="1031"/>
      <c r="WES485" s="1031"/>
      <c r="WET485" s="1031"/>
      <c r="WEU485" s="1031"/>
      <c r="WEV485" s="1031"/>
      <c r="WEW485" s="1031"/>
      <c r="WEX485" s="1031"/>
      <c r="WEY485" s="1031"/>
      <c r="WEZ485" s="1031"/>
      <c r="WFA485" s="1031"/>
      <c r="WFB485" s="1031"/>
      <c r="WFC485" s="1031"/>
      <c r="WFD485" s="1031"/>
      <c r="WFE485" s="1031"/>
      <c r="WFF485" s="1031"/>
      <c r="WFG485" s="1031"/>
      <c r="WFH485" s="1031"/>
      <c r="WFI485" s="1031"/>
      <c r="WFJ485" s="1031"/>
      <c r="WFK485" s="1031"/>
      <c r="WFL485" s="1031"/>
      <c r="WFM485" s="1031"/>
      <c r="WFN485" s="1031"/>
      <c r="WFO485" s="1031"/>
      <c r="WFP485" s="1031"/>
      <c r="WFQ485" s="1031"/>
      <c r="WFR485" s="1031"/>
      <c r="WFS485" s="1031"/>
      <c r="WFT485" s="1031"/>
      <c r="WFU485" s="1031"/>
      <c r="WFV485" s="1031"/>
      <c r="WFW485" s="1031"/>
      <c r="WFX485" s="1031"/>
      <c r="WFY485" s="1031"/>
      <c r="WFZ485" s="1031"/>
      <c r="WGA485" s="1031"/>
      <c r="WGB485" s="1031"/>
      <c r="WGC485" s="1031"/>
      <c r="WGD485" s="1031"/>
      <c r="WGE485" s="1031"/>
      <c r="WGF485" s="1031"/>
      <c r="WGG485" s="1031"/>
      <c r="WGH485" s="1031"/>
      <c r="WGI485" s="1031"/>
      <c r="WGJ485" s="1031"/>
      <c r="WGK485" s="1031"/>
      <c r="WGL485" s="1031"/>
      <c r="WGM485" s="1031"/>
      <c r="WGN485" s="1031"/>
      <c r="WGO485" s="1031"/>
      <c r="WGP485" s="1031"/>
      <c r="WGQ485" s="1031"/>
      <c r="WGR485" s="1031"/>
      <c r="WGS485" s="1031"/>
      <c r="WGT485" s="1031"/>
      <c r="WGU485" s="1031"/>
      <c r="WGV485" s="1031"/>
      <c r="WGW485" s="1031"/>
      <c r="WGX485" s="1031"/>
      <c r="WGY485" s="1031"/>
      <c r="WGZ485" s="1031"/>
      <c r="WHA485" s="1031"/>
      <c r="WHB485" s="1031"/>
      <c r="WHC485" s="1031"/>
      <c r="WHD485" s="1031"/>
      <c r="WHE485" s="1031"/>
      <c r="WHF485" s="1031"/>
      <c r="WHG485" s="1031"/>
      <c r="WHH485" s="1031"/>
      <c r="WHI485" s="1031"/>
      <c r="WHJ485" s="1031"/>
      <c r="WHK485" s="1031"/>
      <c r="WHL485" s="1031"/>
      <c r="WHM485" s="1031"/>
      <c r="WHN485" s="1031"/>
      <c r="WHO485" s="1031"/>
      <c r="WHP485" s="1031"/>
      <c r="WHQ485" s="1031"/>
      <c r="WHR485" s="1031"/>
      <c r="WHS485" s="1031"/>
      <c r="WHT485" s="1031"/>
      <c r="WHU485" s="1031"/>
      <c r="WHV485" s="1031"/>
      <c r="WHW485" s="1031"/>
      <c r="WHX485" s="1031"/>
      <c r="WHY485" s="1031"/>
      <c r="WHZ485" s="1031"/>
      <c r="WIA485" s="1031"/>
      <c r="WIB485" s="1031"/>
      <c r="WIC485" s="1031"/>
      <c r="WID485" s="1031"/>
      <c r="WIE485" s="1031"/>
      <c r="WIF485" s="1031"/>
      <c r="WIG485" s="1031"/>
      <c r="WIH485" s="1031"/>
      <c r="WII485" s="1031"/>
      <c r="WIJ485" s="1031"/>
      <c r="WIK485" s="1031"/>
      <c r="WIL485" s="1031"/>
      <c r="WIM485" s="1031"/>
      <c r="WIN485" s="1031"/>
      <c r="WIO485" s="1031"/>
      <c r="WIP485" s="1031"/>
      <c r="WIQ485" s="1031"/>
      <c r="WIR485" s="1031"/>
      <c r="WIS485" s="1031"/>
      <c r="WIT485" s="1031"/>
      <c r="WIU485" s="1031"/>
      <c r="WIV485" s="1031"/>
      <c r="WIW485" s="1031"/>
      <c r="WIX485" s="1031"/>
      <c r="WIY485" s="1031"/>
      <c r="WIZ485" s="1031"/>
      <c r="WJA485" s="1031"/>
      <c r="WJB485" s="1031"/>
      <c r="WJC485" s="1031"/>
      <c r="WJD485" s="1031"/>
      <c r="WJE485" s="1031"/>
      <c r="WJF485" s="1031"/>
      <c r="WJG485" s="1031"/>
      <c r="WJH485" s="1031"/>
      <c r="WJI485" s="1031"/>
      <c r="WJJ485" s="1031"/>
      <c r="WJK485" s="1031"/>
      <c r="WJL485" s="1031"/>
      <c r="WJM485" s="1031"/>
      <c r="WJN485" s="1031"/>
      <c r="WJO485" s="1031"/>
      <c r="WJP485" s="1031"/>
      <c r="WJQ485" s="1031"/>
      <c r="WJR485" s="1031"/>
      <c r="WJS485" s="1031"/>
      <c r="WJT485" s="1031"/>
      <c r="WJU485" s="1031"/>
      <c r="WJV485" s="1031"/>
      <c r="WJW485" s="1031"/>
      <c r="WJX485" s="1031"/>
      <c r="WJY485" s="1031"/>
      <c r="WJZ485" s="1031"/>
      <c r="WKA485" s="1031"/>
      <c r="WKB485" s="1031"/>
      <c r="WKC485" s="1031"/>
      <c r="WKD485" s="1031"/>
      <c r="WKE485" s="1031"/>
      <c r="WKF485" s="1031"/>
      <c r="WKG485" s="1031"/>
      <c r="WKH485" s="1031"/>
      <c r="WKI485" s="1031"/>
      <c r="WKJ485" s="1031"/>
      <c r="WKK485" s="1031"/>
      <c r="WKL485" s="1031"/>
      <c r="WKM485" s="1031"/>
      <c r="WKN485" s="1031"/>
      <c r="WKO485" s="1031"/>
      <c r="WKP485" s="1031"/>
      <c r="WKQ485" s="1031"/>
      <c r="WKR485" s="1031"/>
      <c r="WKS485" s="1031"/>
      <c r="WKT485" s="1031"/>
      <c r="WKU485" s="1031"/>
      <c r="WKV485" s="1031"/>
      <c r="WKW485" s="1031"/>
      <c r="WKX485" s="1031"/>
      <c r="WKY485" s="1031"/>
      <c r="WKZ485" s="1031"/>
      <c r="WLA485" s="1031"/>
      <c r="WLB485" s="1031"/>
      <c r="WLC485" s="1031"/>
      <c r="WLD485" s="1031"/>
      <c r="WLE485" s="1031"/>
      <c r="WLF485" s="1031"/>
      <c r="WLG485" s="1031"/>
      <c r="WLH485" s="1031"/>
      <c r="WLI485" s="1031"/>
      <c r="WLJ485" s="1031"/>
      <c r="WLK485" s="1031"/>
      <c r="WLL485" s="1031"/>
      <c r="WLM485" s="1031"/>
      <c r="WLN485" s="1031"/>
      <c r="WLO485" s="1031"/>
      <c r="WLP485" s="1031"/>
      <c r="WLQ485" s="1031"/>
      <c r="WLR485" s="1031"/>
      <c r="WLS485" s="1031"/>
      <c r="WLT485" s="1031"/>
      <c r="WLU485" s="1031"/>
      <c r="WLV485" s="1031"/>
      <c r="WLW485" s="1031"/>
      <c r="WLX485" s="1031"/>
      <c r="WLY485" s="1031"/>
      <c r="WLZ485" s="1031"/>
      <c r="WMA485" s="1031"/>
      <c r="WMB485" s="1031"/>
      <c r="WMC485" s="1031"/>
      <c r="WMD485" s="1031"/>
      <c r="WME485" s="1031"/>
      <c r="WMF485" s="1031"/>
      <c r="WMG485" s="1031"/>
      <c r="WMH485" s="1031"/>
      <c r="WMI485" s="1031"/>
      <c r="WMJ485" s="1031"/>
      <c r="WMK485" s="1031"/>
      <c r="WML485" s="1031"/>
      <c r="WMM485" s="1031"/>
      <c r="WMN485" s="1031"/>
      <c r="WMO485" s="1031"/>
      <c r="WMP485" s="1031"/>
      <c r="WMQ485" s="1031"/>
      <c r="WMR485" s="1031"/>
      <c r="WMS485" s="1031"/>
      <c r="WMT485" s="1031"/>
      <c r="WMU485" s="1031"/>
      <c r="WMV485" s="1031"/>
      <c r="WMW485" s="1031"/>
      <c r="WMX485" s="1031"/>
      <c r="WMY485" s="1031"/>
      <c r="WMZ485" s="1031"/>
      <c r="WNA485" s="1031"/>
      <c r="WNB485" s="1031"/>
      <c r="WNC485" s="1031"/>
      <c r="WND485" s="1031"/>
      <c r="WNE485" s="1031"/>
      <c r="WNF485" s="1031"/>
      <c r="WNG485" s="1031"/>
      <c r="WNH485" s="1031"/>
      <c r="WNI485" s="1031"/>
      <c r="WNJ485" s="1031"/>
      <c r="WNK485" s="1031"/>
      <c r="WNL485" s="1031"/>
      <c r="WNM485" s="1031"/>
      <c r="WNN485" s="1031"/>
      <c r="WNO485" s="1031"/>
      <c r="WNP485" s="1031"/>
      <c r="WNQ485" s="1031"/>
      <c r="WNR485" s="1031"/>
      <c r="WNS485" s="1031"/>
      <c r="WNT485" s="1031"/>
      <c r="WNU485" s="1031"/>
      <c r="WNV485" s="1031"/>
      <c r="WNW485" s="1031"/>
      <c r="WNX485" s="1031"/>
      <c r="WNY485" s="1031"/>
      <c r="WNZ485" s="1031"/>
      <c r="WOA485" s="1031"/>
      <c r="WOB485" s="1031"/>
      <c r="WOC485" s="1031"/>
      <c r="WOD485" s="1031"/>
      <c r="WOE485" s="1031"/>
      <c r="WOF485" s="1031"/>
      <c r="WOG485" s="1031"/>
      <c r="WOH485" s="1031"/>
      <c r="WOI485" s="1031"/>
      <c r="WOJ485" s="1031"/>
      <c r="WOK485" s="1031"/>
      <c r="WOL485" s="1031"/>
      <c r="WOM485" s="1031"/>
      <c r="WON485" s="1031"/>
      <c r="WOO485" s="1031"/>
      <c r="WOP485" s="1031"/>
      <c r="WOQ485" s="1031"/>
      <c r="WOR485" s="1031"/>
      <c r="WOS485" s="1031"/>
      <c r="WOT485" s="1031"/>
      <c r="WOU485" s="1031"/>
      <c r="WOV485" s="1031"/>
      <c r="WOW485" s="1031"/>
      <c r="WOX485" s="1031"/>
      <c r="WOY485" s="1031"/>
      <c r="WOZ485" s="1031"/>
      <c r="WPA485" s="1031"/>
      <c r="WPB485" s="1031"/>
      <c r="WPC485" s="1031"/>
      <c r="WPD485" s="1031"/>
      <c r="WPE485" s="1031"/>
      <c r="WPF485" s="1031"/>
      <c r="WPG485" s="1031"/>
      <c r="WPH485" s="1031"/>
      <c r="WPI485" s="1031"/>
      <c r="WPJ485" s="1031"/>
      <c r="WPK485" s="1031"/>
      <c r="WPL485" s="1031"/>
      <c r="WPM485" s="1031"/>
      <c r="WPN485" s="1031"/>
      <c r="WPO485" s="1031"/>
      <c r="WPP485" s="1031"/>
      <c r="WPQ485" s="1031"/>
      <c r="WPR485" s="1031"/>
      <c r="WPS485" s="1031"/>
      <c r="WPT485" s="1031"/>
      <c r="WPU485" s="1031"/>
      <c r="WPV485" s="1031"/>
      <c r="WPW485" s="1031"/>
      <c r="WPX485" s="1031"/>
      <c r="WPY485" s="1031"/>
      <c r="WPZ485" s="1031"/>
      <c r="WQA485" s="1031"/>
      <c r="WQB485" s="1031"/>
      <c r="WQC485" s="1031"/>
      <c r="WQD485" s="1031"/>
      <c r="WQE485" s="1031"/>
      <c r="WQF485" s="1031"/>
      <c r="WQG485" s="1031"/>
      <c r="WQH485" s="1031"/>
      <c r="WQI485" s="1031"/>
      <c r="WQJ485" s="1031"/>
      <c r="WQK485" s="1031"/>
      <c r="WQL485" s="1031"/>
      <c r="WQM485" s="1031"/>
      <c r="WQN485" s="1031"/>
      <c r="WQO485" s="1031"/>
      <c r="WQP485" s="1031"/>
      <c r="WQQ485" s="1031"/>
      <c r="WQR485" s="1031"/>
      <c r="WQS485" s="1031"/>
      <c r="WQT485" s="1031"/>
      <c r="WQU485" s="1031"/>
      <c r="WQV485" s="1031"/>
      <c r="WQW485" s="1031"/>
      <c r="WQX485" s="1031"/>
      <c r="WQY485" s="1031"/>
      <c r="WQZ485" s="1031"/>
      <c r="WRA485" s="1031"/>
      <c r="WRB485" s="1031"/>
      <c r="WRC485" s="1031"/>
      <c r="WRD485" s="1031"/>
      <c r="WRE485" s="1031"/>
      <c r="WRF485" s="1031"/>
      <c r="WRG485" s="1031"/>
      <c r="WRH485" s="1031"/>
      <c r="WRI485" s="1031"/>
      <c r="WRJ485" s="1031"/>
      <c r="WRK485" s="1031"/>
      <c r="WRL485" s="1031"/>
      <c r="WRM485" s="1031"/>
      <c r="WRN485" s="1031"/>
      <c r="WRO485" s="1031"/>
      <c r="WRP485" s="1031"/>
      <c r="WRQ485" s="1031"/>
      <c r="WRR485" s="1031"/>
      <c r="WRS485" s="1031"/>
      <c r="WRT485" s="1031"/>
      <c r="WRU485" s="1031"/>
      <c r="WRV485" s="1031"/>
      <c r="WRW485" s="1031"/>
      <c r="WRX485" s="1031"/>
      <c r="WRY485" s="1031"/>
      <c r="WRZ485" s="1031"/>
      <c r="WSA485" s="1031"/>
      <c r="WSB485" s="1031"/>
      <c r="WSC485" s="1031"/>
      <c r="WSD485" s="1031"/>
      <c r="WSE485" s="1031"/>
      <c r="WSF485" s="1031"/>
      <c r="WSG485" s="1031"/>
      <c r="WSH485" s="1031"/>
      <c r="WSI485" s="1031"/>
      <c r="WSJ485" s="1031"/>
      <c r="WSK485" s="1031"/>
      <c r="WSL485" s="1031"/>
      <c r="WSM485" s="1031"/>
      <c r="WSN485" s="1031"/>
      <c r="WSO485" s="1031"/>
      <c r="WSP485" s="1031"/>
      <c r="WSQ485" s="1031"/>
      <c r="WSR485" s="1031"/>
      <c r="WSS485" s="1031"/>
      <c r="WST485" s="1031"/>
      <c r="WSU485" s="1031"/>
      <c r="WSV485" s="1031"/>
      <c r="WSW485" s="1031"/>
      <c r="WSX485" s="1031"/>
      <c r="WSY485" s="1031"/>
      <c r="WSZ485" s="1031"/>
      <c r="WTA485" s="1031"/>
      <c r="WTB485" s="1031"/>
      <c r="WTC485" s="1031"/>
      <c r="WTD485" s="1031"/>
      <c r="WTE485" s="1031"/>
      <c r="WTF485" s="1031"/>
      <c r="WTG485" s="1031"/>
      <c r="WTH485" s="1031"/>
      <c r="WTI485" s="1031"/>
      <c r="WTJ485" s="1031"/>
      <c r="WTK485" s="1031"/>
      <c r="WTL485" s="1031"/>
      <c r="WTM485" s="1031"/>
      <c r="WTN485" s="1031"/>
      <c r="WTO485" s="1031"/>
      <c r="WTP485" s="1031"/>
      <c r="WTQ485" s="1031"/>
      <c r="WTR485" s="1031"/>
      <c r="WTS485" s="1031"/>
      <c r="WTT485" s="1031"/>
      <c r="WTU485" s="1031"/>
      <c r="WTV485" s="1031"/>
      <c r="WTW485" s="1031"/>
      <c r="WTX485" s="1031"/>
      <c r="WTY485" s="1031"/>
      <c r="WTZ485" s="1031"/>
      <c r="WUA485" s="1031"/>
      <c r="WUB485" s="1031"/>
      <c r="WUC485" s="1031"/>
      <c r="WUD485" s="1031"/>
      <c r="WUE485" s="1031"/>
      <c r="WUF485" s="1031"/>
      <c r="WUG485" s="1031"/>
      <c r="WUH485" s="1031"/>
      <c r="WUI485" s="1031"/>
      <c r="WUJ485" s="1031"/>
      <c r="WUK485" s="1031"/>
      <c r="WUL485" s="1031"/>
      <c r="WUM485" s="1031"/>
      <c r="WUN485" s="1031"/>
      <c r="WUO485" s="1031"/>
      <c r="WUP485" s="1031"/>
      <c r="WUQ485" s="1031"/>
      <c r="WUR485" s="1031"/>
      <c r="WUS485" s="1031"/>
      <c r="WUT485" s="1031"/>
      <c r="WUU485" s="1031"/>
      <c r="WUV485" s="1031"/>
      <c r="WUW485" s="1031"/>
      <c r="WUX485" s="1031"/>
      <c r="WUY485" s="1031"/>
      <c r="WUZ485" s="1031"/>
      <c r="WVA485" s="1031"/>
      <c r="WVB485" s="1031"/>
      <c r="WVC485" s="1031"/>
      <c r="WVD485" s="1031"/>
      <c r="WVE485" s="1031"/>
      <c r="WVF485" s="1031"/>
      <c r="WVG485" s="1031"/>
      <c r="WVH485" s="1031"/>
      <c r="WVI485" s="1031"/>
      <c r="WVJ485" s="1031"/>
      <c r="WVK485" s="1031"/>
      <c r="WVL485" s="1031"/>
      <c r="WVM485" s="1031"/>
      <c r="WVN485" s="1031"/>
      <c r="WVO485" s="1031"/>
      <c r="WVP485" s="1031"/>
      <c r="WVQ485" s="1031"/>
      <c r="WVR485" s="1031"/>
      <c r="WVS485" s="1031"/>
      <c r="WVT485" s="1031"/>
      <c r="WVU485" s="1031"/>
      <c r="WVV485" s="1031"/>
      <c r="WVW485" s="1031"/>
      <c r="WVX485" s="1031"/>
      <c r="WVY485" s="1031"/>
      <c r="WVZ485" s="1031"/>
    </row>
  </sheetData>
  <mergeCells count="1">
    <mergeCell ref="D1:F1"/>
  </mergeCells>
  <pageMargins left="0.75" right="0.75" top="1" bottom="1" header="0.5" footer="0.5"/>
  <pageSetup scale="65" fitToHeight="4" orientation="portrait" r:id="rId1"/>
  <headerFooter alignWithMargins="0"/>
  <rowBreaks count="1" manualBreakCount="1">
    <brk id="146" max="6"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57"/>
  <sheetViews>
    <sheetView tabSelected="1" view="pageBreakPreview" zoomScale="85" zoomScaleNormal="100" zoomScaleSheetLayoutView="85" workbookViewId="0">
      <pane xSplit="4" ySplit="13" topLeftCell="E14" activePane="bottomRight" state="frozen"/>
      <selection activeCell="AR41" sqref="AR41"/>
      <selection pane="topRight" activeCell="AR41" sqref="AR41"/>
      <selection pane="bottomLeft" activeCell="AR41" sqref="AR41"/>
      <selection pane="bottomRight" activeCell="AR41" sqref="AR41"/>
    </sheetView>
  </sheetViews>
  <sheetFormatPr defaultRowHeight="11.25" outlineLevelCol="1"/>
  <cols>
    <col min="1" max="1" width="9.140625" style="1091"/>
    <col min="2" max="2" width="9.5703125" style="1086" customWidth="1"/>
    <col min="3" max="3" width="22.28515625" style="1091" customWidth="1"/>
    <col min="4" max="4" width="33.85546875" style="1088" customWidth="1"/>
    <col min="5" max="8" width="16.7109375" style="1088" customWidth="1" outlineLevel="1"/>
    <col min="9" max="9" width="16.7109375" style="1089" customWidth="1" outlineLevel="1"/>
    <col min="10" max="10" width="16.7109375" style="1088" customWidth="1" outlineLevel="1"/>
    <col min="11" max="11" width="12.85546875" style="1088" customWidth="1" outlineLevel="1"/>
    <col min="12" max="15" width="16.7109375" style="1088" customWidth="1" outlineLevel="1"/>
    <col min="16" max="16" width="8.5703125" style="1088" customWidth="1" outlineLevel="1"/>
    <col min="17" max="17" width="14.42578125" style="1090" customWidth="1"/>
    <col min="18" max="18" width="11.140625" style="1091" bestFit="1" customWidth="1"/>
    <col min="19" max="19" width="9.85546875" style="1092" bestFit="1" customWidth="1"/>
    <col min="20" max="20" width="9.140625" style="1091"/>
    <col min="21" max="21" width="10.7109375" style="1091" customWidth="1"/>
    <col min="22" max="16384" width="9.140625" style="1091"/>
  </cols>
  <sheetData>
    <row r="1" spans="1:36">
      <c r="A1" s="1239" t="str">
        <f>'Consolidated IS '!A2</f>
        <v>LeMay Enterprises - Pacific/Rural Disposal</v>
      </c>
      <c r="C1" s="1087"/>
    </row>
    <row r="2" spans="1:36" ht="16.5">
      <c r="A2" s="1085" t="s">
        <v>2715</v>
      </c>
      <c r="C2" s="1087"/>
      <c r="D2" s="1230"/>
    </row>
    <row r="3" spans="1:36">
      <c r="A3" s="1085" t="s">
        <v>960</v>
      </c>
      <c r="C3" s="1085"/>
    </row>
    <row r="4" spans="1:36">
      <c r="A4" s="1085"/>
      <c r="C4" s="1085"/>
    </row>
    <row r="5" spans="1:36">
      <c r="A5" s="1085"/>
      <c r="C5" s="1085"/>
    </row>
    <row r="6" spans="1:36">
      <c r="A6" s="1085"/>
      <c r="C6" s="1085"/>
    </row>
    <row r="7" spans="1:36">
      <c r="A7" s="1085"/>
      <c r="C7" s="1085"/>
    </row>
    <row r="8" spans="1:36">
      <c r="A8" s="1085"/>
      <c r="C8" s="1085"/>
    </row>
    <row r="9" spans="1:36">
      <c r="A9" s="1085"/>
      <c r="C9" s="1085"/>
    </row>
    <row r="10" spans="1:36">
      <c r="B10" s="1093"/>
      <c r="C10" s="1094"/>
      <c r="D10" s="1095"/>
      <c r="E10" s="1095"/>
      <c r="F10" s="1095"/>
      <c r="G10" s="1095"/>
      <c r="H10" s="1095"/>
      <c r="I10" s="1096"/>
      <c r="J10" s="1095"/>
      <c r="K10" s="1095"/>
      <c r="L10" s="1095"/>
      <c r="M10" s="1095"/>
      <c r="N10" s="1095"/>
      <c r="O10" s="1095"/>
      <c r="P10" s="1095"/>
      <c r="Q10" s="1097"/>
    </row>
    <row r="11" spans="1:36" ht="12" thickBot="1">
      <c r="A11" s="1240" t="s">
        <v>2716</v>
      </c>
      <c r="B11" s="1098"/>
      <c r="C11" s="1099"/>
      <c r="D11" s="1100"/>
      <c r="E11" s="1100"/>
      <c r="F11" s="1100"/>
      <c r="G11" s="1100"/>
      <c r="H11" s="1100"/>
      <c r="I11" s="1101"/>
      <c r="J11" s="1100"/>
      <c r="K11" s="1100"/>
      <c r="L11" s="1100"/>
      <c r="M11" s="1100"/>
      <c r="N11" s="1100"/>
      <c r="O11" s="1100"/>
      <c r="P11" s="1100"/>
      <c r="Q11" s="1102"/>
    </row>
    <row r="12" spans="1:36">
      <c r="A12" s="1103"/>
      <c r="B12" s="1104"/>
      <c r="C12" s="1105"/>
      <c r="D12" s="1106"/>
      <c r="E12" s="1107"/>
      <c r="F12" s="1107"/>
      <c r="G12" s="1107"/>
      <c r="H12" s="1107"/>
      <c r="I12" s="1108"/>
      <c r="J12" s="1107"/>
      <c r="K12" s="1107"/>
      <c r="L12" s="1107"/>
      <c r="M12" s="1107"/>
      <c r="N12" s="1107"/>
      <c r="O12" s="1107"/>
      <c r="P12" s="1107"/>
      <c r="Q12" s="1109"/>
      <c r="R12" s="1110"/>
      <c r="S12" s="1111"/>
      <c r="T12" s="1110"/>
      <c r="U12" s="1110"/>
      <c r="V12" s="1110"/>
      <c r="W12" s="1110"/>
      <c r="X12" s="1110"/>
      <c r="Y12" s="1110"/>
      <c r="Z12" s="1110"/>
      <c r="AA12" s="1110"/>
      <c r="AB12" s="1110"/>
      <c r="AC12" s="1110"/>
      <c r="AD12" s="1110"/>
      <c r="AE12" s="1110"/>
      <c r="AF12" s="1110"/>
      <c r="AG12" s="1110"/>
      <c r="AH12" s="1110"/>
      <c r="AI12" s="1110"/>
      <c r="AJ12" s="1110"/>
    </row>
    <row r="13" spans="1:36" ht="59.25" customHeight="1" thickBot="1">
      <c r="A13" s="1112" t="s">
        <v>2717</v>
      </c>
      <c r="B13" s="1113" t="s">
        <v>2718</v>
      </c>
      <c r="C13" s="1114" t="s">
        <v>2719</v>
      </c>
      <c r="D13" s="1114" t="s">
        <v>2720</v>
      </c>
      <c r="E13" s="1115" t="s">
        <v>2721</v>
      </c>
      <c r="F13" s="1115" t="s">
        <v>2722</v>
      </c>
      <c r="G13" s="1116" t="s">
        <v>2723</v>
      </c>
      <c r="H13" s="1116" t="s">
        <v>2724</v>
      </c>
      <c r="I13" s="1117" t="s">
        <v>2725</v>
      </c>
      <c r="J13" s="1115" t="s">
        <v>2726</v>
      </c>
      <c r="K13" s="1115" t="s">
        <v>2727</v>
      </c>
      <c r="L13" s="1115" t="s">
        <v>2728</v>
      </c>
      <c r="M13" s="1115" t="s">
        <v>2729</v>
      </c>
      <c r="N13" s="1115" t="s">
        <v>2730</v>
      </c>
      <c r="O13" s="1116" t="s">
        <v>2731</v>
      </c>
      <c r="P13" s="1115" t="s">
        <v>2732</v>
      </c>
      <c r="Q13" s="1118" t="s">
        <v>2733</v>
      </c>
      <c r="R13" s="1087" t="s">
        <v>2734</v>
      </c>
    </row>
    <row r="14" spans="1:36" ht="12.75" thickTop="1" thickBot="1">
      <c r="A14" s="1119"/>
      <c r="B14" s="1120"/>
      <c r="C14" s="1121"/>
      <c r="D14" s="1121"/>
      <c r="E14" s="1122"/>
      <c r="F14" s="1122"/>
      <c r="G14" s="1122"/>
      <c r="H14" s="1122"/>
      <c r="I14" s="1123"/>
      <c r="J14" s="1122"/>
      <c r="K14" s="1122"/>
      <c r="L14" s="1122"/>
      <c r="M14" s="1122"/>
      <c r="N14" s="1122"/>
      <c r="O14" s="1122"/>
      <c r="P14" s="1122"/>
      <c r="Q14" s="1124"/>
    </row>
    <row r="15" spans="1:36" ht="12.75" thickTop="1" thickBot="1">
      <c r="A15" s="1125"/>
      <c r="B15" s="1126" t="s">
        <v>2735</v>
      </c>
      <c r="C15" s="1127"/>
      <c r="D15" s="1128"/>
      <c r="E15" s="1122"/>
      <c r="F15" s="1122"/>
      <c r="G15" s="1122"/>
      <c r="H15" s="1122"/>
      <c r="I15" s="1123"/>
      <c r="J15" s="1122"/>
      <c r="K15" s="1122"/>
      <c r="L15" s="1122"/>
      <c r="M15" s="1122"/>
      <c r="N15" s="1122"/>
      <c r="O15" s="1122"/>
      <c r="P15" s="1122"/>
      <c r="Q15" s="1124"/>
    </row>
    <row r="16" spans="1:36" ht="34.5" thickTop="1">
      <c r="A16" s="1129" t="s">
        <v>2736</v>
      </c>
      <c r="B16" s="1130"/>
      <c r="C16" s="1131"/>
      <c r="D16" s="1132"/>
      <c r="E16" s="1133"/>
      <c r="F16" s="1133"/>
      <c r="G16" s="1133"/>
      <c r="H16" s="1133"/>
      <c r="I16" s="1134"/>
      <c r="J16" s="1133"/>
      <c r="K16" s="1133"/>
      <c r="L16" s="1133"/>
      <c r="M16" s="1133"/>
      <c r="N16" s="1133"/>
      <c r="O16" s="1133"/>
      <c r="P16" s="1133"/>
      <c r="Q16" s="1135"/>
      <c r="S16" s="1136" t="s">
        <v>2737</v>
      </c>
      <c r="U16" s="1137" t="s">
        <v>2738</v>
      </c>
    </row>
    <row r="17" spans="1:22">
      <c r="A17" s="1138">
        <v>2183</v>
      </c>
      <c r="B17" s="1139" t="s">
        <v>2739</v>
      </c>
      <c r="C17" s="1231" t="s">
        <v>2970</v>
      </c>
      <c r="D17" s="1140" t="s">
        <v>2757</v>
      </c>
      <c r="E17" s="1134">
        <v>26.159999999999886</v>
      </c>
      <c r="F17" s="1133">
        <v>2096</v>
      </c>
      <c r="G17" s="1141">
        <f t="shared" ref="G17:G35" si="0">+E17*F17</f>
        <v>54831.35999999976</v>
      </c>
      <c r="H17" s="1133">
        <v>535.60000600000012</v>
      </c>
      <c r="I17" s="1134">
        <f>+IFERROR(E17*1.5*H17,0)</f>
        <v>21016.944235439914</v>
      </c>
      <c r="J17" s="1134">
        <f>+G17+I17</f>
        <v>75848.304235439675</v>
      </c>
      <c r="K17" s="1133">
        <v>624.99999999999989</v>
      </c>
      <c r="L17" s="1133">
        <v>833.12</v>
      </c>
      <c r="M17" s="1133">
        <f>+L17+K17+J17</f>
        <v>77306.42423543967</v>
      </c>
      <c r="N17" s="1142">
        <f>+IF(R17="union",(1/E17),2.5%)</f>
        <v>3.8226299694189766E-2</v>
      </c>
      <c r="O17" s="1133">
        <f>+M17*(1+N17)</f>
        <v>80261.562776549763</v>
      </c>
      <c r="P17" s="1133">
        <f>+IF(R17="union",250,0)</f>
        <v>250</v>
      </c>
      <c r="Q17" s="1135">
        <f>+O17+P17</f>
        <v>80511.562776549763</v>
      </c>
      <c r="R17" s="1091" t="s">
        <v>2986</v>
      </c>
      <c r="S17" s="1092">
        <f>+O17-M17+P17</f>
        <v>3205.1385411100928</v>
      </c>
      <c r="U17" s="1232">
        <f>+IF(R17="Union",F17*0.05,0)</f>
        <v>104.80000000000001</v>
      </c>
    </row>
    <row r="18" spans="1:22">
      <c r="A18" s="1138">
        <v>2183</v>
      </c>
      <c r="B18" s="1139" t="s">
        <v>2740</v>
      </c>
      <c r="C18" s="1231" t="s">
        <v>2971</v>
      </c>
      <c r="D18" s="1140" t="s">
        <v>2757</v>
      </c>
      <c r="E18" s="1134">
        <v>26.159999999999886</v>
      </c>
      <c r="F18" s="1133">
        <v>2055.2333330000001</v>
      </c>
      <c r="G18" s="1141">
        <f t="shared" si="0"/>
        <v>53764.903991279767</v>
      </c>
      <c r="H18" s="1133">
        <v>576.38333499999999</v>
      </c>
      <c r="I18" s="1134">
        <f t="shared" ref="I18:I35" si="1">+IFERROR(E18*1.5*H18,0)</f>
        <v>22617.282065399901</v>
      </c>
      <c r="J18" s="1134">
        <f t="shared" ref="J18:J35" si="2">+G18+I18</f>
        <v>76382.186056679668</v>
      </c>
      <c r="K18" s="1133">
        <v>624.99999999999989</v>
      </c>
      <c r="L18" s="1133">
        <v>821.12</v>
      </c>
      <c r="M18" s="1133">
        <f t="shared" ref="M18:M35" si="3">+L18+K18+J18</f>
        <v>77828.306056679663</v>
      </c>
      <c r="N18" s="1142">
        <f t="shared" ref="N18:N34" si="4">+IF(R18="union",(1/E18),2.5%)</f>
        <v>3.8226299694189766E-2</v>
      </c>
      <c r="O18" s="1133">
        <f t="shared" ref="O18:O35" si="5">+M18*(1+N18)</f>
        <v>80803.394208693426</v>
      </c>
      <c r="P18" s="1133">
        <f t="shared" ref="P18:P35" si="6">+IF(R18="union",250,0)</f>
        <v>250</v>
      </c>
      <c r="Q18" s="1135">
        <f t="shared" ref="Q18:Q35" si="7">+O18+P18</f>
        <v>81053.394208693426</v>
      </c>
      <c r="R18" s="1091" t="s">
        <v>2986</v>
      </c>
      <c r="S18" s="1092">
        <f t="shared" ref="S18:S35" si="8">+O18-M18+P18</f>
        <v>3225.0881520137627</v>
      </c>
      <c r="U18" s="1232">
        <f t="shared" ref="U18:U35" si="9">+IF(R18="Union",F18*0.05,0)</f>
        <v>102.76166665000001</v>
      </c>
    </row>
    <row r="19" spans="1:22">
      <c r="A19" s="1138">
        <v>2183</v>
      </c>
      <c r="B19" s="1139" t="s">
        <v>2741</v>
      </c>
      <c r="C19" s="1231" t="s">
        <v>2972</v>
      </c>
      <c r="D19" s="1140" t="s">
        <v>2757</v>
      </c>
      <c r="E19" s="1134">
        <v>26.159999999999897</v>
      </c>
      <c r="F19" s="1133">
        <v>2166.1999999999998</v>
      </c>
      <c r="G19" s="1141">
        <f t="shared" si="0"/>
        <v>56667.791999999776</v>
      </c>
      <c r="H19" s="1133">
        <v>704.33333199999981</v>
      </c>
      <c r="I19" s="1134">
        <f t="shared" si="1"/>
        <v>27638.039947679885</v>
      </c>
      <c r="J19" s="1134">
        <f t="shared" si="2"/>
        <v>84305.831947679661</v>
      </c>
      <c r="K19" s="1133">
        <v>0</v>
      </c>
      <c r="L19" s="1133">
        <v>1464.96</v>
      </c>
      <c r="M19" s="1133">
        <f t="shared" si="3"/>
        <v>85770.791947679667</v>
      </c>
      <c r="N19" s="1142">
        <f t="shared" si="4"/>
        <v>3.8226299694189753E-2</v>
      </c>
      <c r="O19" s="1133">
        <f t="shared" si="5"/>
        <v>89049.491945679663</v>
      </c>
      <c r="P19" s="1133">
        <f t="shared" si="6"/>
        <v>250</v>
      </c>
      <c r="Q19" s="1135">
        <f t="shared" si="7"/>
        <v>89299.491945679663</v>
      </c>
      <c r="R19" s="1091" t="s">
        <v>2986</v>
      </c>
      <c r="S19" s="1092">
        <f t="shared" si="8"/>
        <v>3528.6999979999964</v>
      </c>
      <c r="U19" s="1232">
        <f t="shared" si="9"/>
        <v>108.31</v>
      </c>
    </row>
    <row r="20" spans="1:22">
      <c r="A20" s="1138">
        <v>2183</v>
      </c>
      <c r="B20" s="1139" t="s">
        <v>2742</v>
      </c>
      <c r="C20" s="1231" t="s">
        <v>2973</v>
      </c>
      <c r="D20" s="1140" t="s">
        <v>2757</v>
      </c>
      <c r="E20" s="1134">
        <v>26.159999999999886</v>
      </c>
      <c r="F20" s="1133">
        <v>2041.733334</v>
      </c>
      <c r="G20" s="1141">
        <f t="shared" si="0"/>
        <v>53411.744017439771</v>
      </c>
      <c r="H20" s="1133">
        <v>497.366671</v>
      </c>
      <c r="I20" s="1134">
        <f t="shared" si="1"/>
        <v>19516.668170039917</v>
      </c>
      <c r="J20" s="1134">
        <f t="shared" si="2"/>
        <v>72928.412187479684</v>
      </c>
      <c r="K20" s="1133">
        <v>624.99999999999989</v>
      </c>
      <c r="L20" s="1133">
        <v>2088.8000000000002</v>
      </c>
      <c r="M20" s="1133">
        <f t="shared" si="3"/>
        <v>75642.212187479687</v>
      </c>
      <c r="N20" s="1142">
        <f t="shared" si="4"/>
        <v>3.8226299694189766E-2</v>
      </c>
      <c r="O20" s="1133">
        <f t="shared" si="5"/>
        <v>78533.734060089773</v>
      </c>
      <c r="P20" s="1133">
        <f t="shared" si="6"/>
        <v>250</v>
      </c>
      <c r="Q20" s="1135">
        <f t="shared" si="7"/>
        <v>78783.734060089773</v>
      </c>
      <c r="R20" s="1091" t="s">
        <v>2986</v>
      </c>
      <c r="S20" s="1092">
        <f t="shared" si="8"/>
        <v>3141.5218726100866</v>
      </c>
      <c r="U20" s="1232">
        <f t="shared" si="9"/>
        <v>102.08666670000001</v>
      </c>
    </row>
    <row r="21" spans="1:22">
      <c r="A21" s="1138">
        <v>2183</v>
      </c>
      <c r="B21" s="1139" t="s">
        <v>2743</v>
      </c>
      <c r="C21" s="1231" t="s">
        <v>2974</v>
      </c>
      <c r="D21" s="1140" t="s">
        <v>2757</v>
      </c>
      <c r="E21" s="1134">
        <v>27.159999999999886</v>
      </c>
      <c r="F21" s="1133">
        <v>2059.7833329999999</v>
      </c>
      <c r="G21" s="1141">
        <f t="shared" si="0"/>
        <v>55943.715324279765</v>
      </c>
      <c r="H21" s="1133">
        <v>597.39999900000021</v>
      </c>
      <c r="I21" s="1134">
        <f t="shared" si="1"/>
        <v>24338.075959259906</v>
      </c>
      <c r="J21" s="1134">
        <f t="shared" si="2"/>
        <v>80281.791283539671</v>
      </c>
      <c r="K21" s="1133">
        <v>624.99999999999989</v>
      </c>
      <c r="L21" s="1133">
        <v>1738.24</v>
      </c>
      <c r="M21" s="1133">
        <f t="shared" si="3"/>
        <v>82645.031283539676</v>
      </c>
      <c r="N21" s="1142">
        <f t="shared" si="4"/>
        <v>3.6818851251841096E-2</v>
      </c>
      <c r="O21" s="1133">
        <f t="shared" si="5"/>
        <v>85687.926397072079</v>
      </c>
      <c r="P21" s="1133">
        <f t="shared" si="6"/>
        <v>250</v>
      </c>
      <c r="Q21" s="1135">
        <f t="shared" si="7"/>
        <v>85937.926397072079</v>
      </c>
      <c r="R21" s="1091" t="s">
        <v>2986</v>
      </c>
      <c r="S21" s="1092">
        <f t="shared" si="8"/>
        <v>3292.8951135324023</v>
      </c>
      <c r="U21" s="1232">
        <f t="shared" si="9"/>
        <v>102.98916665</v>
      </c>
    </row>
    <row r="22" spans="1:22">
      <c r="A22" s="1138">
        <v>2183</v>
      </c>
      <c r="B22" s="1139" t="s">
        <v>2744</v>
      </c>
      <c r="C22" s="1231" t="s">
        <v>2975</v>
      </c>
      <c r="D22" s="1140" t="s">
        <v>2757</v>
      </c>
      <c r="E22" s="1134">
        <v>26.159999999999886</v>
      </c>
      <c r="F22" s="1133">
        <v>2106.8500010000002</v>
      </c>
      <c r="G22" s="1141">
        <f t="shared" si="0"/>
        <v>55115.196026159771</v>
      </c>
      <c r="H22" s="1133">
        <v>628.43332400000008</v>
      </c>
      <c r="I22" s="1134">
        <f t="shared" si="1"/>
        <v>24659.723633759899</v>
      </c>
      <c r="J22" s="1134">
        <f t="shared" si="2"/>
        <v>79774.919659919673</v>
      </c>
      <c r="K22" s="1133">
        <v>624.99999999999989</v>
      </c>
      <c r="L22" s="1133">
        <v>837.12</v>
      </c>
      <c r="M22" s="1133">
        <f t="shared" si="3"/>
        <v>81237.039659919668</v>
      </c>
      <c r="N22" s="1142">
        <f t="shared" si="4"/>
        <v>3.8226299694189766E-2</v>
      </c>
      <c r="O22" s="1133">
        <f t="shared" si="5"/>
        <v>84342.431084228534</v>
      </c>
      <c r="P22" s="1133">
        <f t="shared" si="6"/>
        <v>250</v>
      </c>
      <c r="Q22" s="1135">
        <f t="shared" si="7"/>
        <v>84592.431084228534</v>
      </c>
      <c r="R22" s="1091" t="s">
        <v>2986</v>
      </c>
      <c r="S22" s="1092">
        <f t="shared" si="8"/>
        <v>3355.3914243088657</v>
      </c>
      <c r="U22" s="1232">
        <f t="shared" si="9"/>
        <v>105.34250005000001</v>
      </c>
    </row>
    <row r="23" spans="1:22">
      <c r="A23" s="1138">
        <v>2183</v>
      </c>
      <c r="B23" s="1139" t="s">
        <v>2745</v>
      </c>
      <c r="C23" s="1231" t="s">
        <v>2976</v>
      </c>
      <c r="D23" s="1140" t="s">
        <v>2757</v>
      </c>
      <c r="E23" s="1134">
        <v>26.159999999999897</v>
      </c>
      <c r="F23" s="1133">
        <v>2193.4666689999999</v>
      </c>
      <c r="G23" s="1141">
        <f t="shared" si="0"/>
        <v>57381.088061039773</v>
      </c>
      <c r="H23" s="1133">
        <v>405.88333400000005</v>
      </c>
      <c r="I23" s="1134">
        <f t="shared" si="1"/>
        <v>15926.862026159939</v>
      </c>
      <c r="J23" s="1134">
        <f t="shared" si="2"/>
        <v>73307.950087199715</v>
      </c>
      <c r="K23" s="1133">
        <v>0</v>
      </c>
      <c r="L23" s="1133">
        <v>414.56</v>
      </c>
      <c r="M23" s="1133">
        <f t="shared" si="3"/>
        <v>73722.510087199713</v>
      </c>
      <c r="N23" s="1142">
        <f t="shared" si="4"/>
        <v>3.8226299694189753E-2</v>
      </c>
      <c r="O23" s="1133">
        <f t="shared" si="5"/>
        <v>76540.648852000944</v>
      </c>
      <c r="P23" s="1133">
        <f t="shared" si="6"/>
        <v>250</v>
      </c>
      <c r="Q23" s="1135">
        <f t="shared" si="7"/>
        <v>76790.648852000944</v>
      </c>
      <c r="R23" s="1091" t="s">
        <v>2986</v>
      </c>
      <c r="S23" s="1092">
        <f t="shared" si="8"/>
        <v>3068.1387648012314</v>
      </c>
      <c r="T23" s="1110"/>
      <c r="U23" s="1232">
        <f t="shared" si="9"/>
        <v>109.67333345</v>
      </c>
      <c r="V23" s="1110"/>
    </row>
    <row r="24" spans="1:22">
      <c r="A24" s="1138">
        <v>2183</v>
      </c>
      <c r="B24" s="1139" t="s">
        <v>2746</v>
      </c>
      <c r="C24" s="1231" t="s">
        <v>2977</v>
      </c>
      <c r="D24" s="1140" t="s">
        <v>2757</v>
      </c>
      <c r="E24" s="1134">
        <v>26.159999999999886</v>
      </c>
      <c r="F24" s="1133">
        <v>2152.5500000000002</v>
      </c>
      <c r="G24" s="1141">
        <f t="shared" si="0"/>
        <v>56310.707999999759</v>
      </c>
      <c r="H24" s="1133">
        <v>408.08333000000005</v>
      </c>
      <c r="I24" s="1134">
        <f t="shared" si="1"/>
        <v>16013.189869199932</v>
      </c>
      <c r="J24" s="1134">
        <f t="shared" si="2"/>
        <v>72323.897869199689</v>
      </c>
      <c r="K24" s="1133">
        <v>624.99999999999989</v>
      </c>
      <c r="L24" s="1133">
        <v>1042.4000000000001</v>
      </c>
      <c r="M24" s="1133">
        <f t="shared" si="3"/>
        <v>73991.297869199683</v>
      </c>
      <c r="N24" s="1142">
        <f t="shared" si="4"/>
        <v>3.8226299694189766E-2</v>
      </c>
      <c r="O24" s="1133">
        <f t="shared" si="5"/>
        <v>76819.71139630978</v>
      </c>
      <c r="P24" s="1133">
        <f t="shared" si="6"/>
        <v>250</v>
      </c>
      <c r="Q24" s="1135">
        <f t="shared" si="7"/>
        <v>77069.71139630978</v>
      </c>
      <c r="R24" s="1091" t="s">
        <v>2986</v>
      </c>
      <c r="S24" s="1092">
        <f t="shared" si="8"/>
        <v>3078.4135271100968</v>
      </c>
      <c r="U24" s="1232">
        <f t="shared" si="9"/>
        <v>107.62750000000001</v>
      </c>
    </row>
    <row r="25" spans="1:22">
      <c r="A25" s="1138">
        <v>2183</v>
      </c>
      <c r="B25" s="1139" t="s">
        <v>2747</v>
      </c>
      <c r="C25" s="1231" t="s">
        <v>2978</v>
      </c>
      <c r="D25" s="1140" t="s">
        <v>2757</v>
      </c>
      <c r="E25" s="1134">
        <v>26.159999999999897</v>
      </c>
      <c r="F25" s="1133">
        <v>2081.6499999999996</v>
      </c>
      <c r="G25" s="1141">
        <f t="shared" si="0"/>
        <v>54455.963999999774</v>
      </c>
      <c r="H25" s="1133">
        <v>480.49999400000007</v>
      </c>
      <c r="I25" s="1134">
        <f t="shared" si="1"/>
        <v>18854.819764559928</v>
      </c>
      <c r="J25" s="1134">
        <f t="shared" si="2"/>
        <v>73310.783764559703</v>
      </c>
      <c r="K25" s="1133">
        <v>0</v>
      </c>
      <c r="L25" s="1133">
        <v>837.12</v>
      </c>
      <c r="M25" s="1133">
        <f t="shared" si="3"/>
        <v>74147.903764559698</v>
      </c>
      <c r="N25" s="1142">
        <f t="shared" si="4"/>
        <v>3.8226299694189753E-2</v>
      </c>
      <c r="O25" s="1133">
        <f t="shared" si="5"/>
        <v>76982.303755559697</v>
      </c>
      <c r="P25" s="1133">
        <f t="shared" si="6"/>
        <v>250</v>
      </c>
      <c r="Q25" s="1135">
        <f t="shared" si="7"/>
        <v>77232.303755559697</v>
      </c>
      <c r="R25" s="1091" t="s">
        <v>2986</v>
      </c>
      <c r="S25" s="1092">
        <f t="shared" si="8"/>
        <v>3084.3999909999984</v>
      </c>
      <c r="U25" s="1232">
        <f t="shared" si="9"/>
        <v>104.08249999999998</v>
      </c>
    </row>
    <row r="26" spans="1:22">
      <c r="A26" s="1138">
        <v>2183</v>
      </c>
      <c r="B26" s="1139" t="s">
        <v>2748</v>
      </c>
      <c r="C26" s="1231" t="s">
        <v>2979</v>
      </c>
      <c r="D26" s="1140" t="s">
        <v>2757</v>
      </c>
      <c r="E26" s="1134">
        <v>26.159999999999975</v>
      </c>
      <c r="F26" s="1133">
        <v>654.28333299999997</v>
      </c>
      <c r="G26" s="1141">
        <f t="shared" si="0"/>
        <v>17116.051991279983</v>
      </c>
      <c r="H26" s="1133">
        <v>124.299995</v>
      </c>
      <c r="I26" s="1134">
        <f t="shared" si="1"/>
        <v>4877.5318037999959</v>
      </c>
      <c r="J26" s="1134">
        <f t="shared" si="2"/>
        <v>21993.58379507998</v>
      </c>
      <c r="K26" s="1133">
        <v>0</v>
      </c>
      <c r="L26" s="1133">
        <v>1284.2</v>
      </c>
      <c r="M26" s="1133">
        <f t="shared" si="3"/>
        <v>23277.78379507998</v>
      </c>
      <c r="N26" s="1142">
        <v>0</v>
      </c>
      <c r="O26" s="1133">
        <f t="shared" si="5"/>
        <v>23277.78379507998</v>
      </c>
      <c r="P26" s="1133">
        <f t="shared" si="6"/>
        <v>250</v>
      </c>
      <c r="Q26" s="1135">
        <f t="shared" si="7"/>
        <v>23527.78379507998</v>
      </c>
      <c r="R26" s="1091" t="s">
        <v>2986</v>
      </c>
      <c r="S26" s="1092">
        <f t="shared" si="8"/>
        <v>250</v>
      </c>
      <c r="U26" s="1232">
        <f t="shared" si="9"/>
        <v>32.714166650000003</v>
      </c>
    </row>
    <row r="27" spans="1:22">
      <c r="A27" s="1138">
        <v>2183</v>
      </c>
      <c r="B27" s="1139" t="s">
        <v>2749</v>
      </c>
      <c r="C27" s="1231" t="s">
        <v>2980</v>
      </c>
      <c r="D27" s="1140" t="s">
        <v>2757</v>
      </c>
      <c r="E27" s="1134">
        <v>27.159999999999894</v>
      </c>
      <c r="F27" s="1133">
        <v>2090.7333330000001</v>
      </c>
      <c r="G27" s="1141">
        <f t="shared" si="0"/>
        <v>56784.317324279778</v>
      </c>
      <c r="H27" s="1133">
        <v>520.21666600000015</v>
      </c>
      <c r="I27" s="1134">
        <f t="shared" si="1"/>
        <v>21193.62697283992</v>
      </c>
      <c r="J27" s="1134">
        <f t="shared" si="2"/>
        <v>77977.944297119699</v>
      </c>
      <c r="K27" s="1133">
        <v>625</v>
      </c>
      <c r="L27" s="1133">
        <v>1520.96</v>
      </c>
      <c r="M27" s="1133">
        <f t="shared" si="3"/>
        <v>80123.904297119705</v>
      </c>
      <c r="N27" s="1142">
        <f t="shared" si="4"/>
        <v>3.6818851251841089E-2</v>
      </c>
      <c r="O27" s="1133">
        <f t="shared" si="5"/>
        <v>83073.974411152099</v>
      </c>
      <c r="P27" s="1133">
        <f t="shared" si="6"/>
        <v>250</v>
      </c>
      <c r="Q27" s="1135">
        <f t="shared" si="7"/>
        <v>83323.974411152099</v>
      </c>
      <c r="R27" s="1091" t="s">
        <v>2986</v>
      </c>
      <c r="S27" s="1092">
        <f t="shared" si="8"/>
        <v>3200.0701140323945</v>
      </c>
      <c r="U27" s="1232">
        <f t="shared" si="9"/>
        <v>104.53666665000002</v>
      </c>
    </row>
    <row r="28" spans="1:22">
      <c r="A28" s="1138">
        <v>2183</v>
      </c>
      <c r="B28" s="1139" t="s">
        <v>2750</v>
      </c>
      <c r="C28" s="1231" t="s">
        <v>2981</v>
      </c>
      <c r="D28" s="1140" t="s">
        <v>2757</v>
      </c>
      <c r="E28" s="1134">
        <v>27.159999999999894</v>
      </c>
      <c r="F28" s="1133">
        <v>2052.2833339999997</v>
      </c>
      <c r="G28" s="1141">
        <f t="shared" si="0"/>
        <v>55740.015351439775</v>
      </c>
      <c r="H28" s="1133">
        <v>612.36666600000001</v>
      </c>
      <c r="I28" s="1134">
        <f t="shared" si="1"/>
        <v>24947.817972839901</v>
      </c>
      <c r="J28" s="1134">
        <f t="shared" si="2"/>
        <v>80687.83332427968</v>
      </c>
      <c r="K28" s="1133">
        <v>0</v>
      </c>
      <c r="L28" s="1133">
        <v>869.12</v>
      </c>
      <c r="M28" s="1133">
        <f t="shared" si="3"/>
        <v>81556.953324279675</v>
      </c>
      <c r="N28" s="1142">
        <f t="shared" si="4"/>
        <v>3.6818851251841089E-2</v>
      </c>
      <c r="O28" s="1133">
        <f t="shared" si="5"/>
        <v>84559.786657279677</v>
      </c>
      <c r="P28" s="1133">
        <f t="shared" si="6"/>
        <v>250</v>
      </c>
      <c r="Q28" s="1135">
        <f t="shared" si="7"/>
        <v>84809.786657279677</v>
      </c>
      <c r="R28" s="1091" t="s">
        <v>2986</v>
      </c>
      <c r="S28" s="1092">
        <f t="shared" si="8"/>
        <v>3252.8333330000023</v>
      </c>
      <c r="U28" s="1232">
        <f t="shared" si="9"/>
        <v>102.6141667</v>
      </c>
    </row>
    <row r="29" spans="1:22">
      <c r="A29" s="1138">
        <v>2183</v>
      </c>
      <c r="B29" s="1139" t="s">
        <v>2751</v>
      </c>
      <c r="C29" s="1231" t="s">
        <v>2982</v>
      </c>
      <c r="D29" s="1140" t="s">
        <v>2757</v>
      </c>
      <c r="E29" s="1134">
        <v>26.159999999999886</v>
      </c>
      <c r="F29" s="1133">
        <v>2072.9</v>
      </c>
      <c r="G29" s="1141">
        <f t="shared" si="0"/>
        <v>54227.063999999766</v>
      </c>
      <c r="H29" s="1133">
        <v>369.13333399999993</v>
      </c>
      <c r="I29" s="1134">
        <f t="shared" si="1"/>
        <v>14484.792026159936</v>
      </c>
      <c r="J29" s="1134">
        <f t="shared" si="2"/>
        <v>68711.856026159701</v>
      </c>
      <c r="K29" s="1133">
        <v>624.99999999999955</v>
      </c>
      <c r="L29" s="1133">
        <v>1255.68</v>
      </c>
      <c r="M29" s="1133">
        <f t="shared" si="3"/>
        <v>70592.536026159694</v>
      </c>
      <c r="N29" s="1142">
        <f t="shared" si="4"/>
        <v>3.8226299694189766E-2</v>
      </c>
      <c r="O29" s="1133">
        <f t="shared" si="5"/>
        <v>73291.027464468571</v>
      </c>
      <c r="P29" s="1133">
        <f t="shared" si="6"/>
        <v>250</v>
      </c>
      <c r="Q29" s="1135">
        <f t="shared" si="7"/>
        <v>73541.027464468571</v>
      </c>
      <c r="R29" s="1091" t="s">
        <v>2986</v>
      </c>
      <c r="S29" s="1092">
        <f t="shared" si="8"/>
        <v>2948.4914383088762</v>
      </c>
      <c r="U29" s="1232">
        <f t="shared" si="9"/>
        <v>103.64500000000001</v>
      </c>
    </row>
    <row r="30" spans="1:22">
      <c r="A30" s="1138">
        <v>2183</v>
      </c>
      <c r="B30" s="1139" t="s">
        <v>2752</v>
      </c>
      <c r="C30" s="1231" t="s">
        <v>2983</v>
      </c>
      <c r="D30" s="1140" t="s">
        <v>2757</v>
      </c>
      <c r="E30" s="1134">
        <v>27.159999999999886</v>
      </c>
      <c r="F30" s="1133">
        <v>2059.9666660000003</v>
      </c>
      <c r="G30" s="1141">
        <f t="shared" si="0"/>
        <v>55948.694648559773</v>
      </c>
      <c r="H30" s="1133">
        <v>648.00000199999977</v>
      </c>
      <c r="I30" s="1134">
        <f t="shared" si="1"/>
        <v>26399.520081479881</v>
      </c>
      <c r="J30" s="1134">
        <f t="shared" si="2"/>
        <v>82348.214730039646</v>
      </c>
      <c r="K30" s="1133">
        <v>624.99999999999989</v>
      </c>
      <c r="L30" s="1133">
        <v>869.12</v>
      </c>
      <c r="M30" s="1133">
        <f t="shared" si="3"/>
        <v>83842.334730039642</v>
      </c>
      <c r="N30" s="1142">
        <f t="shared" si="4"/>
        <v>3.6818851251841096E-2</v>
      </c>
      <c r="O30" s="1133">
        <f t="shared" si="5"/>
        <v>86929.313181072037</v>
      </c>
      <c r="P30" s="1133">
        <f t="shared" si="6"/>
        <v>250</v>
      </c>
      <c r="Q30" s="1135">
        <f t="shared" si="7"/>
        <v>87179.313181072037</v>
      </c>
      <c r="R30" s="1091" t="s">
        <v>2986</v>
      </c>
      <c r="S30" s="1092">
        <f t="shared" si="8"/>
        <v>3336.9784510323952</v>
      </c>
      <c r="U30" s="1232">
        <f t="shared" si="9"/>
        <v>102.99833330000001</v>
      </c>
    </row>
    <row r="31" spans="1:22">
      <c r="A31" s="1138">
        <v>2183</v>
      </c>
      <c r="B31" s="1139" t="s">
        <v>2753</v>
      </c>
      <c r="C31" s="1231" t="s">
        <v>2984</v>
      </c>
      <c r="D31" s="1140" t="s">
        <v>2757</v>
      </c>
      <c r="E31" s="1134">
        <v>27.159999999999883</v>
      </c>
      <c r="F31" s="1133">
        <v>2030.583331</v>
      </c>
      <c r="G31" s="1141">
        <f t="shared" si="0"/>
        <v>55150.643269959764</v>
      </c>
      <c r="H31" s="1133">
        <v>436.75000200000005</v>
      </c>
      <c r="I31" s="1134">
        <f t="shared" si="1"/>
        <v>17793.195081479924</v>
      </c>
      <c r="J31" s="1134">
        <f t="shared" si="2"/>
        <v>72943.838351439685</v>
      </c>
      <c r="K31" s="1133">
        <v>1124.9999999999977</v>
      </c>
      <c r="L31" s="1133">
        <v>1472.96</v>
      </c>
      <c r="M31" s="1133">
        <f t="shared" si="3"/>
        <v>75541.798351439676</v>
      </c>
      <c r="N31" s="1142">
        <f t="shared" si="4"/>
        <v>3.6818851251841103E-2</v>
      </c>
      <c r="O31" s="1133">
        <f t="shared" si="5"/>
        <v>78323.160588237908</v>
      </c>
      <c r="P31" s="1133">
        <f t="shared" si="6"/>
        <v>250</v>
      </c>
      <c r="Q31" s="1135">
        <f t="shared" si="7"/>
        <v>78573.160588237908</v>
      </c>
      <c r="R31" s="1091" t="s">
        <v>2986</v>
      </c>
      <c r="S31" s="1092">
        <f t="shared" si="8"/>
        <v>3031.3622367982316</v>
      </c>
      <c r="U31" s="1232">
        <f t="shared" si="9"/>
        <v>101.52916655000001</v>
      </c>
    </row>
    <row r="32" spans="1:22">
      <c r="A32" s="1138">
        <v>2183</v>
      </c>
      <c r="B32" s="1139" t="s">
        <v>2754</v>
      </c>
      <c r="C32" s="1231" t="s">
        <v>2985</v>
      </c>
      <c r="D32" s="1140" t="s">
        <v>2757</v>
      </c>
      <c r="E32" s="1134">
        <v>26</v>
      </c>
      <c r="F32" s="1133">
        <v>2094.4666660000003</v>
      </c>
      <c r="G32" s="1141">
        <f t="shared" si="0"/>
        <v>54456.133316000007</v>
      </c>
      <c r="H32" s="1133">
        <v>515.21667300000001</v>
      </c>
      <c r="I32" s="1134">
        <f t="shared" si="1"/>
        <v>20093.450247000001</v>
      </c>
      <c r="J32" s="1134">
        <f t="shared" si="2"/>
        <v>74549.583563000007</v>
      </c>
      <c r="K32" s="1133">
        <v>624.99999999999989</v>
      </c>
      <c r="L32" s="1133">
        <v>369.03999999999996</v>
      </c>
      <c r="M32" s="1133">
        <f t="shared" si="3"/>
        <v>75543.623563000001</v>
      </c>
      <c r="N32" s="1142">
        <f t="shared" si="4"/>
        <v>2.5000000000000001E-2</v>
      </c>
      <c r="O32" s="1133">
        <f t="shared" si="5"/>
        <v>77432.214152075001</v>
      </c>
      <c r="P32" s="1133">
        <f t="shared" si="6"/>
        <v>0</v>
      </c>
      <c r="Q32" s="1135">
        <f t="shared" si="7"/>
        <v>77432.214152075001</v>
      </c>
      <c r="R32" s="1091" t="s">
        <v>2758</v>
      </c>
      <c r="S32" s="1092">
        <f t="shared" si="8"/>
        <v>1888.590589075</v>
      </c>
      <c r="U32" s="1232">
        <f t="shared" si="9"/>
        <v>0</v>
      </c>
    </row>
    <row r="33" spans="1:21">
      <c r="A33" s="1138">
        <v>2183</v>
      </c>
      <c r="B33" s="1143" t="s">
        <v>2755</v>
      </c>
      <c r="C33" s="1233" t="s">
        <v>2756</v>
      </c>
      <c r="D33" s="1140" t="s">
        <v>2757</v>
      </c>
      <c r="E33" s="1134">
        <v>20</v>
      </c>
      <c r="F33" s="1133">
        <v>80</v>
      </c>
      <c r="G33" s="1141">
        <f t="shared" si="0"/>
        <v>1600</v>
      </c>
      <c r="H33" s="1133">
        <v>9.6666670000000003</v>
      </c>
      <c r="I33" s="1134">
        <f t="shared" si="1"/>
        <v>290.00001000000003</v>
      </c>
      <c r="J33" s="1134">
        <f t="shared" si="2"/>
        <v>1890.00001</v>
      </c>
      <c r="K33" s="1133">
        <v>0</v>
      </c>
      <c r="L33" s="1133">
        <v>0</v>
      </c>
      <c r="M33" s="1133">
        <f t="shared" si="3"/>
        <v>1890.00001</v>
      </c>
      <c r="N33" s="1142">
        <f t="shared" si="4"/>
        <v>2.5000000000000001E-2</v>
      </c>
      <c r="O33" s="1133">
        <f t="shared" si="5"/>
        <v>1937.2500102499998</v>
      </c>
      <c r="P33" s="1133">
        <f t="shared" si="6"/>
        <v>0</v>
      </c>
      <c r="Q33" s="1135">
        <f t="shared" si="7"/>
        <v>1937.2500102499998</v>
      </c>
      <c r="R33" s="1091" t="s">
        <v>2758</v>
      </c>
      <c r="S33" s="1092">
        <f t="shared" si="8"/>
        <v>47.250000249999857</v>
      </c>
      <c r="U33" s="1232">
        <f t="shared" si="9"/>
        <v>0</v>
      </c>
    </row>
    <row r="34" spans="1:21">
      <c r="A34" s="1138">
        <v>2183</v>
      </c>
      <c r="B34" s="1143" t="s">
        <v>2759</v>
      </c>
      <c r="C34" s="1233" t="s">
        <v>2760</v>
      </c>
      <c r="D34" s="1140" t="s">
        <v>2757</v>
      </c>
      <c r="E34" s="1134">
        <v>20</v>
      </c>
      <c r="F34" s="1133">
        <v>80</v>
      </c>
      <c r="G34" s="1141">
        <f t="shared" si="0"/>
        <v>1600</v>
      </c>
      <c r="H34" s="1133">
        <v>14.783332999999999</v>
      </c>
      <c r="I34" s="1134">
        <f t="shared" si="1"/>
        <v>443.49998999999997</v>
      </c>
      <c r="J34" s="1134">
        <f t="shared" si="2"/>
        <v>2043.49999</v>
      </c>
      <c r="K34" s="1133">
        <v>0</v>
      </c>
      <c r="L34" s="1133">
        <v>0</v>
      </c>
      <c r="M34" s="1133">
        <f t="shared" si="3"/>
        <v>2043.49999</v>
      </c>
      <c r="N34" s="1142">
        <f t="shared" si="4"/>
        <v>2.5000000000000001E-2</v>
      </c>
      <c r="O34" s="1133">
        <f t="shared" si="5"/>
        <v>2094.5874897499998</v>
      </c>
      <c r="P34" s="1133">
        <f t="shared" si="6"/>
        <v>0</v>
      </c>
      <c r="Q34" s="1135">
        <f t="shared" si="7"/>
        <v>2094.5874897499998</v>
      </c>
      <c r="R34" s="1091" t="s">
        <v>2758</v>
      </c>
      <c r="S34" s="1092">
        <f t="shared" si="8"/>
        <v>51.087499749999779</v>
      </c>
      <c r="U34" s="1232">
        <f t="shared" si="9"/>
        <v>0</v>
      </c>
    </row>
    <row r="35" spans="1:21">
      <c r="A35" s="1138">
        <v>2183</v>
      </c>
      <c r="B35" s="1143" t="s">
        <v>2761</v>
      </c>
      <c r="C35" s="1233" t="s">
        <v>2762</v>
      </c>
      <c r="D35" s="1140" t="s">
        <v>2757</v>
      </c>
      <c r="E35" s="1134">
        <v>26.66</v>
      </c>
      <c r="F35" s="1133">
        <v>624.750001</v>
      </c>
      <c r="G35" s="1141">
        <f t="shared" si="0"/>
        <v>16655.835026659999</v>
      </c>
      <c r="H35" s="1133">
        <v>108.133335</v>
      </c>
      <c r="I35" s="1134">
        <f t="shared" si="1"/>
        <v>4324.2520666500004</v>
      </c>
      <c r="J35" s="1134">
        <f t="shared" si="2"/>
        <v>20980.087093310001</v>
      </c>
      <c r="K35" s="1133">
        <v>0</v>
      </c>
      <c r="L35" s="1133">
        <v>0</v>
      </c>
      <c r="M35" s="1133">
        <f t="shared" si="3"/>
        <v>20980.087093310001</v>
      </c>
      <c r="N35" s="1142">
        <v>0</v>
      </c>
      <c r="O35" s="1133">
        <f t="shared" si="5"/>
        <v>20980.087093310001</v>
      </c>
      <c r="P35" s="1133">
        <f t="shared" si="6"/>
        <v>0</v>
      </c>
      <c r="Q35" s="1135">
        <f t="shared" si="7"/>
        <v>20980.087093310001</v>
      </c>
      <c r="R35" s="1091" t="s">
        <v>2758</v>
      </c>
      <c r="S35" s="1092">
        <f t="shared" si="8"/>
        <v>0</v>
      </c>
      <c r="U35" s="1232">
        <f t="shared" si="9"/>
        <v>0</v>
      </c>
    </row>
    <row r="36" spans="1:21">
      <c r="A36" s="1138">
        <v>2185</v>
      </c>
      <c r="B36" s="1231" t="s">
        <v>2777</v>
      </c>
      <c r="C36" s="1231" t="s">
        <v>2778</v>
      </c>
      <c r="D36" s="1140" t="s">
        <v>2757</v>
      </c>
      <c r="E36" s="1134">
        <v>24</v>
      </c>
      <c r="F36" s="1133">
        <v>1114.6999989999999</v>
      </c>
      <c r="G36" s="1141">
        <f>+E36*F36</f>
        <v>26752.799975999998</v>
      </c>
      <c r="H36" s="1133">
        <v>116.083337</v>
      </c>
      <c r="I36" s="1134">
        <f>+IFERROR(E36*1.5*H36,0)</f>
        <v>4179.0001320000001</v>
      </c>
      <c r="J36" s="1134">
        <f>+G36+I36</f>
        <v>30931.800107999999</v>
      </c>
      <c r="K36" s="1133">
        <v>0</v>
      </c>
      <c r="L36" s="1133">
        <v>0</v>
      </c>
      <c r="M36" s="1133">
        <f>+L36+K36+J36</f>
        <v>30931.800107999999</v>
      </c>
      <c r="N36" s="1142">
        <f>+IF(R36="union",(1/E36),2.5%)</f>
        <v>2.5000000000000001E-2</v>
      </c>
      <c r="O36" s="1133">
        <f>+M36*(1+N36)</f>
        <v>31705.095110699996</v>
      </c>
      <c r="P36" s="1133">
        <f>+IF(R36="union",250,0)</f>
        <v>0</v>
      </c>
      <c r="Q36" s="1135">
        <f>+O36+P36</f>
        <v>31705.095110699996</v>
      </c>
      <c r="R36" s="1091" t="s">
        <v>2758</v>
      </c>
      <c r="S36" s="1092">
        <f>+O36-M36+P36</f>
        <v>773.29500269999699</v>
      </c>
      <c r="U36" s="1232">
        <f>+IF(R36="Union",F36*0.05,0)</f>
        <v>0</v>
      </c>
    </row>
    <row r="37" spans="1:21">
      <c r="A37" s="1138"/>
      <c r="B37" s="1144"/>
      <c r="C37" s="1145"/>
      <c r="D37" s="1140"/>
      <c r="E37" s="1133"/>
      <c r="F37" s="1133"/>
      <c r="G37" s="1133"/>
      <c r="H37" s="1133"/>
      <c r="I37" s="1134"/>
      <c r="J37" s="1133"/>
      <c r="K37" s="1133"/>
      <c r="L37" s="1133"/>
      <c r="M37" s="1133"/>
      <c r="N37" s="1133"/>
      <c r="O37" s="1133"/>
      <c r="P37" s="1133"/>
      <c r="Q37" s="1135"/>
    </row>
    <row r="38" spans="1:21">
      <c r="A38" s="1138"/>
      <c r="B38" s="1144"/>
      <c r="C38" s="1146" t="s">
        <v>2034</v>
      </c>
      <c r="D38" s="1140"/>
      <c r="E38" s="1147">
        <f t="shared" ref="E38:P38" si="10">+SUM(E17:E37)</f>
        <v>514.05999999999858</v>
      </c>
      <c r="F38" s="1147">
        <f t="shared" si="10"/>
        <v>33908.133332999998</v>
      </c>
      <c r="G38" s="1147">
        <f t="shared" si="10"/>
        <v>893914.02632437681</v>
      </c>
      <c r="H38" s="1147">
        <f t="shared" si="10"/>
        <v>8308.6333350000004</v>
      </c>
      <c r="I38" s="1147">
        <f t="shared" si="10"/>
        <v>329608.29205574875</v>
      </c>
      <c r="J38" s="1147">
        <f t="shared" si="10"/>
        <v>1223522.3183801253</v>
      </c>
      <c r="K38" s="1147">
        <f t="shared" si="10"/>
        <v>7374.9999999999982</v>
      </c>
      <c r="L38" s="1147">
        <f t="shared" si="10"/>
        <v>17718.520000000004</v>
      </c>
      <c r="M38" s="1147">
        <f t="shared" si="10"/>
        <v>1248615.8383801251</v>
      </c>
      <c r="N38" s="1147"/>
      <c r="O38" s="1147">
        <f t="shared" si="10"/>
        <v>1292625.4844295587</v>
      </c>
      <c r="P38" s="1147">
        <f t="shared" si="10"/>
        <v>3750</v>
      </c>
      <c r="Q38" s="1148">
        <f>+SUM(Q17:Q37)</f>
        <v>1296375.4844295587</v>
      </c>
      <c r="S38" s="1148">
        <f>+SUM(S17:S37)</f>
        <v>47759.646049433431</v>
      </c>
    </row>
    <row r="39" spans="1:21">
      <c r="A39" s="1138"/>
      <c r="B39" s="1149"/>
      <c r="C39" s="1150"/>
      <c r="D39" s="1140"/>
      <c r="E39" s="1133"/>
      <c r="F39" s="1133"/>
      <c r="G39" s="1133"/>
      <c r="H39" s="1133"/>
      <c r="I39" s="1134"/>
      <c r="J39" s="1133"/>
      <c r="K39" s="1133"/>
      <c r="L39" s="1133"/>
      <c r="M39" s="1133"/>
      <c r="N39" s="1133"/>
      <c r="O39" s="1133"/>
      <c r="P39" s="1133"/>
      <c r="Q39" s="1135"/>
    </row>
    <row r="40" spans="1:21">
      <c r="A40" s="1129" t="s">
        <v>2763</v>
      </c>
      <c r="B40" s="1130"/>
      <c r="C40" s="1131"/>
      <c r="D40" s="1132"/>
      <c r="E40" s="1133"/>
      <c r="F40" s="1133"/>
      <c r="G40" s="1133"/>
      <c r="H40" s="1133"/>
      <c r="I40" s="1134"/>
      <c r="J40" s="1133"/>
      <c r="K40" s="1133"/>
      <c r="L40" s="1133"/>
      <c r="M40" s="1133"/>
      <c r="N40" s="1133"/>
      <c r="O40" s="1133"/>
      <c r="P40" s="1133"/>
      <c r="Q40" s="1135"/>
    </row>
    <row r="41" spans="1:21">
      <c r="A41" s="1138">
        <v>2183</v>
      </c>
      <c r="B41" s="1231" t="s">
        <v>2764</v>
      </c>
      <c r="C41" s="1231" t="s">
        <v>2987</v>
      </c>
      <c r="D41" s="1140" t="s">
        <v>2763</v>
      </c>
      <c r="E41" s="1134">
        <v>27.159999999999894</v>
      </c>
      <c r="F41" s="1133">
        <v>2075.5333329999999</v>
      </c>
      <c r="G41" s="1141">
        <f t="shared" ref="G41:G47" si="11">+E41*F41</f>
        <v>56371.485324279776</v>
      </c>
      <c r="H41" s="1133">
        <v>513.76667199999997</v>
      </c>
      <c r="I41" s="1134">
        <f t="shared" ref="I41:I47" si="12">+IFERROR(E41*1.5*H41,0)</f>
        <v>20930.854217279917</v>
      </c>
      <c r="J41" s="1134">
        <f t="shared" ref="J41:J47" si="13">+G41+I41</f>
        <v>77302.33954155969</v>
      </c>
      <c r="K41" s="1133">
        <v>0</v>
      </c>
      <c r="L41" s="1133">
        <v>1520.96</v>
      </c>
      <c r="M41" s="1133">
        <f t="shared" ref="M41:M47" si="14">+L41+K41+J41</f>
        <v>78823.299541559696</v>
      </c>
      <c r="N41" s="1142">
        <f t="shared" ref="N41:N46" si="15">+IF(R41="union",(1/E41),2.5%)</f>
        <v>3.6818851251841089E-2</v>
      </c>
      <c r="O41" s="1133">
        <f t="shared" ref="O41:O47" si="16">+M41*(1+N41)</f>
        <v>81725.482882559692</v>
      </c>
      <c r="P41" s="1133">
        <f t="shared" ref="P41:P47" si="17">+IF(R41="union",250,0)</f>
        <v>250</v>
      </c>
      <c r="Q41" s="1135">
        <f t="shared" ref="Q41:Q47" si="18">+O41+P41</f>
        <v>81975.482882559692</v>
      </c>
      <c r="R41" s="1091" t="s">
        <v>2986</v>
      </c>
      <c r="S41" s="1092">
        <f t="shared" ref="S41:S47" si="19">+O41-M41+P41</f>
        <v>3152.1833409999963</v>
      </c>
      <c r="U41" s="1232">
        <f t="shared" ref="U41:U47" si="20">+IF(R41="Union",F41*0.05,0)</f>
        <v>103.77666665</v>
      </c>
    </row>
    <row r="42" spans="1:21">
      <c r="A42" s="1138">
        <v>2183</v>
      </c>
      <c r="B42" s="1231" t="s">
        <v>2765</v>
      </c>
      <c r="C42" s="1231" t="s">
        <v>2988</v>
      </c>
      <c r="D42" s="1140" t="s">
        <v>2763</v>
      </c>
      <c r="E42" s="1134">
        <v>27.159999999999897</v>
      </c>
      <c r="F42" s="1133">
        <v>2035.583333</v>
      </c>
      <c r="G42" s="1141">
        <f t="shared" si="11"/>
        <v>55286.44332427979</v>
      </c>
      <c r="H42" s="1133">
        <v>622.88333200000022</v>
      </c>
      <c r="I42" s="1134">
        <f t="shared" si="12"/>
        <v>25376.266945679912</v>
      </c>
      <c r="J42" s="1134">
        <f t="shared" si="13"/>
        <v>80662.710269959702</v>
      </c>
      <c r="K42" s="1133">
        <v>0</v>
      </c>
      <c r="L42" s="1133">
        <v>1303.68</v>
      </c>
      <c r="M42" s="1133">
        <f t="shared" si="14"/>
        <v>81966.390269959695</v>
      </c>
      <c r="N42" s="1142">
        <f t="shared" si="15"/>
        <v>3.6818851251841082E-2</v>
      </c>
      <c r="O42" s="1133">
        <f t="shared" si="16"/>
        <v>84984.298600959693</v>
      </c>
      <c r="P42" s="1133">
        <f t="shared" si="17"/>
        <v>250</v>
      </c>
      <c r="Q42" s="1135">
        <f t="shared" si="18"/>
        <v>85234.298600959693</v>
      </c>
      <c r="R42" s="1091" t="s">
        <v>2986</v>
      </c>
      <c r="S42" s="1092">
        <f t="shared" si="19"/>
        <v>3267.9083309999987</v>
      </c>
      <c r="U42" s="1232">
        <f t="shared" si="20"/>
        <v>101.77916665000001</v>
      </c>
    </row>
    <row r="43" spans="1:21">
      <c r="A43" s="1138">
        <v>2183</v>
      </c>
      <c r="B43" s="1231" t="s">
        <v>2766</v>
      </c>
      <c r="C43" s="1231" t="s">
        <v>2989</v>
      </c>
      <c r="D43" s="1140" t="s">
        <v>2763</v>
      </c>
      <c r="E43" s="1134">
        <v>26.159999999999886</v>
      </c>
      <c r="F43" s="1133">
        <v>2182.8666670000002</v>
      </c>
      <c r="G43" s="1141">
        <f t="shared" si="11"/>
        <v>57103.792008719756</v>
      </c>
      <c r="H43" s="1133">
        <v>590.19999900000005</v>
      </c>
      <c r="I43" s="1134">
        <f t="shared" si="12"/>
        <v>23159.447960759902</v>
      </c>
      <c r="J43" s="1134">
        <f t="shared" si="13"/>
        <v>80263.239969479662</v>
      </c>
      <c r="K43" s="1133">
        <v>624.99999999999989</v>
      </c>
      <c r="L43" s="1133">
        <v>1464.96</v>
      </c>
      <c r="M43" s="1133">
        <f t="shared" si="14"/>
        <v>82353.199969479669</v>
      </c>
      <c r="N43" s="1142">
        <f t="shared" si="15"/>
        <v>3.8226299694189766E-2</v>
      </c>
      <c r="O43" s="1133">
        <f t="shared" si="16"/>
        <v>85501.258072288532</v>
      </c>
      <c r="P43" s="1133">
        <f t="shared" si="17"/>
        <v>250</v>
      </c>
      <c r="Q43" s="1135">
        <f t="shared" si="18"/>
        <v>85751.258072288532</v>
      </c>
      <c r="R43" s="1091" t="s">
        <v>2986</v>
      </c>
      <c r="S43" s="1092">
        <f t="shared" si="19"/>
        <v>3398.0581028088636</v>
      </c>
      <c r="U43" s="1232">
        <f t="shared" si="20"/>
        <v>109.14333335000002</v>
      </c>
    </row>
    <row r="44" spans="1:21">
      <c r="A44" s="1138">
        <v>2183</v>
      </c>
      <c r="B44" s="1231" t="s">
        <v>2767</v>
      </c>
      <c r="C44" s="1231" t="s">
        <v>2990</v>
      </c>
      <c r="D44" s="1140" t="s">
        <v>2763</v>
      </c>
      <c r="E44" s="1134">
        <v>26.159999999999897</v>
      </c>
      <c r="F44" s="1133">
        <v>2047.4833330000001</v>
      </c>
      <c r="G44" s="1141">
        <f t="shared" si="11"/>
        <v>53562.163991279791</v>
      </c>
      <c r="H44" s="1133">
        <v>595.25000499999999</v>
      </c>
      <c r="I44" s="1134">
        <f t="shared" si="12"/>
        <v>23357.610196199908</v>
      </c>
      <c r="J44" s="1134">
        <f t="shared" si="13"/>
        <v>76919.774187479692</v>
      </c>
      <c r="K44" s="1133">
        <v>0</v>
      </c>
      <c r="L44" s="1133">
        <v>1464.96</v>
      </c>
      <c r="M44" s="1133">
        <f t="shared" si="14"/>
        <v>78384.734187479698</v>
      </c>
      <c r="N44" s="1142">
        <f t="shared" si="15"/>
        <v>3.8226299694189753E-2</v>
      </c>
      <c r="O44" s="1133">
        <f t="shared" si="16"/>
        <v>81381.092527979694</v>
      </c>
      <c r="P44" s="1133">
        <f t="shared" si="17"/>
        <v>250</v>
      </c>
      <c r="Q44" s="1135">
        <f t="shared" si="18"/>
        <v>81631.092527979694</v>
      </c>
      <c r="R44" s="1091" t="s">
        <v>2986</v>
      </c>
      <c r="S44" s="1092">
        <f t="shared" si="19"/>
        <v>3246.3583404999954</v>
      </c>
      <c r="U44" s="1232">
        <f t="shared" si="20"/>
        <v>102.37416665000001</v>
      </c>
    </row>
    <row r="45" spans="1:21">
      <c r="A45" s="1138">
        <v>2183</v>
      </c>
      <c r="B45" s="1231" t="s">
        <v>2768</v>
      </c>
      <c r="C45" s="1231" t="s">
        <v>2991</v>
      </c>
      <c r="D45" s="1140" t="s">
        <v>2763</v>
      </c>
      <c r="E45" s="1134">
        <v>26.159999999999883</v>
      </c>
      <c r="F45" s="1133">
        <v>2084.2000010000002</v>
      </c>
      <c r="G45" s="1141">
        <f t="shared" si="11"/>
        <v>54522.672026159758</v>
      </c>
      <c r="H45" s="1133">
        <v>531.70000000000005</v>
      </c>
      <c r="I45" s="1134">
        <f t="shared" si="12"/>
        <v>20863.907999999908</v>
      </c>
      <c r="J45" s="1134">
        <f t="shared" si="13"/>
        <v>75386.580026159674</v>
      </c>
      <c r="K45" s="1133">
        <v>624.99999999999989</v>
      </c>
      <c r="L45" s="1133">
        <v>0</v>
      </c>
      <c r="M45" s="1133">
        <f t="shared" si="14"/>
        <v>76011.580026159674</v>
      </c>
      <c r="N45" s="1142">
        <f t="shared" si="15"/>
        <v>3.8226299694189773E-2</v>
      </c>
      <c r="O45" s="1133">
        <f t="shared" si="16"/>
        <v>78917.221464468545</v>
      </c>
      <c r="P45" s="1133">
        <f t="shared" si="17"/>
        <v>250</v>
      </c>
      <c r="Q45" s="1135">
        <f t="shared" si="18"/>
        <v>79167.221464468545</v>
      </c>
      <c r="R45" s="1091" t="s">
        <v>2986</v>
      </c>
      <c r="S45" s="1092">
        <f t="shared" si="19"/>
        <v>3155.6414383088704</v>
      </c>
      <c r="U45" s="1232">
        <f t="shared" si="20"/>
        <v>104.21000005000002</v>
      </c>
    </row>
    <row r="46" spans="1:21">
      <c r="A46" s="1138">
        <v>2185</v>
      </c>
      <c r="B46" s="1231" t="s">
        <v>2771</v>
      </c>
      <c r="C46" s="1231" t="s">
        <v>2772</v>
      </c>
      <c r="D46" s="1140" t="s">
        <v>2763</v>
      </c>
      <c r="E46" s="1134">
        <v>20</v>
      </c>
      <c r="F46" s="1133">
        <v>79.533332999999999</v>
      </c>
      <c r="G46" s="1141">
        <f t="shared" si="11"/>
        <v>1590.6666599999999</v>
      </c>
      <c r="H46" s="1133">
        <v>14.333334000000001</v>
      </c>
      <c r="I46" s="1134">
        <f t="shared" si="12"/>
        <v>430.00002000000001</v>
      </c>
      <c r="J46" s="1134">
        <f t="shared" si="13"/>
        <v>2020.6666799999998</v>
      </c>
      <c r="K46" s="1133">
        <v>0</v>
      </c>
      <c r="L46" s="1133">
        <v>0</v>
      </c>
      <c r="M46" s="1133">
        <f t="shared" si="14"/>
        <v>2020.6666799999998</v>
      </c>
      <c r="N46" s="1142">
        <f t="shared" si="15"/>
        <v>2.5000000000000001E-2</v>
      </c>
      <c r="O46" s="1133">
        <f t="shared" si="16"/>
        <v>2071.1833469999997</v>
      </c>
      <c r="P46" s="1133">
        <f t="shared" si="17"/>
        <v>0</v>
      </c>
      <c r="Q46" s="1135">
        <f t="shared" si="18"/>
        <v>2071.1833469999997</v>
      </c>
      <c r="R46" s="1091" t="s">
        <v>2758</v>
      </c>
      <c r="S46" s="1092">
        <f t="shared" si="19"/>
        <v>50.51666699999987</v>
      </c>
      <c r="U46" s="1232">
        <f t="shared" si="20"/>
        <v>0</v>
      </c>
    </row>
    <row r="47" spans="1:21">
      <c r="A47" s="1138">
        <v>2183</v>
      </c>
      <c r="B47" s="1234">
        <v>115872</v>
      </c>
      <c r="C47" s="1231" t="s">
        <v>2789</v>
      </c>
      <c r="D47" s="1140" t="s">
        <v>2763</v>
      </c>
      <c r="E47" s="1134">
        <v>28</v>
      </c>
      <c r="F47" s="1133">
        <v>643.53333399999997</v>
      </c>
      <c r="G47" s="1141">
        <f t="shared" si="11"/>
        <v>18018.933352</v>
      </c>
      <c r="H47" s="1133">
        <v>192.66666299999997</v>
      </c>
      <c r="I47" s="1134">
        <f t="shared" si="12"/>
        <v>8091.9998459999988</v>
      </c>
      <c r="J47" s="1134">
        <f t="shared" si="13"/>
        <v>26110.933197999999</v>
      </c>
      <c r="K47" s="1133">
        <v>0</v>
      </c>
      <c r="L47" s="1133">
        <v>0</v>
      </c>
      <c r="M47" s="1133">
        <f t="shared" si="14"/>
        <v>26110.933197999999</v>
      </c>
      <c r="N47" s="1142">
        <v>0</v>
      </c>
      <c r="O47" s="1133">
        <f t="shared" si="16"/>
        <v>26110.933197999999</v>
      </c>
      <c r="P47" s="1133">
        <f t="shared" si="17"/>
        <v>0</v>
      </c>
      <c r="Q47" s="1135">
        <f t="shared" si="18"/>
        <v>26110.933197999999</v>
      </c>
      <c r="R47" s="1091" t="s">
        <v>2758</v>
      </c>
      <c r="S47" s="1092">
        <f t="shared" si="19"/>
        <v>0</v>
      </c>
      <c r="U47" s="1232">
        <f t="shared" si="20"/>
        <v>0</v>
      </c>
    </row>
    <row r="48" spans="1:21">
      <c r="A48" s="1138"/>
      <c r="B48" s="1144"/>
      <c r="C48" s="1145"/>
      <c r="D48" s="1140"/>
      <c r="E48" s="1133"/>
      <c r="F48" s="1133"/>
      <c r="G48" s="1133"/>
      <c r="H48" s="1133"/>
      <c r="I48" s="1134"/>
      <c r="J48" s="1133"/>
      <c r="K48" s="1133"/>
      <c r="L48" s="1133"/>
      <c r="M48" s="1133"/>
      <c r="N48" s="1133"/>
      <c r="O48" s="1133"/>
      <c r="P48" s="1133"/>
      <c r="Q48" s="1135"/>
    </row>
    <row r="49" spans="1:21">
      <c r="A49" s="1138"/>
      <c r="B49" s="1144"/>
      <c r="C49" s="1146" t="s">
        <v>2790</v>
      </c>
      <c r="D49" s="1140"/>
      <c r="E49" s="1147">
        <f t="shared" ref="E49:M49" si="21">+SUM(E41:E48)</f>
        <v>180.79999999999944</v>
      </c>
      <c r="F49" s="1147">
        <f t="shared" si="21"/>
        <v>11148.733334</v>
      </c>
      <c r="G49" s="1147">
        <f t="shared" si="21"/>
        <v>296456.15668671887</v>
      </c>
      <c r="H49" s="1147">
        <f t="shared" si="21"/>
        <v>3060.8000050000001</v>
      </c>
      <c r="I49" s="1147">
        <f t="shared" si="21"/>
        <v>122210.08718591955</v>
      </c>
      <c r="J49" s="1147">
        <f t="shared" si="21"/>
        <v>418666.2438726385</v>
      </c>
      <c r="K49" s="1147">
        <f t="shared" si="21"/>
        <v>1249.9999999999998</v>
      </c>
      <c r="L49" s="1147">
        <f t="shared" si="21"/>
        <v>5754.56</v>
      </c>
      <c r="M49" s="1147">
        <f t="shared" si="21"/>
        <v>425670.80387263844</v>
      </c>
      <c r="N49" s="1147"/>
      <c r="O49" s="1147">
        <f>+SUM(O41:O48)</f>
        <v>440691.4700932561</v>
      </c>
      <c r="P49" s="1147">
        <f>+SUM(P41:P48)</f>
        <v>1250</v>
      </c>
      <c r="Q49" s="1148">
        <f>+SUM(Q41:Q48)</f>
        <v>441941.4700932561</v>
      </c>
      <c r="S49" s="1148">
        <f>+SUM(S41:S48)</f>
        <v>16270.666220617724</v>
      </c>
    </row>
    <row r="50" spans="1:21">
      <c r="A50" s="1138"/>
      <c r="B50" s="1144"/>
      <c r="C50" s="1146"/>
      <c r="D50" s="1140"/>
      <c r="E50" s="1133"/>
      <c r="F50" s="1133"/>
      <c r="G50" s="1133"/>
      <c r="H50" s="1133"/>
      <c r="I50" s="1134"/>
      <c r="J50" s="1133"/>
      <c r="K50" s="1133"/>
      <c r="L50" s="1133"/>
      <c r="M50" s="1133"/>
      <c r="N50" s="1133"/>
      <c r="O50" s="1133"/>
      <c r="P50" s="1133"/>
      <c r="Q50" s="1135"/>
    </row>
    <row r="51" spans="1:21">
      <c r="A51" s="1129" t="s">
        <v>2791</v>
      </c>
      <c r="B51" s="1130"/>
      <c r="C51" s="1151"/>
      <c r="D51" s="1132"/>
      <c r="E51" s="1133"/>
      <c r="F51" s="1133"/>
      <c r="G51" s="1133"/>
      <c r="H51" s="1133"/>
      <c r="I51" s="1134"/>
      <c r="J51" s="1133"/>
      <c r="K51" s="1133"/>
      <c r="L51" s="1133"/>
      <c r="M51" s="1133"/>
      <c r="N51" s="1133"/>
      <c r="O51" s="1133"/>
      <c r="P51" s="1133"/>
      <c r="Q51" s="1135"/>
    </row>
    <row r="52" spans="1:21">
      <c r="A52" s="1138">
        <v>2183</v>
      </c>
      <c r="B52" s="1231" t="s">
        <v>2792</v>
      </c>
      <c r="C52" s="1231" t="s">
        <v>2992</v>
      </c>
      <c r="D52" s="1140" t="s">
        <v>2807</v>
      </c>
      <c r="E52" s="1134">
        <v>27.600000000000112</v>
      </c>
      <c r="F52" s="1133">
        <v>2087.2166670000001</v>
      </c>
      <c r="G52" s="1141">
        <f t="shared" ref="G52:G71" si="22">+E52*F52</f>
        <v>57607.180009200238</v>
      </c>
      <c r="H52" s="1133">
        <v>495.98334100000017</v>
      </c>
      <c r="I52" s="1134">
        <f t="shared" ref="I52:I71" si="23">+IFERROR(E52*1.5*H52,0)</f>
        <v>20533.710317400091</v>
      </c>
      <c r="J52" s="1134">
        <f t="shared" ref="J52:J71" si="24">+G52+I52</f>
        <v>78140.890326600333</v>
      </c>
      <c r="K52" s="1133">
        <v>624.99999999999989</v>
      </c>
      <c r="L52" s="1133">
        <v>1292.6400000000001</v>
      </c>
      <c r="M52" s="1133">
        <f t="shared" ref="M52:M71" si="25">+L52+K52+J52</f>
        <v>80058.530326600332</v>
      </c>
      <c r="N52" s="1142">
        <f t="shared" ref="N52:N71" si="26">+IF(R52="union",(1/E52),2.5%)</f>
        <v>2.5000000000000001E-2</v>
      </c>
      <c r="O52" s="1133">
        <f t="shared" ref="O52:O71" si="27">+M52*(1+N52)</f>
        <v>82059.99358476534</v>
      </c>
      <c r="P52" s="1133">
        <f t="shared" ref="P52:P71" si="28">+IF(R52="union",250,0)</f>
        <v>0</v>
      </c>
      <c r="Q52" s="1135">
        <f t="shared" ref="Q52:Q71" si="29">+O52+P52</f>
        <v>82059.99358476534</v>
      </c>
      <c r="R52" s="1091" t="s">
        <v>2758</v>
      </c>
      <c r="S52" s="1092">
        <f t="shared" ref="S52:S71" si="30">+O52-M52+P52</f>
        <v>2001.4632581650076</v>
      </c>
      <c r="U52" s="1232">
        <f t="shared" ref="U52:U71" si="31">+IF(R52="Union",F52*0.05,0)</f>
        <v>0</v>
      </c>
    </row>
    <row r="53" spans="1:21">
      <c r="A53" s="1138">
        <v>2183</v>
      </c>
      <c r="B53" s="1231" t="s">
        <v>2793</v>
      </c>
      <c r="C53" s="1231" t="s">
        <v>2993</v>
      </c>
      <c r="D53" s="1140" t="s">
        <v>2807</v>
      </c>
      <c r="E53" s="1134">
        <v>26.159999999999886</v>
      </c>
      <c r="F53" s="1133">
        <v>2200.3500000000004</v>
      </c>
      <c r="G53" s="1141">
        <f t="shared" si="22"/>
        <v>57561.155999999763</v>
      </c>
      <c r="H53" s="1133">
        <v>498.20000300000004</v>
      </c>
      <c r="I53" s="1134">
        <f t="shared" si="23"/>
        <v>19549.368117719918</v>
      </c>
      <c r="J53" s="1134">
        <f t="shared" si="24"/>
        <v>77110.524117719673</v>
      </c>
      <c r="K53" s="1133">
        <v>0</v>
      </c>
      <c r="L53" s="1133">
        <v>1039.68</v>
      </c>
      <c r="M53" s="1133">
        <f t="shared" si="25"/>
        <v>78150.204117719666</v>
      </c>
      <c r="N53" s="1142">
        <f t="shared" si="26"/>
        <v>3.8226299694189766E-2</v>
      </c>
      <c r="O53" s="1133">
        <f t="shared" si="27"/>
        <v>81137.597241485724</v>
      </c>
      <c r="P53" s="1133">
        <f t="shared" si="28"/>
        <v>250</v>
      </c>
      <c r="Q53" s="1135">
        <f t="shared" si="29"/>
        <v>81387.597241485724</v>
      </c>
      <c r="R53" s="1091" t="s">
        <v>2986</v>
      </c>
      <c r="S53" s="1092">
        <f t="shared" si="30"/>
        <v>3237.3931237660581</v>
      </c>
      <c r="U53" s="1232">
        <f t="shared" si="31"/>
        <v>110.01750000000003</v>
      </c>
    </row>
    <row r="54" spans="1:21">
      <c r="A54" s="1138">
        <v>2183</v>
      </c>
      <c r="B54" s="1231" t="s">
        <v>2794</v>
      </c>
      <c r="C54" s="1231" t="s">
        <v>2994</v>
      </c>
      <c r="D54" s="1140" t="s">
        <v>2807</v>
      </c>
      <c r="E54" s="1134">
        <v>21.659999999999997</v>
      </c>
      <c r="F54" s="1133">
        <v>196</v>
      </c>
      <c r="G54" s="1141">
        <f t="shared" si="22"/>
        <v>4245.3599999999997</v>
      </c>
      <c r="H54" s="1133">
        <v>46.083334999999998</v>
      </c>
      <c r="I54" s="1134">
        <f t="shared" si="23"/>
        <v>1497.2475541499998</v>
      </c>
      <c r="J54" s="1134">
        <f t="shared" si="24"/>
        <v>5742.6075541499995</v>
      </c>
      <c r="K54" s="1133">
        <v>0</v>
      </c>
      <c r="L54" s="1133">
        <v>804.56999999999994</v>
      </c>
      <c r="M54" s="1133">
        <f t="shared" si="25"/>
        <v>6547.1775541499992</v>
      </c>
      <c r="N54" s="1142">
        <v>0</v>
      </c>
      <c r="O54" s="1133">
        <f t="shared" si="27"/>
        <v>6547.1775541499992</v>
      </c>
      <c r="P54" s="1133">
        <f t="shared" si="28"/>
        <v>250</v>
      </c>
      <c r="Q54" s="1135">
        <f t="shared" si="29"/>
        <v>6797.1775541499992</v>
      </c>
      <c r="R54" s="1091" t="s">
        <v>2986</v>
      </c>
      <c r="S54" s="1092">
        <f t="shared" si="30"/>
        <v>250</v>
      </c>
      <c r="U54" s="1232">
        <f t="shared" si="31"/>
        <v>9.8000000000000007</v>
      </c>
    </row>
    <row r="55" spans="1:21">
      <c r="A55" s="1138">
        <v>2183</v>
      </c>
      <c r="B55" s="1231" t="s">
        <v>2795</v>
      </c>
      <c r="C55" s="1231" t="s">
        <v>2995</v>
      </c>
      <c r="D55" s="1140" t="s">
        <v>2807</v>
      </c>
      <c r="E55" s="1134">
        <v>21.659999999999894</v>
      </c>
      <c r="F55" s="1133">
        <v>2054.5000010000003</v>
      </c>
      <c r="G55" s="1141">
        <f t="shared" si="22"/>
        <v>44500.470021659792</v>
      </c>
      <c r="H55" s="1133">
        <v>381.050003</v>
      </c>
      <c r="I55" s="1134">
        <f t="shared" si="23"/>
        <v>12380.314597469938</v>
      </c>
      <c r="J55" s="1134">
        <f t="shared" si="24"/>
        <v>56880.784619129729</v>
      </c>
      <c r="K55" s="1133">
        <v>624.99999999999989</v>
      </c>
      <c r="L55" s="1133">
        <v>1039.68</v>
      </c>
      <c r="M55" s="1133">
        <f t="shared" si="25"/>
        <v>58545.464619129729</v>
      </c>
      <c r="N55" s="1142">
        <f t="shared" si="26"/>
        <v>4.6168051708218139E-2</v>
      </c>
      <c r="O55" s="1133">
        <f t="shared" si="27"/>
        <v>61248.394656947363</v>
      </c>
      <c r="P55" s="1133">
        <f t="shared" si="28"/>
        <v>250</v>
      </c>
      <c r="Q55" s="1135">
        <f t="shared" si="29"/>
        <v>61498.394656947363</v>
      </c>
      <c r="R55" s="1091" t="s">
        <v>2986</v>
      </c>
      <c r="S55" s="1092">
        <f t="shared" si="30"/>
        <v>2952.930037817634</v>
      </c>
      <c r="U55" s="1232">
        <f t="shared" si="31"/>
        <v>102.72500005000002</v>
      </c>
    </row>
    <row r="56" spans="1:21">
      <c r="A56" s="1138">
        <v>2183</v>
      </c>
      <c r="B56" s="1231" t="s">
        <v>2796</v>
      </c>
      <c r="C56" s="1231" t="s">
        <v>2996</v>
      </c>
      <c r="D56" s="1140" t="s">
        <v>2807</v>
      </c>
      <c r="E56" s="1134">
        <v>27.159999999999897</v>
      </c>
      <c r="F56" s="1133">
        <v>2042.8000000000002</v>
      </c>
      <c r="G56" s="1141">
        <f t="shared" si="22"/>
        <v>55482.447999999793</v>
      </c>
      <c r="H56" s="1133">
        <v>522.90000499999985</v>
      </c>
      <c r="I56" s="1134">
        <f t="shared" si="23"/>
        <v>21302.946203699914</v>
      </c>
      <c r="J56" s="1134">
        <f t="shared" si="24"/>
        <v>76785.394203699703</v>
      </c>
      <c r="K56" s="1133">
        <v>0</v>
      </c>
      <c r="L56" s="1133">
        <v>1738.24</v>
      </c>
      <c r="M56" s="1133">
        <f t="shared" si="25"/>
        <v>78523.634203699708</v>
      </c>
      <c r="N56" s="1142">
        <f t="shared" si="26"/>
        <v>3.6818851251841082E-2</v>
      </c>
      <c r="O56" s="1133">
        <f t="shared" si="27"/>
        <v>81414.784211199702</v>
      </c>
      <c r="P56" s="1133">
        <f t="shared" si="28"/>
        <v>250</v>
      </c>
      <c r="Q56" s="1135">
        <f t="shared" si="29"/>
        <v>81664.784211199702</v>
      </c>
      <c r="R56" s="1091" t="s">
        <v>2986</v>
      </c>
      <c r="S56" s="1092">
        <f t="shared" si="30"/>
        <v>3141.1500074999931</v>
      </c>
      <c r="U56" s="1232">
        <f t="shared" si="31"/>
        <v>102.14000000000001</v>
      </c>
    </row>
    <row r="57" spans="1:21">
      <c r="A57" s="1138">
        <v>2183</v>
      </c>
      <c r="B57" s="1231" t="s">
        <v>2797</v>
      </c>
      <c r="C57" s="1231" t="s">
        <v>2997</v>
      </c>
      <c r="D57" s="1140" t="s">
        <v>2807</v>
      </c>
      <c r="E57" s="1134">
        <v>21.659999999999894</v>
      </c>
      <c r="F57" s="1133">
        <v>2046.2333329999999</v>
      </c>
      <c r="G57" s="1141">
        <f t="shared" si="22"/>
        <v>44321.413992779781</v>
      </c>
      <c r="H57" s="1133">
        <v>373.68333400000017</v>
      </c>
      <c r="I57" s="1134">
        <f t="shared" si="23"/>
        <v>12140.971521659945</v>
      </c>
      <c r="J57" s="1134">
        <f t="shared" si="24"/>
        <v>56462.385514439724</v>
      </c>
      <c r="K57" s="1133">
        <v>624.99999999999989</v>
      </c>
      <c r="L57" s="1133">
        <v>866.4</v>
      </c>
      <c r="M57" s="1133">
        <f t="shared" si="25"/>
        <v>57953.785514439725</v>
      </c>
      <c r="N57" s="1142">
        <f t="shared" si="26"/>
        <v>4.6168051708218139E-2</v>
      </c>
      <c r="O57" s="1133">
        <f t="shared" si="27"/>
        <v>60629.398880757362</v>
      </c>
      <c r="P57" s="1133">
        <f t="shared" si="28"/>
        <v>250</v>
      </c>
      <c r="Q57" s="1135">
        <f t="shared" si="29"/>
        <v>60879.398880757362</v>
      </c>
      <c r="R57" s="1091" t="s">
        <v>2986</v>
      </c>
      <c r="S57" s="1092">
        <f t="shared" si="30"/>
        <v>2925.613366317637</v>
      </c>
      <c r="U57" s="1232">
        <f t="shared" si="31"/>
        <v>102.31166665000001</v>
      </c>
    </row>
    <row r="58" spans="1:21">
      <c r="A58" s="1138">
        <v>2183</v>
      </c>
      <c r="B58" s="1231" t="s">
        <v>2798</v>
      </c>
      <c r="C58" s="1231" t="s">
        <v>2998</v>
      </c>
      <c r="D58" s="1140" t="s">
        <v>2807</v>
      </c>
      <c r="E58" s="1134">
        <v>22.659999999999894</v>
      </c>
      <c r="F58" s="1133">
        <v>2055.4333320000001</v>
      </c>
      <c r="G58" s="1141">
        <f t="shared" si="22"/>
        <v>46576.119303119784</v>
      </c>
      <c r="H58" s="1133">
        <v>360.58333499999998</v>
      </c>
      <c r="I58" s="1134">
        <f t="shared" si="23"/>
        <v>12256.227556649941</v>
      </c>
      <c r="J58" s="1134">
        <f t="shared" si="24"/>
        <v>58832.346859769721</v>
      </c>
      <c r="K58" s="1133">
        <v>0</v>
      </c>
      <c r="L58" s="1133">
        <v>637.64</v>
      </c>
      <c r="M58" s="1133">
        <f t="shared" si="25"/>
        <v>59469.98685976972</v>
      </c>
      <c r="N58" s="1142">
        <f t="shared" si="26"/>
        <v>4.4130626654898704E-2</v>
      </c>
      <c r="O58" s="1133">
        <f t="shared" si="27"/>
        <v>62094.434647049944</v>
      </c>
      <c r="P58" s="1133">
        <f t="shared" si="28"/>
        <v>250</v>
      </c>
      <c r="Q58" s="1135">
        <f t="shared" si="29"/>
        <v>62344.434647049944</v>
      </c>
      <c r="R58" s="1091" t="s">
        <v>2986</v>
      </c>
      <c r="S58" s="1092">
        <f t="shared" si="30"/>
        <v>2874.4477872802236</v>
      </c>
      <c r="U58" s="1232">
        <f t="shared" si="31"/>
        <v>102.7716666</v>
      </c>
    </row>
    <row r="59" spans="1:21">
      <c r="A59" s="1138">
        <v>2183</v>
      </c>
      <c r="B59" s="1231" t="s">
        <v>2799</v>
      </c>
      <c r="C59" s="1231" t="s">
        <v>2999</v>
      </c>
      <c r="D59" s="1140" t="s">
        <v>2807</v>
      </c>
      <c r="E59" s="1134">
        <v>21.659999999999897</v>
      </c>
      <c r="F59" s="1133">
        <v>2042.916667</v>
      </c>
      <c r="G59" s="1141">
        <f t="shared" si="22"/>
        <v>44249.575007219792</v>
      </c>
      <c r="H59" s="1133">
        <v>388.09999900000003</v>
      </c>
      <c r="I59" s="1134">
        <f t="shared" si="23"/>
        <v>12609.368967509941</v>
      </c>
      <c r="J59" s="1134">
        <f t="shared" si="24"/>
        <v>56858.943974729729</v>
      </c>
      <c r="K59" s="1133">
        <v>0</v>
      </c>
      <c r="L59" s="1133">
        <v>0</v>
      </c>
      <c r="M59" s="1133">
        <f t="shared" si="25"/>
        <v>56858.943974729729</v>
      </c>
      <c r="N59" s="1142">
        <f t="shared" si="26"/>
        <v>4.6168051708218132E-2</v>
      </c>
      <c r="O59" s="1133">
        <f t="shared" si="27"/>
        <v>59484.010640229732</v>
      </c>
      <c r="P59" s="1133">
        <f t="shared" si="28"/>
        <v>250</v>
      </c>
      <c r="Q59" s="1135">
        <f t="shared" si="29"/>
        <v>59734.010640229732</v>
      </c>
      <c r="R59" s="1091" t="s">
        <v>2986</v>
      </c>
      <c r="S59" s="1092">
        <f t="shared" si="30"/>
        <v>2875.0666655000023</v>
      </c>
      <c r="U59" s="1232">
        <f t="shared" si="31"/>
        <v>102.14583335</v>
      </c>
    </row>
    <row r="60" spans="1:21">
      <c r="A60" s="1138">
        <v>2183</v>
      </c>
      <c r="B60" s="1231" t="s">
        <v>2800</v>
      </c>
      <c r="C60" s="1231" t="s">
        <v>3000</v>
      </c>
      <c r="D60" s="1140" t="s">
        <v>2807</v>
      </c>
      <c r="E60" s="1134">
        <v>21.659999999999901</v>
      </c>
      <c r="F60" s="1133">
        <v>2021.433331</v>
      </c>
      <c r="G60" s="1141">
        <f t="shared" si="22"/>
        <v>43784.245949459801</v>
      </c>
      <c r="H60" s="1133">
        <v>471.96666699999997</v>
      </c>
      <c r="I60" s="1134">
        <f t="shared" si="23"/>
        <v>15334.19701082993</v>
      </c>
      <c r="J60" s="1134">
        <f t="shared" si="24"/>
        <v>59118.442960289729</v>
      </c>
      <c r="K60" s="1133">
        <v>0</v>
      </c>
      <c r="L60" s="1133">
        <v>2079.36</v>
      </c>
      <c r="M60" s="1133">
        <f t="shared" si="25"/>
        <v>61197.80296028973</v>
      </c>
      <c r="N60" s="1142">
        <f t="shared" si="26"/>
        <v>4.6168051708218125E-2</v>
      </c>
      <c r="O60" s="1133">
        <f t="shared" si="27"/>
        <v>64023.186291789731</v>
      </c>
      <c r="P60" s="1133">
        <f t="shared" si="28"/>
        <v>250</v>
      </c>
      <c r="Q60" s="1135">
        <f t="shared" si="29"/>
        <v>64273.186291789731</v>
      </c>
      <c r="R60" s="1091" t="s">
        <v>2986</v>
      </c>
      <c r="S60" s="1092">
        <f t="shared" si="30"/>
        <v>3075.3833315000011</v>
      </c>
      <c r="U60" s="1232">
        <f t="shared" si="31"/>
        <v>101.07166655</v>
      </c>
    </row>
    <row r="61" spans="1:21">
      <c r="A61" s="1138">
        <v>2183</v>
      </c>
      <c r="B61" s="1231" t="s">
        <v>2801</v>
      </c>
      <c r="C61" s="1231" t="s">
        <v>3001</v>
      </c>
      <c r="D61" s="1140" t="s">
        <v>2807</v>
      </c>
      <c r="E61" s="1134">
        <v>21.659999999999901</v>
      </c>
      <c r="F61" s="1133">
        <v>1311.3566690000002</v>
      </c>
      <c r="G61" s="1141">
        <f t="shared" si="22"/>
        <v>28403.985450539876</v>
      </c>
      <c r="H61" s="1133">
        <v>361.68333199999989</v>
      </c>
      <c r="I61" s="1134">
        <f t="shared" si="23"/>
        <v>11751.091456679944</v>
      </c>
      <c r="J61" s="1134">
        <f t="shared" si="24"/>
        <v>40155.076907219816</v>
      </c>
      <c r="K61" s="1133">
        <v>979.44999999999982</v>
      </c>
      <c r="L61" s="1133">
        <v>693.12</v>
      </c>
      <c r="M61" s="1133">
        <f t="shared" si="25"/>
        <v>41827.646907219816</v>
      </c>
      <c r="N61" s="1142">
        <v>0</v>
      </c>
      <c r="O61" s="1133">
        <f t="shared" si="27"/>
        <v>41827.646907219816</v>
      </c>
      <c r="P61" s="1133">
        <v>0</v>
      </c>
      <c r="Q61" s="1135">
        <f t="shared" si="29"/>
        <v>41827.646907219816</v>
      </c>
      <c r="R61" s="1091" t="s">
        <v>2986</v>
      </c>
      <c r="S61" s="1092">
        <f t="shared" si="30"/>
        <v>0</v>
      </c>
      <c r="U61" s="1232">
        <f t="shared" si="31"/>
        <v>65.567833450000009</v>
      </c>
    </row>
    <row r="62" spans="1:21">
      <c r="A62" s="1138">
        <v>2183</v>
      </c>
      <c r="B62" s="1231" t="s">
        <v>2802</v>
      </c>
      <c r="C62" s="1231" t="s">
        <v>3002</v>
      </c>
      <c r="D62" s="1140" t="s">
        <v>2807</v>
      </c>
      <c r="E62" s="1134">
        <v>21.659999999999918</v>
      </c>
      <c r="F62" s="1133">
        <v>1234.9833330000001</v>
      </c>
      <c r="G62" s="1141">
        <f t="shared" si="22"/>
        <v>26749.738992779901</v>
      </c>
      <c r="H62" s="1133">
        <v>378.55000200000001</v>
      </c>
      <c r="I62" s="1134">
        <f t="shared" si="23"/>
        <v>12299.089564979955</v>
      </c>
      <c r="J62" s="1134">
        <f t="shared" si="24"/>
        <v>39048.828557759858</v>
      </c>
      <c r="K62" s="1133">
        <v>191.77999999999992</v>
      </c>
      <c r="L62" s="1133">
        <v>0</v>
      </c>
      <c r="M62" s="1133">
        <f t="shared" si="25"/>
        <v>39240.608557759857</v>
      </c>
      <c r="N62" s="1142">
        <f t="shared" si="26"/>
        <v>4.616805170821809E-2</v>
      </c>
      <c r="O62" s="1133">
        <f t="shared" si="27"/>
        <v>41052.271002716458</v>
      </c>
      <c r="P62" s="1133">
        <f t="shared" si="28"/>
        <v>250</v>
      </c>
      <c r="Q62" s="1135">
        <f t="shared" si="29"/>
        <v>41302.271002716458</v>
      </c>
      <c r="R62" s="1091" t="s">
        <v>2986</v>
      </c>
      <c r="S62" s="1092">
        <f t="shared" si="30"/>
        <v>2061.6624449566007</v>
      </c>
      <c r="U62" s="1232">
        <f t="shared" si="31"/>
        <v>61.749166650000006</v>
      </c>
    </row>
    <row r="63" spans="1:21">
      <c r="A63" s="1138">
        <v>2183</v>
      </c>
      <c r="B63" s="1231" t="s">
        <v>2803</v>
      </c>
      <c r="C63" s="1231" t="s">
        <v>3003</v>
      </c>
      <c r="D63" s="1140" t="s">
        <v>2807</v>
      </c>
      <c r="E63" s="1134">
        <v>22.659999999999915</v>
      </c>
      <c r="F63" s="1133">
        <v>1082.616667</v>
      </c>
      <c r="G63" s="1141">
        <f t="shared" si="22"/>
        <v>24532.093674219908</v>
      </c>
      <c r="H63" s="1133">
        <v>221.40000099999997</v>
      </c>
      <c r="I63" s="1134">
        <f t="shared" si="23"/>
        <v>7525.3860339899711</v>
      </c>
      <c r="J63" s="1134">
        <f t="shared" si="24"/>
        <v>32057.479708209881</v>
      </c>
      <c r="K63" s="1133">
        <v>142.12</v>
      </c>
      <c r="L63" s="1133">
        <v>160</v>
      </c>
      <c r="M63" s="1133">
        <f t="shared" si="25"/>
        <v>32359.59970820988</v>
      </c>
      <c r="N63" s="1142">
        <f t="shared" si="26"/>
        <v>4.4130626654898662E-2</v>
      </c>
      <c r="O63" s="1133">
        <f t="shared" si="27"/>
        <v>33787.649121634859</v>
      </c>
      <c r="P63" s="1133">
        <f t="shared" si="28"/>
        <v>250</v>
      </c>
      <c r="Q63" s="1135">
        <f t="shared" si="29"/>
        <v>34037.649121634859</v>
      </c>
      <c r="R63" s="1091" t="s">
        <v>2986</v>
      </c>
      <c r="S63" s="1092">
        <f t="shared" si="30"/>
        <v>1678.0494134249784</v>
      </c>
      <c r="U63" s="1232">
        <f t="shared" si="31"/>
        <v>54.130833350000003</v>
      </c>
    </row>
    <row r="64" spans="1:21">
      <c r="A64" s="1138">
        <v>2183</v>
      </c>
      <c r="B64" s="1231" t="s">
        <v>2804</v>
      </c>
      <c r="C64" s="1231" t="s">
        <v>3004</v>
      </c>
      <c r="D64" s="1140" t="s">
        <v>2807</v>
      </c>
      <c r="E64" s="1134">
        <v>21.659999999999958</v>
      </c>
      <c r="F64" s="1133">
        <v>786.55</v>
      </c>
      <c r="G64" s="1141">
        <f t="shared" si="22"/>
        <v>17036.672999999966</v>
      </c>
      <c r="H64" s="1133">
        <v>218.29999899999999</v>
      </c>
      <c r="I64" s="1134">
        <f t="shared" si="23"/>
        <v>7092.5669675099862</v>
      </c>
      <c r="J64" s="1134">
        <f t="shared" si="24"/>
        <v>24129.239967509951</v>
      </c>
      <c r="K64" s="1133">
        <v>54.790000000000006</v>
      </c>
      <c r="L64" s="1133">
        <v>173.28</v>
      </c>
      <c r="M64" s="1133">
        <f t="shared" si="25"/>
        <v>24357.309967509951</v>
      </c>
      <c r="N64" s="1142">
        <f t="shared" si="26"/>
        <v>4.6168051708218007E-2</v>
      </c>
      <c r="O64" s="1133">
        <f t="shared" si="27"/>
        <v>25481.839513563042</v>
      </c>
      <c r="P64" s="1133">
        <f t="shared" si="28"/>
        <v>250</v>
      </c>
      <c r="Q64" s="1135">
        <f t="shared" si="29"/>
        <v>25731.839513563042</v>
      </c>
      <c r="R64" s="1091" t="s">
        <v>2986</v>
      </c>
      <c r="S64" s="1092">
        <f t="shared" si="30"/>
        <v>1374.5295460530906</v>
      </c>
      <c r="U64" s="1232">
        <f t="shared" si="31"/>
        <v>39.327500000000001</v>
      </c>
    </row>
    <row r="65" spans="1:21">
      <c r="A65" s="1138">
        <v>2183</v>
      </c>
      <c r="B65" s="1231" t="s">
        <v>2805</v>
      </c>
      <c r="C65" s="1231" t="s">
        <v>3005</v>
      </c>
      <c r="D65" s="1140" t="s">
        <v>2807</v>
      </c>
      <c r="E65" s="1134">
        <v>21.659999999999989</v>
      </c>
      <c r="F65" s="1133">
        <v>580.13333299999999</v>
      </c>
      <c r="G65" s="1141">
        <f t="shared" si="22"/>
        <v>12565.687992779995</v>
      </c>
      <c r="H65" s="1133">
        <v>140.63333600000001</v>
      </c>
      <c r="I65" s="1134">
        <f t="shared" si="23"/>
        <v>4569.1770866399975</v>
      </c>
      <c r="J65" s="1134">
        <f t="shared" si="24"/>
        <v>17134.865079419993</v>
      </c>
      <c r="K65" s="1133">
        <v>0</v>
      </c>
      <c r="L65" s="1133">
        <v>0</v>
      </c>
      <c r="M65" s="1133">
        <f t="shared" si="25"/>
        <v>17134.865079419993</v>
      </c>
      <c r="N65" s="1142">
        <f t="shared" si="26"/>
        <v>4.6168051708217937E-2</v>
      </c>
      <c r="O65" s="1133">
        <f t="shared" si="27"/>
        <v>17925.948416419993</v>
      </c>
      <c r="P65" s="1133">
        <f t="shared" si="28"/>
        <v>250</v>
      </c>
      <c r="Q65" s="1135">
        <f t="shared" si="29"/>
        <v>18175.948416419993</v>
      </c>
      <c r="R65" s="1091" t="s">
        <v>2986</v>
      </c>
      <c r="S65" s="1092">
        <f t="shared" si="30"/>
        <v>1041.083337</v>
      </c>
      <c r="U65" s="1232">
        <f t="shared" si="31"/>
        <v>29.00666665</v>
      </c>
    </row>
    <row r="66" spans="1:21">
      <c r="A66" s="1138">
        <v>2183</v>
      </c>
      <c r="B66" s="1231" t="s">
        <v>2806</v>
      </c>
      <c r="C66" s="1231" t="s">
        <v>3006</v>
      </c>
      <c r="D66" s="1140" t="s">
        <v>2807</v>
      </c>
      <c r="E66" s="1134">
        <v>17.5</v>
      </c>
      <c r="F66" s="1133">
        <v>210.88333399999999</v>
      </c>
      <c r="G66" s="1141">
        <f t="shared" si="22"/>
        <v>3690.458345</v>
      </c>
      <c r="H66" s="1133">
        <v>25.1</v>
      </c>
      <c r="I66" s="1134">
        <f t="shared" si="23"/>
        <v>658.875</v>
      </c>
      <c r="J66" s="1134">
        <f t="shared" si="24"/>
        <v>4349.333345</v>
      </c>
      <c r="K66" s="1133">
        <v>0</v>
      </c>
      <c r="L66" s="1133">
        <v>0</v>
      </c>
      <c r="M66" s="1133">
        <f t="shared" si="25"/>
        <v>4349.333345</v>
      </c>
      <c r="N66" s="1142">
        <v>0</v>
      </c>
      <c r="O66" s="1133">
        <f t="shared" si="27"/>
        <v>4349.333345</v>
      </c>
      <c r="P66" s="1133">
        <f t="shared" si="28"/>
        <v>0</v>
      </c>
      <c r="Q66" s="1135">
        <f t="shared" si="29"/>
        <v>4349.333345</v>
      </c>
      <c r="R66" s="1091" t="s">
        <v>2758</v>
      </c>
      <c r="S66" s="1092">
        <f t="shared" si="30"/>
        <v>0</v>
      </c>
      <c r="U66" s="1232">
        <f t="shared" si="31"/>
        <v>0</v>
      </c>
    </row>
    <row r="67" spans="1:21">
      <c r="A67" s="1138">
        <v>2183</v>
      </c>
      <c r="B67" s="1231" t="s">
        <v>2808</v>
      </c>
      <c r="C67" s="1231" t="s">
        <v>3007</v>
      </c>
      <c r="D67" s="1140" t="s">
        <v>2807</v>
      </c>
      <c r="E67" s="1134">
        <v>18.5</v>
      </c>
      <c r="F67" s="1133">
        <v>236.16666600000002</v>
      </c>
      <c r="G67" s="1141">
        <f t="shared" si="22"/>
        <v>4369.0833210000001</v>
      </c>
      <c r="H67" s="1133">
        <v>46.616667</v>
      </c>
      <c r="I67" s="1134">
        <f t="shared" si="23"/>
        <v>1293.6125092499999</v>
      </c>
      <c r="J67" s="1134">
        <f t="shared" si="24"/>
        <v>5662.6958302499997</v>
      </c>
      <c r="K67" s="1133">
        <v>0</v>
      </c>
      <c r="L67" s="1133">
        <v>0</v>
      </c>
      <c r="M67" s="1133">
        <f t="shared" si="25"/>
        <v>5662.6958302499997</v>
      </c>
      <c r="N67" s="1142">
        <v>0</v>
      </c>
      <c r="O67" s="1133">
        <f t="shared" si="27"/>
        <v>5662.6958302499997</v>
      </c>
      <c r="P67" s="1133">
        <f t="shared" si="28"/>
        <v>0</v>
      </c>
      <c r="Q67" s="1135">
        <f t="shared" si="29"/>
        <v>5662.6958302499997</v>
      </c>
      <c r="R67" s="1091" t="s">
        <v>2758</v>
      </c>
      <c r="S67" s="1092">
        <f t="shared" si="30"/>
        <v>0</v>
      </c>
      <c r="U67" s="1232">
        <f t="shared" si="31"/>
        <v>0</v>
      </c>
    </row>
    <row r="68" spans="1:21">
      <c r="A68" s="1138">
        <v>2184</v>
      </c>
      <c r="B68" s="1231" t="s">
        <v>2787</v>
      </c>
      <c r="C68" s="1231" t="s">
        <v>2788</v>
      </c>
      <c r="D68" s="1140" t="s">
        <v>2807</v>
      </c>
      <c r="E68" s="1134">
        <v>23</v>
      </c>
      <c r="F68" s="1133">
        <v>1606.2699960000002</v>
      </c>
      <c r="G68" s="1141">
        <f>+E68*F68</f>
        <v>36944.209908000004</v>
      </c>
      <c r="H68" s="1133">
        <v>183.91666399999997</v>
      </c>
      <c r="I68" s="1134">
        <f>+IFERROR(E68*1.5*H68,0)</f>
        <v>6345.1249079999989</v>
      </c>
      <c r="J68" s="1134">
        <f>+G68+I68</f>
        <v>43289.334816000002</v>
      </c>
      <c r="K68" s="1133">
        <v>0</v>
      </c>
      <c r="L68" s="1133">
        <v>424</v>
      </c>
      <c r="M68" s="1133">
        <f>+L68+K68+J68</f>
        <v>43713.334816000002</v>
      </c>
      <c r="N68" s="1142">
        <f>+IF(R68="union",(1/E68),2.5%)</f>
        <v>2.5000000000000001E-2</v>
      </c>
      <c r="O68" s="1133">
        <f>+M68*(1+N68)</f>
        <v>44806.168186399998</v>
      </c>
      <c r="P68" s="1133">
        <f>+IF(R68="union",250,0)</f>
        <v>0</v>
      </c>
      <c r="Q68" s="1135">
        <f>+O68+P68</f>
        <v>44806.168186399998</v>
      </c>
      <c r="R68" s="1091" t="s">
        <v>2758</v>
      </c>
      <c r="S68" s="1092">
        <f>+O68-M68+P68</f>
        <v>1092.8333703999961</v>
      </c>
      <c r="U68" s="1232">
        <f>+IF(R68="Union",F68*0.05,0)</f>
        <v>0</v>
      </c>
    </row>
    <row r="69" spans="1:21">
      <c r="A69" s="1138">
        <v>2183</v>
      </c>
      <c r="B69" s="1231" t="s">
        <v>2809</v>
      </c>
      <c r="C69" s="1231" t="s">
        <v>3008</v>
      </c>
      <c r="D69" s="1140" t="s">
        <v>3009</v>
      </c>
      <c r="E69" s="1134">
        <v>21.659999999999894</v>
      </c>
      <c r="F69" s="1133">
        <v>2113.7833329999999</v>
      </c>
      <c r="G69" s="1141">
        <f t="shared" si="22"/>
        <v>45784.546992779775</v>
      </c>
      <c r="H69" s="1133">
        <v>338.95000199999998</v>
      </c>
      <c r="I69" s="1134">
        <f t="shared" si="23"/>
        <v>11012.485564979945</v>
      </c>
      <c r="J69" s="1134">
        <f t="shared" si="24"/>
        <v>56797.032557759718</v>
      </c>
      <c r="K69" s="1133">
        <v>624.99999999999989</v>
      </c>
      <c r="L69" s="1133">
        <v>693.12</v>
      </c>
      <c r="M69" s="1133">
        <f t="shared" si="25"/>
        <v>58115.15255775972</v>
      </c>
      <c r="N69" s="1142">
        <f t="shared" si="26"/>
        <v>4.6168051708218139E-2</v>
      </c>
      <c r="O69" s="1133">
        <f t="shared" si="27"/>
        <v>60798.215926077355</v>
      </c>
      <c r="P69" s="1133">
        <f t="shared" si="28"/>
        <v>250</v>
      </c>
      <c r="Q69" s="1135">
        <f t="shared" si="29"/>
        <v>61048.215926077355</v>
      </c>
      <c r="R69" s="1091" t="s">
        <v>2986</v>
      </c>
      <c r="S69" s="1092">
        <f t="shared" si="30"/>
        <v>2933.0633683176347</v>
      </c>
      <c r="U69" s="1232">
        <f t="shared" si="31"/>
        <v>105.68916665</v>
      </c>
    </row>
    <row r="70" spans="1:21">
      <c r="A70" s="1138">
        <v>2183</v>
      </c>
      <c r="B70" s="1231" t="s">
        <v>2810</v>
      </c>
      <c r="C70" s="1231" t="s">
        <v>3010</v>
      </c>
      <c r="D70" s="1140" t="s">
        <v>3009</v>
      </c>
      <c r="E70" s="1134">
        <v>21.659999999999904</v>
      </c>
      <c r="F70" s="1133">
        <v>1917.0666680000002</v>
      </c>
      <c r="G70" s="1141">
        <f t="shared" si="22"/>
        <v>41523.664028879823</v>
      </c>
      <c r="H70" s="1133">
        <v>263.78332899999998</v>
      </c>
      <c r="I70" s="1134">
        <f t="shared" si="23"/>
        <v>8570.3203592099599</v>
      </c>
      <c r="J70" s="1134">
        <f t="shared" si="24"/>
        <v>50093.984388089782</v>
      </c>
      <c r="K70" s="1133">
        <v>0</v>
      </c>
      <c r="L70" s="1133">
        <v>693.12</v>
      </c>
      <c r="M70" s="1133">
        <f t="shared" si="25"/>
        <v>50787.104388089785</v>
      </c>
      <c r="N70" s="1142">
        <f t="shared" si="26"/>
        <v>4.6168051708218118E-2</v>
      </c>
      <c r="O70" s="1133">
        <f t="shared" si="27"/>
        <v>53131.846049589789</v>
      </c>
      <c r="P70" s="1133">
        <f t="shared" si="28"/>
        <v>250</v>
      </c>
      <c r="Q70" s="1135">
        <f t="shared" si="29"/>
        <v>53381.846049589789</v>
      </c>
      <c r="R70" s="1091" t="s">
        <v>2986</v>
      </c>
      <c r="S70" s="1092">
        <f t="shared" si="30"/>
        <v>2594.7416615000038</v>
      </c>
      <c r="U70" s="1232">
        <f t="shared" si="31"/>
        <v>95.853333400000011</v>
      </c>
    </row>
    <row r="71" spans="1:21">
      <c r="A71" s="1138">
        <v>2183</v>
      </c>
      <c r="B71" s="1231" t="s">
        <v>2811</v>
      </c>
      <c r="C71" s="1231" t="s">
        <v>3011</v>
      </c>
      <c r="D71" s="1140" t="s">
        <v>3009</v>
      </c>
      <c r="E71" s="1134">
        <v>21.659999999999926</v>
      </c>
      <c r="F71" s="1133">
        <v>1108.9333329999999</v>
      </c>
      <c r="G71" s="1141">
        <f t="shared" si="22"/>
        <v>24019.495992779917</v>
      </c>
      <c r="H71" s="1133">
        <v>326.16666899999996</v>
      </c>
      <c r="I71" s="1134">
        <f t="shared" si="23"/>
        <v>10597.155075809962</v>
      </c>
      <c r="J71" s="1134">
        <f t="shared" si="24"/>
        <v>34616.651068589883</v>
      </c>
      <c r="K71" s="1133">
        <v>154.11000000000001</v>
      </c>
      <c r="L71" s="1133">
        <v>346.56</v>
      </c>
      <c r="M71" s="1133">
        <f t="shared" si="25"/>
        <v>35117.321068589881</v>
      </c>
      <c r="N71" s="1142">
        <f t="shared" si="26"/>
        <v>4.6168051708218069E-2</v>
      </c>
      <c r="O71" s="1133">
        <f t="shared" si="27"/>
        <v>36738.619363538637</v>
      </c>
      <c r="P71" s="1133">
        <f t="shared" si="28"/>
        <v>250</v>
      </c>
      <c r="Q71" s="1135">
        <f t="shared" si="29"/>
        <v>36988.619363538637</v>
      </c>
      <c r="R71" s="1091" t="s">
        <v>2986</v>
      </c>
      <c r="S71" s="1092">
        <f t="shared" si="30"/>
        <v>1871.2982949487559</v>
      </c>
      <c r="U71" s="1232">
        <f t="shared" si="31"/>
        <v>55.446666649999997</v>
      </c>
    </row>
    <row r="72" spans="1:21">
      <c r="A72" s="1152"/>
      <c r="B72" s="1144"/>
      <c r="C72" s="1146"/>
      <c r="D72" s="1140"/>
      <c r="E72" s="1133"/>
      <c r="F72" s="1133"/>
      <c r="G72" s="1133"/>
      <c r="H72" s="1133"/>
      <c r="I72" s="1134"/>
      <c r="J72" s="1133"/>
      <c r="K72" s="1133"/>
      <c r="L72" s="1133"/>
      <c r="M72" s="1133"/>
      <c r="N72" s="1133"/>
      <c r="O72" s="1133"/>
      <c r="P72" s="1133"/>
      <c r="Q72" s="1135"/>
    </row>
    <row r="73" spans="1:21">
      <c r="A73" s="1138"/>
      <c r="B73" s="1144"/>
      <c r="C73" s="1146" t="s">
        <v>2042</v>
      </c>
      <c r="D73" s="1140"/>
      <c r="E73" s="1147">
        <f t="shared" ref="E73:P73" si="32">+SUM(E52:E72)</f>
        <v>445.15999999999877</v>
      </c>
      <c r="F73" s="1147">
        <f t="shared" si="32"/>
        <v>28935.626662999999</v>
      </c>
      <c r="G73" s="1147">
        <f t="shared" si="32"/>
        <v>663947.60598219791</v>
      </c>
      <c r="H73" s="1147">
        <f t="shared" si="32"/>
        <v>6043.6500230000011</v>
      </c>
      <c r="I73" s="1147">
        <f t="shared" si="32"/>
        <v>209319.23637413938</v>
      </c>
      <c r="J73" s="1147">
        <f t="shared" si="32"/>
        <v>873266.84235633735</v>
      </c>
      <c r="K73" s="1147">
        <f t="shared" si="32"/>
        <v>4022.2499999999991</v>
      </c>
      <c r="L73" s="1147">
        <f t="shared" si="32"/>
        <v>12681.410000000003</v>
      </c>
      <c r="M73" s="1147">
        <f t="shared" si="32"/>
        <v>889970.50235633738</v>
      </c>
      <c r="N73" s="1147"/>
      <c r="O73" s="1147">
        <f t="shared" si="32"/>
        <v>924201.21137078514</v>
      </c>
      <c r="P73" s="1147">
        <f t="shared" si="32"/>
        <v>3750</v>
      </c>
      <c r="Q73" s="1148">
        <f>+SUM(Q52:Q72)</f>
        <v>927951.21137078514</v>
      </c>
      <c r="S73" s="1148">
        <f>+SUM(S52:S72)</f>
        <v>37980.709014447617</v>
      </c>
    </row>
    <row r="74" spans="1:21">
      <c r="A74" s="1152"/>
      <c r="B74" s="1144"/>
      <c r="C74" s="1146"/>
      <c r="D74" s="1140"/>
      <c r="E74" s="1133"/>
      <c r="F74" s="1133"/>
      <c r="G74" s="1133"/>
      <c r="H74" s="1133"/>
      <c r="I74" s="1134"/>
      <c r="J74" s="1133"/>
      <c r="K74" s="1133"/>
      <c r="L74" s="1133"/>
      <c r="M74" s="1133"/>
      <c r="N74" s="1133"/>
      <c r="O74" s="1133"/>
      <c r="P74" s="1133"/>
      <c r="Q74" s="1135"/>
    </row>
    <row r="75" spans="1:21">
      <c r="A75" s="1129" t="s">
        <v>558</v>
      </c>
      <c r="B75" s="1130"/>
      <c r="C75" s="1151"/>
      <c r="D75" s="1132"/>
      <c r="E75" s="1133"/>
      <c r="F75" s="1133"/>
      <c r="G75" s="1133"/>
      <c r="H75" s="1133"/>
      <c r="I75" s="1134"/>
      <c r="J75" s="1133"/>
      <c r="K75" s="1133"/>
      <c r="L75" s="1133"/>
      <c r="M75" s="1133"/>
      <c r="N75" s="1133"/>
      <c r="O75" s="1133"/>
      <c r="P75" s="1133"/>
      <c r="Q75" s="1135"/>
    </row>
    <row r="76" spans="1:21">
      <c r="A76" s="1138">
        <v>2183</v>
      </c>
      <c r="B76" s="1231" t="s">
        <v>2812</v>
      </c>
      <c r="C76" s="1231" t="s">
        <v>3012</v>
      </c>
      <c r="D76" s="1140" t="s">
        <v>3013</v>
      </c>
      <c r="E76" s="1134">
        <v>25.129999999999875</v>
      </c>
      <c r="F76" s="1133">
        <v>2102.1333329999998</v>
      </c>
      <c r="G76" s="1141">
        <f t="shared" ref="G76:G87" si="33">+E76*F76</f>
        <v>52826.610658289734</v>
      </c>
      <c r="H76" s="1133">
        <v>519.04999799999996</v>
      </c>
      <c r="I76" s="1134">
        <f t="shared" ref="I76:I87" si="34">+IFERROR(E76*1.5*H76,0)</f>
        <v>19565.589674609899</v>
      </c>
      <c r="J76" s="1134">
        <f t="shared" ref="J76:J87" si="35">+G76+I76</f>
        <v>72392.200332899636</v>
      </c>
      <c r="K76" s="1133">
        <v>624.99999999999989</v>
      </c>
      <c r="L76" s="1133">
        <v>1415.2</v>
      </c>
      <c r="M76" s="1133">
        <f t="shared" ref="M76:M87" si="36">+L76+K76+J76</f>
        <v>74432.400332899633</v>
      </c>
      <c r="N76" s="1142">
        <f t="shared" ref="N76:N87" si="37">+IF(R76="union",(1/E76),2.5%)</f>
        <v>2.5000000000000001E-2</v>
      </c>
      <c r="O76" s="1133">
        <f t="shared" ref="O76:O87" si="38">+M76*(1+N76)</f>
        <v>76293.210341222119</v>
      </c>
      <c r="P76" s="1133">
        <f t="shared" ref="P76:P87" si="39">+IF(R76="union",250,0)</f>
        <v>0</v>
      </c>
      <c r="Q76" s="1135">
        <f t="shared" ref="Q76:Q87" si="40">+O76+P76</f>
        <v>76293.210341222119</v>
      </c>
      <c r="R76" s="1091" t="s">
        <v>2758</v>
      </c>
      <c r="S76" s="1092">
        <f t="shared" ref="S76:S87" si="41">+O76-M76+P76</f>
        <v>1860.8100083224854</v>
      </c>
      <c r="U76" s="1232">
        <f t="shared" ref="U76:U87" si="42">+IF(R76="Union",F76*0.05,0)</f>
        <v>0</v>
      </c>
    </row>
    <row r="77" spans="1:21">
      <c r="A77" s="1138">
        <v>2183</v>
      </c>
      <c r="B77" s="1231" t="s">
        <v>2813</v>
      </c>
      <c r="C77" s="1231" t="s">
        <v>3014</v>
      </c>
      <c r="D77" s="1140" t="s">
        <v>3013</v>
      </c>
      <c r="E77" s="1134">
        <v>25.009999999999948</v>
      </c>
      <c r="F77" s="1133">
        <v>2115.0500000000002</v>
      </c>
      <c r="G77" s="1141">
        <f t="shared" si="33"/>
        <v>52897.400499999894</v>
      </c>
      <c r="H77" s="1133">
        <v>479.16666800000013</v>
      </c>
      <c r="I77" s="1134">
        <f t="shared" si="34"/>
        <v>17975.937550019968</v>
      </c>
      <c r="J77" s="1134">
        <f t="shared" si="35"/>
        <v>70873.338050019869</v>
      </c>
      <c r="K77" s="1133">
        <v>624.99999999999989</v>
      </c>
      <c r="L77" s="1133">
        <v>1464.25</v>
      </c>
      <c r="M77" s="1133">
        <f t="shared" si="36"/>
        <v>72962.588050019869</v>
      </c>
      <c r="N77" s="1142">
        <f t="shared" si="37"/>
        <v>2.5000000000000001E-2</v>
      </c>
      <c r="O77" s="1133">
        <f t="shared" si="38"/>
        <v>74786.652751270361</v>
      </c>
      <c r="P77" s="1133">
        <f t="shared" si="39"/>
        <v>0</v>
      </c>
      <c r="Q77" s="1135">
        <f t="shared" si="40"/>
        <v>74786.652751270361</v>
      </c>
      <c r="R77" s="1091" t="s">
        <v>2758</v>
      </c>
      <c r="S77" s="1092">
        <f t="shared" si="41"/>
        <v>1824.0647012504924</v>
      </c>
      <c r="U77" s="1232">
        <f t="shared" si="42"/>
        <v>0</v>
      </c>
    </row>
    <row r="78" spans="1:21">
      <c r="A78" s="1138">
        <v>2183</v>
      </c>
      <c r="B78" s="1231" t="s">
        <v>2814</v>
      </c>
      <c r="C78" s="1231" t="s">
        <v>3015</v>
      </c>
      <c r="D78" s="1140" t="s">
        <v>3013</v>
      </c>
      <c r="E78" s="1134">
        <v>27.419999999999753</v>
      </c>
      <c r="F78" s="1133">
        <v>2026.1833329999999</v>
      </c>
      <c r="G78" s="1141">
        <f t="shared" si="33"/>
        <v>55557.946990859498</v>
      </c>
      <c r="H78" s="1133">
        <v>490.43333999999993</v>
      </c>
      <c r="I78" s="1134">
        <f t="shared" si="34"/>
        <v>20171.523274199815</v>
      </c>
      <c r="J78" s="1134">
        <f t="shared" si="35"/>
        <v>75729.47026505931</v>
      </c>
      <c r="K78" s="1133">
        <v>0</v>
      </c>
      <c r="L78" s="1133">
        <v>925.58</v>
      </c>
      <c r="M78" s="1133">
        <f t="shared" si="36"/>
        <v>76655.050265059312</v>
      </c>
      <c r="N78" s="1142">
        <f t="shared" si="37"/>
        <v>2.5000000000000001E-2</v>
      </c>
      <c r="O78" s="1133">
        <f t="shared" si="38"/>
        <v>78571.426521685789</v>
      </c>
      <c r="P78" s="1133">
        <f t="shared" si="39"/>
        <v>0</v>
      </c>
      <c r="Q78" s="1135">
        <f t="shared" si="40"/>
        <v>78571.426521685789</v>
      </c>
      <c r="R78" s="1091" t="s">
        <v>2758</v>
      </c>
      <c r="S78" s="1092">
        <f t="shared" si="41"/>
        <v>1916.3762566264777</v>
      </c>
      <c r="U78" s="1232">
        <f t="shared" si="42"/>
        <v>0</v>
      </c>
    </row>
    <row r="79" spans="1:21">
      <c r="A79" s="1138">
        <v>2183</v>
      </c>
      <c r="B79" s="1231" t="s">
        <v>2815</v>
      </c>
      <c r="C79" s="1231" t="s">
        <v>3016</v>
      </c>
      <c r="D79" s="1140" t="s">
        <v>3013</v>
      </c>
      <c r="E79" s="1134">
        <v>29</v>
      </c>
      <c r="F79" s="1133">
        <v>2112</v>
      </c>
      <c r="G79" s="1141">
        <f t="shared" si="33"/>
        <v>61248</v>
      </c>
      <c r="H79" s="1133">
        <v>464.70000200000004</v>
      </c>
      <c r="I79" s="1134">
        <f t="shared" si="34"/>
        <v>20214.450087000001</v>
      </c>
      <c r="J79" s="1134">
        <f t="shared" si="35"/>
        <v>81462.450087000005</v>
      </c>
      <c r="K79" s="1133">
        <v>0</v>
      </c>
      <c r="L79" s="1133">
        <v>232</v>
      </c>
      <c r="M79" s="1133">
        <f t="shared" si="36"/>
        <v>81694.450087000005</v>
      </c>
      <c r="N79" s="1142">
        <f t="shared" si="37"/>
        <v>2.5000000000000001E-2</v>
      </c>
      <c r="O79" s="1133">
        <f t="shared" si="38"/>
        <v>83736.811339174994</v>
      </c>
      <c r="P79" s="1133">
        <f t="shared" si="39"/>
        <v>0</v>
      </c>
      <c r="Q79" s="1135">
        <f t="shared" si="40"/>
        <v>83736.811339174994</v>
      </c>
      <c r="R79" s="1091" t="s">
        <v>2758</v>
      </c>
      <c r="S79" s="1092">
        <f t="shared" si="41"/>
        <v>2042.3612521749892</v>
      </c>
      <c r="U79" s="1232">
        <f t="shared" si="42"/>
        <v>0</v>
      </c>
    </row>
    <row r="80" spans="1:21">
      <c r="A80" s="1138">
        <v>2183</v>
      </c>
      <c r="B80" s="1231" t="s">
        <v>2816</v>
      </c>
      <c r="C80" s="1231" t="s">
        <v>3017</v>
      </c>
      <c r="D80" s="1140" t="s">
        <v>3013</v>
      </c>
      <c r="E80" s="1134">
        <v>26.48999999999997</v>
      </c>
      <c r="F80" s="1133">
        <v>2079.0833339999999</v>
      </c>
      <c r="G80" s="1141">
        <f t="shared" si="33"/>
        <v>55074.917517659938</v>
      </c>
      <c r="H80" s="1133">
        <v>413.56666899999993</v>
      </c>
      <c r="I80" s="1134">
        <f t="shared" si="34"/>
        <v>16433.071592714979</v>
      </c>
      <c r="J80" s="1134">
        <f t="shared" si="35"/>
        <v>71507.989110374911</v>
      </c>
      <c r="K80" s="1133">
        <v>624.99999999999989</v>
      </c>
      <c r="L80" s="1133">
        <v>1053.3599999999999</v>
      </c>
      <c r="M80" s="1133">
        <f t="shared" si="36"/>
        <v>73186.349110374911</v>
      </c>
      <c r="N80" s="1142">
        <f t="shared" si="37"/>
        <v>2.5000000000000001E-2</v>
      </c>
      <c r="O80" s="1133">
        <f t="shared" si="38"/>
        <v>75016.007838134276</v>
      </c>
      <c r="P80" s="1133">
        <f t="shared" si="39"/>
        <v>0</v>
      </c>
      <c r="Q80" s="1135">
        <f t="shared" si="40"/>
        <v>75016.007838134276</v>
      </c>
      <c r="R80" s="1091" t="s">
        <v>2758</v>
      </c>
      <c r="S80" s="1092">
        <f t="shared" si="41"/>
        <v>1829.6587277593644</v>
      </c>
      <c r="U80" s="1232">
        <f t="shared" si="42"/>
        <v>0</v>
      </c>
    </row>
    <row r="81" spans="1:21">
      <c r="A81" s="1138">
        <v>2183</v>
      </c>
      <c r="B81" s="1231" t="s">
        <v>2817</v>
      </c>
      <c r="C81" s="1231" t="s">
        <v>3018</v>
      </c>
      <c r="D81" s="1140" t="s">
        <v>3013</v>
      </c>
      <c r="E81" s="1134">
        <v>25</v>
      </c>
      <c r="F81" s="1133">
        <v>2084.766666</v>
      </c>
      <c r="G81" s="1141">
        <f t="shared" si="33"/>
        <v>52119.166649999999</v>
      </c>
      <c r="H81" s="1133">
        <v>615.18333700000005</v>
      </c>
      <c r="I81" s="1134">
        <f t="shared" si="34"/>
        <v>23069.375137500003</v>
      </c>
      <c r="J81" s="1134">
        <f t="shared" si="35"/>
        <v>75188.541787499998</v>
      </c>
      <c r="K81" s="1133">
        <v>624.99999999999989</v>
      </c>
      <c r="L81" s="1133">
        <v>1776.72</v>
      </c>
      <c r="M81" s="1133">
        <f t="shared" si="36"/>
        <v>77590.2617875</v>
      </c>
      <c r="N81" s="1142">
        <f t="shared" si="37"/>
        <v>2.5000000000000001E-2</v>
      </c>
      <c r="O81" s="1133">
        <f t="shared" si="38"/>
        <v>79530.018332187494</v>
      </c>
      <c r="P81" s="1133">
        <f t="shared" si="39"/>
        <v>0</v>
      </c>
      <c r="Q81" s="1135">
        <f t="shared" si="40"/>
        <v>79530.018332187494</v>
      </c>
      <c r="R81" s="1091" t="s">
        <v>2758</v>
      </c>
      <c r="S81" s="1092">
        <f t="shared" si="41"/>
        <v>1939.7565446874942</v>
      </c>
      <c r="U81" s="1232">
        <f t="shared" si="42"/>
        <v>0</v>
      </c>
    </row>
    <row r="82" spans="1:21">
      <c r="A82" s="1138">
        <v>2183</v>
      </c>
      <c r="B82" s="1231" t="s">
        <v>2818</v>
      </c>
      <c r="C82" s="1231" t="s">
        <v>3019</v>
      </c>
      <c r="D82" s="1140" t="s">
        <v>3013</v>
      </c>
      <c r="E82" s="1134">
        <v>23</v>
      </c>
      <c r="F82" s="1133">
        <v>2136.8833340000001</v>
      </c>
      <c r="G82" s="1141">
        <f t="shared" si="33"/>
        <v>49148.316682000004</v>
      </c>
      <c r="H82" s="1133">
        <v>379.11666600000007</v>
      </c>
      <c r="I82" s="1134">
        <f t="shared" si="34"/>
        <v>13079.524977000003</v>
      </c>
      <c r="J82" s="1134">
        <f t="shared" si="35"/>
        <v>62227.841659000005</v>
      </c>
      <c r="K82" s="1133">
        <v>624.99999999999989</v>
      </c>
      <c r="L82" s="1133">
        <v>516</v>
      </c>
      <c r="M82" s="1133">
        <f t="shared" si="36"/>
        <v>63368.841659000005</v>
      </c>
      <c r="N82" s="1142">
        <f t="shared" si="37"/>
        <v>2.5000000000000001E-2</v>
      </c>
      <c r="O82" s="1133">
        <f t="shared" si="38"/>
        <v>64953.062700474999</v>
      </c>
      <c r="P82" s="1133">
        <f t="shared" si="39"/>
        <v>0</v>
      </c>
      <c r="Q82" s="1135">
        <f t="shared" si="40"/>
        <v>64953.062700474999</v>
      </c>
      <c r="R82" s="1091" t="s">
        <v>2758</v>
      </c>
      <c r="S82" s="1092">
        <f t="shared" si="41"/>
        <v>1584.2210414749934</v>
      </c>
      <c r="U82" s="1232">
        <f t="shared" si="42"/>
        <v>0</v>
      </c>
    </row>
    <row r="83" spans="1:21">
      <c r="A83" s="1138">
        <v>2183</v>
      </c>
      <c r="B83" s="1231" t="s">
        <v>2819</v>
      </c>
      <c r="C83" s="1231" t="s">
        <v>3020</v>
      </c>
      <c r="D83" s="1140" t="s">
        <v>3013</v>
      </c>
      <c r="E83" s="1134">
        <v>19.5</v>
      </c>
      <c r="F83" s="1133">
        <v>867.383331</v>
      </c>
      <c r="G83" s="1141">
        <f t="shared" si="33"/>
        <v>16913.974954500001</v>
      </c>
      <c r="H83" s="1133">
        <v>138.44999900000002</v>
      </c>
      <c r="I83" s="1134">
        <f t="shared" si="34"/>
        <v>4049.6624707500005</v>
      </c>
      <c r="J83" s="1134">
        <f t="shared" si="35"/>
        <v>20963.637425250003</v>
      </c>
      <c r="K83" s="1133">
        <v>0</v>
      </c>
      <c r="L83" s="1133">
        <v>312</v>
      </c>
      <c r="M83" s="1133">
        <f t="shared" si="36"/>
        <v>21275.637425250003</v>
      </c>
      <c r="N83" s="1142">
        <v>0</v>
      </c>
      <c r="O83" s="1133">
        <f t="shared" si="38"/>
        <v>21275.637425250003</v>
      </c>
      <c r="P83" s="1133">
        <f t="shared" si="39"/>
        <v>0</v>
      </c>
      <c r="Q83" s="1135">
        <f t="shared" si="40"/>
        <v>21275.637425250003</v>
      </c>
      <c r="R83" s="1091" t="s">
        <v>2758</v>
      </c>
      <c r="S83" s="1092">
        <f t="shared" si="41"/>
        <v>0</v>
      </c>
      <c r="U83" s="1232">
        <f t="shared" si="42"/>
        <v>0</v>
      </c>
    </row>
    <row r="84" spans="1:21">
      <c r="A84" s="1138">
        <v>2183</v>
      </c>
      <c r="B84" s="1231" t="s">
        <v>2820</v>
      </c>
      <c r="C84" s="1231" t="s">
        <v>3021</v>
      </c>
      <c r="D84" s="1140" t="s">
        <v>3013</v>
      </c>
      <c r="E84" s="1134">
        <v>27</v>
      </c>
      <c r="F84" s="1133">
        <v>2068.1166659999999</v>
      </c>
      <c r="G84" s="1141">
        <f t="shared" si="33"/>
        <v>55839.149981999995</v>
      </c>
      <c r="H84" s="1133">
        <v>459.11666400000007</v>
      </c>
      <c r="I84" s="1134">
        <f t="shared" si="34"/>
        <v>18594.224892000002</v>
      </c>
      <c r="J84" s="1134">
        <f t="shared" si="35"/>
        <v>74433.374874000001</v>
      </c>
      <c r="K84" s="1133">
        <v>624.99999999999989</v>
      </c>
      <c r="L84" s="1133">
        <v>1080</v>
      </c>
      <c r="M84" s="1133">
        <f t="shared" si="36"/>
        <v>76138.374874000001</v>
      </c>
      <c r="N84" s="1142">
        <f t="shared" si="37"/>
        <v>2.5000000000000001E-2</v>
      </c>
      <c r="O84" s="1133">
        <f t="shared" si="38"/>
        <v>78041.834245849997</v>
      </c>
      <c r="P84" s="1133">
        <f t="shared" si="39"/>
        <v>0</v>
      </c>
      <c r="Q84" s="1135">
        <f t="shared" si="40"/>
        <v>78041.834245849997</v>
      </c>
      <c r="R84" s="1091" t="s">
        <v>2758</v>
      </c>
      <c r="S84" s="1092">
        <f t="shared" si="41"/>
        <v>1903.4593718499964</v>
      </c>
      <c r="U84" s="1232">
        <f t="shared" si="42"/>
        <v>0</v>
      </c>
    </row>
    <row r="85" spans="1:21">
      <c r="A85" s="1138">
        <v>2183</v>
      </c>
      <c r="B85" s="1231" t="s">
        <v>2821</v>
      </c>
      <c r="C85" s="1231" t="s">
        <v>3022</v>
      </c>
      <c r="D85" s="1140" t="s">
        <v>3013</v>
      </c>
      <c r="E85" s="1134">
        <v>22</v>
      </c>
      <c r="F85" s="1133">
        <v>1640.899999</v>
      </c>
      <c r="G85" s="1141">
        <f t="shared" si="33"/>
        <v>36099.799978000003</v>
      </c>
      <c r="H85" s="1133">
        <v>366.48333400000001</v>
      </c>
      <c r="I85" s="1134">
        <f t="shared" si="34"/>
        <v>12093.950022000001</v>
      </c>
      <c r="J85" s="1134">
        <f t="shared" si="35"/>
        <v>48193.75</v>
      </c>
      <c r="K85" s="1133">
        <v>311.64000000000016</v>
      </c>
      <c r="L85" s="1133">
        <v>528</v>
      </c>
      <c r="M85" s="1133">
        <f t="shared" si="36"/>
        <v>49033.39</v>
      </c>
      <c r="N85" s="1142">
        <f t="shared" si="37"/>
        <v>2.5000000000000001E-2</v>
      </c>
      <c r="O85" s="1133">
        <f t="shared" si="38"/>
        <v>50259.224749999994</v>
      </c>
      <c r="P85" s="1133">
        <f t="shared" si="39"/>
        <v>0</v>
      </c>
      <c r="Q85" s="1135">
        <f t="shared" si="40"/>
        <v>50259.224749999994</v>
      </c>
      <c r="R85" s="1091" t="s">
        <v>2758</v>
      </c>
      <c r="S85" s="1092">
        <f t="shared" si="41"/>
        <v>1225.8347499999945</v>
      </c>
      <c r="U85" s="1232">
        <f t="shared" si="42"/>
        <v>0</v>
      </c>
    </row>
    <row r="86" spans="1:21">
      <c r="A86" s="1138">
        <v>2183</v>
      </c>
      <c r="B86" s="1231" t="s">
        <v>2822</v>
      </c>
      <c r="C86" s="1231" t="s">
        <v>3023</v>
      </c>
      <c r="D86" s="1140" t="s">
        <v>3013</v>
      </c>
      <c r="E86" s="1134">
        <v>21</v>
      </c>
      <c r="F86" s="1133">
        <v>972.51666699999998</v>
      </c>
      <c r="G86" s="1141">
        <f t="shared" si="33"/>
        <v>20422.850007000001</v>
      </c>
      <c r="H86" s="1133">
        <v>224.03333000000001</v>
      </c>
      <c r="I86" s="1134">
        <f t="shared" si="34"/>
        <v>7057.0498950000001</v>
      </c>
      <c r="J86" s="1134">
        <f t="shared" si="35"/>
        <v>27479.899902000001</v>
      </c>
      <c r="K86" s="1133">
        <v>107.87999999999997</v>
      </c>
      <c r="L86" s="1133">
        <v>0</v>
      </c>
      <c r="M86" s="1133">
        <f t="shared" si="36"/>
        <v>27587.779902000002</v>
      </c>
      <c r="N86" s="1142">
        <f t="shared" si="37"/>
        <v>2.5000000000000001E-2</v>
      </c>
      <c r="O86" s="1133">
        <f t="shared" si="38"/>
        <v>28277.474399549999</v>
      </c>
      <c r="P86" s="1133">
        <f t="shared" si="39"/>
        <v>0</v>
      </c>
      <c r="Q86" s="1135">
        <f t="shared" si="40"/>
        <v>28277.474399549999</v>
      </c>
      <c r="R86" s="1091" t="s">
        <v>2758</v>
      </c>
      <c r="S86" s="1092">
        <f t="shared" si="41"/>
        <v>689.69449754999732</v>
      </c>
      <c r="U86" s="1232">
        <f t="shared" si="42"/>
        <v>0</v>
      </c>
    </row>
    <row r="87" spans="1:21">
      <c r="A87" s="1138">
        <v>2183</v>
      </c>
      <c r="B87" s="1231" t="s">
        <v>2823</v>
      </c>
      <c r="C87" s="1231" t="s">
        <v>3024</v>
      </c>
      <c r="D87" s="1140" t="s">
        <v>3013</v>
      </c>
      <c r="E87" s="1134">
        <v>20</v>
      </c>
      <c r="F87" s="1133">
        <v>512.41666800000007</v>
      </c>
      <c r="G87" s="1141">
        <f t="shared" si="33"/>
        <v>10248.333360000001</v>
      </c>
      <c r="H87" s="1133">
        <v>54.149999000000001</v>
      </c>
      <c r="I87" s="1134">
        <f t="shared" si="34"/>
        <v>1624.4999700000001</v>
      </c>
      <c r="J87" s="1134">
        <f t="shared" si="35"/>
        <v>11872.833330000001</v>
      </c>
      <c r="K87" s="1133">
        <v>0</v>
      </c>
      <c r="L87" s="1133">
        <v>0</v>
      </c>
      <c r="M87" s="1133">
        <f t="shared" si="36"/>
        <v>11872.833330000001</v>
      </c>
      <c r="N87" s="1142">
        <f t="shared" si="37"/>
        <v>2.5000000000000001E-2</v>
      </c>
      <c r="O87" s="1133">
        <f t="shared" si="38"/>
        <v>12169.654163250001</v>
      </c>
      <c r="P87" s="1133">
        <f t="shared" si="39"/>
        <v>0</v>
      </c>
      <c r="Q87" s="1135">
        <f t="shared" si="40"/>
        <v>12169.654163250001</v>
      </c>
      <c r="R87" s="1091" t="s">
        <v>2758</v>
      </c>
      <c r="S87" s="1092">
        <f t="shared" si="41"/>
        <v>296.82083324999985</v>
      </c>
      <c r="U87" s="1232">
        <f t="shared" si="42"/>
        <v>0</v>
      </c>
    </row>
    <row r="88" spans="1:21">
      <c r="A88" s="1152"/>
      <c r="B88" s="1144"/>
      <c r="C88" s="1146"/>
      <c r="D88" s="1140"/>
      <c r="E88" s="1133"/>
      <c r="F88" s="1133"/>
      <c r="G88" s="1133"/>
      <c r="H88" s="1133"/>
      <c r="I88" s="1134"/>
      <c r="J88" s="1133"/>
      <c r="K88" s="1133"/>
      <c r="L88" s="1133"/>
      <c r="M88" s="1133"/>
      <c r="N88" s="1133"/>
      <c r="O88" s="1133"/>
      <c r="P88" s="1133"/>
      <c r="Q88" s="1135"/>
    </row>
    <row r="89" spans="1:21">
      <c r="A89" s="1138"/>
      <c r="B89" s="1144"/>
      <c r="C89" s="1146" t="s">
        <v>2299</v>
      </c>
      <c r="D89" s="1140"/>
      <c r="E89" s="1147">
        <f t="shared" ref="E89:P89" si="43">+SUM(E76:E88)</f>
        <v>290.54999999999956</v>
      </c>
      <c r="F89" s="1147">
        <f t="shared" si="43"/>
        <v>20717.433331</v>
      </c>
      <c r="G89" s="1147">
        <f t="shared" si="43"/>
        <v>518396.46728030901</v>
      </c>
      <c r="H89" s="1147">
        <f t="shared" si="43"/>
        <v>4603.450006</v>
      </c>
      <c r="I89" s="1147">
        <f t="shared" si="43"/>
        <v>173928.8595427947</v>
      </c>
      <c r="J89" s="1147">
        <f t="shared" si="43"/>
        <v>692325.32682310382</v>
      </c>
      <c r="K89" s="1147">
        <f t="shared" si="43"/>
        <v>4169.5199999999995</v>
      </c>
      <c r="L89" s="1147">
        <f t="shared" si="43"/>
        <v>9303.11</v>
      </c>
      <c r="M89" s="1147">
        <f t="shared" si="43"/>
        <v>705797.95682310383</v>
      </c>
      <c r="N89" s="1147"/>
      <c r="O89" s="1147">
        <f t="shared" si="43"/>
        <v>722911.01480805001</v>
      </c>
      <c r="P89" s="1147">
        <f t="shared" si="43"/>
        <v>0</v>
      </c>
      <c r="Q89" s="1148">
        <f>+SUM(Q76:Q88)</f>
        <v>722911.01480805001</v>
      </c>
      <c r="S89" s="1148">
        <f>+SUM(S76:S88)</f>
        <v>17113.057984946285</v>
      </c>
    </row>
    <row r="90" spans="1:21">
      <c r="A90" s="1152"/>
      <c r="B90" s="1144"/>
      <c r="C90" s="1146"/>
      <c r="D90" s="1140"/>
      <c r="E90" s="1133"/>
      <c r="F90" s="1133"/>
      <c r="G90" s="1133"/>
      <c r="H90" s="1133"/>
      <c r="I90" s="1134"/>
      <c r="J90" s="1133"/>
      <c r="K90" s="1133"/>
      <c r="L90" s="1133"/>
      <c r="M90" s="1133"/>
      <c r="N90" s="1133"/>
      <c r="O90" s="1133"/>
      <c r="P90" s="1133"/>
      <c r="Q90" s="1135"/>
    </row>
    <row r="91" spans="1:21">
      <c r="A91" s="1129" t="s">
        <v>2824</v>
      </c>
      <c r="B91" s="1130"/>
      <c r="C91" s="1151"/>
      <c r="D91" s="1132"/>
      <c r="E91" s="1133"/>
      <c r="F91" s="1133"/>
      <c r="G91" s="1133"/>
      <c r="H91" s="1133"/>
      <c r="I91" s="1134"/>
      <c r="J91" s="1133"/>
      <c r="K91" s="1133"/>
      <c r="L91" s="1133"/>
      <c r="M91" s="1133"/>
      <c r="N91" s="1133"/>
      <c r="O91" s="1133"/>
      <c r="P91" s="1133"/>
      <c r="Q91" s="1135"/>
    </row>
    <row r="92" spans="1:21">
      <c r="A92" s="1138">
        <v>2183</v>
      </c>
      <c r="B92" s="1231" t="s">
        <v>2825</v>
      </c>
      <c r="C92" s="1231" t="s">
        <v>3025</v>
      </c>
      <c r="D92" s="1140" t="s">
        <v>3026</v>
      </c>
      <c r="E92" s="1134">
        <v>26.15999999999989</v>
      </c>
      <c r="F92" s="1133">
        <v>2032.1666660000001</v>
      </c>
      <c r="G92" s="1141">
        <f t="shared" ref="G92:G98" si="44">+E92*F92</f>
        <v>53161.47998255978</v>
      </c>
      <c r="H92" s="1133">
        <v>118.29999199999999</v>
      </c>
      <c r="I92" s="1134">
        <f t="shared" ref="I92:I98" si="45">+IFERROR(E92*1.5*H92,0)</f>
        <v>4642.0916860799807</v>
      </c>
      <c r="J92" s="1134">
        <f t="shared" ref="J92:J98" si="46">+G92+I92</f>
        <v>57803.571668639765</v>
      </c>
      <c r="K92" s="1133">
        <v>624.99999999999989</v>
      </c>
      <c r="L92" s="1133">
        <v>1255.68</v>
      </c>
      <c r="M92" s="1133">
        <f t="shared" ref="M92:M98" si="47">+L92+K92+J92</f>
        <v>59684.251668639765</v>
      </c>
      <c r="N92" s="1142">
        <f t="shared" ref="N92:N98" si="48">+IF(R92="union",(1/E92),2.5%)</f>
        <v>3.8226299694189766E-2</v>
      </c>
      <c r="O92" s="1133">
        <f t="shared" ref="O92:O98" si="49">+M92*(1+N92)</f>
        <v>61965.759759948633</v>
      </c>
      <c r="P92" s="1133">
        <f t="shared" ref="P92:P98" si="50">+IF(R92="union",250,0)</f>
        <v>250</v>
      </c>
      <c r="Q92" s="1135">
        <f t="shared" ref="Q92:Q98" si="51">+O92+P92</f>
        <v>62215.759759948633</v>
      </c>
      <c r="R92" s="1091" t="s">
        <v>2986</v>
      </c>
      <c r="S92" s="1092">
        <f t="shared" ref="S92:S98" si="52">+O92-M92+P92</f>
        <v>2531.5080913088677</v>
      </c>
      <c r="U92" s="1232">
        <f t="shared" ref="U92:U98" si="53">+IF(R92="Union",F92*0.05,0)</f>
        <v>101.60833330000001</v>
      </c>
    </row>
    <row r="93" spans="1:21">
      <c r="A93" s="1138">
        <v>2183</v>
      </c>
      <c r="B93" s="1231" t="s">
        <v>2826</v>
      </c>
      <c r="C93" s="1231" t="s">
        <v>3027</v>
      </c>
      <c r="D93" s="1140" t="s">
        <v>3026</v>
      </c>
      <c r="E93" s="1134">
        <v>26.159999999999886</v>
      </c>
      <c r="F93" s="1133">
        <v>2059.5</v>
      </c>
      <c r="G93" s="1141">
        <f t="shared" si="44"/>
        <v>53876.519999999764</v>
      </c>
      <c r="H93" s="1133">
        <v>404.08333699999997</v>
      </c>
      <c r="I93" s="1134">
        <f t="shared" si="45"/>
        <v>15856.230143879931</v>
      </c>
      <c r="J93" s="1134">
        <f t="shared" si="46"/>
        <v>69732.75014387969</v>
      </c>
      <c r="K93" s="1133">
        <v>624.99999999999989</v>
      </c>
      <c r="L93" s="1133">
        <v>1046.4000000000001</v>
      </c>
      <c r="M93" s="1133">
        <f t="shared" si="47"/>
        <v>71404.150143879684</v>
      </c>
      <c r="N93" s="1142">
        <f t="shared" si="48"/>
        <v>3.8226299694189766E-2</v>
      </c>
      <c r="O93" s="1133">
        <f t="shared" si="49"/>
        <v>74133.66658668856</v>
      </c>
      <c r="P93" s="1133">
        <f t="shared" si="50"/>
        <v>250</v>
      </c>
      <c r="Q93" s="1135">
        <f t="shared" si="51"/>
        <v>74383.66658668856</v>
      </c>
      <c r="R93" s="1091" t="s">
        <v>2986</v>
      </c>
      <c r="S93" s="1092">
        <f t="shared" si="52"/>
        <v>2979.5164428088756</v>
      </c>
      <c r="U93" s="1232">
        <f t="shared" si="53"/>
        <v>102.97500000000001</v>
      </c>
    </row>
    <row r="94" spans="1:21">
      <c r="A94" s="1138">
        <v>2183</v>
      </c>
      <c r="B94" s="1231" t="s">
        <v>2827</v>
      </c>
      <c r="C94" s="1231" t="s">
        <v>3028</v>
      </c>
      <c r="D94" s="1140" t="s">
        <v>3026</v>
      </c>
      <c r="E94" s="1134">
        <v>26.159999999999883</v>
      </c>
      <c r="F94" s="1133">
        <v>2043.8000010000001</v>
      </c>
      <c r="G94" s="1141">
        <f t="shared" si="44"/>
        <v>53465.808026159764</v>
      </c>
      <c r="H94" s="1133">
        <v>509.09999599999998</v>
      </c>
      <c r="I94" s="1134">
        <f t="shared" si="45"/>
        <v>19977.083843039909</v>
      </c>
      <c r="J94" s="1134">
        <f t="shared" si="46"/>
        <v>73442.891869199666</v>
      </c>
      <c r="K94" s="1133">
        <v>624.99999999999989</v>
      </c>
      <c r="L94" s="1133">
        <v>1046.4000000000001</v>
      </c>
      <c r="M94" s="1133">
        <f t="shared" si="47"/>
        <v>75114.29186919966</v>
      </c>
      <c r="N94" s="1142">
        <f t="shared" si="48"/>
        <v>3.8226299694189773E-2</v>
      </c>
      <c r="O94" s="1133">
        <f t="shared" si="49"/>
        <v>77985.633301508526</v>
      </c>
      <c r="P94" s="1133">
        <f t="shared" si="50"/>
        <v>250</v>
      </c>
      <c r="Q94" s="1135">
        <f t="shared" si="51"/>
        <v>78235.633301508526</v>
      </c>
      <c r="R94" s="1091" t="s">
        <v>2986</v>
      </c>
      <c r="S94" s="1092">
        <f t="shared" si="52"/>
        <v>3121.3414323088655</v>
      </c>
      <c r="U94" s="1232">
        <f t="shared" si="53"/>
        <v>102.19000005000001</v>
      </c>
    </row>
    <row r="95" spans="1:21">
      <c r="A95" s="1138">
        <v>2183</v>
      </c>
      <c r="B95" s="1231" t="s">
        <v>2828</v>
      </c>
      <c r="C95" s="1231" t="s">
        <v>3029</v>
      </c>
      <c r="D95" s="1140" t="s">
        <v>3026</v>
      </c>
      <c r="E95" s="1134">
        <v>26.159999999999894</v>
      </c>
      <c r="F95" s="1133">
        <v>2061.3166690000003</v>
      </c>
      <c r="G95" s="1141">
        <f t="shared" si="44"/>
        <v>53924.044061039785</v>
      </c>
      <c r="H95" s="1133">
        <v>216.31666900000005</v>
      </c>
      <c r="I95" s="1134">
        <f t="shared" si="45"/>
        <v>8488.2660915599663</v>
      </c>
      <c r="J95" s="1134">
        <f t="shared" si="46"/>
        <v>62412.310152599748</v>
      </c>
      <c r="K95" s="1133">
        <v>0</v>
      </c>
      <c r="L95" s="1133">
        <v>209.28</v>
      </c>
      <c r="M95" s="1133">
        <f t="shared" si="47"/>
        <v>62621.590152599747</v>
      </c>
      <c r="N95" s="1142">
        <f t="shared" si="48"/>
        <v>3.822629969418976E-2</v>
      </c>
      <c r="O95" s="1133">
        <f t="shared" si="49"/>
        <v>65015.38182509975</v>
      </c>
      <c r="P95" s="1133">
        <f t="shared" si="50"/>
        <v>250</v>
      </c>
      <c r="Q95" s="1135">
        <f t="shared" si="51"/>
        <v>65265.38182509975</v>
      </c>
      <c r="R95" s="1091" t="s">
        <v>2986</v>
      </c>
      <c r="S95" s="1092">
        <f t="shared" si="52"/>
        <v>2643.7916725000032</v>
      </c>
      <c r="U95" s="1232">
        <f t="shared" si="53"/>
        <v>103.06583345000001</v>
      </c>
    </row>
    <row r="96" spans="1:21">
      <c r="A96" s="1138">
        <v>2183</v>
      </c>
      <c r="B96" s="1231" t="s">
        <v>2829</v>
      </c>
      <c r="C96" s="1231" t="s">
        <v>3030</v>
      </c>
      <c r="D96" s="1140" t="s">
        <v>3026</v>
      </c>
      <c r="E96" s="1134">
        <v>26.159999999999897</v>
      </c>
      <c r="F96" s="1133">
        <v>2084.7166649999999</v>
      </c>
      <c r="G96" s="1141">
        <f t="shared" si="44"/>
        <v>54536.187956399786</v>
      </c>
      <c r="H96" s="1133">
        <v>298.550003</v>
      </c>
      <c r="I96" s="1134">
        <f t="shared" si="45"/>
        <v>11715.102117719955</v>
      </c>
      <c r="J96" s="1134">
        <f t="shared" si="46"/>
        <v>66251.290074119737</v>
      </c>
      <c r="K96" s="1133">
        <v>0</v>
      </c>
      <c r="L96" s="1133">
        <v>1046.4000000000001</v>
      </c>
      <c r="M96" s="1133">
        <f t="shared" si="47"/>
        <v>67297.690074119731</v>
      </c>
      <c r="N96" s="1142">
        <f t="shared" si="48"/>
        <v>2.5000000000000001E-2</v>
      </c>
      <c r="O96" s="1133">
        <f t="shared" si="49"/>
        <v>68980.132325972721</v>
      </c>
      <c r="P96" s="1133">
        <f t="shared" si="50"/>
        <v>0</v>
      </c>
      <c r="Q96" s="1135">
        <f t="shared" si="51"/>
        <v>68980.132325972721</v>
      </c>
      <c r="R96" s="1091" t="s">
        <v>2758</v>
      </c>
      <c r="S96" s="1092">
        <f t="shared" si="52"/>
        <v>1682.44225185299</v>
      </c>
      <c r="U96" s="1232">
        <f t="shared" si="53"/>
        <v>0</v>
      </c>
    </row>
    <row r="97" spans="1:21">
      <c r="A97" s="1138">
        <v>2183</v>
      </c>
      <c r="B97" s="1231" t="s">
        <v>2830</v>
      </c>
      <c r="C97" s="1231" t="s">
        <v>3031</v>
      </c>
      <c r="D97" s="1140" t="s">
        <v>3026</v>
      </c>
      <c r="E97" s="1134">
        <v>26.159999999999886</v>
      </c>
      <c r="F97" s="1133">
        <v>2062.2333340000005</v>
      </c>
      <c r="G97" s="1141">
        <f t="shared" si="44"/>
        <v>53948.024017439777</v>
      </c>
      <c r="H97" s="1133">
        <v>299.26667400000002</v>
      </c>
      <c r="I97" s="1134">
        <f t="shared" si="45"/>
        <v>11743.224287759951</v>
      </c>
      <c r="J97" s="1134">
        <f t="shared" si="46"/>
        <v>65691.248305199726</v>
      </c>
      <c r="K97" s="1133">
        <v>624.99999999999989</v>
      </c>
      <c r="L97" s="1133">
        <v>1046.4000000000001</v>
      </c>
      <c r="M97" s="1133">
        <f t="shared" si="47"/>
        <v>67362.64830519972</v>
      </c>
      <c r="N97" s="1142">
        <f t="shared" si="48"/>
        <v>3.8226299694189766E-2</v>
      </c>
      <c r="O97" s="1133">
        <f t="shared" si="49"/>
        <v>69937.673087508592</v>
      </c>
      <c r="P97" s="1133">
        <f t="shared" si="50"/>
        <v>250</v>
      </c>
      <c r="Q97" s="1135">
        <f t="shared" si="51"/>
        <v>70187.673087508592</v>
      </c>
      <c r="R97" s="1091" t="s">
        <v>2986</v>
      </c>
      <c r="S97" s="1092">
        <f t="shared" si="52"/>
        <v>2825.0247823088721</v>
      </c>
      <c r="U97" s="1232">
        <f t="shared" si="53"/>
        <v>103.11166670000003</v>
      </c>
    </row>
    <row r="98" spans="1:21">
      <c r="A98" s="1138">
        <v>2183</v>
      </c>
      <c r="B98" s="1231" t="s">
        <v>2831</v>
      </c>
      <c r="C98" s="1231" t="s">
        <v>3032</v>
      </c>
      <c r="D98" s="1140" t="s">
        <v>3026</v>
      </c>
      <c r="E98" s="1134">
        <v>26.159999999999894</v>
      </c>
      <c r="F98" s="1133">
        <v>2029.5666649999998</v>
      </c>
      <c r="G98" s="1141">
        <f t="shared" si="44"/>
        <v>53093.463956399777</v>
      </c>
      <c r="H98" s="1133">
        <v>545.58333300000015</v>
      </c>
      <c r="I98" s="1134">
        <f t="shared" si="45"/>
        <v>21408.689986919919</v>
      </c>
      <c r="J98" s="1134">
        <f t="shared" si="46"/>
        <v>74502.153943319689</v>
      </c>
      <c r="K98" s="1133">
        <v>0</v>
      </c>
      <c r="L98" s="1133">
        <v>837.12</v>
      </c>
      <c r="M98" s="1133">
        <f t="shared" si="47"/>
        <v>75339.273943319684</v>
      </c>
      <c r="N98" s="1142">
        <f t="shared" si="48"/>
        <v>3.822629969418976E-2</v>
      </c>
      <c r="O98" s="1133">
        <f t="shared" si="49"/>
        <v>78219.215607819686</v>
      </c>
      <c r="P98" s="1133">
        <f t="shared" si="50"/>
        <v>250</v>
      </c>
      <c r="Q98" s="1135">
        <f t="shared" si="51"/>
        <v>78469.215607819686</v>
      </c>
      <c r="R98" s="1091" t="s">
        <v>2986</v>
      </c>
      <c r="S98" s="1092">
        <f t="shared" si="52"/>
        <v>3129.9416645000019</v>
      </c>
      <c r="U98" s="1232">
        <f t="shared" si="53"/>
        <v>101.47833324999999</v>
      </c>
    </row>
    <row r="99" spans="1:21">
      <c r="A99" s="1152"/>
      <c r="B99" s="1144"/>
      <c r="C99" s="1146"/>
      <c r="D99" s="1140"/>
      <c r="E99" s="1133"/>
      <c r="F99" s="1133"/>
      <c r="G99" s="1133"/>
      <c r="H99" s="1133"/>
      <c r="I99" s="1134"/>
      <c r="J99" s="1133"/>
      <c r="K99" s="1133"/>
      <c r="L99" s="1133"/>
      <c r="M99" s="1133"/>
      <c r="N99" s="1133"/>
      <c r="O99" s="1133"/>
      <c r="P99" s="1133"/>
      <c r="Q99" s="1135"/>
    </row>
    <row r="100" spans="1:21">
      <c r="A100" s="1138"/>
      <c r="B100" s="1144"/>
      <c r="C100" s="1146" t="s">
        <v>2293</v>
      </c>
      <c r="D100" s="1140"/>
      <c r="E100" s="1147">
        <f t="shared" ref="E100:P100" si="54">+SUM(E92:E99)</f>
        <v>183.11999999999921</v>
      </c>
      <c r="F100" s="1147">
        <f t="shared" si="54"/>
        <v>14373.300000000001</v>
      </c>
      <c r="G100" s="1147">
        <f t="shared" si="54"/>
        <v>376005.52799999836</v>
      </c>
      <c r="H100" s="1147">
        <f t="shared" si="54"/>
        <v>2391.2000040000003</v>
      </c>
      <c r="I100" s="1147">
        <f t="shared" si="54"/>
        <v>93830.688156959601</v>
      </c>
      <c r="J100" s="1147">
        <f t="shared" si="54"/>
        <v>469836.21615695802</v>
      </c>
      <c r="K100" s="1147">
        <f t="shared" si="54"/>
        <v>2499.9999999999995</v>
      </c>
      <c r="L100" s="1147">
        <f t="shared" si="54"/>
        <v>6487.6799999999994</v>
      </c>
      <c r="M100" s="1147">
        <f t="shared" si="54"/>
        <v>478823.89615695796</v>
      </c>
      <c r="N100" s="1147"/>
      <c r="O100" s="1147">
        <f t="shared" si="54"/>
        <v>496237.46249454643</v>
      </c>
      <c r="P100" s="1147">
        <f t="shared" si="54"/>
        <v>1500</v>
      </c>
      <c r="Q100" s="1148">
        <f>+SUM(Q92:Q99)</f>
        <v>497737.46249454643</v>
      </c>
      <c r="S100" s="1148">
        <f>+SUM(S92:S99)</f>
        <v>18913.566337588476</v>
      </c>
    </row>
    <row r="101" spans="1:21">
      <c r="A101" s="1152"/>
      <c r="B101" s="1144"/>
      <c r="C101" s="1146"/>
      <c r="D101" s="1140"/>
      <c r="E101" s="1133"/>
      <c r="F101" s="1133"/>
      <c r="G101" s="1133"/>
      <c r="H101" s="1133"/>
      <c r="I101" s="1134"/>
      <c r="J101" s="1133"/>
      <c r="K101" s="1133"/>
      <c r="L101" s="1133"/>
      <c r="M101" s="1133"/>
      <c r="N101" s="1133"/>
      <c r="O101" s="1133"/>
      <c r="P101" s="1133"/>
      <c r="Q101" s="1135"/>
    </row>
    <row r="102" spans="1:21">
      <c r="A102" s="1129" t="s">
        <v>4</v>
      </c>
      <c r="B102" s="1130"/>
      <c r="C102" s="1151"/>
      <c r="D102" s="1132"/>
      <c r="E102" s="1133"/>
      <c r="F102" s="1133"/>
      <c r="G102" s="1133"/>
      <c r="H102" s="1133"/>
      <c r="I102" s="1134"/>
      <c r="J102" s="1133"/>
      <c r="K102" s="1133"/>
      <c r="L102" s="1133"/>
      <c r="M102" s="1133"/>
      <c r="N102" s="1133"/>
      <c r="O102" s="1133"/>
      <c r="P102" s="1133"/>
      <c r="Q102" s="1135"/>
    </row>
    <row r="103" spans="1:21">
      <c r="A103" s="1138">
        <v>2183</v>
      </c>
      <c r="B103" s="1231" t="s">
        <v>2832</v>
      </c>
      <c r="C103" s="1231" t="s">
        <v>3033</v>
      </c>
      <c r="D103" s="1140" t="s">
        <v>3034</v>
      </c>
      <c r="E103" s="1134">
        <v>21.659999999999897</v>
      </c>
      <c r="F103" s="1133">
        <v>2003.7833329999999</v>
      </c>
      <c r="G103" s="1141">
        <f t="shared" ref="G103:G106" si="55">+E103*F103</f>
        <v>43401.946992779791</v>
      </c>
      <c r="H103" s="1133">
        <v>399.2</v>
      </c>
      <c r="I103" s="1134">
        <f t="shared" ref="I103:I106" si="56">+IFERROR(E103*1.5*H103,0)</f>
        <v>12970.007999999938</v>
      </c>
      <c r="J103" s="1134">
        <f t="shared" ref="J103:J106" si="57">+G103+I103</f>
        <v>56371.954992779727</v>
      </c>
      <c r="K103" s="1133">
        <v>0</v>
      </c>
      <c r="L103" s="1133">
        <v>866.40000000000009</v>
      </c>
      <c r="M103" s="1133">
        <f t="shared" ref="M103:M106" si="58">+L103+K103+J103</f>
        <v>57238.354992779728</v>
      </c>
      <c r="N103" s="1142">
        <f t="shared" ref="N103:N106" si="59">+IF(R103="union",(1/E103),2.5%)</f>
        <v>4.6168051708218132E-2</v>
      </c>
      <c r="O103" s="1133">
        <f t="shared" ref="O103:O106" si="60">+M103*(1+N103)</f>
        <v>59880.938325779731</v>
      </c>
      <c r="P103" s="1133">
        <f t="shared" ref="P103:P107" si="61">+IF(R103="union",250,0)</f>
        <v>250</v>
      </c>
      <c r="Q103" s="1135">
        <f t="shared" ref="Q103:Q106" si="62">+O103+P103</f>
        <v>60130.938325779731</v>
      </c>
      <c r="R103" s="1091" t="s">
        <v>2986</v>
      </c>
      <c r="S103" s="1092">
        <f t="shared" ref="S103:S106" si="63">+O103-M103+P103</f>
        <v>2892.5833330000023</v>
      </c>
      <c r="U103" s="1232">
        <f t="shared" ref="U103:U106" si="64">+IF(R103="Union",F103*0.05,0)</f>
        <v>100.18916665</v>
      </c>
    </row>
    <row r="104" spans="1:21">
      <c r="A104" s="1138">
        <v>2183</v>
      </c>
      <c r="B104" s="1233" t="s">
        <v>2833</v>
      </c>
      <c r="C104" s="1233" t="s">
        <v>3035</v>
      </c>
      <c r="D104" s="1140" t="s">
        <v>3034</v>
      </c>
      <c r="E104" s="1134">
        <v>21.659999999999908</v>
      </c>
      <c r="F104" s="1133">
        <v>1563.0666670000001</v>
      </c>
      <c r="G104" s="1141">
        <f t="shared" si="55"/>
        <v>33856.024007219858</v>
      </c>
      <c r="H104" s="1133">
        <v>385.03333499999997</v>
      </c>
      <c r="I104" s="1134">
        <f t="shared" si="56"/>
        <v>12509.733054149945</v>
      </c>
      <c r="J104" s="1134">
        <f t="shared" si="57"/>
        <v>46365.757061369804</v>
      </c>
      <c r="K104" s="1133">
        <v>0</v>
      </c>
      <c r="L104" s="1133">
        <v>693.12</v>
      </c>
      <c r="M104" s="1133">
        <f t="shared" si="58"/>
        <v>47058.877061369807</v>
      </c>
      <c r="N104" s="1142">
        <v>0</v>
      </c>
      <c r="O104" s="1133">
        <f t="shared" si="60"/>
        <v>47058.877061369807</v>
      </c>
      <c r="P104" s="1133">
        <v>0</v>
      </c>
      <c r="Q104" s="1135">
        <f t="shared" si="62"/>
        <v>47058.877061369807</v>
      </c>
      <c r="R104" s="1091" t="s">
        <v>2986</v>
      </c>
      <c r="S104" s="1092">
        <f t="shared" si="63"/>
        <v>0</v>
      </c>
      <c r="U104" s="1232">
        <f t="shared" si="64"/>
        <v>78.153333350000011</v>
      </c>
    </row>
    <row r="105" spans="1:21">
      <c r="A105" s="1138">
        <v>2183</v>
      </c>
      <c r="B105" s="1231" t="s">
        <v>2834</v>
      </c>
      <c r="C105" s="1231" t="s">
        <v>3036</v>
      </c>
      <c r="D105" s="1140" t="s">
        <v>3034</v>
      </c>
      <c r="E105" s="1134">
        <v>21.659999999999897</v>
      </c>
      <c r="F105" s="1133">
        <v>1750</v>
      </c>
      <c r="G105" s="1141">
        <f t="shared" si="55"/>
        <v>37904.999999999818</v>
      </c>
      <c r="H105" s="1133">
        <v>267.63333799999998</v>
      </c>
      <c r="I105" s="1134">
        <f t="shared" si="56"/>
        <v>8695.4071516199583</v>
      </c>
      <c r="J105" s="1134">
        <f t="shared" si="57"/>
        <v>46600.407151619773</v>
      </c>
      <c r="K105" s="1133">
        <v>369.86</v>
      </c>
      <c r="L105" s="1133">
        <v>346.56</v>
      </c>
      <c r="M105" s="1133">
        <f t="shared" si="58"/>
        <v>47316.827151619771</v>
      </c>
      <c r="N105" s="1142">
        <f t="shared" si="59"/>
        <v>4.6168051708218132E-2</v>
      </c>
      <c r="O105" s="1133">
        <f t="shared" si="60"/>
        <v>49501.352874224576</v>
      </c>
      <c r="P105" s="1133">
        <f t="shared" si="61"/>
        <v>250</v>
      </c>
      <c r="Q105" s="1135">
        <f t="shared" si="62"/>
        <v>49751.352874224576</v>
      </c>
      <c r="R105" s="1091" t="s">
        <v>2986</v>
      </c>
      <c r="S105" s="1092">
        <f t="shared" si="63"/>
        <v>2434.5257226048052</v>
      </c>
      <c r="U105" s="1232">
        <f t="shared" si="64"/>
        <v>87.5</v>
      </c>
    </row>
    <row r="106" spans="1:21">
      <c r="A106" s="1138">
        <v>2183</v>
      </c>
      <c r="B106" s="1231" t="s">
        <v>2835</v>
      </c>
      <c r="C106" s="1231" t="s">
        <v>3037</v>
      </c>
      <c r="D106" s="1140" t="s">
        <v>3034</v>
      </c>
      <c r="E106" s="1134">
        <v>21.659999999999908</v>
      </c>
      <c r="F106" s="1133">
        <v>1631.45</v>
      </c>
      <c r="G106" s="1141">
        <f t="shared" si="55"/>
        <v>35337.206999999849</v>
      </c>
      <c r="H106" s="1133">
        <v>433.94999100000001</v>
      </c>
      <c r="I106" s="1134">
        <f t="shared" si="56"/>
        <v>14099.035207589939</v>
      </c>
      <c r="J106" s="1134">
        <f t="shared" si="57"/>
        <v>49436.242207589792</v>
      </c>
      <c r="K106" s="1133">
        <v>0</v>
      </c>
      <c r="L106" s="1133">
        <v>750.96</v>
      </c>
      <c r="M106" s="1133">
        <f t="shared" si="58"/>
        <v>50187.202207589791</v>
      </c>
      <c r="N106" s="1142">
        <f t="shared" si="59"/>
        <v>4.6168051708218111E-2</v>
      </c>
      <c r="O106" s="1133">
        <f t="shared" si="60"/>
        <v>52504.2475542006</v>
      </c>
      <c r="P106" s="1133">
        <f t="shared" si="61"/>
        <v>250</v>
      </c>
      <c r="Q106" s="1135">
        <f t="shared" si="62"/>
        <v>52754.2475542006</v>
      </c>
      <c r="R106" s="1091" t="s">
        <v>2986</v>
      </c>
      <c r="S106" s="1092">
        <f t="shared" si="63"/>
        <v>2567.0453466108083</v>
      </c>
      <c r="U106" s="1232">
        <f t="shared" si="64"/>
        <v>81.572500000000005</v>
      </c>
    </row>
    <row r="107" spans="1:21">
      <c r="A107" s="1138"/>
      <c r="B107" s="1153"/>
      <c r="C107" s="1154"/>
      <c r="D107" s="1140"/>
      <c r="E107" s="1133"/>
      <c r="F107" s="1133"/>
      <c r="G107" s="1133"/>
      <c r="H107" s="1133"/>
      <c r="I107" s="1134"/>
      <c r="J107" s="1133"/>
      <c r="K107" s="1133"/>
      <c r="L107" s="1133"/>
      <c r="M107" s="1133"/>
      <c r="N107" s="1133"/>
      <c r="O107" s="1133"/>
      <c r="P107" s="1133">
        <f t="shared" si="61"/>
        <v>0</v>
      </c>
      <c r="Q107" s="1135"/>
    </row>
    <row r="108" spans="1:21">
      <c r="A108" s="1138"/>
      <c r="B108" s="1144"/>
      <c r="C108" s="1146" t="s">
        <v>2836</v>
      </c>
      <c r="D108" s="1140"/>
      <c r="E108" s="1147">
        <f t="shared" ref="E108:P108" si="65">+SUM(E103:E107)</f>
        <v>86.639999999999617</v>
      </c>
      <c r="F108" s="1147">
        <f t="shared" si="65"/>
        <v>6948.3</v>
      </c>
      <c r="G108" s="1147">
        <f t="shared" si="65"/>
        <v>150500.17799999932</v>
      </c>
      <c r="H108" s="1147">
        <f t="shared" si="65"/>
        <v>1485.8166639999999</v>
      </c>
      <c r="I108" s="1147">
        <f t="shared" si="65"/>
        <v>48274.183413359788</v>
      </c>
      <c r="J108" s="1147">
        <f t="shared" si="65"/>
        <v>198774.36141335912</v>
      </c>
      <c r="K108" s="1147">
        <f t="shared" si="65"/>
        <v>369.86</v>
      </c>
      <c r="L108" s="1147">
        <f t="shared" si="65"/>
        <v>2657.04</v>
      </c>
      <c r="M108" s="1147">
        <f t="shared" si="65"/>
        <v>201801.26141335908</v>
      </c>
      <c r="N108" s="1147"/>
      <c r="O108" s="1147">
        <f t="shared" si="65"/>
        <v>208945.4158155747</v>
      </c>
      <c r="P108" s="1147">
        <f t="shared" si="65"/>
        <v>750</v>
      </c>
      <c r="Q108" s="1148">
        <f>+SUM(Q103:Q107)</f>
        <v>209695.4158155747</v>
      </c>
      <c r="S108" s="1148">
        <f>+SUM(S103:S107)</f>
        <v>7894.1544022156158</v>
      </c>
    </row>
    <row r="109" spans="1:21">
      <c r="A109" s="1138"/>
      <c r="B109" s="1153"/>
      <c r="C109" s="1154"/>
      <c r="D109" s="1140"/>
      <c r="E109" s="1133"/>
      <c r="F109" s="1133"/>
      <c r="G109" s="1133"/>
      <c r="H109" s="1133"/>
      <c r="I109" s="1134"/>
      <c r="J109" s="1133"/>
      <c r="K109" s="1133"/>
      <c r="L109" s="1133"/>
      <c r="M109" s="1133"/>
      <c r="N109" s="1133"/>
      <c r="O109" s="1133"/>
      <c r="P109" s="1133"/>
      <c r="Q109" s="1135"/>
    </row>
    <row r="110" spans="1:21">
      <c r="A110" s="1129" t="s">
        <v>2837</v>
      </c>
      <c r="B110" s="1130"/>
      <c r="C110" s="1151"/>
      <c r="D110" s="1132"/>
      <c r="E110" s="1133"/>
      <c r="F110" s="1133"/>
      <c r="G110" s="1133"/>
      <c r="H110" s="1133"/>
      <c r="I110" s="1134"/>
      <c r="J110" s="1133"/>
      <c r="K110" s="1133"/>
      <c r="L110" s="1133"/>
      <c r="M110" s="1133"/>
      <c r="N110" s="1133"/>
      <c r="O110" s="1133"/>
      <c r="P110" s="1133"/>
      <c r="Q110" s="1135"/>
    </row>
    <row r="111" spans="1:21">
      <c r="A111" s="1138">
        <v>2183</v>
      </c>
      <c r="B111" s="1231" t="s">
        <v>2838</v>
      </c>
      <c r="C111" s="1231" t="s">
        <v>3038</v>
      </c>
      <c r="D111" s="1140" t="s">
        <v>3039</v>
      </c>
      <c r="E111" s="1134">
        <v>22</v>
      </c>
      <c r="F111" s="1133">
        <v>2030.0166670000001</v>
      </c>
      <c r="G111" s="1141">
        <f t="shared" ref="G111" si="66">+E111*F111</f>
        <v>44660.366674000004</v>
      </c>
      <c r="H111" s="1133">
        <v>544.48333600000001</v>
      </c>
      <c r="I111" s="1134">
        <f t="shared" ref="I111" si="67">+IFERROR(E111*1.5*H111,0)</f>
        <v>17967.950088000001</v>
      </c>
      <c r="J111" s="1134">
        <f t="shared" ref="J111" si="68">+G111+I111</f>
        <v>62628.316762000002</v>
      </c>
      <c r="K111" s="1133">
        <v>429.79000000000013</v>
      </c>
      <c r="L111" s="1133">
        <v>0</v>
      </c>
      <c r="M111" s="1133">
        <f t="shared" ref="M111" si="69">+L111+K111+J111</f>
        <v>63058.106762000003</v>
      </c>
      <c r="N111" s="1142">
        <f t="shared" ref="N111" si="70">+IF(R111="union",(1/E111),2.5%)</f>
        <v>2.5000000000000001E-2</v>
      </c>
      <c r="O111" s="1133">
        <f t="shared" ref="O111" si="71">+M111*(1+N111)</f>
        <v>64634.559431049995</v>
      </c>
      <c r="P111" s="1133">
        <f t="shared" ref="P111" si="72">+IF(R111="union",250,0)</f>
        <v>0</v>
      </c>
      <c r="Q111" s="1135">
        <f t="shared" ref="Q111" si="73">+O111+P111</f>
        <v>64634.559431049995</v>
      </c>
      <c r="R111" s="1091" t="s">
        <v>2758</v>
      </c>
      <c r="S111" s="1092">
        <f t="shared" ref="S111" si="74">+O111-M111+P111</f>
        <v>1576.4526690499915</v>
      </c>
      <c r="U111" s="1232">
        <f t="shared" ref="U111" si="75">+IF(R111="Union",F111*0.05,0)</f>
        <v>0</v>
      </c>
    </row>
    <row r="112" spans="1:21">
      <c r="A112" s="1138">
        <v>2185</v>
      </c>
      <c r="B112" s="1231" t="s">
        <v>2781</v>
      </c>
      <c r="C112" s="1231" t="s">
        <v>2782</v>
      </c>
      <c r="D112" s="1140" t="s">
        <v>2837</v>
      </c>
      <c r="E112" s="1134">
        <v>21</v>
      </c>
      <c r="F112" s="1133">
        <v>136.43333200000001</v>
      </c>
      <c r="G112" s="1141">
        <f>+E112*F112</f>
        <v>2865.099972</v>
      </c>
      <c r="H112" s="1133">
        <v>57.416666999999997</v>
      </c>
      <c r="I112" s="1134">
        <f>+IFERROR(E112*1.5*H112,0)</f>
        <v>1808.6250104999999</v>
      </c>
      <c r="J112" s="1134">
        <f>+G112+I112</f>
        <v>4673.7249824999999</v>
      </c>
      <c r="K112" s="1133">
        <v>0</v>
      </c>
      <c r="L112" s="1133">
        <v>0</v>
      </c>
      <c r="M112" s="1133">
        <f>+L112+K112+J112</f>
        <v>4673.7249824999999</v>
      </c>
      <c r="N112" s="1142">
        <f>+IF(R112="union",(1/E112),2.5%)</f>
        <v>2.5000000000000001E-2</v>
      </c>
      <c r="O112" s="1133">
        <f>+M112*(1+N112)</f>
        <v>4790.5681070624996</v>
      </c>
      <c r="P112" s="1133">
        <f>+IF(R112="union",250,0)</f>
        <v>0</v>
      </c>
      <c r="Q112" s="1135">
        <f>+O112+P112</f>
        <v>4790.5681070624996</v>
      </c>
      <c r="R112" s="1091" t="s">
        <v>2758</v>
      </c>
      <c r="S112" s="1092">
        <f>+O112-M112+P112</f>
        <v>116.84312456249972</v>
      </c>
      <c r="U112" s="1232">
        <f>+IF(R112="Union",F112*0.05,0)</f>
        <v>0</v>
      </c>
    </row>
    <row r="113" spans="1:21">
      <c r="A113" s="1138">
        <v>2185</v>
      </c>
      <c r="B113" s="1231" t="s">
        <v>2783</v>
      </c>
      <c r="C113" s="1231" t="s">
        <v>2784</v>
      </c>
      <c r="D113" s="1140" t="s">
        <v>2837</v>
      </c>
      <c r="E113" s="1134">
        <v>24</v>
      </c>
      <c r="F113" s="1133">
        <v>450.683334</v>
      </c>
      <c r="G113" s="1141">
        <f>+E113*F113</f>
        <v>10816.400016</v>
      </c>
      <c r="H113" s="1133">
        <v>86.6</v>
      </c>
      <c r="I113" s="1134">
        <f>+IFERROR(E113*1.5*H113,0)</f>
        <v>3117.6</v>
      </c>
      <c r="J113" s="1134">
        <f>+G113+I113</f>
        <v>13934.000016</v>
      </c>
      <c r="K113" s="1133">
        <v>0</v>
      </c>
      <c r="L113" s="1133">
        <v>173.28</v>
      </c>
      <c r="M113" s="1133">
        <f>+L113+K113+J113</f>
        <v>14107.280016000001</v>
      </c>
      <c r="N113" s="1142">
        <f>+IF(R113="union",(1/E113),2.5%)</f>
        <v>2.5000000000000001E-2</v>
      </c>
      <c r="O113" s="1133">
        <f>+M113*(1+N113)</f>
        <v>14459.962016399999</v>
      </c>
      <c r="P113" s="1133">
        <f>+IF(R113="union",250,0)</f>
        <v>0</v>
      </c>
      <c r="Q113" s="1135">
        <f>+O113+P113</f>
        <v>14459.962016399999</v>
      </c>
      <c r="R113" s="1091" t="s">
        <v>2758</v>
      </c>
      <c r="S113" s="1092">
        <f>+O113-M113+P113</f>
        <v>352.68200039999829</v>
      </c>
      <c r="U113" s="1232">
        <f>+IF(R113="Union",F113*0.05,0)</f>
        <v>0</v>
      </c>
    </row>
    <row r="114" spans="1:21">
      <c r="A114" s="1138">
        <v>2184</v>
      </c>
      <c r="B114" s="1231" t="s">
        <v>2785</v>
      </c>
      <c r="C114" s="1231" t="s">
        <v>2786</v>
      </c>
      <c r="D114" s="1140" t="s">
        <v>2837</v>
      </c>
      <c r="E114" s="1134">
        <v>19.5</v>
      </c>
      <c r="F114" s="1133">
        <v>382.26666699999998</v>
      </c>
      <c r="G114" s="1141">
        <f>+E114*F114</f>
        <v>7454.2000064999993</v>
      </c>
      <c r="H114" s="1133">
        <v>93.266667999999981</v>
      </c>
      <c r="I114" s="1134">
        <f>+IFERROR(E114*1.5*H114,0)</f>
        <v>2728.0500389999993</v>
      </c>
      <c r="J114" s="1134">
        <f>+G114+I114</f>
        <v>10182.250045499999</v>
      </c>
      <c r="K114" s="1133">
        <v>0</v>
      </c>
      <c r="L114" s="1133">
        <v>0</v>
      </c>
      <c r="M114" s="1133">
        <f>+L114+K114+J114</f>
        <v>10182.250045499999</v>
      </c>
      <c r="N114" s="1142">
        <f>+IF(R114="union",(1/E114),2.5%)</f>
        <v>2.5000000000000001E-2</v>
      </c>
      <c r="O114" s="1133">
        <f>+M114*(1+N114)</f>
        <v>10436.806296637498</v>
      </c>
      <c r="P114" s="1133">
        <f>+IF(R114="union",250,0)</f>
        <v>0</v>
      </c>
      <c r="Q114" s="1135">
        <f>+O114+P114</f>
        <v>10436.806296637498</v>
      </c>
      <c r="R114" s="1091" t="s">
        <v>2758</v>
      </c>
      <c r="S114" s="1092">
        <f>+O114-M114+P114</f>
        <v>254.5562511374992</v>
      </c>
      <c r="U114" s="1232">
        <f>+IF(R114="Union",F114*0.05,0)</f>
        <v>0</v>
      </c>
    </row>
    <row r="115" spans="1:21">
      <c r="A115" s="1138"/>
      <c r="B115" s="1153"/>
      <c r="C115" s="1154"/>
      <c r="D115" s="1140"/>
      <c r="E115" s="1133"/>
      <c r="F115" s="1133"/>
      <c r="G115" s="1133"/>
      <c r="H115" s="1133"/>
      <c r="I115" s="1134"/>
      <c r="J115" s="1133"/>
      <c r="K115" s="1133"/>
      <c r="L115" s="1133"/>
      <c r="M115" s="1133"/>
      <c r="N115" s="1133"/>
      <c r="O115" s="1133"/>
      <c r="P115" s="1133"/>
      <c r="Q115" s="1135"/>
    </row>
    <row r="116" spans="1:21">
      <c r="A116" s="1138"/>
      <c r="B116" s="1144"/>
      <c r="C116" s="1146" t="s">
        <v>2839</v>
      </c>
      <c r="D116" s="1140"/>
      <c r="E116" s="1147">
        <f t="shared" ref="E116:P116" si="76">+SUM(E111:E115)</f>
        <v>86.5</v>
      </c>
      <c r="F116" s="1147">
        <f t="shared" si="76"/>
        <v>2999.3999999999996</v>
      </c>
      <c r="G116" s="1147">
        <f t="shared" si="76"/>
        <v>65796.066668500003</v>
      </c>
      <c r="H116" s="1147">
        <f t="shared" si="76"/>
        <v>781.76667099999997</v>
      </c>
      <c r="I116" s="1147">
        <f t="shared" si="76"/>
        <v>25622.225137499998</v>
      </c>
      <c r="J116" s="1147">
        <f t="shared" si="76"/>
        <v>91418.291806000008</v>
      </c>
      <c r="K116" s="1147">
        <f t="shared" si="76"/>
        <v>429.79000000000013</v>
      </c>
      <c r="L116" s="1147">
        <f t="shared" si="76"/>
        <v>173.28</v>
      </c>
      <c r="M116" s="1147">
        <f t="shared" si="76"/>
        <v>92021.361806000001</v>
      </c>
      <c r="N116" s="1147"/>
      <c r="O116" s="1147">
        <f t="shared" si="76"/>
        <v>94321.89585114998</v>
      </c>
      <c r="P116" s="1147">
        <f t="shared" si="76"/>
        <v>0</v>
      </c>
      <c r="Q116" s="1148">
        <f>+SUM(Q111:Q115)</f>
        <v>94321.89585114998</v>
      </c>
      <c r="S116" s="1148">
        <f>+SUM(S111:S115)</f>
        <v>2300.5340451499887</v>
      </c>
    </row>
    <row r="117" spans="1:21">
      <c r="A117" s="1138"/>
      <c r="B117" s="1153"/>
      <c r="C117" s="1154"/>
      <c r="D117" s="1140"/>
      <c r="E117" s="1133"/>
      <c r="F117" s="1133"/>
      <c r="G117" s="1133"/>
      <c r="H117" s="1133"/>
      <c r="I117" s="1134"/>
      <c r="J117" s="1133"/>
      <c r="K117" s="1133"/>
      <c r="L117" s="1133"/>
      <c r="M117" s="1133"/>
      <c r="N117" s="1133"/>
      <c r="O117" s="1133"/>
      <c r="P117" s="1133"/>
      <c r="Q117" s="1135"/>
    </row>
    <row r="118" spans="1:21">
      <c r="A118" s="1129" t="s">
        <v>2840</v>
      </c>
      <c r="B118" s="1130"/>
      <c r="C118" s="1151"/>
      <c r="D118" s="1132"/>
      <c r="E118" s="1133"/>
      <c r="F118" s="1133"/>
      <c r="G118" s="1133"/>
      <c r="H118" s="1133"/>
      <c r="I118" s="1134"/>
      <c r="J118" s="1133"/>
      <c r="K118" s="1133"/>
      <c r="L118" s="1133"/>
      <c r="M118" s="1133"/>
      <c r="N118" s="1133"/>
      <c r="O118" s="1133"/>
      <c r="P118" s="1133"/>
      <c r="Q118" s="1135"/>
    </row>
    <row r="119" spans="1:21">
      <c r="A119" s="1138">
        <v>2183</v>
      </c>
      <c r="B119" s="1139" t="s">
        <v>2841</v>
      </c>
      <c r="C119" s="1231" t="s">
        <v>3040</v>
      </c>
      <c r="D119" s="1140" t="s">
        <v>2953</v>
      </c>
      <c r="E119" s="1134">
        <v>27.389999999999841</v>
      </c>
      <c r="F119" s="1133">
        <v>2119.5333339999997</v>
      </c>
      <c r="G119" s="1141">
        <f t="shared" ref="G119:G123" si="77">+E119*F119</f>
        <v>58054.018018259652</v>
      </c>
      <c r="H119" s="1133">
        <v>470.69999899999999</v>
      </c>
      <c r="I119" s="1134">
        <f t="shared" ref="I119:I123" si="78">+IFERROR(E119*1.5*H119,0)</f>
        <v>19338.709458914887</v>
      </c>
      <c r="J119" s="1134">
        <f t="shared" ref="J119:J123" si="79">+G119+I119</f>
        <v>77392.727477174543</v>
      </c>
      <c r="K119" s="1133">
        <v>500.00000000000011</v>
      </c>
      <c r="L119" s="1133">
        <v>816.9</v>
      </c>
      <c r="M119" s="1133">
        <f t="shared" ref="M119:M123" si="80">+L119+K119+J119</f>
        <v>78709.627477174537</v>
      </c>
      <c r="N119" s="1142">
        <f t="shared" ref="N119:N123" si="81">+IF(R119="union",(1/E119),2.5%)</f>
        <v>2.5000000000000001E-2</v>
      </c>
      <c r="O119" s="1133">
        <f t="shared" ref="O119:O123" si="82">+M119*(1+N119)</f>
        <v>80677.3681641039</v>
      </c>
      <c r="P119" s="1133">
        <f t="shared" ref="P119:P123" si="83">+IF(R119="union",250,0)</f>
        <v>0</v>
      </c>
      <c r="Q119" s="1135">
        <f t="shared" ref="Q119:Q123" si="84">+O119+P119</f>
        <v>80677.3681641039</v>
      </c>
      <c r="R119" s="1091" t="s">
        <v>2758</v>
      </c>
      <c r="S119" s="1092">
        <f t="shared" ref="S119:S123" si="85">+O119-M119+P119</f>
        <v>1967.7406869293627</v>
      </c>
      <c r="U119" s="1232">
        <f t="shared" ref="U119:U123" si="86">+IF(R119="Union",F119*0.05,0)</f>
        <v>0</v>
      </c>
    </row>
    <row r="120" spans="1:21">
      <c r="A120" s="1138">
        <v>2183</v>
      </c>
      <c r="B120" s="1139" t="s">
        <v>2842</v>
      </c>
      <c r="C120" s="1231" t="s">
        <v>3041</v>
      </c>
      <c r="D120" s="1140" t="s">
        <v>2953</v>
      </c>
      <c r="E120" s="1134">
        <v>27.649999999999835</v>
      </c>
      <c r="F120" s="1133">
        <v>2099.4500000000003</v>
      </c>
      <c r="G120" s="1141">
        <f t="shared" si="77"/>
        <v>58049.792499999661</v>
      </c>
      <c r="H120" s="1133">
        <v>306.89999699999998</v>
      </c>
      <c r="I120" s="1134">
        <f t="shared" si="78"/>
        <v>12728.677375574924</v>
      </c>
      <c r="J120" s="1134">
        <f t="shared" si="79"/>
        <v>70778.469875574578</v>
      </c>
      <c r="K120" s="1133">
        <v>0</v>
      </c>
      <c r="L120" s="1133">
        <v>663.59999999999991</v>
      </c>
      <c r="M120" s="1133">
        <f t="shared" si="80"/>
        <v>71442.069875574583</v>
      </c>
      <c r="N120" s="1142">
        <f t="shared" si="81"/>
        <v>2.5000000000000001E-2</v>
      </c>
      <c r="O120" s="1133">
        <f t="shared" si="82"/>
        <v>73228.121622463936</v>
      </c>
      <c r="P120" s="1133">
        <f t="shared" si="83"/>
        <v>0</v>
      </c>
      <c r="Q120" s="1135">
        <f t="shared" si="84"/>
        <v>73228.121622463936</v>
      </c>
      <c r="R120" s="1091" t="s">
        <v>2758</v>
      </c>
      <c r="S120" s="1092">
        <f t="shared" si="85"/>
        <v>1786.0517468893522</v>
      </c>
      <c r="U120" s="1232">
        <f t="shared" si="86"/>
        <v>0</v>
      </c>
    </row>
    <row r="121" spans="1:21">
      <c r="A121" s="1138">
        <v>2183</v>
      </c>
      <c r="B121" s="1143" t="s">
        <v>2843</v>
      </c>
      <c r="C121" s="1233" t="s">
        <v>3042</v>
      </c>
      <c r="D121" s="1140" t="s">
        <v>2953</v>
      </c>
      <c r="E121" s="1134">
        <v>27.70000000000033</v>
      </c>
      <c r="F121" s="1133">
        <v>1840.6833339999996</v>
      </c>
      <c r="G121" s="1141">
        <f t="shared" si="77"/>
        <v>50986.928351800598</v>
      </c>
      <c r="H121" s="1133">
        <v>385.383332</v>
      </c>
      <c r="I121" s="1134">
        <f t="shared" si="78"/>
        <v>16012.677444600191</v>
      </c>
      <c r="J121" s="1134">
        <f t="shared" si="79"/>
        <v>66999.605796400792</v>
      </c>
      <c r="K121" s="1133">
        <v>625</v>
      </c>
      <c r="L121" s="1133">
        <v>664.8</v>
      </c>
      <c r="M121" s="1133">
        <f t="shared" si="80"/>
        <v>68289.405796400795</v>
      </c>
      <c r="N121" s="1142">
        <f t="shared" si="81"/>
        <v>3.6101083032490544E-2</v>
      </c>
      <c r="O121" s="1133">
        <f t="shared" si="82"/>
        <v>70754.72730529611</v>
      </c>
      <c r="P121" s="1133">
        <f t="shared" si="83"/>
        <v>250</v>
      </c>
      <c r="Q121" s="1135">
        <f t="shared" si="84"/>
        <v>71004.72730529611</v>
      </c>
      <c r="R121" s="1091" t="s">
        <v>2986</v>
      </c>
      <c r="S121" s="1092">
        <f t="shared" si="85"/>
        <v>2715.3215088953148</v>
      </c>
      <c r="U121" s="1232">
        <f t="shared" si="86"/>
        <v>92.034166699999986</v>
      </c>
    </row>
    <row r="122" spans="1:21">
      <c r="A122" s="1138">
        <v>2183</v>
      </c>
      <c r="B122" s="1143" t="s">
        <v>2844</v>
      </c>
      <c r="C122" s="1233" t="s">
        <v>3043</v>
      </c>
      <c r="D122" s="1140" t="s">
        <v>2953</v>
      </c>
      <c r="E122" s="1134">
        <v>19.5</v>
      </c>
      <c r="F122" s="1133">
        <v>330.250001</v>
      </c>
      <c r="G122" s="1141">
        <f t="shared" si="77"/>
        <v>6439.8750195000002</v>
      </c>
      <c r="H122" s="1133">
        <v>31.416668000000001</v>
      </c>
      <c r="I122" s="1134">
        <f t="shared" si="78"/>
        <v>918.93753900000002</v>
      </c>
      <c r="J122" s="1134">
        <f t="shared" si="79"/>
        <v>7358.8125584999998</v>
      </c>
      <c r="K122" s="1133">
        <v>0</v>
      </c>
      <c r="L122" s="1133">
        <v>780</v>
      </c>
      <c r="M122" s="1133">
        <f t="shared" si="80"/>
        <v>8138.8125584999998</v>
      </c>
      <c r="N122" s="1142">
        <v>0</v>
      </c>
      <c r="O122" s="1133">
        <f t="shared" si="82"/>
        <v>8138.8125584999998</v>
      </c>
      <c r="P122" s="1133">
        <f t="shared" si="83"/>
        <v>0</v>
      </c>
      <c r="Q122" s="1135">
        <f t="shared" si="84"/>
        <v>8138.8125584999998</v>
      </c>
      <c r="R122" s="1091" t="s">
        <v>2758</v>
      </c>
      <c r="S122" s="1092">
        <f t="shared" si="85"/>
        <v>0</v>
      </c>
      <c r="U122" s="1232">
        <f t="shared" si="86"/>
        <v>0</v>
      </c>
    </row>
    <row r="123" spans="1:21">
      <c r="A123" s="1138">
        <v>2183</v>
      </c>
      <c r="B123" s="1139" t="s">
        <v>2845</v>
      </c>
      <c r="C123" s="1231" t="s">
        <v>3044</v>
      </c>
      <c r="D123" s="1140" t="s">
        <v>2953</v>
      </c>
      <c r="E123" s="1134">
        <v>21</v>
      </c>
      <c r="F123" s="1133">
        <v>1036.916667</v>
      </c>
      <c r="G123" s="1141">
        <f t="shared" si="77"/>
        <v>21775.250006999999</v>
      </c>
      <c r="H123" s="1133">
        <v>141.76667099999997</v>
      </c>
      <c r="I123" s="1134">
        <f t="shared" si="78"/>
        <v>4465.6501364999995</v>
      </c>
      <c r="J123" s="1134">
        <f t="shared" si="79"/>
        <v>26240.900143499999</v>
      </c>
      <c r="K123" s="1133">
        <v>152.39999999999998</v>
      </c>
      <c r="L123" s="1133">
        <v>640</v>
      </c>
      <c r="M123" s="1133">
        <f t="shared" si="80"/>
        <v>27033.300143500001</v>
      </c>
      <c r="N123" s="1142">
        <f t="shared" si="81"/>
        <v>2.5000000000000001E-2</v>
      </c>
      <c r="O123" s="1133">
        <f t="shared" si="82"/>
        <v>27709.132647087499</v>
      </c>
      <c r="P123" s="1133">
        <f t="shared" si="83"/>
        <v>0</v>
      </c>
      <c r="Q123" s="1135">
        <f t="shared" si="84"/>
        <v>27709.132647087499</v>
      </c>
      <c r="R123" s="1091" t="s">
        <v>2758</v>
      </c>
      <c r="S123" s="1092">
        <f t="shared" si="85"/>
        <v>675.83250358749865</v>
      </c>
      <c r="U123" s="1232">
        <f t="shared" si="86"/>
        <v>0</v>
      </c>
    </row>
    <row r="124" spans="1:21">
      <c r="A124" s="1138">
        <v>2183</v>
      </c>
      <c r="B124" s="1231" t="s">
        <v>2769</v>
      </c>
      <c r="C124" s="1231" t="s">
        <v>2770</v>
      </c>
      <c r="D124" s="1140" t="s">
        <v>2953</v>
      </c>
      <c r="E124" s="1134">
        <v>27</v>
      </c>
      <c r="F124" s="1133">
        <v>149.33333399999998</v>
      </c>
      <c r="G124" s="1141">
        <f>+E124*F124</f>
        <v>4032.0000179999993</v>
      </c>
      <c r="H124" s="1133">
        <v>11.466668</v>
      </c>
      <c r="I124" s="1134">
        <f>+IFERROR(E124*1.5*H124,0)</f>
        <v>464.40005400000001</v>
      </c>
      <c r="J124" s="1134">
        <f>+G124+I124</f>
        <v>4496.4000719999995</v>
      </c>
      <c r="K124" s="1133">
        <v>0</v>
      </c>
      <c r="L124" s="1133">
        <v>0</v>
      </c>
      <c r="M124" s="1133">
        <f>+L124+K124+J124</f>
        <v>4496.4000719999995</v>
      </c>
      <c r="N124" s="1142">
        <f>+IF(R124="union",(1/E124),2.5%)</f>
        <v>2.5000000000000001E-2</v>
      </c>
      <c r="O124" s="1133">
        <f>+M124*(1+N124)</f>
        <v>4608.8100737999994</v>
      </c>
      <c r="P124" s="1133">
        <f>+IF(R124="union",250,0)</f>
        <v>0</v>
      </c>
      <c r="Q124" s="1135">
        <f>+O124+P124</f>
        <v>4608.8100737999994</v>
      </c>
      <c r="R124" s="1091" t="s">
        <v>2758</v>
      </c>
      <c r="S124" s="1092">
        <f>+O124-M124+P124</f>
        <v>112.41000179999992</v>
      </c>
      <c r="U124" s="1232">
        <f>+IF(R124="Union",F124*0.05,0)</f>
        <v>0</v>
      </c>
    </row>
    <row r="125" spans="1:21">
      <c r="A125" s="1138">
        <v>2184</v>
      </c>
      <c r="B125" s="1231" t="s">
        <v>2773</v>
      </c>
      <c r="C125" s="1231" t="s">
        <v>2774</v>
      </c>
      <c r="D125" s="1140" t="s">
        <v>2953</v>
      </c>
      <c r="E125" s="1134">
        <v>27.419999999999995</v>
      </c>
      <c r="F125" s="1133">
        <v>627.90000000000009</v>
      </c>
      <c r="G125" s="1141">
        <f>+E125*F125</f>
        <v>17217.018</v>
      </c>
      <c r="H125" s="1133">
        <v>54.483332999999988</v>
      </c>
      <c r="I125" s="1134">
        <f>+IFERROR(E125*1.5*H125,0)</f>
        <v>2240.8994862899995</v>
      </c>
      <c r="J125" s="1134">
        <f>+G125+I125</f>
        <v>19457.91748629</v>
      </c>
      <c r="K125" s="1133">
        <v>0</v>
      </c>
      <c r="L125" s="1133">
        <v>0</v>
      </c>
      <c r="M125" s="1133">
        <f>+L125+K125+J125</f>
        <v>19457.91748629</v>
      </c>
      <c r="N125" s="1142">
        <f>+IF(R125="union",(1/E125),2.5%)</f>
        <v>2.5000000000000001E-2</v>
      </c>
      <c r="O125" s="1133">
        <f>+M125*(1+N125)</f>
        <v>19944.365423447249</v>
      </c>
      <c r="P125" s="1133">
        <f>+IF(R125="union",250,0)</f>
        <v>0</v>
      </c>
      <c r="Q125" s="1135">
        <f>+O125+P125</f>
        <v>19944.365423447249</v>
      </c>
      <c r="R125" s="1091" t="s">
        <v>2758</v>
      </c>
      <c r="S125" s="1092">
        <f>+O125-M125+P125</f>
        <v>486.44793715724882</v>
      </c>
      <c r="U125" s="1232">
        <f>+IF(R125="Union",F125*0.05,0)</f>
        <v>0</v>
      </c>
    </row>
    <row r="126" spans="1:21">
      <c r="A126" s="1138">
        <v>2184</v>
      </c>
      <c r="B126" s="1231" t="s">
        <v>2775</v>
      </c>
      <c r="C126" s="1231" t="s">
        <v>2776</v>
      </c>
      <c r="D126" s="1140" t="s">
        <v>2953</v>
      </c>
      <c r="E126" s="1134">
        <v>28.349999999999991</v>
      </c>
      <c r="F126" s="1133">
        <v>709.91666600000008</v>
      </c>
      <c r="G126" s="1141">
        <f>+E126*F126</f>
        <v>20126.137481099995</v>
      </c>
      <c r="H126" s="1133">
        <v>65.683333999999988</v>
      </c>
      <c r="I126" s="1134">
        <f>+IFERROR(E126*1.5*H126,0)</f>
        <v>2793.1837783499986</v>
      </c>
      <c r="J126" s="1134">
        <f>+G126+I126</f>
        <v>22919.321259449993</v>
      </c>
      <c r="K126" s="1133">
        <v>0</v>
      </c>
      <c r="L126" s="1133">
        <v>0</v>
      </c>
      <c r="M126" s="1133">
        <f>+L126+K126+J126</f>
        <v>22919.321259449993</v>
      </c>
      <c r="N126" s="1142">
        <f>+IF(R126="union",(1/E126),2.5%)</f>
        <v>2.5000000000000001E-2</v>
      </c>
      <c r="O126" s="1133">
        <f>+M126*(1+N126)</f>
        <v>23492.304290936241</v>
      </c>
      <c r="P126" s="1133">
        <f>+IF(R126="union",250,0)</f>
        <v>0</v>
      </c>
      <c r="Q126" s="1135">
        <f>+O126+P126</f>
        <v>23492.304290936241</v>
      </c>
      <c r="R126" s="1091" t="s">
        <v>2758</v>
      </c>
      <c r="S126" s="1092">
        <f>+O126-M126+P126</f>
        <v>572.98303148624836</v>
      </c>
      <c r="U126" s="1232">
        <f>+IF(R126="Union",F126*0.05,0)</f>
        <v>0</v>
      </c>
    </row>
    <row r="127" spans="1:21">
      <c r="A127" s="1138"/>
      <c r="B127" s="1144"/>
      <c r="C127" s="1146"/>
      <c r="D127" s="1140"/>
      <c r="E127" s="1133"/>
      <c r="F127" s="1133"/>
      <c r="G127" s="1133"/>
      <c r="H127" s="1133"/>
      <c r="I127" s="1134"/>
      <c r="J127" s="1133"/>
      <c r="K127" s="1133"/>
      <c r="L127" s="1133"/>
      <c r="M127" s="1133"/>
      <c r="N127" s="1133"/>
      <c r="O127" s="1133"/>
      <c r="P127" s="1133"/>
      <c r="Q127" s="1135"/>
    </row>
    <row r="128" spans="1:21">
      <c r="A128" s="1138"/>
      <c r="B128" s="1144"/>
      <c r="C128" s="1146" t="s">
        <v>2846</v>
      </c>
      <c r="D128" s="1140"/>
      <c r="E128" s="1147">
        <f t="shared" ref="E128:P128" si="87">+SUM(E119:E127)</f>
        <v>206.01</v>
      </c>
      <c r="F128" s="1147">
        <f t="shared" si="87"/>
        <v>8913.9833360000011</v>
      </c>
      <c r="G128" s="1147">
        <f t="shared" si="87"/>
        <v>236681.01939565988</v>
      </c>
      <c r="H128" s="1147">
        <f t="shared" si="87"/>
        <v>1467.8000019999999</v>
      </c>
      <c r="I128" s="1147">
        <f t="shared" si="87"/>
        <v>58963.13527323</v>
      </c>
      <c r="J128" s="1147">
        <f t="shared" si="87"/>
        <v>295644.15466888994</v>
      </c>
      <c r="K128" s="1147">
        <f t="shared" si="87"/>
        <v>1277.4000000000001</v>
      </c>
      <c r="L128" s="1147">
        <f t="shared" si="87"/>
        <v>3565.3</v>
      </c>
      <c r="M128" s="1147">
        <f t="shared" si="87"/>
        <v>300486.85466888989</v>
      </c>
      <c r="N128" s="1147"/>
      <c r="O128" s="1147">
        <f t="shared" si="87"/>
        <v>308553.64208563487</v>
      </c>
      <c r="P128" s="1147">
        <f t="shared" si="87"/>
        <v>250</v>
      </c>
      <c r="Q128" s="1148">
        <f>+SUM(Q119:Q127)</f>
        <v>308803.64208563487</v>
      </c>
      <c r="S128" s="1148">
        <f>+SUM(S119:S127)</f>
        <v>8316.7874167450245</v>
      </c>
    </row>
    <row r="129" spans="1:21">
      <c r="A129" s="1138"/>
      <c r="B129" s="1144"/>
      <c r="C129" s="1146"/>
      <c r="D129" s="1140"/>
      <c r="E129" s="1133"/>
      <c r="F129" s="1133"/>
      <c r="G129" s="1133"/>
      <c r="H129" s="1133"/>
      <c r="I129" s="1134"/>
      <c r="J129" s="1133"/>
      <c r="K129" s="1133"/>
      <c r="L129" s="1133"/>
      <c r="M129" s="1133"/>
      <c r="N129" s="1133"/>
      <c r="O129" s="1133"/>
      <c r="P129" s="1133"/>
      <c r="Q129" s="1135"/>
    </row>
    <row r="130" spans="1:21">
      <c r="A130" s="1138"/>
      <c r="B130" s="1144"/>
      <c r="C130" s="1146"/>
      <c r="D130" s="1140"/>
      <c r="E130" s="1133"/>
      <c r="F130" s="1133"/>
      <c r="G130" s="1133"/>
      <c r="H130" s="1133"/>
      <c r="I130" s="1134"/>
      <c r="J130" s="1133"/>
      <c r="K130" s="1133"/>
      <c r="L130" s="1133"/>
      <c r="M130" s="1133"/>
      <c r="N130" s="1133"/>
      <c r="O130" s="1133"/>
      <c r="P130" s="1133"/>
      <c r="Q130" s="1135"/>
    </row>
    <row r="131" spans="1:21" s="1158" customFormat="1">
      <c r="A131" s="1138"/>
      <c r="B131" s="1144"/>
      <c r="C131" s="1155" t="s">
        <v>2847</v>
      </c>
      <c r="D131" s="1140"/>
      <c r="E131" s="1156">
        <f t="shared" ref="E131:Q131" si="88">+E128+E116+E108+E100+E89+E73+E49+E38</f>
        <v>1992.8399999999951</v>
      </c>
      <c r="F131" s="1156">
        <f t="shared" si="88"/>
        <v>127944.90999700001</v>
      </c>
      <c r="G131" s="1156">
        <f t="shared" si="88"/>
        <v>3201697.0483377604</v>
      </c>
      <c r="H131" s="1156">
        <f t="shared" si="88"/>
        <v>28143.116710000002</v>
      </c>
      <c r="I131" s="1156">
        <f t="shared" si="88"/>
        <v>1061756.7071396518</v>
      </c>
      <c r="J131" s="1156">
        <f t="shared" si="88"/>
        <v>4263453.7554774117</v>
      </c>
      <c r="K131" s="1156">
        <f t="shared" si="88"/>
        <v>21393.82</v>
      </c>
      <c r="L131" s="1156">
        <f t="shared" si="88"/>
        <v>58340.900000000009</v>
      </c>
      <c r="M131" s="1156">
        <f t="shared" si="88"/>
        <v>4343188.4754774114</v>
      </c>
      <c r="N131" s="1156">
        <f t="shared" si="88"/>
        <v>0</v>
      </c>
      <c r="O131" s="1156">
        <f t="shared" si="88"/>
        <v>4488487.5969485557</v>
      </c>
      <c r="P131" s="1156">
        <f t="shared" si="88"/>
        <v>11250</v>
      </c>
      <c r="Q131" s="1156">
        <f t="shared" si="88"/>
        <v>4499737.5969485557</v>
      </c>
      <c r="R131" s="1091"/>
      <c r="S131" s="1157">
        <f>+S128+S116+S108+S100+S89+S73+S49+S38</f>
        <v>156549.12147114417</v>
      </c>
      <c r="U131" s="1157">
        <f>SUM(U17:U130)</f>
        <v>4310.6270001500006</v>
      </c>
    </row>
    <row r="132" spans="1:21" s="1158" customFormat="1" ht="12" thickBot="1">
      <c r="A132" s="1138"/>
      <c r="B132" s="1144"/>
      <c r="C132" s="1145"/>
      <c r="D132" s="1140"/>
      <c r="E132" s="1159"/>
      <c r="F132" s="1159"/>
      <c r="G132" s="1159"/>
      <c r="H132" s="1159"/>
      <c r="I132" s="1160"/>
      <c r="J132" s="1159"/>
      <c r="K132" s="1159"/>
      <c r="L132" s="1159"/>
      <c r="M132" s="1159"/>
      <c r="N132" s="1159"/>
      <c r="O132" s="1159"/>
      <c r="P132" s="1159"/>
      <c r="Q132" s="1135"/>
      <c r="R132" s="1091"/>
      <c r="S132" s="1161"/>
    </row>
    <row r="133" spans="1:21" s="1158" customFormat="1" ht="12.75" thickTop="1" thickBot="1">
      <c r="A133" s="1162"/>
      <c r="B133" s="1163" t="s">
        <v>2848</v>
      </c>
      <c r="C133" s="1127"/>
      <c r="D133" s="1128"/>
      <c r="E133" s="1159"/>
      <c r="F133" s="1159"/>
      <c r="G133" s="1159"/>
      <c r="H133" s="1159"/>
      <c r="I133" s="1160"/>
      <c r="J133" s="1159"/>
      <c r="K133" s="1159"/>
      <c r="L133" s="1159"/>
      <c r="M133" s="1159"/>
      <c r="N133" s="1159"/>
      <c r="O133" s="1159"/>
      <c r="P133" s="1159"/>
      <c r="Q133" s="1135"/>
      <c r="R133" s="1091"/>
      <c r="S133" s="1092">
        <f t="shared" ref="S133" si="89">+O133-M133</f>
        <v>0</v>
      </c>
    </row>
    <row r="134" spans="1:21" ht="12" thickTop="1">
      <c r="A134" s="1138">
        <v>2183</v>
      </c>
      <c r="B134" s="1139" t="s">
        <v>2849</v>
      </c>
      <c r="C134" s="1231" t="s">
        <v>3045</v>
      </c>
      <c r="D134" s="1140" t="s">
        <v>3046</v>
      </c>
      <c r="E134" s="1134">
        <v>38.016937499999919</v>
      </c>
      <c r="F134" s="1133">
        <v>2136</v>
      </c>
      <c r="G134" s="1141">
        <f t="shared" ref="G134:G148" si="90">+IFERROR(E134*F134,0)</f>
        <v>81204.178499999834</v>
      </c>
      <c r="H134" s="1133">
        <v>0</v>
      </c>
      <c r="I134" s="1134">
        <f t="shared" ref="I134:I148" si="91">+IFERROR(E134*1.5*H134,0)</f>
        <v>0</v>
      </c>
      <c r="J134" s="1134">
        <f t="shared" ref="J134:J148" si="92">+G134+I134</f>
        <v>81204.178499999834</v>
      </c>
      <c r="K134" s="1133">
        <v>0</v>
      </c>
      <c r="L134" s="1133">
        <v>11349.459999999997</v>
      </c>
      <c r="M134" s="1133">
        <f t="shared" ref="M134:M148" si="93">+L134+K134+J134</f>
        <v>92553.638499999826</v>
      </c>
      <c r="N134" s="1142">
        <f t="shared" ref="N134:N148" si="94">+IF(R134="union",(1/E134),2.5%)</f>
        <v>2.5000000000000001E-2</v>
      </c>
      <c r="O134" s="1133">
        <f t="shared" ref="O134:O148" si="95">+M134*(1+N134)</f>
        <v>94867.479462499818</v>
      </c>
      <c r="P134" s="1133">
        <f t="shared" ref="P134:P148" si="96">+IF(R134="union",250,0)</f>
        <v>0</v>
      </c>
      <c r="Q134" s="1135">
        <f t="shared" ref="Q134:Q148" si="97">+O134+P134</f>
        <v>94867.479462499818</v>
      </c>
      <c r="S134" s="1092">
        <f t="shared" ref="S134:S148" si="98">+O134-M134+P134</f>
        <v>2313.8409624999913</v>
      </c>
    </row>
    <row r="135" spans="1:21">
      <c r="A135" s="1138">
        <v>2183</v>
      </c>
      <c r="B135" s="1139" t="s">
        <v>2850</v>
      </c>
      <c r="C135" s="1231" t="s">
        <v>3047</v>
      </c>
      <c r="D135" s="1140" t="s">
        <v>3048</v>
      </c>
      <c r="E135" s="1134">
        <v>32.450000000000379</v>
      </c>
      <c r="F135" s="1133">
        <v>2116.8833349999995</v>
      </c>
      <c r="G135" s="1141">
        <f t="shared" si="90"/>
        <v>68692.864220750795</v>
      </c>
      <c r="H135" s="1133">
        <v>359.78333199999997</v>
      </c>
      <c r="I135" s="1134">
        <f t="shared" si="91"/>
        <v>17512.453685100201</v>
      </c>
      <c r="J135" s="1134">
        <f t="shared" si="92"/>
        <v>86205.317905851</v>
      </c>
      <c r="K135" s="1133">
        <v>1875.0000000000025</v>
      </c>
      <c r="L135" s="1133">
        <v>2949.4300000000003</v>
      </c>
      <c r="M135" s="1133">
        <f t="shared" si="93"/>
        <v>91029.747905851007</v>
      </c>
      <c r="N135" s="1142">
        <f t="shared" si="94"/>
        <v>2.5000000000000001E-2</v>
      </c>
      <c r="O135" s="1133">
        <f t="shared" si="95"/>
        <v>93305.49160349727</v>
      </c>
      <c r="P135" s="1133">
        <f t="shared" si="96"/>
        <v>0</v>
      </c>
      <c r="Q135" s="1135">
        <f t="shared" si="97"/>
        <v>93305.49160349727</v>
      </c>
      <c r="S135" s="1092">
        <f t="shared" si="98"/>
        <v>2275.7436976462632</v>
      </c>
    </row>
    <row r="136" spans="1:21">
      <c r="A136" s="1138">
        <v>2183</v>
      </c>
      <c r="B136" s="1139" t="s">
        <v>2851</v>
      </c>
      <c r="C136" s="1231" t="s">
        <v>3049</v>
      </c>
      <c r="D136" s="1140" t="s">
        <v>3050</v>
      </c>
      <c r="E136" s="1134">
        <v>21.35000000000025</v>
      </c>
      <c r="F136" s="1133">
        <v>2039.7833379999997</v>
      </c>
      <c r="G136" s="1141">
        <f t="shared" si="90"/>
        <v>43549.374266300503</v>
      </c>
      <c r="H136" s="1133">
        <v>10.566662000000001</v>
      </c>
      <c r="I136" s="1134">
        <f t="shared" si="91"/>
        <v>338.39735055000398</v>
      </c>
      <c r="J136" s="1134">
        <f t="shared" si="92"/>
        <v>43887.771616850507</v>
      </c>
      <c r="K136" s="1133">
        <v>1875.0000000000025</v>
      </c>
      <c r="L136" s="1133">
        <v>847.60000000000014</v>
      </c>
      <c r="M136" s="1133">
        <f t="shared" si="93"/>
        <v>46610.371616850513</v>
      </c>
      <c r="N136" s="1142">
        <f t="shared" si="94"/>
        <v>2.5000000000000001E-2</v>
      </c>
      <c r="O136" s="1133">
        <f t="shared" si="95"/>
        <v>47775.63090727177</v>
      </c>
      <c r="P136" s="1133">
        <f t="shared" si="96"/>
        <v>0</v>
      </c>
      <c r="Q136" s="1135">
        <f t="shared" si="97"/>
        <v>47775.63090727177</v>
      </c>
      <c r="S136" s="1092">
        <f t="shared" si="98"/>
        <v>1165.2592904212579</v>
      </c>
    </row>
    <row r="137" spans="1:21">
      <c r="A137" s="1138">
        <v>2183</v>
      </c>
      <c r="B137" s="1139" t="s">
        <v>2852</v>
      </c>
      <c r="C137" s="1231" t="s">
        <v>3051</v>
      </c>
      <c r="D137" s="1140" t="s">
        <v>3052</v>
      </c>
      <c r="E137" s="1134">
        <v>27</v>
      </c>
      <c r="F137" s="1133">
        <v>2103.166667</v>
      </c>
      <c r="G137" s="1141">
        <f t="shared" si="90"/>
        <v>56785.500008999996</v>
      </c>
      <c r="H137" s="1133">
        <v>108.89999599999999</v>
      </c>
      <c r="I137" s="1134">
        <f t="shared" si="91"/>
        <v>4410.4498379999995</v>
      </c>
      <c r="J137" s="1134">
        <f t="shared" si="92"/>
        <v>61195.949846999996</v>
      </c>
      <c r="K137" s="1133">
        <v>1875.0000000000025</v>
      </c>
      <c r="L137" s="1133">
        <v>646</v>
      </c>
      <c r="M137" s="1133">
        <f t="shared" si="93"/>
        <v>63716.949846999996</v>
      </c>
      <c r="N137" s="1142">
        <f t="shared" si="94"/>
        <v>2.5000000000000001E-2</v>
      </c>
      <c r="O137" s="1133">
        <f t="shared" si="95"/>
        <v>65309.873593174991</v>
      </c>
      <c r="P137" s="1133">
        <f t="shared" si="96"/>
        <v>0</v>
      </c>
      <c r="Q137" s="1135">
        <f t="shared" si="97"/>
        <v>65309.873593174991</v>
      </c>
      <c r="S137" s="1092">
        <f t="shared" si="98"/>
        <v>1592.9237461749944</v>
      </c>
    </row>
    <row r="138" spans="1:21">
      <c r="A138" s="1138">
        <v>2183</v>
      </c>
      <c r="B138" s="1139" t="s">
        <v>2853</v>
      </c>
      <c r="C138" s="1231" t="s">
        <v>3053</v>
      </c>
      <c r="D138" s="1140" t="s">
        <v>3052</v>
      </c>
      <c r="E138" s="1134">
        <v>25</v>
      </c>
      <c r="F138" s="1133">
        <v>2021.7166689999997</v>
      </c>
      <c r="G138" s="1141">
        <f t="shared" si="90"/>
        <v>50542.916724999995</v>
      </c>
      <c r="H138" s="1133">
        <v>113.21667199999999</v>
      </c>
      <c r="I138" s="1134">
        <f t="shared" si="91"/>
        <v>4245.6251999999995</v>
      </c>
      <c r="J138" s="1134">
        <f t="shared" si="92"/>
        <v>54788.541924999998</v>
      </c>
      <c r="K138" s="1133">
        <v>1875.0000000000025</v>
      </c>
      <c r="L138" s="1133">
        <v>1587.1999999999998</v>
      </c>
      <c r="M138" s="1133">
        <f t="shared" si="93"/>
        <v>58250.741925000002</v>
      </c>
      <c r="N138" s="1142">
        <f t="shared" si="94"/>
        <v>2.5000000000000001E-2</v>
      </c>
      <c r="O138" s="1133">
        <f t="shared" si="95"/>
        <v>59707.010473124996</v>
      </c>
      <c r="P138" s="1133">
        <f t="shared" si="96"/>
        <v>0</v>
      </c>
      <c r="Q138" s="1135">
        <f t="shared" si="97"/>
        <v>59707.010473124996</v>
      </c>
      <c r="S138" s="1092">
        <f t="shared" si="98"/>
        <v>1456.2685481249937</v>
      </c>
    </row>
    <row r="139" spans="1:21">
      <c r="A139" s="1138">
        <v>2183</v>
      </c>
      <c r="B139" s="1139" t="s">
        <v>2854</v>
      </c>
      <c r="C139" s="1231" t="s">
        <v>3054</v>
      </c>
      <c r="D139" s="1140" t="s">
        <v>3052</v>
      </c>
      <c r="E139" s="1134">
        <v>28.100000000000254</v>
      </c>
      <c r="F139" s="1133">
        <v>2065.6499990000002</v>
      </c>
      <c r="G139" s="1141">
        <f t="shared" si="90"/>
        <v>58044.764971900528</v>
      </c>
      <c r="H139" s="1133">
        <v>138.73333099999999</v>
      </c>
      <c r="I139" s="1134">
        <f t="shared" si="91"/>
        <v>5847.609901650053</v>
      </c>
      <c r="J139" s="1134">
        <f t="shared" si="92"/>
        <v>63892.37487355058</v>
      </c>
      <c r="K139" s="1133">
        <v>1875.0000000000025</v>
      </c>
      <c r="L139" s="1133">
        <v>667.6</v>
      </c>
      <c r="M139" s="1133">
        <f t="shared" si="93"/>
        <v>66434.974873550585</v>
      </c>
      <c r="N139" s="1142">
        <f t="shared" si="94"/>
        <v>2.5000000000000001E-2</v>
      </c>
      <c r="O139" s="1133">
        <f t="shared" si="95"/>
        <v>68095.849245389341</v>
      </c>
      <c r="P139" s="1133">
        <f t="shared" si="96"/>
        <v>0</v>
      </c>
      <c r="Q139" s="1135">
        <f t="shared" si="97"/>
        <v>68095.849245389341</v>
      </c>
      <c r="S139" s="1092">
        <f t="shared" si="98"/>
        <v>1660.8743718387559</v>
      </c>
    </row>
    <row r="140" spans="1:21">
      <c r="A140" s="1138">
        <v>2183</v>
      </c>
      <c r="B140" s="1139" t="s">
        <v>2855</v>
      </c>
      <c r="C140" s="1231" t="s">
        <v>3055</v>
      </c>
      <c r="D140" s="1140" t="s">
        <v>3048</v>
      </c>
      <c r="E140" s="1134">
        <v>28</v>
      </c>
      <c r="F140" s="1133">
        <v>2123.9333310000002</v>
      </c>
      <c r="G140" s="1141">
        <f t="shared" si="90"/>
        <v>59470.133268000005</v>
      </c>
      <c r="H140" s="1133">
        <v>497.83333299999993</v>
      </c>
      <c r="I140" s="1134">
        <f t="shared" si="91"/>
        <v>20908.999985999995</v>
      </c>
      <c r="J140" s="1134">
        <f t="shared" si="92"/>
        <v>80379.133254</v>
      </c>
      <c r="K140" s="1133">
        <v>1875.0000000000025</v>
      </c>
      <c r="L140" s="1133">
        <v>2316.13</v>
      </c>
      <c r="M140" s="1133">
        <f t="shared" si="93"/>
        <v>84570.263254000005</v>
      </c>
      <c r="N140" s="1142">
        <f t="shared" si="94"/>
        <v>2.5000000000000001E-2</v>
      </c>
      <c r="O140" s="1133">
        <f t="shared" si="95"/>
        <v>86684.519835350002</v>
      </c>
      <c r="P140" s="1133">
        <f t="shared" si="96"/>
        <v>0</v>
      </c>
      <c r="Q140" s="1135">
        <f t="shared" si="97"/>
        <v>86684.519835350002</v>
      </c>
      <c r="S140" s="1092">
        <f t="shared" si="98"/>
        <v>2114.2565813499968</v>
      </c>
    </row>
    <row r="141" spans="1:21">
      <c r="A141" s="1138">
        <v>2183</v>
      </c>
      <c r="B141" s="1139" t="s">
        <v>2856</v>
      </c>
      <c r="C141" s="1231" t="s">
        <v>3056</v>
      </c>
      <c r="D141" s="1140" t="s">
        <v>3052</v>
      </c>
      <c r="E141" s="1134">
        <v>26</v>
      </c>
      <c r="F141" s="1133">
        <v>2077.8166649999998</v>
      </c>
      <c r="G141" s="1141">
        <f t="shared" si="90"/>
        <v>54023.233289999996</v>
      </c>
      <c r="H141" s="1133">
        <v>240.53333500000002</v>
      </c>
      <c r="I141" s="1134">
        <f t="shared" si="91"/>
        <v>9380.8000650000013</v>
      </c>
      <c r="J141" s="1134">
        <f t="shared" si="92"/>
        <v>63404.033355</v>
      </c>
      <c r="K141" s="1133">
        <v>1875.0000000000027</v>
      </c>
      <c r="L141" s="1133">
        <v>2364.75</v>
      </c>
      <c r="M141" s="1133">
        <f t="shared" si="93"/>
        <v>67643.783355000007</v>
      </c>
      <c r="N141" s="1142">
        <f t="shared" si="94"/>
        <v>2.5000000000000001E-2</v>
      </c>
      <c r="O141" s="1133">
        <f t="shared" si="95"/>
        <v>69334.877938874997</v>
      </c>
      <c r="P141" s="1133">
        <f t="shared" si="96"/>
        <v>0</v>
      </c>
      <c r="Q141" s="1135">
        <f t="shared" si="97"/>
        <v>69334.877938874997</v>
      </c>
      <c r="S141" s="1092">
        <f t="shared" si="98"/>
        <v>1691.0945838749903</v>
      </c>
    </row>
    <row r="142" spans="1:21">
      <c r="A142" s="1138">
        <v>2183</v>
      </c>
      <c r="B142" s="1139" t="s">
        <v>2857</v>
      </c>
      <c r="C142" s="1231" t="s">
        <v>3057</v>
      </c>
      <c r="D142" s="1140" t="s">
        <v>3050</v>
      </c>
      <c r="E142" s="1134">
        <v>20</v>
      </c>
      <c r="F142" s="1133">
        <v>2051.9833319999998</v>
      </c>
      <c r="G142" s="1141">
        <f t="shared" si="90"/>
        <v>41039.666639999996</v>
      </c>
      <c r="H142" s="1133">
        <v>133.83333999999999</v>
      </c>
      <c r="I142" s="1134">
        <f t="shared" si="91"/>
        <v>4015.0001999999999</v>
      </c>
      <c r="J142" s="1134">
        <f t="shared" si="92"/>
        <v>45054.666839999998</v>
      </c>
      <c r="K142" s="1133">
        <v>1875.0000000000025</v>
      </c>
      <c r="L142" s="1133">
        <v>760</v>
      </c>
      <c r="M142" s="1133">
        <f t="shared" si="93"/>
        <v>47689.666839999998</v>
      </c>
      <c r="N142" s="1142">
        <f t="shared" si="94"/>
        <v>2.5000000000000001E-2</v>
      </c>
      <c r="O142" s="1133">
        <f t="shared" si="95"/>
        <v>48881.908510999994</v>
      </c>
      <c r="P142" s="1133">
        <f t="shared" si="96"/>
        <v>0</v>
      </c>
      <c r="Q142" s="1135">
        <f t="shared" si="97"/>
        <v>48881.908510999994</v>
      </c>
      <c r="S142" s="1092">
        <f t="shared" si="98"/>
        <v>1192.2416709999961</v>
      </c>
    </row>
    <row r="143" spans="1:21">
      <c r="A143" s="1138">
        <v>2183</v>
      </c>
      <c r="B143" s="1139" t="s">
        <v>2858</v>
      </c>
      <c r="C143" s="1231" t="s">
        <v>3058</v>
      </c>
      <c r="D143" s="1140" t="s">
        <v>3052</v>
      </c>
      <c r="E143" s="1134">
        <v>22</v>
      </c>
      <c r="F143" s="1133">
        <v>2065.9000000000005</v>
      </c>
      <c r="G143" s="1141">
        <f t="shared" si="90"/>
        <v>45449.80000000001</v>
      </c>
      <c r="H143" s="1133">
        <v>127.183325</v>
      </c>
      <c r="I143" s="1134">
        <f t="shared" si="91"/>
        <v>4197.0497249999999</v>
      </c>
      <c r="J143" s="1134">
        <f t="shared" si="92"/>
        <v>49646.849725000007</v>
      </c>
      <c r="K143" s="1133">
        <v>1875.0000000000025</v>
      </c>
      <c r="L143" s="1133">
        <v>672</v>
      </c>
      <c r="M143" s="1133">
        <f t="shared" si="93"/>
        <v>52193.849725000007</v>
      </c>
      <c r="N143" s="1142">
        <f t="shared" si="94"/>
        <v>2.5000000000000001E-2</v>
      </c>
      <c r="O143" s="1133">
        <f t="shared" si="95"/>
        <v>53498.695968125001</v>
      </c>
      <c r="P143" s="1133">
        <f t="shared" si="96"/>
        <v>0</v>
      </c>
      <c r="Q143" s="1135">
        <f t="shared" si="97"/>
        <v>53498.695968125001</v>
      </c>
      <c r="S143" s="1092">
        <f t="shared" si="98"/>
        <v>1304.8462431249936</v>
      </c>
    </row>
    <row r="144" spans="1:21">
      <c r="A144" s="1138">
        <v>2183</v>
      </c>
      <c r="B144" s="1139" t="s">
        <v>2859</v>
      </c>
      <c r="C144" s="1231" t="s">
        <v>3059</v>
      </c>
      <c r="D144" s="1140" t="s">
        <v>3052</v>
      </c>
      <c r="E144" s="1134">
        <v>25</v>
      </c>
      <c r="F144" s="1133">
        <v>2107.7166659999998</v>
      </c>
      <c r="G144" s="1141">
        <f t="shared" si="90"/>
        <v>52692.916649999992</v>
      </c>
      <c r="H144" s="1133">
        <v>276.93332900000001</v>
      </c>
      <c r="I144" s="1134">
        <f t="shared" si="91"/>
        <v>10384.999837500001</v>
      </c>
      <c r="J144" s="1134">
        <f t="shared" si="92"/>
        <v>63077.916487499991</v>
      </c>
      <c r="K144" s="1133">
        <v>1875.0000000000025</v>
      </c>
      <c r="L144" s="1133">
        <v>1584</v>
      </c>
      <c r="M144" s="1133">
        <f t="shared" si="93"/>
        <v>66536.916487499999</v>
      </c>
      <c r="N144" s="1142">
        <f t="shared" si="94"/>
        <v>2.5000000000000001E-2</v>
      </c>
      <c r="O144" s="1133">
        <f t="shared" si="95"/>
        <v>68200.339399687495</v>
      </c>
      <c r="P144" s="1133">
        <f t="shared" si="96"/>
        <v>0</v>
      </c>
      <c r="Q144" s="1135">
        <f t="shared" si="97"/>
        <v>68200.339399687495</v>
      </c>
      <c r="S144" s="1092">
        <f t="shared" si="98"/>
        <v>1663.422912187496</v>
      </c>
    </row>
    <row r="145" spans="1:19">
      <c r="A145" s="1138">
        <v>2183</v>
      </c>
      <c r="B145" s="1139" t="s">
        <v>2860</v>
      </c>
      <c r="C145" s="1231" t="s">
        <v>3060</v>
      </c>
      <c r="D145" s="1140" t="s">
        <v>3052</v>
      </c>
      <c r="E145" s="1134">
        <v>24</v>
      </c>
      <c r="F145" s="1133">
        <v>2042.9333349999997</v>
      </c>
      <c r="G145" s="1141">
        <f t="shared" si="90"/>
        <v>49030.400039999993</v>
      </c>
      <c r="H145" s="1133">
        <v>188.28333899999998</v>
      </c>
      <c r="I145" s="1134">
        <f t="shared" si="91"/>
        <v>6778.2002039999998</v>
      </c>
      <c r="J145" s="1134">
        <f t="shared" si="92"/>
        <v>55808.600243999994</v>
      </c>
      <c r="K145" s="1133">
        <v>1402.3999999999987</v>
      </c>
      <c r="L145" s="1133">
        <v>1472</v>
      </c>
      <c r="M145" s="1133">
        <f t="shared" si="93"/>
        <v>58683.000243999995</v>
      </c>
      <c r="N145" s="1142">
        <v>0</v>
      </c>
      <c r="O145" s="1133">
        <f t="shared" si="95"/>
        <v>58683.000243999995</v>
      </c>
      <c r="P145" s="1133">
        <f t="shared" si="96"/>
        <v>0</v>
      </c>
      <c r="Q145" s="1135">
        <f t="shared" si="97"/>
        <v>58683.000243999995</v>
      </c>
      <c r="S145" s="1092">
        <f t="shared" si="98"/>
        <v>0</v>
      </c>
    </row>
    <row r="146" spans="1:19">
      <c r="A146" s="1138">
        <v>2183</v>
      </c>
      <c r="B146" s="1139" t="s">
        <v>2861</v>
      </c>
      <c r="C146" s="1231" t="s">
        <v>3061</v>
      </c>
      <c r="D146" s="1140" t="s">
        <v>3052</v>
      </c>
      <c r="E146" s="1134">
        <v>27</v>
      </c>
      <c r="F146" s="1133">
        <v>1541.7000020000003</v>
      </c>
      <c r="G146" s="1141">
        <f t="shared" si="90"/>
        <v>41625.900054000005</v>
      </c>
      <c r="H146" s="1133">
        <v>109.116666</v>
      </c>
      <c r="I146" s="1134">
        <f t="shared" si="91"/>
        <v>4419.2249729999994</v>
      </c>
      <c r="J146" s="1134">
        <f t="shared" si="92"/>
        <v>46045.125027000002</v>
      </c>
      <c r="K146" s="1133">
        <v>929.79000000000053</v>
      </c>
      <c r="L146" s="1133">
        <v>1080</v>
      </c>
      <c r="M146" s="1133">
        <f t="shared" si="93"/>
        <v>48054.915027000003</v>
      </c>
      <c r="N146" s="1142">
        <v>0</v>
      </c>
      <c r="O146" s="1133">
        <f t="shared" si="95"/>
        <v>48054.915027000003</v>
      </c>
      <c r="P146" s="1133">
        <f t="shared" si="96"/>
        <v>0</v>
      </c>
      <c r="Q146" s="1135">
        <f t="shared" si="97"/>
        <v>48054.915027000003</v>
      </c>
      <c r="S146" s="1092">
        <f t="shared" si="98"/>
        <v>0</v>
      </c>
    </row>
    <row r="147" spans="1:19">
      <c r="A147" s="1138">
        <v>2183</v>
      </c>
      <c r="B147" s="1139" t="s">
        <v>2862</v>
      </c>
      <c r="C147" s="1231" t="s">
        <v>3062</v>
      </c>
      <c r="D147" s="1140" t="s">
        <v>3052</v>
      </c>
      <c r="E147" s="1134">
        <v>19</v>
      </c>
      <c r="F147" s="1133">
        <v>823.56666300000006</v>
      </c>
      <c r="G147" s="1141">
        <f t="shared" si="90"/>
        <v>15647.766597000002</v>
      </c>
      <c r="H147" s="1133">
        <v>28.583330000000004</v>
      </c>
      <c r="I147" s="1134">
        <f t="shared" si="91"/>
        <v>814.62490500000013</v>
      </c>
      <c r="J147" s="1134">
        <f t="shared" si="92"/>
        <v>16462.391502000002</v>
      </c>
      <c r="K147" s="1133">
        <v>246.56999999999994</v>
      </c>
      <c r="L147" s="1133">
        <v>152</v>
      </c>
      <c r="M147" s="1133">
        <f t="shared" si="93"/>
        <v>16860.961502000002</v>
      </c>
      <c r="N147" s="1142">
        <f t="shared" si="94"/>
        <v>2.5000000000000001E-2</v>
      </c>
      <c r="O147" s="1133">
        <f t="shared" si="95"/>
        <v>17282.485539550002</v>
      </c>
      <c r="P147" s="1133">
        <f t="shared" si="96"/>
        <v>0</v>
      </c>
      <c r="Q147" s="1135">
        <f t="shared" si="97"/>
        <v>17282.485539550002</v>
      </c>
      <c r="S147" s="1092">
        <f t="shared" si="98"/>
        <v>421.52403754999978</v>
      </c>
    </row>
    <row r="148" spans="1:19">
      <c r="A148" s="1138">
        <v>2183</v>
      </c>
      <c r="B148" s="1139" t="s">
        <v>2863</v>
      </c>
      <c r="C148" s="1231" t="s">
        <v>3063</v>
      </c>
      <c r="D148" s="1140">
        <v>0</v>
      </c>
      <c r="E148" s="1134">
        <v>27.8</v>
      </c>
      <c r="F148" s="1133">
        <v>80</v>
      </c>
      <c r="G148" s="1141">
        <f t="shared" si="90"/>
        <v>2224</v>
      </c>
      <c r="H148" s="1133">
        <v>2.5499999999999998</v>
      </c>
      <c r="I148" s="1134">
        <f t="shared" si="91"/>
        <v>106.33499999999999</v>
      </c>
      <c r="J148" s="1134">
        <f t="shared" si="92"/>
        <v>2330.335</v>
      </c>
      <c r="K148" s="1133">
        <v>0</v>
      </c>
      <c r="L148" s="1133">
        <v>3113.6</v>
      </c>
      <c r="M148" s="1133">
        <f t="shared" si="93"/>
        <v>5443.9349999999995</v>
      </c>
      <c r="N148" s="1142">
        <f t="shared" si="94"/>
        <v>2.5000000000000001E-2</v>
      </c>
      <c r="O148" s="1133">
        <f t="shared" si="95"/>
        <v>5580.0333749999991</v>
      </c>
      <c r="P148" s="1133">
        <f t="shared" si="96"/>
        <v>0</v>
      </c>
      <c r="Q148" s="1135">
        <f t="shared" si="97"/>
        <v>5580.0333749999991</v>
      </c>
      <c r="S148" s="1092">
        <f t="shared" si="98"/>
        <v>136.09837499999958</v>
      </c>
    </row>
    <row r="149" spans="1:19">
      <c r="A149" s="1138"/>
      <c r="B149" s="1144"/>
      <c r="C149" s="1145"/>
      <c r="D149" s="1140"/>
      <c r="E149" s="1133"/>
      <c r="F149" s="1133"/>
      <c r="G149" s="1133"/>
      <c r="H149" s="1133"/>
      <c r="I149" s="1134"/>
      <c r="J149" s="1133"/>
      <c r="K149" s="1133"/>
      <c r="L149" s="1133"/>
      <c r="M149" s="1133"/>
      <c r="N149" s="1133"/>
      <c r="O149" s="1133"/>
      <c r="P149" s="1133"/>
      <c r="Q149" s="1135"/>
    </row>
    <row r="150" spans="1:19">
      <c r="A150" s="1138"/>
      <c r="B150" s="1144"/>
      <c r="C150" s="1155" t="s">
        <v>2864</v>
      </c>
      <c r="D150" s="1140"/>
      <c r="E150" s="1147">
        <f t="shared" ref="E150:M150" si="99">+SUM(E134:E149)</f>
        <v>390.71693750000082</v>
      </c>
      <c r="F150" s="1147">
        <f t="shared" si="99"/>
        <v>27398.750002000001</v>
      </c>
      <c r="G150" s="1147">
        <f t="shared" si="99"/>
        <v>720023.41523195151</v>
      </c>
      <c r="H150" s="1147">
        <f t="shared" si="99"/>
        <v>2336.0499899999995</v>
      </c>
      <c r="I150" s="1164">
        <f t="shared" si="99"/>
        <v>93359.770870800261</v>
      </c>
      <c r="J150" s="1164">
        <f t="shared" si="99"/>
        <v>813383.18610275176</v>
      </c>
      <c r="K150" s="1164">
        <f t="shared" si="99"/>
        <v>21328.760000000024</v>
      </c>
      <c r="L150" s="1164">
        <f t="shared" si="99"/>
        <v>31561.769999999997</v>
      </c>
      <c r="M150" s="1164">
        <f t="shared" si="99"/>
        <v>866273.71610275179</v>
      </c>
      <c r="N150" s="1147"/>
      <c r="O150" s="1164">
        <f>+SUM(O134:O149)</f>
        <v>885262.11112354556</v>
      </c>
      <c r="P150" s="1164">
        <f>+SUM(P134:P149)</f>
        <v>0</v>
      </c>
      <c r="Q150" s="1148">
        <f>+SUM(Q134:Q149)</f>
        <v>885262.11112354556</v>
      </c>
      <c r="S150" s="1148">
        <f>+SUM(S134:S149)</f>
        <v>18988.395020793731</v>
      </c>
    </row>
    <row r="151" spans="1:19" s="1158" customFormat="1" ht="12" thickBot="1">
      <c r="A151" s="1138"/>
      <c r="B151" s="1144"/>
      <c r="C151" s="1145"/>
      <c r="D151" s="1140"/>
      <c r="E151" s="1159"/>
      <c r="F151" s="1159"/>
      <c r="G151" s="1159"/>
      <c r="H151" s="1159"/>
      <c r="I151" s="1160"/>
      <c r="J151" s="1159"/>
      <c r="K151" s="1159"/>
      <c r="L151" s="1159"/>
      <c r="M151" s="1159"/>
      <c r="N151" s="1159"/>
      <c r="O151" s="1159"/>
      <c r="P151" s="1159"/>
      <c r="Q151" s="1135"/>
      <c r="R151" s="1091"/>
      <c r="S151" s="1161"/>
    </row>
    <row r="152" spans="1:19" s="1158" customFormat="1" ht="12.75" thickTop="1" thickBot="1">
      <c r="A152" s="1162"/>
      <c r="B152" s="1163" t="s">
        <v>2865</v>
      </c>
      <c r="C152" s="1127"/>
      <c r="D152" s="1128"/>
      <c r="E152" s="1159"/>
      <c r="F152" s="1159"/>
      <c r="G152" s="1159"/>
      <c r="H152" s="1159"/>
      <c r="I152" s="1160"/>
      <c r="J152" s="1159"/>
      <c r="K152" s="1159"/>
      <c r="L152" s="1159"/>
      <c r="M152" s="1159"/>
      <c r="N152" s="1159"/>
      <c r="O152" s="1159"/>
      <c r="P152" s="1159"/>
      <c r="Q152" s="1135"/>
      <c r="R152" s="1091"/>
      <c r="S152" s="1161"/>
    </row>
    <row r="153" spans="1:19" ht="12" thickTop="1">
      <c r="A153" s="1138">
        <v>2183</v>
      </c>
      <c r="B153" s="1139" t="s">
        <v>2866</v>
      </c>
      <c r="C153" s="1231" t="s">
        <v>3064</v>
      </c>
      <c r="D153" s="1140" t="s">
        <v>3065</v>
      </c>
      <c r="E153" s="1134">
        <v>27.330615384615271</v>
      </c>
      <c r="F153" s="1133">
        <v>2064</v>
      </c>
      <c r="G153" s="1141">
        <f t="shared" ref="G153" si="100">+IFERROR(E153*F153,0)</f>
        <v>56410.390153845918</v>
      </c>
      <c r="H153" s="1133">
        <v>0</v>
      </c>
      <c r="I153" s="1134">
        <f t="shared" ref="I153" si="101">+IFERROR(E153*1.5*H153,0)</f>
        <v>0</v>
      </c>
      <c r="J153" s="1134">
        <f t="shared" ref="J153" si="102">+G153+I153</f>
        <v>56410.390153845918</v>
      </c>
      <c r="K153" s="1133">
        <v>4810.0000000000045</v>
      </c>
      <c r="L153" s="1133">
        <v>2840.3</v>
      </c>
      <c r="M153" s="1133">
        <f t="shared" ref="M153" si="103">+L153+K153+J153</f>
        <v>64060.690153845921</v>
      </c>
      <c r="N153" s="1142">
        <f t="shared" ref="N153" si="104">+IF(R153="union",(1/E153),2.5%)</f>
        <v>2.5000000000000001E-2</v>
      </c>
      <c r="O153" s="1133">
        <f t="shared" ref="O153" si="105">+M153*(1+N153)</f>
        <v>65662.207407692069</v>
      </c>
      <c r="P153" s="1133">
        <f t="shared" ref="P153" si="106">+IF(R153="union",250,0)</f>
        <v>0</v>
      </c>
      <c r="Q153" s="1135">
        <f t="shared" ref="Q153" si="107">+O153+P153</f>
        <v>65662.207407692069</v>
      </c>
      <c r="S153" s="1092">
        <f t="shared" ref="S153" si="108">+O153-M153+P153</f>
        <v>1601.5172538461484</v>
      </c>
    </row>
    <row r="154" spans="1:19">
      <c r="A154" s="1138"/>
      <c r="B154" s="1153"/>
      <c r="C154" s="1154"/>
      <c r="D154" s="1140"/>
      <c r="E154" s="1133"/>
      <c r="F154" s="1133"/>
      <c r="G154" s="1133"/>
      <c r="H154" s="1133"/>
      <c r="I154" s="1134"/>
      <c r="J154" s="1133"/>
      <c r="K154" s="1133"/>
      <c r="L154" s="1133"/>
      <c r="M154" s="1133"/>
      <c r="N154" s="1133"/>
      <c r="O154" s="1133"/>
      <c r="P154" s="1133"/>
      <c r="Q154" s="1135"/>
    </row>
    <row r="155" spans="1:19">
      <c r="A155" s="1138"/>
      <c r="B155" s="1144"/>
      <c r="C155" s="1155" t="s">
        <v>2867</v>
      </c>
      <c r="D155" s="1140"/>
      <c r="E155" s="1147">
        <f t="shared" ref="E155:S155" si="109">+SUM(E153:E154)</f>
        <v>27.330615384615271</v>
      </c>
      <c r="F155" s="1147">
        <f t="shared" si="109"/>
        <v>2064</v>
      </c>
      <c r="G155" s="1147">
        <f t="shared" si="109"/>
        <v>56410.390153845918</v>
      </c>
      <c r="H155" s="1147">
        <f t="shared" si="109"/>
        <v>0</v>
      </c>
      <c r="I155" s="1164">
        <f t="shared" si="109"/>
        <v>0</v>
      </c>
      <c r="J155" s="1164">
        <f t="shared" si="109"/>
        <v>56410.390153845918</v>
      </c>
      <c r="K155" s="1164">
        <f t="shared" si="109"/>
        <v>4810.0000000000045</v>
      </c>
      <c r="L155" s="1164">
        <f t="shared" si="109"/>
        <v>2840.3</v>
      </c>
      <c r="M155" s="1164">
        <f t="shared" si="109"/>
        <v>64060.690153845921</v>
      </c>
      <c r="N155" s="1147"/>
      <c r="O155" s="1147">
        <f t="shared" si="109"/>
        <v>65662.207407692069</v>
      </c>
      <c r="P155" s="1147">
        <f t="shared" si="109"/>
        <v>0</v>
      </c>
      <c r="Q155" s="1148">
        <f t="shared" si="109"/>
        <v>65662.207407692069</v>
      </c>
      <c r="S155" s="1148">
        <f t="shared" si="109"/>
        <v>1601.5172538461484</v>
      </c>
    </row>
    <row r="156" spans="1:19" s="1166" customFormat="1" ht="12" thickBot="1">
      <c r="A156" s="1138"/>
      <c r="B156" s="1153"/>
      <c r="C156" s="1154"/>
      <c r="D156" s="1140"/>
      <c r="E156" s="1133"/>
      <c r="F156" s="1133"/>
      <c r="G156" s="1133"/>
      <c r="H156" s="1133"/>
      <c r="I156" s="1134"/>
      <c r="J156" s="1133"/>
      <c r="K156" s="1133"/>
      <c r="L156" s="1133"/>
      <c r="M156" s="1133"/>
      <c r="N156" s="1133"/>
      <c r="O156" s="1133"/>
      <c r="P156" s="1133"/>
      <c r="Q156" s="1135"/>
      <c r="R156" s="1091"/>
      <c r="S156" s="1165"/>
    </row>
    <row r="157" spans="1:19" s="1158" customFormat="1" ht="12.75" thickTop="1" thickBot="1">
      <c r="A157" s="1162"/>
      <c r="B157" s="1163" t="s">
        <v>2868</v>
      </c>
      <c r="C157" s="1127"/>
      <c r="D157" s="1128"/>
      <c r="E157" s="1159"/>
      <c r="F157" s="1159"/>
      <c r="G157" s="1159"/>
      <c r="H157" s="1159"/>
      <c r="I157" s="1160"/>
      <c r="J157" s="1159"/>
      <c r="K157" s="1159"/>
      <c r="L157" s="1159"/>
      <c r="M157" s="1159"/>
      <c r="N157" s="1159"/>
      <c r="O157" s="1159"/>
      <c r="P157" s="1159"/>
      <c r="Q157" s="1135"/>
      <c r="R157" s="1091"/>
      <c r="S157" s="1161"/>
    </row>
    <row r="158" spans="1:19" ht="12" thickTop="1">
      <c r="A158" s="1138">
        <v>2183</v>
      </c>
      <c r="B158" s="1139" t="s">
        <v>2869</v>
      </c>
      <c r="C158" s="1231" t="s">
        <v>3066</v>
      </c>
      <c r="D158" s="1140" t="s">
        <v>3067</v>
      </c>
      <c r="E158" s="1134">
        <v>15</v>
      </c>
      <c r="F158" s="1133">
        <v>174.1</v>
      </c>
      <c r="G158" s="1141">
        <f t="shared" ref="G158:G159" si="110">+IFERROR(E158*F158,0)</f>
        <v>2611.5</v>
      </c>
      <c r="H158" s="1133">
        <v>38.683335</v>
      </c>
      <c r="I158" s="1134">
        <f t="shared" ref="I158:I159" si="111">+IFERROR(E158*1.5*H158,0)</f>
        <v>870.37503749999996</v>
      </c>
      <c r="J158" s="1134">
        <f t="shared" ref="J158:J159" si="112">+G158+I158</f>
        <v>3481.8750375</v>
      </c>
      <c r="K158" s="1133">
        <v>0</v>
      </c>
      <c r="L158" s="1133">
        <v>0</v>
      </c>
      <c r="M158" s="1133">
        <f t="shared" ref="M158:M159" si="113">+L158+K158+J158</f>
        <v>3481.8750375</v>
      </c>
      <c r="N158" s="1142">
        <v>0</v>
      </c>
      <c r="O158" s="1133">
        <f t="shared" ref="O158:O159" si="114">+M158*(1+N158)</f>
        <v>3481.8750375</v>
      </c>
      <c r="P158" s="1133">
        <f t="shared" ref="P158:P159" si="115">+IF(R158="union",250,0)</f>
        <v>0</v>
      </c>
      <c r="Q158" s="1135">
        <f t="shared" ref="Q158:Q159" si="116">+O158+P158</f>
        <v>3481.8750375</v>
      </c>
      <c r="R158" s="1091" t="s">
        <v>2758</v>
      </c>
      <c r="S158" s="1092">
        <f t="shared" ref="S158:S159" si="117">+O158-M158+P158</f>
        <v>0</v>
      </c>
    </row>
    <row r="159" spans="1:19">
      <c r="A159" s="1138">
        <v>2183</v>
      </c>
      <c r="B159" s="1139" t="s">
        <v>2870</v>
      </c>
      <c r="C159" s="1231" t="s">
        <v>3068</v>
      </c>
      <c r="D159" s="1140" t="s">
        <v>3067</v>
      </c>
      <c r="E159" s="1134">
        <v>17</v>
      </c>
      <c r="F159" s="1133">
        <v>1598.349999</v>
      </c>
      <c r="G159" s="1141">
        <f t="shared" si="110"/>
        <v>27171.949982999999</v>
      </c>
      <c r="H159" s="1133">
        <v>15.283328999999998</v>
      </c>
      <c r="I159" s="1134">
        <f t="shared" si="111"/>
        <v>389.72488949999996</v>
      </c>
      <c r="J159" s="1134">
        <f t="shared" si="112"/>
        <v>27561.6748725</v>
      </c>
      <c r="K159" s="1133">
        <v>929.79000000000065</v>
      </c>
      <c r="L159" s="1133">
        <v>528</v>
      </c>
      <c r="M159" s="1133">
        <f t="shared" si="113"/>
        <v>29019.464872500001</v>
      </c>
      <c r="N159" s="1142">
        <f t="shared" ref="N159" si="118">+IF(R159="union",(1/E159),2.5%)</f>
        <v>2.5000000000000001E-2</v>
      </c>
      <c r="O159" s="1133">
        <f t="shared" si="114"/>
        <v>29744.9514943125</v>
      </c>
      <c r="P159" s="1133">
        <f t="shared" si="115"/>
        <v>0</v>
      </c>
      <c r="Q159" s="1135">
        <f t="shared" si="116"/>
        <v>29744.9514943125</v>
      </c>
      <c r="R159" s="1091" t="s">
        <v>2758</v>
      </c>
      <c r="S159" s="1092">
        <f t="shared" si="117"/>
        <v>725.48662181249892</v>
      </c>
    </row>
    <row r="160" spans="1:19">
      <c r="A160" s="1138"/>
      <c r="B160" s="1153"/>
      <c r="C160" s="1154"/>
      <c r="D160" s="1140"/>
      <c r="E160" s="1133"/>
      <c r="F160" s="1133"/>
      <c r="G160" s="1133"/>
      <c r="H160" s="1133"/>
      <c r="I160" s="1134"/>
      <c r="J160" s="1133"/>
      <c r="K160" s="1133"/>
      <c r="L160" s="1133"/>
      <c r="M160" s="1133"/>
      <c r="N160" s="1133"/>
      <c r="O160" s="1133"/>
      <c r="P160" s="1133"/>
      <c r="Q160" s="1135"/>
    </row>
    <row r="161" spans="1:19">
      <c r="A161" s="1138"/>
      <c r="B161" s="1144"/>
      <c r="C161" s="1155" t="s">
        <v>2871</v>
      </c>
      <c r="D161" s="1140"/>
      <c r="E161" s="1147">
        <f t="shared" ref="E161:M161" si="119">+SUM(E158:E160)</f>
        <v>32</v>
      </c>
      <c r="F161" s="1147">
        <f t="shared" si="119"/>
        <v>1772.4499989999999</v>
      </c>
      <c r="G161" s="1147">
        <f t="shared" si="119"/>
        <v>29783.449982999999</v>
      </c>
      <c r="H161" s="1147">
        <f t="shared" si="119"/>
        <v>53.966663999999994</v>
      </c>
      <c r="I161" s="1164">
        <f t="shared" si="119"/>
        <v>1260.099927</v>
      </c>
      <c r="J161" s="1164">
        <f t="shared" si="119"/>
        <v>31043.549910000002</v>
      </c>
      <c r="K161" s="1164">
        <f t="shared" si="119"/>
        <v>929.79000000000065</v>
      </c>
      <c r="L161" s="1164">
        <f t="shared" si="119"/>
        <v>528</v>
      </c>
      <c r="M161" s="1164">
        <f t="shared" si="119"/>
        <v>32501.339910000002</v>
      </c>
      <c r="N161" s="1147"/>
      <c r="O161" s="1147">
        <f>+SUM(O158:O160)</f>
        <v>33226.826531812498</v>
      </c>
      <c r="P161" s="1147">
        <f>+SUM(P158:P160)</f>
        <v>0</v>
      </c>
      <c r="Q161" s="1148">
        <f>+SUM(Q158:Q160)</f>
        <v>33226.826531812498</v>
      </c>
      <c r="S161" s="1148">
        <f>+SUM(S158:S160)</f>
        <v>725.48662181249892</v>
      </c>
    </row>
    <row r="162" spans="1:19">
      <c r="A162" s="1138"/>
      <c r="B162" s="1153"/>
      <c r="C162" s="1154"/>
      <c r="D162" s="1140"/>
      <c r="E162" s="1133"/>
      <c r="F162" s="1133"/>
      <c r="G162" s="1133"/>
      <c r="H162" s="1133"/>
      <c r="I162" s="1134"/>
      <c r="J162" s="1133"/>
      <c r="K162" s="1133"/>
      <c r="L162" s="1133"/>
      <c r="M162" s="1133"/>
      <c r="N162" s="1133"/>
      <c r="O162" s="1133"/>
      <c r="P162" s="1133"/>
      <c r="Q162" s="1135"/>
    </row>
    <row r="163" spans="1:19">
      <c r="A163" s="1138"/>
      <c r="B163" s="1153"/>
      <c r="C163" s="1154"/>
      <c r="D163" s="1140"/>
      <c r="E163" s="1133"/>
      <c r="F163" s="1133"/>
      <c r="G163" s="1133"/>
      <c r="H163" s="1133"/>
      <c r="I163" s="1134"/>
      <c r="J163" s="1133"/>
      <c r="K163" s="1133"/>
      <c r="L163" s="1133"/>
      <c r="M163" s="1133"/>
      <c r="N163" s="1133"/>
      <c r="O163" s="1133"/>
      <c r="P163" s="1133"/>
      <c r="Q163" s="1135"/>
    </row>
    <row r="164" spans="1:19">
      <c r="A164" s="1138"/>
      <c r="B164" s="1144"/>
      <c r="C164" s="1155"/>
      <c r="D164" s="1140"/>
      <c r="E164" s="1133"/>
      <c r="F164" s="1133"/>
      <c r="G164" s="1133"/>
      <c r="H164" s="1133"/>
      <c r="I164" s="1134"/>
      <c r="J164" s="1133"/>
      <c r="K164" s="1133"/>
      <c r="L164" s="1133"/>
      <c r="M164" s="1133"/>
      <c r="N164" s="1133"/>
      <c r="O164" s="1133"/>
      <c r="P164" s="1133"/>
      <c r="Q164" s="1135"/>
    </row>
    <row r="165" spans="1:19" s="1158" customFormat="1" ht="12" thickBot="1">
      <c r="A165" s="1138"/>
      <c r="B165" s="1144"/>
      <c r="C165" s="1145"/>
      <c r="D165" s="1140"/>
      <c r="E165" s="1159"/>
      <c r="F165" s="1159"/>
      <c r="G165" s="1159"/>
      <c r="H165" s="1159"/>
      <c r="I165" s="1160"/>
      <c r="J165" s="1159"/>
      <c r="K165" s="1159"/>
      <c r="L165" s="1159"/>
      <c r="M165" s="1159"/>
      <c r="N165" s="1159"/>
      <c r="O165" s="1159"/>
      <c r="P165" s="1159"/>
      <c r="Q165" s="1135"/>
      <c r="R165" s="1091"/>
      <c r="S165" s="1161"/>
    </row>
    <row r="166" spans="1:19" s="1158" customFormat="1" ht="12.75" thickTop="1" thickBot="1">
      <c r="A166" s="1162"/>
      <c r="B166" s="1163" t="s">
        <v>2872</v>
      </c>
      <c r="C166" s="1127"/>
      <c r="D166" s="1128"/>
      <c r="E166" s="1159"/>
      <c r="F166" s="1159"/>
      <c r="G166" s="1159"/>
      <c r="H166" s="1159"/>
      <c r="I166" s="1160"/>
      <c r="J166" s="1159"/>
      <c r="K166" s="1159"/>
      <c r="L166" s="1159"/>
      <c r="M166" s="1159"/>
      <c r="N166" s="1159"/>
      <c r="O166" s="1159"/>
      <c r="P166" s="1159"/>
      <c r="Q166" s="1135"/>
      <c r="R166" s="1091"/>
      <c r="S166" s="1161"/>
    </row>
    <row r="167" spans="1:19" ht="12" thickTop="1">
      <c r="A167" s="1138">
        <v>2183</v>
      </c>
      <c r="B167" s="1139" t="s">
        <v>2873</v>
      </c>
      <c r="C167" s="1231" t="s">
        <v>3069</v>
      </c>
      <c r="D167" s="1140" t="s">
        <v>2906</v>
      </c>
      <c r="E167" s="1134">
        <v>21.600000000000218</v>
      </c>
      <c r="F167" s="1133">
        <v>2102.4866680000005</v>
      </c>
      <c r="G167" s="1141">
        <f t="shared" ref="G167:G201" si="120">+IFERROR(E167*F167,0)</f>
        <v>45413.712028800466</v>
      </c>
      <c r="H167" s="1133">
        <v>305.66667400000006</v>
      </c>
      <c r="I167" s="1134">
        <f t="shared" ref="I167:I201" si="121">+IFERROR(E167*1.5*H167,0)</f>
        <v>9903.6002376001015</v>
      </c>
      <c r="J167" s="1134">
        <f t="shared" ref="J167:J201" si="122">+G167+I167</f>
        <v>55317.312266400564</v>
      </c>
      <c r="K167" s="1133">
        <v>635</v>
      </c>
      <c r="L167" s="1133">
        <v>1190.4000000000001</v>
      </c>
      <c r="M167" s="1133">
        <f t="shared" ref="M167:M201" si="123">+L167+K167+J167</f>
        <v>57142.712266400566</v>
      </c>
      <c r="N167" s="1142">
        <f t="shared" ref="N167:N200" si="124">+IF(R167="union",(1/E167),2.5%)</f>
        <v>2.5000000000000001E-2</v>
      </c>
      <c r="O167" s="1133">
        <f t="shared" ref="O167:O201" si="125">+M167*(1+N167)</f>
        <v>58571.280073060574</v>
      </c>
      <c r="P167" s="1133">
        <f t="shared" ref="P167:P201" si="126">+IF(R167="union",250,0)</f>
        <v>0</v>
      </c>
      <c r="Q167" s="1135">
        <f t="shared" ref="Q167:Q201" si="127">+O167+P167</f>
        <v>58571.280073060574</v>
      </c>
      <c r="S167" s="1092">
        <f t="shared" ref="S167:S201" si="128">+O167-M167+P167</f>
        <v>1428.5678066600085</v>
      </c>
    </row>
    <row r="168" spans="1:19">
      <c r="A168" s="1138">
        <v>2183</v>
      </c>
      <c r="B168" s="1139" t="s">
        <v>2874</v>
      </c>
      <c r="C168" s="1231" t="s">
        <v>3070</v>
      </c>
      <c r="D168" s="1140" t="s">
        <v>3071</v>
      </c>
      <c r="E168" s="1134">
        <v>61.736774038461853</v>
      </c>
      <c r="F168" s="1133">
        <v>2072</v>
      </c>
      <c r="G168" s="1141">
        <f t="shared" si="120"/>
        <v>127918.59580769295</v>
      </c>
      <c r="H168" s="1133">
        <v>0</v>
      </c>
      <c r="I168" s="1134">
        <f t="shared" si="121"/>
        <v>0</v>
      </c>
      <c r="J168" s="1134">
        <f t="shared" si="122"/>
        <v>127918.59580769295</v>
      </c>
      <c r="K168" s="1133">
        <v>0</v>
      </c>
      <c r="L168" s="1133">
        <v>9165.44</v>
      </c>
      <c r="M168" s="1133">
        <f t="shared" si="123"/>
        <v>137084.03580769294</v>
      </c>
      <c r="N168" s="1142">
        <f t="shared" si="124"/>
        <v>2.5000000000000001E-2</v>
      </c>
      <c r="O168" s="1133">
        <f t="shared" si="125"/>
        <v>140511.13670288524</v>
      </c>
      <c r="P168" s="1133">
        <f t="shared" si="126"/>
        <v>0</v>
      </c>
      <c r="Q168" s="1135">
        <f t="shared" si="127"/>
        <v>140511.13670288524</v>
      </c>
      <c r="S168" s="1092">
        <f t="shared" si="128"/>
        <v>3427.1008951922995</v>
      </c>
    </row>
    <row r="169" spans="1:19">
      <c r="A169" s="1138">
        <v>2183</v>
      </c>
      <c r="B169" s="1139" t="s">
        <v>2875</v>
      </c>
      <c r="C169" s="1231" t="s">
        <v>3072</v>
      </c>
      <c r="D169" s="1140" t="s">
        <v>3073</v>
      </c>
      <c r="E169" s="1134">
        <v>27.001971153846334</v>
      </c>
      <c r="F169" s="1133">
        <v>2064</v>
      </c>
      <c r="G169" s="1141">
        <f t="shared" si="120"/>
        <v>55732.068461538831</v>
      </c>
      <c r="H169" s="1133">
        <v>0</v>
      </c>
      <c r="I169" s="1134">
        <f t="shared" si="121"/>
        <v>0</v>
      </c>
      <c r="J169" s="1134">
        <f t="shared" si="122"/>
        <v>55732.068461538831</v>
      </c>
      <c r="K169" s="1133">
        <v>0</v>
      </c>
      <c r="L169" s="1133">
        <v>5795.6500000000005</v>
      </c>
      <c r="M169" s="1133">
        <f t="shared" si="123"/>
        <v>61527.718461538832</v>
      </c>
      <c r="N169" s="1142">
        <f t="shared" si="124"/>
        <v>2.5000000000000001E-2</v>
      </c>
      <c r="O169" s="1133">
        <f t="shared" si="125"/>
        <v>63065.911423077298</v>
      </c>
      <c r="P169" s="1133">
        <f t="shared" si="126"/>
        <v>0</v>
      </c>
      <c r="Q169" s="1135">
        <f t="shared" si="127"/>
        <v>63065.911423077298</v>
      </c>
      <c r="S169" s="1092">
        <f t="shared" si="128"/>
        <v>1538.1929615384652</v>
      </c>
    </row>
    <row r="170" spans="1:19">
      <c r="A170" s="1138">
        <v>2183</v>
      </c>
      <c r="B170" s="1139" t="s">
        <v>2876</v>
      </c>
      <c r="C170" s="1231" t="s">
        <v>3074</v>
      </c>
      <c r="D170" s="1140" t="s">
        <v>3075</v>
      </c>
      <c r="E170" s="1134">
        <v>31.774826923077125</v>
      </c>
      <c r="F170" s="1133">
        <v>2144</v>
      </c>
      <c r="G170" s="1141">
        <f t="shared" si="120"/>
        <v>68125.22892307736</v>
      </c>
      <c r="H170" s="1133">
        <v>0</v>
      </c>
      <c r="I170" s="1134">
        <f t="shared" si="121"/>
        <v>0</v>
      </c>
      <c r="J170" s="1134">
        <f t="shared" si="122"/>
        <v>68125.22892307736</v>
      </c>
      <c r="K170" s="1133">
        <v>0</v>
      </c>
      <c r="L170" s="1133">
        <v>2738.97</v>
      </c>
      <c r="M170" s="1133">
        <f t="shared" si="123"/>
        <v>70864.198923077362</v>
      </c>
      <c r="N170" s="1142">
        <f t="shared" si="124"/>
        <v>2.5000000000000001E-2</v>
      </c>
      <c r="O170" s="1133">
        <f t="shared" si="125"/>
        <v>72635.803896154292</v>
      </c>
      <c r="P170" s="1133">
        <f t="shared" si="126"/>
        <v>0</v>
      </c>
      <c r="Q170" s="1135">
        <f t="shared" si="127"/>
        <v>72635.803896154292</v>
      </c>
      <c r="S170" s="1092">
        <f t="shared" si="128"/>
        <v>1771.60497307693</v>
      </c>
    </row>
    <row r="171" spans="1:19">
      <c r="A171" s="1138">
        <v>2183</v>
      </c>
      <c r="B171" s="1139" t="s">
        <v>2877</v>
      </c>
      <c r="C171" s="1231" t="s">
        <v>3076</v>
      </c>
      <c r="D171" s="1140" t="s">
        <v>3077</v>
      </c>
      <c r="E171" s="1134">
        <v>21.100000000000172</v>
      </c>
      <c r="F171" s="1133">
        <v>1215.196668</v>
      </c>
      <c r="G171" s="1141">
        <f t="shared" si="120"/>
        <v>25640.64969480021</v>
      </c>
      <c r="H171" s="1133">
        <v>22.699999000000002</v>
      </c>
      <c r="I171" s="1134">
        <f t="shared" si="121"/>
        <v>718.45496835000586</v>
      </c>
      <c r="J171" s="1134">
        <f t="shared" si="122"/>
        <v>26359.104663150214</v>
      </c>
      <c r="K171" s="1133">
        <v>0</v>
      </c>
      <c r="L171" s="1133">
        <v>506.4</v>
      </c>
      <c r="M171" s="1133">
        <f t="shared" si="123"/>
        <v>26865.504663150215</v>
      </c>
      <c r="N171" s="1142">
        <v>0</v>
      </c>
      <c r="O171" s="1133">
        <f t="shared" si="125"/>
        <v>26865.504663150215</v>
      </c>
      <c r="P171" s="1133">
        <f t="shared" si="126"/>
        <v>0</v>
      </c>
      <c r="Q171" s="1135">
        <f t="shared" si="127"/>
        <v>26865.504663150215</v>
      </c>
      <c r="S171" s="1092">
        <f t="shared" si="128"/>
        <v>0</v>
      </c>
    </row>
    <row r="172" spans="1:19">
      <c r="A172" s="1138">
        <v>2183</v>
      </c>
      <c r="B172" s="1139" t="s">
        <v>2878</v>
      </c>
      <c r="C172" s="1231" t="s">
        <v>3078</v>
      </c>
      <c r="D172" s="1140" t="s">
        <v>3079</v>
      </c>
      <c r="E172" s="1134">
        <v>41.22596153846154</v>
      </c>
      <c r="F172" s="1133">
        <v>2064</v>
      </c>
      <c r="G172" s="1141">
        <f t="shared" si="120"/>
        <v>85090.384615384624</v>
      </c>
      <c r="H172" s="1133">
        <v>0</v>
      </c>
      <c r="I172" s="1134">
        <f t="shared" si="121"/>
        <v>0</v>
      </c>
      <c r="J172" s="1134">
        <f t="shared" si="122"/>
        <v>85090.384615384624</v>
      </c>
      <c r="K172" s="1133">
        <v>0</v>
      </c>
      <c r="L172" s="1133">
        <v>3869.66</v>
      </c>
      <c r="M172" s="1133">
        <f t="shared" si="123"/>
        <v>88960.044615384628</v>
      </c>
      <c r="N172" s="1142">
        <f t="shared" si="124"/>
        <v>2.5000000000000001E-2</v>
      </c>
      <c r="O172" s="1133">
        <f t="shared" si="125"/>
        <v>91184.045730769241</v>
      </c>
      <c r="P172" s="1133">
        <f t="shared" si="126"/>
        <v>0</v>
      </c>
      <c r="Q172" s="1135">
        <f t="shared" si="127"/>
        <v>91184.045730769241</v>
      </c>
      <c r="S172" s="1092">
        <f t="shared" si="128"/>
        <v>2224.0011153846135</v>
      </c>
    </row>
    <row r="173" spans="1:19" s="1166" customFormat="1">
      <c r="A173" s="1138">
        <v>2183</v>
      </c>
      <c r="B173" s="1139" t="s">
        <v>2879</v>
      </c>
      <c r="C173" s="1231" t="s">
        <v>3080</v>
      </c>
      <c r="D173" s="1140" t="s">
        <v>2906</v>
      </c>
      <c r="E173" s="1134">
        <v>17.300000000000125</v>
      </c>
      <c r="F173" s="1133">
        <v>1921.0880300000003</v>
      </c>
      <c r="G173" s="1141">
        <f t="shared" si="120"/>
        <v>33234.822919000246</v>
      </c>
      <c r="H173" s="1133">
        <v>147.30000199999998</v>
      </c>
      <c r="I173" s="1134">
        <f t="shared" si="121"/>
        <v>3822.4350519000272</v>
      </c>
      <c r="J173" s="1134">
        <f t="shared" si="122"/>
        <v>37057.257970900275</v>
      </c>
      <c r="K173" s="1133">
        <v>470</v>
      </c>
      <c r="L173" s="1133">
        <v>415.20000000000005</v>
      </c>
      <c r="M173" s="1133">
        <f t="shared" si="123"/>
        <v>37942.457970900272</v>
      </c>
      <c r="N173" s="1142">
        <v>0</v>
      </c>
      <c r="O173" s="1133">
        <f t="shared" si="125"/>
        <v>37942.457970900272</v>
      </c>
      <c r="P173" s="1133">
        <f t="shared" si="126"/>
        <v>0</v>
      </c>
      <c r="Q173" s="1135">
        <f t="shared" si="127"/>
        <v>37942.457970900272</v>
      </c>
      <c r="R173" s="1091"/>
      <c r="S173" s="1092">
        <f t="shared" si="128"/>
        <v>0</v>
      </c>
    </row>
    <row r="174" spans="1:19" s="1166" customFormat="1">
      <c r="A174" s="1138">
        <v>2183</v>
      </c>
      <c r="B174" s="1139" t="s">
        <v>2880</v>
      </c>
      <c r="C174" s="1231" t="s">
        <v>3081</v>
      </c>
      <c r="D174" s="1140" t="s">
        <v>2906</v>
      </c>
      <c r="E174" s="1134">
        <v>18.799999999999983</v>
      </c>
      <c r="F174" s="1133">
        <v>2070.816675</v>
      </c>
      <c r="G174" s="1141">
        <f t="shared" si="120"/>
        <v>38931.353489999965</v>
      </c>
      <c r="H174" s="1133">
        <v>152.933336</v>
      </c>
      <c r="I174" s="1134">
        <f t="shared" si="121"/>
        <v>4312.7200751999962</v>
      </c>
      <c r="J174" s="1134">
        <f t="shared" si="122"/>
        <v>43244.073565199964</v>
      </c>
      <c r="K174" s="1133">
        <v>0</v>
      </c>
      <c r="L174" s="1133">
        <v>743.2</v>
      </c>
      <c r="M174" s="1133">
        <f t="shared" si="123"/>
        <v>43987.273565199961</v>
      </c>
      <c r="N174" s="1142">
        <f t="shared" si="124"/>
        <v>2.5000000000000001E-2</v>
      </c>
      <c r="O174" s="1133">
        <f t="shared" si="125"/>
        <v>45086.955404329958</v>
      </c>
      <c r="P174" s="1133">
        <f t="shared" si="126"/>
        <v>0</v>
      </c>
      <c r="Q174" s="1135">
        <f t="shared" si="127"/>
        <v>45086.955404329958</v>
      </c>
      <c r="R174" s="1091"/>
      <c r="S174" s="1092">
        <f t="shared" si="128"/>
        <v>1099.6818391299967</v>
      </c>
    </row>
    <row r="175" spans="1:19">
      <c r="A175" s="1138">
        <v>2183</v>
      </c>
      <c r="B175" s="1139" t="s">
        <v>2881</v>
      </c>
      <c r="C175" s="1231" t="s">
        <v>3082</v>
      </c>
      <c r="D175" s="1140" t="s">
        <v>3083</v>
      </c>
      <c r="E175" s="1134">
        <v>18</v>
      </c>
      <c r="F175" s="1133">
        <v>2074.4666699999998</v>
      </c>
      <c r="G175" s="1141">
        <f t="shared" si="120"/>
        <v>37340.40006</v>
      </c>
      <c r="H175" s="1133">
        <v>53.566665999999998</v>
      </c>
      <c r="I175" s="1134">
        <f t="shared" si="121"/>
        <v>1446.299982</v>
      </c>
      <c r="J175" s="1134">
        <f t="shared" si="122"/>
        <v>38786.700041999997</v>
      </c>
      <c r="K175" s="1133">
        <v>0</v>
      </c>
      <c r="L175" s="1133">
        <v>414.4</v>
      </c>
      <c r="M175" s="1133">
        <f t="shared" si="123"/>
        <v>39201.100041999998</v>
      </c>
      <c r="N175" s="1142">
        <f t="shared" si="124"/>
        <v>2.5000000000000001E-2</v>
      </c>
      <c r="O175" s="1133">
        <f t="shared" si="125"/>
        <v>40181.127543049995</v>
      </c>
      <c r="P175" s="1133">
        <f t="shared" si="126"/>
        <v>0</v>
      </c>
      <c r="Q175" s="1135">
        <f t="shared" si="127"/>
        <v>40181.127543049995</v>
      </c>
      <c r="S175" s="1092">
        <f t="shared" si="128"/>
        <v>980.02750104999723</v>
      </c>
    </row>
    <row r="176" spans="1:19">
      <c r="A176" s="1138">
        <v>2183</v>
      </c>
      <c r="B176" s="1139" t="s">
        <v>2882</v>
      </c>
      <c r="C176" s="1231" t="s">
        <v>3084</v>
      </c>
      <c r="D176" s="1140" t="s">
        <v>2906</v>
      </c>
      <c r="E176" s="1134">
        <v>17</v>
      </c>
      <c r="F176" s="1133">
        <v>901.40667000000008</v>
      </c>
      <c r="G176" s="1141">
        <f t="shared" si="120"/>
        <v>15323.913390000002</v>
      </c>
      <c r="H176" s="1133">
        <v>41.066664000000003</v>
      </c>
      <c r="I176" s="1134">
        <f t="shared" si="121"/>
        <v>1047.199932</v>
      </c>
      <c r="J176" s="1134">
        <f t="shared" si="122"/>
        <v>16371.113322000001</v>
      </c>
      <c r="K176" s="1133">
        <v>335</v>
      </c>
      <c r="L176" s="1133">
        <v>0</v>
      </c>
      <c r="M176" s="1133">
        <f t="shared" si="123"/>
        <v>16706.113322000001</v>
      </c>
      <c r="N176" s="1142">
        <v>0</v>
      </c>
      <c r="O176" s="1133">
        <f t="shared" si="125"/>
        <v>16706.113322000001</v>
      </c>
      <c r="P176" s="1133">
        <f t="shared" si="126"/>
        <v>0</v>
      </c>
      <c r="Q176" s="1135">
        <f t="shared" si="127"/>
        <v>16706.113322000001</v>
      </c>
      <c r="S176" s="1092">
        <f t="shared" si="128"/>
        <v>0</v>
      </c>
    </row>
    <row r="177" spans="1:19">
      <c r="A177" s="1138">
        <v>2183</v>
      </c>
      <c r="B177" s="1139" t="s">
        <v>2883</v>
      </c>
      <c r="C177" s="1231" t="s">
        <v>3085</v>
      </c>
      <c r="D177" s="1140" t="s">
        <v>2906</v>
      </c>
      <c r="E177" s="1134">
        <v>17</v>
      </c>
      <c r="F177" s="1133">
        <v>2092.5199969999999</v>
      </c>
      <c r="G177" s="1141">
        <f t="shared" si="120"/>
        <v>35572.839949000001</v>
      </c>
      <c r="H177" s="1133">
        <v>166.43333200000004</v>
      </c>
      <c r="I177" s="1134">
        <f t="shared" si="121"/>
        <v>4244.0499660000005</v>
      </c>
      <c r="J177" s="1134">
        <f t="shared" si="122"/>
        <v>39816.889915</v>
      </c>
      <c r="K177" s="1133">
        <v>605</v>
      </c>
      <c r="L177" s="1133">
        <v>272</v>
      </c>
      <c r="M177" s="1133">
        <f t="shared" si="123"/>
        <v>40693.889915</v>
      </c>
      <c r="N177" s="1142">
        <f t="shared" si="124"/>
        <v>2.5000000000000001E-2</v>
      </c>
      <c r="O177" s="1133">
        <f t="shared" si="125"/>
        <v>41711.237162874997</v>
      </c>
      <c r="P177" s="1133">
        <f t="shared" si="126"/>
        <v>0</v>
      </c>
      <c r="Q177" s="1135">
        <f t="shared" si="127"/>
        <v>41711.237162874997</v>
      </c>
      <c r="S177" s="1092">
        <f t="shared" si="128"/>
        <v>1017.3472478749973</v>
      </c>
    </row>
    <row r="178" spans="1:19">
      <c r="A178" s="1138">
        <v>2183</v>
      </c>
      <c r="B178" s="1139" t="s">
        <v>2884</v>
      </c>
      <c r="C178" s="1231" t="s">
        <v>3086</v>
      </c>
      <c r="D178" s="1140" t="s">
        <v>2906</v>
      </c>
      <c r="E178" s="1134">
        <v>16.5</v>
      </c>
      <c r="F178" s="1133">
        <v>1006.1666649999999</v>
      </c>
      <c r="G178" s="1141">
        <f t="shared" si="120"/>
        <v>16601.749972499998</v>
      </c>
      <c r="H178" s="1133">
        <v>53.116672000000001</v>
      </c>
      <c r="I178" s="1134">
        <f t="shared" si="121"/>
        <v>1314.6376319999999</v>
      </c>
      <c r="J178" s="1134">
        <f t="shared" si="122"/>
        <v>17916.3876045</v>
      </c>
      <c r="K178" s="1133">
        <v>1004.9999999999998</v>
      </c>
      <c r="L178" s="1133">
        <v>0</v>
      </c>
      <c r="M178" s="1133">
        <f t="shared" si="123"/>
        <v>18921.3876045</v>
      </c>
      <c r="N178" s="1142">
        <v>0</v>
      </c>
      <c r="O178" s="1133">
        <f t="shared" si="125"/>
        <v>18921.3876045</v>
      </c>
      <c r="P178" s="1133">
        <f t="shared" si="126"/>
        <v>0</v>
      </c>
      <c r="Q178" s="1135">
        <f t="shared" si="127"/>
        <v>18921.3876045</v>
      </c>
      <c r="S178" s="1092">
        <f t="shared" si="128"/>
        <v>0</v>
      </c>
    </row>
    <row r="179" spans="1:19">
      <c r="A179" s="1138">
        <v>2183</v>
      </c>
      <c r="B179" s="1139" t="s">
        <v>2885</v>
      </c>
      <c r="C179" s="1231" t="s">
        <v>3087</v>
      </c>
      <c r="D179" s="1140" t="s">
        <v>3088</v>
      </c>
      <c r="E179" s="1134">
        <v>17</v>
      </c>
      <c r="F179" s="1133">
        <v>1476.8366699999999</v>
      </c>
      <c r="G179" s="1141">
        <f t="shared" si="120"/>
        <v>25106.223389999999</v>
      </c>
      <c r="H179" s="1133">
        <v>145.03333899999996</v>
      </c>
      <c r="I179" s="1134">
        <f t="shared" si="121"/>
        <v>3698.3501444999988</v>
      </c>
      <c r="J179" s="1134">
        <f t="shared" si="122"/>
        <v>28804.573534499999</v>
      </c>
      <c r="K179" s="1133">
        <v>0</v>
      </c>
      <c r="L179" s="1133">
        <v>1360</v>
      </c>
      <c r="M179" s="1133">
        <f t="shared" si="123"/>
        <v>30164.573534499999</v>
      </c>
      <c r="N179" s="1142">
        <v>0</v>
      </c>
      <c r="O179" s="1133">
        <f t="shared" si="125"/>
        <v>30164.573534499999</v>
      </c>
      <c r="P179" s="1133">
        <f t="shared" si="126"/>
        <v>0</v>
      </c>
      <c r="Q179" s="1135">
        <f t="shared" si="127"/>
        <v>30164.573534499999</v>
      </c>
      <c r="S179" s="1092">
        <f t="shared" si="128"/>
        <v>0</v>
      </c>
    </row>
    <row r="180" spans="1:19">
      <c r="A180" s="1138">
        <v>2183</v>
      </c>
      <c r="B180" s="1139" t="s">
        <v>2886</v>
      </c>
      <c r="C180" s="1231" t="s">
        <v>3089</v>
      </c>
      <c r="D180" s="1140" t="s">
        <v>2906</v>
      </c>
      <c r="E180" s="1134">
        <v>15.5</v>
      </c>
      <c r="F180" s="1133">
        <v>1623.416665</v>
      </c>
      <c r="G180" s="1141">
        <f t="shared" si="120"/>
        <v>25162.958307500001</v>
      </c>
      <c r="H180" s="1133">
        <v>68.316665999999998</v>
      </c>
      <c r="I180" s="1134">
        <f t="shared" si="121"/>
        <v>1588.3624844999999</v>
      </c>
      <c r="J180" s="1134">
        <f t="shared" si="122"/>
        <v>26751.320792000002</v>
      </c>
      <c r="K180" s="1133">
        <v>470</v>
      </c>
      <c r="L180" s="1133">
        <v>515.22</v>
      </c>
      <c r="M180" s="1133">
        <f t="shared" si="123"/>
        <v>27736.540792000003</v>
      </c>
      <c r="N180" s="1142">
        <v>0</v>
      </c>
      <c r="O180" s="1133">
        <f t="shared" si="125"/>
        <v>27736.540792000003</v>
      </c>
      <c r="P180" s="1133">
        <f t="shared" si="126"/>
        <v>0</v>
      </c>
      <c r="Q180" s="1135">
        <f t="shared" si="127"/>
        <v>27736.540792000003</v>
      </c>
      <c r="S180" s="1092">
        <f t="shared" si="128"/>
        <v>0</v>
      </c>
    </row>
    <row r="181" spans="1:19">
      <c r="A181" s="1138">
        <v>2183</v>
      </c>
      <c r="B181" s="1139" t="s">
        <v>2887</v>
      </c>
      <c r="C181" s="1231" t="s">
        <v>3090</v>
      </c>
      <c r="D181" s="1140" t="s">
        <v>2906</v>
      </c>
      <c r="E181" s="1134">
        <v>16.5</v>
      </c>
      <c r="F181" s="1133">
        <v>2004.916671</v>
      </c>
      <c r="G181" s="1141">
        <f t="shared" si="120"/>
        <v>33081.125071499999</v>
      </c>
      <c r="H181" s="1133">
        <v>112.39999999999998</v>
      </c>
      <c r="I181" s="1134">
        <f t="shared" si="121"/>
        <v>2781.8999999999996</v>
      </c>
      <c r="J181" s="1134">
        <f t="shared" si="122"/>
        <v>35863.0250715</v>
      </c>
      <c r="K181" s="1133">
        <v>940</v>
      </c>
      <c r="L181" s="1133">
        <v>372</v>
      </c>
      <c r="M181" s="1133">
        <f t="shared" si="123"/>
        <v>37175.0250715</v>
      </c>
      <c r="N181" s="1142">
        <f t="shared" si="124"/>
        <v>2.5000000000000001E-2</v>
      </c>
      <c r="O181" s="1133">
        <f t="shared" si="125"/>
        <v>38104.4006982875</v>
      </c>
      <c r="P181" s="1133">
        <f t="shared" si="126"/>
        <v>0</v>
      </c>
      <c r="Q181" s="1135">
        <f t="shared" si="127"/>
        <v>38104.4006982875</v>
      </c>
      <c r="S181" s="1092">
        <f t="shared" si="128"/>
        <v>929.37562678749964</v>
      </c>
    </row>
    <row r="182" spans="1:19">
      <c r="A182" s="1138">
        <v>2183</v>
      </c>
      <c r="B182" s="1139" t="s">
        <v>2888</v>
      </c>
      <c r="C182" s="1231" t="s">
        <v>3091</v>
      </c>
      <c r="D182" s="1140" t="s">
        <v>2906</v>
      </c>
      <c r="E182" s="1134">
        <v>16</v>
      </c>
      <c r="F182" s="1133">
        <v>2138.5000039999995</v>
      </c>
      <c r="G182" s="1141">
        <f t="shared" si="120"/>
        <v>34216.000063999993</v>
      </c>
      <c r="H182" s="1133">
        <v>140.84999900000003</v>
      </c>
      <c r="I182" s="1134">
        <f t="shared" si="121"/>
        <v>3380.3999760000006</v>
      </c>
      <c r="J182" s="1134">
        <f t="shared" si="122"/>
        <v>37596.400039999993</v>
      </c>
      <c r="K182" s="1133">
        <v>0</v>
      </c>
      <c r="L182" s="1133">
        <v>128</v>
      </c>
      <c r="M182" s="1133">
        <f t="shared" si="123"/>
        <v>37724.400039999993</v>
      </c>
      <c r="N182" s="1142">
        <f t="shared" si="124"/>
        <v>2.5000000000000001E-2</v>
      </c>
      <c r="O182" s="1133">
        <f t="shared" si="125"/>
        <v>38667.510040999987</v>
      </c>
      <c r="P182" s="1133">
        <f t="shared" si="126"/>
        <v>0</v>
      </c>
      <c r="Q182" s="1135">
        <f t="shared" si="127"/>
        <v>38667.510040999987</v>
      </c>
      <c r="S182" s="1092">
        <f t="shared" si="128"/>
        <v>943.11000099999364</v>
      </c>
    </row>
    <row r="183" spans="1:19">
      <c r="A183" s="1138">
        <v>2183</v>
      </c>
      <c r="B183" s="1139" t="s">
        <v>2889</v>
      </c>
      <c r="C183" s="1231" t="s">
        <v>3092</v>
      </c>
      <c r="D183" s="1140" t="s">
        <v>3079</v>
      </c>
      <c r="E183" s="1134">
        <v>34.495192307692307</v>
      </c>
      <c r="F183" s="1133">
        <v>2064</v>
      </c>
      <c r="G183" s="1141">
        <f t="shared" si="120"/>
        <v>71198.076923076922</v>
      </c>
      <c r="H183" s="1133">
        <v>0</v>
      </c>
      <c r="I183" s="1134">
        <f t="shared" si="121"/>
        <v>0</v>
      </c>
      <c r="J183" s="1134">
        <f t="shared" si="122"/>
        <v>71198.076923076922</v>
      </c>
      <c r="K183" s="1133">
        <v>0</v>
      </c>
      <c r="L183" s="1133">
        <v>617.8599999999999</v>
      </c>
      <c r="M183" s="1133">
        <f t="shared" si="123"/>
        <v>71815.936923076923</v>
      </c>
      <c r="N183" s="1142">
        <f t="shared" si="124"/>
        <v>2.5000000000000001E-2</v>
      </c>
      <c r="O183" s="1133">
        <f t="shared" si="125"/>
        <v>73611.335346153835</v>
      </c>
      <c r="P183" s="1133">
        <f t="shared" si="126"/>
        <v>0</v>
      </c>
      <c r="Q183" s="1135">
        <f t="shared" si="127"/>
        <v>73611.335346153835</v>
      </c>
      <c r="S183" s="1092">
        <f t="shared" si="128"/>
        <v>1795.3984230769129</v>
      </c>
    </row>
    <row r="184" spans="1:19">
      <c r="A184" s="1138">
        <v>2183</v>
      </c>
      <c r="B184" s="1139" t="s">
        <v>2890</v>
      </c>
      <c r="C184" s="1231" t="s">
        <v>3093</v>
      </c>
      <c r="D184" s="1140" t="s">
        <v>3077</v>
      </c>
      <c r="E184" s="1134">
        <v>17.5</v>
      </c>
      <c r="F184" s="1133">
        <v>2077.4533329999999</v>
      </c>
      <c r="G184" s="1141">
        <f t="shared" si="120"/>
        <v>36355.433327499995</v>
      </c>
      <c r="H184" s="1133">
        <v>43.083339999999993</v>
      </c>
      <c r="I184" s="1134">
        <f t="shared" si="121"/>
        <v>1130.9376749999999</v>
      </c>
      <c r="J184" s="1134">
        <f t="shared" si="122"/>
        <v>37486.371002499996</v>
      </c>
      <c r="K184" s="1133">
        <v>0</v>
      </c>
      <c r="L184" s="1133">
        <v>272</v>
      </c>
      <c r="M184" s="1133">
        <f t="shared" si="123"/>
        <v>37758.371002499996</v>
      </c>
      <c r="N184" s="1142">
        <f t="shared" si="124"/>
        <v>2.5000000000000001E-2</v>
      </c>
      <c r="O184" s="1133">
        <f t="shared" si="125"/>
        <v>38702.330277562491</v>
      </c>
      <c r="P184" s="1133">
        <f t="shared" si="126"/>
        <v>0</v>
      </c>
      <c r="Q184" s="1135">
        <f t="shared" si="127"/>
        <v>38702.330277562491</v>
      </c>
      <c r="S184" s="1092">
        <f t="shared" si="128"/>
        <v>943.95927506249427</v>
      </c>
    </row>
    <row r="185" spans="1:19">
      <c r="A185" s="1138">
        <v>2183</v>
      </c>
      <c r="B185" s="1139" t="s">
        <v>2891</v>
      </c>
      <c r="C185" s="1231" t="s">
        <v>3094</v>
      </c>
      <c r="D185" s="1140" t="s">
        <v>2906</v>
      </c>
      <c r="E185" s="1134">
        <v>16</v>
      </c>
      <c r="F185" s="1133">
        <v>2093.3000009999996</v>
      </c>
      <c r="G185" s="1141">
        <f t="shared" si="120"/>
        <v>33492.800015999994</v>
      </c>
      <c r="H185" s="1133">
        <v>174.10001099999999</v>
      </c>
      <c r="I185" s="1134">
        <f t="shared" si="121"/>
        <v>4178.4002639999999</v>
      </c>
      <c r="J185" s="1134">
        <f t="shared" si="122"/>
        <v>37671.20027999999</v>
      </c>
      <c r="K185" s="1133">
        <v>470</v>
      </c>
      <c r="L185" s="1133">
        <v>368</v>
      </c>
      <c r="M185" s="1133">
        <f t="shared" si="123"/>
        <v>38509.20027999999</v>
      </c>
      <c r="N185" s="1142">
        <f t="shared" si="124"/>
        <v>2.5000000000000001E-2</v>
      </c>
      <c r="O185" s="1133">
        <f t="shared" si="125"/>
        <v>39471.930286999988</v>
      </c>
      <c r="P185" s="1133">
        <f t="shared" si="126"/>
        <v>0</v>
      </c>
      <c r="Q185" s="1135">
        <f t="shared" si="127"/>
        <v>39471.930286999988</v>
      </c>
      <c r="S185" s="1092">
        <f t="shared" si="128"/>
        <v>962.7300069999983</v>
      </c>
    </row>
    <row r="186" spans="1:19">
      <c r="A186" s="1138">
        <v>2183</v>
      </c>
      <c r="B186" s="1139" t="s">
        <v>2892</v>
      </c>
      <c r="C186" s="1231" t="s">
        <v>3095</v>
      </c>
      <c r="D186" s="1140" t="s">
        <v>2906</v>
      </c>
      <c r="E186" s="1134">
        <v>16</v>
      </c>
      <c r="F186" s="1133">
        <v>2043.7666659999998</v>
      </c>
      <c r="G186" s="1141">
        <f t="shared" si="120"/>
        <v>32700.266655999996</v>
      </c>
      <c r="H186" s="1133">
        <v>171.30000100000004</v>
      </c>
      <c r="I186" s="1134">
        <f t="shared" si="121"/>
        <v>4111.2000240000007</v>
      </c>
      <c r="J186" s="1134">
        <f t="shared" si="122"/>
        <v>36811.466679999998</v>
      </c>
      <c r="K186" s="1133">
        <v>470</v>
      </c>
      <c r="L186" s="1133">
        <v>480</v>
      </c>
      <c r="M186" s="1133">
        <f t="shared" si="123"/>
        <v>37761.466679999998</v>
      </c>
      <c r="N186" s="1142">
        <f t="shared" si="124"/>
        <v>2.5000000000000001E-2</v>
      </c>
      <c r="O186" s="1133">
        <f t="shared" si="125"/>
        <v>38705.503346999991</v>
      </c>
      <c r="P186" s="1133">
        <f t="shared" si="126"/>
        <v>0</v>
      </c>
      <c r="Q186" s="1135">
        <f t="shared" si="127"/>
        <v>38705.503346999991</v>
      </c>
      <c r="S186" s="1092">
        <f t="shared" si="128"/>
        <v>944.03666699999303</v>
      </c>
    </row>
    <row r="187" spans="1:19">
      <c r="A187" s="1138">
        <v>2183</v>
      </c>
      <c r="B187" s="1139" t="s">
        <v>2893</v>
      </c>
      <c r="C187" s="1231" t="s">
        <v>3096</v>
      </c>
      <c r="D187" s="1140" t="s">
        <v>2906</v>
      </c>
      <c r="E187" s="1134">
        <v>16.5</v>
      </c>
      <c r="F187" s="1133">
        <v>1986.95</v>
      </c>
      <c r="G187" s="1141">
        <f t="shared" si="120"/>
        <v>32784.675000000003</v>
      </c>
      <c r="H187" s="1133">
        <v>118.683335</v>
      </c>
      <c r="I187" s="1134">
        <f t="shared" si="121"/>
        <v>2937.4125412499998</v>
      </c>
      <c r="J187" s="1134">
        <f t="shared" si="122"/>
        <v>35722.087541250003</v>
      </c>
      <c r="K187" s="1133">
        <v>335</v>
      </c>
      <c r="L187" s="1133">
        <v>384</v>
      </c>
      <c r="M187" s="1133">
        <f t="shared" si="123"/>
        <v>36441.087541250003</v>
      </c>
      <c r="N187" s="1142">
        <f t="shared" si="124"/>
        <v>2.5000000000000001E-2</v>
      </c>
      <c r="O187" s="1133">
        <f t="shared" si="125"/>
        <v>37352.114729781249</v>
      </c>
      <c r="P187" s="1133">
        <f t="shared" si="126"/>
        <v>0</v>
      </c>
      <c r="Q187" s="1135">
        <f t="shared" si="127"/>
        <v>37352.114729781249</v>
      </c>
      <c r="S187" s="1092">
        <f t="shared" si="128"/>
        <v>911.02718853124679</v>
      </c>
    </row>
    <row r="188" spans="1:19">
      <c r="A188" s="1138">
        <v>2183</v>
      </c>
      <c r="B188" s="1139" t="s">
        <v>2894</v>
      </c>
      <c r="C188" s="1231" t="s">
        <v>3097</v>
      </c>
      <c r="D188" s="1140" t="s">
        <v>2906</v>
      </c>
      <c r="E188" s="1134">
        <v>14</v>
      </c>
      <c r="F188" s="1133">
        <v>105.783332</v>
      </c>
      <c r="G188" s="1141">
        <f t="shared" si="120"/>
        <v>1480.9666480000001</v>
      </c>
      <c r="H188" s="1133">
        <v>0.55000099999999996</v>
      </c>
      <c r="I188" s="1134">
        <f t="shared" si="121"/>
        <v>11.550020999999999</v>
      </c>
      <c r="J188" s="1134">
        <f t="shared" si="122"/>
        <v>1492.5166690000001</v>
      </c>
      <c r="K188" s="1133">
        <v>0</v>
      </c>
      <c r="L188" s="1133">
        <v>0</v>
      </c>
      <c r="M188" s="1133">
        <f t="shared" si="123"/>
        <v>1492.5166690000001</v>
      </c>
      <c r="N188" s="1142">
        <v>0</v>
      </c>
      <c r="O188" s="1133">
        <f t="shared" si="125"/>
        <v>1492.5166690000001</v>
      </c>
      <c r="P188" s="1133">
        <f t="shared" si="126"/>
        <v>0</v>
      </c>
      <c r="Q188" s="1135">
        <f t="shared" si="127"/>
        <v>1492.5166690000001</v>
      </c>
      <c r="S188" s="1092">
        <f t="shared" si="128"/>
        <v>0</v>
      </c>
    </row>
    <row r="189" spans="1:19">
      <c r="A189" s="1138">
        <v>2183</v>
      </c>
      <c r="B189" s="1139" t="s">
        <v>2895</v>
      </c>
      <c r="C189" s="1231" t="s">
        <v>3098</v>
      </c>
      <c r="D189" s="1140" t="s">
        <v>2906</v>
      </c>
      <c r="E189" s="1134">
        <v>15</v>
      </c>
      <c r="F189" s="1133">
        <v>1811.5499990000001</v>
      </c>
      <c r="G189" s="1141">
        <f t="shared" si="120"/>
        <v>27173.249985000002</v>
      </c>
      <c r="H189" s="1133">
        <v>195.31667100000007</v>
      </c>
      <c r="I189" s="1134">
        <f t="shared" si="121"/>
        <v>4394.6250975000012</v>
      </c>
      <c r="J189" s="1134">
        <f t="shared" si="122"/>
        <v>31567.875082500002</v>
      </c>
      <c r="K189" s="1133">
        <v>670</v>
      </c>
      <c r="L189" s="1133">
        <v>120</v>
      </c>
      <c r="M189" s="1133">
        <f t="shared" si="123"/>
        <v>32357.875082500002</v>
      </c>
      <c r="N189" s="1142">
        <f t="shared" si="124"/>
        <v>2.5000000000000001E-2</v>
      </c>
      <c r="O189" s="1133">
        <f t="shared" si="125"/>
        <v>33166.821959562498</v>
      </c>
      <c r="P189" s="1133">
        <f t="shared" si="126"/>
        <v>0</v>
      </c>
      <c r="Q189" s="1135">
        <f t="shared" si="127"/>
        <v>33166.821959562498</v>
      </c>
      <c r="S189" s="1092">
        <f t="shared" si="128"/>
        <v>808.94687706249533</v>
      </c>
    </row>
    <row r="190" spans="1:19">
      <c r="A190" s="1138">
        <v>2183</v>
      </c>
      <c r="B190" s="1139" t="s">
        <v>2896</v>
      </c>
      <c r="C190" s="1231" t="s">
        <v>3099</v>
      </c>
      <c r="D190" s="1140" t="s">
        <v>2906</v>
      </c>
      <c r="E190" s="1134">
        <v>14</v>
      </c>
      <c r="F190" s="1133">
        <v>264.20000000000005</v>
      </c>
      <c r="G190" s="1141">
        <f t="shared" si="120"/>
        <v>3698.8000000000006</v>
      </c>
      <c r="H190" s="1133">
        <v>7.0833320000000004</v>
      </c>
      <c r="I190" s="1134">
        <f t="shared" si="121"/>
        <v>148.74997200000001</v>
      </c>
      <c r="J190" s="1134">
        <f t="shared" si="122"/>
        <v>3847.5499720000007</v>
      </c>
      <c r="K190" s="1133">
        <v>0</v>
      </c>
      <c r="L190" s="1133">
        <v>0</v>
      </c>
      <c r="M190" s="1133">
        <f t="shared" si="123"/>
        <v>3847.5499720000007</v>
      </c>
      <c r="N190" s="1142">
        <v>0</v>
      </c>
      <c r="O190" s="1133">
        <f t="shared" si="125"/>
        <v>3847.5499720000007</v>
      </c>
      <c r="P190" s="1133">
        <f t="shared" si="126"/>
        <v>0</v>
      </c>
      <c r="Q190" s="1135">
        <f t="shared" si="127"/>
        <v>3847.5499720000007</v>
      </c>
      <c r="S190" s="1092">
        <f t="shared" si="128"/>
        <v>0</v>
      </c>
    </row>
    <row r="191" spans="1:19">
      <c r="A191" s="1138">
        <v>2183</v>
      </c>
      <c r="B191" s="1139" t="s">
        <v>2897</v>
      </c>
      <c r="C191" s="1231" t="s">
        <v>3100</v>
      </c>
      <c r="D191" s="1140" t="s">
        <v>2906</v>
      </c>
      <c r="E191" s="1134">
        <v>15.5</v>
      </c>
      <c r="F191" s="1133">
        <v>606.749999</v>
      </c>
      <c r="G191" s="1141">
        <f t="shared" si="120"/>
        <v>9404.6249845000002</v>
      </c>
      <c r="H191" s="1133">
        <v>20.716666</v>
      </c>
      <c r="I191" s="1134">
        <f t="shared" si="121"/>
        <v>481.66248450000001</v>
      </c>
      <c r="J191" s="1134">
        <f t="shared" si="122"/>
        <v>9886.2874690000008</v>
      </c>
      <c r="K191" s="1133">
        <v>0</v>
      </c>
      <c r="L191" s="1133">
        <v>0</v>
      </c>
      <c r="M191" s="1133">
        <f t="shared" si="123"/>
        <v>9886.2874690000008</v>
      </c>
      <c r="N191" s="1142">
        <v>0</v>
      </c>
      <c r="O191" s="1133">
        <f t="shared" si="125"/>
        <v>9886.2874690000008</v>
      </c>
      <c r="P191" s="1133">
        <f t="shared" si="126"/>
        <v>0</v>
      </c>
      <c r="Q191" s="1135">
        <f t="shared" si="127"/>
        <v>9886.2874690000008</v>
      </c>
      <c r="S191" s="1092">
        <f t="shared" si="128"/>
        <v>0</v>
      </c>
    </row>
    <row r="192" spans="1:19">
      <c r="A192" s="1138">
        <v>2183</v>
      </c>
      <c r="B192" s="1139" t="s">
        <v>2898</v>
      </c>
      <c r="C192" s="1231" t="s">
        <v>3101</v>
      </c>
      <c r="D192" s="1140" t="s">
        <v>2906</v>
      </c>
      <c r="E192" s="1134">
        <v>16</v>
      </c>
      <c r="F192" s="1133">
        <v>362.09999900000003</v>
      </c>
      <c r="G192" s="1141">
        <f t="shared" si="120"/>
        <v>5793.5999840000004</v>
      </c>
      <c r="H192" s="1133">
        <v>15.116667</v>
      </c>
      <c r="I192" s="1134">
        <f t="shared" si="121"/>
        <v>362.80000799999999</v>
      </c>
      <c r="J192" s="1134">
        <f t="shared" si="122"/>
        <v>6156.3999920000006</v>
      </c>
      <c r="K192" s="1133">
        <v>0</v>
      </c>
      <c r="L192" s="1133">
        <v>0</v>
      </c>
      <c r="M192" s="1133">
        <f t="shared" si="123"/>
        <v>6156.3999920000006</v>
      </c>
      <c r="N192" s="1142">
        <v>0</v>
      </c>
      <c r="O192" s="1133">
        <f t="shared" si="125"/>
        <v>6156.3999920000006</v>
      </c>
      <c r="P192" s="1133">
        <f t="shared" si="126"/>
        <v>0</v>
      </c>
      <c r="Q192" s="1135">
        <f t="shared" si="127"/>
        <v>6156.3999920000006</v>
      </c>
      <c r="S192" s="1092">
        <f t="shared" si="128"/>
        <v>0</v>
      </c>
    </row>
    <row r="193" spans="1:21">
      <c r="A193" s="1138">
        <v>2183</v>
      </c>
      <c r="B193" s="1139" t="s">
        <v>2899</v>
      </c>
      <c r="C193" s="1231" t="s">
        <v>3102</v>
      </c>
      <c r="D193" s="1140" t="s">
        <v>2906</v>
      </c>
      <c r="E193" s="1134">
        <v>16</v>
      </c>
      <c r="F193" s="1133">
        <v>891.59999699999992</v>
      </c>
      <c r="G193" s="1141">
        <f t="shared" si="120"/>
        <v>14265.599951999999</v>
      </c>
      <c r="H193" s="1133">
        <v>66.199994000000004</v>
      </c>
      <c r="I193" s="1134">
        <f t="shared" si="121"/>
        <v>1588.7998560000001</v>
      </c>
      <c r="J193" s="1134">
        <f t="shared" si="122"/>
        <v>15854.399807999998</v>
      </c>
      <c r="K193" s="1133">
        <v>200</v>
      </c>
      <c r="L193" s="1133">
        <v>120</v>
      </c>
      <c r="M193" s="1133">
        <f t="shared" si="123"/>
        <v>16174.399807999998</v>
      </c>
      <c r="N193" s="1142">
        <f t="shared" si="124"/>
        <v>2.5000000000000001E-2</v>
      </c>
      <c r="O193" s="1133">
        <f t="shared" si="125"/>
        <v>16578.759803199995</v>
      </c>
      <c r="P193" s="1133">
        <f t="shared" si="126"/>
        <v>0</v>
      </c>
      <c r="Q193" s="1135">
        <f t="shared" si="127"/>
        <v>16578.759803199995</v>
      </c>
      <c r="S193" s="1092">
        <f t="shared" si="128"/>
        <v>404.35999519999677</v>
      </c>
    </row>
    <row r="194" spans="1:21">
      <c r="A194" s="1138">
        <v>2184</v>
      </c>
      <c r="B194" s="1231" t="s">
        <v>2779</v>
      </c>
      <c r="C194" s="1231" t="s">
        <v>2780</v>
      </c>
      <c r="D194" s="1140" t="s">
        <v>2906</v>
      </c>
      <c r="E194" s="1134">
        <v>24</v>
      </c>
      <c r="F194" s="1133">
        <v>392.13333400000005</v>
      </c>
      <c r="G194" s="1141">
        <f>+E194*F194</f>
        <v>9411.2000160000007</v>
      </c>
      <c r="H194" s="1133">
        <v>13.816668</v>
      </c>
      <c r="I194" s="1134">
        <f>+IFERROR(E194*1.5*H194,0)</f>
        <v>497.40004799999997</v>
      </c>
      <c r="J194" s="1134">
        <f>+G194+I194</f>
        <v>9908.6000640000002</v>
      </c>
      <c r="K194" s="1133">
        <v>0</v>
      </c>
      <c r="L194" s="1133">
        <v>320</v>
      </c>
      <c r="M194" s="1133">
        <f>+L194+K194+J194</f>
        <v>10228.600064</v>
      </c>
      <c r="N194" s="1142">
        <f>+IF(R194="union",(1/E194),2.5%)</f>
        <v>2.5000000000000001E-2</v>
      </c>
      <c r="O194" s="1133">
        <f>+M194*(1+N194)</f>
        <v>10484.3150656</v>
      </c>
      <c r="P194" s="1133">
        <f>+IF(R194="union",250,0)</f>
        <v>0</v>
      </c>
      <c r="Q194" s="1135">
        <f>+O194+P194</f>
        <v>10484.3150656</v>
      </c>
      <c r="R194" s="1091" t="s">
        <v>2758</v>
      </c>
      <c r="S194" s="1092">
        <f>+O194-M194+P194</f>
        <v>255.7150015999996</v>
      </c>
      <c r="U194" s="1232">
        <f>+IF(R194="Union",F194*0.05,0)</f>
        <v>0</v>
      </c>
    </row>
    <row r="195" spans="1:21">
      <c r="A195" s="1138">
        <v>2183</v>
      </c>
      <c r="B195" s="1139" t="s">
        <v>2900</v>
      </c>
      <c r="C195" s="1231" t="s">
        <v>3103</v>
      </c>
      <c r="D195" s="1140" t="s">
        <v>3088</v>
      </c>
      <c r="E195" s="1134">
        <v>19</v>
      </c>
      <c r="F195" s="1133">
        <v>705.05666499999995</v>
      </c>
      <c r="G195" s="1141">
        <f t="shared" si="120"/>
        <v>13396.076634999999</v>
      </c>
      <c r="H195" s="1133">
        <v>43.483333999999999</v>
      </c>
      <c r="I195" s="1134">
        <f t="shared" si="121"/>
        <v>1239.2750189999999</v>
      </c>
      <c r="J195" s="1134">
        <f t="shared" si="122"/>
        <v>14635.351654</v>
      </c>
      <c r="K195" s="1133">
        <v>0</v>
      </c>
      <c r="L195" s="1133">
        <v>0</v>
      </c>
      <c r="M195" s="1133">
        <f t="shared" si="123"/>
        <v>14635.351654</v>
      </c>
      <c r="N195" s="1142">
        <f t="shared" si="124"/>
        <v>2.5000000000000001E-2</v>
      </c>
      <c r="O195" s="1133">
        <f t="shared" si="125"/>
        <v>15001.235445349999</v>
      </c>
      <c r="P195" s="1133">
        <f t="shared" si="126"/>
        <v>0</v>
      </c>
      <c r="Q195" s="1135">
        <f t="shared" si="127"/>
        <v>15001.235445349999</v>
      </c>
      <c r="S195" s="1092">
        <f t="shared" si="128"/>
        <v>365.88379134999923</v>
      </c>
    </row>
    <row r="196" spans="1:21">
      <c r="A196" s="1138">
        <v>2183</v>
      </c>
      <c r="B196" s="1139" t="s">
        <v>2901</v>
      </c>
      <c r="C196" s="1231" t="s">
        <v>3104</v>
      </c>
      <c r="D196" s="1140" t="s">
        <v>2906</v>
      </c>
      <c r="E196" s="1134">
        <v>15</v>
      </c>
      <c r="F196" s="1133">
        <v>199.9</v>
      </c>
      <c r="G196" s="1141">
        <f t="shared" si="120"/>
        <v>2998.5</v>
      </c>
      <c r="H196" s="1133">
        <v>8.9333320000000001</v>
      </c>
      <c r="I196" s="1134">
        <f t="shared" si="121"/>
        <v>200.99996999999999</v>
      </c>
      <c r="J196" s="1134">
        <f t="shared" si="122"/>
        <v>3199.4999699999998</v>
      </c>
      <c r="K196" s="1133">
        <v>0</v>
      </c>
      <c r="L196" s="1133">
        <v>0</v>
      </c>
      <c r="M196" s="1133">
        <f t="shared" si="123"/>
        <v>3199.4999699999998</v>
      </c>
      <c r="N196" s="1142">
        <f t="shared" si="124"/>
        <v>2.5000000000000001E-2</v>
      </c>
      <c r="O196" s="1133">
        <f t="shared" si="125"/>
        <v>3279.4874692499998</v>
      </c>
      <c r="P196" s="1133">
        <f t="shared" si="126"/>
        <v>0</v>
      </c>
      <c r="Q196" s="1135">
        <f t="shared" si="127"/>
        <v>3279.4874692499998</v>
      </c>
      <c r="S196" s="1092">
        <f t="shared" si="128"/>
        <v>79.987499249999928</v>
      </c>
    </row>
    <row r="197" spans="1:21">
      <c r="A197" s="1138">
        <v>2183</v>
      </c>
      <c r="B197" s="1139" t="s">
        <v>2902</v>
      </c>
      <c r="C197" s="1231" t="s">
        <v>3105</v>
      </c>
      <c r="D197" s="1140" t="s">
        <v>2906</v>
      </c>
      <c r="E197" s="1134">
        <v>15</v>
      </c>
      <c r="F197" s="1133">
        <v>195.16666499999999</v>
      </c>
      <c r="G197" s="1141">
        <f t="shared" si="120"/>
        <v>2927.4999749999997</v>
      </c>
      <c r="H197" s="1133">
        <v>4.8833310000000001</v>
      </c>
      <c r="I197" s="1134">
        <f t="shared" si="121"/>
        <v>109.8749475</v>
      </c>
      <c r="J197" s="1134">
        <f t="shared" si="122"/>
        <v>3037.3749224999997</v>
      </c>
      <c r="K197" s="1133">
        <v>0</v>
      </c>
      <c r="L197" s="1133">
        <v>0</v>
      </c>
      <c r="M197" s="1133">
        <f t="shared" si="123"/>
        <v>3037.3749224999997</v>
      </c>
      <c r="N197" s="1142">
        <f t="shared" si="124"/>
        <v>2.5000000000000001E-2</v>
      </c>
      <c r="O197" s="1133">
        <f t="shared" si="125"/>
        <v>3113.3092955624993</v>
      </c>
      <c r="P197" s="1133">
        <f t="shared" si="126"/>
        <v>0</v>
      </c>
      <c r="Q197" s="1135">
        <f t="shared" si="127"/>
        <v>3113.3092955624993</v>
      </c>
      <c r="S197" s="1092">
        <f t="shared" si="128"/>
        <v>75.934373062499617</v>
      </c>
    </row>
    <row r="198" spans="1:21">
      <c r="A198" s="1138">
        <v>2183</v>
      </c>
      <c r="B198" s="1139" t="s">
        <v>2903</v>
      </c>
      <c r="C198" s="1231" t="s">
        <v>3106</v>
      </c>
      <c r="D198" s="1140" t="s">
        <v>2906</v>
      </c>
      <c r="E198" s="1134">
        <v>15</v>
      </c>
      <c r="F198" s="1133">
        <v>190.16666500000002</v>
      </c>
      <c r="G198" s="1141">
        <f t="shared" si="120"/>
        <v>2852.4999750000002</v>
      </c>
      <c r="H198" s="1133">
        <v>1.7833330000000001</v>
      </c>
      <c r="I198" s="1134">
        <f t="shared" si="121"/>
        <v>40.124992500000005</v>
      </c>
      <c r="J198" s="1134">
        <f t="shared" si="122"/>
        <v>2892.6249675000004</v>
      </c>
      <c r="K198" s="1133">
        <v>0</v>
      </c>
      <c r="L198" s="1133">
        <v>0</v>
      </c>
      <c r="M198" s="1133">
        <f t="shared" si="123"/>
        <v>2892.6249675000004</v>
      </c>
      <c r="N198" s="1142">
        <f t="shared" si="124"/>
        <v>2.5000000000000001E-2</v>
      </c>
      <c r="O198" s="1133">
        <f t="shared" si="125"/>
        <v>2964.9405916875003</v>
      </c>
      <c r="P198" s="1133">
        <f t="shared" si="126"/>
        <v>0</v>
      </c>
      <c r="Q198" s="1135">
        <f t="shared" si="127"/>
        <v>2964.9405916875003</v>
      </c>
      <c r="S198" s="1092">
        <f t="shared" si="128"/>
        <v>72.315624187499907</v>
      </c>
    </row>
    <row r="199" spans="1:21">
      <c r="A199" s="1138">
        <v>2183</v>
      </c>
      <c r="B199" s="1139" t="s">
        <v>2904</v>
      </c>
      <c r="C199" s="1231" t="s">
        <v>2905</v>
      </c>
      <c r="D199" s="1140" t="s">
        <v>2906</v>
      </c>
      <c r="E199" s="1134">
        <v>15</v>
      </c>
      <c r="F199" s="1133">
        <v>38.783332999999999</v>
      </c>
      <c r="G199" s="1141">
        <f t="shared" si="120"/>
        <v>581.74999500000001</v>
      </c>
      <c r="H199" s="1133">
        <v>0</v>
      </c>
      <c r="I199" s="1134">
        <f t="shared" si="121"/>
        <v>0</v>
      </c>
      <c r="J199" s="1134">
        <f t="shared" si="122"/>
        <v>581.74999500000001</v>
      </c>
      <c r="K199" s="1133">
        <v>0</v>
      </c>
      <c r="L199" s="1133">
        <v>0</v>
      </c>
      <c r="M199" s="1133">
        <f t="shared" si="123"/>
        <v>581.74999500000001</v>
      </c>
      <c r="N199" s="1142">
        <f t="shared" si="124"/>
        <v>2.5000000000000001E-2</v>
      </c>
      <c r="O199" s="1133">
        <f t="shared" si="125"/>
        <v>596.29374487500002</v>
      </c>
      <c r="P199" s="1133">
        <f t="shared" si="126"/>
        <v>0</v>
      </c>
      <c r="Q199" s="1135">
        <f t="shared" si="127"/>
        <v>596.29374487500002</v>
      </c>
      <c r="S199" s="1092">
        <f t="shared" si="128"/>
        <v>14.543749875000003</v>
      </c>
    </row>
    <row r="200" spans="1:21">
      <c r="A200" s="1138">
        <v>2183</v>
      </c>
      <c r="B200" s="1139" t="s">
        <v>2907</v>
      </c>
      <c r="C200" s="1231" t="s">
        <v>3107</v>
      </c>
      <c r="D200" s="1140" t="s">
        <v>3088</v>
      </c>
      <c r="E200" s="1134">
        <v>21</v>
      </c>
      <c r="F200" s="1133">
        <v>2116.7666660000004</v>
      </c>
      <c r="G200" s="1141">
        <f t="shared" si="120"/>
        <v>44452.099986000008</v>
      </c>
      <c r="H200" s="1133">
        <v>180.44999399999998</v>
      </c>
      <c r="I200" s="1134">
        <f t="shared" si="121"/>
        <v>5684.174810999999</v>
      </c>
      <c r="J200" s="1134">
        <f t="shared" si="122"/>
        <v>50136.274797000005</v>
      </c>
      <c r="K200" s="1133">
        <v>0</v>
      </c>
      <c r="L200" s="1133">
        <v>136</v>
      </c>
      <c r="M200" s="1133">
        <f t="shared" si="123"/>
        <v>50272.274797000005</v>
      </c>
      <c r="N200" s="1142">
        <f t="shared" si="124"/>
        <v>2.5000000000000001E-2</v>
      </c>
      <c r="O200" s="1133">
        <f t="shared" si="125"/>
        <v>51529.081666924998</v>
      </c>
      <c r="P200" s="1133">
        <f t="shared" si="126"/>
        <v>0</v>
      </c>
      <c r="Q200" s="1135">
        <f t="shared" si="127"/>
        <v>51529.081666924998</v>
      </c>
      <c r="S200" s="1092">
        <f t="shared" si="128"/>
        <v>1256.8068699249925</v>
      </c>
    </row>
    <row r="201" spans="1:21">
      <c r="A201" s="1138">
        <v>2183</v>
      </c>
      <c r="B201" s="1139" t="s">
        <v>2908</v>
      </c>
      <c r="C201" s="1231" t="s">
        <v>2909</v>
      </c>
      <c r="D201" s="1140" t="s">
        <v>2906</v>
      </c>
      <c r="E201" s="1134">
        <v>15.75</v>
      </c>
      <c r="F201" s="1133">
        <v>451.41666799999996</v>
      </c>
      <c r="G201" s="1141">
        <f t="shared" si="120"/>
        <v>7109.8125209999989</v>
      </c>
      <c r="H201" s="1133">
        <v>32.433332999999998</v>
      </c>
      <c r="I201" s="1134">
        <f t="shared" si="121"/>
        <v>766.2374921249999</v>
      </c>
      <c r="J201" s="1134">
        <f t="shared" si="122"/>
        <v>7876.0500131249992</v>
      </c>
      <c r="K201" s="1133">
        <v>200</v>
      </c>
      <c r="L201" s="1133">
        <v>378</v>
      </c>
      <c r="M201" s="1133">
        <f t="shared" si="123"/>
        <v>8454.0500131249992</v>
      </c>
      <c r="N201" s="1142">
        <v>0</v>
      </c>
      <c r="O201" s="1133">
        <f t="shared" si="125"/>
        <v>8454.0500131249992</v>
      </c>
      <c r="P201" s="1133">
        <f t="shared" si="126"/>
        <v>0</v>
      </c>
      <c r="Q201" s="1135">
        <f t="shared" si="127"/>
        <v>8454.0500131249992</v>
      </c>
      <c r="S201" s="1092">
        <f t="shared" si="128"/>
        <v>0</v>
      </c>
    </row>
    <row r="202" spans="1:21">
      <c r="A202" s="1138"/>
      <c r="B202" s="1144"/>
      <c r="C202" s="1145"/>
      <c r="D202" s="1140"/>
      <c r="E202" s="1133"/>
      <c r="F202" s="1133"/>
      <c r="G202" s="1133"/>
      <c r="H202" s="1133"/>
      <c r="I202" s="1134"/>
      <c r="J202" s="1133"/>
      <c r="K202" s="1133"/>
      <c r="L202" s="1133"/>
      <c r="M202" s="1133"/>
      <c r="N202" s="1133"/>
      <c r="O202" s="1133"/>
      <c r="P202" s="1133"/>
      <c r="Q202" s="1135"/>
    </row>
    <row r="203" spans="1:21">
      <c r="A203" s="1138"/>
      <c r="B203" s="1144"/>
      <c r="C203" s="1155" t="s">
        <v>2910</v>
      </c>
      <c r="D203" s="1140"/>
      <c r="E203" s="1147">
        <f t="shared" ref="E203:M203" si="129">+SUM(E167:E202)</f>
        <v>704.78472596153961</v>
      </c>
      <c r="F203" s="1147">
        <f t="shared" si="129"/>
        <v>47568.661374999989</v>
      </c>
      <c r="G203" s="1147">
        <f t="shared" si="129"/>
        <v>1054569.5587238716</v>
      </c>
      <c r="H203" s="1147">
        <f t="shared" si="129"/>
        <v>2507.3166919999994</v>
      </c>
      <c r="I203" s="1164">
        <f t="shared" si="129"/>
        <v>66142.635673425117</v>
      </c>
      <c r="J203" s="1164">
        <f t="shared" si="129"/>
        <v>1120712.1943972965</v>
      </c>
      <c r="K203" s="1164">
        <f t="shared" si="129"/>
        <v>6805</v>
      </c>
      <c r="L203" s="1164">
        <f t="shared" si="129"/>
        <v>30682.400000000009</v>
      </c>
      <c r="M203" s="1164">
        <f t="shared" si="129"/>
        <v>1158199.5943972969</v>
      </c>
      <c r="N203" s="1147"/>
      <c r="O203" s="1147">
        <f>+SUM(O167:O202)</f>
        <v>1182450.249707175</v>
      </c>
      <c r="P203" s="1147">
        <f>+SUM(P167:P202)</f>
        <v>0</v>
      </c>
      <c r="Q203" s="1148">
        <f>+SUM(Q167:Q202)</f>
        <v>1182450.249707175</v>
      </c>
      <c r="S203" s="1148">
        <f>+SUM(S167:S202)</f>
        <v>24250.65530987793</v>
      </c>
    </row>
    <row r="204" spans="1:21" s="1158" customFormat="1">
      <c r="A204" s="1138"/>
      <c r="B204" s="1144"/>
      <c r="C204" s="1145"/>
      <c r="D204" s="1140"/>
      <c r="E204" s="1159"/>
      <c r="F204" s="1159"/>
      <c r="G204" s="1159"/>
      <c r="H204" s="1159"/>
      <c r="I204" s="1160"/>
      <c r="J204" s="1159"/>
      <c r="K204" s="1159"/>
      <c r="L204" s="1159"/>
      <c r="M204" s="1159"/>
      <c r="N204" s="1159"/>
      <c r="O204" s="1159"/>
      <c r="P204" s="1159"/>
      <c r="Q204" s="1135"/>
      <c r="R204" s="1091"/>
      <c r="S204" s="1092"/>
    </row>
    <row r="205" spans="1:21" s="1158" customFormat="1" ht="12" thickBot="1">
      <c r="A205" s="1138"/>
      <c r="B205" s="1144"/>
      <c r="C205" s="1145"/>
      <c r="D205" s="1140"/>
      <c r="E205" s="1159"/>
      <c r="F205" s="1159"/>
      <c r="G205" s="1159"/>
      <c r="H205" s="1159"/>
      <c r="I205" s="1160"/>
      <c r="J205" s="1159"/>
      <c r="K205" s="1159"/>
      <c r="L205" s="1159"/>
      <c r="M205" s="1159"/>
      <c r="N205" s="1159"/>
      <c r="O205" s="1159"/>
      <c r="P205" s="1159"/>
      <c r="Q205" s="1135"/>
      <c r="R205" s="1091"/>
      <c r="S205" s="1092"/>
    </row>
    <row r="206" spans="1:21" s="1158" customFormat="1" ht="12" thickTop="1">
      <c r="A206" s="1167"/>
      <c r="B206" s="1168"/>
      <c r="C206" s="1169" t="s">
        <v>2911</v>
      </c>
      <c r="D206" s="1170"/>
      <c r="E206" s="1159"/>
      <c r="F206" s="1159"/>
      <c r="G206" s="1159"/>
      <c r="H206" s="1159"/>
      <c r="I206" s="1160"/>
      <c r="J206" s="1159"/>
      <c r="K206" s="1159"/>
      <c r="L206" s="1159"/>
      <c r="M206" s="1159"/>
      <c r="N206" s="1159"/>
      <c r="O206" s="1159"/>
      <c r="P206" s="1159"/>
      <c r="Q206" s="1135"/>
      <c r="R206" s="1091"/>
      <c r="S206" s="1092">
        <f t="shared" ref="S206:S215" si="130">+O206-M206</f>
        <v>0</v>
      </c>
    </row>
    <row r="207" spans="1:21">
      <c r="A207" s="1138">
        <v>2183</v>
      </c>
      <c r="B207" s="1139" t="s">
        <v>2912</v>
      </c>
      <c r="C207" s="1231" t="s">
        <v>3108</v>
      </c>
      <c r="D207" s="1140" t="s">
        <v>3109</v>
      </c>
      <c r="E207" s="1134">
        <v>36.064725961538493</v>
      </c>
      <c r="F207" s="1133">
        <v>2064</v>
      </c>
      <c r="G207" s="1141">
        <f t="shared" ref="G207:G212" si="131">+IFERROR(E207*F207,0)</f>
        <v>74437.594384615455</v>
      </c>
      <c r="H207" s="1133">
        <v>0</v>
      </c>
      <c r="I207" s="1134">
        <f t="shared" ref="I207:I212" si="132">+IFERROR(E207*1.5*H207,0)</f>
        <v>0</v>
      </c>
      <c r="J207" s="1134">
        <f t="shared" ref="J207:J212" si="133">+G207+I207</f>
        <v>74437.594384615455</v>
      </c>
      <c r="K207" s="1133">
        <v>0</v>
      </c>
      <c r="L207" s="1133">
        <v>5324.6400000000012</v>
      </c>
      <c r="M207" s="1133">
        <f t="shared" ref="M207:M212" si="134">+L207+K207+J207</f>
        <v>79762.234384615454</v>
      </c>
      <c r="N207" s="1142">
        <f t="shared" ref="N207:N211" si="135">+IF(R207="union",(1/E207),2.5%)</f>
        <v>2.5000000000000001E-2</v>
      </c>
      <c r="O207" s="1133">
        <f t="shared" ref="O207:O212" si="136">+M207*(1+N207)</f>
        <v>81756.29024423084</v>
      </c>
      <c r="P207" s="1133">
        <f t="shared" ref="P207:P212" si="137">+IF(R207="union",250,0)</f>
        <v>0</v>
      </c>
      <c r="Q207" s="1135">
        <f t="shared" ref="Q207:Q212" si="138">+O207+P207</f>
        <v>81756.29024423084</v>
      </c>
      <c r="S207" s="1092">
        <f t="shared" ref="S207:S212" si="139">+O207-M207+P207</f>
        <v>1994.055859615386</v>
      </c>
    </row>
    <row r="208" spans="1:21">
      <c r="A208" s="1138">
        <v>2183</v>
      </c>
      <c r="B208" s="1139" t="s">
        <v>2913</v>
      </c>
      <c r="C208" s="1231" t="s">
        <v>3110</v>
      </c>
      <c r="D208" s="1140" t="s">
        <v>2919</v>
      </c>
      <c r="E208" s="1134">
        <v>34.246499999999727</v>
      </c>
      <c r="F208" s="1133">
        <v>2080</v>
      </c>
      <c r="G208" s="1141">
        <f t="shared" si="131"/>
        <v>71232.719999999434</v>
      </c>
      <c r="H208" s="1133">
        <v>0</v>
      </c>
      <c r="I208" s="1134">
        <f t="shared" si="132"/>
        <v>0</v>
      </c>
      <c r="J208" s="1134">
        <f t="shared" si="133"/>
        <v>71232.719999999434</v>
      </c>
      <c r="K208" s="1133">
        <v>0</v>
      </c>
      <c r="L208" s="1133">
        <v>2811.95</v>
      </c>
      <c r="M208" s="1133">
        <f t="shared" si="134"/>
        <v>74044.669999999431</v>
      </c>
      <c r="N208" s="1142">
        <f t="shared" si="135"/>
        <v>2.5000000000000001E-2</v>
      </c>
      <c r="O208" s="1133">
        <f t="shared" si="136"/>
        <v>75895.786749999403</v>
      </c>
      <c r="P208" s="1133">
        <f t="shared" si="137"/>
        <v>0</v>
      </c>
      <c r="Q208" s="1135">
        <f t="shared" si="138"/>
        <v>75895.786749999403</v>
      </c>
      <c r="S208" s="1092">
        <f t="shared" si="139"/>
        <v>1851.1167499999719</v>
      </c>
    </row>
    <row r="209" spans="1:19">
      <c r="A209" s="1138">
        <v>2183</v>
      </c>
      <c r="B209" s="1139" t="s">
        <v>2914</v>
      </c>
      <c r="C209" s="1231" t="s">
        <v>3111</v>
      </c>
      <c r="D209" s="1140" t="s">
        <v>2919</v>
      </c>
      <c r="E209" s="1134">
        <v>30.857908653846128</v>
      </c>
      <c r="F209" s="1133">
        <v>2288</v>
      </c>
      <c r="G209" s="1141">
        <f t="shared" si="131"/>
        <v>70602.894999999946</v>
      </c>
      <c r="H209" s="1133">
        <v>0</v>
      </c>
      <c r="I209" s="1134">
        <f t="shared" si="132"/>
        <v>0</v>
      </c>
      <c r="J209" s="1134">
        <f t="shared" si="133"/>
        <v>70602.894999999946</v>
      </c>
      <c r="K209" s="1133">
        <v>0</v>
      </c>
      <c r="L209" s="1133">
        <v>1318.22</v>
      </c>
      <c r="M209" s="1133">
        <f t="shared" si="134"/>
        <v>71921.114999999947</v>
      </c>
      <c r="N209" s="1142">
        <f t="shared" si="135"/>
        <v>2.5000000000000001E-2</v>
      </c>
      <c r="O209" s="1133">
        <f t="shared" si="136"/>
        <v>73719.142874999932</v>
      </c>
      <c r="P209" s="1133">
        <f t="shared" si="137"/>
        <v>0</v>
      </c>
      <c r="Q209" s="1135">
        <f t="shared" si="138"/>
        <v>73719.142874999932</v>
      </c>
      <c r="S209" s="1092">
        <f t="shared" si="139"/>
        <v>1798.0278749999852</v>
      </c>
    </row>
    <row r="210" spans="1:19">
      <c r="A210" s="1138">
        <v>2183</v>
      </c>
      <c r="B210" s="1139" t="s">
        <v>2915</v>
      </c>
      <c r="C210" s="1231" t="s">
        <v>3112</v>
      </c>
      <c r="D210" s="1140" t="s">
        <v>2919</v>
      </c>
      <c r="E210" s="1134">
        <v>30.552884615384617</v>
      </c>
      <c r="F210" s="1133">
        <v>2080</v>
      </c>
      <c r="G210" s="1141">
        <f t="shared" si="131"/>
        <v>63550</v>
      </c>
      <c r="H210" s="1133">
        <v>0</v>
      </c>
      <c r="I210" s="1134">
        <f t="shared" si="132"/>
        <v>0</v>
      </c>
      <c r="J210" s="1134">
        <f t="shared" si="133"/>
        <v>63550</v>
      </c>
      <c r="K210" s="1133">
        <v>0</v>
      </c>
      <c r="L210" s="1133">
        <v>596.16</v>
      </c>
      <c r="M210" s="1133">
        <f t="shared" si="134"/>
        <v>64146.16</v>
      </c>
      <c r="N210" s="1142">
        <f t="shared" si="135"/>
        <v>2.5000000000000001E-2</v>
      </c>
      <c r="O210" s="1133">
        <f t="shared" si="136"/>
        <v>65749.813999999998</v>
      </c>
      <c r="P210" s="1133">
        <f t="shared" si="137"/>
        <v>0</v>
      </c>
      <c r="Q210" s="1135">
        <f t="shared" si="138"/>
        <v>65749.813999999998</v>
      </c>
      <c r="S210" s="1092">
        <f t="shared" si="139"/>
        <v>1603.653999999995</v>
      </c>
    </row>
    <row r="211" spans="1:19">
      <c r="A211" s="1138">
        <v>2183</v>
      </c>
      <c r="B211" s="1139" t="s">
        <v>2916</v>
      </c>
      <c r="C211" s="1231" t="s">
        <v>3113</v>
      </c>
      <c r="D211" s="1140" t="s">
        <v>2919</v>
      </c>
      <c r="E211" s="1134">
        <v>30.76923076923077</v>
      </c>
      <c r="F211" s="1133">
        <v>240</v>
      </c>
      <c r="G211" s="1141">
        <f t="shared" si="131"/>
        <v>7384.6153846153848</v>
      </c>
      <c r="H211" s="1133">
        <v>0</v>
      </c>
      <c r="I211" s="1134">
        <f t="shared" si="132"/>
        <v>0</v>
      </c>
      <c r="J211" s="1134">
        <f t="shared" si="133"/>
        <v>7384.6153846153848</v>
      </c>
      <c r="K211" s="1133">
        <v>0</v>
      </c>
      <c r="L211" s="1133">
        <v>0</v>
      </c>
      <c r="M211" s="1133">
        <f t="shared" si="134"/>
        <v>7384.6153846153848</v>
      </c>
      <c r="N211" s="1142">
        <f t="shared" si="135"/>
        <v>2.5000000000000001E-2</v>
      </c>
      <c r="O211" s="1133">
        <f t="shared" si="136"/>
        <v>7569.2307692307686</v>
      </c>
      <c r="P211" s="1133">
        <f t="shared" si="137"/>
        <v>0</v>
      </c>
      <c r="Q211" s="1135">
        <f t="shared" si="138"/>
        <v>7569.2307692307686</v>
      </c>
      <c r="S211" s="1092">
        <f t="shared" si="139"/>
        <v>184.61538461538385</v>
      </c>
    </row>
    <row r="212" spans="1:19">
      <c r="A212" s="1138">
        <v>2183</v>
      </c>
      <c r="B212" s="1139" t="s">
        <v>2917</v>
      </c>
      <c r="C212" s="1231" t="s">
        <v>2918</v>
      </c>
      <c r="D212" s="1140" t="s">
        <v>2919</v>
      </c>
      <c r="E212" s="1134">
        <v>29.807692307692307</v>
      </c>
      <c r="F212" s="1133">
        <v>1664</v>
      </c>
      <c r="G212" s="1141">
        <f t="shared" si="131"/>
        <v>49600</v>
      </c>
      <c r="H212" s="1133">
        <v>0</v>
      </c>
      <c r="I212" s="1134">
        <f t="shared" si="132"/>
        <v>0</v>
      </c>
      <c r="J212" s="1134">
        <f t="shared" si="133"/>
        <v>49600</v>
      </c>
      <c r="K212" s="1133">
        <v>0</v>
      </c>
      <c r="L212" s="1133">
        <v>956.96</v>
      </c>
      <c r="M212" s="1133">
        <f t="shared" si="134"/>
        <v>50556.959999999999</v>
      </c>
      <c r="N212" s="1142">
        <v>0</v>
      </c>
      <c r="O212" s="1133">
        <f t="shared" si="136"/>
        <v>50556.959999999999</v>
      </c>
      <c r="P212" s="1133">
        <f t="shared" si="137"/>
        <v>0</v>
      </c>
      <c r="Q212" s="1135">
        <f t="shared" si="138"/>
        <v>50556.959999999999</v>
      </c>
      <c r="S212" s="1092">
        <f t="shared" si="139"/>
        <v>0</v>
      </c>
    </row>
    <row r="213" spans="1:19">
      <c r="A213" s="1119"/>
      <c r="B213" s="1120"/>
      <c r="C213" s="1121"/>
      <c r="D213" s="1121"/>
      <c r="E213" s="1122"/>
      <c r="F213" s="1122"/>
      <c r="G213" s="1122"/>
      <c r="H213" s="1122"/>
      <c r="I213" s="1123"/>
      <c r="J213" s="1122"/>
      <c r="K213" s="1122"/>
      <c r="L213" s="1122"/>
      <c r="M213" s="1122"/>
      <c r="N213" s="1122"/>
      <c r="O213" s="1122"/>
      <c r="P213" s="1122"/>
      <c r="Q213" s="1124"/>
    </row>
    <row r="214" spans="1:19">
      <c r="A214" s="1119"/>
      <c r="B214" s="1120"/>
      <c r="C214" s="1155" t="s">
        <v>2920</v>
      </c>
      <c r="D214" s="1121"/>
      <c r="E214" s="1171">
        <f t="shared" ref="E214:M214" si="140">+SUM(E207:E213)</f>
        <v>192.29894230769202</v>
      </c>
      <c r="F214" s="1171">
        <f t="shared" si="140"/>
        <v>10416</v>
      </c>
      <c r="G214" s="1171">
        <f t="shared" si="140"/>
        <v>336807.82476923021</v>
      </c>
      <c r="H214" s="1171">
        <f t="shared" si="140"/>
        <v>0</v>
      </c>
      <c r="I214" s="1172">
        <f t="shared" si="140"/>
        <v>0</v>
      </c>
      <c r="J214" s="1172">
        <f t="shared" si="140"/>
        <v>336807.82476923021</v>
      </c>
      <c r="K214" s="1172">
        <f t="shared" si="140"/>
        <v>0</v>
      </c>
      <c r="L214" s="1172">
        <f t="shared" si="140"/>
        <v>11007.93</v>
      </c>
      <c r="M214" s="1172">
        <f t="shared" si="140"/>
        <v>347815.7547692302</v>
      </c>
      <c r="N214" s="1171"/>
      <c r="O214" s="1171">
        <f>+SUM(O207:O213)</f>
        <v>355247.22463846096</v>
      </c>
      <c r="P214" s="1171">
        <f>+SUM(P207:P213)</f>
        <v>0</v>
      </c>
      <c r="Q214" s="1173">
        <f>+SUM(Q207:Q213)</f>
        <v>355247.22463846096</v>
      </c>
      <c r="S214" s="1173">
        <f>+SUM(S207:S213)</f>
        <v>7431.469869230722</v>
      </c>
    </row>
    <row r="215" spans="1:19">
      <c r="A215" s="1119"/>
      <c r="B215" s="1120"/>
      <c r="C215" s="1121"/>
      <c r="D215" s="1121"/>
      <c r="E215" s="1122"/>
      <c r="F215" s="1122"/>
      <c r="G215" s="1122"/>
      <c r="H215" s="1122"/>
      <c r="I215" s="1123"/>
      <c r="J215" s="1122"/>
      <c r="K215" s="1122"/>
      <c r="L215" s="1122"/>
      <c r="M215" s="1122"/>
      <c r="N215" s="1122"/>
      <c r="O215" s="1122"/>
      <c r="P215" s="1122"/>
      <c r="Q215" s="1124"/>
      <c r="S215" s="1092">
        <f t="shared" si="130"/>
        <v>0</v>
      </c>
    </row>
    <row r="216" spans="1:19">
      <c r="A216" s="1119"/>
      <c r="B216" s="1120"/>
      <c r="C216" s="1155" t="s">
        <v>2921</v>
      </c>
      <c r="D216" s="1121"/>
      <c r="E216" s="1171">
        <f t="shared" ref="E216:P216" si="141">+E214+E203+E150+E131+E161+E155</f>
        <v>3339.9712211538426</v>
      </c>
      <c r="F216" s="1171">
        <f t="shared" si="141"/>
        <v>217164.771373</v>
      </c>
      <c r="G216" s="1171">
        <f t="shared" si="141"/>
        <v>5399291.6871996587</v>
      </c>
      <c r="H216" s="1171">
        <f t="shared" si="141"/>
        <v>33040.450056000001</v>
      </c>
      <c r="I216" s="1171">
        <f t="shared" si="141"/>
        <v>1222519.2136108771</v>
      </c>
      <c r="J216" s="1171">
        <f t="shared" si="141"/>
        <v>6621810.900810536</v>
      </c>
      <c r="K216" s="1171">
        <f t="shared" si="141"/>
        <v>55267.370000000032</v>
      </c>
      <c r="L216" s="1171">
        <f t="shared" si="141"/>
        <v>134961.29999999999</v>
      </c>
      <c r="M216" s="1171">
        <f t="shared" si="141"/>
        <v>6812039.5708105359</v>
      </c>
      <c r="N216" s="1171"/>
      <c r="O216" s="1171">
        <f t="shared" si="141"/>
        <v>7010336.2163572423</v>
      </c>
      <c r="P216" s="1171">
        <f t="shared" si="141"/>
        <v>11250</v>
      </c>
      <c r="Q216" s="1173">
        <f>+Q214+Q203+Q150+Q131+Q161+Q155</f>
        <v>7021586.2163572423</v>
      </c>
      <c r="S216" s="1173">
        <f>+S214+S203+S150+S131+S161+S155</f>
        <v>209546.64554670523</v>
      </c>
    </row>
    <row r="217" spans="1:19" ht="12" thickBot="1">
      <c r="A217" s="1174"/>
      <c r="B217" s="1175"/>
      <c r="C217" s="1176"/>
      <c r="D217" s="1176"/>
      <c r="E217" s="1116"/>
      <c r="F217" s="1117">
        <v>5426.6333379999269</v>
      </c>
      <c r="G217" s="1117"/>
      <c r="H217" s="1117">
        <v>521.51666999999361</v>
      </c>
      <c r="I217" s="1117"/>
      <c r="J217" s="1116"/>
      <c r="K217" s="1117">
        <v>55067.370000000032</v>
      </c>
      <c r="L217" s="1117">
        <v>2806.9600000000501</v>
      </c>
      <c r="M217" s="1116"/>
      <c r="N217" s="1116"/>
      <c r="O217" s="1116"/>
      <c r="P217" s="1116"/>
      <c r="Q217" s="1177"/>
    </row>
    <row r="218" spans="1:19" ht="9" customHeight="1"/>
    <row r="220" spans="1:19" ht="12.75" customHeight="1">
      <c r="A220" s="1269" t="s">
        <v>2922</v>
      </c>
      <c r="B220" s="1269"/>
      <c r="C220" s="1269"/>
      <c r="D220" s="1269"/>
      <c r="E220" s="1178"/>
      <c r="F220" s="1178"/>
      <c r="G220" s="1178"/>
      <c r="H220" s="1178"/>
      <c r="I220" s="1179"/>
      <c r="J220" s="1178"/>
      <c r="K220" s="1178"/>
      <c r="L220" s="1178"/>
      <c r="M220" s="1178"/>
      <c r="N220" s="1178"/>
      <c r="O220" s="1178"/>
      <c r="P220" s="1178"/>
      <c r="Q220" s="1178"/>
    </row>
    <row r="222" spans="1:19">
      <c r="A222" s="1180"/>
      <c r="B222" s="1181"/>
      <c r="C222" s="1182" t="s">
        <v>2923</v>
      </c>
      <c r="D222" s="1183"/>
      <c r="E222" s="1183"/>
      <c r="F222" s="1183"/>
      <c r="G222" s="1183"/>
      <c r="H222" s="1183"/>
      <c r="I222" s="1184"/>
      <c r="J222" s="1183"/>
      <c r="K222" s="1183"/>
      <c r="L222" s="1183"/>
      <c r="M222" s="1183"/>
      <c r="N222" s="1183"/>
      <c r="O222" s="1183"/>
      <c r="P222" s="1183"/>
      <c r="Q222" s="1185">
        <f>+M131</f>
        <v>4343188.4754774114</v>
      </c>
    </row>
    <row r="223" spans="1:19" ht="13.5" customHeight="1"/>
    <row r="224" spans="1:19">
      <c r="D224" s="1186" t="s">
        <v>2924</v>
      </c>
      <c r="Q224" s="1187">
        <v>-100719.94999999997</v>
      </c>
    </row>
    <row r="225" spans="1:21">
      <c r="D225" s="1186"/>
      <c r="Q225" s="1188"/>
    </row>
    <row r="226" spans="1:21">
      <c r="D226" s="1186"/>
    </row>
    <row r="227" spans="1:21">
      <c r="D227" s="1091"/>
      <c r="E227" s="1095"/>
      <c r="F227" s="1095"/>
      <c r="G227" s="1095"/>
      <c r="H227" s="1095"/>
      <c r="I227" s="1096"/>
      <c r="J227" s="1095"/>
      <c r="K227" s="1095"/>
      <c r="L227" s="1095"/>
      <c r="M227" s="1095"/>
      <c r="N227" s="1095"/>
      <c r="O227" s="1095"/>
      <c r="P227" s="1095"/>
      <c r="Q227" s="1189" t="s">
        <v>2925</v>
      </c>
    </row>
    <row r="228" spans="1:21">
      <c r="C228" s="1186">
        <v>50010</v>
      </c>
      <c r="D228" s="1186" t="s">
        <v>17</v>
      </c>
      <c r="E228" s="1095"/>
      <c r="F228" s="1095"/>
      <c r="G228" s="1095"/>
      <c r="H228" s="1095"/>
      <c r="I228" s="1096"/>
      <c r="J228" s="1095"/>
      <c r="K228" s="1095"/>
      <c r="L228" s="1095"/>
      <c r="M228" s="1095"/>
      <c r="N228" s="1095"/>
      <c r="O228" s="1095"/>
      <c r="P228" s="1095"/>
      <c r="Q228" s="1190">
        <f>+IFERROR(VLOOKUP(C228,'2183 IS 2018'!$D:$AH,31,FALSE),0)</f>
        <v>1666.7199999999998</v>
      </c>
    </row>
    <row r="229" spans="1:21">
      <c r="C229" s="1191">
        <v>50020</v>
      </c>
      <c r="D229" s="1191" t="s">
        <v>24</v>
      </c>
      <c r="E229" s="1192"/>
      <c r="F229" s="1192"/>
      <c r="G229" s="1192"/>
      <c r="H229" s="1192"/>
      <c r="I229" s="1193"/>
      <c r="J229" s="1192"/>
      <c r="K229" s="1192"/>
      <c r="L229" s="1192"/>
      <c r="M229" s="1192"/>
      <c r="N229" s="1192"/>
      <c r="O229" s="1192"/>
      <c r="P229" s="1192"/>
      <c r="Q229" s="1190">
        <f>+IFERROR(VLOOKUP(C229,'2183 IS 2018'!$D:$AH,31,FALSE),0)</f>
        <v>3034882.14</v>
      </c>
      <c r="R229" s="1092"/>
    </row>
    <row r="230" spans="1:21">
      <c r="C230" s="1191">
        <v>50025</v>
      </c>
      <c r="D230" s="1191" t="s">
        <v>25</v>
      </c>
      <c r="E230" s="1192"/>
      <c r="F230" s="1192"/>
      <c r="G230" s="1192"/>
      <c r="H230" s="1192"/>
      <c r="I230" s="1193"/>
      <c r="J230" s="1192"/>
      <c r="K230" s="1192"/>
      <c r="L230" s="1192"/>
      <c r="M230" s="1192"/>
      <c r="N230" s="1192"/>
      <c r="O230" s="1192"/>
      <c r="P230" s="1192"/>
      <c r="Q230" s="1190">
        <f>+IFERROR(VLOOKUP(C230,'2183 IS 2018'!$D:$AH,31,FALSE),0)</f>
        <v>1040605.75</v>
      </c>
      <c r="R230" s="1158"/>
      <c r="S230" s="1161"/>
    </row>
    <row r="231" spans="1:21">
      <c r="C231" s="1191">
        <v>50035</v>
      </c>
      <c r="D231" s="1194" t="s">
        <v>26</v>
      </c>
      <c r="E231" s="1192"/>
      <c r="F231" s="1192"/>
      <c r="G231" s="1192"/>
      <c r="H231" s="1192"/>
      <c r="I231" s="1193"/>
      <c r="J231" s="1192"/>
      <c r="K231" s="1192"/>
      <c r="L231" s="1192"/>
      <c r="M231" s="1192"/>
      <c r="N231" s="1192"/>
      <c r="O231" s="1192"/>
      <c r="P231" s="1192"/>
      <c r="Q231" s="1190">
        <f>+IFERROR(VLOOKUP(C231,'2183 IS 2018'!$D:$AH,31,FALSE),0)</f>
        <v>32002.87</v>
      </c>
      <c r="R231" s="1158"/>
      <c r="S231" s="1161"/>
      <c r="T231" s="1158"/>
      <c r="U231" s="1161"/>
    </row>
    <row r="232" spans="1:21">
      <c r="C232" s="1191">
        <v>50036</v>
      </c>
      <c r="D232" s="1194" t="s">
        <v>2926</v>
      </c>
      <c r="E232" s="1192"/>
      <c r="F232" s="1192"/>
      <c r="G232" s="1192"/>
      <c r="H232" s="1192"/>
      <c r="I232" s="1193"/>
      <c r="J232" s="1192"/>
      <c r="K232" s="1192"/>
      <c r="L232" s="1192"/>
      <c r="M232" s="1192"/>
      <c r="N232" s="1192"/>
      <c r="O232" s="1192"/>
      <c r="P232" s="1192"/>
      <c r="Q232" s="1190">
        <f>+IFERROR(VLOOKUP(C232,'2183 IS 2018'!$D:$AH,31,FALSE),0)</f>
        <v>0</v>
      </c>
    </row>
    <row r="233" spans="1:21">
      <c r="C233" s="1191">
        <v>50065</v>
      </c>
      <c r="D233" s="1191" t="s">
        <v>21</v>
      </c>
      <c r="E233" s="1192"/>
      <c r="F233" s="1192"/>
      <c r="G233" s="1192"/>
      <c r="H233" s="1192"/>
      <c r="I233" s="1193"/>
      <c r="J233" s="1192"/>
      <c r="K233" s="1192"/>
      <c r="L233" s="1192"/>
      <c r="M233" s="1192"/>
      <c r="N233" s="1192"/>
      <c r="O233" s="1192"/>
      <c r="P233" s="1192"/>
      <c r="Q233" s="1190">
        <f>+IFERROR(VLOOKUP(C233,'2183 IS 2018'!$D:$AH,31,FALSE),0)</f>
        <v>170070.45</v>
      </c>
    </row>
    <row r="234" spans="1:21">
      <c r="C234" s="1191">
        <v>50070</v>
      </c>
      <c r="D234" s="1191" t="s">
        <v>22</v>
      </c>
      <c r="E234" s="1192"/>
      <c r="F234" s="1192"/>
      <c r="G234" s="1192"/>
      <c r="H234" s="1192"/>
      <c r="I234" s="1193"/>
      <c r="J234" s="1192"/>
      <c r="K234" s="1192"/>
      <c r="L234" s="1192"/>
      <c r="M234" s="1192"/>
      <c r="N234" s="1192"/>
      <c r="O234" s="1192"/>
      <c r="P234" s="1192"/>
      <c r="Q234" s="1190">
        <f>+IFERROR(VLOOKUP(C234,'2183 IS 2018'!$D:$AH,31,FALSE),0)</f>
        <v>110380.34</v>
      </c>
    </row>
    <row r="235" spans="1:21">
      <c r="C235" s="1195"/>
      <c r="D235" s="1195"/>
      <c r="E235" s="1192"/>
      <c r="F235" s="1192"/>
      <c r="G235" s="1192"/>
      <c r="H235" s="1192"/>
      <c r="I235" s="1193"/>
      <c r="J235" s="1192"/>
      <c r="K235" s="1192"/>
      <c r="L235" s="1192"/>
      <c r="M235" s="1192"/>
      <c r="N235" s="1192"/>
      <c r="O235" s="1192"/>
      <c r="P235" s="1192"/>
      <c r="Q235" s="1159">
        <f>SUM(Q228:Q234)</f>
        <v>4389608.2700000005</v>
      </c>
    </row>
    <row r="236" spans="1:21">
      <c r="C236" s="1195"/>
      <c r="D236" s="1195"/>
      <c r="E236" s="1192"/>
      <c r="F236" s="1192"/>
      <c r="G236" s="1192"/>
      <c r="H236" s="1192"/>
      <c r="I236" s="1193"/>
      <c r="J236" s="1192"/>
      <c r="K236" s="1192"/>
      <c r="L236" s="1192"/>
      <c r="M236" s="1192"/>
      <c r="N236" s="1192"/>
      <c r="O236" s="1192"/>
      <c r="P236" s="1192"/>
      <c r="Q236" s="1196"/>
    </row>
    <row r="237" spans="1:21">
      <c r="C237" s="1195"/>
      <c r="D237" s="1194" t="s">
        <v>393</v>
      </c>
      <c r="E237" s="1197"/>
      <c r="F237" s="1197"/>
      <c r="G237" s="1197"/>
      <c r="H237" s="1197"/>
      <c r="I237" s="1096"/>
      <c r="J237" s="1197"/>
      <c r="K237" s="1197"/>
      <c r="L237" s="1197"/>
      <c r="M237" s="1197"/>
      <c r="N237" s="1197"/>
      <c r="O237" s="1197"/>
      <c r="P237" s="1197"/>
      <c r="Q237" s="1196">
        <f>Q222+Q224-Q235</f>
        <v>-147139.74452258926</v>
      </c>
    </row>
    <row r="238" spans="1:21" s="1087" customFormat="1">
      <c r="B238" s="1086"/>
      <c r="C238" s="1091"/>
      <c r="D238" s="1088"/>
      <c r="E238" s="1088"/>
      <c r="F238" s="1088"/>
      <c r="G238" s="1088"/>
      <c r="H238" s="1088"/>
      <c r="I238" s="1089"/>
      <c r="J238" s="1088"/>
      <c r="K238" s="1088"/>
      <c r="L238" s="1088"/>
      <c r="M238" s="1088"/>
      <c r="N238" s="1088"/>
      <c r="O238" s="1088"/>
      <c r="P238" s="1088"/>
      <c r="Q238" s="1159"/>
      <c r="R238" s="1091"/>
      <c r="S238" s="1092"/>
    </row>
    <row r="239" spans="1:21">
      <c r="Q239" s="1198"/>
    </row>
    <row r="240" spans="1:21">
      <c r="A240" s="1199"/>
      <c r="B240" s="1200"/>
      <c r="C240" s="1201" t="s">
        <v>2927</v>
      </c>
      <c r="D240" s="1202"/>
      <c r="E240" s="1202"/>
      <c r="F240" s="1202"/>
      <c r="G240" s="1202"/>
      <c r="H240" s="1202"/>
      <c r="I240" s="1203"/>
      <c r="J240" s="1202"/>
      <c r="K240" s="1202"/>
      <c r="L240" s="1202"/>
      <c r="M240" s="1202"/>
      <c r="N240" s="1202"/>
      <c r="O240" s="1202"/>
      <c r="P240" s="1202"/>
      <c r="Q240" s="1204">
        <f>M150</f>
        <v>866273.71610275179</v>
      </c>
    </row>
    <row r="241" spans="2:21">
      <c r="D241" s="1091"/>
    </row>
    <row r="242" spans="2:21">
      <c r="D242" s="1186" t="s">
        <v>2924</v>
      </c>
      <c r="Q242" s="1187">
        <v>-4158.5000000000164</v>
      </c>
    </row>
    <row r="243" spans="2:21">
      <c r="D243" s="1186" t="s">
        <v>2928</v>
      </c>
    </row>
    <row r="244" spans="2:21">
      <c r="D244" s="1186"/>
    </row>
    <row r="245" spans="2:21">
      <c r="D245" s="1091"/>
      <c r="E245" s="1095"/>
      <c r="F245" s="1095"/>
      <c r="G245" s="1095"/>
      <c r="H245" s="1095"/>
      <c r="I245" s="1096"/>
      <c r="J245" s="1095"/>
      <c r="K245" s="1095"/>
      <c r="L245" s="1095"/>
      <c r="M245" s="1095"/>
      <c r="N245" s="1095"/>
      <c r="O245" s="1095"/>
      <c r="P245" s="1095"/>
      <c r="Q245" s="1189" t="s">
        <v>2925</v>
      </c>
    </row>
    <row r="246" spans="2:21">
      <c r="C246" s="1191">
        <v>52010</v>
      </c>
      <c r="D246" s="1191" t="s">
        <v>17</v>
      </c>
      <c r="E246" s="1095"/>
      <c r="F246" s="1095"/>
      <c r="G246" s="1095"/>
      <c r="H246" s="1095"/>
      <c r="I246" s="1096"/>
      <c r="J246" s="1095"/>
      <c r="K246" s="1095"/>
      <c r="L246" s="1095"/>
      <c r="M246" s="1095"/>
      <c r="N246" s="1095"/>
      <c r="O246" s="1095"/>
      <c r="P246" s="1095"/>
      <c r="Q246" s="1190">
        <f>+IFERROR(VLOOKUP(C246,'2183 IS 2018'!$D:$AH,31,FALSE),0)</f>
        <v>123485.56</v>
      </c>
    </row>
    <row r="247" spans="2:21">
      <c r="C247" s="1191">
        <v>52020</v>
      </c>
      <c r="D247" s="1191" t="s">
        <v>24</v>
      </c>
      <c r="E247" s="1192"/>
      <c r="F247" s="1192"/>
      <c r="G247" s="1192"/>
      <c r="H247" s="1192"/>
      <c r="I247" s="1193"/>
      <c r="J247" s="1192"/>
      <c r="K247" s="1192"/>
      <c r="L247" s="1192"/>
      <c r="M247" s="1192"/>
      <c r="N247" s="1192"/>
      <c r="O247" s="1192"/>
      <c r="P247" s="1192"/>
      <c r="Q247" s="1190">
        <f>+IFERROR(VLOOKUP(C247,'2183 IS 2018'!$D:$AH,31,FALSE),0)</f>
        <v>591134.85</v>
      </c>
    </row>
    <row r="248" spans="2:21">
      <c r="C248" s="1191">
        <v>52025</v>
      </c>
      <c r="D248" s="1191" t="s">
        <v>25</v>
      </c>
      <c r="E248" s="1192"/>
      <c r="F248" s="1192"/>
      <c r="G248" s="1192"/>
      <c r="H248" s="1192"/>
      <c r="I248" s="1193"/>
      <c r="J248" s="1192"/>
      <c r="K248" s="1192"/>
      <c r="L248" s="1192"/>
      <c r="M248" s="1192"/>
      <c r="N248" s="1192"/>
      <c r="O248" s="1192"/>
      <c r="P248" s="1192"/>
      <c r="Q248" s="1190">
        <f>+IFERROR(VLOOKUP(C248,'2183 IS 2018'!$D:$AH,31,FALSE),0)</f>
        <v>91139.44</v>
      </c>
    </row>
    <row r="249" spans="2:21">
      <c r="C249" s="1191">
        <v>52035</v>
      </c>
      <c r="D249" s="1194" t="s">
        <v>26</v>
      </c>
      <c r="E249" s="1192"/>
      <c r="F249" s="1192"/>
      <c r="G249" s="1192"/>
      <c r="H249" s="1192"/>
      <c r="I249" s="1193"/>
      <c r="J249" s="1192"/>
      <c r="K249" s="1192"/>
      <c r="L249" s="1192"/>
      <c r="M249" s="1192"/>
      <c r="N249" s="1192"/>
      <c r="O249" s="1192"/>
      <c r="P249" s="1192"/>
      <c r="Q249" s="1190">
        <f>+IFERROR(VLOOKUP(C249,'2183 IS 2018'!$D:$AH,31,FALSE),0)</f>
        <v>7428.52</v>
      </c>
      <c r="R249" s="1158"/>
      <c r="S249" s="1161"/>
      <c r="T249" s="1158"/>
      <c r="U249" s="1161"/>
    </row>
    <row r="250" spans="2:21">
      <c r="C250" s="1191">
        <v>52036</v>
      </c>
      <c r="D250" s="1194" t="s">
        <v>2926</v>
      </c>
      <c r="E250" s="1192"/>
      <c r="F250" s="1192"/>
      <c r="G250" s="1192"/>
      <c r="H250" s="1192"/>
      <c r="I250" s="1193"/>
      <c r="J250" s="1192"/>
      <c r="K250" s="1192"/>
      <c r="L250" s="1192"/>
      <c r="M250" s="1192"/>
      <c r="N250" s="1192"/>
      <c r="O250" s="1192"/>
      <c r="P250" s="1192"/>
      <c r="Q250" s="1190">
        <f>+IFERROR(VLOOKUP(C250,'2183 IS 2018'!$D:$AH,31,FALSE),0)</f>
        <v>0</v>
      </c>
    </row>
    <row r="251" spans="2:21">
      <c r="C251" s="1191">
        <v>52065</v>
      </c>
      <c r="D251" s="1191" t="s">
        <v>21</v>
      </c>
      <c r="E251" s="1192"/>
      <c r="F251" s="1192"/>
      <c r="G251" s="1192"/>
      <c r="H251" s="1192"/>
      <c r="I251" s="1193"/>
      <c r="J251" s="1192"/>
      <c r="K251" s="1192"/>
      <c r="L251" s="1192"/>
      <c r="M251" s="1192"/>
      <c r="N251" s="1192"/>
      <c r="O251" s="1192"/>
      <c r="P251" s="1192"/>
      <c r="Q251" s="1190">
        <f>+IFERROR(VLOOKUP(C251,'2183 IS 2018'!$D:$AH,31,FALSE),0)</f>
        <v>15476.38</v>
      </c>
    </row>
    <row r="252" spans="2:21">
      <c r="C252" s="1191">
        <v>52070</v>
      </c>
      <c r="D252" s="1191" t="s">
        <v>22</v>
      </c>
      <c r="E252" s="1192"/>
      <c r="F252" s="1192"/>
      <c r="G252" s="1192"/>
      <c r="H252" s="1192"/>
      <c r="I252" s="1193"/>
      <c r="J252" s="1192"/>
      <c r="K252" s="1192"/>
      <c r="L252" s="1192"/>
      <c r="M252" s="1192"/>
      <c r="N252" s="1192"/>
      <c r="O252" s="1192"/>
      <c r="P252" s="1192"/>
      <c r="Q252" s="1190">
        <f>+IFERROR(VLOOKUP(C252,'2183 IS 2018'!$D:$AH,31,FALSE),0)</f>
        <v>23159.05</v>
      </c>
    </row>
    <row r="253" spans="2:21">
      <c r="C253" s="1195"/>
      <c r="D253" s="1195"/>
      <c r="E253" s="1192"/>
      <c r="F253" s="1192"/>
      <c r="G253" s="1192"/>
      <c r="H253" s="1192"/>
      <c r="I253" s="1193"/>
      <c r="J253" s="1192"/>
      <c r="K253" s="1192"/>
      <c r="L253" s="1192"/>
      <c r="M253" s="1192"/>
      <c r="N253" s="1192"/>
      <c r="O253" s="1192"/>
      <c r="P253" s="1192"/>
      <c r="Q253" s="1159">
        <f>SUM(Q246:Q252)</f>
        <v>851823.79999999993</v>
      </c>
    </row>
    <row r="254" spans="2:21">
      <c r="C254" s="1195"/>
      <c r="D254" s="1195"/>
      <c r="E254" s="1192"/>
      <c r="F254" s="1192"/>
      <c r="G254" s="1192"/>
      <c r="H254" s="1192"/>
      <c r="I254" s="1193"/>
      <c r="J254" s="1192"/>
      <c r="K254" s="1192"/>
      <c r="L254" s="1192"/>
      <c r="M254" s="1192"/>
      <c r="N254" s="1192"/>
      <c r="O254" s="1192"/>
      <c r="P254" s="1192"/>
      <c r="Q254" s="1196"/>
    </row>
    <row r="255" spans="2:21">
      <c r="C255" s="1195"/>
      <c r="D255" s="1205" t="s">
        <v>393</v>
      </c>
      <c r="E255" s="1197"/>
      <c r="F255" s="1197"/>
      <c r="G255" s="1197"/>
      <c r="H255" s="1197"/>
      <c r="I255" s="1096"/>
      <c r="J255" s="1197"/>
      <c r="K255" s="1197"/>
      <c r="L255" s="1197"/>
      <c r="M255" s="1197"/>
      <c r="N255" s="1197"/>
      <c r="O255" s="1197"/>
      <c r="P255" s="1197"/>
      <c r="Q255" s="1196">
        <f>Q240+Q242-Q253</f>
        <v>10291.416102751857</v>
      </c>
    </row>
    <row r="256" spans="2:21" s="1087" customFormat="1">
      <c r="B256" s="1086"/>
      <c r="C256" s="1091"/>
      <c r="D256" s="1088"/>
      <c r="E256" s="1088"/>
      <c r="F256" s="1088"/>
      <c r="G256" s="1088"/>
      <c r="H256" s="1088"/>
      <c r="I256" s="1089"/>
      <c r="J256" s="1088"/>
      <c r="K256" s="1088"/>
      <c r="L256" s="1088"/>
      <c r="M256" s="1088"/>
      <c r="N256" s="1088"/>
      <c r="O256" s="1088"/>
      <c r="P256" s="1088"/>
      <c r="Q256" s="1090"/>
      <c r="R256" s="1091"/>
      <c r="S256" s="1092"/>
    </row>
    <row r="257" spans="1:19">
      <c r="A257" s="1206"/>
      <c r="B257" s="1207"/>
      <c r="C257" s="1208" t="s">
        <v>2929</v>
      </c>
      <c r="D257" s="1209"/>
      <c r="E257" s="1209"/>
      <c r="F257" s="1209"/>
      <c r="G257" s="1209"/>
      <c r="H257" s="1209"/>
      <c r="I257" s="1210"/>
      <c r="J257" s="1209"/>
      <c r="K257" s="1209"/>
      <c r="L257" s="1209"/>
      <c r="M257" s="1209"/>
      <c r="N257" s="1209"/>
      <c r="O257" s="1209"/>
      <c r="P257" s="1209"/>
      <c r="Q257" s="1211">
        <f>+M155</f>
        <v>64060.690153845921</v>
      </c>
      <c r="R257" s="1158"/>
      <c r="S257" s="1161"/>
    </row>
    <row r="258" spans="1:19" hidden="1">
      <c r="A258" s="1199"/>
      <c r="B258" s="1200"/>
      <c r="C258" s="1201" t="s">
        <v>2930</v>
      </c>
      <c r="D258" s="1202"/>
      <c r="E258" s="1202"/>
      <c r="F258" s="1202"/>
      <c r="G258" s="1202"/>
      <c r="H258" s="1202"/>
      <c r="I258" s="1203"/>
      <c r="J258" s="1202"/>
      <c r="K258" s="1202"/>
      <c r="L258" s="1202"/>
      <c r="M258" s="1202"/>
      <c r="N258" s="1202"/>
      <c r="O258" s="1202"/>
      <c r="P258" s="1202"/>
      <c r="Q258" s="1212"/>
    </row>
    <row r="259" spans="1:19" hidden="1"/>
    <row r="260" spans="1:19" hidden="1">
      <c r="C260" s="1186" t="s">
        <v>2931</v>
      </c>
    </row>
    <row r="261" spans="1:19" hidden="1">
      <c r="C261" s="1186" t="s">
        <v>2932</v>
      </c>
    </row>
    <row r="262" spans="1:19" hidden="1">
      <c r="C262" s="1186" t="s">
        <v>2933</v>
      </c>
    </row>
    <row r="263" spans="1:19" hidden="1">
      <c r="C263" s="1186" t="s">
        <v>2934</v>
      </c>
    </row>
    <row r="264" spans="1:19" hidden="1">
      <c r="C264" s="1186" t="s">
        <v>2935</v>
      </c>
    </row>
    <row r="265" spans="1:19" hidden="1">
      <c r="C265" s="1186" t="s">
        <v>2936</v>
      </c>
    </row>
    <row r="266" spans="1:19" hidden="1">
      <c r="C266" s="1186" t="s">
        <v>2937</v>
      </c>
    </row>
    <row r="267" spans="1:19" hidden="1">
      <c r="C267" s="1186" t="s">
        <v>2938</v>
      </c>
    </row>
    <row r="268" spans="1:19" hidden="1">
      <c r="C268" s="1186" t="s">
        <v>2939</v>
      </c>
    </row>
    <row r="269" spans="1:19" hidden="1">
      <c r="C269" s="1186" t="s">
        <v>2940</v>
      </c>
    </row>
    <row r="270" spans="1:19" hidden="1"/>
    <row r="271" spans="1:19" hidden="1"/>
    <row r="272" spans="1:19" hidden="1">
      <c r="B272" s="1213">
        <v>55020</v>
      </c>
      <c r="C272" s="1191" t="s">
        <v>24</v>
      </c>
      <c r="D272" s="1195"/>
      <c r="E272" s="1195"/>
      <c r="F272" s="1195"/>
      <c r="G272" s="1195"/>
      <c r="H272" s="1195"/>
      <c r="I272" s="1214"/>
      <c r="J272" s="1195"/>
      <c r="K272" s="1195"/>
      <c r="L272" s="1195"/>
      <c r="M272" s="1195"/>
      <c r="N272" s="1195"/>
      <c r="O272" s="1195"/>
      <c r="P272" s="1195"/>
      <c r="Q272" s="1215"/>
    </row>
    <row r="273" spans="1:19" hidden="1">
      <c r="B273" s="1213">
        <v>55025</v>
      </c>
      <c r="C273" s="1191" t="s">
        <v>25</v>
      </c>
      <c r="D273" s="1195"/>
      <c r="E273" s="1195"/>
      <c r="F273" s="1195"/>
      <c r="G273" s="1195"/>
      <c r="H273" s="1195"/>
      <c r="I273" s="1214"/>
      <c r="J273" s="1195"/>
      <c r="K273" s="1195"/>
      <c r="L273" s="1195"/>
      <c r="M273" s="1195"/>
      <c r="N273" s="1195"/>
      <c r="O273" s="1195"/>
      <c r="P273" s="1195"/>
      <c r="Q273" s="1215"/>
    </row>
    <row r="274" spans="1:19" hidden="1">
      <c r="B274" s="1213">
        <v>55035</v>
      </c>
      <c r="C274" s="1194" t="s">
        <v>20</v>
      </c>
      <c r="D274" s="1195"/>
      <c r="E274" s="1195"/>
      <c r="F274" s="1195"/>
      <c r="G274" s="1195"/>
      <c r="H274" s="1195"/>
      <c r="I274" s="1214"/>
      <c r="J274" s="1195"/>
      <c r="K274" s="1195"/>
      <c r="L274" s="1195"/>
      <c r="M274" s="1195"/>
      <c r="N274" s="1195"/>
      <c r="O274" s="1195"/>
      <c r="P274" s="1195"/>
      <c r="Q274" s="1215"/>
    </row>
    <row r="275" spans="1:19" hidden="1">
      <c r="B275" s="1213">
        <v>50065</v>
      </c>
      <c r="C275" s="1191" t="s">
        <v>21</v>
      </c>
      <c r="D275" s="1195"/>
      <c r="E275" s="1195"/>
      <c r="F275" s="1195"/>
      <c r="G275" s="1195"/>
      <c r="H275" s="1195"/>
      <c r="I275" s="1214"/>
      <c r="J275" s="1195"/>
      <c r="K275" s="1195"/>
      <c r="L275" s="1195"/>
      <c r="M275" s="1195"/>
      <c r="N275" s="1195"/>
      <c r="O275" s="1195"/>
      <c r="P275" s="1195"/>
      <c r="Q275" s="1215"/>
    </row>
    <row r="276" spans="1:19" hidden="1">
      <c r="B276" s="1213">
        <v>55070</v>
      </c>
      <c r="C276" s="1191" t="s">
        <v>22</v>
      </c>
      <c r="D276" s="1195"/>
      <c r="E276" s="1195"/>
      <c r="F276" s="1195"/>
      <c r="G276" s="1195"/>
      <c r="H276" s="1195"/>
      <c r="I276" s="1214"/>
      <c r="J276" s="1195"/>
      <c r="K276" s="1195"/>
      <c r="L276" s="1195"/>
      <c r="M276" s="1195"/>
      <c r="N276" s="1195"/>
      <c r="O276" s="1195"/>
      <c r="P276" s="1195"/>
      <c r="Q276" s="1215"/>
    </row>
    <row r="277" spans="1:19" hidden="1">
      <c r="B277" s="1216"/>
      <c r="C277" s="1195"/>
      <c r="D277" s="1195"/>
      <c r="E277" s="1195"/>
      <c r="F277" s="1195"/>
      <c r="G277" s="1195"/>
      <c r="H277" s="1195"/>
      <c r="I277" s="1214"/>
      <c r="J277" s="1195"/>
      <c r="K277" s="1195"/>
      <c r="L277" s="1195"/>
      <c r="M277" s="1195"/>
      <c r="N277" s="1195"/>
      <c r="O277" s="1195"/>
      <c r="P277" s="1195"/>
      <c r="Q277" s="1215"/>
    </row>
    <row r="278" spans="1:19" hidden="1">
      <c r="B278" s="1216"/>
      <c r="C278" s="1195"/>
      <c r="D278" s="1195"/>
      <c r="E278" s="1195"/>
      <c r="F278" s="1195"/>
      <c r="G278" s="1195"/>
      <c r="H278" s="1195"/>
      <c r="I278" s="1214"/>
      <c r="J278" s="1195"/>
      <c r="K278" s="1195"/>
      <c r="L278" s="1195"/>
      <c r="M278" s="1195"/>
      <c r="N278" s="1195"/>
      <c r="O278" s="1195"/>
      <c r="P278" s="1195"/>
      <c r="Q278" s="1215"/>
    </row>
    <row r="279" spans="1:19" hidden="1">
      <c r="B279" s="1216"/>
      <c r="C279" s="1205" t="s">
        <v>393</v>
      </c>
      <c r="D279" s="1205"/>
      <c r="E279" s="1205"/>
      <c r="F279" s="1205"/>
      <c r="G279" s="1205"/>
      <c r="H279" s="1205"/>
      <c r="J279" s="1205"/>
      <c r="K279" s="1205"/>
      <c r="L279" s="1205"/>
      <c r="M279" s="1205"/>
      <c r="N279" s="1205"/>
      <c r="O279" s="1205"/>
      <c r="P279" s="1205"/>
      <c r="Q279" s="1217"/>
      <c r="R279" s="1158"/>
      <c r="S279" s="1161"/>
    </row>
    <row r="280" spans="1:19" s="1218" customFormat="1" hidden="1">
      <c r="A280" s="1091"/>
      <c r="B280" s="1086"/>
      <c r="C280" s="1091"/>
      <c r="D280" s="1088"/>
      <c r="E280" s="1088"/>
      <c r="F280" s="1088"/>
      <c r="G280" s="1088"/>
      <c r="H280" s="1088"/>
      <c r="I280" s="1089"/>
      <c r="J280" s="1088"/>
      <c r="K280" s="1088"/>
      <c r="L280" s="1088"/>
      <c r="M280" s="1088"/>
      <c r="N280" s="1088"/>
      <c r="O280" s="1088"/>
      <c r="P280" s="1088"/>
      <c r="Q280" s="1090"/>
      <c r="R280" s="1158"/>
      <c r="S280" s="1161"/>
    </row>
    <row r="281" spans="1:19">
      <c r="R281" s="1158"/>
      <c r="S281" s="1161"/>
    </row>
    <row r="282" spans="1:19">
      <c r="D282" s="1186" t="s">
        <v>2924</v>
      </c>
      <c r="Q282" s="1187">
        <v>3688.3</v>
      </c>
      <c r="R282" s="1158"/>
      <c r="S282" s="1161"/>
    </row>
    <row r="283" spans="1:19">
      <c r="D283" s="1186" t="s">
        <v>2928</v>
      </c>
      <c r="Q283" s="1091"/>
      <c r="R283" s="1158"/>
      <c r="S283" s="1161"/>
    </row>
    <row r="284" spans="1:19">
      <c r="R284" s="1158"/>
      <c r="S284" s="1161"/>
    </row>
    <row r="285" spans="1:19">
      <c r="Q285" s="1189" t="s">
        <v>2925</v>
      </c>
      <c r="R285" s="1158"/>
      <c r="S285" s="1161"/>
    </row>
    <row r="286" spans="1:19">
      <c r="C286" s="1191">
        <v>60010</v>
      </c>
      <c r="D286" s="1191" t="s">
        <v>17</v>
      </c>
      <c r="Q286" s="1190">
        <f>+IFERROR(VLOOKUP(C286,'2183 IS 2018'!$D:$AH,31,FALSE),0)</f>
        <v>56298.969999999987</v>
      </c>
      <c r="R286" s="1158"/>
      <c r="S286" s="1161"/>
    </row>
    <row r="287" spans="1:19">
      <c r="C287" s="1191">
        <v>60030</v>
      </c>
      <c r="D287" s="1191" t="s">
        <v>24</v>
      </c>
      <c r="Q287" s="1190">
        <f>+IFERROR(VLOOKUP(C287,'2183 IS 2018'!$D:$AH,31,FALSE),0)</f>
        <v>13503.650000000001</v>
      </c>
      <c r="R287" s="1158"/>
      <c r="S287" s="1161"/>
    </row>
    <row r="288" spans="1:19">
      <c r="C288" s="1191">
        <v>60065</v>
      </c>
      <c r="D288" s="1191" t="s">
        <v>21</v>
      </c>
      <c r="Q288" s="1190">
        <f>+IFERROR(VLOOKUP(C288,'2183 IS 2018'!$D:$AH,31,FALSE),0)</f>
        <v>-4608.7</v>
      </c>
      <c r="R288" s="1158"/>
      <c r="S288" s="1161"/>
    </row>
    <row r="289" spans="1:19">
      <c r="C289" s="1191">
        <v>60070</v>
      </c>
      <c r="D289" s="1194" t="s">
        <v>22</v>
      </c>
      <c r="Q289" s="1190">
        <f>+IFERROR(VLOOKUP(C289,'2183 IS 2018'!$D:$AH,31,FALSE),0)</f>
        <v>1684.0000000000002</v>
      </c>
      <c r="R289" s="1158"/>
      <c r="S289" s="1161"/>
    </row>
    <row r="290" spans="1:19">
      <c r="Q290" s="1159">
        <f>+SUM(Q286:Q289)</f>
        <v>66877.919999999998</v>
      </c>
      <c r="R290" s="1158"/>
      <c r="S290" s="1161"/>
    </row>
    <row r="291" spans="1:19">
      <c r="Q291" s="1192"/>
      <c r="R291" s="1158"/>
      <c r="S291" s="1161"/>
    </row>
    <row r="292" spans="1:19">
      <c r="D292" s="1205" t="s">
        <v>393</v>
      </c>
      <c r="E292" s="1197"/>
      <c r="F292" s="1197"/>
      <c r="G292" s="1197"/>
      <c r="H292" s="1197"/>
      <c r="I292" s="1096"/>
      <c r="J292" s="1197"/>
      <c r="K292" s="1197"/>
      <c r="L292" s="1197"/>
      <c r="M292" s="1197"/>
      <c r="N292" s="1197"/>
      <c r="O292" s="1197"/>
      <c r="P292" s="1197"/>
      <c r="Q292" s="1196">
        <f>+Q257+Q282-Q290</f>
        <v>871.07015384592523</v>
      </c>
      <c r="R292" s="1158"/>
      <c r="S292" s="1161"/>
    </row>
    <row r="293" spans="1:19">
      <c r="Q293" s="1192"/>
      <c r="R293" s="1158"/>
      <c r="S293" s="1161"/>
    </row>
    <row r="294" spans="1:19">
      <c r="A294" s="1206"/>
      <c r="B294" s="1207"/>
      <c r="C294" s="1208" t="s">
        <v>2941</v>
      </c>
      <c r="D294" s="1209"/>
      <c r="E294" s="1209"/>
      <c r="F294" s="1209"/>
      <c r="G294" s="1209"/>
      <c r="H294" s="1209"/>
      <c r="I294" s="1210"/>
      <c r="J294" s="1209"/>
      <c r="K294" s="1209"/>
      <c r="L294" s="1209"/>
      <c r="M294" s="1209"/>
      <c r="N294" s="1209"/>
      <c r="O294" s="1209"/>
      <c r="P294" s="1209"/>
      <c r="Q294" s="1211">
        <f>+M214</f>
        <v>347815.7547692302</v>
      </c>
      <c r="R294" s="1158"/>
      <c r="S294" s="1161"/>
    </row>
    <row r="295" spans="1:19">
      <c r="B295" s="1219"/>
      <c r="C295" s="1220"/>
      <c r="D295" s="1090"/>
      <c r="E295" s="1090"/>
      <c r="F295" s="1090"/>
      <c r="G295" s="1090"/>
      <c r="H295" s="1090"/>
      <c r="I295" s="1221"/>
      <c r="J295" s="1090"/>
      <c r="K295" s="1090"/>
      <c r="L295" s="1090"/>
      <c r="M295" s="1090"/>
      <c r="N295" s="1090"/>
      <c r="O295" s="1090"/>
      <c r="P295" s="1090"/>
      <c r="R295" s="1158"/>
      <c r="S295" s="1161"/>
    </row>
    <row r="296" spans="1:19">
      <c r="D296" s="1186" t="s">
        <v>2924</v>
      </c>
      <c r="Q296" s="1187">
        <v>19703.899999999998</v>
      </c>
      <c r="R296" s="1158"/>
      <c r="S296" s="1161"/>
    </row>
    <row r="297" spans="1:19">
      <c r="D297" s="1222" t="s">
        <v>2942</v>
      </c>
      <c r="R297" s="1158"/>
      <c r="S297" s="1161"/>
    </row>
    <row r="298" spans="1:19">
      <c r="D298" s="1186"/>
      <c r="R298" s="1158"/>
      <c r="S298" s="1161"/>
    </row>
    <row r="299" spans="1:19">
      <c r="B299" s="1223"/>
      <c r="D299" s="1224"/>
      <c r="Q299" s="1189" t="s">
        <v>2925</v>
      </c>
      <c r="R299" s="1158"/>
      <c r="S299" s="1161"/>
    </row>
    <row r="300" spans="1:19">
      <c r="C300" s="1186">
        <v>56010</v>
      </c>
      <c r="D300" s="1186" t="s">
        <v>17</v>
      </c>
      <c r="E300" s="1095"/>
      <c r="F300" s="1095"/>
      <c r="G300" s="1095"/>
      <c r="H300" s="1095"/>
      <c r="I300" s="1096"/>
      <c r="J300" s="1095"/>
      <c r="K300" s="1095"/>
      <c r="L300" s="1095"/>
      <c r="M300" s="1095"/>
      <c r="N300" s="1095"/>
      <c r="O300" s="1095"/>
      <c r="P300" s="1095"/>
      <c r="Q300" s="1190">
        <f>+IFERROR(VLOOKUP(C300,'2183 IS 2018'!$D:$AH,31,FALSE),0)</f>
        <v>357072.7</v>
      </c>
      <c r="R300" s="1158"/>
      <c r="S300" s="1161"/>
    </row>
    <row r="301" spans="1:19">
      <c r="C301" s="1186">
        <v>56020</v>
      </c>
      <c r="D301" s="1186" t="s">
        <v>24</v>
      </c>
      <c r="E301" s="1095"/>
      <c r="F301" s="1095"/>
      <c r="G301" s="1095"/>
      <c r="H301" s="1095"/>
      <c r="I301" s="1096"/>
      <c r="J301" s="1095"/>
      <c r="K301" s="1095"/>
      <c r="L301" s="1095"/>
      <c r="M301" s="1095"/>
      <c r="N301" s="1095"/>
      <c r="O301" s="1095"/>
      <c r="P301" s="1095"/>
      <c r="Q301" s="1190">
        <f>+IFERROR(VLOOKUP(C301,'2183 IS 2018'!$D:$AH,31,FALSE),0)</f>
        <v>0</v>
      </c>
      <c r="R301" s="1158"/>
      <c r="S301" s="1161"/>
    </row>
    <row r="302" spans="1:19">
      <c r="C302" s="1186">
        <v>56025</v>
      </c>
      <c r="D302" s="1191" t="s">
        <v>25</v>
      </c>
      <c r="E302" s="1095"/>
      <c r="F302" s="1095"/>
      <c r="G302" s="1095"/>
      <c r="H302" s="1095"/>
      <c r="I302" s="1096"/>
      <c r="J302" s="1095"/>
      <c r="K302" s="1095"/>
      <c r="L302" s="1095"/>
      <c r="M302" s="1095"/>
      <c r="N302" s="1095"/>
      <c r="O302" s="1095"/>
      <c r="P302" s="1095"/>
      <c r="Q302" s="1190">
        <f>+IFERROR(VLOOKUP(C302,'2183 IS 2018'!$D:$AH,31,FALSE),0)</f>
        <v>0</v>
      </c>
      <c r="R302" s="1158"/>
      <c r="S302" s="1161"/>
    </row>
    <row r="303" spans="1:19">
      <c r="C303" s="1186">
        <v>56035</v>
      </c>
      <c r="D303" s="1191" t="s">
        <v>20</v>
      </c>
      <c r="E303" s="1095"/>
      <c r="F303" s="1095"/>
      <c r="G303" s="1095"/>
      <c r="H303" s="1095"/>
      <c r="I303" s="1096"/>
      <c r="J303" s="1095"/>
      <c r="K303" s="1095"/>
      <c r="L303" s="1095"/>
      <c r="M303" s="1095"/>
      <c r="N303" s="1095"/>
      <c r="O303" s="1095"/>
      <c r="P303" s="1095"/>
      <c r="Q303" s="1190">
        <f>+IFERROR(VLOOKUP(C303,'2183 IS 2018'!$D:$AH,31,FALSE),0)</f>
        <v>0</v>
      </c>
      <c r="R303" s="1158"/>
      <c r="S303" s="1161"/>
    </row>
    <row r="304" spans="1:19">
      <c r="C304" s="1186">
        <v>56036</v>
      </c>
      <c r="D304" s="1194" t="s">
        <v>2943</v>
      </c>
      <c r="E304" s="1095"/>
      <c r="F304" s="1095"/>
      <c r="G304" s="1095"/>
      <c r="H304" s="1095"/>
      <c r="I304" s="1096"/>
      <c r="J304" s="1095"/>
      <c r="K304" s="1095"/>
      <c r="L304" s="1095"/>
      <c r="M304" s="1095"/>
      <c r="N304" s="1095"/>
      <c r="O304" s="1095"/>
      <c r="P304" s="1095"/>
      <c r="Q304" s="1190">
        <f>+IFERROR(VLOOKUP(C304,'2183 IS 2018'!$D:$AH,31,FALSE),0)</f>
        <v>0</v>
      </c>
      <c r="R304" s="1158"/>
      <c r="S304" s="1161"/>
    </row>
    <row r="305" spans="1:16384">
      <c r="C305" s="1186">
        <v>56065</v>
      </c>
      <c r="D305" s="1194" t="s">
        <v>21</v>
      </c>
      <c r="E305" s="1095"/>
      <c r="F305" s="1095"/>
      <c r="G305" s="1095"/>
      <c r="H305" s="1095"/>
      <c r="I305" s="1096"/>
      <c r="J305" s="1095"/>
      <c r="K305" s="1095"/>
      <c r="L305" s="1095"/>
      <c r="M305" s="1095"/>
      <c r="N305" s="1095"/>
      <c r="O305" s="1095"/>
      <c r="P305" s="1095"/>
      <c r="Q305" s="1190">
        <f>+IFERROR(VLOOKUP(C305,'2183 IS 2018'!$D:$AH,31,FALSE),0)</f>
        <v>2187.5600000000009</v>
      </c>
      <c r="R305" s="1158"/>
      <c r="S305" s="1161"/>
    </row>
    <row r="306" spans="1:16384">
      <c r="C306" s="1186">
        <v>56070</v>
      </c>
      <c r="D306" s="1194" t="s">
        <v>22</v>
      </c>
      <c r="E306" s="1095"/>
      <c r="F306" s="1095"/>
      <c r="G306" s="1095"/>
      <c r="H306" s="1095"/>
      <c r="I306" s="1096"/>
      <c r="J306" s="1095"/>
      <c r="K306" s="1095"/>
      <c r="L306" s="1095"/>
      <c r="M306" s="1095"/>
      <c r="N306" s="1095"/>
      <c r="O306" s="1095"/>
      <c r="P306" s="1095"/>
      <c r="Q306" s="1190">
        <f>+IFERROR(VLOOKUP(C306,'2183 IS 2018'!$D:$AH,31,FALSE),0)</f>
        <v>0</v>
      </c>
      <c r="R306" s="1158"/>
      <c r="S306" s="1161"/>
    </row>
    <row r="307" spans="1:16384">
      <c r="D307" s="1091"/>
      <c r="Q307" s="1159">
        <f>SUM(Q300:Q306)</f>
        <v>359260.26</v>
      </c>
      <c r="R307" s="1158"/>
      <c r="S307" s="1161"/>
    </row>
    <row r="308" spans="1:16384" s="1218" customFormat="1">
      <c r="A308" s="1158"/>
      <c r="B308" s="1086"/>
      <c r="C308" s="1158"/>
      <c r="D308" s="1091"/>
      <c r="E308" s="1088"/>
      <c r="F308" s="1088"/>
      <c r="G308" s="1088"/>
      <c r="H308" s="1088"/>
      <c r="I308" s="1089"/>
      <c r="J308" s="1088"/>
      <c r="K308" s="1088"/>
      <c r="L308" s="1088"/>
      <c r="M308" s="1088"/>
      <c r="N308" s="1088"/>
      <c r="O308" s="1088"/>
      <c r="P308" s="1088"/>
      <c r="Q308" s="1196"/>
      <c r="R308" s="1158"/>
      <c r="S308" s="1161"/>
      <c r="T308" s="1091"/>
      <c r="U308" s="1091"/>
      <c r="V308" s="1091"/>
      <c r="W308" s="1091"/>
      <c r="X308" s="1091"/>
      <c r="Y308" s="1091"/>
      <c r="Z308" s="1091"/>
      <c r="AA308" s="1091"/>
      <c r="AB308" s="1091"/>
      <c r="AC308" s="1091"/>
      <c r="AD308" s="1091"/>
      <c r="AE308" s="1091"/>
      <c r="AF308" s="1091"/>
      <c r="AG308" s="1091"/>
      <c r="AH308" s="1091"/>
      <c r="AI308" s="1091"/>
      <c r="AJ308" s="1091"/>
      <c r="AK308" s="1091"/>
      <c r="AL308" s="1091"/>
      <c r="AM308" s="1091"/>
      <c r="AN308" s="1091"/>
      <c r="AO308" s="1091"/>
      <c r="AP308" s="1091"/>
      <c r="AQ308" s="1091"/>
      <c r="AR308" s="1091"/>
      <c r="AS308" s="1091"/>
      <c r="AT308" s="1091"/>
      <c r="AU308" s="1091"/>
      <c r="AV308" s="1091"/>
      <c r="AW308" s="1091"/>
      <c r="AX308" s="1091"/>
      <c r="AY308" s="1091"/>
      <c r="AZ308" s="1091"/>
      <c r="BA308" s="1091"/>
      <c r="BB308" s="1091"/>
      <c r="BC308" s="1091"/>
      <c r="BD308" s="1091"/>
      <c r="BE308" s="1091"/>
      <c r="BF308" s="1091"/>
      <c r="BG308" s="1091"/>
      <c r="BH308" s="1091"/>
      <c r="BI308" s="1091"/>
      <c r="BJ308" s="1091"/>
      <c r="BK308" s="1091"/>
      <c r="BL308" s="1091"/>
      <c r="BM308" s="1091"/>
      <c r="BN308" s="1091"/>
      <c r="BO308" s="1091"/>
      <c r="BP308" s="1091"/>
      <c r="BQ308" s="1091"/>
      <c r="BR308" s="1091"/>
      <c r="BS308" s="1091"/>
      <c r="BT308" s="1091"/>
      <c r="BU308" s="1091"/>
      <c r="BV308" s="1091"/>
      <c r="BW308" s="1091"/>
      <c r="BX308" s="1091"/>
      <c r="BY308" s="1091"/>
      <c r="BZ308" s="1091"/>
      <c r="CA308" s="1091"/>
      <c r="CB308" s="1091"/>
      <c r="CC308" s="1091"/>
      <c r="CD308" s="1091"/>
      <c r="CE308" s="1091"/>
      <c r="CF308" s="1091"/>
      <c r="CG308" s="1091"/>
      <c r="CH308" s="1091"/>
      <c r="CI308" s="1091"/>
      <c r="CJ308" s="1091"/>
      <c r="CK308" s="1091"/>
      <c r="CL308" s="1091"/>
      <c r="CM308" s="1091"/>
      <c r="CN308" s="1091"/>
      <c r="CO308" s="1091"/>
      <c r="CP308" s="1091"/>
      <c r="CQ308" s="1091"/>
      <c r="CR308" s="1091"/>
      <c r="CS308" s="1091"/>
      <c r="CT308" s="1091"/>
      <c r="CU308" s="1091"/>
      <c r="CV308" s="1091"/>
      <c r="CW308" s="1091"/>
      <c r="CX308" s="1091"/>
      <c r="CY308" s="1091"/>
      <c r="CZ308" s="1091"/>
      <c r="DA308" s="1091"/>
      <c r="DB308" s="1091"/>
      <c r="DC308" s="1091"/>
      <c r="DD308" s="1091"/>
      <c r="DE308" s="1091"/>
      <c r="DF308" s="1091"/>
      <c r="DG308" s="1091"/>
      <c r="DH308" s="1091"/>
      <c r="DI308" s="1091"/>
      <c r="DJ308" s="1091"/>
      <c r="DK308" s="1091"/>
      <c r="DL308" s="1091"/>
      <c r="DM308" s="1091"/>
      <c r="DN308" s="1091"/>
      <c r="DO308" s="1091"/>
      <c r="DP308" s="1091"/>
      <c r="DQ308" s="1091"/>
      <c r="DR308" s="1091"/>
      <c r="DS308" s="1091"/>
      <c r="DT308" s="1091"/>
      <c r="DU308" s="1091"/>
      <c r="DV308" s="1091"/>
      <c r="DW308" s="1091"/>
      <c r="DX308" s="1091"/>
      <c r="DY308" s="1091"/>
      <c r="DZ308" s="1091"/>
      <c r="EA308" s="1091"/>
      <c r="EB308" s="1091"/>
      <c r="EC308" s="1091"/>
      <c r="ED308" s="1091"/>
      <c r="EE308" s="1091"/>
      <c r="EF308" s="1091"/>
      <c r="EG308" s="1091"/>
      <c r="EH308" s="1091"/>
      <c r="EI308" s="1091"/>
      <c r="EJ308" s="1091"/>
      <c r="EK308" s="1091"/>
      <c r="EL308" s="1091"/>
      <c r="EM308" s="1091"/>
      <c r="EN308" s="1091"/>
      <c r="EO308" s="1091"/>
      <c r="EP308" s="1091"/>
      <c r="EQ308" s="1091"/>
      <c r="ER308" s="1091"/>
      <c r="ES308" s="1091"/>
      <c r="ET308" s="1091"/>
      <c r="EU308" s="1091"/>
      <c r="EV308" s="1091"/>
      <c r="EW308" s="1091"/>
      <c r="EX308" s="1091"/>
      <c r="EY308" s="1091"/>
      <c r="EZ308" s="1091"/>
      <c r="FA308" s="1091"/>
      <c r="FB308" s="1091"/>
      <c r="FC308" s="1091"/>
      <c r="FD308" s="1091"/>
      <c r="FE308" s="1091"/>
      <c r="FF308" s="1091"/>
      <c r="FG308" s="1091"/>
      <c r="FH308" s="1091"/>
      <c r="FI308" s="1091"/>
      <c r="FJ308" s="1091"/>
      <c r="FK308" s="1091"/>
      <c r="FL308" s="1091"/>
      <c r="FM308" s="1091"/>
      <c r="FN308" s="1091"/>
      <c r="FO308" s="1091"/>
      <c r="FP308" s="1091"/>
      <c r="FQ308" s="1091"/>
      <c r="FR308" s="1091"/>
      <c r="FS308" s="1091"/>
      <c r="FT308" s="1091"/>
      <c r="FU308" s="1091"/>
      <c r="FV308" s="1091"/>
      <c r="FW308" s="1091"/>
      <c r="FX308" s="1091"/>
      <c r="FY308" s="1091"/>
      <c r="FZ308" s="1091"/>
      <c r="GA308" s="1091"/>
      <c r="GB308" s="1091"/>
      <c r="GC308" s="1091"/>
      <c r="GD308" s="1091"/>
      <c r="GE308" s="1091"/>
      <c r="GF308" s="1091"/>
      <c r="GG308" s="1091"/>
      <c r="GH308" s="1091"/>
      <c r="GI308" s="1091"/>
      <c r="GJ308" s="1091"/>
      <c r="GK308" s="1091"/>
      <c r="GL308" s="1091"/>
      <c r="GM308" s="1091"/>
      <c r="GN308" s="1091"/>
      <c r="GO308" s="1091"/>
      <c r="GP308" s="1091"/>
      <c r="GQ308" s="1091"/>
      <c r="GR308" s="1091"/>
      <c r="GS308" s="1091"/>
      <c r="GT308" s="1091"/>
      <c r="GU308" s="1091"/>
      <c r="GV308" s="1091"/>
      <c r="GW308" s="1091"/>
      <c r="GX308" s="1091"/>
      <c r="GY308" s="1091"/>
      <c r="GZ308" s="1091"/>
      <c r="HA308" s="1091"/>
      <c r="HB308" s="1091"/>
      <c r="HC308" s="1091"/>
      <c r="HD308" s="1091"/>
      <c r="HE308" s="1091"/>
      <c r="HF308" s="1091"/>
      <c r="HG308" s="1091"/>
      <c r="HH308" s="1091"/>
      <c r="HI308" s="1091"/>
      <c r="HJ308" s="1091"/>
      <c r="HK308" s="1091"/>
      <c r="HL308" s="1091"/>
      <c r="HM308" s="1091"/>
      <c r="HN308" s="1091"/>
      <c r="HO308" s="1091"/>
      <c r="HP308" s="1091"/>
      <c r="HQ308" s="1091"/>
      <c r="HR308" s="1091"/>
      <c r="HS308" s="1091"/>
      <c r="HT308" s="1091"/>
      <c r="HU308" s="1091"/>
      <c r="HV308" s="1091"/>
      <c r="HW308" s="1091"/>
      <c r="HX308" s="1091"/>
      <c r="HY308" s="1091"/>
      <c r="HZ308" s="1091"/>
      <c r="IA308" s="1091"/>
      <c r="IB308" s="1091"/>
      <c r="IC308" s="1091"/>
      <c r="ID308" s="1091"/>
      <c r="IE308" s="1091"/>
      <c r="IF308" s="1091"/>
      <c r="IG308" s="1091"/>
      <c r="IH308" s="1091"/>
      <c r="II308" s="1091"/>
      <c r="IJ308" s="1091"/>
      <c r="IK308" s="1091"/>
      <c r="IL308" s="1091"/>
      <c r="IM308" s="1091"/>
      <c r="IN308" s="1091"/>
      <c r="IO308" s="1091"/>
      <c r="IP308" s="1091"/>
      <c r="IQ308" s="1091"/>
      <c r="IR308" s="1091"/>
      <c r="IS308" s="1091"/>
      <c r="IT308" s="1091"/>
      <c r="IU308" s="1091"/>
      <c r="IV308" s="1091"/>
      <c r="IW308" s="1091"/>
      <c r="IX308" s="1091"/>
      <c r="IY308" s="1091"/>
      <c r="IZ308" s="1091"/>
      <c r="JA308" s="1091"/>
      <c r="JB308" s="1091"/>
      <c r="JC308" s="1091"/>
      <c r="JD308" s="1091"/>
      <c r="JE308" s="1091"/>
      <c r="JF308" s="1091"/>
      <c r="JG308" s="1091"/>
      <c r="JH308" s="1091"/>
      <c r="JI308" s="1091"/>
      <c r="JJ308" s="1091"/>
      <c r="JK308" s="1091"/>
      <c r="JL308" s="1091"/>
      <c r="JM308" s="1091"/>
      <c r="JN308" s="1091"/>
      <c r="JO308" s="1091"/>
      <c r="JP308" s="1091"/>
      <c r="JQ308" s="1091"/>
      <c r="JR308" s="1091"/>
      <c r="JS308" s="1091"/>
      <c r="JT308" s="1091"/>
      <c r="JU308" s="1091"/>
      <c r="JV308" s="1091"/>
      <c r="JW308" s="1091"/>
      <c r="JX308" s="1091"/>
      <c r="JY308" s="1091"/>
      <c r="JZ308" s="1091"/>
      <c r="KA308" s="1091"/>
      <c r="KB308" s="1091"/>
      <c r="KC308" s="1091"/>
      <c r="KD308" s="1091"/>
      <c r="KE308" s="1091"/>
      <c r="KF308" s="1091"/>
      <c r="KG308" s="1091"/>
      <c r="KH308" s="1091"/>
      <c r="KI308" s="1091"/>
      <c r="KJ308" s="1091"/>
      <c r="KK308" s="1091"/>
      <c r="KL308" s="1091"/>
      <c r="KM308" s="1091"/>
      <c r="KN308" s="1091"/>
      <c r="KO308" s="1091"/>
      <c r="KP308" s="1091"/>
      <c r="KQ308" s="1091"/>
      <c r="KR308" s="1091"/>
      <c r="KS308" s="1091"/>
      <c r="KT308" s="1091"/>
      <c r="KU308" s="1091"/>
      <c r="KV308" s="1091"/>
      <c r="KW308" s="1091"/>
      <c r="KX308" s="1091"/>
      <c r="KY308" s="1091"/>
      <c r="KZ308" s="1091"/>
      <c r="LA308" s="1091"/>
      <c r="LB308" s="1091"/>
      <c r="LC308" s="1091"/>
      <c r="LD308" s="1091"/>
      <c r="LE308" s="1091"/>
      <c r="LF308" s="1091"/>
      <c r="LG308" s="1091"/>
      <c r="LH308" s="1091"/>
      <c r="LI308" s="1091"/>
      <c r="LJ308" s="1091"/>
      <c r="LK308" s="1091"/>
      <c r="LL308" s="1091"/>
      <c r="LM308" s="1091"/>
      <c r="LN308" s="1091"/>
      <c r="LO308" s="1091"/>
      <c r="LP308" s="1091"/>
      <c r="LQ308" s="1091"/>
      <c r="LR308" s="1091"/>
      <c r="LS308" s="1091"/>
      <c r="LT308" s="1091"/>
      <c r="LU308" s="1091"/>
      <c r="LV308" s="1091"/>
      <c r="LW308" s="1091"/>
      <c r="LX308" s="1091"/>
      <c r="LY308" s="1091"/>
      <c r="LZ308" s="1091"/>
      <c r="MA308" s="1091"/>
      <c r="MB308" s="1091"/>
      <c r="MC308" s="1091"/>
      <c r="MD308" s="1091"/>
      <c r="ME308" s="1091"/>
      <c r="MF308" s="1091"/>
      <c r="MG308" s="1091"/>
      <c r="MH308" s="1091"/>
      <c r="MI308" s="1091"/>
      <c r="MJ308" s="1091"/>
      <c r="MK308" s="1091"/>
      <c r="ML308" s="1091"/>
      <c r="MM308" s="1091"/>
      <c r="MN308" s="1091"/>
      <c r="MO308" s="1091"/>
      <c r="MP308" s="1091"/>
      <c r="MQ308" s="1091"/>
      <c r="MR308" s="1091"/>
      <c r="MS308" s="1091"/>
      <c r="MT308" s="1091"/>
      <c r="MU308" s="1091"/>
      <c r="MV308" s="1091"/>
      <c r="MW308" s="1091"/>
      <c r="MX308" s="1091"/>
      <c r="MY308" s="1091"/>
      <c r="MZ308" s="1091"/>
      <c r="NA308" s="1091"/>
      <c r="NB308" s="1091"/>
      <c r="NC308" s="1091"/>
      <c r="ND308" s="1091"/>
      <c r="NE308" s="1091"/>
      <c r="NF308" s="1091"/>
      <c r="NG308" s="1091"/>
      <c r="NH308" s="1091"/>
      <c r="NI308" s="1091"/>
      <c r="NJ308" s="1091"/>
      <c r="NK308" s="1091"/>
      <c r="NL308" s="1091"/>
      <c r="NM308" s="1091"/>
      <c r="NN308" s="1091"/>
      <c r="NO308" s="1091"/>
      <c r="NP308" s="1091"/>
      <c r="NQ308" s="1091"/>
      <c r="NR308" s="1091"/>
      <c r="NS308" s="1091"/>
      <c r="NT308" s="1091"/>
      <c r="NU308" s="1091"/>
      <c r="NV308" s="1091"/>
      <c r="NW308" s="1091"/>
      <c r="NX308" s="1091"/>
      <c r="NY308" s="1091"/>
      <c r="NZ308" s="1091"/>
      <c r="OA308" s="1091"/>
      <c r="OB308" s="1091"/>
      <c r="OC308" s="1091"/>
      <c r="OD308" s="1091"/>
      <c r="OE308" s="1091"/>
      <c r="OF308" s="1091"/>
      <c r="OG308" s="1091"/>
      <c r="OH308" s="1091"/>
      <c r="OI308" s="1091"/>
      <c r="OJ308" s="1091"/>
      <c r="OK308" s="1091"/>
      <c r="OL308" s="1091"/>
      <c r="OM308" s="1091"/>
      <c r="ON308" s="1091"/>
      <c r="OO308" s="1091"/>
      <c r="OP308" s="1091"/>
      <c r="OQ308" s="1091"/>
      <c r="OR308" s="1091"/>
      <c r="OS308" s="1091"/>
      <c r="OT308" s="1091"/>
      <c r="OU308" s="1091"/>
      <c r="OV308" s="1091"/>
      <c r="OW308" s="1091"/>
      <c r="OX308" s="1091"/>
      <c r="OY308" s="1091"/>
      <c r="OZ308" s="1091"/>
      <c r="PA308" s="1091"/>
      <c r="PB308" s="1091"/>
      <c r="PC308" s="1091"/>
      <c r="PD308" s="1091"/>
      <c r="PE308" s="1091"/>
      <c r="PF308" s="1091"/>
      <c r="PG308" s="1091"/>
      <c r="PH308" s="1091"/>
      <c r="PI308" s="1091"/>
      <c r="PJ308" s="1091"/>
      <c r="PK308" s="1091"/>
      <c r="PL308" s="1091"/>
      <c r="PM308" s="1091"/>
      <c r="PN308" s="1091"/>
      <c r="PO308" s="1091"/>
      <c r="PP308" s="1091"/>
      <c r="PQ308" s="1091"/>
      <c r="PR308" s="1091"/>
      <c r="PS308" s="1091"/>
      <c r="PT308" s="1091"/>
      <c r="PU308" s="1091"/>
      <c r="PV308" s="1091"/>
      <c r="PW308" s="1091"/>
      <c r="PX308" s="1091"/>
      <c r="PY308" s="1091"/>
      <c r="PZ308" s="1091"/>
      <c r="QA308" s="1091"/>
      <c r="QB308" s="1091"/>
      <c r="QC308" s="1091"/>
      <c r="QD308" s="1091"/>
      <c r="QE308" s="1091"/>
      <c r="QF308" s="1091"/>
      <c r="QG308" s="1091"/>
      <c r="QH308" s="1091"/>
      <c r="QI308" s="1091"/>
      <c r="QJ308" s="1091"/>
      <c r="QK308" s="1091"/>
      <c r="QL308" s="1091"/>
      <c r="QM308" s="1091"/>
      <c r="QN308" s="1091"/>
      <c r="QO308" s="1091"/>
      <c r="QP308" s="1091"/>
      <c r="QQ308" s="1091"/>
      <c r="QR308" s="1091"/>
      <c r="QS308" s="1091"/>
      <c r="QT308" s="1091"/>
      <c r="QU308" s="1091"/>
      <c r="QV308" s="1091"/>
      <c r="QW308" s="1091"/>
      <c r="QX308" s="1091"/>
      <c r="QY308" s="1091"/>
      <c r="QZ308" s="1091"/>
      <c r="RA308" s="1091"/>
      <c r="RB308" s="1091"/>
      <c r="RC308" s="1091"/>
      <c r="RD308" s="1091"/>
      <c r="RE308" s="1091"/>
      <c r="RF308" s="1091"/>
      <c r="RG308" s="1091"/>
      <c r="RH308" s="1091"/>
      <c r="RI308" s="1091"/>
      <c r="RJ308" s="1091"/>
      <c r="RK308" s="1091"/>
      <c r="RL308" s="1091"/>
      <c r="RM308" s="1091"/>
      <c r="RN308" s="1091"/>
      <c r="RO308" s="1091"/>
      <c r="RP308" s="1091"/>
      <c r="RQ308" s="1091"/>
      <c r="RR308" s="1091"/>
      <c r="RS308" s="1091"/>
      <c r="RT308" s="1091"/>
      <c r="RU308" s="1091"/>
      <c r="RV308" s="1091"/>
      <c r="RW308" s="1091"/>
      <c r="RX308" s="1091"/>
      <c r="RY308" s="1091"/>
      <c r="RZ308" s="1091"/>
      <c r="SA308" s="1091"/>
      <c r="SB308" s="1091"/>
      <c r="SC308" s="1091"/>
      <c r="SD308" s="1091"/>
      <c r="SE308" s="1091"/>
      <c r="SF308" s="1091"/>
      <c r="SG308" s="1091"/>
      <c r="SH308" s="1091"/>
      <c r="SI308" s="1091"/>
      <c r="SJ308" s="1091"/>
      <c r="SK308" s="1091"/>
      <c r="SL308" s="1091"/>
      <c r="SM308" s="1091"/>
      <c r="SN308" s="1091"/>
      <c r="SO308" s="1091"/>
      <c r="SP308" s="1091"/>
      <c r="SQ308" s="1091"/>
      <c r="SR308" s="1091"/>
      <c r="SS308" s="1091"/>
      <c r="ST308" s="1091"/>
      <c r="SU308" s="1091"/>
      <c r="SV308" s="1091"/>
      <c r="SW308" s="1091"/>
      <c r="SX308" s="1091"/>
      <c r="SY308" s="1091"/>
      <c r="SZ308" s="1091"/>
      <c r="TA308" s="1091"/>
      <c r="TB308" s="1091"/>
      <c r="TC308" s="1091"/>
      <c r="TD308" s="1091"/>
      <c r="TE308" s="1091"/>
      <c r="TF308" s="1091"/>
      <c r="TG308" s="1091"/>
      <c r="TH308" s="1091"/>
      <c r="TI308" s="1091"/>
      <c r="TJ308" s="1091"/>
      <c r="TK308" s="1091"/>
      <c r="TL308" s="1091"/>
      <c r="TM308" s="1091"/>
      <c r="TN308" s="1091"/>
      <c r="TO308" s="1091"/>
      <c r="TP308" s="1091"/>
      <c r="TQ308" s="1091"/>
      <c r="TR308" s="1091"/>
      <c r="TS308" s="1091"/>
      <c r="TT308" s="1091"/>
      <c r="TU308" s="1091"/>
      <c r="TV308" s="1091"/>
      <c r="TW308" s="1091"/>
      <c r="TX308" s="1091"/>
      <c r="TY308" s="1091"/>
      <c r="TZ308" s="1091"/>
      <c r="UA308" s="1091"/>
      <c r="UB308" s="1091"/>
      <c r="UC308" s="1091"/>
      <c r="UD308" s="1091"/>
      <c r="UE308" s="1091"/>
      <c r="UF308" s="1091"/>
      <c r="UG308" s="1091"/>
      <c r="UH308" s="1091"/>
      <c r="UI308" s="1091"/>
      <c r="UJ308" s="1091"/>
      <c r="UK308" s="1091"/>
      <c r="UL308" s="1091"/>
      <c r="UM308" s="1091"/>
      <c r="UN308" s="1091"/>
      <c r="UO308" s="1091"/>
      <c r="UP308" s="1091"/>
      <c r="UQ308" s="1091"/>
      <c r="UR308" s="1091"/>
      <c r="US308" s="1091"/>
      <c r="UT308" s="1091"/>
      <c r="UU308" s="1091"/>
      <c r="UV308" s="1091"/>
      <c r="UW308" s="1091"/>
      <c r="UX308" s="1091"/>
      <c r="UY308" s="1091"/>
      <c r="UZ308" s="1091"/>
      <c r="VA308" s="1091"/>
      <c r="VB308" s="1091"/>
      <c r="VC308" s="1091"/>
      <c r="VD308" s="1091"/>
      <c r="VE308" s="1091"/>
      <c r="VF308" s="1091"/>
      <c r="VG308" s="1091"/>
      <c r="VH308" s="1091"/>
      <c r="VI308" s="1091"/>
      <c r="VJ308" s="1091"/>
      <c r="VK308" s="1091"/>
      <c r="VL308" s="1091"/>
      <c r="VM308" s="1091"/>
      <c r="VN308" s="1091"/>
      <c r="VO308" s="1091"/>
      <c r="VP308" s="1091"/>
      <c r="VQ308" s="1091"/>
      <c r="VR308" s="1091"/>
      <c r="VS308" s="1091"/>
      <c r="VT308" s="1091"/>
      <c r="VU308" s="1091"/>
      <c r="VV308" s="1091"/>
      <c r="VW308" s="1091"/>
      <c r="VX308" s="1091"/>
      <c r="VY308" s="1091"/>
      <c r="VZ308" s="1091"/>
      <c r="WA308" s="1091"/>
      <c r="WB308" s="1091"/>
      <c r="WC308" s="1091"/>
      <c r="WD308" s="1091"/>
      <c r="WE308" s="1091"/>
      <c r="WF308" s="1091"/>
      <c r="WG308" s="1091"/>
      <c r="WH308" s="1091"/>
      <c r="WI308" s="1091"/>
      <c r="WJ308" s="1091"/>
      <c r="WK308" s="1091"/>
      <c r="WL308" s="1091"/>
      <c r="WM308" s="1091"/>
      <c r="WN308" s="1091"/>
      <c r="WO308" s="1091"/>
      <c r="WP308" s="1091"/>
      <c r="WQ308" s="1091"/>
      <c r="WR308" s="1091"/>
      <c r="WS308" s="1091"/>
      <c r="WT308" s="1091"/>
      <c r="WU308" s="1091"/>
      <c r="WV308" s="1091"/>
      <c r="WW308" s="1091"/>
      <c r="WX308" s="1091"/>
      <c r="WY308" s="1091"/>
      <c r="WZ308" s="1091"/>
      <c r="XA308" s="1091"/>
      <c r="XB308" s="1091"/>
      <c r="XC308" s="1091"/>
      <c r="XD308" s="1091"/>
      <c r="XE308" s="1091"/>
      <c r="XF308" s="1091"/>
      <c r="XG308" s="1091"/>
      <c r="XH308" s="1091"/>
      <c r="XI308" s="1091"/>
      <c r="XJ308" s="1091"/>
      <c r="XK308" s="1091"/>
      <c r="XL308" s="1091"/>
      <c r="XM308" s="1091"/>
      <c r="XN308" s="1091"/>
      <c r="XO308" s="1091"/>
      <c r="XP308" s="1091"/>
      <c r="XQ308" s="1091"/>
      <c r="XR308" s="1091"/>
      <c r="XS308" s="1091"/>
      <c r="XT308" s="1091"/>
      <c r="XU308" s="1091"/>
      <c r="XV308" s="1091"/>
      <c r="XW308" s="1091"/>
      <c r="XX308" s="1091"/>
      <c r="XY308" s="1091"/>
      <c r="XZ308" s="1091"/>
      <c r="YA308" s="1091"/>
      <c r="YB308" s="1091"/>
      <c r="YC308" s="1091"/>
      <c r="YD308" s="1091"/>
      <c r="YE308" s="1091"/>
      <c r="YF308" s="1091"/>
      <c r="YG308" s="1091"/>
      <c r="YH308" s="1091"/>
      <c r="YI308" s="1091"/>
      <c r="YJ308" s="1091"/>
      <c r="YK308" s="1091"/>
      <c r="YL308" s="1091"/>
      <c r="YM308" s="1091"/>
      <c r="YN308" s="1091"/>
      <c r="YO308" s="1091"/>
      <c r="YP308" s="1091"/>
      <c r="YQ308" s="1091"/>
      <c r="YR308" s="1091"/>
      <c r="YS308" s="1091"/>
      <c r="YT308" s="1091"/>
      <c r="YU308" s="1091"/>
      <c r="YV308" s="1091"/>
      <c r="YW308" s="1091"/>
      <c r="YX308" s="1091"/>
      <c r="YY308" s="1091"/>
      <c r="YZ308" s="1091"/>
      <c r="ZA308" s="1091"/>
      <c r="ZB308" s="1091"/>
      <c r="ZC308" s="1091"/>
      <c r="ZD308" s="1091"/>
      <c r="ZE308" s="1091"/>
      <c r="ZF308" s="1091"/>
      <c r="ZG308" s="1091"/>
      <c r="ZH308" s="1091"/>
      <c r="ZI308" s="1091"/>
      <c r="ZJ308" s="1091"/>
      <c r="ZK308" s="1091"/>
      <c r="ZL308" s="1091"/>
      <c r="ZM308" s="1091"/>
      <c r="ZN308" s="1091"/>
      <c r="ZO308" s="1091"/>
      <c r="ZP308" s="1091"/>
      <c r="ZQ308" s="1091"/>
      <c r="ZR308" s="1091"/>
      <c r="ZS308" s="1091"/>
      <c r="ZT308" s="1091"/>
      <c r="ZU308" s="1091"/>
      <c r="ZV308" s="1091"/>
      <c r="ZW308" s="1091"/>
      <c r="ZX308" s="1091"/>
      <c r="ZY308" s="1091"/>
      <c r="ZZ308" s="1091"/>
      <c r="AAA308" s="1091"/>
      <c r="AAB308" s="1091"/>
      <c r="AAC308" s="1091"/>
      <c r="AAD308" s="1091"/>
      <c r="AAE308" s="1091"/>
      <c r="AAF308" s="1091"/>
      <c r="AAG308" s="1091"/>
      <c r="AAH308" s="1091"/>
      <c r="AAI308" s="1091"/>
      <c r="AAJ308" s="1091"/>
      <c r="AAK308" s="1091"/>
      <c r="AAL308" s="1091"/>
      <c r="AAM308" s="1091"/>
      <c r="AAN308" s="1091"/>
      <c r="AAO308" s="1091"/>
      <c r="AAP308" s="1091"/>
      <c r="AAQ308" s="1091"/>
      <c r="AAR308" s="1091"/>
      <c r="AAS308" s="1091"/>
      <c r="AAT308" s="1091"/>
      <c r="AAU308" s="1091"/>
      <c r="AAV308" s="1091"/>
      <c r="AAW308" s="1091"/>
      <c r="AAX308" s="1091"/>
      <c r="AAY308" s="1091"/>
      <c r="AAZ308" s="1091"/>
      <c r="ABA308" s="1091"/>
      <c r="ABB308" s="1091"/>
      <c r="ABC308" s="1091"/>
      <c r="ABD308" s="1091"/>
      <c r="ABE308" s="1091"/>
      <c r="ABF308" s="1091"/>
      <c r="ABG308" s="1091"/>
      <c r="ABH308" s="1091"/>
      <c r="ABI308" s="1091"/>
      <c r="ABJ308" s="1091"/>
      <c r="ABK308" s="1091"/>
      <c r="ABL308" s="1091"/>
      <c r="ABM308" s="1091"/>
      <c r="ABN308" s="1091"/>
      <c r="ABO308" s="1091"/>
      <c r="ABP308" s="1091"/>
      <c r="ABQ308" s="1091"/>
      <c r="ABR308" s="1091"/>
      <c r="ABS308" s="1091"/>
      <c r="ABT308" s="1091"/>
      <c r="ABU308" s="1091"/>
      <c r="ABV308" s="1091"/>
      <c r="ABW308" s="1091"/>
      <c r="ABX308" s="1091"/>
      <c r="ABY308" s="1091"/>
      <c r="ABZ308" s="1091"/>
      <c r="ACA308" s="1091"/>
      <c r="ACB308" s="1091"/>
      <c r="ACC308" s="1091"/>
      <c r="ACD308" s="1091"/>
      <c r="ACE308" s="1091"/>
      <c r="ACF308" s="1091"/>
      <c r="ACG308" s="1091"/>
      <c r="ACH308" s="1091"/>
      <c r="ACI308" s="1091"/>
      <c r="ACJ308" s="1091"/>
      <c r="ACK308" s="1091"/>
      <c r="ACL308" s="1091"/>
      <c r="ACM308" s="1091"/>
      <c r="ACN308" s="1091"/>
      <c r="ACO308" s="1091"/>
      <c r="ACP308" s="1091"/>
      <c r="ACQ308" s="1091"/>
      <c r="ACR308" s="1091"/>
      <c r="ACS308" s="1091"/>
      <c r="ACT308" s="1091"/>
      <c r="ACU308" s="1091"/>
      <c r="ACV308" s="1091"/>
      <c r="ACW308" s="1091"/>
      <c r="ACX308" s="1091"/>
      <c r="ACY308" s="1091"/>
      <c r="ACZ308" s="1091"/>
      <c r="ADA308" s="1091"/>
      <c r="ADB308" s="1091"/>
      <c r="ADC308" s="1091"/>
      <c r="ADD308" s="1091"/>
      <c r="ADE308" s="1091"/>
      <c r="ADF308" s="1091"/>
      <c r="ADG308" s="1091"/>
      <c r="ADH308" s="1091"/>
      <c r="ADI308" s="1091"/>
      <c r="ADJ308" s="1091"/>
      <c r="ADK308" s="1091"/>
      <c r="ADL308" s="1091"/>
      <c r="ADM308" s="1091"/>
      <c r="ADN308" s="1091"/>
      <c r="ADO308" s="1091"/>
      <c r="ADP308" s="1091"/>
      <c r="ADQ308" s="1091"/>
      <c r="ADR308" s="1091"/>
      <c r="ADS308" s="1091"/>
      <c r="ADT308" s="1091"/>
      <c r="ADU308" s="1091"/>
      <c r="ADV308" s="1091"/>
      <c r="ADW308" s="1091"/>
      <c r="ADX308" s="1091"/>
      <c r="ADY308" s="1091"/>
      <c r="ADZ308" s="1091"/>
      <c r="AEA308" s="1091"/>
      <c r="AEB308" s="1091"/>
      <c r="AEC308" s="1091"/>
      <c r="AED308" s="1091"/>
      <c r="AEE308" s="1091"/>
      <c r="AEF308" s="1091"/>
      <c r="AEG308" s="1091"/>
      <c r="AEH308" s="1091"/>
      <c r="AEI308" s="1091"/>
      <c r="AEJ308" s="1091"/>
      <c r="AEK308" s="1091"/>
      <c r="AEL308" s="1091"/>
      <c r="AEM308" s="1091"/>
      <c r="AEN308" s="1091"/>
      <c r="AEO308" s="1091"/>
      <c r="AEP308" s="1091"/>
      <c r="AEQ308" s="1091"/>
      <c r="AER308" s="1091"/>
      <c r="AES308" s="1091"/>
      <c r="AET308" s="1091"/>
      <c r="AEU308" s="1091"/>
      <c r="AEV308" s="1091"/>
      <c r="AEW308" s="1091"/>
      <c r="AEX308" s="1091"/>
      <c r="AEY308" s="1091"/>
      <c r="AEZ308" s="1091"/>
      <c r="AFA308" s="1091"/>
      <c r="AFB308" s="1091"/>
      <c r="AFC308" s="1091"/>
      <c r="AFD308" s="1091"/>
      <c r="AFE308" s="1091"/>
      <c r="AFF308" s="1091"/>
      <c r="AFG308" s="1091"/>
      <c r="AFH308" s="1091"/>
      <c r="AFI308" s="1091"/>
      <c r="AFJ308" s="1091"/>
      <c r="AFK308" s="1091"/>
      <c r="AFL308" s="1091"/>
      <c r="AFM308" s="1091"/>
      <c r="AFN308" s="1091"/>
      <c r="AFO308" s="1091"/>
      <c r="AFP308" s="1091"/>
      <c r="AFQ308" s="1091"/>
      <c r="AFR308" s="1091"/>
      <c r="AFS308" s="1091"/>
      <c r="AFT308" s="1091"/>
      <c r="AFU308" s="1091"/>
      <c r="AFV308" s="1091"/>
      <c r="AFW308" s="1091"/>
      <c r="AFX308" s="1091"/>
      <c r="AFY308" s="1091"/>
      <c r="AFZ308" s="1091"/>
      <c r="AGA308" s="1091"/>
      <c r="AGB308" s="1091"/>
      <c r="AGC308" s="1091"/>
      <c r="AGD308" s="1091"/>
      <c r="AGE308" s="1091"/>
      <c r="AGF308" s="1091"/>
      <c r="AGG308" s="1091"/>
      <c r="AGH308" s="1091"/>
      <c r="AGI308" s="1091"/>
      <c r="AGJ308" s="1091"/>
      <c r="AGK308" s="1091"/>
      <c r="AGL308" s="1091"/>
      <c r="AGM308" s="1091"/>
      <c r="AGN308" s="1091"/>
      <c r="AGO308" s="1091"/>
      <c r="AGP308" s="1091"/>
      <c r="AGQ308" s="1091"/>
      <c r="AGR308" s="1091"/>
      <c r="AGS308" s="1091"/>
      <c r="AGT308" s="1091"/>
      <c r="AGU308" s="1091"/>
      <c r="AGV308" s="1091"/>
      <c r="AGW308" s="1091"/>
      <c r="AGX308" s="1091"/>
      <c r="AGY308" s="1091"/>
      <c r="AGZ308" s="1091"/>
      <c r="AHA308" s="1091"/>
      <c r="AHB308" s="1091"/>
      <c r="AHC308" s="1091"/>
      <c r="AHD308" s="1091"/>
      <c r="AHE308" s="1091"/>
      <c r="AHF308" s="1091"/>
      <c r="AHG308" s="1091"/>
      <c r="AHH308" s="1091"/>
      <c r="AHI308" s="1091"/>
      <c r="AHJ308" s="1091"/>
      <c r="AHK308" s="1091"/>
      <c r="AHL308" s="1091"/>
      <c r="AHM308" s="1091"/>
      <c r="AHN308" s="1091"/>
      <c r="AHO308" s="1091"/>
      <c r="AHP308" s="1091"/>
      <c r="AHQ308" s="1091"/>
      <c r="AHR308" s="1091"/>
      <c r="AHS308" s="1091"/>
      <c r="AHT308" s="1091"/>
      <c r="AHU308" s="1091"/>
      <c r="AHV308" s="1091"/>
      <c r="AHW308" s="1091"/>
      <c r="AHX308" s="1091"/>
      <c r="AHY308" s="1091"/>
      <c r="AHZ308" s="1091"/>
      <c r="AIA308" s="1091"/>
      <c r="AIB308" s="1091"/>
      <c r="AIC308" s="1091"/>
      <c r="AID308" s="1091"/>
      <c r="AIE308" s="1091"/>
      <c r="AIF308" s="1091"/>
      <c r="AIG308" s="1091"/>
      <c r="AIH308" s="1091"/>
      <c r="AII308" s="1091"/>
      <c r="AIJ308" s="1091"/>
      <c r="AIK308" s="1091"/>
      <c r="AIL308" s="1091"/>
      <c r="AIM308" s="1091"/>
      <c r="AIN308" s="1091"/>
      <c r="AIO308" s="1091"/>
      <c r="AIP308" s="1091"/>
      <c r="AIQ308" s="1091"/>
      <c r="AIR308" s="1091"/>
      <c r="AIS308" s="1091"/>
      <c r="AIT308" s="1091"/>
      <c r="AIU308" s="1091"/>
      <c r="AIV308" s="1091"/>
      <c r="AIW308" s="1091"/>
      <c r="AIX308" s="1091"/>
      <c r="AIY308" s="1091"/>
      <c r="AIZ308" s="1091"/>
      <c r="AJA308" s="1091"/>
      <c r="AJB308" s="1091"/>
      <c r="AJC308" s="1091"/>
      <c r="AJD308" s="1091"/>
      <c r="AJE308" s="1091"/>
      <c r="AJF308" s="1091"/>
      <c r="AJG308" s="1091"/>
      <c r="AJH308" s="1091"/>
      <c r="AJI308" s="1091"/>
      <c r="AJJ308" s="1091"/>
      <c r="AJK308" s="1091"/>
      <c r="AJL308" s="1091"/>
      <c r="AJM308" s="1091"/>
      <c r="AJN308" s="1091"/>
      <c r="AJO308" s="1091"/>
      <c r="AJP308" s="1091"/>
      <c r="AJQ308" s="1091"/>
      <c r="AJR308" s="1091"/>
      <c r="AJS308" s="1091"/>
      <c r="AJT308" s="1091"/>
      <c r="AJU308" s="1091"/>
      <c r="AJV308" s="1091"/>
      <c r="AJW308" s="1091"/>
      <c r="AJX308" s="1091"/>
      <c r="AJY308" s="1091"/>
      <c r="AJZ308" s="1091"/>
      <c r="AKA308" s="1091"/>
      <c r="AKB308" s="1091"/>
      <c r="AKC308" s="1091"/>
      <c r="AKD308" s="1091"/>
      <c r="AKE308" s="1091"/>
      <c r="AKF308" s="1091"/>
      <c r="AKG308" s="1091"/>
      <c r="AKH308" s="1091"/>
      <c r="AKI308" s="1091"/>
      <c r="AKJ308" s="1091"/>
      <c r="AKK308" s="1091"/>
      <c r="AKL308" s="1091"/>
      <c r="AKM308" s="1091"/>
      <c r="AKN308" s="1091"/>
      <c r="AKO308" s="1091"/>
      <c r="AKP308" s="1091"/>
      <c r="AKQ308" s="1091"/>
      <c r="AKR308" s="1091"/>
      <c r="AKS308" s="1091"/>
      <c r="AKT308" s="1091"/>
      <c r="AKU308" s="1091"/>
      <c r="AKV308" s="1091"/>
      <c r="AKW308" s="1091"/>
      <c r="AKX308" s="1091"/>
      <c r="AKY308" s="1091"/>
      <c r="AKZ308" s="1091"/>
      <c r="ALA308" s="1091"/>
      <c r="ALB308" s="1091"/>
      <c r="ALC308" s="1091"/>
      <c r="ALD308" s="1091"/>
      <c r="ALE308" s="1091"/>
      <c r="ALF308" s="1091"/>
      <c r="ALG308" s="1091"/>
      <c r="ALH308" s="1091"/>
      <c r="ALI308" s="1091"/>
      <c r="ALJ308" s="1091"/>
      <c r="ALK308" s="1091"/>
      <c r="ALL308" s="1091"/>
      <c r="ALM308" s="1091"/>
      <c r="ALN308" s="1091"/>
      <c r="ALO308" s="1091"/>
      <c r="ALP308" s="1091"/>
      <c r="ALQ308" s="1091"/>
      <c r="ALR308" s="1091"/>
      <c r="ALS308" s="1091"/>
      <c r="ALT308" s="1091"/>
      <c r="ALU308" s="1091"/>
      <c r="ALV308" s="1091"/>
      <c r="ALW308" s="1091"/>
      <c r="ALX308" s="1091"/>
      <c r="ALY308" s="1091"/>
      <c r="ALZ308" s="1091"/>
      <c r="AMA308" s="1091"/>
      <c r="AMB308" s="1091"/>
      <c r="AMC308" s="1091"/>
      <c r="AMD308" s="1091"/>
      <c r="AME308" s="1091"/>
      <c r="AMF308" s="1091"/>
      <c r="AMG308" s="1091"/>
      <c r="AMH308" s="1091"/>
      <c r="AMI308" s="1091"/>
      <c r="AMJ308" s="1091"/>
      <c r="AMK308" s="1091"/>
      <c r="AML308" s="1091"/>
      <c r="AMM308" s="1091"/>
      <c r="AMN308" s="1091"/>
      <c r="AMO308" s="1091"/>
      <c r="AMP308" s="1091"/>
      <c r="AMQ308" s="1091"/>
      <c r="AMR308" s="1091"/>
      <c r="AMS308" s="1091"/>
      <c r="AMT308" s="1091"/>
      <c r="AMU308" s="1091"/>
      <c r="AMV308" s="1091"/>
      <c r="AMW308" s="1091"/>
      <c r="AMX308" s="1091"/>
      <c r="AMY308" s="1091"/>
      <c r="AMZ308" s="1091"/>
      <c r="ANA308" s="1091"/>
      <c r="ANB308" s="1091"/>
      <c r="ANC308" s="1091"/>
      <c r="AND308" s="1091"/>
      <c r="ANE308" s="1091"/>
      <c r="ANF308" s="1091"/>
      <c r="ANG308" s="1091"/>
      <c r="ANH308" s="1091"/>
      <c r="ANI308" s="1091"/>
      <c r="ANJ308" s="1091"/>
      <c r="ANK308" s="1091"/>
      <c r="ANL308" s="1091"/>
      <c r="ANM308" s="1091"/>
      <c r="ANN308" s="1091"/>
      <c r="ANO308" s="1091"/>
      <c r="ANP308" s="1091"/>
      <c r="ANQ308" s="1091"/>
      <c r="ANR308" s="1091"/>
      <c r="ANS308" s="1091"/>
      <c r="ANT308" s="1091"/>
      <c r="ANU308" s="1091"/>
      <c r="ANV308" s="1091"/>
      <c r="ANW308" s="1091"/>
      <c r="ANX308" s="1091"/>
      <c r="ANY308" s="1091"/>
      <c r="ANZ308" s="1091"/>
      <c r="AOA308" s="1091"/>
      <c r="AOB308" s="1091"/>
      <c r="AOC308" s="1091"/>
      <c r="AOD308" s="1091"/>
      <c r="AOE308" s="1091"/>
      <c r="AOF308" s="1091"/>
      <c r="AOG308" s="1091"/>
      <c r="AOH308" s="1091"/>
      <c r="AOI308" s="1091"/>
      <c r="AOJ308" s="1091"/>
      <c r="AOK308" s="1091"/>
      <c r="AOL308" s="1091"/>
      <c r="AOM308" s="1091"/>
      <c r="AON308" s="1091"/>
      <c r="AOO308" s="1091"/>
      <c r="AOP308" s="1091"/>
      <c r="AOQ308" s="1091"/>
      <c r="AOR308" s="1091"/>
      <c r="AOS308" s="1091"/>
      <c r="AOT308" s="1091"/>
      <c r="AOU308" s="1091"/>
      <c r="AOV308" s="1091"/>
      <c r="AOW308" s="1091"/>
      <c r="AOX308" s="1091"/>
      <c r="AOY308" s="1091"/>
      <c r="AOZ308" s="1091"/>
      <c r="APA308" s="1091"/>
      <c r="APB308" s="1091"/>
      <c r="APC308" s="1091"/>
      <c r="APD308" s="1091"/>
      <c r="APE308" s="1091"/>
      <c r="APF308" s="1091"/>
      <c r="APG308" s="1091"/>
      <c r="APH308" s="1091"/>
      <c r="API308" s="1091"/>
      <c r="APJ308" s="1091"/>
      <c r="APK308" s="1091"/>
      <c r="APL308" s="1091"/>
      <c r="APM308" s="1091"/>
      <c r="APN308" s="1091"/>
      <c r="APO308" s="1091"/>
      <c r="APP308" s="1091"/>
      <c r="APQ308" s="1091"/>
      <c r="APR308" s="1091"/>
      <c r="APS308" s="1091"/>
      <c r="APT308" s="1091"/>
      <c r="APU308" s="1091"/>
      <c r="APV308" s="1091"/>
      <c r="APW308" s="1091"/>
      <c r="APX308" s="1091"/>
      <c r="APY308" s="1091"/>
      <c r="APZ308" s="1091"/>
      <c r="AQA308" s="1091"/>
      <c r="AQB308" s="1091"/>
      <c r="AQC308" s="1091"/>
      <c r="AQD308" s="1091"/>
      <c r="AQE308" s="1091"/>
      <c r="AQF308" s="1091"/>
      <c r="AQG308" s="1091"/>
      <c r="AQH308" s="1091"/>
      <c r="AQI308" s="1091"/>
      <c r="AQJ308" s="1091"/>
      <c r="AQK308" s="1091"/>
      <c r="AQL308" s="1091"/>
      <c r="AQM308" s="1091"/>
      <c r="AQN308" s="1091"/>
      <c r="AQO308" s="1091"/>
      <c r="AQP308" s="1091"/>
      <c r="AQQ308" s="1091"/>
      <c r="AQR308" s="1091"/>
      <c r="AQS308" s="1091"/>
      <c r="AQT308" s="1091"/>
      <c r="AQU308" s="1091"/>
      <c r="AQV308" s="1091"/>
      <c r="AQW308" s="1091"/>
      <c r="AQX308" s="1091"/>
      <c r="AQY308" s="1091"/>
      <c r="AQZ308" s="1091"/>
      <c r="ARA308" s="1091"/>
      <c r="ARB308" s="1091"/>
      <c r="ARC308" s="1091"/>
      <c r="ARD308" s="1091"/>
      <c r="ARE308" s="1091"/>
      <c r="ARF308" s="1091"/>
      <c r="ARG308" s="1091"/>
      <c r="ARH308" s="1091"/>
      <c r="ARI308" s="1091"/>
      <c r="ARJ308" s="1091"/>
      <c r="ARK308" s="1091"/>
      <c r="ARL308" s="1091"/>
      <c r="ARM308" s="1091"/>
      <c r="ARN308" s="1091"/>
      <c r="ARO308" s="1091"/>
      <c r="ARP308" s="1091"/>
      <c r="ARQ308" s="1091"/>
      <c r="ARR308" s="1091"/>
      <c r="ARS308" s="1091"/>
      <c r="ART308" s="1091"/>
      <c r="ARU308" s="1091"/>
      <c r="ARV308" s="1091"/>
      <c r="ARW308" s="1091"/>
      <c r="ARX308" s="1091"/>
      <c r="ARY308" s="1091"/>
      <c r="ARZ308" s="1091"/>
      <c r="ASA308" s="1091"/>
      <c r="ASB308" s="1091"/>
      <c r="ASC308" s="1091"/>
      <c r="ASD308" s="1091"/>
      <c r="ASE308" s="1091"/>
      <c r="ASF308" s="1091"/>
      <c r="ASG308" s="1091"/>
      <c r="ASH308" s="1091"/>
      <c r="ASI308" s="1091"/>
      <c r="ASJ308" s="1091"/>
      <c r="ASK308" s="1091"/>
      <c r="ASL308" s="1091"/>
      <c r="ASM308" s="1091"/>
      <c r="ASN308" s="1091"/>
      <c r="ASO308" s="1091"/>
      <c r="ASP308" s="1091"/>
      <c r="ASQ308" s="1091"/>
      <c r="ASR308" s="1091"/>
      <c r="ASS308" s="1091"/>
      <c r="AST308" s="1091"/>
      <c r="ASU308" s="1091"/>
      <c r="ASV308" s="1091"/>
      <c r="ASW308" s="1091"/>
      <c r="ASX308" s="1091"/>
      <c r="ASY308" s="1091"/>
      <c r="ASZ308" s="1091"/>
      <c r="ATA308" s="1091"/>
      <c r="ATB308" s="1091"/>
      <c r="ATC308" s="1091"/>
      <c r="ATD308" s="1091"/>
      <c r="ATE308" s="1091"/>
      <c r="ATF308" s="1091"/>
      <c r="ATG308" s="1091"/>
      <c r="ATH308" s="1091"/>
      <c r="ATI308" s="1091"/>
      <c r="ATJ308" s="1091"/>
      <c r="ATK308" s="1091"/>
      <c r="ATL308" s="1091"/>
      <c r="ATM308" s="1091"/>
      <c r="ATN308" s="1091"/>
      <c r="ATO308" s="1091"/>
      <c r="ATP308" s="1091"/>
      <c r="ATQ308" s="1091"/>
      <c r="ATR308" s="1091"/>
      <c r="ATS308" s="1091"/>
      <c r="ATT308" s="1091"/>
      <c r="ATU308" s="1091"/>
      <c r="ATV308" s="1091"/>
      <c r="ATW308" s="1091"/>
      <c r="ATX308" s="1091"/>
      <c r="ATY308" s="1091"/>
      <c r="ATZ308" s="1091"/>
      <c r="AUA308" s="1091"/>
      <c r="AUB308" s="1091"/>
      <c r="AUC308" s="1091"/>
      <c r="AUD308" s="1091"/>
      <c r="AUE308" s="1091"/>
      <c r="AUF308" s="1091"/>
      <c r="AUG308" s="1091"/>
      <c r="AUH308" s="1091"/>
      <c r="AUI308" s="1091"/>
      <c r="AUJ308" s="1091"/>
      <c r="AUK308" s="1091"/>
      <c r="AUL308" s="1091"/>
      <c r="AUM308" s="1091"/>
      <c r="AUN308" s="1091"/>
      <c r="AUO308" s="1091"/>
      <c r="AUP308" s="1091"/>
      <c r="AUQ308" s="1091"/>
      <c r="AUR308" s="1091"/>
      <c r="AUS308" s="1091"/>
      <c r="AUT308" s="1091"/>
      <c r="AUU308" s="1091"/>
      <c r="AUV308" s="1091"/>
      <c r="AUW308" s="1091"/>
      <c r="AUX308" s="1091"/>
      <c r="AUY308" s="1091"/>
      <c r="AUZ308" s="1091"/>
      <c r="AVA308" s="1091"/>
      <c r="AVB308" s="1091"/>
      <c r="AVC308" s="1091"/>
      <c r="AVD308" s="1091"/>
      <c r="AVE308" s="1091"/>
      <c r="AVF308" s="1091"/>
      <c r="AVG308" s="1091"/>
      <c r="AVH308" s="1091"/>
      <c r="AVI308" s="1091"/>
      <c r="AVJ308" s="1091"/>
      <c r="AVK308" s="1091"/>
      <c r="AVL308" s="1091"/>
      <c r="AVM308" s="1091"/>
      <c r="AVN308" s="1091"/>
      <c r="AVO308" s="1091"/>
      <c r="AVP308" s="1091"/>
      <c r="AVQ308" s="1091"/>
      <c r="AVR308" s="1091"/>
      <c r="AVS308" s="1091"/>
      <c r="AVT308" s="1091"/>
      <c r="AVU308" s="1091"/>
      <c r="AVV308" s="1091"/>
      <c r="AVW308" s="1091"/>
      <c r="AVX308" s="1091"/>
      <c r="AVY308" s="1091"/>
      <c r="AVZ308" s="1091"/>
      <c r="AWA308" s="1091"/>
      <c r="AWB308" s="1091"/>
      <c r="AWC308" s="1091"/>
      <c r="AWD308" s="1091"/>
      <c r="AWE308" s="1091"/>
      <c r="AWF308" s="1091"/>
      <c r="AWG308" s="1091"/>
      <c r="AWH308" s="1091"/>
      <c r="AWI308" s="1091"/>
      <c r="AWJ308" s="1091"/>
      <c r="AWK308" s="1091"/>
      <c r="AWL308" s="1091"/>
      <c r="AWM308" s="1091"/>
      <c r="AWN308" s="1091"/>
      <c r="AWO308" s="1091"/>
      <c r="AWP308" s="1091"/>
      <c r="AWQ308" s="1091"/>
      <c r="AWR308" s="1091"/>
      <c r="AWS308" s="1091"/>
      <c r="AWT308" s="1091"/>
      <c r="AWU308" s="1091"/>
      <c r="AWV308" s="1091"/>
      <c r="AWW308" s="1091"/>
      <c r="AWX308" s="1091"/>
      <c r="AWY308" s="1091"/>
      <c r="AWZ308" s="1091"/>
      <c r="AXA308" s="1091"/>
      <c r="AXB308" s="1091"/>
      <c r="AXC308" s="1091"/>
      <c r="AXD308" s="1091"/>
      <c r="AXE308" s="1091"/>
      <c r="AXF308" s="1091"/>
      <c r="AXG308" s="1091"/>
      <c r="AXH308" s="1091"/>
      <c r="AXI308" s="1091"/>
      <c r="AXJ308" s="1091"/>
      <c r="AXK308" s="1091"/>
      <c r="AXL308" s="1091"/>
      <c r="AXM308" s="1091"/>
      <c r="AXN308" s="1091"/>
      <c r="AXO308" s="1091"/>
      <c r="AXP308" s="1091"/>
      <c r="AXQ308" s="1091"/>
      <c r="AXR308" s="1091"/>
      <c r="AXS308" s="1091"/>
      <c r="AXT308" s="1091"/>
      <c r="AXU308" s="1091"/>
      <c r="AXV308" s="1091"/>
      <c r="AXW308" s="1091"/>
      <c r="AXX308" s="1091"/>
      <c r="AXY308" s="1091"/>
      <c r="AXZ308" s="1091"/>
      <c r="AYA308" s="1091"/>
      <c r="AYB308" s="1091"/>
      <c r="AYC308" s="1091"/>
      <c r="AYD308" s="1091"/>
      <c r="AYE308" s="1091"/>
      <c r="AYF308" s="1091"/>
      <c r="AYG308" s="1091"/>
      <c r="AYH308" s="1091"/>
      <c r="AYI308" s="1091"/>
      <c r="AYJ308" s="1091"/>
      <c r="AYK308" s="1091"/>
      <c r="AYL308" s="1091"/>
      <c r="AYM308" s="1091"/>
      <c r="AYN308" s="1091"/>
      <c r="AYO308" s="1091"/>
      <c r="AYP308" s="1091"/>
      <c r="AYQ308" s="1091"/>
      <c r="AYR308" s="1091"/>
      <c r="AYS308" s="1091"/>
      <c r="AYT308" s="1091"/>
      <c r="AYU308" s="1091"/>
      <c r="AYV308" s="1091"/>
      <c r="AYW308" s="1091"/>
      <c r="AYX308" s="1091"/>
      <c r="AYY308" s="1091"/>
      <c r="AYZ308" s="1091"/>
      <c r="AZA308" s="1091"/>
      <c r="AZB308" s="1091"/>
      <c r="AZC308" s="1091"/>
      <c r="AZD308" s="1091"/>
      <c r="AZE308" s="1091"/>
      <c r="AZF308" s="1091"/>
      <c r="AZG308" s="1091"/>
      <c r="AZH308" s="1091"/>
      <c r="AZI308" s="1091"/>
      <c r="AZJ308" s="1091"/>
      <c r="AZK308" s="1091"/>
      <c r="AZL308" s="1091"/>
      <c r="AZM308" s="1091"/>
      <c r="AZN308" s="1091"/>
      <c r="AZO308" s="1091"/>
      <c r="AZP308" s="1091"/>
      <c r="AZQ308" s="1091"/>
      <c r="AZR308" s="1091"/>
      <c r="AZS308" s="1091"/>
      <c r="AZT308" s="1091"/>
      <c r="AZU308" s="1091"/>
      <c r="AZV308" s="1091"/>
      <c r="AZW308" s="1091"/>
      <c r="AZX308" s="1091"/>
      <c r="AZY308" s="1091"/>
      <c r="AZZ308" s="1091"/>
      <c r="BAA308" s="1091"/>
      <c r="BAB308" s="1091"/>
      <c r="BAC308" s="1091"/>
      <c r="BAD308" s="1091"/>
      <c r="BAE308" s="1091"/>
      <c r="BAF308" s="1091"/>
      <c r="BAG308" s="1091"/>
      <c r="BAH308" s="1091"/>
      <c r="BAI308" s="1091"/>
      <c r="BAJ308" s="1091"/>
      <c r="BAK308" s="1091"/>
      <c r="BAL308" s="1091"/>
      <c r="BAM308" s="1091"/>
      <c r="BAN308" s="1091"/>
      <c r="BAO308" s="1091"/>
      <c r="BAP308" s="1091"/>
      <c r="BAQ308" s="1091"/>
      <c r="BAR308" s="1091"/>
      <c r="BAS308" s="1091"/>
      <c r="BAT308" s="1091"/>
      <c r="BAU308" s="1091"/>
      <c r="BAV308" s="1091"/>
      <c r="BAW308" s="1091"/>
      <c r="BAX308" s="1091"/>
      <c r="BAY308" s="1091"/>
      <c r="BAZ308" s="1091"/>
      <c r="BBA308" s="1091"/>
      <c r="BBB308" s="1091"/>
      <c r="BBC308" s="1091"/>
      <c r="BBD308" s="1091"/>
      <c r="BBE308" s="1091"/>
      <c r="BBF308" s="1091"/>
      <c r="BBG308" s="1091"/>
      <c r="BBH308" s="1091"/>
      <c r="BBI308" s="1091"/>
      <c r="BBJ308" s="1091"/>
      <c r="BBK308" s="1091"/>
      <c r="BBL308" s="1091"/>
      <c r="BBM308" s="1091"/>
      <c r="BBN308" s="1091"/>
      <c r="BBO308" s="1091"/>
      <c r="BBP308" s="1091"/>
      <c r="BBQ308" s="1091"/>
      <c r="BBR308" s="1091"/>
      <c r="BBS308" s="1091"/>
      <c r="BBT308" s="1091"/>
      <c r="BBU308" s="1091"/>
      <c r="BBV308" s="1091"/>
      <c r="BBW308" s="1091"/>
      <c r="BBX308" s="1091"/>
      <c r="BBY308" s="1091"/>
      <c r="BBZ308" s="1091"/>
      <c r="BCA308" s="1091"/>
      <c r="BCB308" s="1091"/>
      <c r="BCC308" s="1091"/>
      <c r="BCD308" s="1091"/>
      <c r="BCE308" s="1091"/>
      <c r="BCF308" s="1091"/>
      <c r="BCG308" s="1091"/>
      <c r="BCH308" s="1091"/>
      <c r="BCI308" s="1091"/>
      <c r="BCJ308" s="1091"/>
      <c r="BCK308" s="1091"/>
      <c r="BCL308" s="1091"/>
      <c r="BCM308" s="1091"/>
      <c r="BCN308" s="1091"/>
      <c r="BCO308" s="1091"/>
      <c r="BCP308" s="1091"/>
      <c r="BCQ308" s="1091"/>
      <c r="BCR308" s="1091"/>
      <c r="BCS308" s="1091"/>
      <c r="BCT308" s="1091"/>
      <c r="BCU308" s="1091"/>
      <c r="BCV308" s="1091"/>
      <c r="BCW308" s="1091"/>
      <c r="BCX308" s="1091"/>
      <c r="BCY308" s="1091"/>
      <c r="BCZ308" s="1091"/>
      <c r="BDA308" s="1091"/>
      <c r="BDB308" s="1091"/>
      <c r="BDC308" s="1091"/>
      <c r="BDD308" s="1091"/>
      <c r="BDE308" s="1091"/>
      <c r="BDF308" s="1091"/>
      <c r="BDG308" s="1091"/>
      <c r="BDH308" s="1091"/>
      <c r="BDI308" s="1091"/>
      <c r="BDJ308" s="1091"/>
      <c r="BDK308" s="1091"/>
      <c r="BDL308" s="1091"/>
      <c r="BDM308" s="1091"/>
      <c r="BDN308" s="1091"/>
      <c r="BDO308" s="1091"/>
      <c r="BDP308" s="1091"/>
      <c r="BDQ308" s="1091"/>
      <c r="BDR308" s="1091"/>
      <c r="BDS308" s="1091"/>
      <c r="BDT308" s="1091"/>
      <c r="BDU308" s="1091"/>
      <c r="BDV308" s="1091"/>
      <c r="BDW308" s="1091"/>
      <c r="BDX308" s="1091"/>
      <c r="BDY308" s="1091"/>
      <c r="BDZ308" s="1091"/>
      <c r="BEA308" s="1091"/>
      <c r="BEB308" s="1091"/>
      <c r="BEC308" s="1091"/>
      <c r="BED308" s="1091"/>
      <c r="BEE308" s="1091"/>
      <c r="BEF308" s="1091"/>
      <c r="BEG308" s="1091"/>
      <c r="BEH308" s="1091"/>
      <c r="BEI308" s="1091"/>
      <c r="BEJ308" s="1091"/>
      <c r="BEK308" s="1091"/>
      <c r="BEL308" s="1091"/>
      <c r="BEM308" s="1091"/>
      <c r="BEN308" s="1091"/>
      <c r="BEO308" s="1091"/>
      <c r="BEP308" s="1091"/>
      <c r="BEQ308" s="1091"/>
      <c r="BER308" s="1091"/>
      <c r="BES308" s="1091"/>
      <c r="BET308" s="1091"/>
      <c r="BEU308" s="1091"/>
      <c r="BEV308" s="1091"/>
      <c r="BEW308" s="1091"/>
      <c r="BEX308" s="1091"/>
      <c r="BEY308" s="1091"/>
      <c r="BEZ308" s="1091"/>
      <c r="BFA308" s="1091"/>
      <c r="BFB308" s="1091"/>
      <c r="BFC308" s="1091"/>
      <c r="BFD308" s="1091"/>
      <c r="BFE308" s="1091"/>
      <c r="BFF308" s="1091"/>
      <c r="BFG308" s="1091"/>
      <c r="BFH308" s="1091"/>
      <c r="BFI308" s="1091"/>
      <c r="BFJ308" s="1091"/>
      <c r="BFK308" s="1091"/>
      <c r="BFL308" s="1091"/>
      <c r="BFM308" s="1091"/>
      <c r="BFN308" s="1091"/>
      <c r="BFO308" s="1091"/>
      <c r="BFP308" s="1091"/>
      <c r="BFQ308" s="1091"/>
      <c r="BFR308" s="1091"/>
      <c r="BFS308" s="1091"/>
      <c r="BFT308" s="1091"/>
      <c r="BFU308" s="1091"/>
      <c r="BFV308" s="1091"/>
      <c r="BFW308" s="1091"/>
      <c r="BFX308" s="1091"/>
      <c r="BFY308" s="1091"/>
      <c r="BFZ308" s="1091"/>
      <c r="BGA308" s="1091"/>
      <c r="BGB308" s="1091"/>
      <c r="BGC308" s="1091"/>
      <c r="BGD308" s="1091"/>
      <c r="BGE308" s="1091"/>
      <c r="BGF308" s="1091"/>
      <c r="BGG308" s="1091"/>
      <c r="BGH308" s="1091"/>
      <c r="BGI308" s="1091"/>
      <c r="BGJ308" s="1091"/>
      <c r="BGK308" s="1091"/>
      <c r="BGL308" s="1091"/>
      <c r="BGM308" s="1091"/>
      <c r="BGN308" s="1091"/>
      <c r="BGO308" s="1091"/>
      <c r="BGP308" s="1091"/>
      <c r="BGQ308" s="1091"/>
      <c r="BGR308" s="1091"/>
      <c r="BGS308" s="1091"/>
      <c r="BGT308" s="1091"/>
      <c r="BGU308" s="1091"/>
      <c r="BGV308" s="1091"/>
      <c r="BGW308" s="1091"/>
      <c r="BGX308" s="1091"/>
      <c r="BGY308" s="1091"/>
      <c r="BGZ308" s="1091"/>
      <c r="BHA308" s="1091"/>
      <c r="BHB308" s="1091"/>
      <c r="BHC308" s="1091"/>
      <c r="BHD308" s="1091"/>
      <c r="BHE308" s="1091"/>
      <c r="BHF308" s="1091"/>
      <c r="BHG308" s="1091"/>
      <c r="BHH308" s="1091"/>
      <c r="BHI308" s="1091"/>
      <c r="BHJ308" s="1091"/>
      <c r="BHK308" s="1091"/>
      <c r="BHL308" s="1091"/>
      <c r="BHM308" s="1091"/>
      <c r="BHN308" s="1091"/>
      <c r="BHO308" s="1091"/>
      <c r="BHP308" s="1091"/>
      <c r="BHQ308" s="1091"/>
      <c r="BHR308" s="1091"/>
      <c r="BHS308" s="1091"/>
      <c r="BHT308" s="1091"/>
      <c r="BHU308" s="1091"/>
      <c r="BHV308" s="1091"/>
      <c r="BHW308" s="1091"/>
      <c r="BHX308" s="1091"/>
      <c r="BHY308" s="1091"/>
      <c r="BHZ308" s="1091"/>
      <c r="BIA308" s="1091"/>
      <c r="BIB308" s="1091"/>
      <c r="BIC308" s="1091"/>
      <c r="BID308" s="1091"/>
      <c r="BIE308" s="1091"/>
      <c r="BIF308" s="1091"/>
      <c r="BIG308" s="1091"/>
      <c r="BIH308" s="1091"/>
      <c r="BII308" s="1091"/>
      <c r="BIJ308" s="1091"/>
      <c r="BIK308" s="1091"/>
      <c r="BIL308" s="1091"/>
      <c r="BIM308" s="1091"/>
      <c r="BIN308" s="1091"/>
      <c r="BIO308" s="1091"/>
      <c r="BIP308" s="1091"/>
      <c r="BIQ308" s="1091"/>
      <c r="BIR308" s="1091"/>
      <c r="BIS308" s="1091"/>
      <c r="BIT308" s="1091"/>
      <c r="BIU308" s="1091"/>
      <c r="BIV308" s="1091"/>
      <c r="BIW308" s="1091"/>
      <c r="BIX308" s="1091"/>
      <c r="BIY308" s="1091"/>
      <c r="BIZ308" s="1091"/>
      <c r="BJA308" s="1091"/>
      <c r="BJB308" s="1091"/>
      <c r="BJC308" s="1091"/>
      <c r="BJD308" s="1091"/>
      <c r="BJE308" s="1091"/>
      <c r="BJF308" s="1091"/>
      <c r="BJG308" s="1091"/>
      <c r="BJH308" s="1091"/>
      <c r="BJI308" s="1091"/>
      <c r="BJJ308" s="1091"/>
      <c r="BJK308" s="1091"/>
      <c r="BJL308" s="1091"/>
      <c r="BJM308" s="1091"/>
      <c r="BJN308" s="1091"/>
      <c r="BJO308" s="1091"/>
      <c r="BJP308" s="1091"/>
      <c r="BJQ308" s="1091"/>
      <c r="BJR308" s="1091"/>
      <c r="BJS308" s="1091"/>
      <c r="BJT308" s="1091"/>
      <c r="BJU308" s="1091"/>
      <c r="BJV308" s="1091"/>
      <c r="BJW308" s="1091"/>
      <c r="BJX308" s="1091"/>
      <c r="BJY308" s="1091"/>
      <c r="BJZ308" s="1091"/>
      <c r="BKA308" s="1091"/>
      <c r="BKB308" s="1091"/>
      <c r="BKC308" s="1091"/>
      <c r="BKD308" s="1091"/>
      <c r="BKE308" s="1091"/>
      <c r="BKF308" s="1091"/>
      <c r="BKG308" s="1091"/>
      <c r="BKH308" s="1091"/>
      <c r="BKI308" s="1091"/>
      <c r="BKJ308" s="1091"/>
      <c r="BKK308" s="1091"/>
      <c r="BKL308" s="1091"/>
      <c r="BKM308" s="1091"/>
      <c r="BKN308" s="1091"/>
      <c r="BKO308" s="1091"/>
      <c r="BKP308" s="1091"/>
      <c r="BKQ308" s="1091"/>
      <c r="BKR308" s="1091"/>
      <c r="BKS308" s="1091"/>
      <c r="BKT308" s="1091"/>
      <c r="BKU308" s="1091"/>
      <c r="BKV308" s="1091"/>
      <c r="BKW308" s="1091"/>
      <c r="BKX308" s="1091"/>
      <c r="BKY308" s="1091"/>
      <c r="BKZ308" s="1091"/>
      <c r="BLA308" s="1091"/>
      <c r="BLB308" s="1091"/>
      <c r="BLC308" s="1091"/>
      <c r="BLD308" s="1091"/>
      <c r="BLE308" s="1091"/>
      <c r="BLF308" s="1091"/>
      <c r="BLG308" s="1091"/>
      <c r="BLH308" s="1091"/>
      <c r="BLI308" s="1091"/>
      <c r="BLJ308" s="1091"/>
      <c r="BLK308" s="1091"/>
      <c r="BLL308" s="1091"/>
      <c r="BLM308" s="1091"/>
      <c r="BLN308" s="1091"/>
      <c r="BLO308" s="1091"/>
      <c r="BLP308" s="1091"/>
      <c r="BLQ308" s="1091"/>
      <c r="BLR308" s="1091"/>
      <c r="BLS308" s="1091"/>
      <c r="BLT308" s="1091"/>
      <c r="BLU308" s="1091"/>
      <c r="BLV308" s="1091"/>
      <c r="BLW308" s="1091"/>
      <c r="BLX308" s="1091"/>
      <c r="BLY308" s="1091"/>
      <c r="BLZ308" s="1091"/>
      <c r="BMA308" s="1091"/>
      <c r="BMB308" s="1091"/>
      <c r="BMC308" s="1091"/>
      <c r="BMD308" s="1091"/>
      <c r="BME308" s="1091"/>
      <c r="BMF308" s="1091"/>
      <c r="BMG308" s="1091"/>
      <c r="BMH308" s="1091"/>
      <c r="BMI308" s="1091"/>
      <c r="BMJ308" s="1091"/>
      <c r="BMK308" s="1091"/>
      <c r="BML308" s="1091"/>
      <c r="BMM308" s="1091"/>
      <c r="BMN308" s="1091"/>
      <c r="BMO308" s="1091"/>
      <c r="BMP308" s="1091"/>
      <c r="BMQ308" s="1091"/>
      <c r="BMR308" s="1091"/>
      <c r="BMS308" s="1091"/>
      <c r="BMT308" s="1091"/>
      <c r="BMU308" s="1091"/>
      <c r="BMV308" s="1091"/>
      <c r="BMW308" s="1091"/>
      <c r="BMX308" s="1091"/>
      <c r="BMY308" s="1091"/>
      <c r="BMZ308" s="1091"/>
      <c r="BNA308" s="1091"/>
      <c r="BNB308" s="1091"/>
      <c r="BNC308" s="1091"/>
      <c r="BND308" s="1091"/>
      <c r="BNE308" s="1091"/>
      <c r="BNF308" s="1091"/>
      <c r="BNG308" s="1091"/>
      <c r="BNH308" s="1091"/>
      <c r="BNI308" s="1091"/>
      <c r="BNJ308" s="1091"/>
      <c r="BNK308" s="1091"/>
      <c r="BNL308" s="1091"/>
      <c r="BNM308" s="1091"/>
      <c r="BNN308" s="1091"/>
      <c r="BNO308" s="1091"/>
      <c r="BNP308" s="1091"/>
      <c r="BNQ308" s="1091"/>
      <c r="BNR308" s="1091"/>
      <c r="BNS308" s="1091"/>
      <c r="BNT308" s="1091"/>
      <c r="BNU308" s="1091"/>
      <c r="BNV308" s="1091"/>
      <c r="BNW308" s="1091"/>
      <c r="BNX308" s="1091"/>
      <c r="BNY308" s="1091"/>
      <c r="BNZ308" s="1091"/>
      <c r="BOA308" s="1091"/>
      <c r="BOB308" s="1091"/>
      <c r="BOC308" s="1091"/>
      <c r="BOD308" s="1091"/>
      <c r="BOE308" s="1091"/>
      <c r="BOF308" s="1091"/>
      <c r="BOG308" s="1091"/>
      <c r="BOH308" s="1091"/>
      <c r="BOI308" s="1091"/>
      <c r="BOJ308" s="1091"/>
      <c r="BOK308" s="1091"/>
      <c r="BOL308" s="1091"/>
      <c r="BOM308" s="1091"/>
      <c r="BON308" s="1091"/>
      <c r="BOO308" s="1091"/>
      <c r="BOP308" s="1091"/>
      <c r="BOQ308" s="1091"/>
      <c r="BOR308" s="1091"/>
      <c r="BOS308" s="1091"/>
      <c r="BOT308" s="1091"/>
      <c r="BOU308" s="1091"/>
      <c r="BOV308" s="1091"/>
      <c r="BOW308" s="1091"/>
      <c r="BOX308" s="1091"/>
      <c r="BOY308" s="1091"/>
      <c r="BOZ308" s="1091"/>
      <c r="BPA308" s="1091"/>
      <c r="BPB308" s="1091"/>
      <c r="BPC308" s="1091"/>
      <c r="BPD308" s="1091"/>
      <c r="BPE308" s="1091"/>
      <c r="BPF308" s="1091"/>
      <c r="BPG308" s="1091"/>
      <c r="BPH308" s="1091"/>
      <c r="BPI308" s="1091"/>
      <c r="BPJ308" s="1091"/>
      <c r="BPK308" s="1091"/>
      <c r="BPL308" s="1091"/>
      <c r="BPM308" s="1091"/>
      <c r="BPN308" s="1091"/>
      <c r="BPO308" s="1091"/>
      <c r="BPP308" s="1091"/>
      <c r="BPQ308" s="1091"/>
      <c r="BPR308" s="1091"/>
      <c r="BPS308" s="1091"/>
      <c r="BPT308" s="1091"/>
      <c r="BPU308" s="1091"/>
      <c r="BPV308" s="1091"/>
      <c r="BPW308" s="1091"/>
      <c r="BPX308" s="1091"/>
      <c r="BPY308" s="1091"/>
      <c r="BPZ308" s="1091"/>
      <c r="BQA308" s="1091"/>
      <c r="BQB308" s="1091"/>
      <c r="BQC308" s="1091"/>
      <c r="BQD308" s="1091"/>
      <c r="BQE308" s="1091"/>
      <c r="BQF308" s="1091"/>
      <c r="BQG308" s="1091"/>
      <c r="BQH308" s="1091"/>
      <c r="BQI308" s="1091"/>
      <c r="BQJ308" s="1091"/>
      <c r="BQK308" s="1091"/>
      <c r="BQL308" s="1091"/>
      <c r="BQM308" s="1091"/>
      <c r="BQN308" s="1091"/>
      <c r="BQO308" s="1091"/>
      <c r="BQP308" s="1091"/>
      <c r="BQQ308" s="1091"/>
      <c r="BQR308" s="1091"/>
      <c r="BQS308" s="1091"/>
      <c r="BQT308" s="1091"/>
      <c r="BQU308" s="1091"/>
      <c r="BQV308" s="1091"/>
      <c r="BQW308" s="1091"/>
      <c r="BQX308" s="1091"/>
      <c r="BQY308" s="1091"/>
      <c r="BQZ308" s="1091"/>
      <c r="BRA308" s="1091"/>
      <c r="BRB308" s="1091"/>
      <c r="BRC308" s="1091"/>
      <c r="BRD308" s="1091"/>
      <c r="BRE308" s="1091"/>
      <c r="BRF308" s="1091"/>
      <c r="BRG308" s="1091"/>
      <c r="BRH308" s="1091"/>
      <c r="BRI308" s="1091"/>
      <c r="BRJ308" s="1091"/>
      <c r="BRK308" s="1091"/>
      <c r="BRL308" s="1091"/>
      <c r="BRM308" s="1091"/>
      <c r="BRN308" s="1091"/>
      <c r="BRO308" s="1091"/>
      <c r="BRP308" s="1091"/>
      <c r="BRQ308" s="1091"/>
      <c r="BRR308" s="1091"/>
      <c r="BRS308" s="1091"/>
      <c r="BRT308" s="1091"/>
      <c r="BRU308" s="1091"/>
      <c r="BRV308" s="1091"/>
      <c r="BRW308" s="1091"/>
      <c r="BRX308" s="1091"/>
      <c r="BRY308" s="1091"/>
      <c r="BRZ308" s="1091"/>
      <c r="BSA308" s="1091"/>
      <c r="BSB308" s="1091"/>
      <c r="BSC308" s="1091"/>
      <c r="BSD308" s="1091"/>
      <c r="BSE308" s="1091"/>
      <c r="BSF308" s="1091"/>
      <c r="BSG308" s="1091"/>
      <c r="BSH308" s="1091"/>
      <c r="BSI308" s="1091"/>
      <c r="BSJ308" s="1091"/>
      <c r="BSK308" s="1091"/>
      <c r="BSL308" s="1091"/>
      <c r="BSM308" s="1091"/>
      <c r="BSN308" s="1091"/>
      <c r="BSO308" s="1091"/>
      <c r="BSP308" s="1091"/>
      <c r="BSQ308" s="1091"/>
      <c r="BSR308" s="1091"/>
      <c r="BSS308" s="1091"/>
      <c r="BST308" s="1091"/>
      <c r="BSU308" s="1091"/>
      <c r="BSV308" s="1091"/>
      <c r="BSW308" s="1091"/>
      <c r="BSX308" s="1091"/>
      <c r="BSY308" s="1091"/>
      <c r="BSZ308" s="1091"/>
      <c r="BTA308" s="1091"/>
      <c r="BTB308" s="1091"/>
      <c r="BTC308" s="1091"/>
      <c r="BTD308" s="1091"/>
      <c r="BTE308" s="1091"/>
      <c r="BTF308" s="1091"/>
      <c r="BTG308" s="1091"/>
      <c r="BTH308" s="1091"/>
      <c r="BTI308" s="1091"/>
      <c r="BTJ308" s="1091"/>
      <c r="BTK308" s="1091"/>
      <c r="BTL308" s="1091"/>
      <c r="BTM308" s="1091"/>
      <c r="BTN308" s="1091"/>
      <c r="BTO308" s="1091"/>
      <c r="BTP308" s="1091"/>
      <c r="BTQ308" s="1091"/>
      <c r="BTR308" s="1091"/>
      <c r="BTS308" s="1091"/>
      <c r="BTT308" s="1091"/>
      <c r="BTU308" s="1091"/>
      <c r="BTV308" s="1091"/>
      <c r="BTW308" s="1091"/>
      <c r="BTX308" s="1091"/>
      <c r="BTY308" s="1091"/>
      <c r="BTZ308" s="1091"/>
      <c r="BUA308" s="1091"/>
      <c r="BUB308" s="1091"/>
      <c r="BUC308" s="1091"/>
      <c r="BUD308" s="1091"/>
      <c r="BUE308" s="1091"/>
      <c r="BUF308" s="1091"/>
      <c r="BUG308" s="1091"/>
      <c r="BUH308" s="1091"/>
      <c r="BUI308" s="1091"/>
      <c r="BUJ308" s="1091"/>
      <c r="BUK308" s="1091"/>
      <c r="BUL308" s="1091"/>
      <c r="BUM308" s="1091"/>
      <c r="BUN308" s="1091"/>
      <c r="BUO308" s="1091"/>
      <c r="BUP308" s="1091"/>
      <c r="BUQ308" s="1091"/>
      <c r="BUR308" s="1091"/>
      <c r="BUS308" s="1091"/>
      <c r="BUT308" s="1091"/>
      <c r="BUU308" s="1091"/>
      <c r="BUV308" s="1091"/>
      <c r="BUW308" s="1091"/>
      <c r="BUX308" s="1091"/>
      <c r="BUY308" s="1091"/>
      <c r="BUZ308" s="1091"/>
      <c r="BVA308" s="1091"/>
      <c r="BVB308" s="1091"/>
      <c r="BVC308" s="1091"/>
      <c r="BVD308" s="1091"/>
      <c r="BVE308" s="1091"/>
      <c r="BVF308" s="1091"/>
      <c r="BVG308" s="1091"/>
      <c r="BVH308" s="1091"/>
      <c r="BVI308" s="1091"/>
      <c r="BVJ308" s="1091"/>
      <c r="BVK308" s="1091"/>
      <c r="BVL308" s="1091"/>
      <c r="BVM308" s="1091"/>
      <c r="BVN308" s="1091"/>
      <c r="BVO308" s="1091"/>
      <c r="BVP308" s="1091"/>
      <c r="BVQ308" s="1091"/>
      <c r="BVR308" s="1091"/>
      <c r="BVS308" s="1091"/>
      <c r="BVT308" s="1091"/>
      <c r="BVU308" s="1091"/>
      <c r="BVV308" s="1091"/>
      <c r="BVW308" s="1091"/>
      <c r="BVX308" s="1091"/>
      <c r="BVY308" s="1091"/>
      <c r="BVZ308" s="1091"/>
      <c r="BWA308" s="1091"/>
      <c r="BWB308" s="1091"/>
      <c r="BWC308" s="1091"/>
      <c r="BWD308" s="1091"/>
      <c r="BWE308" s="1091"/>
      <c r="BWF308" s="1091"/>
      <c r="BWG308" s="1091"/>
      <c r="BWH308" s="1091"/>
      <c r="BWI308" s="1091"/>
      <c r="BWJ308" s="1091"/>
      <c r="BWK308" s="1091"/>
      <c r="BWL308" s="1091"/>
      <c r="BWM308" s="1091"/>
      <c r="BWN308" s="1091"/>
      <c r="BWO308" s="1091"/>
      <c r="BWP308" s="1091"/>
      <c r="BWQ308" s="1091"/>
      <c r="BWR308" s="1091"/>
      <c r="BWS308" s="1091"/>
      <c r="BWT308" s="1091"/>
      <c r="BWU308" s="1091"/>
      <c r="BWV308" s="1091"/>
      <c r="BWW308" s="1091"/>
      <c r="BWX308" s="1091"/>
      <c r="BWY308" s="1091"/>
      <c r="BWZ308" s="1091"/>
      <c r="BXA308" s="1091"/>
      <c r="BXB308" s="1091"/>
      <c r="BXC308" s="1091"/>
      <c r="BXD308" s="1091"/>
      <c r="BXE308" s="1091"/>
      <c r="BXF308" s="1091"/>
      <c r="BXG308" s="1091"/>
      <c r="BXH308" s="1091"/>
      <c r="BXI308" s="1091"/>
      <c r="BXJ308" s="1091"/>
      <c r="BXK308" s="1091"/>
      <c r="BXL308" s="1091"/>
      <c r="BXM308" s="1091"/>
      <c r="BXN308" s="1091"/>
      <c r="BXO308" s="1091"/>
      <c r="BXP308" s="1091"/>
      <c r="BXQ308" s="1091"/>
      <c r="BXR308" s="1091"/>
      <c r="BXS308" s="1091"/>
      <c r="BXT308" s="1091"/>
      <c r="BXU308" s="1091"/>
      <c r="BXV308" s="1091"/>
      <c r="BXW308" s="1091"/>
      <c r="BXX308" s="1091"/>
      <c r="BXY308" s="1091"/>
      <c r="BXZ308" s="1091"/>
      <c r="BYA308" s="1091"/>
      <c r="BYB308" s="1091"/>
      <c r="BYC308" s="1091"/>
      <c r="BYD308" s="1091"/>
      <c r="BYE308" s="1091"/>
      <c r="BYF308" s="1091"/>
      <c r="BYG308" s="1091"/>
      <c r="BYH308" s="1091"/>
      <c r="BYI308" s="1091"/>
      <c r="BYJ308" s="1091"/>
      <c r="BYK308" s="1091"/>
      <c r="BYL308" s="1091"/>
      <c r="BYM308" s="1091"/>
      <c r="BYN308" s="1091"/>
      <c r="BYO308" s="1091"/>
      <c r="BYP308" s="1091"/>
      <c r="BYQ308" s="1091"/>
      <c r="BYR308" s="1091"/>
      <c r="BYS308" s="1091"/>
      <c r="BYT308" s="1091"/>
      <c r="BYU308" s="1091"/>
      <c r="BYV308" s="1091"/>
      <c r="BYW308" s="1091"/>
      <c r="BYX308" s="1091"/>
      <c r="BYY308" s="1091"/>
      <c r="BYZ308" s="1091"/>
      <c r="BZA308" s="1091"/>
      <c r="BZB308" s="1091"/>
      <c r="BZC308" s="1091"/>
      <c r="BZD308" s="1091"/>
      <c r="BZE308" s="1091"/>
      <c r="BZF308" s="1091"/>
      <c r="BZG308" s="1091"/>
      <c r="BZH308" s="1091"/>
      <c r="BZI308" s="1091"/>
      <c r="BZJ308" s="1091"/>
      <c r="BZK308" s="1091"/>
      <c r="BZL308" s="1091"/>
      <c r="BZM308" s="1091"/>
      <c r="BZN308" s="1091"/>
      <c r="BZO308" s="1091"/>
      <c r="BZP308" s="1091"/>
      <c r="BZQ308" s="1091"/>
      <c r="BZR308" s="1091"/>
      <c r="BZS308" s="1091"/>
      <c r="BZT308" s="1091"/>
      <c r="BZU308" s="1091"/>
      <c r="BZV308" s="1091"/>
      <c r="BZW308" s="1091"/>
      <c r="BZX308" s="1091"/>
      <c r="BZY308" s="1091"/>
      <c r="BZZ308" s="1091"/>
      <c r="CAA308" s="1091"/>
      <c r="CAB308" s="1091"/>
      <c r="CAC308" s="1091"/>
      <c r="CAD308" s="1091"/>
      <c r="CAE308" s="1091"/>
      <c r="CAF308" s="1091"/>
      <c r="CAG308" s="1091"/>
      <c r="CAH308" s="1091"/>
      <c r="CAI308" s="1091"/>
      <c r="CAJ308" s="1091"/>
      <c r="CAK308" s="1091"/>
      <c r="CAL308" s="1091"/>
      <c r="CAM308" s="1091"/>
      <c r="CAN308" s="1091"/>
      <c r="CAO308" s="1091"/>
      <c r="CAP308" s="1091"/>
      <c r="CAQ308" s="1091"/>
      <c r="CAR308" s="1091"/>
      <c r="CAS308" s="1091"/>
      <c r="CAT308" s="1091"/>
      <c r="CAU308" s="1091"/>
      <c r="CAV308" s="1091"/>
      <c r="CAW308" s="1091"/>
      <c r="CAX308" s="1091"/>
      <c r="CAY308" s="1091"/>
      <c r="CAZ308" s="1091"/>
      <c r="CBA308" s="1091"/>
      <c r="CBB308" s="1091"/>
      <c r="CBC308" s="1091"/>
      <c r="CBD308" s="1091"/>
      <c r="CBE308" s="1091"/>
      <c r="CBF308" s="1091"/>
      <c r="CBG308" s="1091"/>
      <c r="CBH308" s="1091"/>
      <c r="CBI308" s="1091"/>
      <c r="CBJ308" s="1091"/>
      <c r="CBK308" s="1091"/>
      <c r="CBL308" s="1091"/>
      <c r="CBM308" s="1091"/>
      <c r="CBN308" s="1091"/>
      <c r="CBO308" s="1091"/>
      <c r="CBP308" s="1091"/>
      <c r="CBQ308" s="1091"/>
      <c r="CBR308" s="1091"/>
      <c r="CBS308" s="1091"/>
      <c r="CBT308" s="1091"/>
      <c r="CBU308" s="1091"/>
      <c r="CBV308" s="1091"/>
      <c r="CBW308" s="1091"/>
      <c r="CBX308" s="1091"/>
      <c r="CBY308" s="1091"/>
      <c r="CBZ308" s="1091"/>
      <c r="CCA308" s="1091"/>
      <c r="CCB308" s="1091"/>
      <c r="CCC308" s="1091"/>
      <c r="CCD308" s="1091"/>
      <c r="CCE308" s="1091"/>
      <c r="CCF308" s="1091"/>
      <c r="CCG308" s="1091"/>
      <c r="CCH308" s="1091"/>
      <c r="CCI308" s="1091"/>
      <c r="CCJ308" s="1091"/>
      <c r="CCK308" s="1091"/>
      <c r="CCL308" s="1091"/>
      <c r="CCM308" s="1091"/>
      <c r="CCN308" s="1091"/>
      <c r="CCO308" s="1091"/>
      <c r="CCP308" s="1091"/>
      <c r="CCQ308" s="1091"/>
      <c r="CCR308" s="1091"/>
      <c r="CCS308" s="1091"/>
      <c r="CCT308" s="1091"/>
      <c r="CCU308" s="1091"/>
      <c r="CCV308" s="1091"/>
      <c r="CCW308" s="1091"/>
      <c r="CCX308" s="1091"/>
      <c r="CCY308" s="1091"/>
      <c r="CCZ308" s="1091"/>
      <c r="CDA308" s="1091"/>
      <c r="CDB308" s="1091"/>
      <c r="CDC308" s="1091"/>
      <c r="CDD308" s="1091"/>
      <c r="CDE308" s="1091"/>
      <c r="CDF308" s="1091"/>
      <c r="CDG308" s="1091"/>
      <c r="CDH308" s="1091"/>
      <c r="CDI308" s="1091"/>
      <c r="CDJ308" s="1091"/>
      <c r="CDK308" s="1091"/>
      <c r="CDL308" s="1091"/>
      <c r="CDM308" s="1091"/>
      <c r="CDN308" s="1091"/>
      <c r="CDO308" s="1091"/>
      <c r="CDP308" s="1091"/>
      <c r="CDQ308" s="1091"/>
      <c r="CDR308" s="1091"/>
      <c r="CDS308" s="1091"/>
      <c r="CDT308" s="1091"/>
      <c r="CDU308" s="1091"/>
      <c r="CDV308" s="1091"/>
      <c r="CDW308" s="1091"/>
      <c r="CDX308" s="1091"/>
      <c r="CDY308" s="1091"/>
      <c r="CDZ308" s="1091"/>
      <c r="CEA308" s="1091"/>
      <c r="CEB308" s="1091"/>
      <c r="CEC308" s="1091"/>
      <c r="CED308" s="1091"/>
      <c r="CEE308" s="1091"/>
      <c r="CEF308" s="1091"/>
      <c r="CEG308" s="1091"/>
      <c r="CEH308" s="1091"/>
      <c r="CEI308" s="1091"/>
      <c r="CEJ308" s="1091"/>
      <c r="CEK308" s="1091"/>
      <c r="CEL308" s="1091"/>
      <c r="CEM308" s="1091"/>
      <c r="CEN308" s="1091"/>
      <c r="CEO308" s="1091"/>
      <c r="CEP308" s="1091"/>
      <c r="CEQ308" s="1091"/>
      <c r="CER308" s="1091"/>
      <c r="CES308" s="1091"/>
      <c r="CET308" s="1091"/>
      <c r="CEU308" s="1091"/>
      <c r="CEV308" s="1091"/>
      <c r="CEW308" s="1091"/>
      <c r="CEX308" s="1091"/>
      <c r="CEY308" s="1091"/>
      <c r="CEZ308" s="1091"/>
      <c r="CFA308" s="1091"/>
      <c r="CFB308" s="1091"/>
      <c r="CFC308" s="1091"/>
      <c r="CFD308" s="1091"/>
      <c r="CFE308" s="1091"/>
      <c r="CFF308" s="1091"/>
      <c r="CFG308" s="1091"/>
      <c r="CFH308" s="1091"/>
      <c r="CFI308" s="1091"/>
      <c r="CFJ308" s="1091"/>
      <c r="CFK308" s="1091"/>
      <c r="CFL308" s="1091"/>
      <c r="CFM308" s="1091"/>
      <c r="CFN308" s="1091"/>
      <c r="CFO308" s="1091"/>
      <c r="CFP308" s="1091"/>
      <c r="CFQ308" s="1091"/>
      <c r="CFR308" s="1091"/>
      <c r="CFS308" s="1091"/>
      <c r="CFT308" s="1091"/>
      <c r="CFU308" s="1091"/>
      <c r="CFV308" s="1091"/>
      <c r="CFW308" s="1091"/>
      <c r="CFX308" s="1091"/>
      <c r="CFY308" s="1091"/>
      <c r="CFZ308" s="1091"/>
      <c r="CGA308" s="1091"/>
      <c r="CGB308" s="1091"/>
      <c r="CGC308" s="1091"/>
      <c r="CGD308" s="1091"/>
      <c r="CGE308" s="1091"/>
      <c r="CGF308" s="1091"/>
      <c r="CGG308" s="1091"/>
      <c r="CGH308" s="1091"/>
      <c r="CGI308" s="1091"/>
      <c r="CGJ308" s="1091"/>
      <c r="CGK308" s="1091"/>
      <c r="CGL308" s="1091"/>
      <c r="CGM308" s="1091"/>
      <c r="CGN308" s="1091"/>
      <c r="CGO308" s="1091"/>
      <c r="CGP308" s="1091"/>
      <c r="CGQ308" s="1091"/>
      <c r="CGR308" s="1091"/>
      <c r="CGS308" s="1091"/>
      <c r="CGT308" s="1091"/>
      <c r="CGU308" s="1091"/>
      <c r="CGV308" s="1091"/>
      <c r="CGW308" s="1091"/>
      <c r="CGX308" s="1091"/>
      <c r="CGY308" s="1091"/>
      <c r="CGZ308" s="1091"/>
      <c r="CHA308" s="1091"/>
      <c r="CHB308" s="1091"/>
      <c r="CHC308" s="1091"/>
      <c r="CHD308" s="1091"/>
      <c r="CHE308" s="1091"/>
      <c r="CHF308" s="1091"/>
      <c r="CHG308" s="1091"/>
      <c r="CHH308" s="1091"/>
      <c r="CHI308" s="1091"/>
      <c r="CHJ308" s="1091"/>
      <c r="CHK308" s="1091"/>
      <c r="CHL308" s="1091"/>
      <c r="CHM308" s="1091"/>
      <c r="CHN308" s="1091"/>
      <c r="CHO308" s="1091"/>
      <c r="CHP308" s="1091"/>
      <c r="CHQ308" s="1091"/>
      <c r="CHR308" s="1091"/>
      <c r="CHS308" s="1091"/>
      <c r="CHT308" s="1091"/>
      <c r="CHU308" s="1091"/>
      <c r="CHV308" s="1091"/>
      <c r="CHW308" s="1091"/>
      <c r="CHX308" s="1091"/>
      <c r="CHY308" s="1091"/>
      <c r="CHZ308" s="1091"/>
      <c r="CIA308" s="1091"/>
      <c r="CIB308" s="1091"/>
      <c r="CIC308" s="1091"/>
      <c r="CID308" s="1091"/>
      <c r="CIE308" s="1091"/>
      <c r="CIF308" s="1091"/>
      <c r="CIG308" s="1091"/>
      <c r="CIH308" s="1091"/>
      <c r="CII308" s="1091"/>
      <c r="CIJ308" s="1091"/>
      <c r="CIK308" s="1091"/>
      <c r="CIL308" s="1091"/>
      <c r="CIM308" s="1091"/>
      <c r="CIN308" s="1091"/>
      <c r="CIO308" s="1091"/>
      <c r="CIP308" s="1091"/>
      <c r="CIQ308" s="1091"/>
      <c r="CIR308" s="1091"/>
      <c r="CIS308" s="1091"/>
      <c r="CIT308" s="1091"/>
      <c r="CIU308" s="1091"/>
      <c r="CIV308" s="1091"/>
      <c r="CIW308" s="1091"/>
      <c r="CIX308" s="1091"/>
      <c r="CIY308" s="1091"/>
      <c r="CIZ308" s="1091"/>
      <c r="CJA308" s="1091"/>
      <c r="CJB308" s="1091"/>
      <c r="CJC308" s="1091"/>
      <c r="CJD308" s="1091"/>
      <c r="CJE308" s="1091"/>
      <c r="CJF308" s="1091"/>
      <c r="CJG308" s="1091"/>
      <c r="CJH308" s="1091"/>
      <c r="CJI308" s="1091"/>
      <c r="CJJ308" s="1091"/>
      <c r="CJK308" s="1091"/>
      <c r="CJL308" s="1091"/>
      <c r="CJM308" s="1091"/>
      <c r="CJN308" s="1091"/>
      <c r="CJO308" s="1091"/>
      <c r="CJP308" s="1091"/>
      <c r="CJQ308" s="1091"/>
      <c r="CJR308" s="1091"/>
      <c r="CJS308" s="1091"/>
      <c r="CJT308" s="1091"/>
      <c r="CJU308" s="1091"/>
      <c r="CJV308" s="1091"/>
      <c r="CJW308" s="1091"/>
      <c r="CJX308" s="1091"/>
      <c r="CJY308" s="1091"/>
      <c r="CJZ308" s="1091"/>
      <c r="CKA308" s="1091"/>
      <c r="CKB308" s="1091"/>
      <c r="CKC308" s="1091"/>
      <c r="CKD308" s="1091"/>
      <c r="CKE308" s="1091"/>
      <c r="CKF308" s="1091"/>
      <c r="CKG308" s="1091"/>
      <c r="CKH308" s="1091"/>
      <c r="CKI308" s="1091"/>
      <c r="CKJ308" s="1091"/>
      <c r="CKK308" s="1091"/>
      <c r="CKL308" s="1091"/>
      <c r="CKM308" s="1091"/>
      <c r="CKN308" s="1091"/>
      <c r="CKO308" s="1091"/>
      <c r="CKP308" s="1091"/>
      <c r="CKQ308" s="1091"/>
      <c r="CKR308" s="1091"/>
      <c r="CKS308" s="1091"/>
      <c r="CKT308" s="1091"/>
      <c r="CKU308" s="1091"/>
      <c r="CKV308" s="1091"/>
      <c r="CKW308" s="1091"/>
      <c r="CKX308" s="1091"/>
      <c r="CKY308" s="1091"/>
      <c r="CKZ308" s="1091"/>
      <c r="CLA308" s="1091"/>
      <c r="CLB308" s="1091"/>
      <c r="CLC308" s="1091"/>
      <c r="CLD308" s="1091"/>
      <c r="CLE308" s="1091"/>
      <c r="CLF308" s="1091"/>
      <c r="CLG308" s="1091"/>
      <c r="CLH308" s="1091"/>
      <c r="CLI308" s="1091"/>
      <c r="CLJ308" s="1091"/>
      <c r="CLK308" s="1091"/>
      <c r="CLL308" s="1091"/>
      <c r="CLM308" s="1091"/>
      <c r="CLN308" s="1091"/>
      <c r="CLO308" s="1091"/>
      <c r="CLP308" s="1091"/>
      <c r="CLQ308" s="1091"/>
      <c r="CLR308" s="1091"/>
      <c r="CLS308" s="1091"/>
      <c r="CLT308" s="1091"/>
      <c r="CLU308" s="1091"/>
      <c r="CLV308" s="1091"/>
      <c r="CLW308" s="1091"/>
      <c r="CLX308" s="1091"/>
      <c r="CLY308" s="1091"/>
      <c r="CLZ308" s="1091"/>
      <c r="CMA308" s="1091"/>
      <c r="CMB308" s="1091"/>
      <c r="CMC308" s="1091"/>
      <c r="CMD308" s="1091"/>
      <c r="CME308" s="1091"/>
      <c r="CMF308" s="1091"/>
      <c r="CMG308" s="1091"/>
      <c r="CMH308" s="1091"/>
      <c r="CMI308" s="1091"/>
      <c r="CMJ308" s="1091"/>
      <c r="CMK308" s="1091"/>
      <c r="CML308" s="1091"/>
      <c r="CMM308" s="1091"/>
      <c r="CMN308" s="1091"/>
      <c r="CMO308" s="1091"/>
      <c r="CMP308" s="1091"/>
      <c r="CMQ308" s="1091"/>
      <c r="CMR308" s="1091"/>
      <c r="CMS308" s="1091"/>
      <c r="CMT308" s="1091"/>
      <c r="CMU308" s="1091"/>
      <c r="CMV308" s="1091"/>
      <c r="CMW308" s="1091"/>
      <c r="CMX308" s="1091"/>
      <c r="CMY308" s="1091"/>
      <c r="CMZ308" s="1091"/>
      <c r="CNA308" s="1091"/>
      <c r="CNB308" s="1091"/>
      <c r="CNC308" s="1091"/>
      <c r="CND308" s="1091"/>
      <c r="CNE308" s="1091"/>
      <c r="CNF308" s="1091"/>
      <c r="CNG308" s="1091"/>
      <c r="CNH308" s="1091"/>
      <c r="CNI308" s="1091"/>
      <c r="CNJ308" s="1091"/>
      <c r="CNK308" s="1091"/>
      <c r="CNL308" s="1091"/>
      <c r="CNM308" s="1091"/>
      <c r="CNN308" s="1091"/>
      <c r="CNO308" s="1091"/>
      <c r="CNP308" s="1091"/>
      <c r="CNQ308" s="1091"/>
      <c r="CNR308" s="1091"/>
      <c r="CNS308" s="1091"/>
      <c r="CNT308" s="1091"/>
      <c r="CNU308" s="1091"/>
      <c r="CNV308" s="1091"/>
      <c r="CNW308" s="1091"/>
      <c r="CNX308" s="1091"/>
      <c r="CNY308" s="1091"/>
      <c r="CNZ308" s="1091"/>
      <c r="COA308" s="1091"/>
      <c r="COB308" s="1091"/>
      <c r="COC308" s="1091"/>
      <c r="COD308" s="1091"/>
      <c r="COE308" s="1091"/>
      <c r="COF308" s="1091"/>
      <c r="COG308" s="1091"/>
      <c r="COH308" s="1091"/>
      <c r="COI308" s="1091"/>
      <c r="COJ308" s="1091"/>
      <c r="COK308" s="1091"/>
      <c r="COL308" s="1091"/>
      <c r="COM308" s="1091"/>
      <c r="CON308" s="1091"/>
      <c r="COO308" s="1091"/>
      <c r="COP308" s="1091"/>
      <c r="COQ308" s="1091"/>
      <c r="COR308" s="1091"/>
      <c r="COS308" s="1091"/>
      <c r="COT308" s="1091"/>
      <c r="COU308" s="1091"/>
      <c r="COV308" s="1091"/>
      <c r="COW308" s="1091"/>
      <c r="COX308" s="1091"/>
      <c r="COY308" s="1091"/>
      <c r="COZ308" s="1091"/>
      <c r="CPA308" s="1091"/>
      <c r="CPB308" s="1091"/>
      <c r="CPC308" s="1091"/>
      <c r="CPD308" s="1091"/>
      <c r="CPE308" s="1091"/>
      <c r="CPF308" s="1091"/>
      <c r="CPG308" s="1091"/>
      <c r="CPH308" s="1091"/>
      <c r="CPI308" s="1091"/>
      <c r="CPJ308" s="1091"/>
      <c r="CPK308" s="1091"/>
      <c r="CPL308" s="1091"/>
      <c r="CPM308" s="1091"/>
      <c r="CPN308" s="1091"/>
      <c r="CPO308" s="1091"/>
      <c r="CPP308" s="1091"/>
      <c r="CPQ308" s="1091"/>
      <c r="CPR308" s="1091"/>
      <c r="CPS308" s="1091"/>
      <c r="CPT308" s="1091"/>
      <c r="CPU308" s="1091"/>
      <c r="CPV308" s="1091"/>
      <c r="CPW308" s="1091"/>
      <c r="CPX308" s="1091"/>
      <c r="CPY308" s="1091"/>
      <c r="CPZ308" s="1091"/>
      <c r="CQA308" s="1091"/>
      <c r="CQB308" s="1091"/>
      <c r="CQC308" s="1091"/>
      <c r="CQD308" s="1091"/>
      <c r="CQE308" s="1091"/>
      <c r="CQF308" s="1091"/>
      <c r="CQG308" s="1091"/>
      <c r="CQH308" s="1091"/>
      <c r="CQI308" s="1091"/>
      <c r="CQJ308" s="1091"/>
      <c r="CQK308" s="1091"/>
      <c r="CQL308" s="1091"/>
      <c r="CQM308" s="1091"/>
      <c r="CQN308" s="1091"/>
      <c r="CQO308" s="1091"/>
      <c r="CQP308" s="1091"/>
      <c r="CQQ308" s="1091"/>
      <c r="CQR308" s="1091"/>
      <c r="CQS308" s="1091"/>
      <c r="CQT308" s="1091"/>
      <c r="CQU308" s="1091"/>
      <c r="CQV308" s="1091"/>
      <c r="CQW308" s="1091"/>
      <c r="CQX308" s="1091"/>
      <c r="CQY308" s="1091"/>
      <c r="CQZ308" s="1091"/>
      <c r="CRA308" s="1091"/>
      <c r="CRB308" s="1091"/>
      <c r="CRC308" s="1091"/>
      <c r="CRD308" s="1091"/>
      <c r="CRE308" s="1091"/>
      <c r="CRF308" s="1091"/>
      <c r="CRG308" s="1091"/>
      <c r="CRH308" s="1091"/>
      <c r="CRI308" s="1091"/>
      <c r="CRJ308" s="1091"/>
      <c r="CRK308" s="1091"/>
      <c r="CRL308" s="1091"/>
      <c r="CRM308" s="1091"/>
      <c r="CRN308" s="1091"/>
      <c r="CRO308" s="1091"/>
      <c r="CRP308" s="1091"/>
      <c r="CRQ308" s="1091"/>
      <c r="CRR308" s="1091"/>
      <c r="CRS308" s="1091"/>
      <c r="CRT308" s="1091"/>
      <c r="CRU308" s="1091"/>
      <c r="CRV308" s="1091"/>
      <c r="CRW308" s="1091"/>
      <c r="CRX308" s="1091"/>
      <c r="CRY308" s="1091"/>
      <c r="CRZ308" s="1091"/>
      <c r="CSA308" s="1091"/>
      <c r="CSB308" s="1091"/>
      <c r="CSC308" s="1091"/>
      <c r="CSD308" s="1091"/>
      <c r="CSE308" s="1091"/>
      <c r="CSF308" s="1091"/>
      <c r="CSG308" s="1091"/>
      <c r="CSH308" s="1091"/>
      <c r="CSI308" s="1091"/>
      <c r="CSJ308" s="1091"/>
      <c r="CSK308" s="1091"/>
      <c r="CSL308" s="1091"/>
      <c r="CSM308" s="1091"/>
      <c r="CSN308" s="1091"/>
      <c r="CSO308" s="1091"/>
      <c r="CSP308" s="1091"/>
      <c r="CSQ308" s="1091"/>
      <c r="CSR308" s="1091"/>
      <c r="CSS308" s="1091"/>
      <c r="CST308" s="1091"/>
      <c r="CSU308" s="1091"/>
      <c r="CSV308" s="1091"/>
      <c r="CSW308" s="1091"/>
      <c r="CSX308" s="1091"/>
      <c r="CSY308" s="1091"/>
      <c r="CSZ308" s="1091"/>
      <c r="CTA308" s="1091"/>
      <c r="CTB308" s="1091"/>
      <c r="CTC308" s="1091"/>
      <c r="CTD308" s="1091"/>
      <c r="CTE308" s="1091"/>
      <c r="CTF308" s="1091"/>
      <c r="CTG308" s="1091"/>
      <c r="CTH308" s="1091"/>
      <c r="CTI308" s="1091"/>
      <c r="CTJ308" s="1091"/>
      <c r="CTK308" s="1091"/>
      <c r="CTL308" s="1091"/>
      <c r="CTM308" s="1091"/>
      <c r="CTN308" s="1091"/>
      <c r="CTO308" s="1091"/>
      <c r="CTP308" s="1091"/>
      <c r="CTQ308" s="1091"/>
      <c r="CTR308" s="1091"/>
      <c r="CTS308" s="1091"/>
      <c r="CTT308" s="1091"/>
      <c r="CTU308" s="1091"/>
      <c r="CTV308" s="1091"/>
      <c r="CTW308" s="1091"/>
      <c r="CTX308" s="1091"/>
      <c r="CTY308" s="1091"/>
      <c r="CTZ308" s="1091"/>
      <c r="CUA308" s="1091"/>
      <c r="CUB308" s="1091"/>
      <c r="CUC308" s="1091"/>
      <c r="CUD308" s="1091"/>
      <c r="CUE308" s="1091"/>
      <c r="CUF308" s="1091"/>
      <c r="CUG308" s="1091"/>
      <c r="CUH308" s="1091"/>
      <c r="CUI308" s="1091"/>
      <c r="CUJ308" s="1091"/>
      <c r="CUK308" s="1091"/>
      <c r="CUL308" s="1091"/>
      <c r="CUM308" s="1091"/>
      <c r="CUN308" s="1091"/>
      <c r="CUO308" s="1091"/>
      <c r="CUP308" s="1091"/>
      <c r="CUQ308" s="1091"/>
      <c r="CUR308" s="1091"/>
      <c r="CUS308" s="1091"/>
      <c r="CUT308" s="1091"/>
      <c r="CUU308" s="1091"/>
      <c r="CUV308" s="1091"/>
      <c r="CUW308" s="1091"/>
      <c r="CUX308" s="1091"/>
      <c r="CUY308" s="1091"/>
      <c r="CUZ308" s="1091"/>
      <c r="CVA308" s="1091"/>
      <c r="CVB308" s="1091"/>
      <c r="CVC308" s="1091"/>
      <c r="CVD308" s="1091"/>
      <c r="CVE308" s="1091"/>
      <c r="CVF308" s="1091"/>
      <c r="CVG308" s="1091"/>
      <c r="CVH308" s="1091"/>
      <c r="CVI308" s="1091"/>
      <c r="CVJ308" s="1091"/>
      <c r="CVK308" s="1091"/>
      <c r="CVL308" s="1091"/>
      <c r="CVM308" s="1091"/>
      <c r="CVN308" s="1091"/>
      <c r="CVO308" s="1091"/>
      <c r="CVP308" s="1091"/>
      <c r="CVQ308" s="1091"/>
      <c r="CVR308" s="1091"/>
      <c r="CVS308" s="1091"/>
      <c r="CVT308" s="1091"/>
      <c r="CVU308" s="1091"/>
      <c r="CVV308" s="1091"/>
      <c r="CVW308" s="1091"/>
      <c r="CVX308" s="1091"/>
      <c r="CVY308" s="1091"/>
      <c r="CVZ308" s="1091"/>
      <c r="CWA308" s="1091"/>
      <c r="CWB308" s="1091"/>
      <c r="CWC308" s="1091"/>
      <c r="CWD308" s="1091"/>
      <c r="CWE308" s="1091"/>
      <c r="CWF308" s="1091"/>
      <c r="CWG308" s="1091"/>
      <c r="CWH308" s="1091"/>
      <c r="CWI308" s="1091"/>
      <c r="CWJ308" s="1091"/>
      <c r="CWK308" s="1091"/>
      <c r="CWL308" s="1091"/>
      <c r="CWM308" s="1091"/>
      <c r="CWN308" s="1091"/>
      <c r="CWO308" s="1091"/>
      <c r="CWP308" s="1091"/>
      <c r="CWQ308" s="1091"/>
      <c r="CWR308" s="1091"/>
      <c r="CWS308" s="1091"/>
      <c r="CWT308" s="1091"/>
      <c r="CWU308" s="1091"/>
      <c r="CWV308" s="1091"/>
      <c r="CWW308" s="1091"/>
      <c r="CWX308" s="1091"/>
      <c r="CWY308" s="1091"/>
      <c r="CWZ308" s="1091"/>
      <c r="CXA308" s="1091"/>
      <c r="CXB308" s="1091"/>
      <c r="CXC308" s="1091"/>
      <c r="CXD308" s="1091"/>
      <c r="CXE308" s="1091"/>
      <c r="CXF308" s="1091"/>
      <c r="CXG308" s="1091"/>
      <c r="CXH308" s="1091"/>
      <c r="CXI308" s="1091"/>
      <c r="CXJ308" s="1091"/>
      <c r="CXK308" s="1091"/>
      <c r="CXL308" s="1091"/>
      <c r="CXM308" s="1091"/>
      <c r="CXN308" s="1091"/>
      <c r="CXO308" s="1091"/>
      <c r="CXP308" s="1091"/>
      <c r="CXQ308" s="1091"/>
      <c r="CXR308" s="1091"/>
      <c r="CXS308" s="1091"/>
      <c r="CXT308" s="1091"/>
      <c r="CXU308" s="1091"/>
      <c r="CXV308" s="1091"/>
      <c r="CXW308" s="1091"/>
      <c r="CXX308" s="1091"/>
      <c r="CXY308" s="1091"/>
      <c r="CXZ308" s="1091"/>
      <c r="CYA308" s="1091"/>
      <c r="CYB308" s="1091"/>
      <c r="CYC308" s="1091"/>
      <c r="CYD308" s="1091"/>
      <c r="CYE308" s="1091"/>
      <c r="CYF308" s="1091"/>
      <c r="CYG308" s="1091"/>
      <c r="CYH308" s="1091"/>
      <c r="CYI308" s="1091"/>
      <c r="CYJ308" s="1091"/>
      <c r="CYK308" s="1091"/>
      <c r="CYL308" s="1091"/>
      <c r="CYM308" s="1091"/>
      <c r="CYN308" s="1091"/>
      <c r="CYO308" s="1091"/>
      <c r="CYP308" s="1091"/>
      <c r="CYQ308" s="1091"/>
      <c r="CYR308" s="1091"/>
      <c r="CYS308" s="1091"/>
      <c r="CYT308" s="1091"/>
      <c r="CYU308" s="1091"/>
      <c r="CYV308" s="1091"/>
      <c r="CYW308" s="1091"/>
      <c r="CYX308" s="1091"/>
      <c r="CYY308" s="1091"/>
      <c r="CYZ308" s="1091"/>
      <c r="CZA308" s="1091"/>
      <c r="CZB308" s="1091"/>
      <c r="CZC308" s="1091"/>
      <c r="CZD308" s="1091"/>
      <c r="CZE308" s="1091"/>
      <c r="CZF308" s="1091"/>
      <c r="CZG308" s="1091"/>
      <c r="CZH308" s="1091"/>
      <c r="CZI308" s="1091"/>
      <c r="CZJ308" s="1091"/>
      <c r="CZK308" s="1091"/>
      <c r="CZL308" s="1091"/>
      <c r="CZM308" s="1091"/>
      <c r="CZN308" s="1091"/>
      <c r="CZO308" s="1091"/>
      <c r="CZP308" s="1091"/>
      <c r="CZQ308" s="1091"/>
      <c r="CZR308" s="1091"/>
      <c r="CZS308" s="1091"/>
      <c r="CZT308" s="1091"/>
      <c r="CZU308" s="1091"/>
      <c r="CZV308" s="1091"/>
      <c r="CZW308" s="1091"/>
      <c r="CZX308" s="1091"/>
      <c r="CZY308" s="1091"/>
      <c r="CZZ308" s="1091"/>
      <c r="DAA308" s="1091"/>
      <c r="DAB308" s="1091"/>
      <c r="DAC308" s="1091"/>
      <c r="DAD308" s="1091"/>
      <c r="DAE308" s="1091"/>
      <c r="DAF308" s="1091"/>
      <c r="DAG308" s="1091"/>
      <c r="DAH308" s="1091"/>
      <c r="DAI308" s="1091"/>
      <c r="DAJ308" s="1091"/>
      <c r="DAK308" s="1091"/>
      <c r="DAL308" s="1091"/>
      <c r="DAM308" s="1091"/>
      <c r="DAN308" s="1091"/>
      <c r="DAO308" s="1091"/>
      <c r="DAP308" s="1091"/>
      <c r="DAQ308" s="1091"/>
      <c r="DAR308" s="1091"/>
      <c r="DAS308" s="1091"/>
      <c r="DAT308" s="1091"/>
      <c r="DAU308" s="1091"/>
      <c r="DAV308" s="1091"/>
      <c r="DAW308" s="1091"/>
      <c r="DAX308" s="1091"/>
      <c r="DAY308" s="1091"/>
      <c r="DAZ308" s="1091"/>
      <c r="DBA308" s="1091"/>
      <c r="DBB308" s="1091"/>
      <c r="DBC308" s="1091"/>
      <c r="DBD308" s="1091"/>
      <c r="DBE308" s="1091"/>
      <c r="DBF308" s="1091"/>
      <c r="DBG308" s="1091"/>
      <c r="DBH308" s="1091"/>
      <c r="DBI308" s="1091"/>
      <c r="DBJ308" s="1091"/>
      <c r="DBK308" s="1091"/>
      <c r="DBL308" s="1091"/>
      <c r="DBM308" s="1091"/>
      <c r="DBN308" s="1091"/>
      <c r="DBO308" s="1091"/>
      <c r="DBP308" s="1091"/>
      <c r="DBQ308" s="1091"/>
      <c r="DBR308" s="1091"/>
      <c r="DBS308" s="1091"/>
      <c r="DBT308" s="1091"/>
      <c r="DBU308" s="1091"/>
      <c r="DBV308" s="1091"/>
      <c r="DBW308" s="1091"/>
      <c r="DBX308" s="1091"/>
      <c r="DBY308" s="1091"/>
      <c r="DBZ308" s="1091"/>
      <c r="DCA308" s="1091"/>
      <c r="DCB308" s="1091"/>
      <c r="DCC308" s="1091"/>
      <c r="DCD308" s="1091"/>
      <c r="DCE308" s="1091"/>
      <c r="DCF308" s="1091"/>
      <c r="DCG308" s="1091"/>
      <c r="DCH308" s="1091"/>
      <c r="DCI308" s="1091"/>
      <c r="DCJ308" s="1091"/>
      <c r="DCK308" s="1091"/>
      <c r="DCL308" s="1091"/>
      <c r="DCM308" s="1091"/>
      <c r="DCN308" s="1091"/>
      <c r="DCO308" s="1091"/>
      <c r="DCP308" s="1091"/>
      <c r="DCQ308" s="1091"/>
      <c r="DCR308" s="1091"/>
      <c r="DCS308" s="1091"/>
      <c r="DCT308" s="1091"/>
      <c r="DCU308" s="1091"/>
      <c r="DCV308" s="1091"/>
      <c r="DCW308" s="1091"/>
      <c r="DCX308" s="1091"/>
      <c r="DCY308" s="1091"/>
      <c r="DCZ308" s="1091"/>
      <c r="DDA308" s="1091"/>
      <c r="DDB308" s="1091"/>
      <c r="DDC308" s="1091"/>
      <c r="DDD308" s="1091"/>
      <c r="DDE308" s="1091"/>
      <c r="DDF308" s="1091"/>
      <c r="DDG308" s="1091"/>
      <c r="DDH308" s="1091"/>
      <c r="DDI308" s="1091"/>
      <c r="DDJ308" s="1091"/>
      <c r="DDK308" s="1091"/>
      <c r="DDL308" s="1091"/>
      <c r="DDM308" s="1091"/>
      <c r="DDN308" s="1091"/>
      <c r="DDO308" s="1091"/>
      <c r="DDP308" s="1091"/>
      <c r="DDQ308" s="1091"/>
      <c r="DDR308" s="1091"/>
      <c r="DDS308" s="1091"/>
      <c r="DDT308" s="1091"/>
      <c r="DDU308" s="1091"/>
      <c r="DDV308" s="1091"/>
      <c r="DDW308" s="1091"/>
      <c r="DDX308" s="1091"/>
      <c r="DDY308" s="1091"/>
      <c r="DDZ308" s="1091"/>
      <c r="DEA308" s="1091"/>
      <c r="DEB308" s="1091"/>
      <c r="DEC308" s="1091"/>
      <c r="DED308" s="1091"/>
      <c r="DEE308" s="1091"/>
      <c r="DEF308" s="1091"/>
      <c r="DEG308" s="1091"/>
      <c r="DEH308" s="1091"/>
      <c r="DEI308" s="1091"/>
      <c r="DEJ308" s="1091"/>
      <c r="DEK308" s="1091"/>
      <c r="DEL308" s="1091"/>
      <c r="DEM308" s="1091"/>
      <c r="DEN308" s="1091"/>
      <c r="DEO308" s="1091"/>
      <c r="DEP308" s="1091"/>
      <c r="DEQ308" s="1091"/>
      <c r="DER308" s="1091"/>
      <c r="DES308" s="1091"/>
      <c r="DET308" s="1091"/>
      <c r="DEU308" s="1091"/>
      <c r="DEV308" s="1091"/>
      <c r="DEW308" s="1091"/>
      <c r="DEX308" s="1091"/>
      <c r="DEY308" s="1091"/>
      <c r="DEZ308" s="1091"/>
      <c r="DFA308" s="1091"/>
      <c r="DFB308" s="1091"/>
      <c r="DFC308" s="1091"/>
      <c r="DFD308" s="1091"/>
      <c r="DFE308" s="1091"/>
      <c r="DFF308" s="1091"/>
      <c r="DFG308" s="1091"/>
      <c r="DFH308" s="1091"/>
      <c r="DFI308" s="1091"/>
      <c r="DFJ308" s="1091"/>
      <c r="DFK308" s="1091"/>
      <c r="DFL308" s="1091"/>
      <c r="DFM308" s="1091"/>
      <c r="DFN308" s="1091"/>
      <c r="DFO308" s="1091"/>
      <c r="DFP308" s="1091"/>
      <c r="DFQ308" s="1091"/>
      <c r="DFR308" s="1091"/>
      <c r="DFS308" s="1091"/>
      <c r="DFT308" s="1091"/>
      <c r="DFU308" s="1091"/>
      <c r="DFV308" s="1091"/>
      <c r="DFW308" s="1091"/>
      <c r="DFX308" s="1091"/>
      <c r="DFY308" s="1091"/>
      <c r="DFZ308" s="1091"/>
      <c r="DGA308" s="1091"/>
      <c r="DGB308" s="1091"/>
      <c r="DGC308" s="1091"/>
      <c r="DGD308" s="1091"/>
      <c r="DGE308" s="1091"/>
      <c r="DGF308" s="1091"/>
      <c r="DGG308" s="1091"/>
      <c r="DGH308" s="1091"/>
      <c r="DGI308" s="1091"/>
      <c r="DGJ308" s="1091"/>
      <c r="DGK308" s="1091"/>
      <c r="DGL308" s="1091"/>
      <c r="DGM308" s="1091"/>
      <c r="DGN308" s="1091"/>
      <c r="DGO308" s="1091"/>
      <c r="DGP308" s="1091"/>
      <c r="DGQ308" s="1091"/>
      <c r="DGR308" s="1091"/>
      <c r="DGS308" s="1091"/>
      <c r="DGT308" s="1091"/>
      <c r="DGU308" s="1091"/>
      <c r="DGV308" s="1091"/>
      <c r="DGW308" s="1091"/>
      <c r="DGX308" s="1091"/>
      <c r="DGY308" s="1091"/>
      <c r="DGZ308" s="1091"/>
      <c r="DHA308" s="1091"/>
      <c r="DHB308" s="1091"/>
      <c r="DHC308" s="1091"/>
      <c r="DHD308" s="1091"/>
      <c r="DHE308" s="1091"/>
      <c r="DHF308" s="1091"/>
      <c r="DHG308" s="1091"/>
      <c r="DHH308" s="1091"/>
      <c r="DHI308" s="1091"/>
      <c r="DHJ308" s="1091"/>
      <c r="DHK308" s="1091"/>
      <c r="DHL308" s="1091"/>
      <c r="DHM308" s="1091"/>
      <c r="DHN308" s="1091"/>
      <c r="DHO308" s="1091"/>
      <c r="DHP308" s="1091"/>
      <c r="DHQ308" s="1091"/>
      <c r="DHR308" s="1091"/>
      <c r="DHS308" s="1091"/>
      <c r="DHT308" s="1091"/>
      <c r="DHU308" s="1091"/>
      <c r="DHV308" s="1091"/>
      <c r="DHW308" s="1091"/>
      <c r="DHX308" s="1091"/>
      <c r="DHY308" s="1091"/>
      <c r="DHZ308" s="1091"/>
      <c r="DIA308" s="1091"/>
      <c r="DIB308" s="1091"/>
      <c r="DIC308" s="1091"/>
      <c r="DID308" s="1091"/>
      <c r="DIE308" s="1091"/>
      <c r="DIF308" s="1091"/>
      <c r="DIG308" s="1091"/>
      <c r="DIH308" s="1091"/>
      <c r="DII308" s="1091"/>
      <c r="DIJ308" s="1091"/>
      <c r="DIK308" s="1091"/>
      <c r="DIL308" s="1091"/>
      <c r="DIM308" s="1091"/>
      <c r="DIN308" s="1091"/>
      <c r="DIO308" s="1091"/>
      <c r="DIP308" s="1091"/>
      <c r="DIQ308" s="1091"/>
      <c r="DIR308" s="1091"/>
      <c r="DIS308" s="1091"/>
      <c r="DIT308" s="1091"/>
      <c r="DIU308" s="1091"/>
      <c r="DIV308" s="1091"/>
      <c r="DIW308" s="1091"/>
      <c r="DIX308" s="1091"/>
      <c r="DIY308" s="1091"/>
      <c r="DIZ308" s="1091"/>
      <c r="DJA308" s="1091"/>
      <c r="DJB308" s="1091"/>
      <c r="DJC308" s="1091"/>
      <c r="DJD308" s="1091"/>
      <c r="DJE308" s="1091"/>
      <c r="DJF308" s="1091"/>
      <c r="DJG308" s="1091"/>
      <c r="DJH308" s="1091"/>
      <c r="DJI308" s="1091"/>
      <c r="DJJ308" s="1091"/>
      <c r="DJK308" s="1091"/>
      <c r="DJL308" s="1091"/>
      <c r="DJM308" s="1091"/>
      <c r="DJN308" s="1091"/>
      <c r="DJO308" s="1091"/>
      <c r="DJP308" s="1091"/>
      <c r="DJQ308" s="1091"/>
      <c r="DJR308" s="1091"/>
      <c r="DJS308" s="1091"/>
      <c r="DJT308" s="1091"/>
      <c r="DJU308" s="1091"/>
      <c r="DJV308" s="1091"/>
      <c r="DJW308" s="1091"/>
      <c r="DJX308" s="1091"/>
      <c r="DJY308" s="1091"/>
      <c r="DJZ308" s="1091"/>
      <c r="DKA308" s="1091"/>
      <c r="DKB308" s="1091"/>
      <c r="DKC308" s="1091"/>
      <c r="DKD308" s="1091"/>
      <c r="DKE308" s="1091"/>
      <c r="DKF308" s="1091"/>
      <c r="DKG308" s="1091"/>
      <c r="DKH308" s="1091"/>
      <c r="DKI308" s="1091"/>
      <c r="DKJ308" s="1091"/>
      <c r="DKK308" s="1091"/>
      <c r="DKL308" s="1091"/>
      <c r="DKM308" s="1091"/>
      <c r="DKN308" s="1091"/>
      <c r="DKO308" s="1091"/>
      <c r="DKP308" s="1091"/>
      <c r="DKQ308" s="1091"/>
      <c r="DKR308" s="1091"/>
      <c r="DKS308" s="1091"/>
      <c r="DKT308" s="1091"/>
      <c r="DKU308" s="1091"/>
      <c r="DKV308" s="1091"/>
      <c r="DKW308" s="1091"/>
      <c r="DKX308" s="1091"/>
      <c r="DKY308" s="1091"/>
      <c r="DKZ308" s="1091"/>
      <c r="DLA308" s="1091"/>
      <c r="DLB308" s="1091"/>
      <c r="DLC308" s="1091"/>
      <c r="DLD308" s="1091"/>
      <c r="DLE308" s="1091"/>
      <c r="DLF308" s="1091"/>
      <c r="DLG308" s="1091"/>
      <c r="DLH308" s="1091"/>
      <c r="DLI308" s="1091"/>
      <c r="DLJ308" s="1091"/>
      <c r="DLK308" s="1091"/>
      <c r="DLL308" s="1091"/>
      <c r="DLM308" s="1091"/>
      <c r="DLN308" s="1091"/>
      <c r="DLO308" s="1091"/>
      <c r="DLP308" s="1091"/>
      <c r="DLQ308" s="1091"/>
      <c r="DLR308" s="1091"/>
      <c r="DLS308" s="1091"/>
      <c r="DLT308" s="1091"/>
      <c r="DLU308" s="1091"/>
      <c r="DLV308" s="1091"/>
      <c r="DLW308" s="1091"/>
      <c r="DLX308" s="1091"/>
      <c r="DLY308" s="1091"/>
      <c r="DLZ308" s="1091"/>
      <c r="DMA308" s="1091"/>
      <c r="DMB308" s="1091"/>
      <c r="DMC308" s="1091"/>
      <c r="DMD308" s="1091"/>
      <c r="DME308" s="1091"/>
      <c r="DMF308" s="1091"/>
      <c r="DMG308" s="1091"/>
      <c r="DMH308" s="1091"/>
      <c r="DMI308" s="1091"/>
      <c r="DMJ308" s="1091"/>
      <c r="DMK308" s="1091"/>
      <c r="DML308" s="1091"/>
      <c r="DMM308" s="1091"/>
      <c r="DMN308" s="1091"/>
      <c r="DMO308" s="1091"/>
      <c r="DMP308" s="1091"/>
      <c r="DMQ308" s="1091"/>
      <c r="DMR308" s="1091"/>
      <c r="DMS308" s="1091"/>
      <c r="DMT308" s="1091"/>
      <c r="DMU308" s="1091"/>
      <c r="DMV308" s="1091"/>
      <c r="DMW308" s="1091"/>
      <c r="DMX308" s="1091"/>
      <c r="DMY308" s="1091"/>
      <c r="DMZ308" s="1091"/>
      <c r="DNA308" s="1091"/>
      <c r="DNB308" s="1091"/>
      <c r="DNC308" s="1091"/>
      <c r="DND308" s="1091"/>
      <c r="DNE308" s="1091"/>
      <c r="DNF308" s="1091"/>
      <c r="DNG308" s="1091"/>
      <c r="DNH308" s="1091"/>
      <c r="DNI308" s="1091"/>
      <c r="DNJ308" s="1091"/>
      <c r="DNK308" s="1091"/>
      <c r="DNL308" s="1091"/>
      <c r="DNM308" s="1091"/>
      <c r="DNN308" s="1091"/>
      <c r="DNO308" s="1091"/>
      <c r="DNP308" s="1091"/>
      <c r="DNQ308" s="1091"/>
      <c r="DNR308" s="1091"/>
      <c r="DNS308" s="1091"/>
      <c r="DNT308" s="1091"/>
      <c r="DNU308" s="1091"/>
      <c r="DNV308" s="1091"/>
      <c r="DNW308" s="1091"/>
      <c r="DNX308" s="1091"/>
      <c r="DNY308" s="1091"/>
      <c r="DNZ308" s="1091"/>
      <c r="DOA308" s="1091"/>
      <c r="DOB308" s="1091"/>
      <c r="DOC308" s="1091"/>
      <c r="DOD308" s="1091"/>
      <c r="DOE308" s="1091"/>
      <c r="DOF308" s="1091"/>
      <c r="DOG308" s="1091"/>
      <c r="DOH308" s="1091"/>
      <c r="DOI308" s="1091"/>
      <c r="DOJ308" s="1091"/>
      <c r="DOK308" s="1091"/>
      <c r="DOL308" s="1091"/>
      <c r="DOM308" s="1091"/>
      <c r="DON308" s="1091"/>
      <c r="DOO308" s="1091"/>
      <c r="DOP308" s="1091"/>
      <c r="DOQ308" s="1091"/>
      <c r="DOR308" s="1091"/>
      <c r="DOS308" s="1091"/>
      <c r="DOT308" s="1091"/>
      <c r="DOU308" s="1091"/>
      <c r="DOV308" s="1091"/>
      <c r="DOW308" s="1091"/>
      <c r="DOX308" s="1091"/>
      <c r="DOY308" s="1091"/>
      <c r="DOZ308" s="1091"/>
      <c r="DPA308" s="1091"/>
      <c r="DPB308" s="1091"/>
      <c r="DPC308" s="1091"/>
      <c r="DPD308" s="1091"/>
      <c r="DPE308" s="1091"/>
      <c r="DPF308" s="1091"/>
      <c r="DPG308" s="1091"/>
      <c r="DPH308" s="1091"/>
      <c r="DPI308" s="1091"/>
      <c r="DPJ308" s="1091"/>
      <c r="DPK308" s="1091"/>
      <c r="DPL308" s="1091"/>
      <c r="DPM308" s="1091"/>
      <c r="DPN308" s="1091"/>
      <c r="DPO308" s="1091"/>
      <c r="DPP308" s="1091"/>
      <c r="DPQ308" s="1091"/>
      <c r="DPR308" s="1091"/>
      <c r="DPS308" s="1091"/>
      <c r="DPT308" s="1091"/>
      <c r="DPU308" s="1091"/>
      <c r="DPV308" s="1091"/>
      <c r="DPW308" s="1091"/>
      <c r="DPX308" s="1091"/>
      <c r="DPY308" s="1091"/>
      <c r="DPZ308" s="1091"/>
      <c r="DQA308" s="1091"/>
      <c r="DQB308" s="1091"/>
      <c r="DQC308" s="1091"/>
      <c r="DQD308" s="1091"/>
      <c r="DQE308" s="1091"/>
      <c r="DQF308" s="1091"/>
      <c r="DQG308" s="1091"/>
      <c r="DQH308" s="1091"/>
      <c r="DQI308" s="1091"/>
      <c r="DQJ308" s="1091"/>
      <c r="DQK308" s="1091"/>
      <c r="DQL308" s="1091"/>
      <c r="DQM308" s="1091"/>
      <c r="DQN308" s="1091"/>
      <c r="DQO308" s="1091"/>
      <c r="DQP308" s="1091"/>
      <c r="DQQ308" s="1091"/>
      <c r="DQR308" s="1091"/>
      <c r="DQS308" s="1091"/>
      <c r="DQT308" s="1091"/>
      <c r="DQU308" s="1091"/>
      <c r="DQV308" s="1091"/>
      <c r="DQW308" s="1091"/>
      <c r="DQX308" s="1091"/>
      <c r="DQY308" s="1091"/>
      <c r="DQZ308" s="1091"/>
      <c r="DRA308" s="1091"/>
      <c r="DRB308" s="1091"/>
      <c r="DRC308" s="1091"/>
      <c r="DRD308" s="1091"/>
      <c r="DRE308" s="1091"/>
      <c r="DRF308" s="1091"/>
      <c r="DRG308" s="1091"/>
      <c r="DRH308" s="1091"/>
      <c r="DRI308" s="1091"/>
      <c r="DRJ308" s="1091"/>
      <c r="DRK308" s="1091"/>
      <c r="DRL308" s="1091"/>
      <c r="DRM308" s="1091"/>
      <c r="DRN308" s="1091"/>
      <c r="DRO308" s="1091"/>
      <c r="DRP308" s="1091"/>
      <c r="DRQ308" s="1091"/>
      <c r="DRR308" s="1091"/>
      <c r="DRS308" s="1091"/>
      <c r="DRT308" s="1091"/>
      <c r="DRU308" s="1091"/>
      <c r="DRV308" s="1091"/>
      <c r="DRW308" s="1091"/>
      <c r="DRX308" s="1091"/>
      <c r="DRY308" s="1091"/>
      <c r="DRZ308" s="1091"/>
      <c r="DSA308" s="1091"/>
      <c r="DSB308" s="1091"/>
      <c r="DSC308" s="1091"/>
      <c r="DSD308" s="1091"/>
      <c r="DSE308" s="1091"/>
      <c r="DSF308" s="1091"/>
      <c r="DSG308" s="1091"/>
      <c r="DSH308" s="1091"/>
      <c r="DSI308" s="1091"/>
      <c r="DSJ308" s="1091"/>
      <c r="DSK308" s="1091"/>
      <c r="DSL308" s="1091"/>
      <c r="DSM308" s="1091"/>
      <c r="DSN308" s="1091"/>
      <c r="DSO308" s="1091"/>
      <c r="DSP308" s="1091"/>
      <c r="DSQ308" s="1091"/>
      <c r="DSR308" s="1091"/>
      <c r="DSS308" s="1091"/>
      <c r="DST308" s="1091"/>
      <c r="DSU308" s="1091"/>
      <c r="DSV308" s="1091"/>
      <c r="DSW308" s="1091"/>
      <c r="DSX308" s="1091"/>
      <c r="DSY308" s="1091"/>
      <c r="DSZ308" s="1091"/>
      <c r="DTA308" s="1091"/>
      <c r="DTB308" s="1091"/>
      <c r="DTC308" s="1091"/>
      <c r="DTD308" s="1091"/>
      <c r="DTE308" s="1091"/>
      <c r="DTF308" s="1091"/>
      <c r="DTG308" s="1091"/>
      <c r="DTH308" s="1091"/>
      <c r="DTI308" s="1091"/>
      <c r="DTJ308" s="1091"/>
      <c r="DTK308" s="1091"/>
      <c r="DTL308" s="1091"/>
      <c r="DTM308" s="1091"/>
      <c r="DTN308" s="1091"/>
      <c r="DTO308" s="1091"/>
      <c r="DTP308" s="1091"/>
      <c r="DTQ308" s="1091"/>
      <c r="DTR308" s="1091"/>
      <c r="DTS308" s="1091"/>
      <c r="DTT308" s="1091"/>
      <c r="DTU308" s="1091"/>
      <c r="DTV308" s="1091"/>
      <c r="DTW308" s="1091"/>
      <c r="DTX308" s="1091"/>
      <c r="DTY308" s="1091"/>
      <c r="DTZ308" s="1091"/>
      <c r="DUA308" s="1091"/>
      <c r="DUB308" s="1091"/>
      <c r="DUC308" s="1091"/>
      <c r="DUD308" s="1091"/>
      <c r="DUE308" s="1091"/>
      <c r="DUF308" s="1091"/>
      <c r="DUG308" s="1091"/>
      <c r="DUH308" s="1091"/>
      <c r="DUI308" s="1091"/>
      <c r="DUJ308" s="1091"/>
      <c r="DUK308" s="1091"/>
      <c r="DUL308" s="1091"/>
      <c r="DUM308" s="1091"/>
      <c r="DUN308" s="1091"/>
      <c r="DUO308" s="1091"/>
      <c r="DUP308" s="1091"/>
      <c r="DUQ308" s="1091"/>
      <c r="DUR308" s="1091"/>
      <c r="DUS308" s="1091"/>
      <c r="DUT308" s="1091"/>
      <c r="DUU308" s="1091"/>
      <c r="DUV308" s="1091"/>
      <c r="DUW308" s="1091"/>
      <c r="DUX308" s="1091"/>
      <c r="DUY308" s="1091"/>
      <c r="DUZ308" s="1091"/>
      <c r="DVA308" s="1091"/>
      <c r="DVB308" s="1091"/>
      <c r="DVC308" s="1091"/>
      <c r="DVD308" s="1091"/>
      <c r="DVE308" s="1091"/>
      <c r="DVF308" s="1091"/>
      <c r="DVG308" s="1091"/>
      <c r="DVH308" s="1091"/>
      <c r="DVI308" s="1091"/>
      <c r="DVJ308" s="1091"/>
      <c r="DVK308" s="1091"/>
      <c r="DVL308" s="1091"/>
      <c r="DVM308" s="1091"/>
      <c r="DVN308" s="1091"/>
      <c r="DVO308" s="1091"/>
      <c r="DVP308" s="1091"/>
      <c r="DVQ308" s="1091"/>
      <c r="DVR308" s="1091"/>
      <c r="DVS308" s="1091"/>
      <c r="DVT308" s="1091"/>
      <c r="DVU308" s="1091"/>
      <c r="DVV308" s="1091"/>
      <c r="DVW308" s="1091"/>
      <c r="DVX308" s="1091"/>
      <c r="DVY308" s="1091"/>
      <c r="DVZ308" s="1091"/>
      <c r="DWA308" s="1091"/>
      <c r="DWB308" s="1091"/>
      <c r="DWC308" s="1091"/>
      <c r="DWD308" s="1091"/>
      <c r="DWE308" s="1091"/>
      <c r="DWF308" s="1091"/>
      <c r="DWG308" s="1091"/>
      <c r="DWH308" s="1091"/>
      <c r="DWI308" s="1091"/>
      <c r="DWJ308" s="1091"/>
      <c r="DWK308" s="1091"/>
      <c r="DWL308" s="1091"/>
      <c r="DWM308" s="1091"/>
      <c r="DWN308" s="1091"/>
      <c r="DWO308" s="1091"/>
      <c r="DWP308" s="1091"/>
      <c r="DWQ308" s="1091"/>
      <c r="DWR308" s="1091"/>
      <c r="DWS308" s="1091"/>
      <c r="DWT308" s="1091"/>
      <c r="DWU308" s="1091"/>
      <c r="DWV308" s="1091"/>
      <c r="DWW308" s="1091"/>
      <c r="DWX308" s="1091"/>
      <c r="DWY308" s="1091"/>
      <c r="DWZ308" s="1091"/>
      <c r="DXA308" s="1091"/>
      <c r="DXB308" s="1091"/>
      <c r="DXC308" s="1091"/>
      <c r="DXD308" s="1091"/>
      <c r="DXE308" s="1091"/>
      <c r="DXF308" s="1091"/>
      <c r="DXG308" s="1091"/>
      <c r="DXH308" s="1091"/>
      <c r="DXI308" s="1091"/>
      <c r="DXJ308" s="1091"/>
      <c r="DXK308" s="1091"/>
      <c r="DXL308" s="1091"/>
      <c r="DXM308" s="1091"/>
      <c r="DXN308" s="1091"/>
      <c r="DXO308" s="1091"/>
      <c r="DXP308" s="1091"/>
      <c r="DXQ308" s="1091"/>
      <c r="DXR308" s="1091"/>
      <c r="DXS308" s="1091"/>
      <c r="DXT308" s="1091"/>
      <c r="DXU308" s="1091"/>
      <c r="DXV308" s="1091"/>
      <c r="DXW308" s="1091"/>
      <c r="DXX308" s="1091"/>
      <c r="DXY308" s="1091"/>
      <c r="DXZ308" s="1091"/>
      <c r="DYA308" s="1091"/>
      <c r="DYB308" s="1091"/>
      <c r="DYC308" s="1091"/>
      <c r="DYD308" s="1091"/>
      <c r="DYE308" s="1091"/>
      <c r="DYF308" s="1091"/>
      <c r="DYG308" s="1091"/>
      <c r="DYH308" s="1091"/>
      <c r="DYI308" s="1091"/>
      <c r="DYJ308" s="1091"/>
      <c r="DYK308" s="1091"/>
      <c r="DYL308" s="1091"/>
      <c r="DYM308" s="1091"/>
      <c r="DYN308" s="1091"/>
      <c r="DYO308" s="1091"/>
      <c r="DYP308" s="1091"/>
      <c r="DYQ308" s="1091"/>
      <c r="DYR308" s="1091"/>
      <c r="DYS308" s="1091"/>
      <c r="DYT308" s="1091"/>
      <c r="DYU308" s="1091"/>
      <c r="DYV308" s="1091"/>
      <c r="DYW308" s="1091"/>
      <c r="DYX308" s="1091"/>
      <c r="DYY308" s="1091"/>
      <c r="DYZ308" s="1091"/>
      <c r="DZA308" s="1091"/>
      <c r="DZB308" s="1091"/>
      <c r="DZC308" s="1091"/>
      <c r="DZD308" s="1091"/>
      <c r="DZE308" s="1091"/>
      <c r="DZF308" s="1091"/>
      <c r="DZG308" s="1091"/>
      <c r="DZH308" s="1091"/>
      <c r="DZI308" s="1091"/>
      <c r="DZJ308" s="1091"/>
      <c r="DZK308" s="1091"/>
      <c r="DZL308" s="1091"/>
      <c r="DZM308" s="1091"/>
      <c r="DZN308" s="1091"/>
      <c r="DZO308" s="1091"/>
      <c r="DZP308" s="1091"/>
      <c r="DZQ308" s="1091"/>
      <c r="DZR308" s="1091"/>
      <c r="DZS308" s="1091"/>
      <c r="DZT308" s="1091"/>
      <c r="DZU308" s="1091"/>
      <c r="DZV308" s="1091"/>
      <c r="DZW308" s="1091"/>
      <c r="DZX308" s="1091"/>
      <c r="DZY308" s="1091"/>
      <c r="DZZ308" s="1091"/>
      <c r="EAA308" s="1091"/>
      <c r="EAB308" s="1091"/>
      <c r="EAC308" s="1091"/>
      <c r="EAD308" s="1091"/>
      <c r="EAE308" s="1091"/>
      <c r="EAF308" s="1091"/>
      <c r="EAG308" s="1091"/>
      <c r="EAH308" s="1091"/>
      <c r="EAI308" s="1091"/>
      <c r="EAJ308" s="1091"/>
      <c r="EAK308" s="1091"/>
      <c r="EAL308" s="1091"/>
      <c r="EAM308" s="1091"/>
      <c r="EAN308" s="1091"/>
      <c r="EAO308" s="1091"/>
      <c r="EAP308" s="1091"/>
      <c r="EAQ308" s="1091"/>
      <c r="EAR308" s="1091"/>
      <c r="EAS308" s="1091"/>
      <c r="EAT308" s="1091"/>
      <c r="EAU308" s="1091"/>
      <c r="EAV308" s="1091"/>
      <c r="EAW308" s="1091"/>
      <c r="EAX308" s="1091"/>
      <c r="EAY308" s="1091"/>
      <c r="EAZ308" s="1091"/>
      <c r="EBA308" s="1091"/>
      <c r="EBB308" s="1091"/>
      <c r="EBC308" s="1091"/>
      <c r="EBD308" s="1091"/>
      <c r="EBE308" s="1091"/>
      <c r="EBF308" s="1091"/>
      <c r="EBG308" s="1091"/>
      <c r="EBH308" s="1091"/>
      <c r="EBI308" s="1091"/>
      <c r="EBJ308" s="1091"/>
      <c r="EBK308" s="1091"/>
      <c r="EBL308" s="1091"/>
      <c r="EBM308" s="1091"/>
      <c r="EBN308" s="1091"/>
      <c r="EBO308" s="1091"/>
      <c r="EBP308" s="1091"/>
      <c r="EBQ308" s="1091"/>
      <c r="EBR308" s="1091"/>
      <c r="EBS308" s="1091"/>
      <c r="EBT308" s="1091"/>
      <c r="EBU308" s="1091"/>
      <c r="EBV308" s="1091"/>
      <c r="EBW308" s="1091"/>
      <c r="EBX308" s="1091"/>
      <c r="EBY308" s="1091"/>
      <c r="EBZ308" s="1091"/>
      <c r="ECA308" s="1091"/>
      <c r="ECB308" s="1091"/>
      <c r="ECC308" s="1091"/>
      <c r="ECD308" s="1091"/>
      <c r="ECE308" s="1091"/>
      <c r="ECF308" s="1091"/>
      <c r="ECG308" s="1091"/>
      <c r="ECH308" s="1091"/>
      <c r="ECI308" s="1091"/>
      <c r="ECJ308" s="1091"/>
      <c r="ECK308" s="1091"/>
      <c r="ECL308" s="1091"/>
      <c r="ECM308" s="1091"/>
      <c r="ECN308" s="1091"/>
      <c r="ECO308" s="1091"/>
      <c r="ECP308" s="1091"/>
      <c r="ECQ308" s="1091"/>
      <c r="ECR308" s="1091"/>
      <c r="ECS308" s="1091"/>
      <c r="ECT308" s="1091"/>
      <c r="ECU308" s="1091"/>
      <c r="ECV308" s="1091"/>
      <c r="ECW308" s="1091"/>
      <c r="ECX308" s="1091"/>
      <c r="ECY308" s="1091"/>
      <c r="ECZ308" s="1091"/>
      <c r="EDA308" s="1091"/>
      <c r="EDB308" s="1091"/>
      <c r="EDC308" s="1091"/>
      <c r="EDD308" s="1091"/>
      <c r="EDE308" s="1091"/>
      <c r="EDF308" s="1091"/>
      <c r="EDG308" s="1091"/>
      <c r="EDH308" s="1091"/>
      <c r="EDI308" s="1091"/>
      <c r="EDJ308" s="1091"/>
      <c r="EDK308" s="1091"/>
      <c r="EDL308" s="1091"/>
      <c r="EDM308" s="1091"/>
      <c r="EDN308" s="1091"/>
      <c r="EDO308" s="1091"/>
      <c r="EDP308" s="1091"/>
      <c r="EDQ308" s="1091"/>
      <c r="EDR308" s="1091"/>
      <c r="EDS308" s="1091"/>
      <c r="EDT308" s="1091"/>
      <c r="EDU308" s="1091"/>
      <c r="EDV308" s="1091"/>
      <c r="EDW308" s="1091"/>
      <c r="EDX308" s="1091"/>
      <c r="EDY308" s="1091"/>
      <c r="EDZ308" s="1091"/>
      <c r="EEA308" s="1091"/>
      <c r="EEB308" s="1091"/>
      <c r="EEC308" s="1091"/>
      <c r="EED308" s="1091"/>
      <c r="EEE308" s="1091"/>
      <c r="EEF308" s="1091"/>
      <c r="EEG308" s="1091"/>
      <c r="EEH308" s="1091"/>
      <c r="EEI308" s="1091"/>
      <c r="EEJ308" s="1091"/>
      <c r="EEK308" s="1091"/>
      <c r="EEL308" s="1091"/>
      <c r="EEM308" s="1091"/>
      <c r="EEN308" s="1091"/>
      <c r="EEO308" s="1091"/>
      <c r="EEP308" s="1091"/>
      <c r="EEQ308" s="1091"/>
      <c r="EER308" s="1091"/>
      <c r="EES308" s="1091"/>
      <c r="EET308" s="1091"/>
      <c r="EEU308" s="1091"/>
      <c r="EEV308" s="1091"/>
      <c r="EEW308" s="1091"/>
      <c r="EEX308" s="1091"/>
      <c r="EEY308" s="1091"/>
      <c r="EEZ308" s="1091"/>
      <c r="EFA308" s="1091"/>
      <c r="EFB308" s="1091"/>
      <c r="EFC308" s="1091"/>
      <c r="EFD308" s="1091"/>
      <c r="EFE308" s="1091"/>
      <c r="EFF308" s="1091"/>
      <c r="EFG308" s="1091"/>
      <c r="EFH308" s="1091"/>
      <c r="EFI308" s="1091"/>
      <c r="EFJ308" s="1091"/>
      <c r="EFK308" s="1091"/>
      <c r="EFL308" s="1091"/>
      <c r="EFM308" s="1091"/>
      <c r="EFN308" s="1091"/>
      <c r="EFO308" s="1091"/>
      <c r="EFP308" s="1091"/>
      <c r="EFQ308" s="1091"/>
      <c r="EFR308" s="1091"/>
      <c r="EFS308" s="1091"/>
      <c r="EFT308" s="1091"/>
      <c r="EFU308" s="1091"/>
      <c r="EFV308" s="1091"/>
      <c r="EFW308" s="1091"/>
      <c r="EFX308" s="1091"/>
      <c r="EFY308" s="1091"/>
      <c r="EFZ308" s="1091"/>
      <c r="EGA308" s="1091"/>
      <c r="EGB308" s="1091"/>
      <c r="EGC308" s="1091"/>
      <c r="EGD308" s="1091"/>
      <c r="EGE308" s="1091"/>
      <c r="EGF308" s="1091"/>
      <c r="EGG308" s="1091"/>
      <c r="EGH308" s="1091"/>
      <c r="EGI308" s="1091"/>
      <c r="EGJ308" s="1091"/>
      <c r="EGK308" s="1091"/>
      <c r="EGL308" s="1091"/>
      <c r="EGM308" s="1091"/>
      <c r="EGN308" s="1091"/>
      <c r="EGO308" s="1091"/>
      <c r="EGP308" s="1091"/>
      <c r="EGQ308" s="1091"/>
      <c r="EGR308" s="1091"/>
      <c r="EGS308" s="1091"/>
      <c r="EGT308" s="1091"/>
      <c r="EGU308" s="1091"/>
      <c r="EGV308" s="1091"/>
      <c r="EGW308" s="1091"/>
      <c r="EGX308" s="1091"/>
      <c r="EGY308" s="1091"/>
      <c r="EGZ308" s="1091"/>
      <c r="EHA308" s="1091"/>
      <c r="EHB308" s="1091"/>
      <c r="EHC308" s="1091"/>
      <c r="EHD308" s="1091"/>
      <c r="EHE308" s="1091"/>
      <c r="EHF308" s="1091"/>
      <c r="EHG308" s="1091"/>
      <c r="EHH308" s="1091"/>
      <c r="EHI308" s="1091"/>
      <c r="EHJ308" s="1091"/>
      <c r="EHK308" s="1091"/>
      <c r="EHL308" s="1091"/>
      <c r="EHM308" s="1091"/>
      <c r="EHN308" s="1091"/>
      <c r="EHO308" s="1091"/>
      <c r="EHP308" s="1091"/>
      <c r="EHQ308" s="1091"/>
      <c r="EHR308" s="1091"/>
      <c r="EHS308" s="1091"/>
      <c r="EHT308" s="1091"/>
      <c r="EHU308" s="1091"/>
      <c r="EHV308" s="1091"/>
      <c r="EHW308" s="1091"/>
      <c r="EHX308" s="1091"/>
      <c r="EHY308" s="1091"/>
      <c r="EHZ308" s="1091"/>
      <c r="EIA308" s="1091"/>
      <c r="EIB308" s="1091"/>
      <c r="EIC308" s="1091"/>
      <c r="EID308" s="1091"/>
      <c r="EIE308" s="1091"/>
      <c r="EIF308" s="1091"/>
      <c r="EIG308" s="1091"/>
      <c r="EIH308" s="1091"/>
      <c r="EII308" s="1091"/>
      <c r="EIJ308" s="1091"/>
      <c r="EIK308" s="1091"/>
      <c r="EIL308" s="1091"/>
      <c r="EIM308" s="1091"/>
      <c r="EIN308" s="1091"/>
      <c r="EIO308" s="1091"/>
      <c r="EIP308" s="1091"/>
      <c r="EIQ308" s="1091"/>
      <c r="EIR308" s="1091"/>
      <c r="EIS308" s="1091"/>
      <c r="EIT308" s="1091"/>
      <c r="EIU308" s="1091"/>
      <c r="EIV308" s="1091"/>
      <c r="EIW308" s="1091"/>
      <c r="EIX308" s="1091"/>
      <c r="EIY308" s="1091"/>
      <c r="EIZ308" s="1091"/>
      <c r="EJA308" s="1091"/>
      <c r="EJB308" s="1091"/>
      <c r="EJC308" s="1091"/>
      <c r="EJD308" s="1091"/>
      <c r="EJE308" s="1091"/>
      <c r="EJF308" s="1091"/>
      <c r="EJG308" s="1091"/>
      <c r="EJH308" s="1091"/>
      <c r="EJI308" s="1091"/>
      <c r="EJJ308" s="1091"/>
      <c r="EJK308" s="1091"/>
      <c r="EJL308" s="1091"/>
      <c r="EJM308" s="1091"/>
      <c r="EJN308" s="1091"/>
      <c r="EJO308" s="1091"/>
      <c r="EJP308" s="1091"/>
      <c r="EJQ308" s="1091"/>
      <c r="EJR308" s="1091"/>
      <c r="EJS308" s="1091"/>
      <c r="EJT308" s="1091"/>
      <c r="EJU308" s="1091"/>
      <c r="EJV308" s="1091"/>
      <c r="EJW308" s="1091"/>
      <c r="EJX308" s="1091"/>
      <c r="EJY308" s="1091"/>
      <c r="EJZ308" s="1091"/>
      <c r="EKA308" s="1091"/>
      <c r="EKB308" s="1091"/>
      <c r="EKC308" s="1091"/>
      <c r="EKD308" s="1091"/>
      <c r="EKE308" s="1091"/>
      <c r="EKF308" s="1091"/>
      <c r="EKG308" s="1091"/>
      <c r="EKH308" s="1091"/>
      <c r="EKI308" s="1091"/>
      <c r="EKJ308" s="1091"/>
      <c r="EKK308" s="1091"/>
      <c r="EKL308" s="1091"/>
      <c r="EKM308" s="1091"/>
      <c r="EKN308" s="1091"/>
      <c r="EKO308" s="1091"/>
      <c r="EKP308" s="1091"/>
      <c r="EKQ308" s="1091"/>
      <c r="EKR308" s="1091"/>
      <c r="EKS308" s="1091"/>
      <c r="EKT308" s="1091"/>
      <c r="EKU308" s="1091"/>
      <c r="EKV308" s="1091"/>
      <c r="EKW308" s="1091"/>
      <c r="EKX308" s="1091"/>
      <c r="EKY308" s="1091"/>
      <c r="EKZ308" s="1091"/>
      <c r="ELA308" s="1091"/>
      <c r="ELB308" s="1091"/>
      <c r="ELC308" s="1091"/>
      <c r="ELD308" s="1091"/>
      <c r="ELE308" s="1091"/>
      <c r="ELF308" s="1091"/>
      <c r="ELG308" s="1091"/>
      <c r="ELH308" s="1091"/>
      <c r="ELI308" s="1091"/>
      <c r="ELJ308" s="1091"/>
      <c r="ELK308" s="1091"/>
      <c r="ELL308" s="1091"/>
      <c r="ELM308" s="1091"/>
      <c r="ELN308" s="1091"/>
      <c r="ELO308" s="1091"/>
      <c r="ELP308" s="1091"/>
      <c r="ELQ308" s="1091"/>
      <c r="ELR308" s="1091"/>
      <c r="ELS308" s="1091"/>
      <c r="ELT308" s="1091"/>
      <c r="ELU308" s="1091"/>
      <c r="ELV308" s="1091"/>
      <c r="ELW308" s="1091"/>
      <c r="ELX308" s="1091"/>
      <c r="ELY308" s="1091"/>
      <c r="ELZ308" s="1091"/>
      <c r="EMA308" s="1091"/>
      <c r="EMB308" s="1091"/>
      <c r="EMC308" s="1091"/>
      <c r="EMD308" s="1091"/>
      <c r="EME308" s="1091"/>
      <c r="EMF308" s="1091"/>
      <c r="EMG308" s="1091"/>
      <c r="EMH308" s="1091"/>
      <c r="EMI308" s="1091"/>
      <c r="EMJ308" s="1091"/>
      <c r="EMK308" s="1091"/>
      <c r="EML308" s="1091"/>
      <c r="EMM308" s="1091"/>
      <c r="EMN308" s="1091"/>
      <c r="EMO308" s="1091"/>
      <c r="EMP308" s="1091"/>
      <c r="EMQ308" s="1091"/>
      <c r="EMR308" s="1091"/>
      <c r="EMS308" s="1091"/>
      <c r="EMT308" s="1091"/>
      <c r="EMU308" s="1091"/>
      <c r="EMV308" s="1091"/>
      <c r="EMW308" s="1091"/>
      <c r="EMX308" s="1091"/>
      <c r="EMY308" s="1091"/>
      <c r="EMZ308" s="1091"/>
      <c r="ENA308" s="1091"/>
      <c r="ENB308" s="1091"/>
      <c r="ENC308" s="1091"/>
      <c r="END308" s="1091"/>
      <c r="ENE308" s="1091"/>
      <c r="ENF308" s="1091"/>
      <c r="ENG308" s="1091"/>
      <c r="ENH308" s="1091"/>
      <c r="ENI308" s="1091"/>
      <c r="ENJ308" s="1091"/>
      <c r="ENK308" s="1091"/>
      <c r="ENL308" s="1091"/>
      <c r="ENM308" s="1091"/>
      <c r="ENN308" s="1091"/>
      <c r="ENO308" s="1091"/>
      <c r="ENP308" s="1091"/>
      <c r="ENQ308" s="1091"/>
      <c r="ENR308" s="1091"/>
      <c r="ENS308" s="1091"/>
      <c r="ENT308" s="1091"/>
      <c r="ENU308" s="1091"/>
      <c r="ENV308" s="1091"/>
      <c r="ENW308" s="1091"/>
      <c r="ENX308" s="1091"/>
      <c r="ENY308" s="1091"/>
      <c r="ENZ308" s="1091"/>
      <c r="EOA308" s="1091"/>
      <c r="EOB308" s="1091"/>
      <c r="EOC308" s="1091"/>
      <c r="EOD308" s="1091"/>
      <c r="EOE308" s="1091"/>
      <c r="EOF308" s="1091"/>
      <c r="EOG308" s="1091"/>
      <c r="EOH308" s="1091"/>
      <c r="EOI308" s="1091"/>
      <c r="EOJ308" s="1091"/>
      <c r="EOK308" s="1091"/>
      <c r="EOL308" s="1091"/>
      <c r="EOM308" s="1091"/>
      <c r="EON308" s="1091"/>
      <c r="EOO308" s="1091"/>
      <c r="EOP308" s="1091"/>
      <c r="EOQ308" s="1091"/>
      <c r="EOR308" s="1091"/>
      <c r="EOS308" s="1091"/>
      <c r="EOT308" s="1091"/>
      <c r="EOU308" s="1091"/>
      <c r="EOV308" s="1091"/>
      <c r="EOW308" s="1091"/>
      <c r="EOX308" s="1091"/>
      <c r="EOY308" s="1091"/>
      <c r="EOZ308" s="1091"/>
      <c r="EPA308" s="1091"/>
      <c r="EPB308" s="1091"/>
      <c r="EPC308" s="1091"/>
      <c r="EPD308" s="1091"/>
      <c r="EPE308" s="1091"/>
      <c r="EPF308" s="1091"/>
      <c r="EPG308" s="1091"/>
      <c r="EPH308" s="1091"/>
      <c r="EPI308" s="1091"/>
      <c r="EPJ308" s="1091"/>
      <c r="EPK308" s="1091"/>
      <c r="EPL308" s="1091"/>
      <c r="EPM308" s="1091"/>
      <c r="EPN308" s="1091"/>
      <c r="EPO308" s="1091"/>
      <c r="EPP308" s="1091"/>
      <c r="EPQ308" s="1091"/>
      <c r="EPR308" s="1091"/>
      <c r="EPS308" s="1091"/>
      <c r="EPT308" s="1091"/>
      <c r="EPU308" s="1091"/>
      <c r="EPV308" s="1091"/>
      <c r="EPW308" s="1091"/>
      <c r="EPX308" s="1091"/>
      <c r="EPY308" s="1091"/>
      <c r="EPZ308" s="1091"/>
      <c r="EQA308" s="1091"/>
      <c r="EQB308" s="1091"/>
      <c r="EQC308" s="1091"/>
      <c r="EQD308" s="1091"/>
      <c r="EQE308" s="1091"/>
      <c r="EQF308" s="1091"/>
      <c r="EQG308" s="1091"/>
      <c r="EQH308" s="1091"/>
      <c r="EQI308" s="1091"/>
      <c r="EQJ308" s="1091"/>
      <c r="EQK308" s="1091"/>
      <c r="EQL308" s="1091"/>
      <c r="EQM308" s="1091"/>
      <c r="EQN308" s="1091"/>
      <c r="EQO308" s="1091"/>
      <c r="EQP308" s="1091"/>
      <c r="EQQ308" s="1091"/>
      <c r="EQR308" s="1091"/>
      <c r="EQS308" s="1091"/>
      <c r="EQT308" s="1091"/>
      <c r="EQU308" s="1091"/>
      <c r="EQV308" s="1091"/>
      <c r="EQW308" s="1091"/>
      <c r="EQX308" s="1091"/>
      <c r="EQY308" s="1091"/>
      <c r="EQZ308" s="1091"/>
      <c r="ERA308" s="1091"/>
      <c r="ERB308" s="1091"/>
      <c r="ERC308" s="1091"/>
      <c r="ERD308" s="1091"/>
      <c r="ERE308" s="1091"/>
      <c r="ERF308" s="1091"/>
      <c r="ERG308" s="1091"/>
      <c r="ERH308" s="1091"/>
      <c r="ERI308" s="1091"/>
      <c r="ERJ308" s="1091"/>
      <c r="ERK308" s="1091"/>
      <c r="ERL308" s="1091"/>
      <c r="ERM308" s="1091"/>
      <c r="ERN308" s="1091"/>
      <c r="ERO308" s="1091"/>
      <c r="ERP308" s="1091"/>
      <c r="ERQ308" s="1091"/>
      <c r="ERR308" s="1091"/>
      <c r="ERS308" s="1091"/>
      <c r="ERT308" s="1091"/>
      <c r="ERU308" s="1091"/>
      <c r="ERV308" s="1091"/>
      <c r="ERW308" s="1091"/>
      <c r="ERX308" s="1091"/>
      <c r="ERY308" s="1091"/>
      <c r="ERZ308" s="1091"/>
      <c r="ESA308" s="1091"/>
      <c r="ESB308" s="1091"/>
      <c r="ESC308" s="1091"/>
      <c r="ESD308" s="1091"/>
      <c r="ESE308" s="1091"/>
      <c r="ESF308" s="1091"/>
      <c r="ESG308" s="1091"/>
      <c r="ESH308" s="1091"/>
      <c r="ESI308" s="1091"/>
      <c r="ESJ308" s="1091"/>
      <c r="ESK308" s="1091"/>
      <c r="ESL308" s="1091"/>
      <c r="ESM308" s="1091"/>
      <c r="ESN308" s="1091"/>
      <c r="ESO308" s="1091"/>
      <c r="ESP308" s="1091"/>
      <c r="ESQ308" s="1091"/>
      <c r="ESR308" s="1091"/>
      <c r="ESS308" s="1091"/>
      <c r="EST308" s="1091"/>
      <c r="ESU308" s="1091"/>
      <c r="ESV308" s="1091"/>
      <c r="ESW308" s="1091"/>
      <c r="ESX308" s="1091"/>
      <c r="ESY308" s="1091"/>
      <c r="ESZ308" s="1091"/>
      <c r="ETA308" s="1091"/>
      <c r="ETB308" s="1091"/>
      <c r="ETC308" s="1091"/>
      <c r="ETD308" s="1091"/>
      <c r="ETE308" s="1091"/>
      <c r="ETF308" s="1091"/>
      <c r="ETG308" s="1091"/>
      <c r="ETH308" s="1091"/>
      <c r="ETI308" s="1091"/>
      <c r="ETJ308" s="1091"/>
      <c r="ETK308" s="1091"/>
      <c r="ETL308" s="1091"/>
      <c r="ETM308" s="1091"/>
      <c r="ETN308" s="1091"/>
      <c r="ETO308" s="1091"/>
      <c r="ETP308" s="1091"/>
      <c r="ETQ308" s="1091"/>
      <c r="ETR308" s="1091"/>
      <c r="ETS308" s="1091"/>
      <c r="ETT308" s="1091"/>
      <c r="ETU308" s="1091"/>
      <c r="ETV308" s="1091"/>
      <c r="ETW308" s="1091"/>
      <c r="ETX308" s="1091"/>
      <c r="ETY308" s="1091"/>
      <c r="ETZ308" s="1091"/>
      <c r="EUA308" s="1091"/>
      <c r="EUB308" s="1091"/>
      <c r="EUC308" s="1091"/>
      <c r="EUD308" s="1091"/>
      <c r="EUE308" s="1091"/>
      <c r="EUF308" s="1091"/>
      <c r="EUG308" s="1091"/>
      <c r="EUH308" s="1091"/>
      <c r="EUI308" s="1091"/>
      <c r="EUJ308" s="1091"/>
      <c r="EUK308" s="1091"/>
      <c r="EUL308" s="1091"/>
      <c r="EUM308" s="1091"/>
      <c r="EUN308" s="1091"/>
      <c r="EUO308" s="1091"/>
      <c r="EUP308" s="1091"/>
      <c r="EUQ308" s="1091"/>
      <c r="EUR308" s="1091"/>
      <c r="EUS308" s="1091"/>
      <c r="EUT308" s="1091"/>
      <c r="EUU308" s="1091"/>
      <c r="EUV308" s="1091"/>
      <c r="EUW308" s="1091"/>
      <c r="EUX308" s="1091"/>
      <c r="EUY308" s="1091"/>
      <c r="EUZ308" s="1091"/>
      <c r="EVA308" s="1091"/>
      <c r="EVB308" s="1091"/>
      <c r="EVC308" s="1091"/>
      <c r="EVD308" s="1091"/>
      <c r="EVE308" s="1091"/>
      <c r="EVF308" s="1091"/>
      <c r="EVG308" s="1091"/>
      <c r="EVH308" s="1091"/>
      <c r="EVI308" s="1091"/>
      <c r="EVJ308" s="1091"/>
      <c r="EVK308" s="1091"/>
      <c r="EVL308" s="1091"/>
      <c r="EVM308" s="1091"/>
      <c r="EVN308" s="1091"/>
      <c r="EVO308" s="1091"/>
      <c r="EVP308" s="1091"/>
      <c r="EVQ308" s="1091"/>
      <c r="EVR308" s="1091"/>
      <c r="EVS308" s="1091"/>
      <c r="EVT308" s="1091"/>
      <c r="EVU308" s="1091"/>
      <c r="EVV308" s="1091"/>
      <c r="EVW308" s="1091"/>
      <c r="EVX308" s="1091"/>
      <c r="EVY308" s="1091"/>
      <c r="EVZ308" s="1091"/>
      <c r="EWA308" s="1091"/>
      <c r="EWB308" s="1091"/>
      <c r="EWC308" s="1091"/>
      <c r="EWD308" s="1091"/>
      <c r="EWE308" s="1091"/>
      <c r="EWF308" s="1091"/>
      <c r="EWG308" s="1091"/>
      <c r="EWH308" s="1091"/>
      <c r="EWI308" s="1091"/>
      <c r="EWJ308" s="1091"/>
      <c r="EWK308" s="1091"/>
      <c r="EWL308" s="1091"/>
      <c r="EWM308" s="1091"/>
      <c r="EWN308" s="1091"/>
      <c r="EWO308" s="1091"/>
      <c r="EWP308" s="1091"/>
      <c r="EWQ308" s="1091"/>
      <c r="EWR308" s="1091"/>
      <c r="EWS308" s="1091"/>
      <c r="EWT308" s="1091"/>
      <c r="EWU308" s="1091"/>
      <c r="EWV308" s="1091"/>
      <c r="EWW308" s="1091"/>
      <c r="EWX308" s="1091"/>
      <c r="EWY308" s="1091"/>
      <c r="EWZ308" s="1091"/>
      <c r="EXA308" s="1091"/>
      <c r="EXB308" s="1091"/>
      <c r="EXC308" s="1091"/>
      <c r="EXD308" s="1091"/>
      <c r="EXE308" s="1091"/>
      <c r="EXF308" s="1091"/>
      <c r="EXG308" s="1091"/>
      <c r="EXH308" s="1091"/>
      <c r="EXI308" s="1091"/>
      <c r="EXJ308" s="1091"/>
      <c r="EXK308" s="1091"/>
      <c r="EXL308" s="1091"/>
      <c r="EXM308" s="1091"/>
      <c r="EXN308" s="1091"/>
      <c r="EXO308" s="1091"/>
      <c r="EXP308" s="1091"/>
      <c r="EXQ308" s="1091"/>
      <c r="EXR308" s="1091"/>
      <c r="EXS308" s="1091"/>
      <c r="EXT308" s="1091"/>
      <c r="EXU308" s="1091"/>
      <c r="EXV308" s="1091"/>
      <c r="EXW308" s="1091"/>
      <c r="EXX308" s="1091"/>
      <c r="EXY308" s="1091"/>
      <c r="EXZ308" s="1091"/>
      <c r="EYA308" s="1091"/>
      <c r="EYB308" s="1091"/>
      <c r="EYC308" s="1091"/>
      <c r="EYD308" s="1091"/>
      <c r="EYE308" s="1091"/>
      <c r="EYF308" s="1091"/>
      <c r="EYG308" s="1091"/>
      <c r="EYH308" s="1091"/>
      <c r="EYI308" s="1091"/>
      <c r="EYJ308" s="1091"/>
      <c r="EYK308" s="1091"/>
      <c r="EYL308" s="1091"/>
      <c r="EYM308" s="1091"/>
      <c r="EYN308" s="1091"/>
      <c r="EYO308" s="1091"/>
      <c r="EYP308" s="1091"/>
      <c r="EYQ308" s="1091"/>
      <c r="EYR308" s="1091"/>
      <c r="EYS308" s="1091"/>
      <c r="EYT308" s="1091"/>
      <c r="EYU308" s="1091"/>
      <c r="EYV308" s="1091"/>
      <c r="EYW308" s="1091"/>
      <c r="EYX308" s="1091"/>
      <c r="EYY308" s="1091"/>
      <c r="EYZ308" s="1091"/>
      <c r="EZA308" s="1091"/>
      <c r="EZB308" s="1091"/>
      <c r="EZC308" s="1091"/>
      <c r="EZD308" s="1091"/>
      <c r="EZE308" s="1091"/>
      <c r="EZF308" s="1091"/>
      <c r="EZG308" s="1091"/>
      <c r="EZH308" s="1091"/>
      <c r="EZI308" s="1091"/>
      <c r="EZJ308" s="1091"/>
      <c r="EZK308" s="1091"/>
      <c r="EZL308" s="1091"/>
      <c r="EZM308" s="1091"/>
      <c r="EZN308" s="1091"/>
      <c r="EZO308" s="1091"/>
      <c r="EZP308" s="1091"/>
      <c r="EZQ308" s="1091"/>
      <c r="EZR308" s="1091"/>
      <c r="EZS308" s="1091"/>
      <c r="EZT308" s="1091"/>
      <c r="EZU308" s="1091"/>
      <c r="EZV308" s="1091"/>
      <c r="EZW308" s="1091"/>
      <c r="EZX308" s="1091"/>
      <c r="EZY308" s="1091"/>
      <c r="EZZ308" s="1091"/>
      <c r="FAA308" s="1091"/>
      <c r="FAB308" s="1091"/>
      <c r="FAC308" s="1091"/>
      <c r="FAD308" s="1091"/>
      <c r="FAE308" s="1091"/>
      <c r="FAF308" s="1091"/>
      <c r="FAG308" s="1091"/>
      <c r="FAH308" s="1091"/>
      <c r="FAI308" s="1091"/>
      <c r="FAJ308" s="1091"/>
      <c r="FAK308" s="1091"/>
      <c r="FAL308" s="1091"/>
      <c r="FAM308" s="1091"/>
      <c r="FAN308" s="1091"/>
      <c r="FAO308" s="1091"/>
      <c r="FAP308" s="1091"/>
      <c r="FAQ308" s="1091"/>
      <c r="FAR308" s="1091"/>
      <c r="FAS308" s="1091"/>
      <c r="FAT308" s="1091"/>
      <c r="FAU308" s="1091"/>
      <c r="FAV308" s="1091"/>
      <c r="FAW308" s="1091"/>
      <c r="FAX308" s="1091"/>
      <c r="FAY308" s="1091"/>
      <c r="FAZ308" s="1091"/>
      <c r="FBA308" s="1091"/>
      <c r="FBB308" s="1091"/>
      <c r="FBC308" s="1091"/>
      <c r="FBD308" s="1091"/>
      <c r="FBE308" s="1091"/>
      <c r="FBF308" s="1091"/>
      <c r="FBG308" s="1091"/>
      <c r="FBH308" s="1091"/>
      <c r="FBI308" s="1091"/>
      <c r="FBJ308" s="1091"/>
      <c r="FBK308" s="1091"/>
      <c r="FBL308" s="1091"/>
      <c r="FBM308" s="1091"/>
      <c r="FBN308" s="1091"/>
      <c r="FBO308" s="1091"/>
      <c r="FBP308" s="1091"/>
      <c r="FBQ308" s="1091"/>
      <c r="FBR308" s="1091"/>
      <c r="FBS308" s="1091"/>
      <c r="FBT308" s="1091"/>
      <c r="FBU308" s="1091"/>
      <c r="FBV308" s="1091"/>
      <c r="FBW308" s="1091"/>
      <c r="FBX308" s="1091"/>
      <c r="FBY308" s="1091"/>
      <c r="FBZ308" s="1091"/>
      <c r="FCA308" s="1091"/>
      <c r="FCB308" s="1091"/>
      <c r="FCC308" s="1091"/>
      <c r="FCD308" s="1091"/>
      <c r="FCE308" s="1091"/>
      <c r="FCF308" s="1091"/>
      <c r="FCG308" s="1091"/>
      <c r="FCH308" s="1091"/>
      <c r="FCI308" s="1091"/>
      <c r="FCJ308" s="1091"/>
      <c r="FCK308" s="1091"/>
      <c r="FCL308" s="1091"/>
      <c r="FCM308" s="1091"/>
      <c r="FCN308" s="1091"/>
      <c r="FCO308" s="1091"/>
      <c r="FCP308" s="1091"/>
      <c r="FCQ308" s="1091"/>
      <c r="FCR308" s="1091"/>
      <c r="FCS308" s="1091"/>
      <c r="FCT308" s="1091"/>
      <c r="FCU308" s="1091"/>
      <c r="FCV308" s="1091"/>
      <c r="FCW308" s="1091"/>
      <c r="FCX308" s="1091"/>
      <c r="FCY308" s="1091"/>
      <c r="FCZ308" s="1091"/>
      <c r="FDA308" s="1091"/>
      <c r="FDB308" s="1091"/>
      <c r="FDC308" s="1091"/>
      <c r="FDD308" s="1091"/>
      <c r="FDE308" s="1091"/>
      <c r="FDF308" s="1091"/>
      <c r="FDG308" s="1091"/>
      <c r="FDH308" s="1091"/>
      <c r="FDI308" s="1091"/>
      <c r="FDJ308" s="1091"/>
      <c r="FDK308" s="1091"/>
      <c r="FDL308" s="1091"/>
      <c r="FDM308" s="1091"/>
      <c r="FDN308" s="1091"/>
      <c r="FDO308" s="1091"/>
      <c r="FDP308" s="1091"/>
      <c r="FDQ308" s="1091"/>
      <c r="FDR308" s="1091"/>
      <c r="FDS308" s="1091"/>
      <c r="FDT308" s="1091"/>
      <c r="FDU308" s="1091"/>
      <c r="FDV308" s="1091"/>
      <c r="FDW308" s="1091"/>
      <c r="FDX308" s="1091"/>
      <c r="FDY308" s="1091"/>
      <c r="FDZ308" s="1091"/>
      <c r="FEA308" s="1091"/>
      <c r="FEB308" s="1091"/>
      <c r="FEC308" s="1091"/>
      <c r="FED308" s="1091"/>
      <c r="FEE308" s="1091"/>
      <c r="FEF308" s="1091"/>
      <c r="FEG308" s="1091"/>
      <c r="FEH308" s="1091"/>
      <c r="FEI308" s="1091"/>
      <c r="FEJ308" s="1091"/>
      <c r="FEK308" s="1091"/>
      <c r="FEL308" s="1091"/>
      <c r="FEM308" s="1091"/>
      <c r="FEN308" s="1091"/>
      <c r="FEO308" s="1091"/>
      <c r="FEP308" s="1091"/>
      <c r="FEQ308" s="1091"/>
      <c r="FER308" s="1091"/>
      <c r="FES308" s="1091"/>
      <c r="FET308" s="1091"/>
      <c r="FEU308" s="1091"/>
      <c r="FEV308" s="1091"/>
      <c r="FEW308" s="1091"/>
      <c r="FEX308" s="1091"/>
      <c r="FEY308" s="1091"/>
      <c r="FEZ308" s="1091"/>
      <c r="FFA308" s="1091"/>
      <c r="FFB308" s="1091"/>
      <c r="FFC308" s="1091"/>
      <c r="FFD308" s="1091"/>
      <c r="FFE308" s="1091"/>
      <c r="FFF308" s="1091"/>
      <c r="FFG308" s="1091"/>
      <c r="FFH308" s="1091"/>
      <c r="FFI308" s="1091"/>
      <c r="FFJ308" s="1091"/>
      <c r="FFK308" s="1091"/>
      <c r="FFL308" s="1091"/>
      <c r="FFM308" s="1091"/>
      <c r="FFN308" s="1091"/>
      <c r="FFO308" s="1091"/>
      <c r="FFP308" s="1091"/>
      <c r="FFQ308" s="1091"/>
      <c r="FFR308" s="1091"/>
      <c r="FFS308" s="1091"/>
      <c r="FFT308" s="1091"/>
      <c r="FFU308" s="1091"/>
      <c r="FFV308" s="1091"/>
      <c r="FFW308" s="1091"/>
      <c r="FFX308" s="1091"/>
      <c r="FFY308" s="1091"/>
      <c r="FFZ308" s="1091"/>
      <c r="FGA308" s="1091"/>
      <c r="FGB308" s="1091"/>
      <c r="FGC308" s="1091"/>
      <c r="FGD308" s="1091"/>
      <c r="FGE308" s="1091"/>
      <c r="FGF308" s="1091"/>
      <c r="FGG308" s="1091"/>
      <c r="FGH308" s="1091"/>
      <c r="FGI308" s="1091"/>
      <c r="FGJ308" s="1091"/>
      <c r="FGK308" s="1091"/>
      <c r="FGL308" s="1091"/>
      <c r="FGM308" s="1091"/>
      <c r="FGN308" s="1091"/>
      <c r="FGO308" s="1091"/>
      <c r="FGP308" s="1091"/>
      <c r="FGQ308" s="1091"/>
      <c r="FGR308" s="1091"/>
      <c r="FGS308" s="1091"/>
      <c r="FGT308" s="1091"/>
      <c r="FGU308" s="1091"/>
      <c r="FGV308" s="1091"/>
      <c r="FGW308" s="1091"/>
      <c r="FGX308" s="1091"/>
      <c r="FGY308" s="1091"/>
      <c r="FGZ308" s="1091"/>
      <c r="FHA308" s="1091"/>
      <c r="FHB308" s="1091"/>
      <c r="FHC308" s="1091"/>
      <c r="FHD308" s="1091"/>
      <c r="FHE308" s="1091"/>
      <c r="FHF308" s="1091"/>
      <c r="FHG308" s="1091"/>
      <c r="FHH308" s="1091"/>
      <c r="FHI308" s="1091"/>
      <c r="FHJ308" s="1091"/>
      <c r="FHK308" s="1091"/>
      <c r="FHL308" s="1091"/>
      <c r="FHM308" s="1091"/>
      <c r="FHN308" s="1091"/>
      <c r="FHO308" s="1091"/>
      <c r="FHP308" s="1091"/>
      <c r="FHQ308" s="1091"/>
      <c r="FHR308" s="1091"/>
      <c r="FHS308" s="1091"/>
      <c r="FHT308" s="1091"/>
      <c r="FHU308" s="1091"/>
      <c r="FHV308" s="1091"/>
      <c r="FHW308" s="1091"/>
      <c r="FHX308" s="1091"/>
      <c r="FHY308" s="1091"/>
      <c r="FHZ308" s="1091"/>
      <c r="FIA308" s="1091"/>
      <c r="FIB308" s="1091"/>
      <c r="FIC308" s="1091"/>
      <c r="FID308" s="1091"/>
      <c r="FIE308" s="1091"/>
      <c r="FIF308" s="1091"/>
      <c r="FIG308" s="1091"/>
      <c r="FIH308" s="1091"/>
      <c r="FII308" s="1091"/>
      <c r="FIJ308" s="1091"/>
      <c r="FIK308" s="1091"/>
      <c r="FIL308" s="1091"/>
      <c r="FIM308" s="1091"/>
      <c r="FIN308" s="1091"/>
      <c r="FIO308" s="1091"/>
      <c r="FIP308" s="1091"/>
      <c r="FIQ308" s="1091"/>
      <c r="FIR308" s="1091"/>
      <c r="FIS308" s="1091"/>
      <c r="FIT308" s="1091"/>
      <c r="FIU308" s="1091"/>
      <c r="FIV308" s="1091"/>
      <c r="FIW308" s="1091"/>
      <c r="FIX308" s="1091"/>
      <c r="FIY308" s="1091"/>
      <c r="FIZ308" s="1091"/>
      <c r="FJA308" s="1091"/>
      <c r="FJB308" s="1091"/>
      <c r="FJC308" s="1091"/>
      <c r="FJD308" s="1091"/>
      <c r="FJE308" s="1091"/>
      <c r="FJF308" s="1091"/>
      <c r="FJG308" s="1091"/>
      <c r="FJH308" s="1091"/>
      <c r="FJI308" s="1091"/>
      <c r="FJJ308" s="1091"/>
      <c r="FJK308" s="1091"/>
      <c r="FJL308" s="1091"/>
      <c r="FJM308" s="1091"/>
      <c r="FJN308" s="1091"/>
      <c r="FJO308" s="1091"/>
      <c r="FJP308" s="1091"/>
      <c r="FJQ308" s="1091"/>
      <c r="FJR308" s="1091"/>
      <c r="FJS308" s="1091"/>
      <c r="FJT308" s="1091"/>
      <c r="FJU308" s="1091"/>
      <c r="FJV308" s="1091"/>
      <c r="FJW308" s="1091"/>
      <c r="FJX308" s="1091"/>
      <c r="FJY308" s="1091"/>
      <c r="FJZ308" s="1091"/>
      <c r="FKA308" s="1091"/>
      <c r="FKB308" s="1091"/>
      <c r="FKC308" s="1091"/>
      <c r="FKD308" s="1091"/>
      <c r="FKE308" s="1091"/>
      <c r="FKF308" s="1091"/>
      <c r="FKG308" s="1091"/>
      <c r="FKH308" s="1091"/>
      <c r="FKI308" s="1091"/>
      <c r="FKJ308" s="1091"/>
      <c r="FKK308" s="1091"/>
      <c r="FKL308" s="1091"/>
      <c r="FKM308" s="1091"/>
      <c r="FKN308" s="1091"/>
      <c r="FKO308" s="1091"/>
      <c r="FKP308" s="1091"/>
      <c r="FKQ308" s="1091"/>
      <c r="FKR308" s="1091"/>
      <c r="FKS308" s="1091"/>
      <c r="FKT308" s="1091"/>
      <c r="FKU308" s="1091"/>
      <c r="FKV308" s="1091"/>
      <c r="FKW308" s="1091"/>
      <c r="FKX308" s="1091"/>
      <c r="FKY308" s="1091"/>
      <c r="FKZ308" s="1091"/>
      <c r="FLA308" s="1091"/>
      <c r="FLB308" s="1091"/>
      <c r="FLC308" s="1091"/>
      <c r="FLD308" s="1091"/>
      <c r="FLE308" s="1091"/>
      <c r="FLF308" s="1091"/>
      <c r="FLG308" s="1091"/>
      <c r="FLH308" s="1091"/>
      <c r="FLI308" s="1091"/>
      <c r="FLJ308" s="1091"/>
      <c r="FLK308" s="1091"/>
      <c r="FLL308" s="1091"/>
      <c r="FLM308" s="1091"/>
      <c r="FLN308" s="1091"/>
      <c r="FLO308" s="1091"/>
      <c r="FLP308" s="1091"/>
      <c r="FLQ308" s="1091"/>
      <c r="FLR308" s="1091"/>
      <c r="FLS308" s="1091"/>
      <c r="FLT308" s="1091"/>
      <c r="FLU308" s="1091"/>
      <c r="FLV308" s="1091"/>
      <c r="FLW308" s="1091"/>
      <c r="FLX308" s="1091"/>
      <c r="FLY308" s="1091"/>
      <c r="FLZ308" s="1091"/>
      <c r="FMA308" s="1091"/>
      <c r="FMB308" s="1091"/>
      <c r="FMC308" s="1091"/>
      <c r="FMD308" s="1091"/>
      <c r="FME308" s="1091"/>
      <c r="FMF308" s="1091"/>
      <c r="FMG308" s="1091"/>
      <c r="FMH308" s="1091"/>
      <c r="FMI308" s="1091"/>
      <c r="FMJ308" s="1091"/>
      <c r="FMK308" s="1091"/>
      <c r="FML308" s="1091"/>
      <c r="FMM308" s="1091"/>
      <c r="FMN308" s="1091"/>
      <c r="FMO308" s="1091"/>
      <c r="FMP308" s="1091"/>
      <c r="FMQ308" s="1091"/>
      <c r="FMR308" s="1091"/>
      <c r="FMS308" s="1091"/>
      <c r="FMT308" s="1091"/>
      <c r="FMU308" s="1091"/>
      <c r="FMV308" s="1091"/>
      <c r="FMW308" s="1091"/>
      <c r="FMX308" s="1091"/>
      <c r="FMY308" s="1091"/>
      <c r="FMZ308" s="1091"/>
      <c r="FNA308" s="1091"/>
      <c r="FNB308" s="1091"/>
      <c r="FNC308" s="1091"/>
      <c r="FND308" s="1091"/>
      <c r="FNE308" s="1091"/>
      <c r="FNF308" s="1091"/>
      <c r="FNG308" s="1091"/>
      <c r="FNH308" s="1091"/>
      <c r="FNI308" s="1091"/>
      <c r="FNJ308" s="1091"/>
      <c r="FNK308" s="1091"/>
      <c r="FNL308" s="1091"/>
      <c r="FNM308" s="1091"/>
      <c r="FNN308" s="1091"/>
      <c r="FNO308" s="1091"/>
      <c r="FNP308" s="1091"/>
      <c r="FNQ308" s="1091"/>
      <c r="FNR308" s="1091"/>
      <c r="FNS308" s="1091"/>
      <c r="FNT308" s="1091"/>
      <c r="FNU308" s="1091"/>
      <c r="FNV308" s="1091"/>
      <c r="FNW308" s="1091"/>
      <c r="FNX308" s="1091"/>
      <c r="FNY308" s="1091"/>
      <c r="FNZ308" s="1091"/>
      <c r="FOA308" s="1091"/>
      <c r="FOB308" s="1091"/>
      <c r="FOC308" s="1091"/>
      <c r="FOD308" s="1091"/>
      <c r="FOE308" s="1091"/>
      <c r="FOF308" s="1091"/>
      <c r="FOG308" s="1091"/>
      <c r="FOH308" s="1091"/>
      <c r="FOI308" s="1091"/>
      <c r="FOJ308" s="1091"/>
      <c r="FOK308" s="1091"/>
      <c r="FOL308" s="1091"/>
      <c r="FOM308" s="1091"/>
      <c r="FON308" s="1091"/>
      <c r="FOO308" s="1091"/>
      <c r="FOP308" s="1091"/>
      <c r="FOQ308" s="1091"/>
      <c r="FOR308" s="1091"/>
      <c r="FOS308" s="1091"/>
      <c r="FOT308" s="1091"/>
      <c r="FOU308" s="1091"/>
      <c r="FOV308" s="1091"/>
      <c r="FOW308" s="1091"/>
      <c r="FOX308" s="1091"/>
      <c r="FOY308" s="1091"/>
      <c r="FOZ308" s="1091"/>
      <c r="FPA308" s="1091"/>
      <c r="FPB308" s="1091"/>
      <c r="FPC308" s="1091"/>
      <c r="FPD308" s="1091"/>
      <c r="FPE308" s="1091"/>
      <c r="FPF308" s="1091"/>
      <c r="FPG308" s="1091"/>
      <c r="FPH308" s="1091"/>
      <c r="FPI308" s="1091"/>
      <c r="FPJ308" s="1091"/>
      <c r="FPK308" s="1091"/>
      <c r="FPL308" s="1091"/>
      <c r="FPM308" s="1091"/>
      <c r="FPN308" s="1091"/>
      <c r="FPO308" s="1091"/>
      <c r="FPP308" s="1091"/>
      <c r="FPQ308" s="1091"/>
      <c r="FPR308" s="1091"/>
      <c r="FPS308" s="1091"/>
      <c r="FPT308" s="1091"/>
      <c r="FPU308" s="1091"/>
      <c r="FPV308" s="1091"/>
      <c r="FPW308" s="1091"/>
      <c r="FPX308" s="1091"/>
      <c r="FPY308" s="1091"/>
      <c r="FPZ308" s="1091"/>
      <c r="FQA308" s="1091"/>
      <c r="FQB308" s="1091"/>
      <c r="FQC308" s="1091"/>
      <c r="FQD308" s="1091"/>
      <c r="FQE308" s="1091"/>
      <c r="FQF308" s="1091"/>
      <c r="FQG308" s="1091"/>
      <c r="FQH308" s="1091"/>
      <c r="FQI308" s="1091"/>
      <c r="FQJ308" s="1091"/>
      <c r="FQK308" s="1091"/>
      <c r="FQL308" s="1091"/>
      <c r="FQM308" s="1091"/>
      <c r="FQN308" s="1091"/>
      <c r="FQO308" s="1091"/>
      <c r="FQP308" s="1091"/>
      <c r="FQQ308" s="1091"/>
      <c r="FQR308" s="1091"/>
      <c r="FQS308" s="1091"/>
      <c r="FQT308" s="1091"/>
      <c r="FQU308" s="1091"/>
      <c r="FQV308" s="1091"/>
      <c r="FQW308" s="1091"/>
      <c r="FQX308" s="1091"/>
      <c r="FQY308" s="1091"/>
      <c r="FQZ308" s="1091"/>
      <c r="FRA308" s="1091"/>
      <c r="FRB308" s="1091"/>
      <c r="FRC308" s="1091"/>
      <c r="FRD308" s="1091"/>
      <c r="FRE308" s="1091"/>
      <c r="FRF308" s="1091"/>
      <c r="FRG308" s="1091"/>
      <c r="FRH308" s="1091"/>
      <c r="FRI308" s="1091"/>
      <c r="FRJ308" s="1091"/>
      <c r="FRK308" s="1091"/>
      <c r="FRL308" s="1091"/>
      <c r="FRM308" s="1091"/>
      <c r="FRN308" s="1091"/>
      <c r="FRO308" s="1091"/>
      <c r="FRP308" s="1091"/>
      <c r="FRQ308" s="1091"/>
      <c r="FRR308" s="1091"/>
      <c r="FRS308" s="1091"/>
      <c r="FRT308" s="1091"/>
      <c r="FRU308" s="1091"/>
      <c r="FRV308" s="1091"/>
      <c r="FRW308" s="1091"/>
      <c r="FRX308" s="1091"/>
      <c r="FRY308" s="1091"/>
      <c r="FRZ308" s="1091"/>
      <c r="FSA308" s="1091"/>
      <c r="FSB308" s="1091"/>
      <c r="FSC308" s="1091"/>
      <c r="FSD308" s="1091"/>
      <c r="FSE308" s="1091"/>
      <c r="FSF308" s="1091"/>
      <c r="FSG308" s="1091"/>
      <c r="FSH308" s="1091"/>
      <c r="FSI308" s="1091"/>
      <c r="FSJ308" s="1091"/>
      <c r="FSK308" s="1091"/>
      <c r="FSL308" s="1091"/>
      <c r="FSM308" s="1091"/>
      <c r="FSN308" s="1091"/>
      <c r="FSO308" s="1091"/>
      <c r="FSP308" s="1091"/>
      <c r="FSQ308" s="1091"/>
      <c r="FSR308" s="1091"/>
      <c r="FSS308" s="1091"/>
      <c r="FST308" s="1091"/>
      <c r="FSU308" s="1091"/>
      <c r="FSV308" s="1091"/>
      <c r="FSW308" s="1091"/>
      <c r="FSX308" s="1091"/>
      <c r="FSY308" s="1091"/>
      <c r="FSZ308" s="1091"/>
      <c r="FTA308" s="1091"/>
      <c r="FTB308" s="1091"/>
      <c r="FTC308" s="1091"/>
      <c r="FTD308" s="1091"/>
      <c r="FTE308" s="1091"/>
      <c r="FTF308" s="1091"/>
      <c r="FTG308" s="1091"/>
      <c r="FTH308" s="1091"/>
      <c r="FTI308" s="1091"/>
      <c r="FTJ308" s="1091"/>
      <c r="FTK308" s="1091"/>
      <c r="FTL308" s="1091"/>
      <c r="FTM308" s="1091"/>
      <c r="FTN308" s="1091"/>
      <c r="FTO308" s="1091"/>
      <c r="FTP308" s="1091"/>
      <c r="FTQ308" s="1091"/>
      <c r="FTR308" s="1091"/>
      <c r="FTS308" s="1091"/>
      <c r="FTT308" s="1091"/>
      <c r="FTU308" s="1091"/>
      <c r="FTV308" s="1091"/>
      <c r="FTW308" s="1091"/>
      <c r="FTX308" s="1091"/>
      <c r="FTY308" s="1091"/>
      <c r="FTZ308" s="1091"/>
      <c r="FUA308" s="1091"/>
      <c r="FUB308" s="1091"/>
      <c r="FUC308" s="1091"/>
      <c r="FUD308" s="1091"/>
      <c r="FUE308" s="1091"/>
      <c r="FUF308" s="1091"/>
      <c r="FUG308" s="1091"/>
      <c r="FUH308" s="1091"/>
      <c r="FUI308" s="1091"/>
      <c r="FUJ308" s="1091"/>
      <c r="FUK308" s="1091"/>
      <c r="FUL308" s="1091"/>
      <c r="FUM308" s="1091"/>
      <c r="FUN308" s="1091"/>
      <c r="FUO308" s="1091"/>
      <c r="FUP308" s="1091"/>
      <c r="FUQ308" s="1091"/>
      <c r="FUR308" s="1091"/>
      <c r="FUS308" s="1091"/>
      <c r="FUT308" s="1091"/>
      <c r="FUU308" s="1091"/>
      <c r="FUV308" s="1091"/>
      <c r="FUW308" s="1091"/>
      <c r="FUX308" s="1091"/>
      <c r="FUY308" s="1091"/>
      <c r="FUZ308" s="1091"/>
      <c r="FVA308" s="1091"/>
      <c r="FVB308" s="1091"/>
      <c r="FVC308" s="1091"/>
      <c r="FVD308" s="1091"/>
      <c r="FVE308" s="1091"/>
      <c r="FVF308" s="1091"/>
      <c r="FVG308" s="1091"/>
      <c r="FVH308" s="1091"/>
      <c r="FVI308" s="1091"/>
      <c r="FVJ308" s="1091"/>
      <c r="FVK308" s="1091"/>
      <c r="FVL308" s="1091"/>
      <c r="FVM308" s="1091"/>
      <c r="FVN308" s="1091"/>
      <c r="FVO308" s="1091"/>
      <c r="FVP308" s="1091"/>
      <c r="FVQ308" s="1091"/>
      <c r="FVR308" s="1091"/>
      <c r="FVS308" s="1091"/>
      <c r="FVT308" s="1091"/>
      <c r="FVU308" s="1091"/>
      <c r="FVV308" s="1091"/>
      <c r="FVW308" s="1091"/>
      <c r="FVX308" s="1091"/>
      <c r="FVY308" s="1091"/>
      <c r="FVZ308" s="1091"/>
      <c r="FWA308" s="1091"/>
      <c r="FWB308" s="1091"/>
      <c r="FWC308" s="1091"/>
      <c r="FWD308" s="1091"/>
      <c r="FWE308" s="1091"/>
      <c r="FWF308" s="1091"/>
      <c r="FWG308" s="1091"/>
      <c r="FWH308" s="1091"/>
      <c r="FWI308" s="1091"/>
      <c r="FWJ308" s="1091"/>
      <c r="FWK308" s="1091"/>
      <c r="FWL308" s="1091"/>
      <c r="FWM308" s="1091"/>
      <c r="FWN308" s="1091"/>
      <c r="FWO308" s="1091"/>
      <c r="FWP308" s="1091"/>
      <c r="FWQ308" s="1091"/>
      <c r="FWR308" s="1091"/>
      <c r="FWS308" s="1091"/>
      <c r="FWT308" s="1091"/>
      <c r="FWU308" s="1091"/>
      <c r="FWV308" s="1091"/>
      <c r="FWW308" s="1091"/>
      <c r="FWX308" s="1091"/>
      <c r="FWY308" s="1091"/>
      <c r="FWZ308" s="1091"/>
      <c r="FXA308" s="1091"/>
      <c r="FXB308" s="1091"/>
      <c r="FXC308" s="1091"/>
      <c r="FXD308" s="1091"/>
      <c r="FXE308" s="1091"/>
      <c r="FXF308" s="1091"/>
      <c r="FXG308" s="1091"/>
      <c r="FXH308" s="1091"/>
      <c r="FXI308" s="1091"/>
      <c r="FXJ308" s="1091"/>
      <c r="FXK308" s="1091"/>
      <c r="FXL308" s="1091"/>
      <c r="FXM308" s="1091"/>
      <c r="FXN308" s="1091"/>
      <c r="FXO308" s="1091"/>
      <c r="FXP308" s="1091"/>
      <c r="FXQ308" s="1091"/>
      <c r="FXR308" s="1091"/>
      <c r="FXS308" s="1091"/>
      <c r="FXT308" s="1091"/>
      <c r="FXU308" s="1091"/>
      <c r="FXV308" s="1091"/>
      <c r="FXW308" s="1091"/>
      <c r="FXX308" s="1091"/>
      <c r="FXY308" s="1091"/>
      <c r="FXZ308" s="1091"/>
      <c r="FYA308" s="1091"/>
      <c r="FYB308" s="1091"/>
      <c r="FYC308" s="1091"/>
      <c r="FYD308" s="1091"/>
      <c r="FYE308" s="1091"/>
      <c r="FYF308" s="1091"/>
      <c r="FYG308" s="1091"/>
      <c r="FYH308" s="1091"/>
      <c r="FYI308" s="1091"/>
      <c r="FYJ308" s="1091"/>
      <c r="FYK308" s="1091"/>
      <c r="FYL308" s="1091"/>
      <c r="FYM308" s="1091"/>
      <c r="FYN308" s="1091"/>
      <c r="FYO308" s="1091"/>
      <c r="FYP308" s="1091"/>
      <c r="FYQ308" s="1091"/>
      <c r="FYR308" s="1091"/>
      <c r="FYS308" s="1091"/>
      <c r="FYT308" s="1091"/>
      <c r="FYU308" s="1091"/>
      <c r="FYV308" s="1091"/>
      <c r="FYW308" s="1091"/>
      <c r="FYX308" s="1091"/>
      <c r="FYY308" s="1091"/>
      <c r="FYZ308" s="1091"/>
      <c r="FZA308" s="1091"/>
      <c r="FZB308" s="1091"/>
      <c r="FZC308" s="1091"/>
      <c r="FZD308" s="1091"/>
      <c r="FZE308" s="1091"/>
      <c r="FZF308" s="1091"/>
      <c r="FZG308" s="1091"/>
      <c r="FZH308" s="1091"/>
      <c r="FZI308" s="1091"/>
      <c r="FZJ308" s="1091"/>
      <c r="FZK308" s="1091"/>
      <c r="FZL308" s="1091"/>
      <c r="FZM308" s="1091"/>
      <c r="FZN308" s="1091"/>
      <c r="FZO308" s="1091"/>
      <c r="FZP308" s="1091"/>
      <c r="FZQ308" s="1091"/>
      <c r="FZR308" s="1091"/>
      <c r="FZS308" s="1091"/>
      <c r="FZT308" s="1091"/>
      <c r="FZU308" s="1091"/>
      <c r="FZV308" s="1091"/>
      <c r="FZW308" s="1091"/>
      <c r="FZX308" s="1091"/>
      <c r="FZY308" s="1091"/>
      <c r="FZZ308" s="1091"/>
      <c r="GAA308" s="1091"/>
      <c r="GAB308" s="1091"/>
      <c r="GAC308" s="1091"/>
      <c r="GAD308" s="1091"/>
      <c r="GAE308" s="1091"/>
      <c r="GAF308" s="1091"/>
      <c r="GAG308" s="1091"/>
      <c r="GAH308" s="1091"/>
      <c r="GAI308" s="1091"/>
      <c r="GAJ308" s="1091"/>
      <c r="GAK308" s="1091"/>
      <c r="GAL308" s="1091"/>
      <c r="GAM308" s="1091"/>
      <c r="GAN308" s="1091"/>
      <c r="GAO308" s="1091"/>
      <c r="GAP308" s="1091"/>
      <c r="GAQ308" s="1091"/>
      <c r="GAR308" s="1091"/>
      <c r="GAS308" s="1091"/>
      <c r="GAT308" s="1091"/>
      <c r="GAU308" s="1091"/>
      <c r="GAV308" s="1091"/>
      <c r="GAW308" s="1091"/>
      <c r="GAX308" s="1091"/>
      <c r="GAY308" s="1091"/>
      <c r="GAZ308" s="1091"/>
      <c r="GBA308" s="1091"/>
      <c r="GBB308" s="1091"/>
      <c r="GBC308" s="1091"/>
      <c r="GBD308" s="1091"/>
      <c r="GBE308" s="1091"/>
      <c r="GBF308" s="1091"/>
      <c r="GBG308" s="1091"/>
      <c r="GBH308" s="1091"/>
      <c r="GBI308" s="1091"/>
      <c r="GBJ308" s="1091"/>
      <c r="GBK308" s="1091"/>
      <c r="GBL308" s="1091"/>
      <c r="GBM308" s="1091"/>
      <c r="GBN308" s="1091"/>
      <c r="GBO308" s="1091"/>
      <c r="GBP308" s="1091"/>
      <c r="GBQ308" s="1091"/>
      <c r="GBR308" s="1091"/>
      <c r="GBS308" s="1091"/>
      <c r="GBT308" s="1091"/>
      <c r="GBU308" s="1091"/>
      <c r="GBV308" s="1091"/>
      <c r="GBW308" s="1091"/>
      <c r="GBX308" s="1091"/>
      <c r="GBY308" s="1091"/>
      <c r="GBZ308" s="1091"/>
      <c r="GCA308" s="1091"/>
      <c r="GCB308" s="1091"/>
      <c r="GCC308" s="1091"/>
      <c r="GCD308" s="1091"/>
      <c r="GCE308" s="1091"/>
      <c r="GCF308" s="1091"/>
      <c r="GCG308" s="1091"/>
      <c r="GCH308" s="1091"/>
      <c r="GCI308" s="1091"/>
      <c r="GCJ308" s="1091"/>
      <c r="GCK308" s="1091"/>
      <c r="GCL308" s="1091"/>
      <c r="GCM308" s="1091"/>
      <c r="GCN308" s="1091"/>
      <c r="GCO308" s="1091"/>
      <c r="GCP308" s="1091"/>
      <c r="GCQ308" s="1091"/>
      <c r="GCR308" s="1091"/>
      <c r="GCS308" s="1091"/>
      <c r="GCT308" s="1091"/>
      <c r="GCU308" s="1091"/>
      <c r="GCV308" s="1091"/>
      <c r="GCW308" s="1091"/>
      <c r="GCX308" s="1091"/>
      <c r="GCY308" s="1091"/>
      <c r="GCZ308" s="1091"/>
      <c r="GDA308" s="1091"/>
      <c r="GDB308" s="1091"/>
      <c r="GDC308" s="1091"/>
      <c r="GDD308" s="1091"/>
      <c r="GDE308" s="1091"/>
      <c r="GDF308" s="1091"/>
      <c r="GDG308" s="1091"/>
      <c r="GDH308" s="1091"/>
      <c r="GDI308" s="1091"/>
      <c r="GDJ308" s="1091"/>
      <c r="GDK308" s="1091"/>
      <c r="GDL308" s="1091"/>
      <c r="GDM308" s="1091"/>
      <c r="GDN308" s="1091"/>
      <c r="GDO308" s="1091"/>
      <c r="GDP308" s="1091"/>
      <c r="GDQ308" s="1091"/>
      <c r="GDR308" s="1091"/>
      <c r="GDS308" s="1091"/>
      <c r="GDT308" s="1091"/>
      <c r="GDU308" s="1091"/>
      <c r="GDV308" s="1091"/>
      <c r="GDW308" s="1091"/>
      <c r="GDX308" s="1091"/>
      <c r="GDY308" s="1091"/>
      <c r="GDZ308" s="1091"/>
      <c r="GEA308" s="1091"/>
      <c r="GEB308" s="1091"/>
      <c r="GEC308" s="1091"/>
      <c r="GED308" s="1091"/>
      <c r="GEE308" s="1091"/>
      <c r="GEF308" s="1091"/>
      <c r="GEG308" s="1091"/>
      <c r="GEH308" s="1091"/>
      <c r="GEI308" s="1091"/>
      <c r="GEJ308" s="1091"/>
      <c r="GEK308" s="1091"/>
      <c r="GEL308" s="1091"/>
      <c r="GEM308" s="1091"/>
      <c r="GEN308" s="1091"/>
      <c r="GEO308" s="1091"/>
      <c r="GEP308" s="1091"/>
      <c r="GEQ308" s="1091"/>
      <c r="GER308" s="1091"/>
      <c r="GES308" s="1091"/>
      <c r="GET308" s="1091"/>
      <c r="GEU308" s="1091"/>
      <c r="GEV308" s="1091"/>
      <c r="GEW308" s="1091"/>
      <c r="GEX308" s="1091"/>
      <c r="GEY308" s="1091"/>
      <c r="GEZ308" s="1091"/>
      <c r="GFA308" s="1091"/>
      <c r="GFB308" s="1091"/>
      <c r="GFC308" s="1091"/>
      <c r="GFD308" s="1091"/>
      <c r="GFE308" s="1091"/>
      <c r="GFF308" s="1091"/>
      <c r="GFG308" s="1091"/>
      <c r="GFH308" s="1091"/>
      <c r="GFI308" s="1091"/>
      <c r="GFJ308" s="1091"/>
      <c r="GFK308" s="1091"/>
      <c r="GFL308" s="1091"/>
      <c r="GFM308" s="1091"/>
      <c r="GFN308" s="1091"/>
      <c r="GFO308" s="1091"/>
      <c r="GFP308" s="1091"/>
      <c r="GFQ308" s="1091"/>
      <c r="GFR308" s="1091"/>
      <c r="GFS308" s="1091"/>
      <c r="GFT308" s="1091"/>
      <c r="GFU308" s="1091"/>
      <c r="GFV308" s="1091"/>
      <c r="GFW308" s="1091"/>
      <c r="GFX308" s="1091"/>
      <c r="GFY308" s="1091"/>
      <c r="GFZ308" s="1091"/>
      <c r="GGA308" s="1091"/>
      <c r="GGB308" s="1091"/>
      <c r="GGC308" s="1091"/>
      <c r="GGD308" s="1091"/>
      <c r="GGE308" s="1091"/>
      <c r="GGF308" s="1091"/>
      <c r="GGG308" s="1091"/>
      <c r="GGH308" s="1091"/>
      <c r="GGI308" s="1091"/>
      <c r="GGJ308" s="1091"/>
      <c r="GGK308" s="1091"/>
      <c r="GGL308" s="1091"/>
      <c r="GGM308" s="1091"/>
      <c r="GGN308" s="1091"/>
      <c r="GGO308" s="1091"/>
      <c r="GGP308" s="1091"/>
      <c r="GGQ308" s="1091"/>
      <c r="GGR308" s="1091"/>
      <c r="GGS308" s="1091"/>
      <c r="GGT308" s="1091"/>
      <c r="GGU308" s="1091"/>
      <c r="GGV308" s="1091"/>
      <c r="GGW308" s="1091"/>
      <c r="GGX308" s="1091"/>
      <c r="GGY308" s="1091"/>
      <c r="GGZ308" s="1091"/>
      <c r="GHA308" s="1091"/>
      <c r="GHB308" s="1091"/>
      <c r="GHC308" s="1091"/>
      <c r="GHD308" s="1091"/>
      <c r="GHE308" s="1091"/>
      <c r="GHF308" s="1091"/>
      <c r="GHG308" s="1091"/>
      <c r="GHH308" s="1091"/>
      <c r="GHI308" s="1091"/>
      <c r="GHJ308" s="1091"/>
      <c r="GHK308" s="1091"/>
      <c r="GHL308" s="1091"/>
      <c r="GHM308" s="1091"/>
      <c r="GHN308" s="1091"/>
      <c r="GHO308" s="1091"/>
      <c r="GHP308" s="1091"/>
      <c r="GHQ308" s="1091"/>
      <c r="GHR308" s="1091"/>
      <c r="GHS308" s="1091"/>
      <c r="GHT308" s="1091"/>
      <c r="GHU308" s="1091"/>
      <c r="GHV308" s="1091"/>
      <c r="GHW308" s="1091"/>
      <c r="GHX308" s="1091"/>
      <c r="GHY308" s="1091"/>
      <c r="GHZ308" s="1091"/>
      <c r="GIA308" s="1091"/>
      <c r="GIB308" s="1091"/>
      <c r="GIC308" s="1091"/>
      <c r="GID308" s="1091"/>
      <c r="GIE308" s="1091"/>
      <c r="GIF308" s="1091"/>
      <c r="GIG308" s="1091"/>
      <c r="GIH308" s="1091"/>
      <c r="GII308" s="1091"/>
      <c r="GIJ308" s="1091"/>
      <c r="GIK308" s="1091"/>
      <c r="GIL308" s="1091"/>
      <c r="GIM308" s="1091"/>
      <c r="GIN308" s="1091"/>
      <c r="GIO308" s="1091"/>
      <c r="GIP308" s="1091"/>
      <c r="GIQ308" s="1091"/>
      <c r="GIR308" s="1091"/>
      <c r="GIS308" s="1091"/>
      <c r="GIT308" s="1091"/>
      <c r="GIU308" s="1091"/>
      <c r="GIV308" s="1091"/>
      <c r="GIW308" s="1091"/>
      <c r="GIX308" s="1091"/>
      <c r="GIY308" s="1091"/>
      <c r="GIZ308" s="1091"/>
      <c r="GJA308" s="1091"/>
      <c r="GJB308" s="1091"/>
      <c r="GJC308" s="1091"/>
      <c r="GJD308" s="1091"/>
      <c r="GJE308" s="1091"/>
      <c r="GJF308" s="1091"/>
      <c r="GJG308" s="1091"/>
      <c r="GJH308" s="1091"/>
      <c r="GJI308" s="1091"/>
      <c r="GJJ308" s="1091"/>
      <c r="GJK308" s="1091"/>
      <c r="GJL308" s="1091"/>
      <c r="GJM308" s="1091"/>
      <c r="GJN308" s="1091"/>
      <c r="GJO308" s="1091"/>
      <c r="GJP308" s="1091"/>
      <c r="GJQ308" s="1091"/>
      <c r="GJR308" s="1091"/>
      <c r="GJS308" s="1091"/>
      <c r="GJT308" s="1091"/>
      <c r="GJU308" s="1091"/>
      <c r="GJV308" s="1091"/>
      <c r="GJW308" s="1091"/>
      <c r="GJX308" s="1091"/>
      <c r="GJY308" s="1091"/>
      <c r="GJZ308" s="1091"/>
      <c r="GKA308" s="1091"/>
      <c r="GKB308" s="1091"/>
      <c r="GKC308" s="1091"/>
      <c r="GKD308" s="1091"/>
      <c r="GKE308" s="1091"/>
      <c r="GKF308" s="1091"/>
      <c r="GKG308" s="1091"/>
      <c r="GKH308" s="1091"/>
      <c r="GKI308" s="1091"/>
      <c r="GKJ308" s="1091"/>
      <c r="GKK308" s="1091"/>
      <c r="GKL308" s="1091"/>
      <c r="GKM308" s="1091"/>
      <c r="GKN308" s="1091"/>
      <c r="GKO308" s="1091"/>
      <c r="GKP308" s="1091"/>
      <c r="GKQ308" s="1091"/>
      <c r="GKR308" s="1091"/>
      <c r="GKS308" s="1091"/>
      <c r="GKT308" s="1091"/>
      <c r="GKU308" s="1091"/>
      <c r="GKV308" s="1091"/>
      <c r="GKW308" s="1091"/>
      <c r="GKX308" s="1091"/>
      <c r="GKY308" s="1091"/>
      <c r="GKZ308" s="1091"/>
      <c r="GLA308" s="1091"/>
      <c r="GLB308" s="1091"/>
      <c r="GLC308" s="1091"/>
      <c r="GLD308" s="1091"/>
      <c r="GLE308" s="1091"/>
      <c r="GLF308" s="1091"/>
      <c r="GLG308" s="1091"/>
      <c r="GLH308" s="1091"/>
      <c r="GLI308" s="1091"/>
      <c r="GLJ308" s="1091"/>
      <c r="GLK308" s="1091"/>
      <c r="GLL308" s="1091"/>
      <c r="GLM308" s="1091"/>
      <c r="GLN308" s="1091"/>
      <c r="GLO308" s="1091"/>
      <c r="GLP308" s="1091"/>
      <c r="GLQ308" s="1091"/>
      <c r="GLR308" s="1091"/>
      <c r="GLS308" s="1091"/>
      <c r="GLT308" s="1091"/>
      <c r="GLU308" s="1091"/>
      <c r="GLV308" s="1091"/>
      <c r="GLW308" s="1091"/>
      <c r="GLX308" s="1091"/>
      <c r="GLY308" s="1091"/>
      <c r="GLZ308" s="1091"/>
      <c r="GMA308" s="1091"/>
      <c r="GMB308" s="1091"/>
      <c r="GMC308" s="1091"/>
      <c r="GMD308" s="1091"/>
      <c r="GME308" s="1091"/>
      <c r="GMF308" s="1091"/>
      <c r="GMG308" s="1091"/>
      <c r="GMH308" s="1091"/>
      <c r="GMI308" s="1091"/>
      <c r="GMJ308" s="1091"/>
      <c r="GMK308" s="1091"/>
      <c r="GML308" s="1091"/>
      <c r="GMM308" s="1091"/>
      <c r="GMN308" s="1091"/>
      <c r="GMO308" s="1091"/>
      <c r="GMP308" s="1091"/>
      <c r="GMQ308" s="1091"/>
      <c r="GMR308" s="1091"/>
      <c r="GMS308" s="1091"/>
      <c r="GMT308" s="1091"/>
      <c r="GMU308" s="1091"/>
      <c r="GMV308" s="1091"/>
      <c r="GMW308" s="1091"/>
      <c r="GMX308" s="1091"/>
      <c r="GMY308" s="1091"/>
      <c r="GMZ308" s="1091"/>
      <c r="GNA308" s="1091"/>
      <c r="GNB308" s="1091"/>
      <c r="GNC308" s="1091"/>
      <c r="GND308" s="1091"/>
      <c r="GNE308" s="1091"/>
      <c r="GNF308" s="1091"/>
      <c r="GNG308" s="1091"/>
      <c r="GNH308" s="1091"/>
      <c r="GNI308" s="1091"/>
      <c r="GNJ308" s="1091"/>
      <c r="GNK308" s="1091"/>
      <c r="GNL308" s="1091"/>
      <c r="GNM308" s="1091"/>
      <c r="GNN308" s="1091"/>
      <c r="GNO308" s="1091"/>
      <c r="GNP308" s="1091"/>
      <c r="GNQ308" s="1091"/>
      <c r="GNR308" s="1091"/>
      <c r="GNS308" s="1091"/>
      <c r="GNT308" s="1091"/>
      <c r="GNU308" s="1091"/>
      <c r="GNV308" s="1091"/>
      <c r="GNW308" s="1091"/>
      <c r="GNX308" s="1091"/>
      <c r="GNY308" s="1091"/>
      <c r="GNZ308" s="1091"/>
      <c r="GOA308" s="1091"/>
      <c r="GOB308" s="1091"/>
      <c r="GOC308" s="1091"/>
      <c r="GOD308" s="1091"/>
      <c r="GOE308" s="1091"/>
      <c r="GOF308" s="1091"/>
      <c r="GOG308" s="1091"/>
      <c r="GOH308" s="1091"/>
      <c r="GOI308" s="1091"/>
      <c r="GOJ308" s="1091"/>
      <c r="GOK308" s="1091"/>
      <c r="GOL308" s="1091"/>
      <c r="GOM308" s="1091"/>
      <c r="GON308" s="1091"/>
      <c r="GOO308" s="1091"/>
      <c r="GOP308" s="1091"/>
      <c r="GOQ308" s="1091"/>
      <c r="GOR308" s="1091"/>
      <c r="GOS308" s="1091"/>
      <c r="GOT308" s="1091"/>
      <c r="GOU308" s="1091"/>
      <c r="GOV308" s="1091"/>
      <c r="GOW308" s="1091"/>
      <c r="GOX308" s="1091"/>
      <c r="GOY308" s="1091"/>
      <c r="GOZ308" s="1091"/>
      <c r="GPA308" s="1091"/>
      <c r="GPB308" s="1091"/>
      <c r="GPC308" s="1091"/>
      <c r="GPD308" s="1091"/>
      <c r="GPE308" s="1091"/>
      <c r="GPF308" s="1091"/>
      <c r="GPG308" s="1091"/>
      <c r="GPH308" s="1091"/>
      <c r="GPI308" s="1091"/>
      <c r="GPJ308" s="1091"/>
      <c r="GPK308" s="1091"/>
      <c r="GPL308" s="1091"/>
      <c r="GPM308" s="1091"/>
      <c r="GPN308" s="1091"/>
      <c r="GPO308" s="1091"/>
      <c r="GPP308" s="1091"/>
      <c r="GPQ308" s="1091"/>
      <c r="GPR308" s="1091"/>
      <c r="GPS308" s="1091"/>
      <c r="GPT308" s="1091"/>
      <c r="GPU308" s="1091"/>
      <c r="GPV308" s="1091"/>
      <c r="GPW308" s="1091"/>
      <c r="GPX308" s="1091"/>
      <c r="GPY308" s="1091"/>
      <c r="GPZ308" s="1091"/>
      <c r="GQA308" s="1091"/>
      <c r="GQB308" s="1091"/>
      <c r="GQC308" s="1091"/>
      <c r="GQD308" s="1091"/>
      <c r="GQE308" s="1091"/>
      <c r="GQF308" s="1091"/>
      <c r="GQG308" s="1091"/>
      <c r="GQH308" s="1091"/>
      <c r="GQI308" s="1091"/>
      <c r="GQJ308" s="1091"/>
      <c r="GQK308" s="1091"/>
      <c r="GQL308" s="1091"/>
      <c r="GQM308" s="1091"/>
      <c r="GQN308" s="1091"/>
      <c r="GQO308" s="1091"/>
      <c r="GQP308" s="1091"/>
      <c r="GQQ308" s="1091"/>
      <c r="GQR308" s="1091"/>
      <c r="GQS308" s="1091"/>
      <c r="GQT308" s="1091"/>
      <c r="GQU308" s="1091"/>
      <c r="GQV308" s="1091"/>
      <c r="GQW308" s="1091"/>
      <c r="GQX308" s="1091"/>
      <c r="GQY308" s="1091"/>
      <c r="GQZ308" s="1091"/>
      <c r="GRA308" s="1091"/>
      <c r="GRB308" s="1091"/>
      <c r="GRC308" s="1091"/>
      <c r="GRD308" s="1091"/>
      <c r="GRE308" s="1091"/>
      <c r="GRF308" s="1091"/>
      <c r="GRG308" s="1091"/>
      <c r="GRH308" s="1091"/>
      <c r="GRI308" s="1091"/>
      <c r="GRJ308" s="1091"/>
      <c r="GRK308" s="1091"/>
      <c r="GRL308" s="1091"/>
      <c r="GRM308" s="1091"/>
      <c r="GRN308" s="1091"/>
      <c r="GRO308" s="1091"/>
      <c r="GRP308" s="1091"/>
      <c r="GRQ308" s="1091"/>
      <c r="GRR308" s="1091"/>
      <c r="GRS308" s="1091"/>
      <c r="GRT308" s="1091"/>
      <c r="GRU308" s="1091"/>
      <c r="GRV308" s="1091"/>
      <c r="GRW308" s="1091"/>
      <c r="GRX308" s="1091"/>
      <c r="GRY308" s="1091"/>
      <c r="GRZ308" s="1091"/>
      <c r="GSA308" s="1091"/>
      <c r="GSB308" s="1091"/>
      <c r="GSC308" s="1091"/>
      <c r="GSD308" s="1091"/>
      <c r="GSE308" s="1091"/>
      <c r="GSF308" s="1091"/>
      <c r="GSG308" s="1091"/>
      <c r="GSH308" s="1091"/>
      <c r="GSI308" s="1091"/>
      <c r="GSJ308" s="1091"/>
      <c r="GSK308" s="1091"/>
      <c r="GSL308" s="1091"/>
      <c r="GSM308" s="1091"/>
      <c r="GSN308" s="1091"/>
      <c r="GSO308" s="1091"/>
      <c r="GSP308" s="1091"/>
      <c r="GSQ308" s="1091"/>
      <c r="GSR308" s="1091"/>
      <c r="GSS308" s="1091"/>
      <c r="GST308" s="1091"/>
      <c r="GSU308" s="1091"/>
      <c r="GSV308" s="1091"/>
      <c r="GSW308" s="1091"/>
      <c r="GSX308" s="1091"/>
      <c r="GSY308" s="1091"/>
      <c r="GSZ308" s="1091"/>
      <c r="GTA308" s="1091"/>
      <c r="GTB308" s="1091"/>
      <c r="GTC308" s="1091"/>
      <c r="GTD308" s="1091"/>
      <c r="GTE308" s="1091"/>
      <c r="GTF308" s="1091"/>
      <c r="GTG308" s="1091"/>
      <c r="GTH308" s="1091"/>
      <c r="GTI308" s="1091"/>
      <c r="GTJ308" s="1091"/>
      <c r="GTK308" s="1091"/>
      <c r="GTL308" s="1091"/>
      <c r="GTM308" s="1091"/>
      <c r="GTN308" s="1091"/>
      <c r="GTO308" s="1091"/>
      <c r="GTP308" s="1091"/>
      <c r="GTQ308" s="1091"/>
      <c r="GTR308" s="1091"/>
      <c r="GTS308" s="1091"/>
      <c r="GTT308" s="1091"/>
      <c r="GTU308" s="1091"/>
      <c r="GTV308" s="1091"/>
      <c r="GTW308" s="1091"/>
      <c r="GTX308" s="1091"/>
      <c r="GTY308" s="1091"/>
      <c r="GTZ308" s="1091"/>
      <c r="GUA308" s="1091"/>
      <c r="GUB308" s="1091"/>
      <c r="GUC308" s="1091"/>
      <c r="GUD308" s="1091"/>
      <c r="GUE308" s="1091"/>
      <c r="GUF308" s="1091"/>
      <c r="GUG308" s="1091"/>
      <c r="GUH308" s="1091"/>
      <c r="GUI308" s="1091"/>
      <c r="GUJ308" s="1091"/>
      <c r="GUK308" s="1091"/>
      <c r="GUL308" s="1091"/>
      <c r="GUM308" s="1091"/>
      <c r="GUN308" s="1091"/>
      <c r="GUO308" s="1091"/>
      <c r="GUP308" s="1091"/>
      <c r="GUQ308" s="1091"/>
      <c r="GUR308" s="1091"/>
      <c r="GUS308" s="1091"/>
      <c r="GUT308" s="1091"/>
      <c r="GUU308" s="1091"/>
      <c r="GUV308" s="1091"/>
      <c r="GUW308" s="1091"/>
      <c r="GUX308" s="1091"/>
      <c r="GUY308" s="1091"/>
      <c r="GUZ308" s="1091"/>
      <c r="GVA308" s="1091"/>
      <c r="GVB308" s="1091"/>
      <c r="GVC308" s="1091"/>
      <c r="GVD308" s="1091"/>
      <c r="GVE308" s="1091"/>
      <c r="GVF308" s="1091"/>
      <c r="GVG308" s="1091"/>
      <c r="GVH308" s="1091"/>
      <c r="GVI308" s="1091"/>
      <c r="GVJ308" s="1091"/>
      <c r="GVK308" s="1091"/>
      <c r="GVL308" s="1091"/>
      <c r="GVM308" s="1091"/>
      <c r="GVN308" s="1091"/>
      <c r="GVO308" s="1091"/>
      <c r="GVP308" s="1091"/>
      <c r="GVQ308" s="1091"/>
      <c r="GVR308" s="1091"/>
      <c r="GVS308" s="1091"/>
      <c r="GVT308" s="1091"/>
      <c r="GVU308" s="1091"/>
      <c r="GVV308" s="1091"/>
      <c r="GVW308" s="1091"/>
      <c r="GVX308" s="1091"/>
      <c r="GVY308" s="1091"/>
      <c r="GVZ308" s="1091"/>
      <c r="GWA308" s="1091"/>
      <c r="GWB308" s="1091"/>
      <c r="GWC308" s="1091"/>
      <c r="GWD308" s="1091"/>
      <c r="GWE308" s="1091"/>
      <c r="GWF308" s="1091"/>
      <c r="GWG308" s="1091"/>
      <c r="GWH308" s="1091"/>
      <c r="GWI308" s="1091"/>
      <c r="GWJ308" s="1091"/>
      <c r="GWK308" s="1091"/>
      <c r="GWL308" s="1091"/>
      <c r="GWM308" s="1091"/>
      <c r="GWN308" s="1091"/>
      <c r="GWO308" s="1091"/>
      <c r="GWP308" s="1091"/>
      <c r="GWQ308" s="1091"/>
      <c r="GWR308" s="1091"/>
      <c r="GWS308" s="1091"/>
      <c r="GWT308" s="1091"/>
      <c r="GWU308" s="1091"/>
      <c r="GWV308" s="1091"/>
      <c r="GWW308" s="1091"/>
      <c r="GWX308" s="1091"/>
      <c r="GWY308" s="1091"/>
      <c r="GWZ308" s="1091"/>
      <c r="GXA308" s="1091"/>
      <c r="GXB308" s="1091"/>
      <c r="GXC308" s="1091"/>
      <c r="GXD308" s="1091"/>
      <c r="GXE308" s="1091"/>
      <c r="GXF308" s="1091"/>
      <c r="GXG308" s="1091"/>
      <c r="GXH308" s="1091"/>
      <c r="GXI308" s="1091"/>
      <c r="GXJ308" s="1091"/>
      <c r="GXK308" s="1091"/>
      <c r="GXL308" s="1091"/>
      <c r="GXM308" s="1091"/>
      <c r="GXN308" s="1091"/>
      <c r="GXO308" s="1091"/>
      <c r="GXP308" s="1091"/>
      <c r="GXQ308" s="1091"/>
      <c r="GXR308" s="1091"/>
      <c r="GXS308" s="1091"/>
      <c r="GXT308" s="1091"/>
      <c r="GXU308" s="1091"/>
      <c r="GXV308" s="1091"/>
      <c r="GXW308" s="1091"/>
      <c r="GXX308" s="1091"/>
      <c r="GXY308" s="1091"/>
      <c r="GXZ308" s="1091"/>
      <c r="GYA308" s="1091"/>
      <c r="GYB308" s="1091"/>
      <c r="GYC308" s="1091"/>
      <c r="GYD308" s="1091"/>
      <c r="GYE308" s="1091"/>
      <c r="GYF308" s="1091"/>
      <c r="GYG308" s="1091"/>
      <c r="GYH308" s="1091"/>
      <c r="GYI308" s="1091"/>
      <c r="GYJ308" s="1091"/>
      <c r="GYK308" s="1091"/>
      <c r="GYL308" s="1091"/>
      <c r="GYM308" s="1091"/>
      <c r="GYN308" s="1091"/>
      <c r="GYO308" s="1091"/>
      <c r="GYP308" s="1091"/>
      <c r="GYQ308" s="1091"/>
      <c r="GYR308" s="1091"/>
      <c r="GYS308" s="1091"/>
      <c r="GYT308" s="1091"/>
      <c r="GYU308" s="1091"/>
      <c r="GYV308" s="1091"/>
      <c r="GYW308" s="1091"/>
      <c r="GYX308" s="1091"/>
      <c r="GYY308" s="1091"/>
      <c r="GYZ308" s="1091"/>
      <c r="GZA308" s="1091"/>
      <c r="GZB308" s="1091"/>
      <c r="GZC308" s="1091"/>
      <c r="GZD308" s="1091"/>
      <c r="GZE308" s="1091"/>
      <c r="GZF308" s="1091"/>
      <c r="GZG308" s="1091"/>
      <c r="GZH308" s="1091"/>
      <c r="GZI308" s="1091"/>
      <c r="GZJ308" s="1091"/>
      <c r="GZK308" s="1091"/>
      <c r="GZL308" s="1091"/>
      <c r="GZM308" s="1091"/>
      <c r="GZN308" s="1091"/>
      <c r="GZO308" s="1091"/>
      <c r="GZP308" s="1091"/>
      <c r="GZQ308" s="1091"/>
      <c r="GZR308" s="1091"/>
      <c r="GZS308" s="1091"/>
      <c r="GZT308" s="1091"/>
      <c r="GZU308" s="1091"/>
      <c r="GZV308" s="1091"/>
      <c r="GZW308" s="1091"/>
      <c r="GZX308" s="1091"/>
      <c r="GZY308" s="1091"/>
      <c r="GZZ308" s="1091"/>
      <c r="HAA308" s="1091"/>
      <c r="HAB308" s="1091"/>
      <c r="HAC308" s="1091"/>
      <c r="HAD308" s="1091"/>
      <c r="HAE308" s="1091"/>
      <c r="HAF308" s="1091"/>
      <c r="HAG308" s="1091"/>
      <c r="HAH308" s="1091"/>
      <c r="HAI308" s="1091"/>
      <c r="HAJ308" s="1091"/>
      <c r="HAK308" s="1091"/>
      <c r="HAL308" s="1091"/>
      <c r="HAM308" s="1091"/>
      <c r="HAN308" s="1091"/>
      <c r="HAO308" s="1091"/>
      <c r="HAP308" s="1091"/>
      <c r="HAQ308" s="1091"/>
      <c r="HAR308" s="1091"/>
      <c r="HAS308" s="1091"/>
      <c r="HAT308" s="1091"/>
      <c r="HAU308" s="1091"/>
      <c r="HAV308" s="1091"/>
      <c r="HAW308" s="1091"/>
      <c r="HAX308" s="1091"/>
      <c r="HAY308" s="1091"/>
      <c r="HAZ308" s="1091"/>
      <c r="HBA308" s="1091"/>
      <c r="HBB308" s="1091"/>
      <c r="HBC308" s="1091"/>
      <c r="HBD308" s="1091"/>
      <c r="HBE308" s="1091"/>
      <c r="HBF308" s="1091"/>
      <c r="HBG308" s="1091"/>
      <c r="HBH308" s="1091"/>
      <c r="HBI308" s="1091"/>
      <c r="HBJ308" s="1091"/>
      <c r="HBK308" s="1091"/>
      <c r="HBL308" s="1091"/>
      <c r="HBM308" s="1091"/>
      <c r="HBN308" s="1091"/>
      <c r="HBO308" s="1091"/>
      <c r="HBP308" s="1091"/>
      <c r="HBQ308" s="1091"/>
      <c r="HBR308" s="1091"/>
      <c r="HBS308" s="1091"/>
      <c r="HBT308" s="1091"/>
      <c r="HBU308" s="1091"/>
      <c r="HBV308" s="1091"/>
      <c r="HBW308" s="1091"/>
      <c r="HBX308" s="1091"/>
      <c r="HBY308" s="1091"/>
      <c r="HBZ308" s="1091"/>
      <c r="HCA308" s="1091"/>
      <c r="HCB308" s="1091"/>
      <c r="HCC308" s="1091"/>
      <c r="HCD308" s="1091"/>
      <c r="HCE308" s="1091"/>
      <c r="HCF308" s="1091"/>
      <c r="HCG308" s="1091"/>
      <c r="HCH308" s="1091"/>
      <c r="HCI308" s="1091"/>
      <c r="HCJ308" s="1091"/>
      <c r="HCK308" s="1091"/>
      <c r="HCL308" s="1091"/>
      <c r="HCM308" s="1091"/>
      <c r="HCN308" s="1091"/>
      <c r="HCO308" s="1091"/>
      <c r="HCP308" s="1091"/>
      <c r="HCQ308" s="1091"/>
      <c r="HCR308" s="1091"/>
      <c r="HCS308" s="1091"/>
      <c r="HCT308" s="1091"/>
      <c r="HCU308" s="1091"/>
      <c r="HCV308" s="1091"/>
      <c r="HCW308" s="1091"/>
      <c r="HCX308" s="1091"/>
      <c r="HCY308" s="1091"/>
      <c r="HCZ308" s="1091"/>
      <c r="HDA308" s="1091"/>
      <c r="HDB308" s="1091"/>
      <c r="HDC308" s="1091"/>
      <c r="HDD308" s="1091"/>
      <c r="HDE308" s="1091"/>
      <c r="HDF308" s="1091"/>
      <c r="HDG308" s="1091"/>
      <c r="HDH308" s="1091"/>
      <c r="HDI308" s="1091"/>
      <c r="HDJ308" s="1091"/>
      <c r="HDK308" s="1091"/>
      <c r="HDL308" s="1091"/>
      <c r="HDM308" s="1091"/>
      <c r="HDN308" s="1091"/>
      <c r="HDO308" s="1091"/>
      <c r="HDP308" s="1091"/>
      <c r="HDQ308" s="1091"/>
      <c r="HDR308" s="1091"/>
      <c r="HDS308" s="1091"/>
      <c r="HDT308" s="1091"/>
      <c r="HDU308" s="1091"/>
      <c r="HDV308" s="1091"/>
      <c r="HDW308" s="1091"/>
      <c r="HDX308" s="1091"/>
      <c r="HDY308" s="1091"/>
      <c r="HDZ308" s="1091"/>
      <c r="HEA308" s="1091"/>
      <c r="HEB308" s="1091"/>
      <c r="HEC308" s="1091"/>
      <c r="HED308" s="1091"/>
      <c r="HEE308" s="1091"/>
      <c r="HEF308" s="1091"/>
      <c r="HEG308" s="1091"/>
      <c r="HEH308" s="1091"/>
      <c r="HEI308" s="1091"/>
      <c r="HEJ308" s="1091"/>
      <c r="HEK308" s="1091"/>
      <c r="HEL308" s="1091"/>
      <c r="HEM308" s="1091"/>
      <c r="HEN308" s="1091"/>
      <c r="HEO308" s="1091"/>
      <c r="HEP308" s="1091"/>
      <c r="HEQ308" s="1091"/>
      <c r="HER308" s="1091"/>
      <c r="HES308" s="1091"/>
      <c r="HET308" s="1091"/>
      <c r="HEU308" s="1091"/>
      <c r="HEV308" s="1091"/>
      <c r="HEW308" s="1091"/>
      <c r="HEX308" s="1091"/>
      <c r="HEY308" s="1091"/>
      <c r="HEZ308" s="1091"/>
      <c r="HFA308" s="1091"/>
      <c r="HFB308" s="1091"/>
      <c r="HFC308" s="1091"/>
      <c r="HFD308" s="1091"/>
      <c r="HFE308" s="1091"/>
      <c r="HFF308" s="1091"/>
      <c r="HFG308" s="1091"/>
      <c r="HFH308" s="1091"/>
      <c r="HFI308" s="1091"/>
      <c r="HFJ308" s="1091"/>
      <c r="HFK308" s="1091"/>
      <c r="HFL308" s="1091"/>
      <c r="HFM308" s="1091"/>
      <c r="HFN308" s="1091"/>
      <c r="HFO308" s="1091"/>
      <c r="HFP308" s="1091"/>
      <c r="HFQ308" s="1091"/>
      <c r="HFR308" s="1091"/>
      <c r="HFS308" s="1091"/>
      <c r="HFT308" s="1091"/>
      <c r="HFU308" s="1091"/>
      <c r="HFV308" s="1091"/>
      <c r="HFW308" s="1091"/>
      <c r="HFX308" s="1091"/>
      <c r="HFY308" s="1091"/>
      <c r="HFZ308" s="1091"/>
      <c r="HGA308" s="1091"/>
      <c r="HGB308" s="1091"/>
      <c r="HGC308" s="1091"/>
      <c r="HGD308" s="1091"/>
      <c r="HGE308" s="1091"/>
      <c r="HGF308" s="1091"/>
      <c r="HGG308" s="1091"/>
      <c r="HGH308" s="1091"/>
      <c r="HGI308" s="1091"/>
      <c r="HGJ308" s="1091"/>
      <c r="HGK308" s="1091"/>
      <c r="HGL308" s="1091"/>
      <c r="HGM308" s="1091"/>
      <c r="HGN308" s="1091"/>
      <c r="HGO308" s="1091"/>
      <c r="HGP308" s="1091"/>
      <c r="HGQ308" s="1091"/>
      <c r="HGR308" s="1091"/>
      <c r="HGS308" s="1091"/>
      <c r="HGT308" s="1091"/>
      <c r="HGU308" s="1091"/>
      <c r="HGV308" s="1091"/>
      <c r="HGW308" s="1091"/>
      <c r="HGX308" s="1091"/>
      <c r="HGY308" s="1091"/>
      <c r="HGZ308" s="1091"/>
      <c r="HHA308" s="1091"/>
      <c r="HHB308" s="1091"/>
      <c r="HHC308" s="1091"/>
      <c r="HHD308" s="1091"/>
      <c r="HHE308" s="1091"/>
      <c r="HHF308" s="1091"/>
      <c r="HHG308" s="1091"/>
      <c r="HHH308" s="1091"/>
      <c r="HHI308" s="1091"/>
      <c r="HHJ308" s="1091"/>
      <c r="HHK308" s="1091"/>
      <c r="HHL308" s="1091"/>
      <c r="HHM308" s="1091"/>
      <c r="HHN308" s="1091"/>
      <c r="HHO308" s="1091"/>
      <c r="HHP308" s="1091"/>
      <c r="HHQ308" s="1091"/>
      <c r="HHR308" s="1091"/>
      <c r="HHS308" s="1091"/>
      <c r="HHT308" s="1091"/>
      <c r="HHU308" s="1091"/>
      <c r="HHV308" s="1091"/>
      <c r="HHW308" s="1091"/>
      <c r="HHX308" s="1091"/>
      <c r="HHY308" s="1091"/>
      <c r="HHZ308" s="1091"/>
      <c r="HIA308" s="1091"/>
      <c r="HIB308" s="1091"/>
      <c r="HIC308" s="1091"/>
      <c r="HID308" s="1091"/>
      <c r="HIE308" s="1091"/>
      <c r="HIF308" s="1091"/>
      <c r="HIG308" s="1091"/>
      <c r="HIH308" s="1091"/>
      <c r="HII308" s="1091"/>
      <c r="HIJ308" s="1091"/>
      <c r="HIK308" s="1091"/>
      <c r="HIL308" s="1091"/>
      <c r="HIM308" s="1091"/>
      <c r="HIN308" s="1091"/>
      <c r="HIO308" s="1091"/>
      <c r="HIP308" s="1091"/>
      <c r="HIQ308" s="1091"/>
      <c r="HIR308" s="1091"/>
      <c r="HIS308" s="1091"/>
      <c r="HIT308" s="1091"/>
      <c r="HIU308" s="1091"/>
      <c r="HIV308" s="1091"/>
      <c r="HIW308" s="1091"/>
      <c r="HIX308" s="1091"/>
      <c r="HIY308" s="1091"/>
      <c r="HIZ308" s="1091"/>
      <c r="HJA308" s="1091"/>
      <c r="HJB308" s="1091"/>
      <c r="HJC308" s="1091"/>
      <c r="HJD308" s="1091"/>
      <c r="HJE308" s="1091"/>
      <c r="HJF308" s="1091"/>
      <c r="HJG308" s="1091"/>
      <c r="HJH308" s="1091"/>
      <c r="HJI308" s="1091"/>
      <c r="HJJ308" s="1091"/>
      <c r="HJK308" s="1091"/>
      <c r="HJL308" s="1091"/>
      <c r="HJM308" s="1091"/>
      <c r="HJN308" s="1091"/>
      <c r="HJO308" s="1091"/>
      <c r="HJP308" s="1091"/>
      <c r="HJQ308" s="1091"/>
      <c r="HJR308" s="1091"/>
      <c r="HJS308" s="1091"/>
      <c r="HJT308" s="1091"/>
      <c r="HJU308" s="1091"/>
      <c r="HJV308" s="1091"/>
      <c r="HJW308" s="1091"/>
      <c r="HJX308" s="1091"/>
      <c r="HJY308" s="1091"/>
      <c r="HJZ308" s="1091"/>
      <c r="HKA308" s="1091"/>
      <c r="HKB308" s="1091"/>
      <c r="HKC308" s="1091"/>
      <c r="HKD308" s="1091"/>
      <c r="HKE308" s="1091"/>
      <c r="HKF308" s="1091"/>
      <c r="HKG308" s="1091"/>
      <c r="HKH308" s="1091"/>
      <c r="HKI308" s="1091"/>
      <c r="HKJ308" s="1091"/>
      <c r="HKK308" s="1091"/>
      <c r="HKL308" s="1091"/>
      <c r="HKM308" s="1091"/>
      <c r="HKN308" s="1091"/>
      <c r="HKO308" s="1091"/>
      <c r="HKP308" s="1091"/>
      <c r="HKQ308" s="1091"/>
      <c r="HKR308" s="1091"/>
      <c r="HKS308" s="1091"/>
      <c r="HKT308" s="1091"/>
      <c r="HKU308" s="1091"/>
      <c r="HKV308" s="1091"/>
      <c r="HKW308" s="1091"/>
      <c r="HKX308" s="1091"/>
      <c r="HKY308" s="1091"/>
      <c r="HKZ308" s="1091"/>
      <c r="HLA308" s="1091"/>
      <c r="HLB308" s="1091"/>
      <c r="HLC308" s="1091"/>
      <c r="HLD308" s="1091"/>
      <c r="HLE308" s="1091"/>
      <c r="HLF308" s="1091"/>
      <c r="HLG308" s="1091"/>
      <c r="HLH308" s="1091"/>
      <c r="HLI308" s="1091"/>
      <c r="HLJ308" s="1091"/>
      <c r="HLK308" s="1091"/>
      <c r="HLL308" s="1091"/>
      <c r="HLM308" s="1091"/>
      <c r="HLN308" s="1091"/>
      <c r="HLO308" s="1091"/>
      <c r="HLP308" s="1091"/>
      <c r="HLQ308" s="1091"/>
      <c r="HLR308" s="1091"/>
      <c r="HLS308" s="1091"/>
      <c r="HLT308" s="1091"/>
      <c r="HLU308" s="1091"/>
      <c r="HLV308" s="1091"/>
      <c r="HLW308" s="1091"/>
      <c r="HLX308" s="1091"/>
      <c r="HLY308" s="1091"/>
      <c r="HLZ308" s="1091"/>
      <c r="HMA308" s="1091"/>
      <c r="HMB308" s="1091"/>
      <c r="HMC308" s="1091"/>
      <c r="HMD308" s="1091"/>
      <c r="HME308" s="1091"/>
      <c r="HMF308" s="1091"/>
      <c r="HMG308" s="1091"/>
      <c r="HMH308" s="1091"/>
      <c r="HMI308" s="1091"/>
      <c r="HMJ308" s="1091"/>
      <c r="HMK308" s="1091"/>
      <c r="HML308" s="1091"/>
      <c r="HMM308" s="1091"/>
      <c r="HMN308" s="1091"/>
      <c r="HMO308" s="1091"/>
      <c r="HMP308" s="1091"/>
      <c r="HMQ308" s="1091"/>
      <c r="HMR308" s="1091"/>
      <c r="HMS308" s="1091"/>
      <c r="HMT308" s="1091"/>
      <c r="HMU308" s="1091"/>
      <c r="HMV308" s="1091"/>
      <c r="HMW308" s="1091"/>
      <c r="HMX308" s="1091"/>
      <c r="HMY308" s="1091"/>
      <c r="HMZ308" s="1091"/>
      <c r="HNA308" s="1091"/>
      <c r="HNB308" s="1091"/>
      <c r="HNC308" s="1091"/>
      <c r="HND308" s="1091"/>
      <c r="HNE308" s="1091"/>
      <c r="HNF308" s="1091"/>
      <c r="HNG308" s="1091"/>
      <c r="HNH308" s="1091"/>
      <c r="HNI308" s="1091"/>
      <c r="HNJ308" s="1091"/>
      <c r="HNK308" s="1091"/>
      <c r="HNL308" s="1091"/>
      <c r="HNM308" s="1091"/>
      <c r="HNN308" s="1091"/>
      <c r="HNO308" s="1091"/>
      <c r="HNP308" s="1091"/>
      <c r="HNQ308" s="1091"/>
      <c r="HNR308" s="1091"/>
      <c r="HNS308" s="1091"/>
      <c r="HNT308" s="1091"/>
      <c r="HNU308" s="1091"/>
      <c r="HNV308" s="1091"/>
      <c r="HNW308" s="1091"/>
      <c r="HNX308" s="1091"/>
      <c r="HNY308" s="1091"/>
      <c r="HNZ308" s="1091"/>
      <c r="HOA308" s="1091"/>
      <c r="HOB308" s="1091"/>
      <c r="HOC308" s="1091"/>
      <c r="HOD308" s="1091"/>
      <c r="HOE308" s="1091"/>
      <c r="HOF308" s="1091"/>
      <c r="HOG308" s="1091"/>
      <c r="HOH308" s="1091"/>
      <c r="HOI308" s="1091"/>
      <c r="HOJ308" s="1091"/>
      <c r="HOK308" s="1091"/>
      <c r="HOL308" s="1091"/>
      <c r="HOM308" s="1091"/>
      <c r="HON308" s="1091"/>
      <c r="HOO308" s="1091"/>
      <c r="HOP308" s="1091"/>
      <c r="HOQ308" s="1091"/>
      <c r="HOR308" s="1091"/>
      <c r="HOS308" s="1091"/>
      <c r="HOT308" s="1091"/>
      <c r="HOU308" s="1091"/>
      <c r="HOV308" s="1091"/>
      <c r="HOW308" s="1091"/>
      <c r="HOX308" s="1091"/>
      <c r="HOY308" s="1091"/>
      <c r="HOZ308" s="1091"/>
      <c r="HPA308" s="1091"/>
      <c r="HPB308" s="1091"/>
      <c r="HPC308" s="1091"/>
      <c r="HPD308" s="1091"/>
      <c r="HPE308" s="1091"/>
      <c r="HPF308" s="1091"/>
      <c r="HPG308" s="1091"/>
      <c r="HPH308" s="1091"/>
      <c r="HPI308" s="1091"/>
      <c r="HPJ308" s="1091"/>
      <c r="HPK308" s="1091"/>
      <c r="HPL308" s="1091"/>
      <c r="HPM308" s="1091"/>
      <c r="HPN308" s="1091"/>
      <c r="HPO308" s="1091"/>
      <c r="HPP308" s="1091"/>
      <c r="HPQ308" s="1091"/>
      <c r="HPR308" s="1091"/>
      <c r="HPS308" s="1091"/>
      <c r="HPT308" s="1091"/>
      <c r="HPU308" s="1091"/>
      <c r="HPV308" s="1091"/>
      <c r="HPW308" s="1091"/>
      <c r="HPX308" s="1091"/>
      <c r="HPY308" s="1091"/>
      <c r="HPZ308" s="1091"/>
      <c r="HQA308" s="1091"/>
      <c r="HQB308" s="1091"/>
      <c r="HQC308" s="1091"/>
      <c r="HQD308" s="1091"/>
      <c r="HQE308" s="1091"/>
      <c r="HQF308" s="1091"/>
      <c r="HQG308" s="1091"/>
      <c r="HQH308" s="1091"/>
      <c r="HQI308" s="1091"/>
      <c r="HQJ308" s="1091"/>
      <c r="HQK308" s="1091"/>
      <c r="HQL308" s="1091"/>
      <c r="HQM308" s="1091"/>
      <c r="HQN308" s="1091"/>
      <c r="HQO308" s="1091"/>
      <c r="HQP308" s="1091"/>
      <c r="HQQ308" s="1091"/>
      <c r="HQR308" s="1091"/>
      <c r="HQS308" s="1091"/>
      <c r="HQT308" s="1091"/>
      <c r="HQU308" s="1091"/>
      <c r="HQV308" s="1091"/>
      <c r="HQW308" s="1091"/>
      <c r="HQX308" s="1091"/>
      <c r="HQY308" s="1091"/>
      <c r="HQZ308" s="1091"/>
      <c r="HRA308" s="1091"/>
      <c r="HRB308" s="1091"/>
      <c r="HRC308" s="1091"/>
      <c r="HRD308" s="1091"/>
      <c r="HRE308" s="1091"/>
      <c r="HRF308" s="1091"/>
      <c r="HRG308" s="1091"/>
      <c r="HRH308" s="1091"/>
      <c r="HRI308" s="1091"/>
      <c r="HRJ308" s="1091"/>
      <c r="HRK308" s="1091"/>
      <c r="HRL308" s="1091"/>
      <c r="HRM308" s="1091"/>
      <c r="HRN308" s="1091"/>
      <c r="HRO308" s="1091"/>
      <c r="HRP308" s="1091"/>
      <c r="HRQ308" s="1091"/>
      <c r="HRR308" s="1091"/>
      <c r="HRS308" s="1091"/>
      <c r="HRT308" s="1091"/>
      <c r="HRU308" s="1091"/>
      <c r="HRV308" s="1091"/>
      <c r="HRW308" s="1091"/>
      <c r="HRX308" s="1091"/>
      <c r="HRY308" s="1091"/>
      <c r="HRZ308" s="1091"/>
      <c r="HSA308" s="1091"/>
      <c r="HSB308" s="1091"/>
      <c r="HSC308" s="1091"/>
      <c r="HSD308" s="1091"/>
      <c r="HSE308" s="1091"/>
      <c r="HSF308" s="1091"/>
      <c r="HSG308" s="1091"/>
      <c r="HSH308" s="1091"/>
      <c r="HSI308" s="1091"/>
      <c r="HSJ308" s="1091"/>
      <c r="HSK308" s="1091"/>
      <c r="HSL308" s="1091"/>
      <c r="HSM308" s="1091"/>
      <c r="HSN308" s="1091"/>
      <c r="HSO308" s="1091"/>
      <c r="HSP308" s="1091"/>
      <c r="HSQ308" s="1091"/>
      <c r="HSR308" s="1091"/>
      <c r="HSS308" s="1091"/>
      <c r="HST308" s="1091"/>
      <c r="HSU308" s="1091"/>
      <c r="HSV308" s="1091"/>
      <c r="HSW308" s="1091"/>
      <c r="HSX308" s="1091"/>
      <c r="HSY308" s="1091"/>
      <c r="HSZ308" s="1091"/>
      <c r="HTA308" s="1091"/>
      <c r="HTB308" s="1091"/>
      <c r="HTC308" s="1091"/>
      <c r="HTD308" s="1091"/>
      <c r="HTE308" s="1091"/>
      <c r="HTF308" s="1091"/>
      <c r="HTG308" s="1091"/>
      <c r="HTH308" s="1091"/>
      <c r="HTI308" s="1091"/>
      <c r="HTJ308" s="1091"/>
      <c r="HTK308" s="1091"/>
      <c r="HTL308" s="1091"/>
      <c r="HTM308" s="1091"/>
      <c r="HTN308" s="1091"/>
      <c r="HTO308" s="1091"/>
      <c r="HTP308" s="1091"/>
      <c r="HTQ308" s="1091"/>
      <c r="HTR308" s="1091"/>
      <c r="HTS308" s="1091"/>
      <c r="HTT308" s="1091"/>
      <c r="HTU308" s="1091"/>
      <c r="HTV308" s="1091"/>
      <c r="HTW308" s="1091"/>
      <c r="HTX308" s="1091"/>
      <c r="HTY308" s="1091"/>
      <c r="HTZ308" s="1091"/>
      <c r="HUA308" s="1091"/>
      <c r="HUB308" s="1091"/>
      <c r="HUC308" s="1091"/>
      <c r="HUD308" s="1091"/>
      <c r="HUE308" s="1091"/>
      <c r="HUF308" s="1091"/>
      <c r="HUG308" s="1091"/>
      <c r="HUH308" s="1091"/>
      <c r="HUI308" s="1091"/>
      <c r="HUJ308" s="1091"/>
      <c r="HUK308" s="1091"/>
      <c r="HUL308" s="1091"/>
      <c r="HUM308" s="1091"/>
      <c r="HUN308" s="1091"/>
      <c r="HUO308" s="1091"/>
      <c r="HUP308" s="1091"/>
      <c r="HUQ308" s="1091"/>
      <c r="HUR308" s="1091"/>
      <c r="HUS308" s="1091"/>
      <c r="HUT308" s="1091"/>
      <c r="HUU308" s="1091"/>
      <c r="HUV308" s="1091"/>
      <c r="HUW308" s="1091"/>
      <c r="HUX308" s="1091"/>
      <c r="HUY308" s="1091"/>
      <c r="HUZ308" s="1091"/>
      <c r="HVA308" s="1091"/>
      <c r="HVB308" s="1091"/>
      <c r="HVC308" s="1091"/>
      <c r="HVD308" s="1091"/>
      <c r="HVE308" s="1091"/>
      <c r="HVF308" s="1091"/>
      <c r="HVG308" s="1091"/>
      <c r="HVH308" s="1091"/>
      <c r="HVI308" s="1091"/>
      <c r="HVJ308" s="1091"/>
      <c r="HVK308" s="1091"/>
      <c r="HVL308" s="1091"/>
      <c r="HVM308" s="1091"/>
      <c r="HVN308" s="1091"/>
      <c r="HVO308" s="1091"/>
      <c r="HVP308" s="1091"/>
      <c r="HVQ308" s="1091"/>
      <c r="HVR308" s="1091"/>
      <c r="HVS308" s="1091"/>
      <c r="HVT308" s="1091"/>
      <c r="HVU308" s="1091"/>
      <c r="HVV308" s="1091"/>
      <c r="HVW308" s="1091"/>
      <c r="HVX308" s="1091"/>
      <c r="HVY308" s="1091"/>
      <c r="HVZ308" s="1091"/>
      <c r="HWA308" s="1091"/>
      <c r="HWB308" s="1091"/>
      <c r="HWC308" s="1091"/>
      <c r="HWD308" s="1091"/>
      <c r="HWE308" s="1091"/>
      <c r="HWF308" s="1091"/>
      <c r="HWG308" s="1091"/>
      <c r="HWH308" s="1091"/>
      <c r="HWI308" s="1091"/>
      <c r="HWJ308" s="1091"/>
      <c r="HWK308" s="1091"/>
      <c r="HWL308" s="1091"/>
      <c r="HWM308" s="1091"/>
      <c r="HWN308" s="1091"/>
      <c r="HWO308" s="1091"/>
      <c r="HWP308" s="1091"/>
      <c r="HWQ308" s="1091"/>
      <c r="HWR308" s="1091"/>
      <c r="HWS308" s="1091"/>
      <c r="HWT308" s="1091"/>
      <c r="HWU308" s="1091"/>
      <c r="HWV308" s="1091"/>
      <c r="HWW308" s="1091"/>
      <c r="HWX308" s="1091"/>
      <c r="HWY308" s="1091"/>
      <c r="HWZ308" s="1091"/>
      <c r="HXA308" s="1091"/>
      <c r="HXB308" s="1091"/>
      <c r="HXC308" s="1091"/>
      <c r="HXD308" s="1091"/>
      <c r="HXE308" s="1091"/>
      <c r="HXF308" s="1091"/>
      <c r="HXG308" s="1091"/>
      <c r="HXH308" s="1091"/>
      <c r="HXI308" s="1091"/>
      <c r="HXJ308" s="1091"/>
      <c r="HXK308" s="1091"/>
      <c r="HXL308" s="1091"/>
      <c r="HXM308" s="1091"/>
      <c r="HXN308" s="1091"/>
      <c r="HXO308" s="1091"/>
      <c r="HXP308" s="1091"/>
      <c r="HXQ308" s="1091"/>
      <c r="HXR308" s="1091"/>
      <c r="HXS308" s="1091"/>
      <c r="HXT308" s="1091"/>
      <c r="HXU308" s="1091"/>
      <c r="HXV308" s="1091"/>
      <c r="HXW308" s="1091"/>
      <c r="HXX308" s="1091"/>
      <c r="HXY308" s="1091"/>
      <c r="HXZ308" s="1091"/>
      <c r="HYA308" s="1091"/>
      <c r="HYB308" s="1091"/>
      <c r="HYC308" s="1091"/>
      <c r="HYD308" s="1091"/>
      <c r="HYE308" s="1091"/>
      <c r="HYF308" s="1091"/>
      <c r="HYG308" s="1091"/>
      <c r="HYH308" s="1091"/>
      <c r="HYI308" s="1091"/>
      <c r="HYJ308" s="1091"/>
      <c r="HYK308" s="1091"/>
      <c r="HYL308" s="1091"/>
      <c r="HYM308" s="1091"/>
      <c r="HYN308" s="1091"/>
      <c r="HYO308" s="1091"/>
      <c r="HYP308" s="1091"/>
      <c r="HYQ308" s="1091"/>
      <c r="HYR308" s="1091"/>
      <c r="HYS308" s="1091"/>
      <c r="HYT308" s="1091"/>
      <c r="HYU308" s="1091"/>
      <c r="HYV308" s="1091"/>
      <c r="HYW308" s="1091"/>
      <c r="HYX308" s="1091"/>
      <c r="HYY308" s="1091"/>
      <c r="HYZ308" s="1091"/>
      <c r="HZA308" s="1091"/>
      <c r="HZB308" s="1091"/>
      <c r="HZC308" s="1091"/>
      <c r="HZD308" s="1091"/>
      <c r="HZE308" s="1091"/>
      <c r="HZF308" s="1091"/>
      <c r="HZG308" s="1091"/>
      <c r="HZH308" s="1091"/>
      <c r="HZI308" s="1091"/>
      <c r="HZJ308" s="1091"/>
      <c r="HZK308" s="1091"/>
      <c r="HZL308" s="1091"/>
      <c r="HZM308" s="1091"/>
      <c r="HZN308" s="1091"/>
      <c r="HZO308" s="1091"/>
      <c r="HZP308" s="1091"/>
      <c r="HZQ308" s="1091"/>
      <c r="HZR308" s="1091"/>
      <c r="HZS308" s="1091"/>
      <c r="HZT308" s="1091"/>
      <c r="HZU308" s="1091"/>
      <c r="HZV308" s="1091"/>
      <c r="HZW308" s="1091"/>
      <c r="HZX308" s="1091"/>
      <c r="HZY308" s="1091"/>
      <c r="HZZ308" s="1091"/>
      <c r="IAA308" s="1091"/>
      <c r="IAB308" s="1091"/>
      <c r="IAC308" s="1091"/>
      <c r="IAD308" s="1091"/>
      <c r="IAE308" s="1091"/>
      <c r="IAF308" s="1091"/>
      <c r="IAG308" s="1091"/>
      <c r="IAH308" s="1091"/>
      <c r="IAI308" s="1091"/>
      <c r="IAJ308" s="1091"/>
      <c r="IAK308" s="1091"/>
      <c r="IAL308" s="1091"/>
      <c r="IAM308" s="1091"/>
      <c r="IAN308" s="1091"/>
      <c r="IAO308" s="1091"/>
      <c r="IAP308" s="1091"/>
      <c r="IAQ308" s="1091"/>
      <c r="IAR308" s="1091"/>
      <c r="IAS308" s="1091"/>
      <c r="IAT308" s="1091"/>
      <c r="IAU308" s="1091"/>
      <c r="IAV308" s="1091"/>
      <c r="IAW308" s="1091"/>
      <c r="IAX308" s="1091"/>
      <c r="IAY308" s="1091"/>
      <c r="IAZ308" s="1091"/>
      <c r="IBA308" s="1091"/>
      <c r="IBB308" s="1091"/>
      <c r="IBC308" s="1091"/>
      <c r="IBD308" s="1091"/>
      <c r="IBE308" s="1091"/>
      <c r="IBF308" s="1091"/>
      <c r="IBG308" s="1091"/>
      <c r="IBH308" s="1091"/>
      <c r="IBI308" s="1091"/>
      <c r="IBJ308" s="1091"/>
      <c r="IBK308" s="1091"/>
      <c r="IBL308" s="1091"/>
      <c r="IBM308" s="1091"/>
      <c r="IBN308" s="1091"/>
      <c r="IBO308" s="1091"/>
      <c r="IBP308" s="1091"/>
      <c r="IBQ308" s="1091"/>
      <c r="IBR308" s="1091"/>
      <c r="IBS308" s="1091"/>
      <c r="IBT308" s="1091"/>
      <c r="IBU308" s="1091"/>
      <c r="IBV308" s="1091"/>
      <c r="IBW308" s="1091"/>
      <c r="IBX308" s="1091"/>
      <c r="IBY308" s="1091"/>
      <c r="IBZ308" s="1091"/>
      <c r="ICA308" s="1091"/>
      <c r="ICB308" s="1091"/>
      <c r="ICC308" s="1091"/>
      <c r="ICD308" s="1091"/>
      <c r="ICE308" s="1091"/>
      <c r="ICF308" s="1091"/>
      <c r="ICG308" s="1091"/>
      <c r="ICH308" s="1091"/>
      <c r="ICI308" s="1091"/>
      <c r="ICJ308" s="1091"/>
      <c r="ICK308" s="1091"/>
      <c r="ICL308" s="1091"/>
      <c r="ICM308" s="1091"/>
      <c r="ICN308" s="1091"/>
      <c r="ICO308" s="1091"/>
      <c r="ICP308" s="1091"/>
      <c r="ICQ308" s="1091"/>
      <c r="ICR308" s="1091"/>
      <c r="ICS308" s="1091"/>
      <c r="ICT308" s="1091"/>
      <c r="ICU308" s="1091"/>
      <c r="ICV308" s="1091"/>
      <c r="ICW308" s="1091"/>
      <c r="ICX308" s="1091"/>
      <c r="ICY308" s="1091"/>
      <c r="ICZ308" s="1091"/>
      <c r="IDA308" s="1091"/>
      <c r="IDB308" s="1091"/>
      <c r="IDC308" s="1091"/>
      <c r="IDD308" s="1091"/>
      <c r="IDE308" s="1091"/>
      <c r="IDF308" s="1091"/>
      <c r="IDG308" s="1091"/>
      <c r="IDH308" s="1091"/>
      <c r="IDI308" s="1091"/>
      <c r="IDJ308" s="1091"/>
      <c r="IDK308" s="1091"/>
      <c r="IDL308" s="1091"/>
      <c r="IDM308" s="1091"/>
      <c r="IDN308" s="1091"/>
      <c r="IDO308" s="1091"/>
      <c r="IDP308" s="1091"/>
      <c r="IDQ308" s="1091"/>
      <c r="IDR308" s="1091"/>
      <c r="IDS308" s="1091"/>
      <c r="IDT308" s="1091"/>
      <c r="IDU308" s="1091"/>
      <c r="IDV308" s="1091"/>
      <c r="IDW308" s="1091"/>
      <c r="IDX308" s="1091"/>
      <c r="IDY308" s="1091"/>
      <c r="IDZ308" s="1091"/>
      <c r="IEA308" s="1091"/>
      <c r="IEB308" s="1091"/>
      <c r="IEC308" s="1091"/>
      <c r="IED308" s="1091"/>
      <c r="IEE308" s="1091"/>
      <c r="IEF308" s="1091"/>
      <c r="IEG308" s="1091"/>
      <c r="IEH308" s="1091"/>
      <c r="IEI308" s="1091"/>
      <c r="IEJ308" s="1091"/>
      <c r="IEK308" s="1091"/>
      <c r="IEL308" s="1091"/>
      <c r="IEM308" s="1091"/>
      <c r="IEN308" s="1091"/>
      <c r="IEO308" s="1091"/>
      <c r="IEP308" s="1091"/>
      <c r="IEQ308" s="1091"/>
      <c r="IER308" s="1091"/>
      <c r="IES308" s="1091"/>
      <c r="IET308" s="1091"/>
      <c r="IEU308" s="1091"/>
      <c r="IEV308" s="1091"/>
      <c r="IEW308" s="1091"/>
      <c r="IEX308" s="1091"/>
      <c r="IEY308" s="1091"/>
      <c r="IEZ308" s="1091"/>
      <c r="IFA308" s="1091"/>
      <c r="IFB308" s="1091"/>
      <c r="IFC308" s="1091"/>
      <c r="IFD308" s="1091"/>
      <c r="IFE308" s="1091"/>
      <c r="IFF308" s="1091"/>
      <c r="IFG308" s="1091"/>
      <c r="IFH308" s="1091"/>
      <c r="IFI308" s="1091"/>
      <c r="IFJ308" s="1091"/>
      <c r="IFK308" s="1091"/>
      <c r="IFL308" s="1091"/>
      <c r="IFM308" s="1091"/>
      <c r="IFN308" s="1091"/>
      <c r="IFO308" s="1091"/>
      <c r="IFP308" s="1091"/>
      <c r="IFQ308" s="1091"/>
      <c r="IFR308" s="1091"/>
      <c r="IFS308" s="1091"/>
      <c r="IFT308" s="1091"/>
      <c r="IFU308" s="1091"/>
      <c r="IFV308" s="1091"/>
      <c r="IFW308" s="1091"/>
      <c r="IFX308" s="1091"/>
      <c r="IFY308" s="1091"/>
      <c r="IFZ308" s="1091"/>
      <c r="IGA308" s="1091"/>
      <c r="IGB308" s="1091"/>
      <c r="IGC308" s="1091"/>
      <c r="IGD308" s="1091"/>
      <c r="IGE308" s="1091"/>
      <c r="IGF308" s="1091"/>
      <c r="IGG308" s="1091"/>
      <c r="IGH308" s="1091"/>
      <c r="IGI308" s="1091"/>
      <c r="IGJ308" s="1091"/>
      <c r="IGK308" s="1091"/>
      <c r="IGL308" s="1091"/>
      <c r="IGM308" s="1091"/>
      <c r="IGN308" s="1091"/>
      <c r="IGO308" s="1091"/>
      <c r="IGP308" s="1091"/>
      <c r="IGQ308" s="1091"/>
      <c r="IGR308" s="1091"/>
      <c r="IGS308" s="1091"/>
      <c r="IGT308" s="1091"/>
      <c r="IGU308" s="1091"/>
      <c r="IGV308" s="1091"/>
      <c r="IGW308" s="1091"/>
      <c r="IGX308" s="1091"/>
      <c r="IGY308" s="1091"/>
      <c r="IGZ308" s="1091"/>
      <c r="IHA308" s="1091"/>
      <c r="IHB308" s="1091"/>
      <c r="IHC308" s="1091"/>
      <c r="IHD308" s="1091"/>
      <c r="IHE308" s="1091"/>
      <c r="IHF308" s="1091"/>
      <c r="IHG308" s="1091"/>
      <c r="IHH308" s="1091"/>
      <c r="IHI308" s="1091"/>
      <c r="IHJ308" s="1091"/>
      <c r="IHK308" s="1091"/>
      <c r="IHL308" s="1091"/>
      <c r="IHM308" s="1091"/>
      <c r="IHN308" s="1091"/>
      <c r="IHO308" s="1091"/>
      <c r="IHP308" s="1091"/>
      <c r="IHQ308" s="1091"/>
      <c r="IHR308" s="1091"/>
      <c r="IHS308" s="1091"/>
      <c r="IHT308" s="1091"/>
      <c r="IHU308" s="1091"/>
      <c r="IHV308" s="1091"/>
      <c r="IHW308" s="1091"/>
      <c r="IHX308" s="1091"/>
      <c r="IHY308" s="1091"/>
      <c r="IHZ308" s="1091"/>
      <c r="IIA308" s="1091"/>
      <c r="IIB308" s="1091"/>
      <c r="IIC308" s="1091"/>
      <c r="IID308" s="1091"/>
      <c r="IIE308" s="1091"/>
      <c r="IIF308" s="1091"/>
      <c r="IIG308" s="1091"/>
      <c r="IIH308" s="1091"/>
      <c r="III308" s="1091"/>
      <c r="IIJ308" s="1091"/>
      <c r="IIK308" s="1091"/>
      <c r="IIL308" s="1091"/>
      <c r="IIM308" s="1091"/>
      <c r="IIN308" s="1091"/>
      <c r="IIO308" s="1091"/>
      <c r="IIP308" s="1091"/>
      <c r="IIQ308" s="1091"/>
      <c r="IIR308" s="1091"/>
      <c r="IIS308" s="1091"/>
      <c r="IIT308" s="1091"/>
      <c r="IIU308" s="1091"/>
      <c r="IIV308" s="1091"/>
      <c r="IIW308" s="1091"/>
      <c r="IIX308" s="1091"/>
      <c r="IIY308" s="1091"/>
      <c r="IIZ308" s="1091"/>
      <c r="IJA308" s="1091"/>
      <c r="IJB308" s="1091"/>
      <c r="IJC308" s="1091"/>
      <c r="IJD308" s="1091"/>
      <c r="IJE308" s="1091"/>
      <c r="IJF308" s="1091"/>
      <c r="IJG308" s="1091"/>
      <c r="IJH308" s="1091"/>
      <c r="IJI308" s="1091"/>
      <c r="IJJ308" s="1091"/>
      <c r="IJK308" s="1091"/>
      <c r="IJL308" s="1091"/>
      <c r="IJM308" s="1091"/>
      <c r="IJN308" s="1091"/>
      <c r="IJO308" s="1091"/>
      <c r="IJP308" s="1091"/>
      <c r="IJQ308" s="1091"/>
      <c r="IJR308" s="1091"/>
      <c r="IJS308" s="1091"/>
      <c r="IJT308" s="1091"/>
      <c r="IJU308" s="1091"/>
      <c r="IJV308" s="1091"/>
      <c r="IJW308" s="1091"/>
      <c r="IJX308" s="1091"/>
      <c r="IJY308" s="1091"/>
      <c r="IJZ308" s="1091"/>
      <c r="IKA308" s="1091"/>
      <c r="IKB308" s="1091"/>
      <c r="IKC308" s="1091"/>
      <c r="IKD308" s="1091"/>
      <c r="IKE308" s="1091"/>
      <c r="IKF308" s="1091"/>
      <c r="IKG308" s="1091"/>
      <c r="IKH308" s="1091"/>
      <c r="IKI308" s="1091"/>
      <c r="IKJ308" s="1091"/>
      <c r="IKK308" s="1091"/>
      <c r="IKL308" s="1091"/>
      <c r="IKM308" s="1091"/>
      <c r="IKN308" s="1091"/>
      <c r="IKO308" s="1091"/>
      <c r="IKP308" s="1091"/>
      <c r="IKQ308" s="1091"/>
      <c r="IKR308" s="1091"/>
      <c r="IKS308" s="1091"/>
      <c r="IKT308" s="1091"/>
      <c r="IKU308" s="1091"/>
      <c r="IKV308" s="1091"/>
      <c r="IKW308" s="1091"/>
      <c r="IKX308" s="1091"/>
      <c r="IKY308" s="1091"/>
      <c r="IKZ308" s="1091"/>
      <c r="ILA308" s="1091"/>
      <c r="ILB308" s="1091"/>
      <c r="ILC308" s="1091"/>
      <c r="ILD308" s="1091"/>
      <c r="ILE308" s="1091"/>
      <c r="ILF308" s="1091"/>
      <c r="ILG308" s="1091"/>
      <c r="ILH308" s="1091"/>
      <c r="ILI308" s="1091"/>
      <c r="ILJ308" s="1091"/>
      <c r="ILK308" s="1091"/>
      <c r="ILL308" s="1091"/>
      <c r="ILM308" s="1091"/>
      <c r="ILN308" s="1091"/>
      <c r="ILO308" s="1091"/>
      <c r="ILP308" s="1091"/>
      <c r="ILQ308" s="1091"/>
      <c r="ILR308" s="1091"/>
      <c r="ILS308" s="1091"/>
      <c r="ILT308" s="1091"/>
      <c r="ILU308" s="1091"/>
      <c r="ILV308" s="1091"/>
      <c r="ILW308" s="1091"/>
      <c r="ILX308" s="1091"/>
      <c r="ILY308" s="1091"/>
      <c r="ILZ308" s="1091"/>
      <c r="IMA308" s="1091"/>
      <c r="IMB308" s="1091"/>
      <c r="IMC308" s="1091"/>
      <c r="IMD308" s="1091"/>
      <c r="IME308" s="1091"/>
      <c r="IMF308" s="1091"/>
      <c r="IMG308" s="1091"/>
      <c r="IMH308" s="1091"/>
      <c r="IMI308" s="1091"/>
      <c r="IMJ308" s="1091"/>
      <c r="IMK308" s="1091"/>
      <c r="IML308" s="1091"/>
      <c r="IMM308" s="1091"/>
      <c r="IMN308" s="1091"/>
      <c r="IMO308" s="1091"/>
      <c r="IMP308" s="1091"/>
      <c r="IMQ308" s="1091"/>
      <c r="IMR308" s="1091"/>
      <c r="IMS308" s="1091"/>
      <c r="IMT308" s="1091"/>
      <c r="IMU308" s="1091"/>
      <c r="IMV308" s="1091"/>
      <c r="IMW308" s="1091"/>
      <c r="IMX308" s="1091"/>
      <c r="IMY308" s="1091"/>
      <c r="IMZ308" s="1091"/>
      <c r="INA308" s="1091"/>
      <c r="INB308" s="1091"/>
      <c r="INC308" s="1091"/>
      <c r="IND308" s="1091"/>
      <c r="INE308" s="1091"/>
      <c r="INF308" s="1091"/>
      <c r="ING308" s="1091"/>
      <c r="INH308" s="1091"/>
      <c r="INI308" s="1091"/>
      <c r="INJ308" s="1091"/>
      <c r="INK308" s="1091"/>
      <c r="INL308" s="1091"/>
      <c r="INM308" s="1091"/>
      <c r="INN308" s="1091"/>
      <c r="INO308" s="1091"/>
      <c r="INP308" s="1091"/>
      <c r="INQ308" s="1091"/>
      <c r="INR308" s="1091"/>
      <c r="INS308" s="1091"/>
      <c r="INT308" s="1091"/>
      <c r="INU308" s="1091"/>
      <c r="INV308" s="1091"/>
      <c r="INW308" s="1091"/>
      <c r="INX308" s="1091"/>
      <c r="INY308" s="1091"/>
      <c r="INZ308" s="1091"/>
      <c r="IOA308" s="1091"/>
      <c r="IOB308" s="1091"/>
      <c r="IOC308" s="1091"/>
      <c r="IOD308" s="1091"/>
      <c r="IOE308" s="1091"/>
      <c r="IOF308" s="1091"/>
      <c r="IOG308" s="1091"/>
      <c r="IOH308" s="1091"/>
      <c r="IOI308" s="1091"/>
      <c r="IOJ308" s="1091"/>
      <c r="IOK308" s="1091"/>
      <c r="IOL308" s="1091"/>
      <c r="IOM308" s="1091"/>
      <c r="ION308" s="1091"/>
      <c r="IOO308" s="1091"/>
      <c r="IOP308" s="1091"/>
      <c r="IOQ308" s="1091"/>
      <c r="IOR308" s="1091"/>
      <c r="IOS308" s="1091"/>
      <c r="IOT308" s="1091"/>
      <c r="IOU308" s="1091"/>
      <c r="IOV308" s="1091"/>
      <c r="IOW308" s="1091"/>
      <c r="IOX308" s="1091"/>
      <c r="IOY308" s="1091"/>
      <c r="IOZ308" s="1091"/>
      <c r="IPA308" s="1091"/>
      <c r="IPB308" s="1091"/>
      <c r="IPC308" s="1091"/>
      <c r="IPD308" s="1091"/>
      <c r="IPE308" s="1091"/>
      <c r="IPF308" s="1091"/>
      <c r="IPG308" s="1091"/>
      <c r="IPH308" s="1091"/>
      <c r="IPI308" s="1091"/>
      <c r="IPJ308" s="1091"/>
      <c r="IPK308" s="1091"/>
      <c r="IPL308" s="1091"/>
      <c r="IPM308" s="1091"/>
      <c r="IPN308" s="1091"/>
      <c r="IPO308" s="1091"/>
      <c r="IPP308" s="1091"/>
      <c r="IPQ308" s="1091"/>
      <c r="IPR308" s="1091"/>
      <c r="IPS308" s="1091"/>
      <c r="IPT308" s="1091"/>
      <c r="IPU308" s="1091"/>
      <c r="IPV308" s="1091"/>
      <c r="IPW308" s="1091"/>
      <c r="IPX308" s="1091"/>
      <c r="IPY308" s="1091"/>
      <c r="IPZ308" s="1091"/>
      <c r="IQA308" s="1091"/>
      <c r="IQB308" s="1091"/>
      <c r="IQC308" s="1091"/>
      <c r="IQD308" s="1091"/>
      <c r="IQE308" s="1091"/>
      <c r="IQF308" s="1091"/>
      <c r="IQG308" s="1091"/>
      <c r="IQH308" s="1091"/>
      <c r="IQI308" s="1091"/>
      <c r="IQJ308" s="1091"/>
      <c r="IQK308" s="1091"/>
      <c r="IQL308" s="1091"/>
      <c r="IQM308" s="1091"/>
      <c r="IQN308" s="1091"/>
      <c r="IQO308" s="1091"/>
      <c r="IQP308" s="1091"/>
      <c r="IQQ308" s="1091"/>
      <c r="IQR308" s="1091"/>
      <c r="IQS308" s="1091"/>
      <c r="IQT308" s="1091"/>
      <c r="IQU308" s="1091"/>
      <c r="IQV308" s="1091"/>
      <c r="IQW308" s="1091"/>
      <c r="IQX308" s="1091"/>
      <c r="IQY308" s="1091"/>
      <c r="IQZ308" s="1091"/>
      <c r="IRA308" s="1091"/>
      <c r="IRB308" s="1091"/>
      <c r="IRC308" s="1091"/>
      <c r="IRD308" s="1091"/>
      <c r="IRE308" s="1091"/>
      <c r="IRF308" s="1091"/>
      <c r="IRG308" s="1091"/>
      <c r="IRH308" s="1091"/>
      <c r="IRI308" s="1091"/>
      <c r="IRJ308" s="1091"/>
      <c r="IRK308" s="1091"/>
      <c r="IRL308" s="1091"/>
      <c r="IRM308" s="1091"/>
      <c r="IRN308" s="1091"/>
      <c r="IRO308" s="1091"/>
      <c r="IRP308" s="1091"/>
      <c r="IRQ308" s="1091"/>
      <c r="IRR308" s="1091"/>
      <c r="IRS308" s="1091"/>
      <c r="IRT308" s="1091"/>
      <c r="IRU308" s="1091"/>
      <c r="IRV308" s="1091"/>
      <c r="IRW308" s="1091"/>
      <c r="IRX308" s="1091"/>
      <c r="IRY308" s="1091"/>
      <c r="IRZ308" s="1091"/>
      <c r="ISA308" s="1091"/>
      <c r="ISB308" s="1091"/>
      <c r="ISC308" s="1091"/>
      <c r="ISD308" s="1091"/>
      <c r="ISE308" s="1091"/>
      <c r="ISF308" s="1091"/>
      <c r="ISG308" s="1091"/>
      <c r="ISH308" s="1091"/>
      <c r="ISI308" s="1091"/>
      <c r="ISJ308" s="1091"/>
      <c r="ISK308" s="1091"/>
      <c r="ISL308" s="1091"/>
      <c r="ISM308" s="1091"/>
      <c r="ISN308" s="1091"/>
      <c r="ISO308" s="1091"/>
      <c r="ISP308" s="1091"/>
      <c r="ISQ308" s="1091"/>
      <c r="ISR308" s="1091"/>
      <c r="ISS308" s="1091"/>
      <c r="IST308" s="1091"/>
      <c r="ISU308" s="1091"/>
      <c r="ISV308" s="1091"/>
      <c r="ISW308" s="1091"/>
      <c r="ISX308" s="1091"/>
      <c r="ISY308" s="1091"/>
      <c r="ISZ308" s="1091"/>
      <c r="ITA308" s="1091"/>
      <c r="ITB308" s="1091"/>
      <c r="ITC308" s="1091"/>
      <c r="ITD308" s="1091"/>
      <c r="ITE308" s="1091"/>
      <c r="ITF308" s="1091"/>
      <c r="ITG308" s="1091"/>
      <c r="ITH308" s="1091"/>
      <c r="ITI308" s="1091"/>
      <c r="ITJ308" s="1091"/>
      <c r="ITK308" s="1091"/>
      <c r="ITL308" s="1091"/>
      <c r="ITM308" s="1091"/>
      <c r="ITN308" s="1091"/>
      <c r="ITO308" s="1091"/>
      <c r="ITP308" s="1091"/>
      <c r="ITQ308" s="1091"/>
      <c r="ITR308" s="1091"/>
      <c r="ITS308" s="1091"/>
      <c r="ITT308" s="1091"/>
      <c r="ITU308" s="1091"/>
      <c r="ITV308" s="1091"/>
      <c r="ITW308" s="1091"/>
      <c r="ITX308" s="1091"/>
      <c r="ITY308" s="1091"/>
      <c r="ITZ308" s="1091"/>
      <c r="IUA308" s="1091"/>
      <c r="IUB308" s="1091"/>
      <c r="IUC308" s="1091"/>
      <c r="IUD308" s="1091"/>
      <c r="IUE308" s="1091"/>
      <c r="IUF308" s="1091"/>
      <c r="IUG308" s="1091"/>
      <c r="IUH308" s="1091"/>
      <c r="IUI308" s="1091"/>
      <c r="IUJ308" s="1091"/>
      <c r="IUK308" s="1091"/>
      <c r="IUL308" s="1091"/>
      <c r="IUM308" s="1091"/>
      <c r="IUN308" s="1091"/>
      <c r="IUO308" s="1091"/>
      <c r="IUP308" s="1091"/>
      <c r="IUQ308" s="1091"/>
      <c r="IUR308" s="1091"/>
      <c r="IUS308" s="1091"/>
      <c r="IUT308" s="1091"/>
      <c r="IUU308" s="1091"/>
      <c r="IUV308" s="1091"/>
      <c r="IUW308" s="1091"/>
      <c r="IUX308" s="1091"/>
      <c r="IUY308" s="1091"/>
      <c r="IUZ308" s="1091"/>
      <c r="IVA308" s="1091"/>
      <c r="IVB308" s="1091"/>
      <c r="IVC308" s="1091"/>
      <c r="IVD308" s="1091"/>
      <c r="IVE308" s="1091"/>
      <c r="IVF308" s="1091"/>
      <c r="IVG308" s="1091"/>
      <c r="IVH308" s="1091"/>
      <c r="IVI308" s="1091"/>
      <c r="IVJ308" s="1091"/>
      <c r="IVK308" s="1091"/>
      <c r="IVL308" s="1091"/>
      <c r="IVM308" s="1091"/>
      <c r="IVN308" s="1091"/>
      <c r="IVO308" s="1091"/>
      <c r="IVP308" s="1091"/>
      <c r="IVQ308" s="1091"/>
      <c r="IVR308" s="1091"/>
      <c r="IVS308" s="1091"/>
      <c r="IVT308" s="1091"/>
      <c r="IVU308" s="1091"/>
      <c r="IVV308" s="1091"/>
      <c r="IVW308" s="1091"/>
      <c r="IVX308" s="1091"/>
      <c r="IVY308" s="1091"/>
      <c r="IVZ308" s="1091"/>
      <c r="IWA308" s="1091"/>
      <c r="IWB308" s="1091"/>
      <c r="IWC308" s="1091"/>
      <c r="IWD308" s="1091"/>
      <c r="IWE308" s="1091"/>
      <c r="IWF308" s="1091"/>
      <c r="IWG308" s="1091"/>
      <c r="IWH308" s="1091"/>
      <c r="IWI308" s="1091"/>
      <c r="IWJ308" s="1091"/>
      <c r="IWK308" s="1091"/>
      <c r="IWL308" s="1091"/>
      <c r="IWM308" s="1091"/>
      <c r="IWN308" s="1091"/>
      <c r="IWO308" s="1091"/>
      <c r="IWP308" s="1091"/>
      <c r="IWQ308" s="1091"/>
      <c r="IWR308" s="1091"/>
      <c r="IWS308" s="1091"/>
      <c r="IWT308" s="1091"/>
      <c r="IWU308" s="1091"/>
      <c r="IWV308" s="1091"/>
      <c r="IWW308" s="1091"/>
      <c r="IWX308" s="1091"/>
      <c r="IWY308" s="1091"/>
      <c r="IWZ308" s="1091"/>
      <c r="IXA308" s="1091"/>
      <c r="IXB308" s="1091"/>
      <c r="IXC308" s="1091"/>
      <c r="IXD308" s="1091"/>
      <c r="IXE308" s="1091"/>
      <c r="IXF308" s="1091"/>
      <c r="IXG308" s="1091"/>
      <c r="IXH308" s="1091"/>
      <c r="IXI308" s="1091"/>
      <c r="IXJ308" s="1091"/>
      <c r="IXK308" s="1091"/>
      <c r="IXL308" s="1091"/>
      <c r="IXM308" s="1091"/>
      <c r="IXN308" s="1091"/>
      <c r="IXO308" s="1091"/>
      <c r="IXP308" s="1091"/>
      <c r="IXQ308" s="1091"/>
      <c r="IXR308" s="1091"/>
      <c r="IXS308" s="1091"/>
      <c r="IXT308" s="1091"/>
      <c r="IXU308" s="1091"/>
      <c r="IXV308" s="1091"/>
      <c r="IXW308" s="1091"/>
      <c r="IXX308" s="1091"/>
      <c r="IXY308" s="1091"/>
      <c r="IXZ308" s="1091"/>
      <c r="IYA308" s="1091"/>
      <c r="IYB308" s="1091"/>
      <c r="IYC308" s="1091"/>
      <c r="IYD308" s="1091"/>
      <c r="IYE308" s="1091"/>
      <c r="IYF308" s="1091"/>
      <c r="IYG308" s="1091"/>
      <c r="IYH308" s="1091"/>
      <c r="IYI308" s="1091"/>
      <c r="IYJ308" s="1091"/>
      <c r="IYK308" s="1091"/>
      <c r="IYL308" s="1091"/>
      <c r="IYM308" s="1091"/>
      <c r="IYN308" s="1091"/>
      <c r="IYO308" s="1091"/>
      <c r="IYP308" s="1091"/>
      <c r="IYQ308" s="1091"/>
      <c r="IYR308" s="1091"/>
      <c r="IYS308" s="1091"/>
      <c r="IYT308" s="1091"/>
      <c r="IYU308" s="1091"/>
      <c r="IYV308" s="1091"/>
      <c r="IYW308" s="1091"/>
      <c r="IYX308" s="1091"/>
      <c r="IYY308" s="1091"/>
      <c r="IYZ308" s="1091"/>
      <c r="IZA308" s="1091"/>
      <c r="IZB308" s="1091"/>
      <c r="IZC308" s="1091"/>
      <c r="IZD308" s="1091"/>
      <c r="IZE308" s="1091"/>
      <c r="IZF308" s="1091"/>
      <c r="IZG308" s="1091"/>
      <c r="IZH308" s="1091"/>
      <c r="IZI308" s="1091"/>
      <c r="IZJ308" s="1091"/>
      <c r="IZK308" s="1091"/>
      <c r="IZL308" s="1091"/>
      <c r="IZM308" s="1091"/>
      <c r="IZN308" s="1091"/>
      <c r="IZO308" s="1091"/>
      <c r="IZP308" s="1091"/>
      <c r="IZQ308" s="1091"/>
      <c r="IZR308" s="1091"/>
      <c r="IZS308" s="1091"/>
      <c r="IZT308" s="1091"/>
      <c r="IZU308" s="1091"/>
      <c r="IZV308" s="1091"/>
      <c r="IZW308" s="1091"/>
      <c r="IZX308" s="1091"/>
      <c r="IZY308" s="1091"/>
      <c r="IZZ308" s="1091"/>
      <c r="JAA308" s="1091"/>
      <c r="JAB308" s="1091"/>
      <c r="JAC308" s="1091"/>
      <c r="JAD308" s="1091"/>
      <c r="JAE308" s="1091"/>
      <c r="JAF308" s="1091"/>
      <c r="JAG308" s="1091"/>
      <c r="JAH308" s="1091"/>
      <c r="JAI308" s="1091"/>
      <c r="JAJ308" s="1091"/>
      <c r="JAK308" s="1091"/>
      <c r="JAL308" s="1091"/>
      <c r="JAM308" s="1091"/>
      <c r="JAN308" s="1091"/>
      <c r="JAO308" s="1091"/>
      <c r="JAP308" s="1091"/>
      <c r="JAQ308" s="1091"/>
      <c r="JAR308" s="1091"/>
      <c r="JAS308" s="1091"/>
      <c r="JAT308" s="1091"/>
      <c r="JAU308" s="1091"/>
      <c r="JAV308" s="1091"/>
      <c r="JAW308" s="1091"/>
      <c r="JAX308" s="1091"/>
      <c r="JAY308" s="1091"/>
      <c r="JAZ308" s="1091"/>
      <c r="JBA308" s="1091"/>
      <c r="JBB308" s="1091"/>
      <c r="JBC308" s="1091"/>
      <c r="JBD308" s="1091"/>
      <c r="JBE308" s="1091"/>
      <c r="JBF308" s="1091"/>
      <c r="JBG308" s="1091"/>
      <c r="JBH308" s="1091"/>
      <c r="JBI308" s="1091"/>
      <c r="JBJ308" s="1091"/>
      <c r="JBK308" s="1091"/>
      <c r="JBL308" s="1091"/>
      <c r="JBM308" s="1091"/>
      <c r="JBN308" s="1091"/>
      <c r="JBO308" s="1091"/>
      <c r="JBP308" s="1091"/>
      <c r="JBQ308" s="1091"/>
      <c r="JBR308" s="1091"/>
      <c r="JBS308" s="1091"/>
      <c r="JBT308" s="1091"/>
      <c r="JBU308" s="1091"/>
      <c r="JBV308" s="1091"/>
      <c r="JBW308" s="1091"/>
      <c r="JBX308" s="1091"/>
      <c r="JBY308" s="1091"/>
      <c r="JBZ308" s="1091"/>
      <c r="JCA308" s="1091"/>
      <c r="JCB308" s="1091"/>
      <c r="JCC308" s="1091"/>
      <c r="JCD308" s="1091"/>
      <c r="JCE308" s="1091"/>
      <c r="JCF308" s="1091"/>
      <c r="JCG308" s="1091"/>
      <c r="JCH308" s="1091"/>
      <c r="JCI308" s="1091"/>
      <c r="JCJ308" s="1091"/>
      <c r="JCK308" s="1091"/>
      <c r="JCL308" s="1091"/>
      <c r="JCM308" s="1091"/>
      <c r="JCN308" s="1091"/>
      <c r="JCO308" s="1091"/>
      <c r="JCP308" s="1091"/>
      <c r="JCQ308" s="1091"/>
      <c r="JCR308" s="1091"/>
      <c r="JCS308" s="1091"/>
      <c r="JCT308" s="1091"/>
      <c r="JCU308" s="1091"/>
      <c r="JCV308" s="1091"/>
      <c r="JCW308" s="1091"/>
      <c r="JCX308" s="1091"/>
      <c r="JCY308" s="1091"/>
      <c r="JCZ308" s="1091"/>
      <c r="JDA308" s="1091"/>
      <c r="JDB308" s="1091"/>
      <c r="JDC308" s="1091"/>
      <c r="JDD308" s="1091"/>
      <c r="JDE308" s="1091"/>
      <c r="JDF308" s="1091"/>
      <c r="JDG308" s="1091"/>
      <c r="JDH308" s="1091"/>
      <c r="JDI308" s="1091"/>
      <c r="JDJ308" s="1091"/>
      <c r="JDK308" s="1091"/>
      <c r="JDL308" s="1091"/>
      <c r="JDM308" s="1091"/>
      <c r="JDN308" s="1091"/>
      <c r="JDO308" s="1091"/>
      <c r="JDP308" s="1091"/>
      <c r="JDQ308" s="1091"/>
      <c r="JDR308" s="1091"/>
      <c r="JDS308" s="1091"/>
      <c r="JDT308" s="1091"/>
      <c r="JDU308" s="1091"/>
      <c r="JDV308" s="1091"/>
      <c r="JDW308" s="1091"/>
      <c r="JDX308" s="1091"/>
      <c r="JDY308" s="1091"/>
      <c r="JDZ308" s="1091"/>
      <c r="JEA308" s="1091"/>
      <c r="JEB308" s="1091"/>
      <c r="JEC308" s="1091"/>
      <c r="JED308" s="1091"/>
      <c r="JEE308" s="1091"/>
      <c r="JEF308" s="1091"/>
      <c r="JEG308" s="1091"/>
      <c r="JEH308" s="1091"/>
      <c r="JEI308" s="1091"/>
      <c r="JEJ308" s="1091"/>
      <c r="JEK308" s="1091"/>
      <c r="JEL308" s="1091"/>
      <c r="JEM308" s="1091"/>
      <c r="JEN308" s="1091"/>
      <c r="JEO308" s="1091"/>
      <c r="JEP308" s="1091"/>
      <c r="JEQ308" s="1091"/>
      <c r="JER308" s="1091"/>
      <c r="JES308" s="1091"/>
      <c r="JET308" s="1091"/>
      <c r="JEU308" s="1091"/>
      <c r="JEV308" s="1091"/>
      <c r="JEW308" s="1091"/>
      <c r="JEX308" s="1091"/>
      <c r="JEY308" s="1091"/>
      <c r="JEZ308" s="1091"/>
      <c r="JFA308" s="1091"/>
      <c r="JFB308" s="1091"/>
      <c r="JFC308" s="1091"/>
      <c r="JFD308" s="1091"/>
      <c r="JFE308" s="1091"/>
      <c r="JFF308" s="1091"/>
      <c r="JFG308" s="1091"/>
      <c r="JFH308" s="1091"/>
      <c r="JFI308" s="1091"/>
      <c r="JFJ308" s="1091"/>
      <c r="JFK308" s="1091"/>
      <c r="JFL308" s="1091"/>
      <c r="JFM308" s="1091"/>
      <c r="JFN308" s="1091"/>
      <c r="JFO308" s="1091"/>
      <c r="JFP308" s="1091"/>
      <c r="JFQ308" s="1091"/>
      <c r="JFR308" s="1091"/>
      <c r="JFS308" s="1091"/>
      <c r="JFT308" s="1091"/>
      <c r="JFU308" s="1091"/>
      <c r="JFV308" s="1091"/>
      <c r="JFW308" s="1091"/>
      <c r="JFX308" s="1091"/>
      <c r="JFY308" s="1091"/>
      <c r="JFZ308" s="1091"/>
      <c r="JGA308" s="1091"/>
      <c r="JGB308" s="1091"/>
      <c r="JGC308" s="1091"/>
      <c r="JGD308" s="1091"/>
      <c r="JGE308" s="1091"/>
      <c r="JGF308" s="1091"/>
      <c r="JGG308" s="1091"/>
      <c r="JGH308" s="1091"/>
      <c r="JGI308" s="1091"/>
      <c r="JGJ308" s="1091"/>
      <c r="JGK308" s="1091"/>
      <c r="JGL308" s="1091"/>
      <c r="JGM308" s="1091"/>
      <c r="JGN308" s="1091"/>
      <c r="JGO308" s="1091"/>
      <c r="JGP308" s="1091"/>
      <c r="JGQ308" s="1091"/>
      <c r="JGR308" s="1091"/>
      <c r="JGS308" s="1091"/>
      <c r="JGT308" s="1091"/>
      <c r="JGU308" s="1091"/>
      <c r="JGV308" s="1091"/>
      <c r="JGW308" s="1091"/>
      <c r="JGX308" s="1091"/>
      <c r="JGY308" s="1091"/>
      <c r="JGZ308" s="1091"/>
      <c r="JHA308" s="1091"/>
      <c r="JHB308" s="1091"/>
      <c r="JHC308" s="1091"/>
      <c r="JHD308" s="1091"/>
      <c r="JHE308" s="1091"/>
      <c r="JHF308" s="1091"/>
      <c r="JHG308" s="1091"/>
      <c r="JHH308" s="1091"/>
      <c r="JHI308" s="1091"/>
      <c r="JHJ308" s="1091"/>
      <c r="JHK308" s="1091"/>
      <c r="JHL308" s="1091"/>
      <c r="JHM308" s="1091"/>
      <c r="JHN308" s="1091"/>
      <c r="JHO308" s="1091"/>
      <c r="JHP308" s="1091"/>
      <c r="JHQ308" s="1091"/>
      <c r="JHR308" s="1091"/>
      <c r="JHS308" s="1091"/>
      <c r="JHT308" s="1091"/>
      <c r="JHU308" s="1091"/>
      <c r="JHV308" s="1091"/>
      <c r="JHW308" s="1091"/>
      <c r="JHX308" s="1091"/>
      <c r="JHY308" s="1091"/>
      <c r="JHZ308" s="1091"/>
      <c r="JIA308" s="1091"/>
      <c r="JIB308" s="1091"/>
      <c r="JIC308" s="1091"/>
      <c r="JID308" s="1091"/>
      <c r="JIE308" s="1091"/>
      <c r="JIF308" s="1091"/>
      <c r="JIG308" s="1091"/>
      <c r="JIH308" s="1091"/>
      <c r="JII308" s="1091"/>
      <c r="JIJ308" s="1091"/>
      <c r="JIK308" s="1091"/>
      <c r="JIL308" s="1091"/>
      <c r="JIM308" s="1091"/>
      <c r="JIN308" s="1091"/>
      <c r="JIO308" s="1091"/>
      <c r="JIP308" s="1091"/>
      <c r="JIQ308" s="1091"/>
      <c r="JIR308" s="1091"/>
      <c r="JIS308" s="1091"/>
      <c r="JIT308" s="1091"/>
      <c r="JIU308" s="1091"/>
      <c r="JIV308" s="1091"/>
      <c r="JIW308" s="1091"/>
      <c r="JIX308" s="1091"/>
      <c r="JIY308" s="1091"/>
      <c r="JIZ308" s="1091"/>
      <c r="JJA308" s="1091"/>
      <c r="JJB308" s="1091"/>
      <c r="JJC308" s="1091"/>
      <c r="JJD308" s="1091"/>
      <c r="JJE308" s="1091"/>
      <c r="JJF308" s="1091"/>
      <c r="JJG308" s="1091"/>
      <c r="JJH308" s="1091"/>
      <c r="JJI308" s="1091"/>
      <c r="JJJ308" s="1091"/>
      <c r="JJK308" s="1091"/>
      <c r="JJL308" s="1091"/>
      <c r="JJM308" s="1091"/>
      <c r="JJN308" s="1091"/>
      <c r="JJO308" s="1091"/>
      <c r="JJP308" s="1091"/>
      <c r="JJQ308" s="1091"/>
      <c r="JJR308" s="1091"/>
      <c r="JJS308" s="1091"/>
      <c r="JJT308" s="1091"/>
      <c r="JJU308" s="1091"/>
      <c r="JJV308" s="1091"/>
      <c r="JJW308" s="1091"/>
      <c r="JJX308" s="1091"/>
      <c r="JJY308" s="1091"/>
      <c r="JJZ308" s="1091"/>
      <c r="JKA308" s="1091"/>
      <c r="JKB308" s="1091"/>
      <c r="JKC308" s="1091"/>
      <c r="JKD308" s="1091"/>
      <c r="JKE308" s="1091"/>
      <c r="JKF308" s="1091"/>
      <c r="JKG308" s="1091"/>
      <c r="JKH308" s="1091"/>
      <c r="JKI308" s="1091"/>
      <c r="JKJ308" s="1091"/>
      <c r="JKK308" s="1091"/>
      <c r="JKL308" s="1091"/>
      <c r="JKM308" s="1091"/>
      <c r="JKN308" s="1091"/>
      <c r="JKO308" s="1091"/>
      <c r="JKP308" s="1091"/>
      <c r="JKQ308" s="1091"/>
      <c r="JKR308" s="1091"/>
      <c r="JKS308" s="1091"/>
      <c r="JKT308" s="1091"/>
      <c r="JKU308" s="1091"/>
      <c r="JKV308" s="1091"/>
      <c r="JKW308" s="1091"/>
      <c r="JKX308" s="1091"/>
      <c r="JKY308" s="1091"/>
      <c r="JKZ308" s="1091"/>
      <c r="JLA308" s="1091"/>
      <c r="JLB308" s="1091"/>
      <c r="JLC308" s="1091"/>
      <c r="JLD308" s="1091"/>
      <c r="JLE308" s="1091"/>
      <c r="JLF308" s="1091"/>
      <c r="JLG308" s="1091"/>
      <c r="JLH308" s="1091"/>
      <c r="JLI308" s="1091"/>
      <c r="JLJ308" s="1091"/>
      <c r="JLK308" s="1091"/>
      <c r="JLL308" s="1091"/>
      <c r="JLM308" s="1091"/>
      <c r="JLN308" s="1091"/>
      <c r="JLO308" s="1091"/>
      <c r="JLP308" s="1091"/>
      <c r="JLQ308" s="1091"/>
      <c r="JLR308" s="1091"/>
      <c r="JLS308" s="1091"/>
      <c r="JLT308" s="1091"/>
      <c r="JLU308" s="1091"/>
      <c r="JLV308" s="1091"/>
      <c r="JLW308" s="1091"/>
      <c r="JLX308" s="1091"/>
      <c r="JLY308" s="1091"/>
      <c r="JLZ308" s="1091"/>
      <c r="JMA308" s="1091"/>
      <c r="JMB308" s="1091"/>
      <c r="JMC308" s="1091"/>
      <c r="JMD308" s="1091"/>
      <c r="JME308" s="1091"/>
      <c r="JMF308" s="1091"/>
      <c r="JMG308" s="1091"/>
      <c r="JMH308" s="1091"/>
      <c r="JMI308" s="1091"/>
      <c r="JMJ308" s="1091"/>
      <c r="JMK308" s="1091"/>
      <c r="JML308" s="1091"/>
      <c r="JMM308" s="1091"/>
      <c r="JMN308" s="1091"/>
      <c r="JMO308" s="1091"/>
      <c r="JMP308" s="1091"/>
      <c r="JMQ308" s="1091"/>
      <c r="JMR308" s="1091"/>
      <c r="JMS308" s="1091"/>
      <c r="JMT308" s="1091"/>
      <c r="JMU308" s="1091"/>
      <c r="JMV308" s="1091"/>
      <c r="JMW308" s="1091"/>
      <c r="JMX308" s="1091"/>
      <c r="JMY308" s="1091"/>
      <c r="JMZ308" s="1091"/>
      <c r="JNA308" s="1091"/>
      <c r="JNB308" s="1091"/>
      <c r="JNC308" s="1091"/>
      <c r="JND308" s="1091"/>
      <c r="JNE308" s="1091"/>
      <c r="JNF308" s="1091"/>
      <c r="JNG308" s="1091"/>
      <c r="JNH308" s="1091"/>
      <c r="JNI308" s="1091"/>
      <c r="JNJ308" s="1091"/>
      <c r="JNK308" s="1091"/>
      <c r="JNL308" s="1091"/>
      <c r="JNM308" s="1091"/>
      <c r="JNN308" s="1091"/>
      <c r="JNO308" s="1091"/>
      <c r="JNP308" s="1091"/>
      <c r="JNQ308" s="1091"/>
      <c r="JNR308" s="1091"/>
      <c r="JNS308" s="1091"/>
      <c r="JNT308" s="1091"/>
      <c r="JNU308" s="1091"/>
      <c r="JNV308" s="1091"/>
      <c r="JNW308" s="1091"/>
      <c r="JNX308" s="1091"/>
      <c r="JNY308" s="1091"/>
      <c r="JNZ308" s="1091"/>
      <c r="JOA308" s="1091"/>
      <c r="JOB308" s="1091"/>
      <c r="JOC308" s="1091"/>
      <c r="JOD308" s="1091"/>
      <c r="JOE308" s="1091"/>
      <c r="JOF308" s="1091"/>
      <c r="JOG308" s="1091"/>
      <c r="JOH308" s="1091"/>
      <c r="JOI308" s="1091"/>
      <c r="JOJ308" s="1091"/>
      <c r="JOK308" s="1091"/>
      <c r="JOL308" s="1091"/>
      <c r="JOM308" s="1091"/>
      <c r="JON308" s="1091"/>
      <c r="JOO308" s="1091"/>
      <c r="JOP308" s="1091"/>
      <c r="JOQ308" s="1091"/>
      <c r="JOR308" s="1091"/>
      <c r="JOS308" s="1091"/>
      <c r="JOT308" s="1091"/>
      <c r="JOU308" s="1091"/>
      <c r="JOV308" s="1091"/>
      <c r="JOW308" s="1091"/>
      <c r="JOX308" s="1091"/>
      <c r="JOY308" s="1091"/>
      <c r="JOZ308" s="1091"/>
      <c r="JPA308" s="1091"/>
      <c r="JPB308" s="1091"/>
      <c r="JPC308" s="1091"/>
      <c r="JPD308" s="1091"/>
      <c r="JPE308" s="1091"/>
      <c r="JPF308" s="1091"/>
      <c r="JPG308" s="1091"/>
      <c r="JPH308" s="1091"/>
      <c r="JPI308" s="1091"/>
      <c r="JPJ308" s="1091"/>
      <c r="JPK308" s="1091"/>
      <c r="JPL308" s="1091"/>
      <c r="JPM308" s="1091"/>
      <c r="JPN308" s="1091"/>
      <c r="JPO308" s="1091"/>
      <c r="JPP308" s="1091"/>
      <c r="JPQ308" s="1091"/>
      <c r="JPR308" s="1091"/>
      <c r="JPS308" s="1091"/>
      <c r="JPT308" s="1091"/>
      <c r="JPU308" s="1091"/>
      <c r="JPV308" s="1091"/>
      <c r="JPW308" s="1091"/>
      <c r="JPX308" s="1091"/>
      <c r="JPY308" s="1091"/>
      <c r="JPZ308" s="1091"/>
      <c r="JQA308" s="1091"/>
      <c r="JQB308" s="1091"/>
      <c r="JQC308" s="1091"/>
      <c r="JQD308" s="1091"/>
      <c r="JQE308" s="1091"/>
      <c r="JQF308" s="1091"/>
      <c r="JQG308" s="1091"/>
      <c r="JQH308" s="1091"/>
      <c r="JQI308" s="1091"/>
      <c r="JQJ308" s="1091"/>
      <c r="JQK308" s="1091"/>
      <c r="JQL308" s="1091"/>
      <c r="JQM308" s="1091"/>
      <c r="JQN308" s="1091"/>
      <c r="JQO308" s="1091"/>
      <c r="JQP308" s="1091"/>
      <c r="JQQ308" s="1091"/>
      <c r="JQR308" s="1091"/>
      <c r="JQS308" s="1091"/>
      <c r="JQT308" s="1091"/>
      <c r="JQU308" s="1091"/>
      <c r="JQV308" s="1091"/>
      <c r="JQW308" s="1091"/>
      <c r="JQX308" s="1091"/>
      <c r="JQY308" s="1091"/>
      <c r="JQZ308" s="1091"/>
      <c r="JRA308" s="1091"/>
      <c r="JRB308" s="1091"/>
      <c r="JRC308" s="1091"/>
      <c r="JRD308" s="1091"/>
      <c r="JRE308" s="1091"/>
      <c r="JRF308" s="1091"/>
      <c r="JRG308" s="1091"/>
      <c r="JRH308" s="1091"/>
      <c r="JRI308" s="1091"/>
      <c r="JRJ308" s="1091"/>
      <c r="JRK308" s="1091"/>
      <c r="JRL308" s="1091"/>
      <c r="JRM308" s="1091"/>
      <c r="JRN308" s="1091"/>
      <c r="JRO308" s="1091"/>
      <c r="JRP308" s="1091"/>
      <c r="JRQ308" s="1091"/>
      <c r="JRR308" s="1091"/>
      <c r="JRS308" s="1091"/>
      <c r="JRT308" s="1091"/>
      <c r="JRU308" s="1091"/>
      <c r="JRV308" s="1091"/>
      <c r="JRW308" s="1091"/>
      <c r="JRX308" s="1091"/>
      <c r="JRY308" s="1091"/>
      <c r="JRZ308" s="1091"/>
      <c r="JSA308" s="1091"/>
      <c r="JSB308" s="1091"/>
      <c r="JSC308" s="1091"/>
      <c r="JSD308" s="1091"/>
      <c r="JSE308" s="1091"/>
      <c r="JSF308" s="1091"/>
      <c r="JSG308" s="1091"/>
      <c r="JSH308" s="1091"/>
      <c r="JSI308" s="1091"/>
      <c r="JSJ308" s="1091"/>
      <c r="JSK308" s="1091"/>
      <c r="JSL308" s="1091"/>
      <c r="JSM308" s="1091"/>
      <c r="JSN308" s="1091"/>
      <c r="JSO308" s="1091"/>
      <c r="JSP308" s="1091"/>
      <c r="JSQ308" s="1091"/>
      <c r="JSR308" s="1091"/>
      <c r="JSS308" s="1091"/>
      <c r="JST308" s="1091"/>
      <c r="JSU308" s="1091"/>
      <c r="JSV308" s="1091"/>
      <c r="JSW308" s="1091"/>
      <c r="JSX308" s="1091"/>
      <c r="JSY308" s="1091"/>
      <c r="JSZ308" s="1091"/>
      <c r="JTA308" s="1091"/>
      <c r="JTB308" s="1091"/>
      <c r="JTC308" s="1091"/>
      <c r="JTD308" s="1091"/>
      <c r="JTE308" s="1091"/>
      <c r="JTF308" s="1091"/>
      <c r="JTG308" s="1091"/>
      <c r="JTH308" s="1091"/>
      <c r="JTI308" s="1091"/>
      <c r="JTJ308" s="1091"/>
      <c r="JTK308" s="1091"/>
      <c r="JTL308" s="1091"/>
      <c r="JTM308" s="1091"/>
      <c r="JTN308" s="1091"/>
      <c r="JTO308" s="1091"/>
      <c r="JTP308" s="1091"/>
      <c r="JTQ308" s="1091"/>
      <c r="JTR308" s="1091"/>
      <c r="JTS308" s="1091"/>
      <c r="JTT308" s="1091"/>
      <c r="JTU308" s="1091"/>
      <c r="JTV308" s="1091"/>
      <c r="JTW308" s="1091"/>
      <c r="JTX308" s="1091"/>
      <c r="JTY308" s="1091"/>
      <c r="JTZ308" s="1091"/>
      <c r="JUA308" s="1091"/>
      <c r="JUB308" s="1091"/>
      <c r="JUC308" s="1091"/>
      <c r="JUD308" s="1091"/>
      <c r="JUE308" s="1091"/>
      <c r="JUF308" s="1091"/>
      <c r="JUG308" s="1091"/>
      <c r="JUH308" s="1091"/>
      <c r="JUI308" s="1091"/>
      <c r="JUJ308" s="1091"/>
      <c r="JUK308" s="1091"/>
      <c r="JUL308" s="1091"/>
      <c r="JUM308" s="1091"/>
      <c r="JUN308" s="1091"/>
      <c r="JUO308" s="1091"/>
      <c r="JUP308" s="1091"/>
      <c r="JUQ308" s="1091"/>
      <c r="JUR308" s="1091"/>
      <c r="JUS308" s="1091"/>
      <c r="JUT308" s="1091"/>
      <c r="JUU308" s="1091"/>
      <c r="JUV308" s="1091"/>
      <c r="JUW308" s="1091"/>
      <c r="JUX308" s="1091"/>
      <c r="JUY308" s="1091"/>
      <c r="JUZ308" s="1091"/>
      <c r="JVA308" s="1091"/>
      <c r="JVB308" s="1091"/>
      <c r="JVC308" s="1091"/>
      <c r="JVD308" s="1091"/>
      <c r="JVE308" s="1091"/>
      <c r="JVF308" s="1091"/>
      <c r="JVG308" s="1091"/>
      <c r="JVH308" s="1091"/>
      <c r="JVI308" s="1091"/>
      <c r="JVJ308" s="1091"/>
      <c r="JVK308" s="1091"/>
      <c r="JVL308" s="1091"/>
      <c r="JVM308" s="1091"/>
      <c r="JVN308" s="1091"/>
      <c r="JVO308" s="1091"/>
      <c r="JVP308" s="1091"/>
      <c r="JVQ308" s="1091"/>
      <c r="JVR308" s="1091"/>
      <c r="JVS308" s="1091"/>
      <c r="JVT308" s="1091"/>
      <c r="JVU308" s="1091"/>
      <c r="JVV308" s="1091"/>
      <c r="JVW308" s="1091"/>
      <c r="JVX308" s="1091"/>
      <c r="JVY308" s="1091"/>
      <c r="JVZ308" s="1091"/>
      <c r="JWA308" s="1091"/>
      <c r="JWB308" s="1091"/>
      <c r="JWC308" s="1091"/>
      <c r="JWD308" s="1091"/>
      <c r="JWE308" s="1091"/>
      <c r="JWF308" s="1091"/>
      <c r="JWG308" s="1091"/>
      <c r="JWH308" s="1091"/>
      <c r="JWI308" s="1091"/>
      <c r="JWJ308" s="1091"/>
      <c r="JWK308" s="1091"/>
      <c r="JWL308" s="1091"/>
      <c r="JWM308" s="1091"/>
      <c r="JWN308" s="1091"/>
      <c r="JWO308" s="1091"/>
      <c r="JWP308" s="1091"/>
      <c r="JWQ308" s="1091"/>
      <c r="JWR308" s="1091"/>
      <c r="JWS308" s="1091"/>
      <c r="JWT308" s="1091"/>
      <c r="JWU308" s="1091"/>
      <c r="JWV308" s="1091"/>
      <c r="JWW308" s="1091"/>
      <c r="JWX308" s="1091"/>
      <c r="JWY308" s="1091"/>
      <c r="JWZ308" s="1091"/>
      <c r="JXA308" s="1091"/>
      <c r="JXB308" s="1091"/>
      <c r="JXC308" s="1091"/>
      <c r="JXD308" s="1091"/>
      <c r="JXE308" s="1091"/>
      <c r="JXF308" s="1091"/>
      <c r="JXG308" s="1091"/>
      <c r="JXH308" s="1091"/>
      <c r="JXI308" s="1091"/>
      <c r="JXJ308" s="1091"/>
      <c r="JXK308" s="1091"/>
      <c r="JXL308" s="1091"/>
      <c r="JXM308" s="1091"/>
      <c r="JXN308" s="1091"/>
      <c r="JXO308" s="1091"/>
      <c r="JXP308" s="1091"/>
      <c r="JXQ308" s="1091"/>
      <c r="JXR308" s="1091"/>
      <c r="JXS308" s="1091"/>
      <c r="JXT308" s="1091"/>
      <c r="JXU308" s="1091"/>
      <c r="JXV308" s="1091"/>
      <c r="JXW308" s="1091"/>
      <c r="JXX308" s="1091"/>
      <c r="JXY308" s="1091"/>
      <c r="JXZ308" s="1091"/>
      <c r="JYA308" s="1091"/>
      <c r="JYB308" s="1091"/>
      <c r="JYC308" s="1091"/>
      <c r="JYD308" s="1091"/>
      <c r="JYE308" s="1091"/>
      <c r="JYF308" s="1091"/>
      <c r="JYG308" s="1091"/>
      <c r="JYH308" s="1091"/>
      <c r="JYI308" s="1091"/>
      <c r="JYJ308" s="1091"/>
      <c r="JYK308" s="1091"/>
      <c r="JYL308" s="1091"/>
      <c r="JYM308" s="1091"/>
      <c r="JYN308" s="1091"/>
      <c r="JYO308" s="1091"/>
      <c r="JYP308" s="1091"/>
      <c r="JYQ308" s="1091"/>
      <c r="JYR308" s="1091"/>
      <c r="JYS308" s="1091"/>
      <c r="JYT308" s="1091"/>
      <c r="JYU308" s="1091"/>
      <c r="JYV308" s="1091"/>
      <c r="JYW308" s="1091"/>
      <c r="JYX308" s="1091"/>
      <c r="JYY308" s="1091"/>
      <c r="JYZ308" s="1091"/>
      <c r="JZA308" s="1091"/>
      <c r="JZB308" s="1091"/>
      <c r="JZC308" s="1091"/>
      <c r="JZD308" s="1091"/>
      <c r="JZE308" s="1091"/>
      <c r="JZF308" s="1091"/>
      <c r="JZG308" s="1091"/>
      <c r="JZH308" s="1091"/>
      <c r="JZI308" s="1091"/>
      <c r="JZJ308" s="1091"/>
      <c r="JZK308" s="1091"/>
      <c r="JZL308" s="1091"/>
      <c r="JZM308" s="1091"/>
      <c r="JZN308" s="1091"/>
      <c r="JZO308" s="1091"/>
      <c r="JZP308" s="1091"/>
      <c r="JZQ308" s="1091"/>
      <c r="JZR308" s="1091"/>
      <c r="JZS308" s="1091"/>
      <c r="JZT308" s="1091"/>
      <c r="JZU308" s="1091"/>
      <c r="JZV308" s="1091"/>
      <c r="JZW308" s="1091"/>
      <c r="JZX308" s="1091"/>
      <c r="JZY308" s="1091"/>
      <c r="JZZ308" s="1091"/>
      <c r="KAA308" s="1091"/>
      <c r="KAB308" s="1091"/>
      <c r="KAC308" s="1091"/>
      <c r="KAD308" s="1091"/>
      <c r="KAE308" s="1091"/>
      <c r="KAF308" s="1091"/>
      <c r="KAG308" s="1091"/>
      <c r="KAH308" s="1091"/>
      <c r="KAI308" s="1091"/>
      <c r="KAJ308" s="1091"/>
      <c r="KAK308" s="1091"/>
      <c r="KAL308" s="1091"/>
      <c r="KAM308" s="1091"/>
      <c r="KAN308" s="1091"/>
      <c r="KAO308" s="1091"/>
      <c r="KAP308" s="1091"/>
      <c r="KAQ308" s="1091"/>
      <c r="KAR308" s="1091"/>
      <c r="KAS308" s="1091"/>
      <c r="KAT308" s="1091"/>
      <c r="KAU308" s="1091"/>
      <c r="KAV308" s="1091"/>
      <c r="KAW308" s="1091"/>
      <c r="KAX308" s="1091"/>
      <c r="KAY308" s="1091"/>
      <c r="KAZ308" s="1091"/>
      <c r="KBA308" s="1091"/>
      <c r="KBB308" s="1091"/>
      <c r="KBC308" s="1091"/>
      <c r="KBD308" s="1091"/>
      <c r="KBE308" s="1091"/>
      <c r="KBF308" s="1091"/>
      <c r="KBG308" s="1091"/>
      <c r="KBH308" s="1091"/>
      <c r="KBI308" s="1091"/>
      <c r="KBJ308" s="1091"/>
      <c r="KBK308" s="1091"/>
      <c r="KBL308" s="1091"/>
      <c r="KBM308" s="1091"/>
      <c r="KBN308" s="1091"/>
      <c r="KBO308" s="1091"/>
      <c r="KBP308" s="1091"/>
      <c r="KBQ308" s="1091"/>
      <c r="KBR308" s="1091"/>
      <c r="KBS308" s="1091"/>
      <c r="KBT308" s="1091"/>
      <c r="KBU308" s="1091"/>
      <c r="KBV308" s="1091"/>
      <c r="KBW308" s="1091"/>
      <c r="KBX308" s="1091"/>
      <c r="KBY308" s="1091"/>
      <c r="KBZ308" s="1091"/>
      <c r="KCA308" s="1091"/>
      <c r="KCB308" s="1091"/>
      <c r="KCC308" s="1091"/>
      <c r="KCD308" s="1091"/>
      <c r="KCE308" s="1091"/>
      <c r="KCF308" s="1091"/>
      <c r="KCG308" s="1091"/>
      <c r="KCH308" s="1091"/>
      <c r="KCI308" s="1091"/>
      <c r="KCJ308" s="1091"/>
      <c r="KCK308" s="1091"/>
      <c r="KCL308" s="1091"/>
      <c r="KCM308" s="1091"/>
      <c r="KCN308" s="1091"/>
      <c r="KCO308" s="1091"/>
      <c r="KCP308" s="1091"/>
      <c r="KCQ308" s="1091"/>
      <c r="KCR308" s="1091"/>
      <c r="KCS308" s="1091"/>
      <c r="KCT308" s="1091"/>
      <c r="KCU308" s="1091"/>
      <c r="KCV308" s="1091"/>
      <c r="KCW308" s="1091"/>
      <c r="KCX308" s="1091"/>
      <c r="KCY308" s="1091"/>
      <c r="KCZ308" s="1091"/>
      <c r="KDA308" s="1091"/>
      <c r="KDB308" s="1091"/>
      <c r="KDC308" s="1091"/>
      <c r="KDD308" s="1091"/>
      <c r="KDE308" s="1091"/>
      <c r="KDF308" s="1091"/>
      <c r="KDG308" s="1091"/>
      <c r="KDH308" s="1091"/>
      <c r="KDI308" s="1091"/>
      <c r="KDJ308" s="1091"/>
      <c r="KDK308" s="1091"/>
      <c r="KDL308" s="1091"/>
      <c r="KDM308" s="1091"/>
      <c r="KDN308" s="1091"/>
      <c r="KDO308" s="1091"/>
      <c r="KDP308" s="1091"/>
      <c r="KDQ308" s="1091"/>
      <c r="KDR308" s="1091"/>
      <c r="KDS308" s="1091"/>
      <c r="KDT308" s="1091"/>
      <c r="KDU308" s="1091"/>
      <c r="KDV308" s="1091"/>
      <c r="KDW308" s="1091"/>
      <c r="KDX308" s="1091"/>
      <c r="KDY308" s="1091"/>
      <c r="KDZ308" s="1091"/>
      <c r="KEA308" s="1091"/>
      <c r="KEB308" s="1091"/>
      <c r="KEC308" s="1091"/>
      <c r="KED308" s="1091"/>
      <c r="KEE308" s="1091"/>
      <c r="KEF308" s="1091"/>
      <c r="KEG308" s="1091"/>
      <c r="KEH308" s="1091"/>
      <c r="KEI308" s="1091"/>
      <c r="KEJ308" s="1091"/>
      <c r="KEK308" s="1091"/>
      <c r="KEL308" s="1091"/>
      <c r="KEM308" s="1091"/>
      <c r="KEN308" s="1091"/>
      <c r="KEO308" s="1091"/>
      <c r="KEP308" s="1091"/>
      <c r="KEQ308" s="1091"/>
      <c r="KER308" s="1091"/>
      <c r="KES308" s="1091"/>
      <c r="KET308" s="1091"/>
      <c r="KEU308" s="1091"/>
      <c r="KEV308" s="1091"/>
      <c r="KEW308" s="1091"/>
      <c r="KEX308" s="1091"/>
      <c r="KEY308" s="1091"/>
      <c r="KEZ308" s="1091"/>
      <c r="KFA308" s="1091"/>
      <c r="KFB308" s="1091"/>
      <c r="KFC308" s="1091"/>
      <c r="KFD308" s="1091"/>
      <c r="KFE308" s="1091"/>
      <c r="KFF308" s="1091"/>
      <c r="KFG308" s="1091"/>
      <c r="KFH308" s="1091"/>
      <c r="KFI308" s="1091"/>
      <c r="KFJ308" s="1091"/>
      <c r="KFK308" s="1091"/>
      <c r="KFL308" s="1091"/>
      <c r="KFM308" s="1091"/>
      <c r="KFN308" s="1091"/>
      <c r="KFO308" s="1091"/>
      <c r="KFP308" s="1091"/>
      <c r="KFQ308" s="1091"/>
      <c r="KFR308" s="1091"/>
      <c r="KFS308" s="1091"/>
      <c r="KFT308" s="1091"/>
      <c r="KFU308" s="1091"/>
      <c r="KFV308" s="1091"/>
      <c r="KFW308" s="1091"/>
      <c r="KFX308" s="1091"/>
      <c r="KFY308" s="1091"/>
      <c r="KFZ308" s="1091"/>
      <c r="KGA308" s="1091"/>
      <c r="KGB308" s="1091"/>
      <c r="KGC308" s="1091"/>
      <c r="KGD308" s="1091"/>
      <c r="KGE308" s="1091"/>
      <c r="KGF308" s="1091"/>
      <c r="KGG308" s="1091"/>
      <c r="KGH308" s="1091"/>
      <c r="KGI308" s="1091"/>
      <c r="KGJ308" s="1091"/>
      <c r="KGK308" s="1091"/>
      <c r="KGL308" s="1091"/>
      <c r="KGM308" s="1091"/>
      <c r="KGN308" s="1091"/>
      <c r="KGO308" s="1091"/>
      <c r="KGP308" s="1091"/>
      <c r="KGQ308" s="1091"/>
      <c r="KGR308" s="1091"/>
      <c r="KGS308" s="1091"/>
      <c r="KGT308" s="1091"/>
      <c r="KGU308" s="1091"/>
      <c r="KGV308" s="1091"/>
      <c r="KGW308" s="1091"/>
      <c r="KGX308" s="1091"/>
      <c r="KGY308" s="1091"/>
      <c r="KGZ308" s="1091"/>
      <c r="KHA308" s="1091"/>
      <c r="KHB308" s="1091"/>
      <c r="KHC308" s="1091"/>
      <c r="KHD308" s="1091"/>
      <c r="KHE308" s="1091"/>
      <c r="KHF308" s="1091"/>
      <c r="KHG308" s="1091"/>
      <c r="KHH308" s="1091"/>
      <c r="KHI308" s="1091"/>
      <c r="KHJ308" s="1091"/>
      <c r="KHK308" s="1091"/>
      <c r="KHL308" s="1091"/>
      <c r="KHM308" s="1091"/>
      <c r="KHN308" s="1091"/>
      <c r="KHO308" s="1091"/>
      <c r="KHP308" s="1091"/>
      <c r="KHQ308" s="1091"/>
      <c r="KHR308" s="1091"/>
      <c r="KHS308" s="1091"/>
      <c r="KHT308" s="1091"/>
      <c r="KHU308" s="1091"/>
      <c r="KHV308" s="1091"/>
      <c r="KHW308" s="1091"/>
      <c r="KHX308" s="1091"/>
      <c r="KHY308" s="1091"/>
      <c r="KHZ308" s="1091"/>
      <c r="KIA308" s="1091"/>
      <c r="KIB308" s="1091"/>
      <c r="KIC308" s="1091"/>
      <c r="KID308" s="1091"/>
      <c r="KIE308" s="1091"/>
      <c r="KIF308" s="1091"/>
      <c r="KIG308" s="1091"/>
      <c r="KIH308" s="1091"/>
      <c r="KII308" s="1091"/>
      <c r="KIJ308" s="1091"/>
      <c r="KIK308" s="1091"/>
      <c r="KIL308" s="1091"/>
      <c r="KIM308" s="1091"/>
      <c r="KIN308" s="1091"/>
      <c r="KIO308" s="1091"/>
      <c r="KIP308" s="1091"/>
      <c r="KIQ308" s="1091"/>
      <c r="KIR308" s="1091"/>
      <c r="KIS308" s="1091"/>
      <c r="KIT308" s="1091"/>
      <c r="KIU308" s="1091"/>
      <c r="KIV308" s="1091"/>
      <c r="KIW308" s="1091"/>
      <c r="KIX308" s="1091"/>
      <c r="KIY308" s="1091"/>
      <c r="KIZ308" s="1091"/>
      <c r="KJA308" s="1091"/>
      <c r="KJB308" s="1091"/>
      <c r="KJC308" s="1091"/>
      <c r="KJD308" s="1091"/>
      <c r="KJE308" s="1091"/>
      <c r="KJF308" s="1091"/>
      <c r="KJG308" s="1091"/>
      <c r="KJH308" s="1091"/>
      <c r="KJI308" s="1091"/>
      <c r="KJJ308" s="1091"/>
      <c r="KJK308" s="1091"/>
      <c r="KJL308" s="1091"/>
      <c r="KJM308" s="1091"/>
      <c r="KJN308" s="1091"/>
      <c r="KJO308" s="1091"/>
      <c r="KJP308" s="1091"/>
      <c r="KJQ308" s="1091"/>
      <c r="KJR308" s="1091"/>
      <c r="KJS308" s="1091"/>
      <c r="KJT308" s="1091"/>
      <c r="KJU308" s="1091"/>
      <c r="KJV308" s="1091"/>
      <c r="KJW308" s="1091"/>
      <c r="KJX308" s="1091"/>
      <c r="KJY308" s="1091"/>
      <c r="KJZ308" s="1091"/>
      <c r="KKA308" s="1091"/>
      <c r="KKB308" s="1091"/>
      <c r="KKC308" s="1091"/>
      <c r="KKD308" s="1091"/>
      <c r="KKE308" s="1091"/>
      <c r="KKF308" s="1091"/>
      <c r="KKG308" s="1091"/>
      <c r="KKH308" s="1091"/>
      <c r="KKI308" s="1091"/>
      <c r="KKJ308" s="1091"/>
      <c r="KKK308" s="1091"/>
      <c r="KKL308" s="1091"/>
      <c r="KKM308" s="1091"/>
      <c r="KKN308" s="1091"/>
      <c r="KKO308" s="1091"/>
      <c r="KKP308" s="1091"/>
      <c r="KKQ308" s="1091"/>
      <c r="KKR308" s="1091"/>
      <c r="KKS308" s="1091"/>
      <c r="KKT308" s="1091"/>
      <c r="KKU308" s="1091"/>
      <c r="KKV308" s="1091"/>
      <c r="KKW308" s="1091"/>
      <c r="KKX308" s="1091"/>
      <c r="KKY308" s="1091"/>
      <c r="KKZ308" s="1091"/>
      <c r="KLA308" s="1091"/>
      <c r="KLB308" s="1091"/>
      <c r="KLC308" s="1091"/>
      <c r="KLD308" s="1091"/>
      <c r="KLE308" s="1091"/>
      <c r="KLF308" s="1091"/>
      <c r="KLG308" s="1091"/>
      <c r="KLH308" s="1091"/>
      <c r="KLI308" s="1091"/>
      <c r="KLJ308" s="1091"/>
      <c r="KLK308" s="1091"/>
      <c r="KLL308" s="1091"/>
      <c r="KLM308" s="1091"/>
      <c r="KLN308" s="1091"/>
      <c r="KLO308" s="1091"/>
      <c r="KLP308" s="1091"/>
      <c r="KLQ308" s="1091"/>
      <c r="KLR308" s="1091"/>
      <c r="KLS308" s="1091"/>
      <c r="KLT308" s="1091"/>
      <c r="KLU308" s="1091"/>
      <c r="KLV308" s="1091"/>
      <c r="KLW308" s="1091"/>
      <c r="KLX308" s="1091"/>
      <c r="KLY308" s="1091"/>
      <c r="KLZ308" s="1091"/>
      <c r="KMA308" s="1091"/>
      <c r="KMB308" s="1091"/>
      <c r="KMC308" s="1091"/>
      <c r="KMD308" s="1091"/>
      <c r="KME308" s="1091"/>
      <c r="KMF308" s="1091"/>
      <c r="KMG308" s="1091"/>
      <c r="KMH308" s="1091"/>
      <c r="KMI308" s="1091"/>
      <c r="KMJ308" s="1091"/>
      <c r="KMK308" s="1091"/>
      <c r="KML308" s="1091"/>
      <c r="KMM308" s="1091"/>
      <c r="KMN308" s="1091"/>
      <c r="KMO308" s="1091"/>
      <c r="KMP308" s="1091"/>
      <c r="KMQ308" s="1091"/>
      <c r="KMR308" s="1091"/>
      <c r="KMS308" s="1091"/>
      <c r="KMT308" s="1091"/>
      <c r="KMU308" s="1091"/>
      <c r="KMV308" s="1091"/>
      <c r="KMW308" s="1091"/>
      <c r="KMX308" s="1091"/>
      <c r="KMY308" s="1091"/>
      <c r="KMZ308" s="1091"/>
      <c r="KNA308" s="1091"/>
      <c r="KNB308" s="1091"/>
      <c r="KNC308" s="1091"/>
      <c r="KND308" s="1091"/>
      <c r="KNE308" s="1091"/>
      <c r="KNF308" s="1091"/>
      <c r="KNG308" s="1091"/>
      <c r="KNH308" s="1091"/>
      <c r="KNI308" s="1091"/>
      <c r="KNJ308" s="1091"/>
      <c r="KNK308" s="1091"/>
      <c r="KNL308" s="1091"/>
      <c r="KNM308" s="1091"/>
      <c r="KNN308" s="1091"/>
      <c r="KNO308" s="1091"/>
      <c r="KNP308" s="1091"/>
      <c r="KNQ308" s="1091"/>
      <c r="KNR308" s="1091"/>
      <c r="KNS308" s="1091"/>
      <c r="KNT308" s="1091"/>
      <c r="KNU308" s="1091"/>
      <c r="KNV308" s="1091"/>
      <c r="KNW308" s="1091"/>
      <c r="KNX308" s="1091"/>
      <c r="KNY308" s="1091"/>
      <c r="KNZ308" s="1091"/>
      <c r="KOA308" s="1091"/>
      <c r="KOB308" s="1091"/>
      <c r="KOC308" s="1091"/>
      <c r="KOD308" s="1091"/>
      <c r="KOE308" s="1091"/>
      <c r="KOF308" s="1091"/>
      <c r="KOG308" s="1091"/>
      <c r="KOH308" s="1091"/>
      <c r="KOI308" s="1091"/>
      <c r="KOJ308" s="1091"/>
      <c r="KOK308" s="1091"/>
      <c r="KOL308" s="1091"/>
      <c r="KOM308" s="1091"/>
      <c r="KON308" s="1091"/>
      <c r="KOO308" s="1091"/>
      <c r="KOP308" s="1091"/>
      <c r="KOQ308" s="1091"/>
      <c r="KOR308" s="1091"/>
      <c r="KOS308" s="1091"/>
      <c r="KOT308" s="1091"/>
      <c r="KOU308" s="1091"/>
      <c r="KOV308" s="1091"/>
      <c r="KOW308" s="1091"/>
      <c r="KOX308" s="1091"/>
      <c r="KOY308" s="1091"/>
      <c r="KOZ308" s="1091"/>
      <c r="KPA308" s="1091"/>
      <c r="KPB308" s="1091"/>
      <c r="KPC308" s="1091"/>
      <c r="KPD308" s="1091"/>
      <c r="KPE308" s="1091"/>
      <c r="KPF308" s="1091"/>
      <c r="KPG308" s="1091"/>
      <c r="KPH308" s="1091"/>
      <c r="KPI308" s="1091"/>
      <c r="KPJ308" s="1091"/>
      <c r="KPK308" s="1091"/>
      <c r="KPL308" s="1091"/>
      <c r="KPM308" s="1091"/>
      <c r="KPN308" s="1091"/>
      <c r="KPO308" s="1091"/>
      <c r="KPP308" s="1091"/>
      <c r="KPQ308" s="1091"/>
      <c r="KPR308" s="1091"/>
      <c r="KPS308" s="1091"/>
      <c r="KPT308" s="1091"/>
      <c r="KPU308" s="1091"/>
      <c r="KPV308" s="1091"/>
      <c r="KPW308" s="1091"/>
      <c r="KPX308" s="1091"/>
      <c r="KPY308" s="1091"/>
      <c r="KPZ308" s="1091"/>
      <c r="KQA308" s="1091"/>
      <c r="KQB308" s="1091"/>
      <c r="KQC308" s="1091"/>
      <c r="KQD308" s="1091"/>
      <c r="KQE308" s="1091"/>
      <c r="KQF308" s="1091"/>
      <c r="KQG308" s="1091"/>
      <c r="KQH308" s="1091"/>
      <c r="KQI308" s="1091"/>
      <c r="KQJ308" s="1091"/>
      <c r="KQK308" s="1091"/>
      <c r="KQL308" s="1091"/>
      <c r="KQM308" s="1091"/>
      <c r="KQN308" s="1091"/>
      <c r="KQO308" s="1091"/>
      <c r="KQP308" s="1091"/>
      <c r="KQQ308" s="1091"/>
      <c r="KQR308" s="1091"/>
      <c r="KQS308" s="1091"/>
      <c r="KQT308" s="1091"/>
      <c r="KQU308" s="1091"/>
      <c r="KQV308" s="1091"/>
      <c r="KQW308" s="1091"/>
      <c r="KQX308" s="1091"/>
      <c r="KQY308" s="1091"/>
      <c r="KQZ308" s="1091"/>
      <c r="KRA308" s="1091"/>
      <c r="KRB308" s="1091"/>
      <c r="KRC308" s="1091"/>
      <c r="KRD308" s="1091"/>
      <c r="KRE308" s="1091"/>
      <c r="KRF308" s="1091"/>
      <c r="KRG308" s="1091"/>
      <c r="KRH308" s="1091"/>
      <c r="KRI308" s="1091"/>
      <c r="KRJ308" s="1091"/>
      <c r="KRK308" s="1091"/>
      <c r="KRL308" s="1091"/>
      <c r="KRM308" s="1091"/>
      <c r="KRN308" s="1091"/>
      <c r="KRO308" s="1091"/>
      <c r="KRP308" s="1091"/>
      <c r="KRQ308" s="1091"/>
      <c r="KRR308" s="1091"/>
      <c r="KRS308" s="1091"/>
      <c r="KRT308" s="1091"/>
      <c r="KRU308" s="1091"/>
      <c r="KRV308" s="1091"/>
      <c r="KRW308" s="1091"/>
      <c r="KRX308" s="1091"/>
      <c r="KRY308" s="1091"/>
      <c r="KRZ308" s="1091"/>
      <c r="KSA308" s="1091"/>
      <c r="KSB308" s="1091"/>
      <c r="KSC308" s="1091"/>
      <c r="KSD308" s="1091"/>
      <c r="KSE308" s="1091"/>
      <c r="KSF308" s="1091"/>
      <c r="KSG308" s="1091"/>
      <c r="KSH308" s="1091"/>
      <c r="KSI308" s="1091"/>
      <c r="KSJ308" s="1091"/>
      <c r="KSK308" s="1091"/>
      <c r="KSL308" s="1091"/>
      <c r="KSM308" s="1091"/>
      <c r="KSN308" s="1091"/>
      <c r="KSO308" s="1091"/>
      <c r="KSP308" s="1091"/>
      <c r="KSQ308" s="1091"/>
      <c r="KSR308" s="1091"/>
      <c r="KSS308" s="1091"/>
      <c r="KST308" s="1091"/>
      <c r="KSU308" s="1091"/>
      <c r="KSV308" s="1091"/>
      <c r="KSW308" s="1091"/>
      <c r="KSX308" s="1091"/>
      <c r="KSY308" s="1091"/>
      <c r="KSZ308" s="1091"/>
      <c r="KTA308" s="1091"/>
      <c r="KTB308" s="1091"/>
      <c r="KTC308" s="1091"/>
      <c r="KTD308" s="1091"/>
      <c r="KTE308" s="1091"/>
      <c r="KTF308" s="1091"/>
      <c r="KTG308" s="1091"/>
      <c r="KTH308" s="1091"/>
      <c r="KTI308" s="1091"/>
      <c r="KTJ308" s="1091"/>
      <c r="KTK308" s="1091"/>
      <c r="KTL308" s="1091"/>
      <c r="KTM308" s="1091"/>
      <c r="KTN308" s="1091"/>
      <c r="KTO308" s="1091"/>
      <c r="KTP308" s="1091"/>
      <c r="KTQ308" s="1091"/>
      <c r="KTR308" s="1091"/>
      <c r="KTS308" s="1091"/>
      <c r="KTT308" s="1091"/>
      <c r="KTU308" s="1091"/>
      <c r="KTV308" s="1091"/>
      <c r="KTW308" s="1091"/>
      <c r="KTX308" s="1091"/>
      <c r="KTY308" s="1091"/>
      <c r="KTZ308" s="1091"/>
      <c r="KUA308" s="1091"/>
      <c r="KUB308" s="1091"/>
      <c r="KUC308" s="1091"/>
      <c r="KUD308" s="1091"/>
      <c r="KUE308" s="1091"/>
      <c r="KUF308" s="1091"/>
      <c r="KUG308" s="1091"/>
      <c r="KUH308" s="1091"/>
      <c r="KUI308" s="1091"/>
      <c r="KUJ308" s="1091"/>
      <c r="KUK308" s="1091"/>
      <c r="KUL308" s="1091"/>
      <c r="KUM308" s="1091"/>
      <c r="KUN308" s="1091"/>
      <c r="KUO308" s="1091"/>
      <c r="KUP308" s="1091"/>
      <c r="KUQ308" s="1091"/>
      <c r="KUR308" s="1091"/>
      <c r="KUS308" s="1091"/>
      <c r="KUT308" s="1091"/>
      <c r="KUU308" s="1091"/>
      <c r="KUV308" s="1091"/>
      <c r="KUW308" s="1091"/>
      <c r="KUX308" s="1091"/>
      <c r="KUY308" s="1091"/>
      <c r="KUZ308" s="1091"/>
      <c r="KVA308" s="1091"/>
      <c r="KVB308" s="1091"/>
      <c r="KVC308" s="1091"/>
      <c r="KVD308" s="1091"/>
      <c r="KVE308" s="1091"/>
      <c r="KVF308" s="1091"/>
      <c r="KVG308" s="1091"/>
      <c r="KVH308" s="1091"/>
      <c r="KVI308" s="1091"/>
      <c r="KVJ308" s="1091"/>
      <c r="KVK308" s="1091"/>
      <c r="KVL308" s="1091"/>
      <c r="KVM308" s="1091"/>
      <c r="KVN308" s="1091"/>
      <c r="KVO308" s="1091"/>
      <c r="KVP308" s="1091"/>
      <c r="KVQ308" s="1091"/>
      <c r="KVR308" s="1091"/>
      <c r="KVS308" s="1091"/>
      <c r="KVT308" s="1091"/>
      <c r="KVU308" s="1091"/>
      <c r="KVV308" s="1091"/>
      <c r="KVW308" s="1091"/>
      <c r="KVX308" s="1091"/>
      <c r="KVY308" s="1091"/>
      <c r="KVZ308" s="1091"/>
      <c r="KWA308" s="1091"/>
      <c r="KWB308" s="1091"/>
      <c r="KWC308" s="1091"/>
      <c r="KWD308" s="1091"/>
      <c r="KWE308" s="1091"/>
      <c r="KWF308" s="1091"/>
      <c r="KWG308" s="1091"/>
      <c r="KWH308" s="1091"/>
      <c r="KWI308" s="1091"/>
      <c r="KWJ308" s="1091"/>
      <c r="KWK308" s="1091"/>
      <c r="KWL308" s="1091"/>
      <c r="KWM308" s="1091"/>
      <c r="KWN308" s="1091"/>
      <c r="KWO308" s="1091"/>
      <c r="KWP308" s="1091"/>
      <c r="KWQ308" s="1091"/>
      <c r="KWR308" s="1091"/>
      <c r="KWS308" s="1091"/>
      <c r="KWT308" s="1091"/>
      <c r="KWU308" s="1091"/>
      <c r="KWV308" s="1091"/>
      <c r="KWW308" s="1091"/>
      <c r="KWX308" s="1091"/>
      <c r="KWY308" s="1091"/>
      <c r="KWZ308" s="1091"/>
      <c r="KXA308" s="1091"/>
      <c r="KXB308" s="1091"/>
      <c r="KXC308" s="1091"/>
      <c r="KXD308" s="1091"/>
      <c r="KXE308" s="1091"/>
      <c r="KXF308" s="1091"/>
      <c r="KXG308" s="1091"/>
      <c r="KXH308" s="1091"/>
      <c r="KXI308" s="1091"/>
      <c r="KXJ308" s="1091"/>
      <c r="KXK308" s="1091"/>
      <c r="KXL308" s="1091"/>
      <c r="KXM308" s="1091"/>
      <c r="KXN308" s="1091"/>
      <c r="KXO308" s="1091"/>
      <c r="KXP308" s="1091"/>
      <c r="KXQ308" s="1091"/>
      <c r="KXR308" s="1091"/>
      <c r="KXS308" s="1091"/>
      <c r="KXT308" s="1091"/>
      <c r="KXU308" s="1091"/>
      <c r="KXV308" s="1091"/>
      <c r="KXW308" s="1091"/>
      <c r="KXX308" s="1091"/>
      <c r="KXY308" s="1091"/>
      <c r="KXZ308" s="1091"/>
      <c r="KYA308" s="1091"/>
      <c r="KYB308" s="1091"/>
      <c r="KYC308" s="1091"/>
      <c r="KYD308" s="1091"/>
      <c r="KYE308" s="1091"/>
      <c r="KYF308" s="1091"/>
      <c r="KYG308" s="1091"/>
      <c r="KYH308" s="1091"/>
      <c r="KYI308" s="1091"/>
      <c r="KYJ308" s="1091"/>
      <c r="KYK308" s="1091"/>
      <c r="KYL308" s="1091"/>
      <c r="KYM308" s="1091"/>
      <c r="KYN308" s="1091"/>
      <c r="KYO308" s="1091"/>
      <c r="KYP308" s="1091"/>
      <c r="KYQ308" s="1091"/>
      <c r="KYR308" s="1091"/>
      <c r="KYS308" s="1091"/>
      <c r="KYT308" s="1091"/>
      <c r="KYU308" s="1091"/>
      <c r="KYV308" s="1091"/>
      <c r="KYW308" s="1091"/>
      <c r="KYX308" s="1091"/>
      <c r="KYY308" s="1091"/>
      <c r="KYZ308" s="1091"/>
      <c r="KZA308" s="1091"/>
      <c r="KZB308" s="1091"/>
      <c r="KZC308" s="1091"/>
      <c r="KZD308" s="1091"/>
      <c r="KZE308" s="1091"/>
      <c r="KZF308" s="1091"/>
      <c r="KZG308" s="1091"/>
      <c r="KZH308" s="1091"/>
      <c r="KZI308" s="1091"/>
      <c r="KZJ308" s="1091"/>
      <c r="KZK308" s="1091"/>
      <c r="KZL308" s="1091"/>
      <c r="KZM308" s="1091"/>
      <c r="KZN308" s="1091"/>
      <c r="KZO308" s="1091"/>
      <c r="KZP308" s="1091"/>
      <c r="KZQ308" s="1091"/>
      <c r="KZR308" s="1091"/>
      <c r="KZS308" s="1091"/>
      <c r="KZT308" s="1091"/>
      <c r="KZU308" s="1091"/>
      <c r="KZV308" s="1091"/>
      <c r="KZW308" s="1091"/>
      <c r="KZX308" s="1091"/>
      <c r="KZY308" s="1091"/>
      <c r="KZZ308" s="1091"/>
      <c r="LAA308" s="1091"/>
      <c r="LAB308" s="1091"/>
      <c r="LAC308" s="1091"/>
      <c r="LAD308" s="1091"/>
      <c r="LAE308" s="1091"/>
      <c r="LAF308" s="1091"/>
      <c r="LAG308" s="1091"/>
      <c r="LAH308" s="1091"/>
      <c r="LAI308" s="1091"/>
      <c r="LAJ308" s="1091"/>
      <c r="LAK308" s="1091"/>
      <c r="LAL308" s="1091"/>
      <c r="LAM308" s="1091"/>
      <c r="LAN308" s="1091"/>
      <c r="LAO308" s="1091"/>
      <c r="LAP308" s="1091"/>
      <c r="LAQ308" s="1091"/>
      <c r="LAR308" s="1091"/>
      <c r="LAS308" s="1091"/>
      <c r="LAT308" s="1091"/>
      <c r="LAU308" s="1091"/>
      <c r="LAV308" s="1091"/>
      <c r="LAW308" s="1091"/>
      <c r="LAX308" s="1091"/>
      <c r="LAY308" s="1091"/>
      <c r="LAZ308" s="1091"/>
      <c r="LBA308" s="1091"/>
      <c r="LBB308" s="1091"/>
      <c r="LBC308" s="1091"/>
      <c r="LBD308" s="1091"/>
      <c r="LBE308" s="1091"/>
      <c r="LBF308" s="1091"/>
      <c r="LBG308" s="1091"/>
      <c r="LBH308" s="1091"/>
      <c r="LBI308" s="1091"/>
      <c r="LBJ308" s="1091"/>
      <c r="LBK308" s="1091"/>
      <c r="LBL308" s="1091"/>
      <c r="LBM308" s="1091"/>
      <c r="LBN308" s="1091"/>
      <c r="LBO308" s="1091"/>
      <c r="LBP308" s="1091"/>
      <c r="LBQ308" s="1091"/>
      <c r="LBR308" s="1091"/>
      <c r="LBS308" s="1091"/>
      <c r="LBT308" s="1091"/>
      <c r="LBU308" s="1091"/>
      <c r="LBV308" s="1091"/>
      <c r="LBW308" s="1091"/>
      <c r="LBX308" s="1091"/>
      <c r="LBY308" s="1091"/>
      <c r="LBZ308" s="1091"/>
      <c r="LCA308" s="1091"/>
      <c r="LCB308" s="1091"/>
      <c r="LCC308" s="1091"/>
      <c r="LCD308" s="1091"/>
      <c r="LCE308" s="1091"/>
      <c r="LCF308" s="1091"/>
      <c r="LCG308" s="1091"/>
      <c r="LCH308" s="1091"/>
      <c r="LCI308" s="1091"/>
      <c r="LCJ308" s="1091"/>
      <c r="LCK308" s="1091"/>
      <c r="LCL308" s="1091"/>
      <c r="LCM308" s="1091"/>
      <c r="LCN308" s="1091"/>
      <c r="LCO308" s="1091"/>
      <c r="LCP308" s="1091"/>
      <c r="LCQ308" s="1091"/>
      <c r="LCR308" s="1091"/>
      <c r="LCS308" s="1091"/>
      <c r="LCT308" s="1091"/>
      <c r="LCU308" s="1091"/>
      <c r="LCV308" s="1091"/>
      <c r="LCW308" s="1091"/>
      <c r="LCX308" s="1091"/>
      <c r="LCY308" s="1091"/>
      <c r="LCZ308" s="1091"/>
      <c r="LDA308" s="1091"/>
      <c r="LDB308" s="1091"/>
      <c r="LDC308" s="1091"/>
      <c r="LDD308" s="1091"/>
      <c r="LDE308" s="1091"/>
      <c r="LDF308" s="1091"/>
      <c r="LDG308" s="1091"/>
      <c r="LDH308" s="1091"/>
      <c r="LDI308" s="1091"/>
      <c r="LDJ308" s="1091"/>
      <c r="LDK308" s="1091"/>
      <c r="LDL308" s="1091"/>
      <c r="LDM308" s="1091"/>
      <c r="LDN308" s="1091"/>
      <c r="LDO308" s="1091"/>
      <c r="LDP308" s="1091"/>
      <c r="LDQ308" s="1091"/>
      <c r="LDR308" s="1091"/>
      <c r="LDS308" s="1091"/>
      <c r="LDT308" s="1091"/>
      <c r="LDU308" s="1091"/>
      <c r="LDV308" s="1091"/>
      <c r="LDW308" s="1091"/>
      <c r="LDX308" s="1091"/>
      <c r="LDY308" s="1091"/>
      <c r="LDZ308" s="1091"/>
      <c r="LEA308" s="1091"/>
      <c r="LEB308" s="1091"/>
      <c r="LEC308" s="1091"/>
      <c r="LED308" s="1091"/>
      <c r="LEE308" s="1091"/>
      <c r="LEF308" s="1091"/>
      <c r="LEG308" s="1091"/>
      <c r="LEH308" s="1091"/>
      <c r="LEI308" s="1091"/>
      <c r="LEJ308" s="1091"/>
      <c r="LEK308" s="1091"/>
      <c r="LEL308" s="1091"/>
      <c r="LEM308" s="1091"/>
      <c r="LEN308" s="1091"/>
      <c r="LEO308" s="1091"/>
      <c r="LEP308" s="1091"/>
      <c r="LEQ308" s="1091"/>
      <c r="LER308" s="1091"/>
      <c r="LES308" s="1091"/>
      <c r="LET308" s="1091"/>
      <c r="LEU308" s="1091"/>
      <c r="LEV308" s="1091"/>
      <c r="LEW308" s="1091"/>
      <c r="LEX308" s="1091"/>
      <c r="LEY308" s="1091"/>
      <c r="LEZ308" s="1091"/>
      <c r="LFA308" s="1091"/>
      <c r="LFB308" s="1091"/>
      <c r="LFC308" s="1091"/>
      <c r="LFD308" s="1091"/>
      <c r="LFE308" s="1091"/>
      <c r="LFF308" s="1091"/>
      <c r="LFG308" s="1091"/>
      <c r="LFH308" s="1091"/>
      <c r="LFI308" s="1091"/>
      <c r="LFJ308" s="1091"/>
      <c r="LFK308" s="1091"/>
      <c r="LFL308" s="1091"/>
      <c r="LFM308" s="1091"/>
      <c r="LFN308" s="1091"/>
      <c r="LFO308" s="1091"/>
      <c r="LFP308" s="1091"/>
      <c r="LFQ308" s="1091"/>
      <c r="LFR308" s="1091"/>
      <c r="LFS308" s="1091"/>
      <c r="LFT308" s="1091"/>
      <c r="LFU308" s="1091"/>
      <c r="LFV308" s="1091"/>
      <c r="LFW308" s="1091"/>
      <c r="LFX308" s="1091"/>
      <c r="LFY308" s="1091"/>
      <c r="LFZ308" s="1091"/>
      <c r="LGA308" s="1091"/>
      <c r="LGB308" s="1091"/>
      <c r="LGC308" s="1091"/>
      <c r="LGD308" s="1091"/>
      <c r="LGE308" s="1091"/>
      <c r="LGF308" s="1091"/>
      <c r="LGG308" s="1091"/>
      <c r="LGH308" s="1091"/>
      <c r="LGI308" s="1091"/>
      <c r="LGJ308" s="1091"/>
      <c r="LGK308" s="1091"/>
      <c r="LGL308" s="1091"/>
      <c r="LGM308" s="1091"/>
      <c r="LGN308" s="1091"/>
      <c r="LGO308" s="1091"/>
      <c r="LGP308" s="1091"/>
      <c r="LGQ308" s="1091"/>
      <c r="LGR308" s="1091"/>
      <c r="LGS308" s="1091"/>
      <c r="LGT308" s="1091"/>
      <c r="LGU308" s="1091"/>
      <c r="LGV308" s="1091"/>
      <c r="LGW308" s="1091"/>
      <c r="LGX308" s="1091"/>
      <c r="LGY308" s="1091"/>
      <c r="LGZ308" s="1091"/>
      <c r="LHA308" s="1091"/>
      <c r="LHB308" s="1091"/>
      <c r="LHC308" s="1091"/>
      <c r="LHD308" s="1091"/>
      <c r="LHE308" s="1091"/>
      <c r="LHF308" s="1091"/>
      <c r="LHG308" s="1091"/>
      <c r="LHH308" s="1091"/>
      <c r="LHI308" s="1091"/>
      <c r="LHJ308" s="1091"/>
      <c r="LHK308" s="1091"/>
      <c r="LHL308" s="1091"/>
      <c r="LHM308" s="1091"/>
      <c r="LHN308" s="1091"/>
      <c r="LHO308" s="1091"/>
      <c r="LHP308" s="1091"/>
      <c r="LHQ308" s="1091"/>
      <c r="LHR308" s="1091"/>
      <c r="LHS308" s="1091"/>
      <c r="LHT308" s="1091"/>
      <c r="LHU308" s="1091"/>
      <c r="LHV308" s="1091"/>
      <c r="LHW308" s="1091"/>
      <c r="LHX308" s="1091"/>
      <c r="LHY308" s="1091"/>
      <c r="LHZ308" s="1091"/>
      <c r="LIA308" s="1091"/>
      <c r="LIB308" s="1091"/>
      <c r="LIC308" s="1091"/>
      <c r="LID308" s="1091"/>
      <c r="LIE308" s="1091"/>
      <c r="LIF308" s="1091"/>
      <c r="LIG308" s="1091"/>
      <c r="LIH308" s="1091"/>
      <c r="LII308" s="1091"/>
      <c r="LIJ308" s="1091"/>
      <c r="LIK308" s="1091"/>
      <c r="LIL308" s="1091"/>
      <c r="LIM308" s="1091"/>
      <c r="LIN308" s="1091"/>
      <c r="LIO308" s="1091"/>
      <c r="LIP308" s="1091"/>
      <c r="LIQ308" s="1091"/>
      <c r="LIR308" s="1091"/>
      <c r="LIS308" s="1091"/>
      <c r="LIT308" s="1091"/>
      <c r="LIU308" s="1091"/>
      <c r="LIV308" s="1091"/>
      <c r="LIW308" s="1091"/>
      <c r="LIX308" s="1091"/>
      <c r="LIY308" s="1091"/>
      <c r="LIZ308" s="1091"/>
      <c r="LJA308" s="1091"/>
      <c r="LJB308" s="1091"/>
      <c r="LJC308" s="1091"/>
      <c r="LJD308" s="1091"/>
      <c r="LJE308" s="1091"/>
      <c r="LJF308" s="1091"/>
      <c r="LJG308" s="1091"/>
      <c r="LJH308" s="1091"/>
      <c r="LJI308" s="1091"/>
      <c r="LJJ308" s="1091"/>
      <c r="LJK308" s="1091"/>
      <c r="LJL308" s="1091"/>
      <c r="LJM308" s="1091"/>
      <c r="LJN308" s="1091"/>
      <c r="LJO308" s="1091"/>
      <c r="LJP308" s="1091"/>
      <c r="LJQ308" s="1091"/>
      <c r="LJR308" s="1091"/>
      <c r="LJS308" s="1091"/>
      <c r="LJT308" s="1091"/>
      <c r="LJU308" s="1091"/>
      <c r="LJV308" s="1091"/>
      <c r="LJW308" s="1091"/>
      <c r="LJX308" s="1091"/>
      <c r="LJY308" s="1091"/>
      <c r="LJZ308" s="1091"/>
      <c r="LKA308" s="1091"/>
      <c r="LKB308" s="1091"/>
      <c r="LKC308" s="1091"/>
      <c r="LKD308" s="1091"/>
      <c r="LKE308" s="1091"/>
      <c r="LKF308" s="1091"/>
      <c r="LKG308" s="1091"/>
      <c r="LKH308" s="1091"/>
      <c r="LKI308" s="1091"/>
      <c r="LKJ308" s="1091"/>
      <c r="LKK308" s="1091"/>
      <c r="LKL308" s="1091"/>
      <c r="LKM308" s="1091"/>
      <c r="LKN308" s="1091"/>
      <c r="LKO308" s="1091"/>
      <c r="LKP308" s="1091"/>
      <c r="LKQ308" s="1091"/>
      <c r="LKR308" s="1091"/>
      <c r="LKS308" s="1091"/>
      <c r="LKT308" s="1091"/>
      <c r="LKU308" s="1091"/>
      <c r="LKV308" s="1091"/>
      <c r="LKW308" s="1091"/>
      <c r="LKX308" s="1091"/>
      <c r="LKY308" s="1091"/>
      <c r="LKZ308" s="1091"/>
      <c r="LLA308" s="1091"/>
      <c r="LLB308" s="1091"/>
      <c r="LLC308" s="1091"/>
      <c r="LLD308" s="1091"/>
      <c r="LLE308" s="1091"/>
      <c r="LLF308" s="1091"/>
      <c r="LLG308" s="1091"/>
      <c r="LLH308" s="1091"/>
      <c r="LLI308" s="1091"/>
      <c r="LLJ308" s="1091"/>
      <c r="LLK308" s="1091"/>
      <c r="LLL308" s="1091"/>
      <c r="LLM308" s="1091"/>
      <c r="LLN308" s="1091"/>
      <c r="LLO308" s="1091"/>
      <c r="LLP308" s="1091"/>
      <c r="LLQ308" s="1091"/>
      <c r="LLR308" s="1091"/>
      <c r="LLS308" s="1091"/>
      <c r="LLT308" s="1091"/>
      <c r="LLU308" s="1091"/>
      <c r="LLV308" s="1091"/>
      <c r="LLW308" s="1091"/>
      <c r="LLX308" s="1091"/>
      <c r="LLY308" s="1091"/>
      <c r="LLZ308" s="1091"/>
      <c r="LMA308" s="1091"/>
      <c r="LMB308" s="1091"/>
      <c r="LMC308" s="1091"/>
      <c r="LMD308" s="1091"/>
      <c r="LME308" s="1091"/>
      <c r="LMF308" s="1091"/>
      <c r="LMG308" s="1091"/>
      <c r="LMH308" s="1091"/>
      <c r="LMI308" s="1091"/>
      <c r="LMJ308" s="1091"/>
      <c r="LMK308" s="1091"/>
      <c r="LML308" s="1091"/>
      <c r="LMM308" s="1091"/>
      <c r="LMN308" s="1091"/>
      <c r="LMO308" s="1091"/>
      <c r="LMP308" s="1091"/>
      <c r="LMQ308" s="1091"/>
      <c r="LMR308" s="1091"/>
      <c r="LMS308" s="1091"/>
      <c r="LMT308" s="1091"/>
      <c r="LMU308" s="1091"/>
      <c r="LMV308" s="1091"/>
      <c r="LMW308" s="1091"/>
      <c r="LMX308" s="1091"/>
      <c r="LMY308" s="1091"/>
      <c r="LMZ308" s="1091"/>
      <c r="LNA308" s="1091"/>
      <c r="LNB308" s="1091"/>
      <c r="LNC308" s="1091"/>
      <c r="LND308" s="1091"/>
      <c r="LNE308" s="1091"/>
      <c r="LNF308" s="1091"/>
      <c r="LNG308" s="1091"/>
      <c r="LNH308" s="1091"/>
      <c r="LNI308" s="1091"/>
      <c r="LNJ308" s="1091"/>
      <c r="LNK308" s="1091"/>
      <c r="LNL308" s="1091"/>
      <c r="LNM308" s="1091"/>
      <c r="LNN308" s="1091"/>
      <c r="LNO308" s="1091"/>
      <c r="LNP308" s="1091"/>
      <c r="LNQ308" s="1091"/>
      <c r="LNR308" s="1091"/>
      <c r="LNS308" s="1091"/>
      <c r="LNT308" s="1091"/>
      <c r="LNU308" s="1091"/>
      <c r="LNV308" s="1091"/>
      <c r="LNW308" s="1091"/>
      <c r="LNX308" s="1091"/>
      <c r="LNY308" s="1091"/>
      <c r="LNZ308" s="1091"/>
      <c r="LOA308" s="1091"/>
      <c r="LOB308" s="1091"/>
      <c r="LOC308" s="1091"/>
      <c r="LOD308" s="1091"/>
      <c r="LOE308" s="1091"/>
      <c r="LOF308" s="1091"/>
      <c r="LOG308" s="1091"/>
      <c r="LOH308" s="1091"/>
      <c r="LOI308" s="1091"/>
      <c r="LOJ308" s="1091"/>
      <c r="LOK308" s="1091"/>
      <c r="LOL308" s="1091"/>
      <c r="LOM308" s="1091"/>
      <c r="LON308" s="1091"/>
      <c r="LOO308" s="1091"/>
      <c r="LOP308" s="1091"/>
      <c r="LOQ308" s="1091"/>
      <c r="LOR308" s="1091"/>
      <c r="LOS308" s="1091"/>
      <c r="LOT308" s="1091"/>
      <c r="LOU308" s="1091"/>
      <c r="LOV308" s="1091"/>
      <c r="LOW308" s="1091"/>
      <c r="LOX308" s="1091"/>
      <c r="LOY308" s="1091"/>
      <c r="LOZ308" s="1091"/>
      <c r="LPA308" s="1091"/>
      <c r="LPB308" s="1091"/>
      <c r="LPC308" s="1091"/>
      <c r="LPD308" s="1091"/>
      <c r="LPE308" s="1091"/>
      <c r="LPF308" s="1091"/>
      <c r="LPG308" s="1091"/>
      <c r="LPH308" s="1091"/>
      <c r="LPI308" s="1091"/>
      <c r="LPJ308" s="1091"/>
      <c r="LPK308" s="1091"/>
      <c r="LPL308" s="1091"/>
      <c r="LPM308" s="1091"/>
      <c r="LPN308" s="1091"/>
      <c r="LPO308" s="1091"/>
      <c r="LPP308" s="1091"/>
      <c r="LPQ308" s="1091"/>
      <c r="LPR308" s="1091"/>
      <c r="LPS308" s="1091"/>
      <c r="LPT308" s="1091"/>
      <c r="LPU308" s="1091"/>
      <c r="LPV308" s="1091"/>
      <c r="LPW308" s="1091"/>
      <c r="LPX308" s="1091"/>
      <c r="LPY308" s="1091"/>
      <c r="LPZ308" s="1091"/>
      <c r="LQA308" s="1091"/>
      <c r="LQB308" s="1091"/>
      <c r="LQC308" s="1091"/>
      <c r="LQD308" s="1091"/>
      <c r="LQE308" s="1091"/>
      <c r="LQF308" s="1091"/>
      <c r="LQG308" s="1091"/>
      <c r="LQH308" s="1091"/>
      <c r="LQI308" s="1091"/>
      <c r="LQJ308" s="1091"/>
      <c r="LQK308" s="1091"/>
      <c r="LQL308" s="1091"/>
      <c r="LQM308" s="1091"/>
      <c r="LQN308" s="1091"/>
      <c r="LQO308" s="1091"/>
      <c r="LQP308" s="1091"/>
      <c r="LQQ308" s="1091"/>
      <c r="LQR308" s="1091"/>
      <c r="LQS308" s="1091"/>
      <c r="LQT308" s="1091"/>
      <c r="LQU308" s="1091"/>
      <c r="LQV308" s="1091"/>
      <c r="LQW308" s="1091"/>
      <c r="LQX308" s="1091"/>
      <c r="LQY308" s="1091"/>
      <c r="LQZ308" s="1091"/>
      <c r="LRA308" s="1091"/>
      <c r="LRB308" s="1091"/>
      <c r="LRC308" s="1091"/>
      <c r="LRD308" s="1091"/>
      <c r="LRE308" s="1091"/>
      <c r="LRF308" s="1091"/>
      <c r="LRG308" s="1091"/>
      <c r="LRH308" s="1091"/>
      <c r="LRI308" s="1091"/>
      <c r="LRJ308" s="1091"/>
      <c r="LRK308" s="1091"/>
      <c r="LRL308" s="1091"/>
      <c r="LRM308" s="1091"/>
      <c r="LRN308" s="1091"/>
      <c r="LRO308" s="1091"/>
      <c r="LRP308" s="1091"/>
      <c r="LRQ308" s="1091"/>
      <c r="LRR308" s="1091"/>
      <c r="LRS308" s="1091"/>
      <c r="LRT308" s="1091"/>
      <c r="LRU308" s="1091"/>
      <c r="LRV308" s="1091"/>
      <c r="LRW308" s="1091"/>
      <c r="LRX308" s="1091"/>
      <c r="LRY308" s="1091"/>
      <c r="LRZ308" s="1091"/>
      <c r="LSA308" s="1091"/>
      <c r="LSB308" s="1091"/>
      <c r="LSC308" s="1091"/>
      <c r="LSD308" s="1091"/>
      <c r="LSE308" s="1091"/>
      <c r="LSF308" s="1091"/>
      <c r="LSG308" s="1091"/>
      <c r="LSH308" s="1091"/>
      <c r="LSI308" s="1091"/>
      <c r="LSJ308" s="1091"/>
      <c r="LSK308" s="1091"/>
      <c r="LSL308" s="1091"/>
      <c r="LSM308" s="1091"/>
      <c r="LSN308" s="1091"/>
      <c r="LSO308" s="1091"/>
      <c r="LSP308" s="1091"/>
      <c r="LSQ308" s="1091"/>
      <c r="LSR308" s="1091"/>
      <c r="LSS308" s="1091"/>
      <c r="LST308" s="1091"/>
      <c r="LSU308" s="1091"/>
      <c r="LSV308" s="1091"/>
      <c r="LSW308" s="1091"/>
      <c r="LSX308" s="1091"/>
      <c r="LSY308" s="1091"/>
      <c r="LSZ308" s="1091"/>
      <c r="LTA308" s="1091"/>
      <c r="LTB308" s="1091"/>
      <c r="LTC308" s="1091"/>
      <c r="LTD308" s="1091"/>
      <c r="LTE308" s="1091"/>
      <c r="LTF308" s="1091"/>
      <c r="LTG308" s="1091"/>
      <c r="LTH308" s="1091"/>
      <c r="LTI308" s="1091"/>
      <c r="LTJ308" s="1091"/>
      <c r="LTK308" s="1091"/>
      <c r="LTL308" s="1091"/>
      <c r="LTM308" s="1091"/>
      <c r="LTN308" s="1091"/>
      <c r="LTO308" s="1091"/>
      <c r="LTP308" s="1091"/>
      <c r="LTQ308" s="1091"/>
      <c r="LTR308" s="1091"/>
      <c r="LTS308" s="1091"/>
      <c r="LTT308" s="1091"/>
      <c r="LTU308" s="1091"/>
      <c r="LTV308" s="1091"/>
      <c r="LTW308" s="1091"/>
      <c r="LTX308" s="1091"/>
      <c r="LTY308" s="1091"/>
      <c r="LTZ308" s="1091"/>
      <c r="LUA308" s="1091"/>
      <c r="LUB308" s="1091"/>
      <c r="LUC308" s="1091"/>
      <c r="LUD308" s="1091"/>
      <c r="LUE308" s="1091"/>
      <c r="LUF308" s="1091"/>
      <c r="LUG308" s="1091"/>
      <c r="LUH308" s="1091"/>
      <c r="LUI308" s="1091"/>
      <c r="LUJ308" s="1091"/>
      <c r="LUK308" s="1091"/>
      <c r="LUL308" s="1091"/>
      <c r="LUM308" s="1091"/>
      <c r="LUN308" s="1091"/>
      <c r="LUO308" s="1091"/>
      <c r="LUP308" s="1091"/>
      <c r="LUQ308" s="1091"/>
      <c r="LUR308" s="1091"/>
      <c r="LUS308" s="1091"/>
      <c r="LUT308" s="1091"/>
      <c r="LUU308" s="1091"/>
      <c r="LUV308" s="1091"/>
      <c r="LUW308" s="1091"/>
      <c r="LUX308" s="1091"/>
      <c r="LUY308" s="1091"/>
      <c r="LUZ308" s="1091"/>
      <c r="LVA308" s="1091"/>
      <c r="LVB308" s="1091"/>
      <c r="LVC308" s="1091"/>
      <c r="LVD308" s="1091"/>
      <c r="LVE308" s="1091"/>
      <c r="LVF308" s="1091"/>
      <c r="LVG308" s="1091"/>
      <c r="LVH308" s="1091"/>
      <c r="LVI308" s="1091"/>
      <c r="LVJ308" s="1091"/>
      <c r="LVK308" s="1091"/>
      <c r="LVL308" s="1091"/>
      <c r="LVM308" s="1091"/>
      <c r="LVN308" s="1091"/>
      <c r="LVO308" s="1091"/>
      <c r="LVP308" s="1091"/>
      <c r="LVQ308" s="1091"/>
      <c r="LVR308" s="1091"/>
      <c r="LVS308" s="1091"/>
      <c r="LVT308" s="1091"/>
      <c r="LVU308" s="1091"/>
      <c r="LVV308" s="1091"/>
      <c r="LVW308" s="1091"/>
      <c r="LVX308" s="1091"/>
      <c r="LVY308" s="1091"/>
      <c r="LVZ308" s="1091"/>
      <c r="LWA308" s="1091"/>
      <c r="LWB308" s="1091"/>
      <c r="LWC308" s="1091"/>
      <c r="LWD308" s="1091"/>
      <c r="LWE308" s="1091"/>
      <c r="LWF308" s="1091"/>
      <c r="LWG308" s="1091"/>
      <c r="LWH308" s="1091"/>
      <c r="LWI308" s="1091"/>
      <c r="LWJ308" s="1091"/>
      <c r="LWK308" s="1091"/>
      <c r="LWL308" s="1091"/>
      <c r="LWM308" s="1091"/>
      <c r="LWN308" s="1091"/>
      <c r="LWO308" s="1091"/>
      <c r="LWP308" s="1091"/>
      <c r="LWQ308" s="1091"/>
      <c r="LWR308" s="1091"/>
      <c r="LWS308" s="1091"/>
      <c r="LWT308" s="1091"/>
      <c r="LWU308" s="1091"/>
      <c r="LWV308" s="1091"/>
      <c r="LWW308" s="1091"/>
      <c r="LWX308" s="1091"/>
      <c r="LWY308" s="1091"/>
      <c r="LWZ308" s="1091"/>
      <c r="LXA308" s="1091"/>
      <c r="LXB308" s="1091"/>
      <c r="LXC308" s="1091"/>
      <c r="LXD308" s="1091"/>
      <c r="LXE308" s="1091"/>
      <c r="LXF308" s="1091"/>
      <c r="LXG308" s="1091"/>
      <c r="LXH308" s="1091"/>
      <c r="LXI308" s="1091"/>
      <c r="LXJ308" s="1091"/>
      <c r="LXK308" s="1091"/>
      <c r="LXL308" s="1091"/>
      <c r="LXM308" s="1091"/>
      <c r="LXN308" s="1091"/>
      <c r="LXO308" s="1091"/>
      <c r="LXP308" s="1091"/>
      <c r="LXQ308" s="1091"/>
      <c r="LXR308" s="1091"/>
      <c r="LXS308" s="1091"/>
      <c r="LXT308" s="1091"/>
      <c r="LXU308" s="1091"/>
      <c r="LXV308" s="1091"/>
      <c r="LXW308" s="1091"/>
      <c r="LXX308" s="1091"/>
      <c r="LXY308" s="1091"/>
      <c r="LXZ308" s="1091"/>
      <c r="LYA308" s="1091"/>
      <c r="LYB308" s="1091"/>
      <c r="LYC308" s="1091"/>
      <c r="LYD308" s="1091"/>
      <c r="LYE308" s="1091"/>
      <c r="LYF308" s="1091"/>
      <c r="LYG308" s="1091"/>
      <c r="LYH308" s="1091"/>
      <c r="LYI308" s="1091"/>
      <c r="LYJ308" s="1091"/>
      <c r="LYK308" s="1091"/>
      <c r="LYL308" s="1091"/>
      <c r="LYM308" s="1091"/>
      <c r="LYN308" s="1091"/>
      <c r="LYO308" s="1091"/>
      <c r="LYP308" s="1091"/>
      <c r="LYQ308" s="1091"/>
      <c r="LYR308" s="1091"/>
      <c r="LYS308" s="1091"/>
      <c r="LYT308" s="1091"/>
      <c r="LYU308" s="1091"/>
      <c r="LYV308" s="1091"/>
      <c r="LYW308" s="1091"/>
      <c r="LYX308" s="1091"/>
      <c r="LYY308" s="1091"/>
      <c r="LYZ308" s="1091"/>
      <c r="LZA308" s="1091"/>
      <c r="LZB308" s="1091"/>
      <c r="LZC308" s="1091"/>
      <c r="LZD308" s="1091"/>
      <c r="LZE308" s="1091"/>
      <c r="LZF308" s="1091"/>
      <c r="LZG308" s="1091"/>
      <c r="LZH308" s="1091"/>
      <c r="LZI308" s="1091"/>
      <c r="LZJ308" s="1091"/>
      <c r="LZK308" s="1091"/>
      <c r="LZL308" s="1091"/>
      <c r="LZM308" s="1091"/>
      <c r="LZN308" s="1091"/>
      <c r="LZO308" s="1091"/>
      <c r="LZP308" s="1091"/>
      <c r="LZQ308" s="1091"/>
      <c r="LZR308" s="1091"/>
      <c r="LZS308" s="1091"/>
      <c r="LZT308" s="1091"/>
      <c r="LZU308" s="1091"/>
      <c r="LZV308" s="1091"/>
      <c r="LZW308" s="1091"/>
      <c r="LZX308" s="1091"/>
      <c r="LZY308" s="1091"/>
      <c r="LZZ308" s="1091"/>
      <c r="MAA308" s="1091"/>
      <c r="MAB308" s="1091"/>
      <c r="MAC308" s="1091"/>
      <c r="MAD308" s="1091"/>
      <c r="MAE308" s="1091"/>
      <c r="MAF308" s="1091"/>
      <c r="MAG308" s="1091"/>
      <c r="MAH308" s="1091"/>
      <c r="MAI308" s="1091"/>
      <c r="MAJ308" s="1091"/>
      <c r="MAK308" s="1091"/>
      <c r="MAL308" s="1091"/>
      <c r="MAM308" s="1091"/>
      <c r="MAN308" s="1091"/>
      <c r="MAO308" s="1091"/>
      <c r="MAP308" s="1091"/>
      <c r="MAQ308" s="1091"/>
      <c r="MAR308" s="1091"/>
      <c r="MAS308" s="1091"/>
      <c r="MAT308" s="1091"/>
      <c r="MAU308" s="1091"/>
      <c r="MAV308" s="1091"/>
      <c r="MAW308" s="1091"/>
      <c r="MAX308" s="1091"/>
      <c r="MAY308" s="1091"/>
      <c r="MAZ308" s="1091"/>
      <c r="MBA308" s="1091"/>
      <c r="MBB308" s="1091"/>
      <c r="MBC308" s="1091"/>
      <c r="MBD308" s="1091"/>
      <c r="MBE308" s="1091"/>
      <c r="MBF308" s="1091"/>
      <c r="MBG308" s="1091"/>
      <c r="MBH308" s="1091"/>
      <c r="MBI308" s="1091"/>
      <c r="MBJ308" s="1091"/>
      <c r="MBK308" s="1091"/>
      <c r="MBL308" s="1091"/>
      <c r="MBM308" s="1091"/>
      <c r="MBN308" s="1091"/>
      <c r="MBO308" s="1091"/>
      <c r="MBP308" s="1091"/>
      <c r="MBQ308" s="1091"/>
      <c r="MBR308" s="1091"/>
      <c r="MBS308" s="1091"/>
      <c r="MBT308" s="1091"/>
      <c r="MBU308" s="1091"/>
      <c r="MBV308" s="1091"/>
      <c r="MBW308" s="1091"/>
      <c r="MBX308" s="1091"/>
      <c r="MBY308" s="1091"/>
      <c r="MBZ308" s="1091"/>
      <c r="MCA308" s="1091"/>
      <c r="MCB308" s="1091"/>
      <c r="MCC308" s="1091"/>
      <c r="MCD308" s="1091"/>
      <c r="MCE308" s="1091"/>
      <c r="MCF308" s="1091"/>
      <c r="MCG308" s="1091"/>
      <c r="MCH308" s="1091"/>
      <c r="MCI308" s="1091"/>
      <c r="MCJ308" s="1091"/>
      <c r="MCK308" s="1091"/>
      <c r="MCL308" s="1091"/>
      <c r="MCM308" s="1091"/>
      <c r="MCN308" s="1091"/>
      <c r="MCO308" s="1091"/>
      <c r="MCP308" s="1091"/>
      <c r="MCQ308" s="1091"/>
      <c r="MCR308" s="1091"/>
      <c r="MCS308" s="1091"/>
      <c r="MCT308" s="1091"/>
      <c r="MCU308" s="1091"/>
      <c r="MCV308" s="1091"/>
      <c r="MCW308" s="1091"/>
      <c r="MCX308" s="1091"/>
      <c r="MCY308" s="1091"/>
      <c r="MCZ308" s="1091"/>
      <c r="MDA308" s="1091"/>
      <c r="MDB308" s="1091"/>
      <c r="MDC308" s="1091"/>
      <c r="MDD308" s="1091"/>
      <c r="MDE308" s="1091"/>
      <c r="MDF308" s="1091"/>
      <c r="MDG308" s="1091"/>
      <c r="MDH308" s="1091"/>
      <c r="MDI308" s="1091"/>
      <c r="MDJ308" s="1091"/>
      <c r="MDK308" s="1091"/>
      <c r="MDL308" s="1091"/>
      <c r="MDM308" s="1091"/>
      <c r="MDN308" s="1091"/>
      <c r="MDO308" s="1091"/>
      <c r="MDP308" s="1091"/>
      <c r="MDQ308" s="1091"/>
      <c r="MDR308" s="1091"/>
      <c r="MDS308" s="1091"/>
      <c r="MDT308" s="1091"/>
      <c r="MDU308" s="1091"/>
      <c r="MDV308" s="1091"/>
      <c r="MDW308" s="1091"/>
      <c r="MDX308" s="1091"/>
      <c r="MDY308" s="1091"/>
      <c r="MDZ308" s="1091"/>
      <c r="MEA308" s="1091"/>
      <c r="MEB308" s="1091"/>
      <c r="MEC308" s="1091"/>
      <c r="MED308" s="1091"/>
      <c r="MEE308" s="1091"/>
      <c r="MEF308" s="1091"/>
      <c r="MEG308" s="1091"/>
      <c r="MEH308" s="1091"/>
      <c r="MEI308" s="1091"/>
      <c r="MEJ308" s="1091"/>
      <c r="MEK308" s="1091"/>
      <c r="MEL308" s="1091"/>
      <c r="MEM308" s="1091"/>
      <c r="MEN308" s="1091"/>
      <c r="MEO308" s="1091"/>
      <c r="MEP308" s="1091"/>
      <c r="MEQ308" s="1091"/>
      <c r="MER308" s="1091"/>
      <c r="MES308" s="1091"/>
      <c r="MET308" s="1091"/>
      <c r="MEU308" s="1091"/>
      <c r="MEV308" s="1091"/>
      <c r="MEW308" s="1091"/>
      <c r="MEX308" s="1091"/>
      <c r="MEY308" s="1091"/>
      <c r="MEZ308" s="1091"/>
      <c r="MFA308" s="1091"/>
      <c r="MFB308" s="1091"/>
      <c r="MFC308" s="1091"/>
      <c r="MFD308" s="1091"/>
      <c r="MFE308" s="1091"/>
      <c r="MFF308" s="1091"/>
      <c r="MFG308" s="1091"/>
      <c r="MFH308" s="1091"/>
      <c r="MFI308" s="1091"/>
      <c r="MFJ308" s="1091"/>
      <c r="MFK308" s="1091"/>
      <c r="MFL308" s="1091"/>
      <c r="MFM308" s="1091"/>
      <c r="MFN308" s="1091"/>
      <c r="MFO308" s="1091"/>
      <c r="MFP308" s="1091"/>
      <c r="MFQ308" s="1091"/>
      <c r="MFR308" s="1091"/>
      <c r="MFS308" s="1091"/>
      <c r="MFT308" s="1091"/>
      <c r="MFU308" s="1091"/>
      <c r="MFV308" s="1091"/>
      <c r="MFW308" s="1091"/>
      <c r="MFX308" s="1091"/>
      <c r="MFY308" s="1091"/>
      <c r="MFZ308" s="1091"/>
      <c r="MGA308" s="1091"/>
      <c r="MGB308" s="1091"/>
      <c r="MGC308" s="1091"/>
      <c r="MGD308" s="1091"/>
      <c r="MGE308" s="1091"/>
      <c r="MGF308" s="1091"/>
      <c r="MGG308" s="1091"/>
      <c r="MGH308" s="1091"/>
      <c r="MGI308" s="1091"/>
      <c r="MGJ308" s="1091"/>
      <c r="MGK308" s="1091"/>
      <c r="MGL308" s="1091"/>
      <c r="MGM308" s="1091"/>
      <c r="MGN308" s="1091"/>
      <c r="MGO308" s="1091"/>
      <c r="MGP308" s="1091"/>
      <c r="MGQ308" s="1091"/>
      <c r="MGR308" s="1091"/>
      <c r="MGS308" s="1091"/>
      <c r="MGT308" s="1091"/>
      <c r="MGU308" s="1091"/>
      <c r="MGV308" s="1091"/>
      <c r="MGW308" s="1091"/>
      <c r="MGX308" s="1091"/>
      <c r="MGY308" s="1091"/>
      <c r="MGZ308" s="1091"/>
      <c r="MHA308" s="1091"/>
      <c r="MHB308" s="1091"/>
      <c r="MHC308" s="1091"/>
      <c r="MHD308" s="1091"/>
      <c r="MHE308" s="1091"/>
      <c r="MHF308" s="1091"/>
      <c r="MHG308" s="1091"/>
      <c r="MHH308" s="1091"/>
      <c r="MHI308" s="1091"/>
      <c r="MHJ308" s="1091"/>
      <c r="MHK308" s="1091"/>
      <c r="MHL308" s="1091"/>
      <c r="MHM308" s="1091"/>
      <c r="MHN308" s="1091"/>
      <c r="MHO308" s="1091"/>
      <c r="MHP308" s="1091"/>
      <c r="MHQ308" s="1091"/>
      <c r="MHR308" s="1091"/>
      <c r="MHS308" s="1091"/>
      <c r="MHT308" s="1091"/>
      <c r="MHU308" s="1091"/>
      <c r="MHV308" s="1091"/>
      <c r="MHW308" s="1091"/>
      <c r="MHX308" s="1091"/>
      <c r="MHY308" s="1091"/>
      <c r="MHZ308" s="1091"/>
      <c r="MIA308" s="1091"/>
      <c r="MIB308" s="1091"/>
      <c r="MIC308" s="1091"/>
      <c r="MID308" s="1091"/>
      <c r="MIE308" s="1091"/>
      <c r="MIF308" s="1091"/>
      <c r="MIG308" s="1091"/>
      <c r="MIH308" s="1091"/>
      <c r="MII308" s="1091"/>
      <c r="MIJ308" s="1091"/>
      <c r="MIK308" s="1091"/>
      <c r="MIL308" s="1091"/>
      <c r="MIM308" s="1091"/>
      <c r="MIN308" s="1091"/>
      <c r="MIO308" s="1091"/>
      <c r="MIP308" s="1091"/>
      <c r="MIQ308" s="1091"/>
      <c r="MIR308" s="1091"/>
      <c r="MIS308" s="1091"/>
      <c r="MIT308" s="1091"/>
      <c r="MIU308" s="1091"/>
      <c r="MIV308" s="1091"/>
      <c r="MIW308" s="1091"/>
      <c r="MIX308" s="1091"/>
      <c r="MIY308" s="1091"/>
      <c r="MIZ308" s="1091"/>
      <c r="MJA308" s="1091"/>
      <c r="MJB308" s="1091"/>
      <c r="MJC308" s="1091"/>
      <c r="MJD308" s="1091"/>
      <c r="MJE308" s="1091"/>
      <c r="MJF308" s="1091"/>
      <c r="MJG308" s="1091"/>
      <c r="MJH308" s="1091"/>
      <c r="MJI308" s="1091"/>
      <c r="MJJ308" s="1091"/>
      <c r="MJK308" s="1091"/>
      <c r="MJL308" s="1091"/>
      <c r="MJM308" s="1091"/>
      <c r="MJN308" s="1091"/>
      <c r="MJO308" s="1091"/>
      <c r="MJP308" s="1091"/>
      <c r="MJQ308" s="1091"/>
      <c r="MJR308" s="1091"/>
      <c r="MJS308" s="1091"/>
      <c r="MJT308" s="1091"/>
      <c r="MJU308" s="1091"/>
      <c r="MJV308" s="1091"/>
      <c r="MJW308" s="1091"/>
      <c r="MJX308" s="1091"/>
      <c r="MJY308" s="1091"/>
      <c r="MJZ308" s="1091"/>
      <c r="MKA308" s="1091"/>
      <c r="MKB308" s="1091"/>
      <c r="MKC308" s="1091"/>
      <c r="MKD308" s="1091"/>
      <c r="MKE308" s="1091"/>
      <c r="MKF308" s="1091"/>
      <c r="MKG308" s="1091"/>
      <c r="MKH308" s="1091"/>
      <c r="MKI308" s="1091"/>
      <c r="MKJ308" s="1091"/>
      <c r="MKK308" s="1091"/>
      <c r="MKL308" s="1091"/>
      <c r="MKM308" s="1091"/>
      <c r="MKN308" s="1091"/>
      <c r="MKO308" s="1091"/>
      <c r="MKP308" s="1091"/>
      <c r="MKQ308" s="1091"/>
      <c r="MKR308" s="1091"/>
      <c r="MKS308" s="1091"/>
      <c r="MKT308" s="1091"/>
      <c r="MKU308" s="1091"/>
      <c r="MKV308" s="1091"/>
      <c r="MKW308" s="1091"/>
      <c r="MKX308" s="1091"/>
      <c r="MKY308" s="1091"/>
      <c r="MKZ308" s="1091"/>
      <c r="MLA308" s="1091"/>
      <c r="MLB308" s="1091"/>
      <c r="MLC308" s="1091"/>
      <c r="MLD308" s="1091"/>
      <c r="MLE308" s="1091"/>
      <c r="MLF308" s="1091"/>
      <c r="MLG308" s="1091"/>
      <c r="MLH308" s="1091"/>
      <c r="MLI308" s="1091"/>
      <c r="MLJ308" s="1091"/>
      <c r="MLK308" s="1091"/>
      <c r="MLL308" s="1091"/>
      <c r="MLM308" s="1091"/>
      <c r="MLN308" s="1091"/>
      <c r="MLO308" s="1091"/>
      <c r="MLP308" s="1091"/>
      <c r="MLQ308" s="1091"/>
      <c r="MLR308" s="1091"/>
      <c r="MLS308" s="1091"/>
      <c r="MLT308" s="1091"/>
      <c r="MLU308" s="1091"/>
      <c r="MLV308" s="1091"/>
      <c r="MLW308" s="1091"/>
      <c r="MLX308" s="1091"/>
      <c r="MLY308" s="1091"/>
      <c r="MLZ308" s="1091"/>
      <c r="MMA308" s="1091"/>
      <c r="MMB308" s="1091"/>
      <c r="MMC308" s="1091"/>
      <c r="MMD308" s="1091"/>
      <c r="MME308" s="1091"/>
      <c r="MMF308" s="1091"/>
      <c r="MMG308" s="1091"/>
      <c r="MMH308" s="1091"/>
      <c r="MMI308" s="1091"/>
      <c r="MMJ308" s="1091"/>
      <c r="MMK308" s="1091"/>
      <c r="MML308" s="1091"/>
      <c r="MMM308" s="1091"/>
      <c r="MMN308" s="1091"/>
      <c r="MMO308" s="1091"/>
      <c r="MMP308" s="1091"/>
      <c r="MMQ308" s="1091"/>
      <c r="MMR308" s="1091"/>
      <c r="MMS308" s="1091"/>
      <c r="MMT308" s="1091"/>
      <c r="MMU308" s="1091"/>
      <c r="MMV308" s="1091"/>
      <c r="MMW308" s="1091"/>
      <c r="MMX308" s="1091"/>
      <c r="MMY308" s="1091"/>
      <c r="MMZ308" s="1091"/>
      <c r="MNA308" s="1091"/>
      <c r="MNB308" s="1091"/>
      <c r="MNC308" s="1091"/>
      <c r="MND308" s="1091"/>
      <c r="MNE308" s="1091"/>
      <c r="MNF308" s="1091"/>
      <c r="MNG308" s="1091"/>
      <c r="MNH308" s="1091"/>
      <c r="MNI308" s="1091"/>
      <c r="MNJ308" s="1091"/>
      <c r="MNK308" s="1091"/>
      <c r="MNL308" s="1091"/>
      <c r="MNM308" s="1091"/>
      <c r="MNN308" s="1091"/>
      <c r="MNO308" s="1091"/>
      <c r="MNP308" s="1091"/>
      <c r="MNQ308" s="1091"/>
      <c r="MNR308" s="1091"/>
      <c r="MNS308" s="1091"/>
      <c r="MNT308" s="1091"/>
      <c r="MNU308" s="1091"/>
      <c r="MNV308" s="1091"/>
      <c r="MNW308" s="1091"/>
      <c r="MNX308" s="1091"/>
      <c r="MNY308" s="1091"/>
      <c r="MNZ308" s="1091"/>
      <c r="MOA308" s="1091"/>
      <c r="MOB308" s="1091"/>
      <c r="MOC308" s="1091"/>
      <c r="MOD308" s="1091"/>
      <c r="MOE308" s="1091"/>
      <c r="MOF308" s="1091"/>
      <c r="MOG308" s="1091"/>
      <c r="MOH308" s="1091"/>
      <c r="MOI308" s="1091"/>
      <c r="MOJ308" s="1091"/>
      <c r="MOK308" s="1091"/>
      <c r="MOL308" s="1091"/>
      <c r="MOM308" s="1091"/>
      <c r="MON308" s="1091"/>
      <c r="MOO308" s="1091"/>
      <c r="MOP308" s="1091"/>
      <c r="MOQ308" s="1091"/>
      <c r="MOR308" s="1091"/>
      <c r="MOS308" s="1091"/>
      <c r="MOT308" s="1091"/>
      <c r="MOU308" s="1091"/>
      <c r="MOV308" s="1091"/>
      <c r="MOW308" s="1091"/>
      <c r="MOX308" s="1091"/>
      <c r="MOY308" s="1091"/>
      <c r="MOZ308" s="1091"/>
      <c r="MPA308" s="1091"/>
      <c r="MPB308" s="1091"/>
      <c r="MPC308" s="1091"/>
      <c r="MPD308" s="1091"/>
      <c r="MPE308" s="1091"/>
      <c r="MPF308" s="1091"/>
      <c r="MPG308" s="1091"/>
      <c r="MPH308" s="1091"/>
      <c r="MPI308" s="1091"/>
      <c r="MPJ308" s="1091"/>
      <c r="MPK308" s="1091"/>
      <c r="MPL308" s="1091"/>
      <c r="MPM308" s="1091"/>
      <c r="MPN308" s="1091"/>
      <c r="MPO308" s="1091"/>
      <c r="MPP308" s="1091"/>
      <c r="MPQ308" s="1091"/>
      <c r="MPR308" s="1091"/>
      <c r="MPS308" s="1091"/>
      <c r="MPT308" s="1091"/>
      <c r="MPU308" s="1091"/>
      <c r="MPV308" s="1091"/>
      <c r="MPW308" s="1091"/>
      <c r="MPX308" s="1091"/>
      <c r="MPY308" s="1091"/>
      <c r="MPZ308" s="1091"/>
      <c r="MQA308" s="1091"/>
      <c r="MQB308" s="1091"/>
      <c r="MQC308" s="1091"/>
      <c r="MQD308" s="1091"/>
      <c r="MQE308" s="1091"/>
      <c r="MQF308" s="1091"/>
      <c r="MQG308" s="1091"/>
      <c r="MQH308" s="1091"/>
      <c r="MQI308" s="1091"/>
      <c r="MQJ308" s="1091"/>
      <c r="MQK308" s="1091"/>
      <c r="MQL308" s="1091"/>
      <c r="MQM308" s="1091"/>
      <c r="MQN308" s="1091"/>
      <c r="MQO308" s="1091"/>
      <c r="MQP308" s="1091"/>
      <c r="MQQ308" s="1091"/>
      <c r="MQR308" s="1091"/>
      <c r="MQS308" s="1091"/>
      <c r="MQT308" s="1091"/>
      <c r="MQU308" s="1091"/>
      <c r="MQV308" s="1091"/>
      <c r="MQW308" s="1091"/>
      <c r="MQX308" s="1091"/>
      <c r="MQY308" s="1091"/>
      <c r="MQZ308" s="1091"/>
      <c r="MRA308" s="1091"/>
      <c r="MRB308" s="1091"/>
      <c r="MRC308" s="1091"/>
      <c r="MRD308" s="1091"/>
      <c r="MRE308" s="1091"/>
      <c r="MRF308" s="1091"/>
      <c r="MRG308" s="1091"/>
      <c r="MRH308" s="1091"/>
      <c r="MRI308" s="1091"/>
      <c r="MRJ308" s="1091"/>
      <c r="MRK308" s="1091"/>
      <c r="MRL308" s="1091"/>
      <c r="MRM308" s="1091"/>
      <c r="MRN308" s="1091"/>
      <c r="MRO308" s="1091"/>
      <c r="MRP308" s="1091"/>
      <c r="MRQ308" s="1091"/>
      <c r="MRR308" s="1091"/>
      <c r="MRS308" s="1091"/>
      <c r="MRT308" s="1091"/>
      <c r="MRU308" s="1091"/>
      <c r="MRV308" s="1091"/>
      <c r="MRW308" s="1091"/>
      <c r="MRX308" s="1091"/>
      <c r="MRY308" s="1091"/>
      <c r="MRZ308" s="1091"/>
      <c r="MSA308" s="1091"/>
      <c r="MSB308" s="1091"/>
      <c r="MSC308" s="1091"/>
      <c r="MSD308" s="1091"/>
      <c r="MSE308" s="1091"/>
      <c r="MSF308" s="1091"/>
      <c r="MSG308" s="1091"/>
      <c r="MSH308" s="1091"/>
      <c r="MSI308" s="1091"/>
      <c r="MSJ308" s="1091"/>
      <c r="MSK308" s="1091"/>
      <c r="MSL308" s="1091"/>
      <c r="MSM308" s="1091"/>
      <c r="MSN308" s="1091"/>
      <c r="MSO308" s="1091"/>
      <c r="MSP308" s="1091"/>
      <c r="MSQ308" s="1091"/>
      <c r="MSR308" s="1091"/>
      <c r="MSS308" s="1091"/>
      <c r="MST308" s="1091"/>
      <c r="MSU308" s="1091"/>
      <c r="MSV308" s="1091"/>
      <c r="MSW308" s="1091"/>
      <c r="MSX308" s="1091"/>
      <c r="MSY308" s="1091"/>
      <c r="MSZ308" s="1091"/>
      <c r="MTA308" s="1091"/>
      <c r="MTB308" s="1091"/>
      <c r="MTC308" s="1091"/>
      <c r="MTD308" s="1091"/>
      <c r="MTE308" s="1091"/>
      <c r="MTF308" s="1091"/>
      <c r="MTG308" s="1091"/>
      <c r="MTH308" s="1091"/>
      <c r="MTI308" s="1091"/>
      <c r="MTJ308" s="1091"/>
      <c r="MTK308" s="1091"/>
      <c r="MTL308" s="1091"/>
      <c r="MTM308" s="1091"/>
      <c r="MTN308" s="1091"/>
      <c r="MTO308" s="1091"/>
      <c r="MTP308" s="1091"/>
      <c r="MTQ308" s="1091"/>
      <c r="MTR308" s="1091"/>
      <c r="MTS308" s="1091"/>
      <c r="MTT308" s="1091"/>
      <c r="MTU308" s="1091"/>
      <c r="MTV308" s="1091"/>
      <c r="MTW308" s="1091"/>
      <c r="MTX308" s="1091"/>
      <c r="MTY308" s="1091"/>
      <c r="MTZ308" s="1091"/>
      <c r="MUA308" s="1091"/>
      <c r="MUB308" s="1091"/>
      <c r="MUC308" s="1091"/>
      <c r="MUD308" s="1091"/>
      <c r="MUE308" s="1091"/>
      <c r="MUF308" s="1091"/>
      <c r="MUG308" s="1091"/>
      <c r="MUH308" s="1091"/>
      <c r="MUI308" s="1091"/>
      <c r="MUJ308" s="1091"/>
      <c r="MUK308" s="1091"/>
      <c r="MUL308" s="1091"/>
      <c r="MUM308" s="1091"/>
      <c r="MUN308" s="1091"/>
      <c r="MUO308" s="1091"/>
      <c r="MUP308" s="1091"/>
      <c r="MUQ308" s="1091"/>
      <c r="MUR308" s="1091"/>
      <c r="MUS308" s="1091"/>
      <c r="MUT308" s="1091"/>
      <c r="MUU308" s="1091"/>
      <c r="MUV308" s="1091"/>
      <c r="MUW308" s="1091"/>
      <c r="MUX308" s="1091"/>
      <c r="MUY308" s="1091"/>
      <c r="MUZ308" s="1091"/>
      <c r="MVA308" s="1091"/>
      <c r="MVB308" s="1091"/>
      <c r="MVC308" s="1091"/>
      <c r="MVD308" s="1091"/>
      <c r="MVE308" s="1091"/>
      <c r="MVF308" s="1091"/>
      <c r="MVG308" s="1091"/>
      <c r="MVH308" s="1091"/>
      <c r="MVI308" s="1091"/>
      <c r="MVJ308" s="1091"/>
      <c r="MVK308" s="1091"/>
      <c r="MVL308" s="1091"/>
      <c r="MVM308" s="1091"/>
      <c r="MVN308" s="1091"/>
      <c r="MVO308" s="1091"/>
      <c r="MVP308" s="1091"/>
      <c r="MVQ308" s="1091"/>
      <c r="MVR308" s="1091"/>
      <c r="MVS308" s="1091"/>
      <c r="MVT308" s="1091"/>
      <c r="MVU308" s="1091"/>
      <c r="MVV308" s="1091"/>
      <c r="MVW308" s="1091"/>
      <c r="MVX308" s="1091"/>
      <c r="MVY308" s="1091"/>
      <c r="MVZ308" s="1091"/>
      <c r="MWA308" s="1091"/>
      <c r="MWB308" s="1091"/>
      <c r="MWC308" s="1091"/>
      <c r="MWD308" s="1091"/>
      <c r="MWE308" s="1091"/>
      <c r="MWF308" s="1091"/>
      <c r="MWG308" s="1091"/>
      <c r="MWH308" s="1091"/>
      <c r="MWI308" s="1091"/>
      <c r="MWJ308" s="1091"/>
      <c r="MWK308" s="1091"/>
      <c r="MWL308" s="1091"/>
      <c r="MWM308" s="1091"/>
      <c r="MWN308" s="1091"/>
      <c r="MWO308" s="1091"/>
      <c r="MWP308" s="1091"/>
      <c r="MWQ308" s="1091"/>
      <c r="MWR308" s="1091"/>
      <c r="MWS308" s="1091"/>
      <c r="MWT308" s="1091"/>
      <c r="MWU308" s="1091"/>
      <c r="MWV308" s="1091"/>
      <c r="MWW308" s="1091"/>
      <c r="MWX308" s="1091"/>
      <c r="MWY308" s="1091"/>
      <c r="MWZ308" s="1091"/>
      <c r="MXA308" s="1091"/>
      <c r="MXB308" s="1091"/>
      <c r="MXC308" s="1091"/>
      <c r="MXD308" s="1091"/>
      <c r="MXE308" s="1091"/>
      <c r="MXF308" s="1091"/>
      <c r="MXG308" s="1091"/>
      <c r="MXH308" s="1091"/>
      <c r="MXI308" s="1091"/>
      <c r="MXJ308" s="1091"/>
      <c r="MXK308" s="1091"/>
      <c r="MXL308" s="1091"/>
      <c r="MXM308" s="1091"/>
      <c r="MXN308" s="1091"/>
      <c r="MXO308" s="1091"/>
      <c r="MXP308" s="1091"/>
      <c r="MXQ308" s="1091"/>
      <c r="MXR308" s="1091"/>
      <c r="MXS308" s="1091"/>
      <c r="MXT308" s="1091"/>
      <c r="MXU308" s="1091"/>
      <c r="MXV308" s="1091"/>
      <c r="MXW308" s="1091"/>
      <c r="MXX308" s="1091"/>
      <c r="MXY308" s="1091"/>
      <c r="MXZ308" s="1091"/>
      <c r="MYA308" s="1091"/>
      <c r="MYB308" s="1091"/>
      <c r="MYC308" s="1091"/>
      <c r="MYD308" s="1091"/>
      <c r="MYE308" s="1091"/>
      <c r="MYF308" s="1091"/>
      <c r="MYG308" s="1091"/>
      <c r="MYH308" s="1091"/>
      <c r="MYI308" s="1091"/>
      <c r="MYJ308" s="1091"/>
      <c r="MYK308" s="1091"/>
      <c r="MYL308" s="1091"/>
      <c r="MYM308" s="1091"/>
      <c r="MYN308" s="1091"/>
      <c r="MYO308" s="1091"/>
      <c r="MYP308" s="1091"/>
      <c r="MYQ308" s="1091"/>
      <c r="MYR308" s="1091"/>
      <c r="MYS308" s="1091"/>
      <c r="MYT308" s="1091"/>
      <c r="MYU308" s="1091"/>
      <c r="MYV308" s="1091"/>
      <c r="MYW308" s="1091"/>
      <c r="MYX308" s="1091"/>
      <c r="MYY308" s="1091"/>
      <c r="MYZ308" s="1091"/>
      <c r="MZA308" s="1091"/>
      <c r="MZB308" s="1091"/>
      <c r="MZC308" s="1091"/>
      <c r="MZD308" s="1091"/>
      <c r="MZE308" s="1091"/>
      <c r="MZF308" s="1091"/>
      <c r="MZG308" s="1091"/>
      <c r="MZH308" s="1091"/>
      <c r="MZI308" s="1091"/>
      <c r="MZJ308" s="1091"/>
      <c r="MZK308" s="1091"/>
      <c r="MZL308" s="1091"/>
      <c r="MZM308" s="1091"/>
      <c r="MZN308" s="1091"/>
      <c r="MZO308" s="1091"/>
      <c r="MZP308" s="1091"/>
      <c r="MZQ308" s="1091"/>
      <c r="MZR308" s="1091"/>
      <c r="MZS308" s="1091"/>
      <c r="MZT308" s="1091"/>
      <c r="MZU308" s="1091"/>
      <c r="MZV308" s="1091"/>
      <c r="MZW308" s="1091"/>
      <c r="MZX308" s="1091"/>
      <c r="MZY308" s="1091"/>
      <c r="MZZ308" s="1091"/>
      <c r="NAA308" s="1091"/>
      <c r="NAB308" s="1091"/>
      <c r="NAC308" s="1091"/>
      <c r="NAD308" s="1091"/>
      <c r="NAE308" s="1091"/>
      <c r="NAF308" s="1091"/>
      <c r="NAG308" s="1091"/>
      <c r="NAH308" s="1091"/>
      <c r="NAI308" s="1091"/>
      <c r="NAJ308" s="1091"/>
      <c r="NAK308" s="1091"/>
      <c r="NAL308" s="1091"/>
      <c r="NAM308" s="1091"/>
      <c r="NAN308" s="1091"/>
      <c r="NAO308" s="1091"/>
      <c r="NAP308" s="1091"/>
      <c r="NAQ308" s="1091"/>
      <c r="NAR308" s="1091"/>
      <c r="NAS308" s="1091"/>
      <c r="NAT308" s="1091"/>
      <c r="NAU308" s="1091"/>
      <c r="NAV308" s="1091"/>
      <c r="NAW308" s="1091"/>
      <c r="NAX308" s="1091"/>
      <c r="NAY308" s="1091"/>
      <c r="NAZ308" s="1091"/>
      <c r="NBA308" s="1091"/>
      <c r="NBB308" s="1091"/>
      <c r="NBC308" s="1091"/>
      <c r="NBD308" s="1091"/>
      <c r="NBE308" s="1091"/>
      <c r="NBF308" s="1091"/>
      <c r="NBG308" s="1091"/>
      <c r="NBH308" s="1091"/>
      <c r="NBI308" s="1091"/>
      <c r="NBJ308" s="1091"/>
      <c r="NBK308" s="1091"/>
      <c r="NBL308" s="1091"/>
      <c r="NBM308" s="1091"/>
      <c r="NBN308" s="1091"/>
      <c r="NBO308" s="1091"/>
      <c r="NBP308" s="1091"/>
      <c r="NBQ308" s="1091"/>
      <c r="NBR308" s="1091"/>
      <c r="NBS308" s="1091"/>
      <c r="NBT308" s="1091"/>
      <c r="NBU308" s="1091"/>
      <c r="NBV308" s="1091"/>
      <c r="NBW308" s="1091"/>
      <c r="NBX308" s="1091"/>
      <c r="NBY308" s="1091"/>
      <c r="NBZ308" s="1091"/>
      <c r="NCA308" s="1091"/>
      <c r="NCB308" s="1091"/>
      <c r="NCC308" s="1091"/>
      <c r="NCD308" s="1091"/>
      <c r="NCE308" s="1091"/>
      <c r="NCF308" s="1091"/>
      <c r="NCG308" s="1091"/>
      <c r="NCH308" s="1091"/>
      <c r="NCI308" s="1091"/>
      <c r="NCJ308" s="1091"/>
      <c r="NCK308" s="1091"/>
      <c r="NCL308" s="1091"/>
      <c r="NCM308" s="1091"/>
      <c r="NCN308" s="1091"/>
      <c r="NCO308" s="1091"/>
      <c r="NCP308" s="1091"/>
      <c r="NCQ308" s="1091"/>
      <c r="NCR308" s="1091"/>
      <c r="NCS308" s="1091"/>
      <c r="NCT308" s="1091"/>
      <c r="NCU308" s="1091"/>
      <c r="NCV308" s="1091"/>
      <c r="NCW308" s="1091"/>
      <c r="NCX308" s="1091"/>
      <c r="NCY308" s="1091"/>
      <c r="NCZ308" s="1091"/>
      <c r="NDA308" s="1091"/>
      <c r="NDB308" s="1091"/>
      <c r="NDC308" s="1091"/>
      <c r="NDD308" s="1091"/>
      <c r="NDE308" s="1091"/>
      <c r="NDF308" s="1091"/>
      <c r="NDG308" s="1091"/>
      <c r="NDH308" s="1091"/>
      <c r="NDI308" s="1091"/>
      <c r="NDJ308" s="1091"/>
      <c r="NDK308" s="1091"/>
      <c r="NDL308" s="1091"/>
      <c r="NDM308" s="1091"/>
      <c r="NDN308" s="1091"/>
      <c r="NDO308" s="1091"/>
      <c r="NDP308" s="1091"/>
      <c r="NDQ308" s="1091"/>
      <c r="NDR308" s="1091"/>
      <c r="NDS308" s="1091"/>
      <c r="NDT308" s="1091"/>
      <c r="NDU308" s="1091"/>
      <c r="NDV308" s="1091"/>
      <c r="NDW308" s="1091"/>
      <c r="NDX308" s="1091"/>
      <c r="NDY308" s="1091"/>
      <c r="NDZ308" s="1091"/>
      <c r="NEA308" s="1091"/>
      <c r="NEB308" s="1091"/>
      <c r="NEC308" s="1091"/>
      <c r="NED308" s="1091"/>
      <c r="NEE308" s="1091"/>
      <c r="NEF308" s="1091"/>
      <c r="NEG308" s="1091"/>
      <c r="NEH308" s="1091"/>
      <c r="NEI308" s="1091"/>
      <c r="NEJ308" s="1091"/>
      <c r="NEK308" s="1091"/>
      <c r="NEL308" s="1091"/>
      <c r="NEM308" s="1091"/>
      <c r="NEN308" s="1091"/>
      <c r="NEO308" s="1091"/>
      <c r="NEP308" s="1091"/>
      <c r="NEQ308" s="1091"/>
      <c r="NER308" s="1091"/>
      <c r="NES308" s="1091"/>
      <c r="NET308" s="1091"/>
      <c r="NEU308" s="1091"/>
      <c r="NEV308" s="1091"/>
      <c r="NEW308" s="1091"/>
      <c r="NEX308" s="1091"/>
      <c r="NEY308" s="1091"/>
      <c r="NEZ308" s="1091"/>
      <c r="NFA308" s="1091"/>
      <c r="NFB308" s="1091"/>
      <c r="NFC308" s="1091"/>
      <c r="NFD308" s="1091"/>
      <c r="NFE308" s="1091"/>
      <c r="NFF308" s="1091"/>
      <c r="NFG308" s="1091"/>
      <c r="NFH308" s="1091"/>
      <c r="NFI308" s="1091"/>
      <c r="NFJ308" s="1091"/>
      <c r="NFK308" s="1091"/>
      <c r="NFL308" s="1091"/>
      <c r="NFM308" s="1091"/>
      <c r="NFN308" s="1091"/>
      <c r="NFO308" s="1091"/>
      <c r="NFP308" s="1091"/>
      <c r="NFQ308" s="1091"/>
      <c r="NFR308" s="1091"/>
      <c r="NFS308" s="1091"/>
      <c r="NFT308" s="1091"/>
      <c r="NFU308" s="1091"/>
      <c r="NFV308" s="1091"/>
      <c r="NFW308" s="1091"/>
      <c r="NFX308" s="1091"/>
      <c r="NFY308" s="1091"/>
      <c r="NFZ308" s="1091"/>
      <c r="NGA308" s="1091"/>
      <c r="NGB308" s="1091"/>
      <c r="NGC308" s="1091"/>
      <c r="NGD308" s="1091"/>
      <c r="NGE308" s="1091"/>
      <c r="NGF308" s="1091"/>
      <c r="NGG308" s="1091"/>
      <c r="NGH308" s="1091"/>
      <c r="NGI308" s="1091"/>
      <c r="NGJ308" s="1091"/>
      <c r="NGK308" s="1091"/>
      <c r="NGL308" s="1091"/>
      <c r="NGM308" s="1091"/>
      <c r="NGN308" s="1091"/>
      <c r="NGO308" s="1091"/>
      <c r="NGP308" s="1091"/>
      <c r="NGQ308" s="1091"/>
      <c r="NGR308" s="1091"/>
      <c r="NGS308" s="1091"/>
      <c r="NGT308" s="1091"/>
      <c r="NGU308" s="1091"/>
      <c r="NGV308" s="1091"/>
      <c r="NGW308" s="1091"/>
      <c r="NGX308" s="1091"/>
      <c r="NGY308" s="1091"/>
      <c r="NGZ308" s="1091"/>
      <c r="NHA308" s="1091"/>
      <c r="NHB308" s="1091"/>
      <c r="NHC308" s="1091"/>
      <c r="NHD308" s="1091"/>
      <c r="NHE308" s="1091"/>
      <c r="NHF308" s="1091"/>
      <c r="NHG308" s="1091"/>
      <c r="NHH308" s="1091"/>
      <c r="NHI308" s="1091"/>
      <c r="NHJ308" s="1091"/>
      <c r="NHK308" s="1091"/>
      <c r="NHL308" s="1091"/>
      <c r="NHM308" s="1091"/>
      <c r="NHN308" s="1091"/>
      <c r="NHO308" s="1091"/>
      <c r="NHP308" s="1091"/>
      <c r="NHQ308" s="1091"/>
      <c r="NHR308" s="1091"/>
      <c r="NHS308" s="1091"/>
      <c r="NHT308" s="1091"/>
      <c r="NHU308" s="1091"/>
      <c r="NHV308" s="1091"/>
      <c r="NHW308" s="1091"/>
      <c r="NHX308" s="1091"/>
      <c r="NHY308" s="1091"/>
      <c r="NHZ308" s="1091"/>
      <c r="NIA308" s="1091"/>
      <c r="NIB308" s="1091"/>
      <c r="NIC308" s="1091"/>
      <c r="NID308" s="1091"/>
      <c r="NIE308" s="1091"/>
      <c r="NIF308" s="1091"/>
      <c r="NIG308" s="1091"/>
      <c r="NIH308" s="1091"/>
      <c r="NII308" s="1091"/>
      <c r="NIJ308" s="1091"/>
      <c r="NIK308" s="1091"/>
      <c r="NIL308" s="1091"/>
      <c r="NIM308" s="1091"/>
      <c r="NIN308" s="1091"/>
      <c r="NIO308" s="1091"/>
      <c r="NIP308" s="1091"/>
      <c r="NIQ308" s="1091"/>
      <c r="NIR308" s="1091"/>
      <c r="NIS308" s="1091"/>
      <c r="NIT308" s="1091"/>
      <c r="NIU308" s="1091"/>
      <c r="NIV308" s="1091"/>
      <c r="NIW308" s="1091"/>
      <c r="NIX308" s="1091"/>
      <c r="NIY308" s="1091"/>
      <c r="NIZ308" s="1091"/>
      <c r="NJA308" s="1091"/>
      <c r="NJB308" s="1091"/>
      <c r="NJC308" s="1091"/>
      <c r="NJD308" s="1091"/>
      <c r="NJE308" s="1091"/>
      <c r="NJF308" s="1091"/>
      <c r="NJG308" s="1091"/>
      <c r="NJH308" s="1091"/>
      <c r="NJI308" s="1091"/>
      <c r="NJJ308" s="1091"/>
      <c r="NJK308" s="1091"/>
      <c r="NJL308" s="1091"/>
      <c r="NJM308" s="1091"/>
      <c r="NJN308" s="1091"/>
      <c r="NJO308" s="1091"/>
      <c r="NJP308" s="1091"/>
      <c r="NJQ308" s="1091"/>
      <c r="NJR308" s="1091"/>
      <c r="NJS308" s="1091"/>
      <c r="NJT308" s="1091"/>
      <c r="NJU308" s="1091"/>
      <c r="NJV308" s="1091"/>
      <c r="NJW308" s="1091"/>
      <c r="NJX308" s="1091"/>
      <c r="NJY308" s="1091"/>
      <c r="NJZ308" s="1091"/>
      <c r="NKA308" s="1091"/>
      <c r="NKB308" s="1091"/>
      <c r="NKC308" s="1091"/>
      <c r="NKD308" s="1091"/>
      <c r="NKE308" s="1091"/>
      <c r="NKF308" s="1091"/>
      <c r="NKG308" s="1091"/>
      <c r="NKH308" s="1091"/>
      <c r="NKI308" s="1091"/>
      <c r="NKJ308" s="1091"/>
      <c r="NKK308" s="1091"/>
      <c r="NKL308" s="1091"/>
      <c r="NKM308" s="1091"/>
      <c r="NKN308" s="1091"/>
      <c r="NKO308" s="1091"/>
      <c r="NKP308" s="1091"/>
      <c r="NKQ308" s="1091"/>
      <c r="NKR308" s="1091"/>
      <c r="NKS308" s="1091"/>
      <c r="NKT308" s="1091"/>
      <c r="NKU308" s="1091"/>
      <c r="NKV308" s="1091"/>
      <c r="NKW308" s="1091"/>
      <c r="NKX308" s="1091"/>
      <c r="NKY308" s="1091"/>
      <c r="NKZ308" s="1091"/>
      <c r="NLA308" s="1091"/>
      <c r="NLB308" s="1091"/>
      <c r="NLC308" s="1091"/>
      <c r="NLD308" s="1091"/>
      <c r="NLE308" s="1091"/>
      <c r="NLF308" s="1091"/>
      <c r="NLG308" s="1091"/>
      <c r="NLH308" s="1091"/>
      <c r="NLI308" s="1091"/>
      <c r="NLJ308" s="1091"/>
      <c r="NLK308" s="1091"/>
      <c r="NLL308" s="1091"/>
      <c r="NLM308" s="1091"/>
      <c r="NLN308" s="1091"/>
      <c r="NLO308" s="1091"/>
      <c r="NLP308" s="1091"/>
      <c r="NLQ308" s="1091"/>
      <c r="NLR308" s="1091"/>
      <c r="NLS308" s="1091"/>
      <c r="NLT308" s="1091"/>
      <c r="NLU308" s="1091"/>
      <c r="NLV308" s="1091"/>
      <c r="NLW308" s="1091"/>
      <c r="NLX308" s="1091"/>
      <c r="NLY308" s="1091"/>
      <c r="NLZ308" s="1091"/>
      <c r="NMA308" s="1091"/>
      <c r="NMB308" s="1091"/>
      <c r="NMC308" s="1091"/>
      <c r="NMD308" s="1091"/>
      <c r="NME308" s="1091"/>
      <c r="NMF308" s="1091"/>
      <c r="NMG308" s="1091"/>
      <c r="NMH308" s="1091"/>
      <c r="NMI308" s="1091"/>
      <c r="NMJ308" s="1091"/>
      <c r="NMK308" s="1091"/>
      <c r="NML308" s="1091"/>
      <c r="NMM308" s="1091"/>
      <c r="NMN308" s="1091"/>
      <c r="NMO308" s="1091"/>
      <c r="NMP308" s="1091"/>
      <c r="NMQ308" s="1091"/>
      <c r="NMR308" s="1091"/>
      <c r="NMS308" s="1091"/>
      <c r="NMT308" s="1091"/>
      <c r="NMU308" s="1091"/>
      <c r="NMV308" s="1091"/>
      <c r="NMW308" s="1091"/>
      <c r="NMX308" s="1091"/>
      <c r="NMY308" s="1091"/>
      <c r="NMZ308" s="1091"/>
      <c r="NNA308" s="1091"/>
      <c r="NNB308" s="1091"/>
      <c r="NNC308" s="1091"/>
      <c r="NND308" s="1091"/>
      <c r="NNE308" s="1091"/>
      <c r="NNF308" s="1091"/>
      <c r="NNG308" s="1091"/>
      <c r="NNH308" s="1091"/>
      <c r="NNI308" s="1091"/>
      <c r="NNJ308" s="1091"/>
      <c r="NNK308" s="1091"/>
      <c r="NNL308" s="1091"/>
      <c r="NNM308" s="1091"/>
      <c r="NNN308" s="1091"/>
      <c r="NNO308" s="1091"/>
      <c r="NNP308" s="1091"/>
      <c r="NNQ308" s="1091"/>
      <c r="NNR308" s="1091"/>
      <c r="NNS308" s="1091"/>
      <c r="NNT308" s="1091"/>
      <c r="NNU308" s="1091"/>
      <c r="NNV308" s="1091"/>
      <c r="NNW308" s="1091"/>
      <c r="NNX308" s="1091"/>
      <c r="NNY308" s="1091"/>
      <c r="NNZ308" s="1091"/>
      <c r="NOA308" s="1091"/>
      <c r="NOB308" s="1091"/>
      <c r="NOC308" s="1091"/>
      <c r="NOD308" s="1091"/>
      <c r="NOE308" s="1091"/>
      <c r="NOF308" s="1091"/>
      <c r="NOG308" s="1091"/>
      <c r="NOH308" s="1091"/>
      <c r="NOI308" s="1091"/>
      <c r="NOJ308" s="1091"/>
      <c r="NOK308" s="1091"/>
      <c r="NOL308" s="1091"/>
      <c r="NOM308" s="1091"/>
      <c r="NON308" s="1091"/>
      <c r="NOO308" s="1091"/>
      <c r="NOP308" s="1091"/>
      <c r="NOQ308" s="1091"/>
      <c r="NOR308" s="1091"/>
      <c r="NOS308" s="1091"/>
      <c r="NOT308" s="1091"/>
      <c r="NOU308" s="1091"/>
      <c r="NOV308" s="1091"/>
      <c r="NOW308" s="1091"/>
      <c r="NOX308" s="1091"/>
      <c r="NOY308" s="1091"/>
      <c r="NOZ308" s="1091"/>
      <c r="NPA308" s="1091"/>
      <c r="NPB308" s="1091"/>
      <c r="NPC308" s="1091"/>
      <c r="NPD308" s="1091"/>
      <c r="NPE308" s="1091"/>
      <c r="NPF308" s="1091"/>
      <c r="NPG308" s="1091"/>
      <c r="NPH308" s="1091"/>
      <c r="NPI308" s="1091"/>
      <c r="NPJ308" s="1091"/>
      <c r="NPK308" s="1091"/>
      <c r="NPL308" s="1091"/>
      <c r="NPM308" s="1091"/>
      <c r="NPN308" s="1091"/>
      <c r="NPO308" s="1091"/>
      <c r="NPP308" s="1091"/>
      <c r="NPQ308" s="1091"/>
      <c r="NPR308" s="1091"/>
      <c r="NPS308" s="1091"/>
      <c r="NPT308" s="1091"/>
      <c r="NPU308" s="1091"/>
      <c r="NPV308" s="1091"/>
      <c r="NPW308" s="1091"/>
      <c r="NPX308" s="1091"/>
      <c r="NPY308" s="1091"/>
      <c r="NPZ308" s="1091"/>
      <c r="NQA308" s="1091"/>
      <c r="NQB308" s="1091"/>
      <c r="NQC308" s="1091"/>
      <c r="NQD308" s="1091"/>
      <c r="NQE308" s="1091"/>
      <c r="NQF308" s="1091"/>
      <c r="NQG308" s="1091"/>
      <c r="NQH308" s="1091"/>
      <c r="NQI308" s="1091"/>
      <c r="NQJ308" s="1091"/>
      <c r="NQK308" s="1091"/>
      <c r="NQL308" s="1091"/>
      <c r="NQM308" s="1091"/>
      <c r="NQN308" s="1091"/>
      <c r="NQO308" s="1091"/>
      <c r="NQP308" s="1091"/>
      <c r="NQQ308" s="1091"/>
      <c r="NQR308" s="1091"/>
      <c r="NQS308" s="1091"/>
      <c r="NQT308" s="1091"/>
      <c r="NQU308" s="1091"/>
      <c r="NQV308" s="1091"/>
      <c r="NQW308" s="1091"/>
      <c r="NQX308" s="1091"/>
      <c r="NQY308" s="1091"/>
      <c r="NQZ308" s="1091"/>
      <c r="NRA308" s="1091"/>
      <c r="NRB308" s="1091"/>
      <c r="NRC308" s="1091"/>
      <c r="NRD308" s="1091"/>
      <c r="NRE308" s="1091"/>
      <c r="NRF308" s="1091"/>
      <c r="NRG308" s="1091"/>
      <c r="NRH308" s="1091"/>
      <c r="NRI308" s="1091"/>
      <c r="NRJ308" s="1091"/>
      <c r="NRK308" s="1091"/>
      <c r="NRL308" s="1091"/>
      <c r="NRM308" s="1091"/>
      <c r="NRN308" s="1091"/>
      <c r="NRO308" s="1091"/>
      <c r="NRP308" s="1091"/>
      <c r="NRQ308" s="1091"/>
      <c r="NRR308" s="1091"/>
      <c r="NRS308" s="1091"/>
      <c r="NRT308" s="1091"/>
      <c r="NRU308" s="1091"/>
      <c r="NRV308" s="1091"/>
      <c r="NRW308" s="1091"/>
      <c r="NRX308" s="1091"/>
      <c r="NRY308" s="1091"/>
      <c r="NRZ308" s="1091"/>
      <c r="NSA308" s="1091"/>
      <c r="NSB308" s="1091"/>
      <c r="NSC308" s="1091"/>
      <c r="NSD308" s="1091"/>
      <c r="NSE308" s="1091"/>
      <c r="NSF308" s="1091"/>
      <c r="NSG308" s="1091"/>
      <c r="NSH308" s="1091"/>
      <c r="NSI308" s="1091"/>
      <c r="NSJ308" s="1091"/>
      <c r="NSK308" s="1091"/>
      <c r="NSL308" s="1091"/>
      <c r="NSM308" s="1091"/>
      <c r="NSN308" s="1091"/>
      <c r="NSO308" s="1091"/>
      <c r="NSP308" s="1091"/>
      <c r="NSQ308" s="1091"/>
      <c r="NSR308" s="1091"/>
      <c r="NSS308" s="1091"/>
      <c r="NST308" s="1091"/>
      <c r="NSU308" s="1091"/>
      <c r="NSV308" s="1091"/>
      <c r="NSW308" s="1091"/>
      <c r="NSX308" s="1091"/>
      <c r="NSY308" s="1091"/>
      <c r="NSZ308" s="1091"/>
      <c r="NTA308" s="1091"/>
      <c r="NTB308" s="1091"/>
      <c r="NTC308" s="1091"/>
      <c r="NTD308" s="1091"/>
      <c r="NTE308" s="1091"/>
      <c r="NTF308" s="1091"/>
      <c r="NTG308" s="1091"/>
      <c r="NTH308" s="1091"/>
      <c r="NTI308" s="1091"/>
      <c r="NTJ308" s="1091"/>
      <c r="NTK308" s="1091"/>
      <c r="NTL308" s="1091"/>
      <c r="NTM308" s="1091"/>
      <c r="NTN308" s="1091"/>
      <c r="NTO308" s="1091"/>
      <c r="NTP308" s="1091"/>
      <c r="NTQ308" s="1091"/>
      <c r="NTR308" s="1091"/>
      <c r="NTS308" s="1091"/>
      <c r="NTT308" s="1091"/>
      <c r="NTU308" s="1091"/>
      <c r="NTV308" s="1091"/>
      <c r="NTW308" s="1091"/>
      <c r="NTX308" s="1091"/>
      <c r="NTY308" s="1091"/>
      <c r="NTZ308" s="1091"/>
      <c r="NUA308" s="1091"/>
      <c r="NUB308" s="1091"/>
      <c r="NUC308" s="1091"/>
      <c r="NUD308" s="1091"/>
      <c r="NUE308" s="1091"/>
      <c r="NUF308" s="1091"/>
      <c r="NUG308" s="1091"/>
      <c r="NUH308" s="1091"/>
      <c r="NUI308" s="1091"/>
      <c r="NUJ308" s="1091"/>
      <c r="NUK308" s="1091"/>
      <c r="NUL308" s="1091"/>
      <c r="NUM308" s="1091"/>
      <c r="NUN308" s="1091"/>
      <c r="NUO308" s="1091"/>
      <c r="NUP308" s="1091"/>
      <c r="NUQ308" s="1091"/>
      <c r="NUR308" s="1091"/>
      <c r="NUS308" s="1091"/>
      <c r="NUT308" s="1091"/>
      <c r="NUU308" s="1091"/>
      <c r="NUV308" s="1091"/>
      <c r="NUW308" s="1091"/>
      <c r="NUX308" s="1091"/>
      <c r="NUY308" s="1091"/>
      <c r="NUZ308" s="1091"/>
      <c r="NVA308" s="1091"/>
      <c r="NVB308" s="1091"/>
      <c r="NVC308" s="1091"/>
      <c r="NVD308" s="1091"/>
      <c r="NVE308" s="1091"/>
      <c r="NVF308" s="1091"/>
      <c r="NVG308" s="1091"/>
      <c r="NVH308" s="1091"/>
      <c r="NVI308" s="1091"/>
      <c r="NVJ308" s="1091"/>
      <c r="NVK308" s="1091"/>
      <c r="NVL308" s="1091"/>
      <c r="NVM308" s="1091"/>
      <c r="NVN308" s="1091"/>
      <c r="NVO308" s="1091"/>
      <c r="NVP308" s="1091"/>
      <c r="NVQ308" s="1091"/>
      <c r="NVR308" s="1091"/>
      <c r="NVS308" s="1091"/>
      <c r="NVT308" s="1091"/>
      <c r="NVU308" s="1091"/>
      <c r="NVV308" s="1091"/>
      <c r="NVW308" s="1091"/>
      <c r="NVX308" s="1091"/>
      <c r="NVY308" s="1091"/>
      <c r="NVZ308" s="1091"/>
      <c r="NWA308" s="1091"/>
      <c r="NWB308" s="1091"/>
      <c r="NWC308" s="1091"/>
      <c r="NWD308" s="1091"/>
      <c r="NWE308" s="1091"/>
      <c r="NWF308" s="1091"/>
      <c r="NWG308" s="1091"/>
      <c r="NWH308" s="1091"/>
      <c r="NWI308" s="1091"/>
      <c r="NWJ308" s="1091"/>
      <c r="NWK308" s="1091"/>
      <c r="NWL308" s="1091"/>
      <c r="NWM308" s="1091"/>
      <c r="NWN308" s="1091"/>
      <c r="NWO308" s="1091"/>
      <c r="NWP308" s="1091"/>
      <c r="NWQ308" s="1091"/>
      <c r="NWR308" s="1091"/>
      <c r="NWS308" s="1091"/>
      <c r="NWT308" s="1091"/>
      <c r="NWU308" s="1091"/>
      <c r="NWV308" s="1091"/>
      <c r="NWW308" s="1091"/>
      <c r="NWX308" s="1091"/>
      <c r="NWY308" s="1091"/>
      <c r="NWZ308" s="1091"/>
      <c r="NXA308" s="1091"/>
      <c r="NXB308" s="1091"/>
      <c r="NXC308" s="1091"/>
      <c r="NXD308" s="1091"/>
      <c r="NXE308" s="1091"/>
      <c r="NXF308" s="1091"/>
      <c r="NXG308" s="1091"/>
      <c r="NXH308" s="1091"/>
      <c r="NXI308" s="1091"/>
      <c r="NXJ308" s="1091"/>
      <c r="NXK308" s="1091"/>
      <c r="NXL308" s="1091"/>
      <c r="NXM308" s="1091"/>
      <c r="NXN308" s="1091"/>
      <c r="NXO308" s="1091"/>
      <c r="NXP308" s="1091"/>
      <c r="NXQ308" s="1091"/>
      <c r="NXR308" s="1091"/>
      <c r="NXS308" s="1091"/>
      <c r="NXT308" s="1091"/>
      <c r="NXU308" s="1091"/>
      <c r="NXV308" s="1091"/>
      <c r="NXW308" s="1091"/>
      <c r="NXX308" s="1091"/>
      <c r="NXY308" s="1091"/>
      <c r="NXZ308" s="1091"/>
      <c r="NYA308" s="1091"/>
      <c r="NYB308" s="1091"/>
      <c r="NYC308" s="1091"/>
      <c r="NYD308" s="1091"/>
      <c r="NYE308" s="1091"/>
      <c r="NYF308" s="1091"/>
      <c r="NYG308" s="1091"/>
      <c r="NYH308" s="1091"/>
      <c r="NYI308" s="1091"/>
      <c r="NYJ308" s="1091"/>
      <c r="NYK308" s="1091"/>
      <c r="NYL308" s="1091"/>
      <c r="NYM308" s="1091"/>
      <c r="NYN308" s="1091"/>
      <c r="NYO308" s="1091"/>
      <c r="NYP308" s="1091"/>
      <c r="NYQ308" s="1091"/>
      <c r="NYR308" s="1091"/>
      <c r="NYS308" s="1091"/>
      <c r="NYT308" s="1091"/>
      <c r="NYU308" s="1091"/>
      <c r="NYV308" s="1091"/>
      <c r="NYW308" s="1091"/>
      <c r="NYX308" s="1091"/>
      <c r="NYY308" s="1091"/>
      <c r="NYZ308" s="1091"/>
      <c r="NZA308" s="1091"/>
      <c r="NZB308" s="1091"/>
      <c r="NZC308" s="1091"/>
      <c r="NZD308" s="1091"/>
      <c r="NZE308" s="1091"/>
      <c r="NZF308" s="1091"/>
      <c r="NZG308" s="1091"/>
      <c r="NZH308" s="1091"/>
      <c r="NZI308" s="1091"/>
      <c r="NZJ308" s="1091"/>
      <c r="NZK308" s="1091"/>
      <c r="NZL308" s="1091"/>
      <c r="NZM308" s="1091"/>
      <c r="NZN308" s="1091"/>
      <c r="NZO308" s="1091"/>
      <c r="NZP308" s="1091"/>
      <c r="NZQ308" s="1091"/>
      <c r="NZR308" s="1091"/>
      <c r="NZS308" s="1091"/>
      <c r="NZT308" s="1091"/>
      <c r="NZU308" s="1091"/>
      <c r="NZV308" s="1091"/>
      <c r="NZW308" s="1091"/>
      <c r="NZX308" s="1091"/>
      <c r="NZY308" s="1091"/>
      <c r="NZZ308" s="1091"/>
      <c r="OAA308" s="1091"/>
      <c r="OAB308" s="1091"/>
      <c r="OAC308" s="1091"/>
      <c r="OAD308" s="1091"/>
      <c r="OAE308" s="1091"/>
      <c r="OAF308" s="1091"/>
      <c r="OAG308" s="1091"/>
      <c r="OAH308" s="1091"/>
      <c r="OAI308" s="1091"/>
      <c r="OAJ308" s="1091"/>
      <c r="OAK308" s="1091"/>
      <c r="OAL308" s="1091"/>
      <c r="OAM308" s="1091"/>
      <c r="OAN308" s="1091"/>
      <c r="OAO308" s="1091"/>
      <c r="OAP308" s="1091"/>
      <c r="OAQ308" s="1091"/>
      <c r="OAR308" s="1091"/>
      <c r="OAS308" s="1091"/>
      <c r="OAT308" s="1091"/>
      <c r="OAU308" s="1091"/>
      <c r="OAV308" s="1091"/>
      <c r="OAW308" s="1091"/>
      <c r="OAX308" s="1091"/>
      <c r="OAY308" s="1091"/>
      <c r="OAZ308" s="1091"/>
      <c r="OBA308" s="1091"/>
      <c r="OBB308" s="1091"/>
      <c r="OBC308" s="1091"/>
      <c r="OBD308" s="1091"/>
      <c r="OBE308" s="1091"/>
      <c r="OBF308" s="1091"/>
      <c r="OBG308" s="1091"/>
      <c r="OBH308" s="1091"/>
      <c r="OBI308" s="1091"/>
      <c r="OBJ308" s="1091"/>
      <c r="OBK308" s="1091"/>
      <c r="OBL308" s="1091"/>
      <c r="OBM308" s="1091"/>
      <c r="OBN308" s="1091"/>
      <c r="OBO308" s="1091"/>
      <c r="OBP308" s="1091"/>
      <c r="OBQ308" s="1091"/>
      <c r="OBR308" s="1091"/>
      <c r="OBS308" s="1091"/>
      <c r="OBT308" s="1091"/>
      <c r="OBU308" s="1091"/>
      <c r="OBV308" s="1091"/>
      <c r="OBW308" s="1091"/>
      <c r="OBX308" s="1091"/>
      <c r="OBY308" s="1091"/>
      <c r="OBZ308" s="1091"/>
      <c r="OCA308" s="1091"/>
      <c r="OCB308" s="1091"/>
      <c r="OCC308" s="1091"/>
      <c r="OCD308" s="1091"/>
      <c r="OCE308" s="1091"/>
      <c r="OCF308" s="1091"/>
      <c r="OCG308" s="1091"/>
      <c r="OCH308" s="1091"/>
      <c r="OCI308" s="1091"/>
      <c r="OCJ308" s="1091"/>
      <c r="OCK308" s="1091"/>
      <c r="OCL308" s="1091"/>
      <c r="OCM308" s="1091"/>
      <c r="OCN308" s="1091"/>
      <c r="OCO308" s="1091"/>
      <c r="OCP308" s="1091"/>
      <c r="OCQ308" s="1091"/>
      <c r="OCR308" s="1091"/>
      <c r="OCS308" s="1091"/>
      <c r="OCT308" s="1091"/>
      <c r="OCU308" s="1091"/>
      <c r="OCV308" s="1091"/>
      <c r="OCW308" s="1091"/>
      <c r="OCX308" s="1091"/>
      <c r="OCY308" s="1091"/>
      <c r="OCZ308" s="1091"/>
      <c r="ODA308" s="1091"/>
      <c r="ODB308" s="1091"/>
      <c r="ODC308" s="1091"/>
      <c r="ODD308" s="1091"/>
      <c r="ODE308" s="1091"/>
      <c r="ODF308" s="1091"/>
      <c r="ODG308" s="1091"/>
      <c r="ODH308" s="1091"/>
      <c r="ODI308" s="1091"/>
      <c r="ODJ308" s="1091"/>
      <c r="ODK308" s="1091"/>
      <c r="ODL308" s="1091"/>
      <c r="ODM308" s="1091"/>
      <c r="ODN308" s="1091"/>
      <c r="ODO308" s="1091"/>
      <c r="ODP308" s="1091"/>
      <c r="ODQ308" s="1091"/>
      <c r="ODR308" s="1091"/>
      <c r="ODS308" s="1091"/>
      <c r="ODT308" s="1091"/>
      <c r="ODU308" s="1091"/>
      <c r="ODV308" s="1091"/>
      <c r="ODW308" s="1091"/>
      <c r="ODX308" s="1091"/>
      <c r="ODY308" s="1091"/>
      <c r="ODZ308" s="1091"/>
      <c r="OEA308" s="1091"/>
      <c r="OEB308" s="1091"/>
      <c r="OEC308" s="1091"/>
      <c r="OED308" s="1091"/>
      <c r="OEE308" s="1091"/>
      <c r="OEF308" s="1091"/>
      <c r="OEG308" s="1091"/>
      <c r="OEH308" s="1091"/>
      <c r="OEI308" s="1091"/>
      <c r="OEJ308" s="1091"/>
      <c r="OEK308" s="1091"/>
      <c r="OEL308" s="1091"/>
      <c r="OEM308" s="1091"/>
      <c r="OEN308" s="1091"/>
      <c r="OEO308" s="1091"/>
      <c r="OEP308" s="1091"/>
      <c r="OEQ308" s="1091"/>
      <c r="OER308" s="1091"/>
      <c r="OES308" s="1091"/>
      <c r="OET308" s="1091"/>
      <c r="OEU308" s="1091"/>
      <c r="OEV308" s="1091"/>
      <c r="OEW308" s="1091"/>
      <c r="OEX308" s="1091"/>
      <c r="OEY308" s="1091"/>
      <c r="OEZ308" s="1091"/>
      <c r="OFA308" s="1091"/>
      <c r="OFB308" s="1091"/>
      <c r="OFC308" s="1091"/>
      <c r="OFD308" s="1091"/>
      <c r="OFE308" s="1091"/>
      <c r="OFF308" s="1091"/>
      <c r="OFG308" s="1091"/>
      <c r="OFH308" s="1091"/>
      <c r="OFI308" s="1091"/>
      <c r="OFJ308" s="1091"/>
      <c r="OFK308" s="1091"/>
      <c r="OFL308" s="1091"/>
      <c r="OFM308" s="1091"/>
      <c r="OFN308" s="1091"/>
      <c r="OFO308" s="1091"/>
      <c r="OFP308" s="1091"/>
      <c r="OFQ308" s="1091"/>
      <c r="OFR308" s="1091"/>
      <c r="OFS308" s="1091"/>
      <c r="OFT308" s="1091"/>
      <c r="OFU308" s="1091"/>
      <c r="OFV308" s="1091"/>
      <c r="OFW308" s="1091"/>
      <c r="OFX308" s="1091"/>
      <c r="OFY308" s="1091"/>
      <c r="OFZ308" s="1091"/>
      <c r="OGA308" s="1091"/>
      <c r="OGB308" s="1091"/>
      <c r="OGC308" s="1091"/>
      <c r="OGD308" s="1091"/>
      <c r="OGE308" s="1091"/>
      <c r="OGF308" s="1091"/>
      <c r="OGG308" s="1091"/>
      <c r="OGH308" s="1091"/>
      <c r="OGI308" s="1091"/>
      <c r="OGJ308" s="1091"/>
      <c r="OGK308" s="1091"/>
      <c r="OGL308" s="1091"/>
      <c r="OGM308" s="1091"/>
      <c r="OGN308" s="1091"/>
      <c r="OGO308" s="1091"/>
      <c r="OGP308" s="1091"/>
      <c r="OGQ308" s="1091"/>
      <c r="OGR308" s="1091"/>
      <c r="OGS308" s="1091"/>
      <c r="OGT308" s="1091"/>
      <c r="OGU308" s="1091"/>
      <c r="OGV308" s="1091"/>
      <c r="OGW308" s="1091"/>
      <c r="OGX308" s="1091"/>
      <c r="OGY308" s="1091"/>
      <c r="OGZ308" s="1091"/>
      <c r="OHA308" s="1091"/>
      <c r="OHB308" s="1091"/>
      <c r="OHC308" s="1091"/>
      <c r="OHD308" s="1091"/>
      <c r="OHE308" s="1091"/>
      <c r="OHF308" s="1091"/>
      <c r="OHG308" s="1091"/>
      <c r="OHH308" s="1091"/>
      <c r="OHI308" s="1091"/>
      <c r="OHJ308" s="1091"/>
      <c r="OHK308" s="1091"/>
      <c r="OHL308" s="1091"/>
      <c r="OHM308" s="1091"/>
      <c r="OHN308" s="1091"/>
      <c r="OHO308" s="1091"/>
      <c r="OHP308" s="1091"/>
      <c r="OHQ308" s="1091"/>
      <c r="OHR308" s="1091"/>
      <c r="OHS308" s="1091"/>
      <c r="OHT308" s="1091"/>
      <c r="OHU308" s="1091"/>
      <c r="OHV308" s="1091"/>
      <c r="OHW308" s="1091"/>
      <c r="OHX308" s="1091"/>
      <c r="OHY308" s="1091"/>
      <c r="OHZ308" s="1091"/>
      <c r="OIA308" s="1091"/>
      <c r="OIB308" s="1091"/>
      <c r="OIC308" s="1091"/>
      <c r="OID308" s="1091"/>
      <c r="OIE308" s="1091"/>
      <c r="OIF308" s="1091"/>
      <c r="OIG308" s="1091"/>
      <c r="OIH308" s="1091"/>
      <c r="OII308" s="1091"/>
      <c r="OIJ308" s="1091"/>
      <c r="OIK308" s="1091"/>
      <c r="OIL308" s="1091"/>
      <c r="OIM308" s="1091"/>
      <c r="OIN308" s="1091"/>
      <c r="OIO308" s="1091"/>
      <c r="OIP308" s="1091"/>
      <c r="OIQ308" s="1091"/>
      <c r="OIR308" s="1091"/>
      <c r="OIS308" s="1091"/>
      <c r="OIT308" s="1091"/>
      <c r="OIU308" s="1091"/>
      <c r="OIV308" s="1091"/>
      <c r="OIW308" s="1091"/>
      <c r="OIX308" s="1091"/>
      <c r="OIY308" s="1091"/>
      <c r="OIZ308" s="1091"/>
      <c r="OJA308" s="1091"/>
      <c r="OJB308" s="1091"/>
      <c r="OJC308" s="1091"/>
      <c r="OJD308" s="1091"/>
      <c r="OJE308" s="1091"/>
      <c r="OJF308" s="1091"/>
      <c r="OJG308" s="1091"/>
      <c r="OJH308" s="1091"/>
      <c r="OJI308" s="1091"/>
      <c r="OJJ308" s="1091"/>
      <c r="OJK308" s="1091"/>
      <c r="OJL308" s="1091"/>
      <c r="OJM308" s="1091"/>
      <c r="OJN308" s="1091"/>
      <c r="OJO308" s="1091"/>
      <c r="OJP308" s="1091"/>
      <c r="OJQ308" s="1091"/>
      <c r="OJR308" s="1091"/>
      <c r="OJS308" s="1091"/>
      <c r="OJT308" s="1091"/>
      <c r="OJU308" s="1091"/>
      <c r="OJV308" s="1091"/>
      <c r="OJW308" s="1091"/>
      <c r="OJX308" s="1091"/>
      <c r="OJY308" s="1091"/>
      <c r="OJZ308" s="1091"/>
      <c r="OKA308" s="1091"/>
      <c r="OKB308" s="1091"/>
      <c r="OKC308" s="1091"/>
      <c r="OKD308" s="1091"/>
      <c r="OKE308" s="1091"/>
      <c r="OKF308" s="1091"/>
      <c r="OKG308" s="1091"/>
      <c r="OKH308" s="1091"/>
      <c r="OKI308" s="1091"/>
      <c r="OKJ308" s="1091"/>
      <c r="OKK308" s="1091"/>
      <c r="OKL308" s="1091"/>
      <c r="OKM308" s="1091"/>
      <c r="OKN308" s="1091"/>
      <c r="OKO308" s="1091"/>
      <c r="OKP308" s="1091"/>
      <c r="OKQ308" s="1091"/>
      <c r="OKR308" s="1091"/>
      <c r="OKS308" s="1091"/>
      <c r="OKT308" s="1091"/>
      <c r="OKU308" s="1091"/>
      <c r="OKV308" s="1091"/>
      <c r="OKW308" s="1091"/>
      <c r="OKX308" s="1091"/>
      <c r="OKY308" s="1091"/>
      <c r="OKZ308" s="1091"/>
      <c r="OLA308" s="1091"/>
      <c r="OLB308" s="1091"/>
      <c r="OLC308" s="1091"/>
      <c r="OLD308" s="1091"/>
      <c r="OLE308" s="1091"/>
      <c r="OLF308" s="1091"/>
      <c r="OLG308" s="1091"/>
      <c r="OLH308" s="1091"/>
      <c r="OLI308" s="1091"/>
      <c r="OLJ308" s="1091"/>
      <c r="OLK308" s="1091"/>
      <c r="OLL308" s="1091"/>
      <c r="OLM308" s="1091"/>
      <c r="OLN308" s="1091"/>
      <c r="OLO308" s="1091"/>
      <c r="OLP308" s="1091"/>
      <c r="OLQ308" s="1091"/>
      <c r="OLR308" s="1091"/>
      <c r="OLS308" s="1091"/>
      <c r="OLT308" s="1091"/>
      <c r="OLU308" s="1091"/>
      <c r="OLV308" s="1091"/>
      <c r="OLW308" s="1091"/>
      <c r="OLX308" s="1091"/>
      <c r="OLY308" s="1091"/>
      <c r="OLZ308" s="1091"/>
      <c r="OMA308" s="1091"/>
      <c r="OMB308" s="1091"/>
      <c r="OMC308" s="1091"/>
      <c r="OMD308" s="1091"/>
      <c r="OME308" s="1091"/>
      <c r="OMF308" s="1091"/>
      <c r="OMG308" s="1091"/>
      <c r="OMH308" s="1091"/>
      <c r="OMI308" s="1091"/>
      <c r="OMJ308" s="1091"/>
      <c r="OMK308" s="1091"/>
      <c r="OML308" s="1091"/>
      <c r="OMM308" s="1091"/>
      <c r="OMN308" s="1091"/>
      <c r="OMO308" s="1091"/>
      <c r="OMP308" s="1091"/>
      <c r="OMQ308" s="1091"/>
      <c r="OMR308" s="1091"/>
      <c r="OMS308" s="1091"/>
      <c r="OMT308" s="1091"/>
      <c r="OMU308" s="1091"/>
      <c r="OMV308" s="1091"/>
      <c r="OMW308" s="1091"/>
      <c r="OMX308" s="1091"/>
      <c r="OMY308" s="1091"/>
      <c r="OMZ308" s="1091"/>
      <c r="ONA308" s="1091"/>
      <c r="ONB308" s="1091"/>
      <c r="ONC308" s="1091"/>
      <c r="OND308" s="1091"/>
      <c r="ONE308" s="1091"/>
      <c r="ONF308" s="1091"/>
      <c r="ONG308" s="1091"/>
      <c r="ONH308" s="1091"/>
      <c r="ONI308" s="1091"/>
      <c r="ONJ308" s="1091"/>
      <c r="ONK308" s="1091"/>
      <c r="ONL308" s="1091"/>
      <c r="ONM308" s="1091"/>
      <c r="ONN308" s="1091"/>
      <c r="ONO308" s="1091"/>
      <c r="ONP308" s="1091"/>
      <c r="ONQ308" s="1091"/>
      <c r="ONR308" s="1091"/>
      <c r="ONS308" s="1091"/>
      <c r="ONT308" s="1091"/>
      <c r="ONU308" s="1091"/>
      <c r="ONV308" s="1091"/>
      <c r="ONW308" s="1091"/>
      <c r="ONX308" s="1091"/>
      <c r="ONY308" s="1091"/>
      <c r="ONZ308" s="1091"/>
      <c r="OOA308" s="1091"/>
      <c r="OOB308" s="1091"/>
      <c r="OOC308" s="1091"/>
      <c r="OOD308" s="1091"/>
      <c r="OOE308" s="1091"/>
      <c r="OOF308" s="1091"/>
      <c r="OOG308" s="1091"/>
      <c r="OOH308" s="1091"/>
      <c r="OOI308" s="1091"/>
      <c r="OOJ308" s="1091"/>
      <c r="OOK308" s="1091"/>
      <c r="OOL308" s="1091"/>
      <c r="OOM308" s="1091"/>
      <c r="OON308" s="1091"/>
      <c r="OOO308" s="1091"/>
      <c r="OOP308" s="1091"/>
      <c r="OOQ308" s="1091"/>
      <c r="OOR308" s="1091"/>
      <c r="OOS308" s="1091"/>
      <c r="OOT308" s="1091"/>
      <c r="OOU308" s="1091"/>
      <c r="OOV308" s="1091"/>
      <c r="OOW308" s="1091"/>
      <c r="OOX308" s="1091"/>
      <c r="OOY308" s="1091"/>
      <c r="OOZ308" s="1091"/>
      <c r="OPA308" s="1091"/>
      <c r="OPB308" s="1091"/>
      <c r="OPC308" s="1091"/>
      <c r="OPD308" s="1091"/>
      <c r="OPE308" s="1091"/>
      <c r="OPF308" s="1091"/>
      <c r="OPG308" s="1091"/>
      <c r="OPH308" s="1091"/>
      <c r="OPI308" s="1091"/>
      <c r="OPJ308" s="1091"/>
      <c r="OPK308" s="1091"/>
      <c r="OPL308" s="1091"/>
      <c r="OPM308" s="1091"/>
      <c r="OPN308" s="1091"/>
      <c r="OPO308" s="1091"/>
      <c r="OPP308" s="1091"/>
      <c r="OPQ308" s="1091"/>
      <c r="OPR308" s="1091"/>
      <c r="OPS308" s="1091"/>
      <c r="OPT308" s="1091"/>
      <c r="OPU308" s="1091"/>
      <c r="OPV308" s="1091"/>
      <c r="OPW308" s="1091"/>
      <c r="OPX308" s="1091"/>
      <c r="OPY308" s="1091"/>
      <c r="OPZ308" s="1091"/>
      <c r="OQA308" s="1091"/>
      <c r="OQB308" s="1091"/>
      <c r="OQC308" s="1091"/>
      <c r="OQD308" s="1091"/>
      <c r="OQE308" s="1091"/>
      <c r="OQF308" s="1091"/>
      <c r="OQG308" s="1091"/>
      <c r="OQH308" s="1091"/>
      <c r="OQI308" s="1091"/>
      <c r="OQJ308" s="1091"/>
      <c r="OQK308" s="1091"/>
      <c r="OQL308" s="1091"/>
      <c r="OQM308" s="1091"/>
      <c r="OQN308" s="1091"/>
      <c r="OQO308" s="1091"/>
      <c r="OQP308" s="1091"/>
      <c r="OQQ308" s="1091"/>
      <c r="OQR308" s="1091"/>
      <c r="OQS308" s="1091"/>
      <c r="OQT308" s="1091"/>
      <c r="OQU308" s="1091"/>
      <c r="OQV308" s="1091"/>
      <c r="OQW308" s="1091"/>
      <c r="OQX308" s="1091"/>
      <c r="OQY308" s="1091"/>
      <c r="OQZ308" s="1091"/>
      <c r="ORA308" s="1091"/>
      <c r="ORB308" s="1091"/>
      <c r="ORC308" s="1091"/>
      <c r="ORD308" s="1091"/>
      <c r="ORE308" s="1091"/>
      <c r="ORF308" s="1091"/>
      <c r="ORG308" s="1091"/>
      <c r="ORH308" s="1091"/>
      <c r="ORI308" s="1091"/>
      <c r="ORJ308" s="1091"/>
      <c r="ORK308" s="1091"/>
      <c r="ORL308" s="1091"/>
      <c r="ORM308" s="1091"/>
      <c r="ORN308" s="1091"/>
      <c r="ORO308" s="1091"/>
      <c r="ORP308" s="1091"/>
      <c r="ORQ308" s="1091"/>
      <c r="ORR308" s="1091"/>
      <c r="ORS308" s="1091"/>
      <c r="ORT308" s="1091"/>
      <c r="ORU308" s="1091"/>
      <c r="ORV308" s="1091"/>
      <c r="ORW308" s="1091"/>
      <c r="ORX308" s="1091"/>
      <c r="ORY308" s="1091"/>
      <c r="ORZ308" s="1091"/>
      <c r="OSA308" s="1091"/>
      <c r="OSB308" s="1091"/>
      <c r="OSC308" s="1091"/>
      <c r="OSD308" s="1091"/>
      <c r="OSE308" s="1091"/>
      <c r="OSF308" s="1091"/>
      <c r="OSG308" s="1091"/>
      <c r="OSH308" s="1091"/>
      <c r="OSI308" s="1091"/>
      <c r="OSJ308" s="1091"/>
      <c r="OSK308" s="1091"/>
      <c r="OSL308" s="1091"/>
      <c r="OSM308" s="1091"/>
      <c r="OSN308" s="1091"/>
      <c r="OSO308" s="1091"/>
      <c r="OSP308" s="1091"/>
      <c r="OSQ308" s="1091"/>
      <c r="OSR308" s="1091"/>
      <c r="OSS308" s="1091"/>
      <c r="OST308" s="1091"/>
      <c r="OSU308" s="1091"/>
      <c r="OSV308" s="1091"/>
      <c r="OSW308" s="1091"/>
      <c r="OSX308" s="1091"/>
      <c r="OSY308" s="1091"/>
      <c r="OSZ308" s="1091"/>
      <c r="OTA308" s="1091"/>
      <c r="OTB308" s="1091"/>
      <c r="OTC308" s="1091"/>
      <c r="OTD308" s="1091"/>
      <c r="OTE308" s="1091"/>
      <c r="OTF308" s="1091"/>
      <c r="OTG308" s="1091"/>
      <c r="OTH308" s="1091"/>
      <c r="OTI308" s="1091"/>
      <c r="OTJ308" s="1091"/>
      <c r="OTK308" s="1091"/>
      <c r="OTL308" s="1091"/>
      <c r="OTM308" s="1091"/>
      <c r="OTN308" s="1091"/>
      <c r="OTO308" s="1091"/>
      <c r="OTP308" s="1091"/>
      <c r="OTQ308" s="1091"/>
      <c r="OTR308" s="1091"/>
      <c r="OTS308" s="1091"/>
      <c r="OTT308" s="1091"/>
      <c r="OTU308" s="1091"/>
      <c r="OTV308" s="1091"/>
      <c r="OTW308" s="1091"/>
      <c r="OTX308" s="1091"/>
      <c r="OTY308" s="1091"/>
      <c r="OTZ308" s="1091"/>
      <c r="OUA308" s="1091"/>
      <c r="OUB308" s="1091"/>
      <c r="OUC308" s="1091"/>
      <c r="OUD308" s="1091"/>
      <c r="OUE308" s="1091"/>
      <c r="OUF308" s="1091"/>
      <c r="OUG308" s="1091"/>
      <c r="OUH308" s="1091"/>
      <c r="OUI308" s="1091"/>
      <c r="OUJ308" s="1091"/>
      <c r="OUK308" s="1091"/>
      <c r="OUL308" s="1091"/>
      <c r="OUM308" s="1091"/>
      <c r="OUN308" s="1091"/>
      <c r="OUO308" s="1091"/>
      <c r="OUP308" s="1091"/>
      <c r="OUQ308" s="1091"/>
      <c r="OUR308" s="1091"/>
      <c r="OUS308" s="1091"/>
      <c r="OUT308" s="1091"/>
      <c r="OUU308" s="1091"/>
      <c r="OUV308" s="1091"/>
      <c r="OUW308" s="1091"/>
      <c r="OUX308" s="1091"/>
      <c r="OUY308" s="1091"/>
      <c r="OUZ308" s="1091"/>
      <c r="OVA308" s="1091"/>
      <c r="OVB308" s="1091"/>
      <c r="OVC308" s="1091"/>
      <c r="OVD308" s="1091"/>
      <c r="OVE308" s="1091"/>
      <c r="OVF308" s="1091"/>
      <c r="OVG308" s="1091"/>
      <c r="OVH308" s="1091"/>
      <c r="OVI308" s="1091"/>
      <c r="OVJ308" s="1091"/>
      <c r="OVK308" s="1091"/>
      <c r="OVL308" s="1091"/>
      <c r="OVM308" s="1091"/>
      <c r="OVN308" s="1091"/>
      <c r="OVO308" s="1091"/>
      <c r="OVP308" s="1091"/>
      <c r="OVQ308" s="1091"/>
      <c r="OVR308" s="1091"/>
      <c r="OVS308" s="1091"/>
      <c r="OVT308" s="1091"/>
      <c r="OVU308" s="1091"/>
      <c r="OVV308" s="1091"/>
      <c r="OVW308" s="1091"/>
      <c r="OVX308" s="1091"/>
      <c r="OVY308" s="1091"/>
      <c r="OVZ308" s="1091"/>
      <c r="OWA308" s="1091"/>
      <c r="OWB308" s="1091"/>
      <c r="OWC308" s="1091"/>
      <c r="OWD308" s="1091"/>
      <c r="OWE308" s="1091"/>
      <c r="OWF308" s="1091"/>
      <c r="OWG308" s="1091"/>
      <c r="OWH308" s="1091"/>
      <c r="OWI308" s="1091"/>
      <c r="OWJ308" s="1091"/>
      <c r="OWK308" s="1091"/>
      <c r="OWL308" s="1091"/>
      <c r="OWM308" s="1091"/>
      <c r="OWN308" s="1091"/>
      <c r="OWO308" s="1091"/>
      <c r="OWP308" s="1091"/>
      <c r="OWQ308" s="1091"/>
      <c r="OWR308" s="1091"/>
      <c r="OWS308" s="1091"/>
      <c r="OWT308" s="1091"/>
      <c r="OWU308" s="1091"/>
      <c r="OWV308" s="1091"/>
      <c r="OWW308" s="1091"/>
      <c r="OWX308" s="1091"/>
      <c r="OWY308" s="1091"/>
      <c r="OWZ308" s="1091"/>
      <c r="OXA308" s="1091"/>
      <c r="OXB308" s="1091"/>
      <c r="OXC308" s="1091"/>
      <c r="OXD308" s="1091"/>
      <c r="OXE308" s="1091"/>
      <c r="OXF308" s="1091"/>
      <c r="OXG308" s="1091"/>
      <c r="OXH308" s="1091"/>
      <c r="OXI308" s="1091"/>
      <c r="OXJ308" s="1091"/>
      <c r="OXK308" s="1091"/>
      <c r="OXL308" s="1091"/>
      <c r="OXM308" s="1091"/>
      <c r="OXN308" s="1091"/>
      <c r="OXO308" s="1091"/>
      <c r="OXP308" s="1091"/>
      <c r="OXQ308" s="1091"/>
      <c r="OXR308" s="1091"/>
      <c r="OXS308" s="1091"/>
      <c r="OXT308" s="1091"/>
      <c r="OXU308" s="1091"/>
      <c r="OXV308" s="1091"/>
      <c r="OXW308" s="1091"/>
      <c r="OXX308" s="1091"/>
      <c r="OXY308" s="1091"/>
      <c r="OXZ308" s="1091"/>
      <c r="OYA308" s="1091"/>
      <c r="OYB308" s="1091"/>
      <c r="OYC308" s="1091"/>
      <c r="OYD308" s="1091"/>
      <c r="OYE308" s="1091"/>
      <c r="OYF308" s="1091"/>
      <c r="OYG308" s="1091"/>
      <c r="OYH308" s="1091"/>
      <c r="OYI308" s="1091"/>
      <c r="OYJ308" s="1091"/>
      <c r="OYK308" s="1091"/>
      <c r="OYL308" s="1091"/>
      <c r="OYM308" s="1091"/>
      <c r="OYN308" s="1091"/>
      <c r="OYO308" s="1091"/>
      <c r="OYP308" s="1091"/>
      <c r="OYQ308" s="1091"/>
      <c r="OYR308" s="1091"/>
      <c r="OYS308" s="1091"/>
      <c r="OYT308" s="1091"/>
      <c r="OYU308" s="1091"/>
      <c r="OYV308" s="1091"/>
      <c r="OYW308" s="1091"/>
      <c r="OYX308" s="1091"/>
      <c r="OYY308" s="1091"/>
      <c r="OYZ308" s="1091"/>
      <c r="OZA308" s="1091"/>
      <c r="OZB308" s="1091"/>
      <c r="OZC308" s="1091"/>
      <c r="OZD308" s="1091"/>
      <c r="OZE308" s="1091"/>
      <c r="OZF308" s="1091"/>
      <c r="OZG308" s="1091"/>
      <c r="OZH308" s="1091"/>
      <c r="OZI308" s="1091"/>
      <c r="OZJ308" s="1091"/>
      <c r="OZK308" s="1091"/>
      <c r="OZL308" s="1091"/>
      <c r="OZM308" s="1091"/>
      <c r="OZN308" s="1091"/>
      <c r="OZO308" s="1091"/>
      <c r="OZP308" s="1091"/>
      <c r="OZQ308" s="1091"/>
      <c r="OZR308" s="1091"/>
      <c r="OZS308" s="1091"/>
      <c r="OZT308" s="1091"/>
      <c r="OZU308" s="1091"/>
      <c r="OZV308" s="1091"/>
      <c r="OZW308" s="1091"/>
      <c r="OZX308" s="1091"/>
      <c r="OZY308" s="1091"/>
      <c r="OZZ308" s="1091"/>
      <c r="PAA308" s="1091"/>
      <c r="PAB308" s="1091"/>
      <c r="PAC308" s="1091"/>
      <c r="PAD308" s="1091"/>
      <c r="PAE308" s="1091"/>
      <c r="PAF308" s="1091"/>
      <c r="PAG308" s="1091"/>
      <c r="PAH308" s="1091"/>
      <c r="PAI308" s="1091"/>
      <c r="PAJ308" s="1091"/>
      <c r="PAK308" s="1091"/>
      <c r="PAL308" s="1091"/>
      <c r="PAM308" s="1091"/>
      <c r="PAN308" s="1091"/>
      <c r="PAO308" s="1091"/>
      <c r="PAP308" s="1091"/>
      <c r="PAQ308" s="1091"/>
      <c r="PAR308" s="1091"/>
      <c r="PAS308" s="1091"/>
      <c r="PAT308" s="1091"/>
      <c r="PAU308" s="1091"/>
      <c r="PAV308" s="1091"/>
      <c r="PAW308" s="1091"/>
      <c r="PAX308" s="1091"/>
      <c r="PAY308" s="1091"/>
      <c r="PAZ308" s="1091"/>
      <c r="PBA308" s="1091"/>
      <c r="PBB308" s="1091"/>
      <c r="PBC308" s="1091"/>
      <c r="PBD308" s="1091"/>
      <c r="PBE308" s="1091"/>
      <c r="PBF308" s="1091"/>
      <c r="PBG308" s="1091"/>
      <c r="PBH308" s="1091"/>
      <c r="PBI308" s="1091"/>
      <c r="PBJ308" s="1091"/>
      <c r="PBK308" s="1091"/>
      <c r="PBL308" s="1091"/>
      <c r="PBM308" s="1091"/>
      <c r="PBN308" s="1091"/>
      <c r="PBO308" s="1091"/>
      <c r="PBP308" s="1091"/>
      <c r="PBQ308" s="1091"/>
      <c r="PBR308" s="1091"/>
      <c r="PBS308" s="1091"/>
      <c r="PBT308" s="1091"/>
      <c r="PBU308" s="1091"/>
      <c r="PBV308" s="1091"/>
      <c r="PBW308" s="1091"/>
      <c r="PBX308" s="1091"/>
      <c r="PBY308" s="1091"/>
      <c r="PBZ308" s="1091"/>
      <c r="PCA308" s="1091"/>
      <c r="PCB308" s="1091"/>
      <c r="PCC308" s="1091"/>
      <c r="PCD308" s="1091"/>
      <c r="PCE308" s="1091"/>
      <c r="PCF308" s="1091"/>
      <c r="PCG308" s="1091"/>
      <c r="PCH308" s="1091"/>
      <c r="PCI308" s="1091"/>
      <c r="PCJ308" s="1091"/>
      <c r="PCK308" s="1091"/>
      <c r="PCL308" s="1091"/>
      <c r="PCM308" s="1091"/>
      <c r="PCN308" s="1091"/>
      <c r="PCO308" s="1091"/>
      <c r="PCP308" s="1091"/>
      <c r="PCQ308" s="1091"/>
      <c r="PCR308" s="1091"/>
      <c r="PCS308" s="1091"/>
      <c r="PCT308" s="1091"/>
      <c r="PCU308" s="1091"/>
      <c r="PCV308" s="1091"/>
      <c r="PCW308" s="1091"/>
      <c r="PCX308" s="1091"/>
      <c r="PCY308" s="1091"/>
      <c r="PCZ308" s="1091"/>
      <c r="PDA308" s="1091"/>
      <c r="PDB308" s="1091"/>
      <c r="PDC308" s="1091"/>
      <c r="PDD308" s="1091"/>
      <c r="PDE308" s="1091"/>
      <c r="PDF308" s="1091"/>
      <c r="PDG308" s="1091"/>
      <c r="PDH308" s="1091"/>
      <c r="PDI308" s="1091"/>
      <c r="PDJ308" s="1091"/>
      <c r="PDK308" s="1091"/>
      <c r="PDL308" s="1091"/>
      <c r="PDM308" s="1091"/>
      <c r="PDN308" s="1091"/>
      <c r="PDO308" s="1091"/>
      <c r="PDP308" s="1091"/>
      <c r="PDQ308" s="1091"/>
      <c r="PDR308" s="1091"/>
      <c r="PDS308" s="1091"/>
      <c r="PDT308" s="1091"/>
      <c r="PDU308" s="1091"/>
      <c r="PDV308" s="1091"/>
      <c r="PDW308" s="1091"/>
      <c r="PDX308" s="1091"/>
      <c r="PDY308" s="1091"/>
      <c r="PDZ308" s="1091"/>
      <c r="PEA308" s="1091"/>
      <c r="PEB308" s="1091"/>
      <c r="PEC308" s="1091"/>
      <c r="PED308" s="1091"/>
      <c r="PEE308" s="1091"/>
      <c r="PEF308" s="1091"/>
      <c r="PEG308" s="1091"/>
      <c r="PEH308" s="1091"/>
      <c r="PEI308" s="1091"/>
      <c r="PEJ308" s="1091"/>
      <c r="PEK308" s="1091"/>
      <c r="PEL308" s="1091"/>
      <c r="PEM308" s="1091"/>
      <c r="PEN308" s="1091"/>
      <c r="PEO308" s="1091"/>
      <c r="PEP308" s="1091"/>
      <c r="PEQ308" s="1091"/>
      <c r="PER308" s="1091"/>
      <c r="PES308" s="1091"/>
      <c r="PET308" s="1091"/>
      <c r="PEU308" s="1091"/>
      <c r="PEV308" s="1091"/>
      <c r="PEW308" s="1091"/>
      <c r="PEX308" s="1091"/>
      <c r="PEY308" s="1091"/>
      <c r="PEZ308" s="1091"/>
      <c r="PFA308" s="1091"/>
      <c r="PFB308" s="1091"/>
      <c r="PFC308" s="1091"/>
      <c r="PFD308" s="1091"/>
      <c r="PFE308" s="1091"/>
      <c r="PFF308" s="1091"/>
      <c r="PFG308" s="1091"/>
      <c r="PFH308" s="1091"/>
      <c r="PFI308" s="1091"/>
      <c r="PFJ308" s="1091"/>
      <c r="PFK308" s="1091"/>
      <c r="PFL308" s="1091"/>
      <c r="PFM308" s="1091"/>
      <c r="PFN308" s="1091"/>
      <c r="PFO308" s="1091"/>
      <c r="PFP308" s="1091"/>
      <c r="PFQ308" s="1091"/>
      <c r="PFR308" s="1091"/>
      <c r="PFS308" s="1091"/>
      <c r="PFT308" s="1091"/>
      <c r="PFU308" s="1091"/>
      <c r="PFV308" s="1091"/>
      <c r="PFW308" s="1091"/>
      <c r="PFX308" s="1091"/>
      <c r="PFY308" s="1091"/>
      <c r="PFZ308" s="1091"/>
      <c r="PGA308" s="1091"/>
      <c r="PGB308" s="1091"/>
      <c r="PGC308" s="1091"/>
      <c r="PGD308" s="1091"/>
      <c r="PGE308" s="1091"/>
      <c r="PGF308" s="1091"/>
      <c r="PGG308" s="1091"/>
      <c r="PGH308" s="1091"/>
      <c r="PGI308" s="1091"/>
      <c r="PGJ308" s="1091"/>
      <c r="PGK308" s="1091"/>
      <c r="PGL308" s="1091"/>
      <c r="PGM308" s="1091"/>
      <c r="PGN308" s="1091"/>
      <c r="PGO308" s="1091"/>
      <c r="PGP308" s="1091"/>
      <c r="PGQ308" s="1091"/>
      <c r="PGR308" s="1091"/>
      <c r="PGS308" s="1091"/>
      <c r="PGT308" s="1091"/>
      <c r="PGU308" s="1091"/>
      <c r="PGV308" s="1091"/>
      <c r="PGW308" s="1091"/>
      <c r="PGX308" s="1091"/>
      <c r="PGY308" s="1091"/>
      <c r="PGZ308" s="1091"/>
      <c r="PHA308" s="1091"/>
      <c r="PHB308" s="1091"/>
      <c r="PHC308" s="1091"/>
      <c r="PHD308" s="1091"/>
      <c r="PHE308" s="1091"/>
      <c r="PHF308" s="1091"/>
      <c r="PHG308" s="1091"/>
      <c r="PHH308" s="1091"/>
      <c r="PHI308" s="1091"/>
      <c r="PHJ308" s="1091"/>
      <c r="PHK308" s="1091"/>
      <c r="PHL308" s="1091"/>
      <c r="PHM308" s="1091"/>
      <c r="PHN308" s="1091"/>
      <c r="PHO308" s="1091"/>
      <c r="PHP308" s="1091"/>
      <c r="PHQ308" s="1091"/>
      <c r="PHR308" s="1091"/>
      <c r="PHS308" s="1091"/>
      <c r="PHT308" s="1091"/>
      <c r="PHU308" s="1091"/>
      <c r="PHV308" s="1091"/>
      <c r="PHW308" s="1091"/>
      <c r="PHX308" s="1091"/>
      <c r="PHY308" s="1091"/>
      <c r="PHZ308" s="1091"/>
      <c r="PIA308" s="1091"/>
      <c r="PIB308" s="1091"/>
      <c r="PIC308" s="1091"/>
      <c r="PID308" s="1091"/>
      <c r="PIE308" s="1091"/>
      <c r="PIF308" s="1091"/>
      <c r="PIG308" s="1091"/>
      <c r="PIH308" s="1091"/>
      <c r="PII308" s="1091"/>
      <c r="PIJ308" s="1091"/>
      <c r="PIK308" s="1091"/>
      <c r="PIL308" s="1091"/>
      <c r="PIM308" s="1091"/>
      <c r="PIN308" s="1091"/>
      <c r="PIO308" s="1091"/>
      <c r="PIP308" s="1091"/>
      <c r="PIQ308" s="1091"/>
      <c r="PIR308" s="1091"/>
      <c r="PIS308" s="1091"/>
      <c r="PIT308" s="1091"/>
      <c r="PIU308" s="1091"/>
      <c r="PIV308" s="1091"/>
      <c r="PIW308" s="1091"/>
      <c r="PIX308" s="1091"/>
      <c r="PIY308" s="1091"/>
      <c r="PIZ308" s="1091"/>
      <c r="PJA308" s="1091"/>
      <c r="PJB308" s="1091"/>
      <c r="PJC308" s="1091"/>
      <c r="PJD308" s="1091"/>
      <c r="PJE308" s="1091"/>
      <c r="PJF308" s="1091"/>
      <c r="PJG308" s="1091"/>
      <c r="PJH308" s="1091"/>
      <c r="PJI308" s="1091"/>
      <c r="PJJ308" s="1091"/>
      <c r="PJK308" s="1091"/>
      <c r="PJL308" s="1091"/>
      <c r="PJM308" s="1091"/>
      <c r="PJN308" s="1091"/>
      <c r="PJO308" s="1091"/>
      <c r="PJP308" s="1091"/>
      <c r="PJQ308" s="1091"/>
      <c r="PJR308" s="1091"/>
      <c r="PJS308" s="1091"/>
      <c r="PJT308" s="1091"/>
      <c r="PJU308" s="1091"/>
      <c r="PJV308" s="1091"/>
      <c r="PJW308" s="1091"/>
      <c r="PJX308" s="1091"/>
      <c r="PJY308" s="1091"/>
      <c r="PJZ308" s="1091"/>
      <c r="PKA308" s="1091"/>
      <c r="PKB308" s="1091"/>
      <c r="PKC308" s="1091"/>
      <c r="PKD308" s="1091"/>
      <c r="PKE308" s="1091"/>
      <c r="PKF308" s="1091"/>
      <c r="PKG308" s="1091"/>
      <c r="PKH308" s="1091"/>
      <c r="PKI308" s="1091"/>
      <c r="PKJ308" s="1091"/>
      <c r="PKK308" s="1091"/>
      <c r="PKL308" s="1091"/>
      <c r="PKM308" s="1091"/>
      <c r="PKN308" s="1091"/>
      <c r="PKO308" s="1091"/>
      <c r="PKP308" s="1091"/>
      <c r="PKQ308" s="1091"/>
      <c r="PKR308" s="1091"/>
      <c r="PKS308" s="1091"/>
      <c r="PKT308" s="1091"/>
      <c r="PKU308" s="1091"/>
      <c r="PKV308" s="1091"/>
      <c r="PKW308" s="1091"/>
      <c r="PKX308" s="1091"/>
      <c r="PKY308" s="1091"/>
      <c r="PKZ308" s="1091"/>
      <c r="PLA308" s="1091"/>
      <c r="PLB308" s="1091"/>
      <c r="PLC308" s="1091"/>
      <c r="PLD308" s="1091"/>
      <c r="PLE308" s="1091"/>
      <c r="PLF308" s="1091"/>
      <c r="PLG308" s="1091"/>
      <c r="PLH308" s="1091"/>
      <c r="PLI308" s="1091"/>
      <c r="PLJ308" s="1091"/>
      <c r="PLK308" s="1091"/>
      <c r="PLL308" s="1091"/>
      <c r="PLM308" s="1091"/>
      <c r="PLN308" s="1091"/>
      <c r="PLO308" s="1091"/>
      <c r="PLP308" s="1091"/>
      <c r="PLQ308" s="1091"/>
      <c r="PLR308" s="1091"/>
      <c r="PLS308" s="1091"/>
      <c r="PLT308" s="1091"/>
      <c r="PLU308" s="1091"/>
      <c r="PLV308" s="1091"/>
      <c r="PLW308" s="1091"/>
      <c r="PLX308" s="1091"/>
      <c r="PLY308" s="1091"/>
      <c r="PLZ308" s="1091"/>
      <c r="PMA308" s="1091"/>
      <c r="PMB308" s="1091"/>
      <c r="PMC308" s="1091"/>
      <c r="PMD308" s="1091"/>
      <c r="PME308" s="1091"/>
      <c r="PMF308" s="1091"/>
      <c r="PMG308" s="1091"/>
      <c r="PMH308" s="1091"/>
      <c r="PMI308" s="1091"/>
      <c r="PMJ308" s="1091"/>
      <c r="PMK308" s="1091"/>
      <c r="PML308" s="1091"/>
      <c r="PMM308" s="1091"/>
      <c r="PMN308" s="1091"/>
      <c r="PMO308" s="1091"/>
      <c r="PMP308" s="1091"/>
      <c r="PMQ308" s="1091"/>
      <c r="PMR308" s="1091"/>
      <c r="PMS308" s="1091"/>
      <c r="PMT308" s="1091"/>
      <c r="PMU308" s="1091"/>
      <c r="PMV308" s="1091"/>
      <c r="PMW308" s="1091"/>
      <c r="PMX308" s="1091"/>
      <c r="PMY308" s="1091"/>
      <c r="PMZ308" s="1091"/>
      <c r="PNA308" s="1091"/>
      <c r="PNB308" s="1091"/>
      <c r="PNC308" s="1091"/>
      <c r="PND308" s="1091"/>
      <c r="PNE308" s="1091"/>
      <c r="PNF308" s="1091"/>
      <c r="PNG308" s="1091"/>
      <c r="PNH308" s="1091"/>
      <c r="PNI308" s="1091"/>
      <c r="PNJ308" s="1091"/>
      <c r="PNK308" s="1091"/>
      <c r="PNL308" s="1091"/>
      <c r="PNM308" s="1091"/>
      <c r="PNN308" s="1091"/>
      <c r="PNO308" s="1091"/>
      <c r="PNP308" s="1091"/>
      <c r="PNQ308" s="1091"/>
      <c r="PNR308" s="1091"/>
      <c r="PNS308" s="1091"/>
      <c r="PNT308" s="1091"/>
      <c r="PNU308" s="1091"/>
      <c r="PNV308" s="1091"/>
      <c r="PNW308" s="1091"/>
      <c r="PNX308" s="1091"/>
      <c r="PNY308" s="1091"/>
      <c r="PNZ308" s="1091"/>
      <c r="POA308" s="1091"/>
      <c r="POB308" s="1091"/>
      <c r="POC308" s="1091"/>
      <c r="POD308" s="1091"/>
      <c r="POE308" s="1091"/>
      <c r="POF308" s="1091"/>
      <c r="POG308" s="1091"/>
      <c r="POH308" s="1091"/>
      <c r="POI308" s="1091"/>
      <c r="POJ308" s="1091"/>
      <c r="POK308" s="1091"/>
      <c r="POL308" s="1091"/>
      <c r="POM308" s="1091"/>
      <c r="PON308" s="1091"/>
      <c r="POO308" s="1091"/>
      <c r="POP308" s="1091"/>
      <c r="POQ308" s="1091"/>
      <c r="POR308" s="1091"/>
      <c r="POS308" s="1091"/>
      <c r="POT308" s="1091"/>
      <c r="POU308" s="1091"/>
      <c r="POV308" s="1091"/>
      <c r="POW308" s="1091"/>
      <c r="POX308" s="1091"/>
      <c r="POY308" s="1091"/>
      <c r="POZ308" s="1091"/>
      <c r="PPA308" s="1091"/>
      <c r="PPB308" s="1091"/>
      <c r="PPC308" s="1091"/>
      <c r="PPD308" s="1091"/>
      <c r="PPE308" s="1091"/>
      <c r="PPF308" s="1091"/>
      <c r="PPG308" s="1091"/>
      <c r="PPH308" s="1091"/>
      <c r="PPI308" s="1091"/>
      <c r="PPJ308" s="1091"/>
      <c r="PPK308" s="1091"/>
      <c r="PPL308" s="1091"/>
      <c r="PPM308" s="1091"/>
      <c r="PPN308" s="1091"/>
      <c r="PPO308" s="1091"/>
      <c r="PPP308" s="1091"/>
      <c r="PPQ308" s="1091"/>
      <c r="PPR308" s="1091"/>
      <c r="PPS308" s="1091"/>
      <c r="PPT308" s="1091"/>
      <c r="PPU308" s="1091"/>
      <c r="PPV308" s="1091"/>
      <c r="PPW308" s="1091"/>
      <c r="PPX308" s="1091"/>
      <c r="PPY308" s="1091"/>
      <c r="PPZ308" s="1091"/>
      <c r="PQA308" s="1091"/>
      <c r="PQB308" s="1091"/>
      <c r="PQC308" s="1091"/>
      <c r="PQD308" s="1091"/>
      <c r="PQE308" s="1091"/>
      <c r="PQF308" s="1091"/>
      <c r="PQG308" s="1091"/>
      <c r="PQH308" s="1091"/>
      <c r="PQI308" s="1091"/>
      <c r="PQJ308" s="1091"/>
      <c r="PQK308" s="1091"/>
      <c r="PQL308" s="1091"/>
      <c r="PQM308" s="1091"/>
      <c r="PQN308" s="1091"/>
      <c r="PQO308" s="1091"/>
      <c r="PQP308" s="1091"/>
      <c r="PQQ308" s="1091"/>
      <c r="PQR308" s="1091"/>
      <c r="PQS308" s="1091"/>
      <c r="PQT308" s="1091"/>
      <c r="PQU308" s="1091"/>
      <c r="PQV308" s="1091"/>
      <c r="PQW308" s="1091"/>
      <c r="PQX308" s="1091"/>
      <c r="PQY308" s="1091"/>
      <c r="PQZ308" s="1091"/>
      <c r="PRA308" s="1091"/>
      <c r="PRB308" s="1091"/>
      <c r="PRC308" s="1091"/>
      <c r="PRD308" s="1091"/>
      <c r="PRE308" s="1091"/>
      <c r="PRF308" s="1091"/>
      <c r="PRG308" s="1091"/>
      <c r="PRH308" s="1091"/>
      <c r="PRI308" s="1091"/>
      <c r="PRJ308" s="1091"/>
      <c r="PRK308" s="1091"/>
      <c r="PRL308" s="1091"/>
      <c r="PRM308" s="1091"/>
      <c r="PRN308" s="1091"/>
      <c r="PRO308" s="1091"/>
      <c r="PRP308" s="1091"/>
      <c r="PRQ308" s="1091"/>
      <c r="PRR308" s="1091"/>
      <c r="PRS308" s="1091"/>
      <c r="PRT308" s="1091"/>
      <c r="PRU308" s="1091"/>
      <c r="PRV308" s="1091"/>
      <c r="PRW308" s="1091"/>
      <c r="PRX308" s="1091"/>
      <c r="PRY308" s="1091"/>
      <c r="PRZ308" s="1091"/>
      <c r="PSA308" s="1091"/>
      <c r="PSB308" s="1091"/>
      <c r="PSC308" s="1091"/>
      <c r="PSD308" s="1091"/>
      <c r="PSE308" s="1091"/>
      <c r="PSF308" s="1091"/>
      <c r="PSG308" s="1091"/>
      <c r="PSH308" s="1091"/>
      <c r="PSI308" s="1091"/>
      <c r="PSJ308" s="1091"/>
      <c r="PSK308" s="1091"/>
      <c r="PSL308" s="1091"/>
      <c r="PSM308" s="1091"/>
      <c r="PSN308" s="1091"/>
      <c r="PSO308" s="1091"/>
      <c r="PSP308" s="1091"/>
      <c r="PSQ308" s="1091"/>
      <c r="PSR308" s="1091"/>
      <c r="PSS308" s="1091"/>
      <c r="PST308" s="1091"/>
      <c r="PSU308" s="1091"/>
      <c r="PSV308" s="1091"/>
      <c r="PSW308" s="1091"/>
      <c r="PSX308" s="1091"/>
      <c r="PSY308" s="1091"/>
      <c r="PSZ308" s="1091"/>
      <c r="PTA308" s="1091"/>
      <c r="PTB308" s="1091"/>
      <c r="PTC308" s="1091"/>
      <c r="PTD308" s="1091"/>
      <c r="PTE308" s="1091"/>
      <c r="PTF308" s="1091"/>
      <c r="PTG308" s="1091"/>
      <c r="PTH308" s="1091"/>
      <c r="PTI308" s="1091"/>
      <c r="PTJ308" s="1091"/>
      <c r="PTK308" s="1091"/>
      <c r="PTL308" s="1091"/>
      <c r="PTM308" s="1091"/>
      <c r="PTN308" s="1091"/>
      <c r="PTO308" s="1091"/>
      <c r="PTP308" s="1091"/>
      <c r="PTQ308" s="1091"/>
      <c r="PTR308" s="1091"/>
      <c r="PTS308" s="1091"/>
      <c r="PTT308" s="1091"/>
      <c r="PTU308" s="1091"/>
      <c r="PTV308" s="1091"/>
      <c r="PTW308" s="1091"/>
      <c r="PTX308" s="1091"/>
      <c r="PTY308" s="1091"/>
      <c r="PTZ308" s="1091"/>
      <c r="PUA308" s="1091"/>
      <c r="PUB308" s="1091"/>
      <c r="PUC308" s="1091"/>
      <c r="PUD308" s="1091"/>
      <c r="PUE308" s="1091"/>
      <c r="PUF308" s="1091"/>
      <c r="PUG308" s="1091"/>
      <c r="PUH308" s="1091"/>
      <c r="PUI308" s="1091"/>
      <c r="PUJ308" s="1091"/>
      <c r="PUK308" s="1091"/>
      <c r="PUL308" s="1091"/>
      <c r="PUM308" s="1091"/>
      <c r="PUN308" s="1091"/>
      <c r="PUO308" s="1091"/>
      <c r="PUP308" s="1091"/>
      <c r="PUQ308" s="1091"/>
      <c r="PUR308" s="1091"/>
      <c r="PUS308" s="1091"/>
      <c r="PUT308" s="1091"/>
      <c r="PUU308" s="1091"/>
      <c r="PUV308" s="1091"/>
      <c r="PUW308" s="1091"/>
      <c r="PUX308" s="1091"/>
      <c r="PUY308" s="1091"/>
      <c r="PUZ308" s="1091"/>
      <c r="PVA308" s="1091"/>
      <c r="PVB308" s="1091"/>
      <c r="PVC308" s="1091"/>
      <c r="PVD308" s="1091"/>
      <c r="PVE308" s="1091"/>
      <c r="PVF308" s="1091"/>
      <c r="PVG308" s="1091"/>
      <c r="PVH308" s="1091"/>
      <c r="PVI308" s="1091"/>
      <c r="PVJ308" s="1091"/>
      <c r="PVK308" s="1091"/>
      <c r="PVL308" s="1091"/>
      <c r="PVM308" s="1091"/>
      <c r="PVN308" s="1091"/>
      <c r="PVO308" s="1091"/>
      <c r="PVP308" s="1091"/>
      <c r="PVQ308" s="1091"/>
      <c r="PVR308" s="1091"/>
      <c r="PVS308" s="1091"/>
      <c r="PVT308" s="1091"/>
      <c r="PVU308" s="1091"/>
      <c r="PVV308" s="1091"/>
      <c r="PVW308" s="1091"/>
      <c r="PVX308" s="1091"/>
      <c r="PVY308" s="1091"/>
      <c r="PVZ308" s="1091"/>
      <c r="PWA308" s="1091"/>
      <c r="PWB308" s="1091"/>
      <c r="PWC308" s="1091"/>
      <c r="PWD308" s="1091"/>
      <c r="PWE308" s="1091"/>
      <c r="PWF308" s="1091"/>
      <c r="PWG308" s="1091"/>
      <c r="PWH308" s="1091"/>
      <c r="PWI308" s="1091"/>
      <c r="PWJ308" s="1091"/>
      <c r="PWK308" s="1091"/>
      <c r="PWL308" s="1091"/>
      <c r="PWM308" s="1091"/>
      <c r="PWN308" s="1091"/>
      <c r="PWO308" s="1091"/>
      <c r="PWP308" s="1091"/>
      <c r="PWQ308" s="1091"/>
      <c r="PWR308" s="1091"/>
      <c r="PWS308" s="1091"/>
      <c r="PWT308" s="1091"/>
      <c r="PWU308" s="1091"/>
      <c r="PWV308" s="1091"/>
      <c r="PWW308" s="1091"/>
      <c r="PWX308" s="1091"/>
      <c r="PWY308" s="1091"/>
      <c r="PWZ308" s="1091"/>
      <c r="PXA308" s="1091"/>
      <c r="PXB308" s="1091"/>
      <c r="PXC308" s="1091"/>
      <c r="PXD308" s="1091"/>
      <c r="PXE308" s="1091"/>
      <c r="PXF308" s="1091"/>
      <c r="PXG308" s="1091"/>
      <c r="PXH308" s="1091"/>
      <c r="PXI308" s="1091"/>
      <c r="PXJ308" s="1091"/>
      <c r="PXK308" s="1091"/>
      <c r="PXL308" s="1091"/>
      <c r="PXM308" s="1091"/>
      <c r="PXN308" s="1091"/>
      <c r="PXO308" s="1091"/>
      <c r="PXP308" s="1091"/>
      <c r="PXQ308" s="1091"/>
      <c r="PXR308" s="1091"/>
      <c r="PXS308" s="1091"/>
      <c r="PXT308" s="1091"/>
      <c r="PXU308" s="1091"/>
      <c r="PXV308" s="1091"/>
      <c r="PXW308" s="1091"/>
      <c r="PXX308" s="1091"/>
      <c r="PXY308" s="1091"/>
      <c r="PXZ308" s="1091"/>
      <c r="PYA308" s="1091"/>
      <c r="PYB308" s="1091"/>
      <c r="PYC308" s="1091"/>
      <c r="PYD308" s="1091"/>
      <c r="PYE308" s="1091"/>
      <c r="PYF308" s="1091"/>
      <c r="PYG308" s="1091"/>
      <c r="PYH308" s="1091"/>
      <c r="PYI308" s="1091"/>
      <c r="PYJ308" s="1091"/>
      <c r="PYK308" s="1091"/>
      <c r="PYL308" s="1091"/>
      <c r="PYM308" s="1091"/>
      <c r="PYN308" s="1091"/>
      <c r="PYO308" s="1091"/>
      <c r="PYP308" s="1091"/>
      <c r="PYQ308" s="1091"/>
      <c r="PYR308" s="1091"/>
      <c r="PYS308" s="1091"/>
      <c r="PYT308" s="1091"/>
      <c r="PYU308" s="1091"/>
      <c r="PYV308" s="1091"/>
      <c r="PYW308" s="1091"/>
      <c r="PYX308" s="1091"/>
      <c r="PYY308" s="1091"/>
      <c r="PYZ308" s="1091"/>
      <c r="PZA308" s="1091"/>
      <c r="PZB308" s="1091"/>
      <c r="PZC308" s="1091"/>
      <c r="PZD308" s="1091"/>
      <c r="PZE308" s="1091"/>
      <c r="PZF308" s="1091"/>
      <c r="PZG308" s="1091"/>
      <c r="PZH308" s="1091"/>
      <c r="PZI308" s="1091"/>
      <c r="PZJ308" s="1091"/>
      <c r="PZK308" s="1091"/>
      <c r="PZL308" s="1091"/>
      <c r="PZM308" s="1091"/>
      <c r="PZN308" s="1091"/>
      <c r="PZO308" s="1091"/>
      <c r="PZP308" s="1091"/>
      <c r="PZQ308" s="1091"/>
      <c r="PZR308" s="1091"/>
      <c r="PZS308" s="1091"/>
      <c r="PZT308" s="1091"/>
      <c r="PZU308" s="1091"/>
      <c r="PZV308" s="1091"/>
      <c r="PZW308" s="1091"/>
      <c r="PZX308" s="1091"/>
      <c r="PZY308" s="1091"/>
      <c r="PZZ308" s="1091"/>
      <c r="QAA308" s="1091"/>
      <c r="QAB308" s="1091"/>
      <c r="QAC308" s="1091"/>
      <c r="QAD308" s="1091"/>
      <c r="QAE308" s="1091"/>
      <c r="QAF308" s="1091"/>
      <c r="QAG308" s="1091"/>
      <c r="QAH308" s="1091"/>
      <c r="QAI308" s="1091"/>
      <c r="QAJ308" s="1091"/>
      <c r="QAK308" s="1091"/>
      <c r="QAL308" s="1091"/>
      <c r="QAM308" s="1091"/>
      <c r="QAN308" s="1091"/>
      <c r="QAO308" s="1091"/>
      <c r="QAP308" s="1091"/>
      <c r="QAQ308" s="1091"/>
      <c r="QAR308" s="1091"/>
      <c r="QAS308" s="1091"/>
      <c r="QAT308" s="1091"/>
      <c r="QAU308" s="1091"/>
      <c r="QAV308" s="1091"/>
      <c r="QAW308" s="1091"/>
      <c r="QAX308" s="1091"/>
      <c r="QAY308" s="1091"/>
      <c r="QAZ308" s="1091"/>
      <c r="QBA308" s="1091"/>
      <c r="QBB308" s="1091"/>
      <c r="QBC308" s="1091"/>
      <c r="QBD308" s="1091"/>
      <c r="QBE308" s="1091"/>
      <c r="QBF308" s="1091"/>
      <c r="QBG308" s="1091"/>
      <c r="QBH308" s="1091"/>
      <c r="QBI308" s="1091"/>
      <c r="QBJ308" s="1091"/>
      <c r="QBK308" s="1091"/>
      <c r="QBL308" s="1091"/>
      <c r="QBM308" s="1091"/>
      <c r="QBN308" s="1091"/>
      <c r="QBO308" s="1091"/>
      <c r="QBP308" s="1091"/>
      <c r="QBQ308" s="1091"/>
      <c r="QBR308" s="1091"/>
      <c r="QBS308" s="1091"/>
      <c r="QBT308" s="1091"/>
      <c r="QBU308" s="1091"/>
      <c r="QBV308" s="1091"/>
      <c r="QBW308" s="1091"/>
      <c r="QBX308" s="1091"/>
      <c r="QBY308" s="1091"/>
      <c r="QBZ308" s="1091"/>
      <c r="QCA308" s="1091"/>
      <c r="QCB308" s="1091"/>
      <c r="QCC308" s="1091"/>
      <c r="QCD308" s="1091"/>
      <c r="QCE308" s="1091"/>
      <c r="QCF308" s="1091"/>
      <c r="QCG308" s="1091"/>
      <c r="QCH308" s="1091"/>
      <c r="QCI308" s="1091"/>
      <c r="QCJ308" s="1091"/>
      <c r="QCK308" s="1091"/>
      <c r="QCL308" s="1091"/>
      <c r="QCM308" s="1091"/>
      <c r="QCN308" s="1091"/>
      <c r="QCO308" s="1091"/>
      <c r="QCP308" s="1091"/>
      <c r="QCQ308" s="1091"/>
      <c r="QCR308" s="1091"/>
      <c r="QCS308" s="1091"/>
      <c r="QCT308" s="1091"/>
      <c r="QCU308" s="1091"/>
      <c r="QCV308" s="1091"/>
      <c r="QCW308" s="1091"/>
      <c r="QCX308" s="1091"/>
      <c r="QCY308" s="1091"/>
      <c r="QCZ308" s="1091"/>
      <c r="QDA308" s="1091"/>
      <c r="QDB308" s="1091"/>
      <c r="QDC308" s="1091"/>
      <c r="QDD308" s="1091"/>
      <c r="QDE308" s="1091"/>
      <c r="QDF308" s="1091"/>
      <c r="QDG308" s="1091"/>
      <c r="QDH308" s="1091"/>
      <c r="QDI308" s="1091"/>
      <c r="QDJ308" s="1091"/>
      <c r="QDK308" s="1091"/>
      <c r="QDL308" s="1091"/>
      <c r="QDM308" s="1091"/>
      <c r="QDN308" s="1091"/>
      <c r="QDO308" s="1091"/>
      <c r="QDP308" s="1091"/>
      <c r="QDQ308" s="1091"/>
      <c r="QDR308" s="1091"/>
      <c r="QDS308" s="1091"/>
      <c r="QDT308" s="1091"/>
      <c r="QDU308" s="1091"/>
      <c r="QDV308" s="1091"/>
      <c r="QDW308" s="1091"/>
      <c r="QDX308" s="1091"/>
      <c r="QDY308" s="1091"/>
      <c r="QDZ308" s="1091"/>
      <c r="QEA308" s="1091"/>
      <c r="QEB308" s="1091"/>
      <c r="QEC308" s="1091"/>
      <c r="QED308" s="1091"/>
      <c r="QEE308" s="1091"/>
      <c r="QEF308" s="1091"/>
      <c r="QEG308" s="1091"/>
      <c r="QEH308" s="1091"/>
      <c r="QEI308" s="1091"/>
      <c r="QEJ308" s="1091"/>
      <c r="QEK308" s="1091"/>
      <c r="QEL308" s="1091"/>
      <c r="QEM308" s="1091"/>
      <c r="QEN308" s="1091"/>
      <c r="QEO308" s="1091"/>
      <c r="QEP308" s="1091"/>
      <c r="QEQ308" s="1091"/>
      <c r="QER308" s="1091"/>
      <c r="QES308" s="1091"/>
      <c r="QET308" s="1091"/>
      <c r="QEU308" s="1091"/>
      <c r="QEV308" s="1091"/>
      <c r="QEW308" s="1091"/>
      <c r="QEX308" s="1091"/>
      <c r="QEY308" s="1091"/>
      <c r="QEZ308" s="1091"/>
      <c r="QFA308" s="1091"/>
      <c r="QFB308" s="1091"/>
      <c r="QFC308" s="1091"/>
      <c r="QFD308" s="1091"/>
      <c r="QFE308" s="1091"/>
      <c r="QFF308" s="1091"/>
      <c r="QFG308" s="1091"/>
      <c r="QFH308" s="1091"/>
      <c r="QFI308" s="1091"/>
      <c r="QFJ308" s="1091"/>
      <c r="QFK308" s="1091"/>
      <c r="QFL308" s="1091"/>
      <c r="QFM308" s="1091"/>
      <c r="QFN308" s="1091"/>
      <c r="QFO308" s="1091"/>
      <c r="QFP308" s="1091"/>
      <c r="QFQ308" s="1091"/>
      <c r="QFR308" s="1091"/>
      <c r="QFS308" s="1091"/>
      <c r="QFT308" s="1091"/>
      <c r="QFU308" s="1091"/>
      <c r="QFV308" s="1091"/>
      <c r="QFW308" s="1091"/>
      <c r="QFX308" s="1091"/>
      <c r="QFY308" s="1091"/>
      <c r="QFZ308" s="1091"/>
      <c r="QGA308" s="1091"/>
      <c r="QGB308" s="1091"/>
      <c r="QGC308" s="1091"/>
      <c r="QGD308" s="1091"/>
      <c r="QGE308" s="1091"/>
      <c r="QGF308" s="1091"/>
      <c r="QGG308" s="1091"/>
      <c r="QGH308" s="1091"/>
      <c r="QGI308" s="1091"/>
      <c r="QGJ308" s="1091"/>
      <c r="QGK308" s="1091"/>
      <c r="QGL308" s="1091"/>
      <c r="QGM308" s="1091"/>
      <c r="QGN308" s="1091"/>
      <c r="QGO308" s="1091"/>
      <c r="QGP308" s="1091"/>
      <c r="QGQ308" s="1091"/>
      <c r="QGR308" s="1091"/>
      <c r="QGS308" s="1091"/>
      <c r="QGT308" s="1091"/>
      <c r="QGU308" s="1091"/>
      <c r="QGV308" s="1091"/>
      <c r="QGW308" s="1091"/>
      <c r="QGX308" s="1091"/>
      <c r="QGY308" s="1091"/>
      <c r="QGZ308" s="1091"/>
      <c r="QHA308" s="1091"/>
      <c r="QHB308" s="1091"/>
      <c r="QHC308" s="1091"/>
      <c r="QHD308" s="1091"/>
      <c r="QHE308" s="1091"/>
      <c r="QHF308" s="1091"/>
      <c r="QHG308" s="1091"/>
      <c r="QHH308" s="1091"/>
      <c r="QHI308" s="1091"/>
      <c r="QHJ308" s="1091"/>
      <c r="QHK308" s="1091"/>
      <c r="QHL308" s="1091"/>
      <c r="QHM308" s="1091"/>
      <c r="QHN308" s="1091"/>
      <c r="QHO308" s="1091"/>
      <c r="QHP308" s="1091"/>
      <c r="QHQ308" s="1091"/>
      <c r="QHR308" s="1091"/>
      <c r="QHS308" s="1091"/>
      <c r="QHT308" s="1091"/>
      <c r="QHU308" s="1091"/>
      <c r="QHV308" s="1091"/>
      <c r="QHW308" s="1091"/>
      <c r="QHX308" s="1091"/>
      <c r="QHY308" s="1091"/>
      <c r="QHZ308" s="1091"/>
      <c r="QIA308" s="1091"/>
      <c r="QIB308" s="1091"/>
      <c r="QIC308" s="1091"/>
      <c r="QID308" s="1091"/>
      <c r="QIE308" s="1091"/>
      <c r="QIF308" s="1091"/>
      <c r="QIG308" s="1091"/>
      <c r="QIH308" s="1091"/>
      <c r="QII308" s="1091"/>
      <c r="QIJ308" s="1091"/>
      <c r="QIK308" s="1091"/>
      <c r="QIL308" s="1091"/>
      <c r="QIM308" s="1091"/>
      <c r="QIN308" s="1091"/>
      <c r="QIO308" s="1091"/>
      <c r="QIP308" s="1091"/>
      <c r="QIQ308" s="1091"/>
      <c r="QIR308" s="1091"/>
      <c r="QIS308" s="1091"/>
      <c r="QIT308" s="1091"/>
      <c r="QIU308" s="1091"/>
      <c r="QIV308" s="1091"/>
      <c r="QIW308" s="1091"/>
      <c r="QIX308" s="1091"/>
      <c r="QIY308" s="1091"/>
      <c r="QIZ308" s="1091"/>
      <c r="QJA308" s="1091"/>
      <c r="QJB308" s="1091"/>
      <c r="QJC308" s="1091"/>
      <c r="QJD308" s="1091"/>
      <c r="QJE308" s="1091"/>
      <c r="QJF308" s="1091"/>
      <c r="QJG308" s="1091"/>
      <c r="QJH308" s="1091"/>
      <c r="QJI308" s="1091"/>
      <c r="QJJ308" s="1091"/>
      <c r="QJK308" s="1091"/>
      <c r="QJL308" s="1091"/>
      <c r="QJM308" s="1091"/>
      <c r="QJN308" s="1091"/>
      <c r="QJO308" s="1091"/>
      <c r="QJP308" s="1091"/>
      <c r="QJQ308" s="1091"/>
      <c r="QJR308" s="1091"/>
      <c r="QJS308" s="1091"/>
      <c r="QJT308" s="1091"/>
      <c r="QJU308" s="1091"/>
      <c r="QJV308" s="1091"/>
      <c r="QJW308" s="1091"/>
      <c r="QJX308" s="1091"/>
      <c r="QJY308" s="1091"/>
      <c r="QJZ308" s="1091"/>
      <c r="QKA308" s="1091"/>
      <c r="QKB308" s="1091"/>
      <c r="QKC308" s="1091"/>
      <c r="QKD308" s="1091"/>
      <c r="QKE308" s="1091"/>
      <c r="QKF308" s="1091"/>
      <c r="QKG308" s="1091"/>
      <c r="QKH308" s="1091"/>
      <c r="QKI308" s="1091"/>
      <c r="QKJ308" s="1091"/>
      <c r="QKK308" s="1091"/>
      <c r="QKL308" s="1091"/>
      <c r="QKM308" s="1091"/>
      <c r="QKN308" s="1091"/>
      <c r="QKO308" s="1091"/>
      <c r="QKP308" s="1091"/>
      <c r="QKQ308" s="1091"/>
      <c r="QKR308" s="1091"/>
      <c r="QKS308" s="1091"/>
      <c r="QKT308" s="1091"/>
      <c r="QKU308" s="1091"/>
      <c r="QKV308" s="1091"/>
      <c r="QKW308" s="1091"/>
      <c r="QKX308" s="1091"/>
      <c r="QKY308" s="1091"/>
      <c r="QKZ308" s="1091"/>
      <c r="QLA308" s="1091"/>
      <c r="QLB308" s="1091"/>
      <c r="QLC308" s="1091"/>
      <c r="QLD308" s="1091"/>
      <c r="QLE308" s="1091"/>
      <c r="QLF308" s="1091"/>
      <c r="QLG308" s="1091"/>
      <c r="QLH308" s="1091"/>
      <c r="QLI308" s="1091"/>
      <c r="QLJ308" s="1091"/>
      <c r="QLK308" s="1091"/>
      <c r="QLL308" s="1091"/>
      <c r="QLM308" s="1091"/>
      <c r="QLN308" s="1091"/>
      <c r="QLO308" s="1091"/>
      <c r="QLP308" s="1091"/>
      <c r="QLQ308" s="1091"/>
      <c r="QLR308" s="1091"/>
      <c r="QLS308" s="1091"/>
      <c r="QLT308" s="1091"/>
      <c r="QLU308" s="1091"/>
      <c r="QLV308" s="1091"/>
      <c r="QLW308" s="1091"/>
      <c r="QLX308" s="1091"/>
      <c r="QLY308" s="1091"/>
      <c r="QLZ308" s="1091"/>
      <c r="QMA308" s="1091"/>
      <c r="QMB308" s="1091"/>
      <c r="QMC308" s="1091"/>
      <c r="QMD308" s="1091"/>
      <c r="QME308" s="1091"/>
      <c r="QMF308" s="1091"/>
      <c r="QMG308" s="1091"/>
      <c r="QMH308" s="1091"/>
      <c r="QMI308" s="1091"/>
      <c r="QMJ308" s="1091"/>
      <c r="QMK308" s="1091"/>
      <c r="QML308" s="1091"/>
      <c r="QMM308" s="1091"/>
      <c r="QMN308" s="1091"/>
      <c r="QMO308" s="1091"/>
      <c r="QMP308" s="1091"/>
      <c r="QMQ308" s="1091"/>
      <c r="QMR308" s="1091"/>
      <c r="QMS308" s="1091"/>
      <c r="QMT308" s="1091"/>
      <c r="QMU308" s="1091"/>
      <c r="QMV308" s="1091"/>
      <c r="QMW308" s="1091"/>
      <c r="QMX308" s="1091"/>
      <c r="QMY308" s="1091"/>
      <c r="QMZ308" s="1091"/>
      <c r="QNA308" s="1091"/>
      <c r="QNB308" s="1091"/>
      <c r="QNC308" s="1091"/>
      <c r="QND308" s="1091"/>
      <c r="QNE308" s="1091"/>
      <c r="QNF308" s="1091"/>
      <c r="QNG308" s="1091"/>
      <c r="QNH308" s="1091"/>
      <c r="QNI308" s="1091"/>
      <c r="QNJ308" s="1091"/>
      <c r="QNK308" s="1091"/>
      <c r="QNL308" s="1091"/>
      <c r="QNM308" s="1091"/>
      <c r="QNN308" s="1091"/>
      <c r="QNO308" s="1091"/>
      <c r="QNP308" s="1091"/>
      <c r="QNQ308" s="1091"/>
      <c r="QNR308" s="1091"/>
      <c r="QNS308" s="1091"/>
      <c r="QNT308" s="1091"/>
      <c r="QNU308" s="1091"/>
      <c r="QNV308" s="1091"/>
      <c r="QNW308" s="1091"/>
      <c r="QNX308" s="1091"/>
      <c r="QNY308" s="1091"/>
      <c r="QNZ308" s="1091"/>
      <c r="QOA308" s="1091"/>
      <c r="QOB308" s="1091"/>
      <c r="QOC308" s="1091"/>
      <c r="QOD308" s="1091"/>
      <c r="QOE308" s="1091"/>
      <c r="QOF308" s="1091"/>
      <c r="QOG308" s="1091"/>
      <c r="QOH308" s="1091"/>
      <c r="QOI308" s="1091"/>
      <c r="QOJ308" s="1091"/>
      <c r="QOK308" s="1091"/>
      <c r="QOL308" s="1091"/>
      <c r="QOM308" s="1091"/>
      <c r="QON308" s="1091"/>
      <c r="QOO308" s="1091"/>
      <c r="QOP308" s="1091"/>
      <c r="QOQ308" s="1091"/>
      <c r="QOR308" s="1091"/>
      <c r="QOS308" s="1091"/>
      <c r="QOT308" s="1091"/>
      <c r="QOU308" s="1091"/>
      <c r="QOV308" s="1091"/>
      <c r="QOW308" s="1091"/>
      <c r="QOX308" s="1091"/>
      <c r="QOY308" s="1091"/>
      <c r="QOZ308" s="1091"/>
      <c r="QPA308" s="1091"/>
      <c r="QPB308" s="1091"/>
      <c r="QPC308" s="1091"/>
      <c r="QPD308" s="1091"/>
      <c r="QPE308" s="1091"/>
      <c r="QPF308" s="1091"/>
      <c r="QPG308" s="1091"/>
      <c r="QPH308" s="1091"/>
      <c r="QPI308" s="1091"/>
      <c r="QPJ308" s="1091"/>
      <c r="QPK308" s="1091"/>
      <c r="QPL308" s="1091"/>
      <c r="QPM308" s="1091"/>
      <c r="QPN308" s="1091"/>
      <c r="QPO308" s="1091"/>
      <c r="QPP308" s="1091"/>
      <c r="QPQ308" s="1091"/>
      <c r="QPR308" s="1091"/>
      <c r="QPS308" s="1091"/>
      <c r="QPT308" s="1091"/>
      <c r="QPU308" s="1091"/>
      <c r="QPV308" s="1091"/>
      <c r="QPW308" s="1091"/>
      <c r="QPX308" s="1091"/>
      <c r="QPY308" s="1091"/>
      <c r="QPZ308" s="1091"/>
      <c r="QQA308" s="1091"/>
      <c r="QQB308" s="1091"/>
      <c r="QQC308" s="1091"/>
      <c r="QQD308" s="1091"/>
      <c r="QQE308" s="1091"/>
      <c r="QQF308" s="1091"/>
      <c r="QQG308" s="1091"/>
      <c r="QQH308" s="1091"/>
      <c r="QQI308" s="1091"/>
      <c r="QQJ308" s="1091"/>
      <c r="QQK308" s="1091"/>
      <c r="QQL308" s="1091"/>
      <c r="QQM308" s="1091"/>
      <c r="QQN308" s="1091"/>
      <c r="QQO308" s="1091"/>
      <c r="QQP308" s="1091"/>
      <c r="QQQ308" s="1091"/>
      <c r="QQR308" s="1091"/>
      <c r="QQS308" s="1091"/>
      <c r="QQT308" s="1091"/>
      <c r="QQU308" s="1091"/>
      <c r="QQV308" s="1091"/>
      <c r="QQW308" s="1091"/>
      <c r="QQX308" s="1091"/>
      <c r="QQY308" s="1091"/>
      <c r="QQZ308" s="1091"/>
      <c r="QRA308" s="1091"/>
      <c r="QRB308" s="1091"/>
      <c r="QRC308" s="1091"/>
      <c r="QRD308" s="1091"/>
      <c r="QRE308" s="1091"/>
      <c r="QRF308" s="1091"/>
      <c r="QRG308" s="1091"/>
      <c r="QRH308" s="1091"/>
      <c r="QRI308" s="1091"/>
      <c r="QRJ308" s="1091"/>
      <c r="QRK308" s="1091"/>
      <c r="QRL308" s="1091"/>
      <c r="QRM308" s="1091"/>
      <c r="QRN308" s="1091"/>
      <c r="QRO308" s="1091"/>
      <c r="QRP308" s="1091"/>
      <c r="QRQ308" s="1091"/>
      <c r="QRR308" s="1091"/>
      <c r="QRS308" s="1091"/>
      <c r="QRT308" s="1091"/>
      <c r="QRU308" s="1091"/>
      <c r="QRV308" s="1091"/>
      <c r="QRW308" s="1091"/>
      <c r="QRX308" s="1091"/>
      <c r="QRY308" s="1091"/>
      <c r="QRZ308" s="1091"/>
      <c r="QSA308" s="1091"/>
      <c r="QSB308" s="1091"/>
      <c r="QSC308" s="1091"/>
      <c r="QSD308" s="1091"/>
      <c r="QSE308" s="1091"/>
      <c r="QSF308" s="1091"/>
      <c r="QSG308" s="1091"/>
      <c r="QSH308" s="1091"/>
      <c r="QSI308" s="1091"/>
      <c r="QSJ308" s="1091"/>
      <c r="QSK308" s="1091"/>
      <c r="QSL308" s="1091"/>
      <c r="QSM308" s="1091"/>
      <c r="QSN308" s="1091"/>
      <c r="QSO308" s="1091"/>
      <c r="QSP308" s="1091"/>
      <c r="QSQ308" s="1091"/>
      <c r="QSR308" s="1091"/>
      <c r="QSS308" s="1091"/>
      <c r="QST308" s="1091"/>
      <c r="QSU308" s="1091"/>
      <c r="QSV308" s="1091"/>
      <c r="QSW308" s="1091"/>
      <c r="QSX308" s="1091"/>
      <c r="QSY308" s="1091"/>
      <c r="QSZ308" s="1091"/>
      <c r="QTA308" s="1091"/>
      <c r="QTB308" s="1091"/>
      <c r="QTC308" s="1091"/>
      <c r="QTD308" s="1091"/>
      <c r="QTE308" s="1091"/>
      <c r="QTF308" s="1091"/>
      <c r="QTG308" s="1091"/>
      <c r="QTH308" s="1091"/>
      <c r="QTI308" s="1091"/>
      <c r="QTJ308" s="1091"/>
      <c r="QTK308" s="1091"/>
      <c r="QTL308" s="1091"/>
      <c r="QTM308" s="1091"/>
      <c r="QTN308" s="1091"/>
      <c r="QTO308" s="1091"/>
      <c r="QTP308" s="1091"/>
      <c r="QTQ308" s="1091"/>
      <c r="QTR308" s="1091"/>
      <c r="QTS308" s="1091"/>
      <c r="QTT308" s="1091"/>
      <c r="QTU308" s="1091"/>
      <c r="QTV308" s="1091"/>
      <c r="QTW308" s="1091"/>
      <c r="QTX308" s="1091"/>
      <c r="QTY308" s="1091"/>
      <c r="QTZ308" s="1091"/>
      <c r="QUA308" s="1091"/>
      <c r="QUB308" s="1091"/>
      <c r="QUC308" s="1091"/>
      <c r="QUD308" s="1091"/>
      <c r="QUE308" s="1091"/>
      <c r="QUF308" s="1091"/>
      <c r="QUG308" s="1091"/>
      <c r="QUH308" s="1091"/>
      <c r="QUI308" s="1091"/>
      <c r="QUJ308" s="1091"/>
      <c r="QUK308" s="1091"/>
      <c r="QUL308" s="1091"/>
      <c r="QUM308" s="1091"/>
      <c r="QUN308" s="1091"/>
      <c r="QUO308" s="1091"/>
      <c r="QUP308" s="1091"/>
      <c r="QUQ308" s="1091"/>
      <c r="QUR308" s="1091"/>
      <c r="QUS308" s="1091"/>
      <c r="QUT308" s="1091"/>
      <c r="QUU308" s="1091"/>
      <c r="QUV308" s="1091"/>
      <c r="QUW308" s="1091"/>
      <c r="QUX308" s="1091"/>
      <c r="QUY308" s="1091"/>
      <c r="QUZ308" s="1091"/>
      <c r="QVA308" s="1091"/>
      <c r="QVB308" s="1091"/>
      <c r="QVC308" s="1091"/>
      <c r="QVD308" s="1091"/>
      <c r="QVE308" s="1091"/>
      <c r="QVF308" s="1091"/>
      <c r="QVG308" s="1091"/>
      <c r="QVH308" s="1091"/>
      <c r="QVI308" s="1091"/>
      <c r="QVJ308" s="1091"/>
      <c r="QVK308" s="1091"/>
      <c r="QVL308" s="1091"/>
      <c r="QVM308" s="1091"/>
      <c r="QVN308" s="1091"/>
      <c r="QVO308" s="1091"/>
      <c r="QVP308" s="1091"/>
      <c r="QVQ308" s="1091"/>
      <c r="QVR308" s="1091"/>
      <c r="QVS308" s="1091"/>
      <c r="QVT308" s="1091"/>
      <c r="QVU308" s="1091"/>
      <c r="QVV308" s="1091"/>
      <c r="QVW308" s="1091"/>
      <c r="QVX308" s="1091"/>
      <c r="QVY308" s="1091"/>
      <c r="QVZ308" s="1091"/>
      <c r="QWA308" s="1091"/>
      <c r="QWB308" s="1091"/>
      <c r="QWC308" s="1091"/>
      <c r="QWD308" s="1091"/>
      <c r="QWE308" s="1091"/>
      <c r="QWF308" s="1091"/>
      <c r="QWG308" s="1091"/>
      <c r="QWH308" s="1091"/>
      <c r="QWI308" s="1091"/>
      <c r="QWJ308" s="1091"/>
      <c r="QWK308" s="1091"/>
      <c r="QWL308" s="1091"/>
      <c r="QWM308" s="1091"/>
      <c r="QWN308" s="1091"/>
      <c r="QWO308" s="1091"/>
      <c r="QWP308" s="1091"/>
      <c r="QWQ308" s="1091"/>
      <c r="QWR308" s="1091"/>
      <c r="QWS308" s="1091"/>
      <c r="QWT308" s="1091"/>
      <c r="QWU308" s="1091"/>
      <c r="QWV308" s="1091"/>
      <c r="QWW308" s="1091"/>
      <c r="QWX308" s="1091"/>
      <c r="QWY308" s="1091"/>
      <c r="QWZ308" s="1091"/>
      <c r="QXA308" s="1091"/>
      <c r="QXB308" s="1091"/>
      <c r="QXC308" s="1091"/>
      <c r="QXD308" s="1091"/>
      <c r="QXE308" s="1091"/>
      <c r="QXF308" s="1091"/>
      <c r="QXG308" s="1091"/>
      <c r="QXH308" s="1091"/>
      <c r="QXI308" s="1091"/>
      <c r="QXJ308" s="1091"/>
      <c r="QXK308" s="1091"/>
      <c r="QXL308" s="1091"/>
      <c r="QXM308" s="1091"/>
      <c r="QXN308" s="1091"/>
      <c r="QXO308" s="1091"/>
      <c r="QXP308" s="1091"/>
      <c r="QXQ308" s="1091"/>
      <c r="QXR308" s="1091"/>
      <c r="QXS308" s="1091"/>
      <c r="QXT308" s="1091"/>
      <c r="QXU308" s="1091"/>
      <c r="QXV308" s="1091"/>
      <c r="QXW308" s="1091"/>
      <c r="QXX308" s="1091"/>
      <c r="QXY308" s="1091"/>
      <c r="QXZ308" s="1091"/>
      <c r="QYA308" s="1091"/>
      <c r="QYB308" s="1091"/>
      <c r="QYC308" s="1091"/>
      <c r="QYD308" s="1091"/>
      <c r="QYE308" s="1091"/>
      <c r="QYF308" s="1091"/>
      <c r="QYG308" s="1091"/>
      <c r="QYH308" s="1091"/>
      <c r="QYI308" s="1091"/>
      <c r="QYJ308" s="1091"/>
      <c r="QYK308" s="1091"/>
      <c r="QYL308" s="1091"/>
      <c r="QYM308" s="1091"/>
      <c r="QYN308" s="1091"/>
      <c r="QYO308" s="1091"/>
      <c r="QYP308" s="1091"/>
      <c r="QYQ308" s="1091"/>
      <c r="QYR308" s="1091"/>
      <c r="QYS308" s="1091"/>
      <c r="QYT308" s="1091"/>
      <c r="QYU308" s="1091"/>
      <c r="QYV308" s="1091"/>
      <c r="QYW308" s="1091"/>
      <c r="QYX308" s="1091"/>
      <c r="QYY308" s="1091"/>
      <c r="QYZ308" s="1091"/>
      <c r="QZA308" s="1091"/>
      <c r="QZB308" s="1091"/>
      <c r="QZC308" s="1091"/>
      <c r="QZD308" s="1091"/>
      <c r="QZE308" s="1091"/>
      <c r="QZF308" s="1091"/>
      <c r="QZG308" s="1091"/>
      <c r="QZH308" s="1091"/>
      <c r="QZI308" s="1091"/>
      <c r="QZJ308" s="1091"/>
      <c r="QZK308" s="1091"/>
      <c r="QZL308" s="1091"/>
      <c r="QZM308" s="1091"/>
      <c r="QZN308" s="1091"/>
      <c r="QZO308" s="1091"/>
      <c r="QZP308" s="1091"/>
      <c r="QZQ308" s="1091"/>
      <c r="QZR308" s="1091"/>
      <c r="QZS308" s="1091"/>
      <c r="QZT308" s="1091"/>
      <c r="QZU308" s="1091"/>
      <c r="QZV308" s="1091"/>
      <c r="QZW308" s="1091"/>
      <c r="QZX308" s="1091"/>
      <c r="QZY308" s="1091"/>
      <c r="QZZ308" s="1091"/>
      <c r="RAA308" s="1091"/>
      <c r="RAB308" s="1091"/>
      <c r="RAC308" s="1091"/>
      <c r="RAD308" s="1091"/>
      <c r="RAE308" s="1091"/>
      <c r="RAF308" s="1091"/>
      <c r="RAG308" s="1091"/>
      <c r="RAH308" s="1091"/>
      <c r="RAI308" s="1091"/>
      <c r="RAJ308" s="1091"/>
      <c r="RAK308" s="1091"/>
      <c r="RAL308" s="1091"/>
      <c r="RAM308" s="1091"/>
      <c r="RAN308" s="1091"/>
      <c r="RAO308" s="1091"/>
      <c r="RAP308" s="1091"/>
      <c r="RAQ308" s="1091"/>
      <c r="RAR308" s="1091"/>
      <c r="RAS308" s="1091"/>
      <c r="RAT308" s="1091"/>
      <c r="RAU308" s="1091"/>
      <c r="RAV308" s="1091"/>
      <c r="RAW308" s="1091"/>
      <c r="RAX308" s="1091"/>
      <c r="RAY308" s="1091"/>
      <c r="RAZ308" s="1091"/>
      <c r="RBA308" s="1091"/>
      <c r="RBB308" s="1091"/>
      <c r="RBC308" s="1091"/>
      <c r="RBD308" s="1091"/>
      <c r="RBE308" s="1091"/>
      <c r="RBF308" s="1091"/>
      <c r="RBG308" s="1091"/>
      <c r="RBH308" s="1091"/>
      <c r="RBI308" s="1091"/>
      <c r="RBJ308" s="1091"/>
      <c r="RBK308" s="1091"/>
      <c r="RBL308" s="1091"/>
      <c r="RBM308" s="1091"/>
      <c r="RBN308" s="1091"/>
      <c r="RBO308" s="1091"/>
      <c r="RBP308" s="1091"/>
      <c r="RBQ308" s="1091"/>
      <c r="RBR308" s="1091"/>
      <c r="RBS308" s="1091"/>
      <c r="RBT308" s="1091"/>
      <c r="RBU308" s="1091"/>
      <c r="RBV308" s="1091"/>
      <c r="RBW308" s="1091"/>
      <c r="RBX308" s="1091"/>
      <c r="RBY308" s="1091"/>
      <c r="RBZ308" s="1091"/>
      <c r="RCA308" s="1091"/>
      <c r="RCB308" s="1091"/>
      <c r="RCC308" s="1091"/>
      <c r="RCD308" s="1091"/>
      <c r="RCE308" s="1091"/>
      <c r="RCF308" s="1091"/>
      <c r="RCG308" s="1091"/>
      <c r="RCH308" s="1091"/>
      <c r="RCI308" s="1091"/>
      <c r="RCJ308" s="1091"/>
      <c r="RCK308" s="1091"/>
      <c r="RCL308" s="1091"/>
      <c r="RCM308" s="1091"/>
      <c r="RCN308" s="1091"/>
      <c r="RCO308" s="1091"/>
      <c r="RCP308" s="1091"/>
      <c r="RCQ308" s="1091"/>
      <c r="RCR308" s="1091"/>
      <c r="RCS308" s="1091"/>
      <c r="RCT308" s="1091"/>
      <c r="RCU308" s="1091"/>
      <c r="RCV308" s="1091"/>
      <c r="RCW308" s="1091"/>
      <c r="RCX308" s="1091"/>
      <c r="RCY308" s="1091"/>
      <c r="RCZ308" s="1091"/>
      <c r="RDA308" s="1091"/>
      <c r="RDB308" s="1091"/>
      <c r="RDC308" s="1091"/>
      <c r="RDD308" s="1091"/>
      <c r="RDE308" s="1091"/>
      <c r="RDF308" s="1091"/>
      <c r="RDG308" s="1091"/>
      <c r="RDH308" s="1091"/>
      <c r="RDI308" s="1091"/>
      <c r="RDJ308" s="1091"/>
      <c r="RDK308" s="1091"/>
      <c r="RDL308" s="1091"/>
      <c r="RDM308" s="1091"/>
      <c r="RDN308" s="1091"/>
      <c r="RDO308" s="1091"/>
      <c r="RDP308" s="1091"/>
      <c r="RDQ308" s="1091"/>
      <c r="RDR308" s="1091"/>
      <c r="RDS308" s="1091"/>
      <c r="RDT308" s="1091"/>
      <c r="RDU308" s="1091"/>
      <c r="RDV308" s="1091"/>
      <c r="RDW308" s="1091"/>
      <c r="RDX308" s="1091"/>
      <c r="RDY308" s="1091"/>
      <c r="RDZ308" s="1091"/>
      <c r="REA308" s="1091"/>
      <c r="REB308" s="1091"/>
      <c r="REC308" s="1091"/>
      <c r="RED308" s="1091"/>
      <c r="REE308" s="1091"/>
      <c r="REF308" s="1091"/>
      <c r="REG308" s="1091"/>
      <c r="REH308" s="1091"/>
      <c r="REI308" s="1091"/>
      <c r="REJ308" s="1091"/>
      <c r="REK308" s="1091"/>
      <c r="REL308" s="1091"/>
      <c r="REM308" s="1091"/>
      <c r="REN308" s="1091"/>
      <c r="REO308" s="1091"/>
      <c r="REP308" s="1091"/>
      <c r="REQ308" s="1091"/>
      <c r="RER308" s="1091"/>
      <c r="RES308" s="1091"/>
      <c r="RET308" s="1091"/>
      <c r="REU308" s="1091"/>
      <c r="REV308" s="1091"/>
      <c r="REW308" s="1091"/>
      <c r="REX308" s="1091"/>
      <c r="REY308" s="1091"/>
      <c r="REZ308" s="1091"/>
      <c r="RFA308" s="1091"/>
      <c r="RFB308" s="1091"/>
      <c r="RFC308" s="1091"/>
      <c r="RFD308" s="1091"/>
      <c r="RFE308" s="1091"/>
      <c r="RFF308" s="1091"/>
      <c r="RFG308" s="1091"/>
      <c r="RFH308" s="1091"/>
      <c r="RFI308" s="1091"/>
      <c r="RFJ308" s="1091"/>
      <c r="RFK308" s="1091"/>
      <c r="RFL308" s="1091"/>
      <c r="RFM308" s="1091"/>
      <c r="RFN308" s="1091"/>
      <c r="RFO308" s="1091"/>
      <c r="RFP308" s="1091"/>
      <c r="RFQ308" s="1091"/>
      <c r="RFR308" s="1091"/>
      <c r="RFS308" s="1091"/>
      <c r="RFT308" s="1091"/>
      <c r="RFU308" s="1091"/>
      <c r="RFV308" s="1091"/>
      <c r="RFW308" s="1091"/>
      <c r="RFX308" s="1091"/>
      <c r="RFY308" s="1091"/>
      <c r="RFZ308" s="1091"/>
      <c r="RGA308" s="1091"/>
      <c r="RGB308" s="1091"/>
      <c r="RGC308" s="1091"/>
      <c r="RGD308" s="1091"/>
      <c r="RGE308" s="1091"/>
      <c r="RGF308" s="1091"/>
      <c r="RGG308" s="1091"/>
      <c r="RGH308" s="1091"/>
      <c r="RGI308" s="1091"/>
      <c r="RGJ308" s="1091"/>
      <c r="RGK308" s="1091"/>
      <c r="RGL308" s="1091"/>
      <c r="RGM308" s="1091"/>
      <c r="RGN308" s="1091"/>
      <c r="RGO308" s="1091"/>
      <c r="RGP308" s="1091"/>
      <c r="RGQ308" s="1091"/>
      <c r="RGR308" s="1091"/>
      <c r="RGS308" s="1091"/>
      <c r="RGT308" s="1091"/>
      <c r="RGU308" s="1091"/>
      <c r="RGV308" s="1091"/>
      <c r="RGW308" s="1091"/>
      <c r="RGX308" s="1091"/>
      <c r="RGY308" s="1091"/>
      <c r="RGZ308" s="1091"/>
      <c r="RHA308" s="1091"/>
      <c r="RHB308" s="1091"/>
      <c r="RHC308" s="1091"/>
      <c r="RHD308" s="1091"/>
      <c r="RHE308" s="1091"/>
      <c r="RHF308" s="1091"/>
      <c r="RHG308" s="1091"/>
      <c r="RHH308" s="1091"/>
      <c r="RHI308" s="1091"/>
      <c r="RHJ308" s="1091"/>
      <c r="RHK308" s="1091"/>
      <c r="RHL308" s="1091"/>
      <c r="RHM308" s="1091"/>
      <c r="RHN308" s="1091"/>
      <c r="RHO308" s="1091"/>
      <c r="RHP308" s="1091"/>
      <c r="RHQ308" s="1091"/>
      <c r="RHR308" s="1091"/>
      <c r="RHS308" s="1091"/>
      <c r="RHT308" s="1091"/>
      <c r="RHU308" s="1091"/>
      <c r="RHV308" s="1091"/>
      <c r="RHW308" s="1091"/>
      <c r="RHX308" s="1091"/>
      <c r="RHY308" s="1091"/>
      <c r="RHZ308" s="1091"/>
      <c r="RIA308" s="1091"/>
      <c r="RIB308" s="1091"/>
      <c r="RIC308" s="1091"/>
      <c r="RID308" s="1091"/>
      <c r="RIE308" s="1091"/>
      <c r="RIF308" s="1091"/>
      <c r="RIG308" s="1091"/>
      <c r="RIH308" s="1091"/>
      <c r="RII308" s="1091"/>
      <c r="RIJ308" s="1091"/>
      <c r="RIK308" s="1091"/>
      <c r="RIL308" s="1091"/>
      <c r="RIM308" s="1091"/>
      <c r="RIN308" s="1091"/>
      <c r="RIO308" s="1091"/>
      <c r="RIP308" s="1091"/>
      <c r="RIQ308" s="1091"/>
      <c r="RIR308" s="1091"/>
      <c r="RIS308" s="1091"/>
      <c r="RIT308" s="1091"/>
      <c r="RIU308" s="1091"/>
      <c r="RIV308" s="1091"/>
      <c r="RIW308" s="1091"/>
      <c r="RIX308" s="1091"/>
      <c r="RIY308" s="1091"/>
      <c r="RIZ308" s="1091"/>
      <c r="RJA308" s="1091"/>
      <c r="RJB308" s="1091"/>
      <c r="RJC308" s="1091"/>
      <c r="RJD308" s="1091"/>
      <c r="RJE308" s="1091"/>
      <c r="RJF308" s="1091"/>
      <c r="RJG308" s="1091"/>
      <c r="RJH308" s="1091"/>
      <c r="RJI308" s="1091"/>
      <c r="RJJ308" s="1091"/>
      <c r="RJK308" s="1091"/>
      <c r="RJL308" s="1091"/>
      <c r="RJM308" s="1091"/>
      <c r="RJN308" s="1091"/>
      <c r="RJO308" s="1091"/>
      <c r="RJP308" s="1091"/>
      <c r="RJQ308" s="1091"/>
      <c r="RJR308" s="1091"/>
      <c r="RJS308" s="1091"/>
      <c r="RJT308" s="1091"/>
      <c r="RJU308" s="1091"/>
      <c r="RJV308" s="1091"/>
      <c r="RJW308" s="1091"/>
      <c r="RJX308" s="1091"/>
      <c r="RJY308" s="1091"/>
      <c r="RJZ308" s="1091"/>
      <c r="RKA308" s="1091"/>
      <c r="RKB308" s="1091"/>
      <c r="RKC308" s="1091"/>
      <c r="RKD308" s="1091"/>
      <c r="RKE308" s="1091"/>
      <c r="RKF308" s="1091"/>
      <c r="RKG308" s="1091"/>
      <c r="RKH308" s="1091"/>
      <c r="RKI308" s="1091"/>
      <c r="RKJ308" s="1091"/>
      <c r="RKK308" s="1091"/>
      <c r="RKL308" s="1091"/>
      <c r="RKM308" s="1091"/>
      <c r="RKN308" s="1091"/>
      <c r="RKO308" s="1091"/>
      <c r="RKP308" s="1091"/>
      <c r="RKQ308" s="1091"/>
      <c r="RKR308" s="1091"/>
      <c r="RKS308" s="1091"/>
      <c r="RKT308" s="1091"/>
      <c r="RKU308" s="1091"/>
      <c r="RKV308" s="1091"/>
      <c r="RKW308" s="1091"/>
      <c r="RKX308" s="1091"/>
      <c r="RKY308" s="1091"/>
      <c r="RKZ308" s="1091"/>
      <c r="RLA308" s="1091"/>
      <c r="RLB308" s="1091"/>
      <c r="RLC308" s="1091"/>
      <c r="RLD308" s="1091"/>
      <c r="RLE308" s="1091"/>
      <c r="RLF308" s="1091"/>
      <c r="RLG308" s="1091"/>
      <c r="RLH308" s="1091"/>
      <c r="RLI308" s="1091"/>
      <c r="RLJ308" s="1091"/>
      <c r="RLK308" s="1091"/>
      <c r="RLL308" s="1091"/>
      <c r="RLM308" s="1091"/>
      <c r="RLN308" s="1091"/>
      <c r="RLO308" s="1091"/>
      <c r="RLP308" s="1091"/>
      <c r="RLQ308" s="1091"/>
      <c r="RLR308" s="1091"/>
      <c r="RLS308" s="1091"/>
      <c r="RLT308" s="1091"/>
      <c r="RLU308" s="1091"/>
      <c r="RLV308" s="1091"/>
      <c r="RLW308" s="1091"/>
      <c r="RLX308" s="1091"/>
      <c r="RLY308" s="1091"/>
      <c r="RLZ308" s="1091"/>
      <c r="RMA308" s="1091"/>
      <c r="RMB308" s="1091"/>
      <c r="RMC308" s="1091"/>
      <c r="RMD308" s="1091"/>
      <c r="RME308" s="1091"/>
      <c r="RMF308" s="1091"/>
      <c r="RMG308" s="1091"/>
      <c r="RMH308" s="1091"/>
      <c r="RMI308" s="1091"/>
      <c r="RMJ308" s="1091"/>
      <c r="RMK308" s="1091"/>
      <c r="RML308" s="1091"/>
      <c r="RMM308" s="1091"/>
      <c r="RMN308" s="1091"/>
      <c r="RMO308" s="1091"/>
      <c r="RMP308" s="1091"/>
      <c r="RMQ308" s="1091"/>
      <c r="RMR308" s="1091"/>
      <c r="RMS308" s="1091"/>
      <c r="RMT308" s="1091"/>
      <c r="RMU308" s="1091"/>
      <c r="RMV308" s="1091"/>
      <c r="RMW308" s="1091"/>
      <c r="RMX308" s="1091"/>
      <c r="RMY308" s="1091"/>
      <c r="RMZ308" s="1091"/>
      <c r="RNA308" s="1091"/>
      <c r="RNB308" s="1091"/>
      <c r="RNC308" s="1091"/>
      <c r="RND308" s="1091"/>
      <c r="RNE308" s="1091"/>
      <c r="RNF308" s="1091"/>
      <c r="RNG308" s="1091"/>
      <c r="RNH308" s="1091"/>
      <c r="RNI308" s="1091"/>
      <c r="RNJ308" s="1091"/>
      <c r="RNK308" s="1091"/>
      <c r="RNL308" s="1091"/>
      <c r="RNM308" s="1091"/>
      <c r="RNN308" s="1091"/>
      <c r="RNO308" s="1091"/>
      <c r="RNP308" s="1091"/>
      <c r="RNQ308" s="1091"/>
      <c r="RNR308" s="1091"/>
      <c r="RNS308" s="1091"/>
      <c r="RNT308" s="1091"/>
      <c r="RNU308" s="1091"/>
      <c r="RNV308" s="1091"/>
      <c r="RNW308" s="1091"/>
      <c r="RNX308" s="1091"/>
      <c r="RNY308" s="1091"/>
      <c r="RNZ308" s="1091"/>
      <c r="ROA308" s="1091"/>
      <c r="ROB308" s="1091"/>
      <c r="ROC308" s="1091"/>
      <c r="ROD308" s="1091"/>
      <c r="ROE308" s="1091"/>
      <c r="ROF308" s="1091"/>
      <c r="ROG308" s="1091"/>
      <c r="ROH308" s="1091"/>
      <c r="ROI308" s="1091"/>
      <c r="ROJ308" s="1091"/>
      <c r="ROK308" s="1091"/>
      <c r="ROL308" s="1091"/>
      <c r="ROM308" s="1091"/>
      <c r="RON308" s="1091"/>
      <c r="ROO308" s="1091"/>
      <c r="ROP308" s="1091"/>
      <c r="ROQ308" s="1091"/>
      <c r="ROR308" s="1091"/>
      <c r="ROS308" s="1091"/>
      <c r="ROT308" s="1091"/>
      <c r="ROU308" s="1091"/>
      <c r="ROV308" s="1091"/>
      <c r="ROW308" s="1091"/>
      <c r="ROX308" s="1091"/>
      <c r="ROY308" s="1091"/>
      <c r="ROZ308" s="1091"/>
      <c r="RPA308" s="1091"/>
      <c r="RPB308" s="1091"/>
      <c r="RPC308" s="1091"/>
      <c r="RPD308" s="1091"/>
      <c r="RPE308" s="1091"/>
      <c r="RPF308" s="1091"/>
      <c r="RPG308" s="1091"/>
      <c r="RPH308" s="1091"/>
      <c r="RPI308" s="1091"/>
      <c r="RPJ308" s="1091"/>
      <c r="RPK308" s="1091"/>
      <c r="RPL308" s="1091"/>
      <c r="RPM308" s="1091"/>
      <c r="RPN308" s="1091"/>
      <c r="RPO308" s="1091"/>
      <c r="RPP308" s="1091"/>
      <c r="RPQ308" s="1091"/>
      <c r="RPR308" s="1091"/>
      <c r="RPS308" s="1091"/>
      <c r="RPT308" s="1091"/>
      <c r="RPU308" s="1091"/>
      <c r="RPV308" s="1091"/>
      <c r="RPW308" s="1091"/>
      <c r="RPX308" s="1091"/>
      <c r="RPY308" s="1091"/>
      <c r="RPZ308" s="1091"/>
      <c r="RQA308" s="1091"/>
      <c r="RQB308" s="1091"/>
      <c r="RQC308" s="1091"/>
      <c r="RQD308" s="1091"/>
      <c r="RQE308" s="1091"/>
      <c r="RQF308" s="1091"/>
      <c r="RQG308" s="1091"/>
      <c r="RQH308" s="1091"/>
      <c r="RQI308" s="1091"/>
      <c r="RQJ308" s="1091"/>
      <c r="RQK308" s="1091"/>
      <c r="RQL308" s="1091"/>
      <c r="RQM308" s="1091"/>
      <c r="RQN308" s="1091"/>
      <c r="RQO308" s="1091"/>
      <c r="RQP308" s="1091"/>
      <c r="RQQ308" s="1091"/>
      <c r="RQR308" s="1091"/>
      <c r="RQS308" s="1091"/>
      <c r="RQT308" s="1091"/>
      <c r="RQU308" s="1091"/>
      <c r="RQV308" s="1091"/>
      <c r="RQW308" s="1091"/>
      <c r="RQX308" s="1091"/>
      <c r="RQY308" s="1091"/>
      <c r="RQZ308" s="1091"/>
      <c r="RRA308" s="1091"/>
      <c r="RRB308" s="1091"/>
      <c r="RRC308" s="1091"/>
      <c r="RRD308" s="1091"/>
      <c r="RRE308" s="1091"/>
      <c r="RRF308" s="1091"/>
      <c r="RRG308" s="1091"/>
      <c r="RRH308" s="1091"/>
      <c r="RRI308" s="1091"/>
      <c r="RRJ308" s="1091"/>
      <c r="RRK308" s="1091"/>
      <c r="RRL308" s="1091"/>
      <c r="RRM308" s="1091"/>
      <c r="RRN308" s="1091"/>
      <c r="RRO308" s="1091"/>
      <c r="RRP308" s="1091"/>
      <c r="RRQ308" s="1091"/>
      <c r="RRR308" s="1091"/>
      <c r="RRS308" s="1091"/>
      <c r="RRT308" s="1091"/>
      <c r="RRU308" s="1091"/>
      <c r="RRV308" s="1091"/>
      <c r="RRW308" s="1091"/>
      <c r="RRX308" s="1091"/>
      <c r="RRY308" s="1091"/>
      <c r="RRZ308" s="1091"/>
      <c r="RSA308" s="1091"/>
      <c r="RSB308" s="1091"/>
      <c r="RSC308" s="1091"/>
      <c r="RSD308" s="1091"/>
      <c r="RSE308" s="1091"/>
      <c r="RSF308" s="1091"/>
      <c r="RSG308" s="1091"/>
      <c r="RSH308" s="1091"/>
      <c r="RSI308" s="1091"/>
      <c r="RSJ308" s="1091"/>
      <c r="RSK308" s="1091"/>
      <c r="RSL308" s="1091"/>
      <c r="RSM308" s="1091"/>
      <c r="RSN308" s="1091"/>
      <c r="RSO308" s="1091"/>
      <c r="RSP308" s="1091"/>
      <c r="RSQ308" s="1091"/>
      <c r="RSR308" s="1091"/>
      <c r="RSS308" s="1091"/>
      <c r="RST308" s="1091"/>
      <c r="RSU308" s="1091"/>
      <c r="RSV308" s="1091"/>
      <c r="RSW308" s="1091"/>
      <c r="RSX308" s="1091"/>
      <c r="RSY308" s="1091"/>
      <c r="RSZ308" s="1091"/>
      <c r="RTA308" s="1091"/>
      <c r="RTB308" s="1091"/>
      <c r="RTC308" s="1091"/>
      <c r="RTD308" s="1091"/>
      <c r="RTE308" s="1091"/>
      <c r="RTF308" s="1091"/>
      <c r="RTG308" s="1091"/>
      <c r="RTH308" s="1091"/>
      <c r="RTI308" s="1091"/>
      <c r="RTJ308" s="1091"/>
      <c r="RTK308" s="1091"/>
      <c r="RTL308" s="1091"/>
      <c r="RTM308" s="1091"/>
      <c r="RTN308" s="1091"/>
      <c r="RTO308" s="1091"/>
      <c r="RTP308" s="1091"/>
      <c r="RTQ308" s="1091"/>
      <c r="RTR308" s="1091"/>
      <c r="RTS308" s="1091"/>
      <c r="RTT308" s="1091"/>
      <c r="RTU308" s="1091"/>
      <c r="RTV308" s="1091"/>
      <c r="RTW308" s="1091"/>
      <c r="RTX308" s="1091"/>
      <c r="RTY308" s="1091"/>
      <c r="RTZ308" s="1091"/>
      <c r="RUA308" s="1091"/>
      <c r="RUB308" s="1091"/>
      <c r="RUC308" s="1091"/>
      <c r="RUD308" s="1091"/>
      <c r="RUE308" s="1091"/>
      <c r="RUF308" s="1091"/>
      <c r="RUG308" s="1091"/>
      <c r="RUH308" s="1091"/>
      <c r="RUI308" s="1091"/>
      <c r="RUJ308" s="1091"/>
      <c r="RUK308" s="1091"/>
      <c r="RUL308" s="1091"/>
      <c r="RUM308" s="1091"/>
      <c r="RUN308" s="1091"/>
      <c r="RUO308" s="1091"/>
      <c r="RUP308" s="1091"/>
      <c r="RUQ308" s="1091"/>
      <c r="RUR308" s="1091"/>
      <c r="RUS308" s="1091"/>
      <c r="RUT308" s="1091"/>
      <c r="RUU308" s="1091"/>
      <c r="RUV308" s="1091"/>
      <c r="RUW308" s="1091"/>
      <c r="RUX308" s="1091"/>
      <c r="RUY308" s="1091"/>
      <c r="RUZ308" s="1091"/>
      <c r="RVA308" s="1091"/>
      <c r="RVB308" s="1091"/>
      <c r="RVC308" s="1091"/>
      <c r="RVD308" s="1091"/>
      <c r="RVE308" s="1091"/>
      <c r="RVF308" s="1091"/>
      <c r="RVG308" s="1091"/>
      <c r="RVH308" s="1091"/>
      <c r="RVI308" s="1091"/>
      <c r="RVJ308" s="1091"/>
      <c r="RVK308" s="1091"/>
      <c r="RVL308" s="1091"/>
      <c r="RVM308" s="1091"/>
      <c r="RVN308" s="1091"/>
      <c r="RVO308" s="1091"/>
      <c r="RVP308" s="1091"/>
      <c r="RVQ308" s="1091"/>
      <c r="RVR308" s="1091"/>
      <c r="RVS308" s="1091"/>
      <c r="RVT308" s="1091"/>
      <c r="RVU308" s="1091"/>
      <c r="RVV308" s="1091"/>
      <c r="RVW308" s="1091"/>
      <c r="RVX308" s="1091"/>
      <c r="RVY308" s="1091"/>
      <c r="RVZ308" s="1091"/>
      <c r="RWA308" s="1091"/>
      <c r="RWB308" s="1091"/>
      <c r="RWC308" s="1091"/>
      <c r="RWD308" s="1091"/>
      <c r="RWE308" s="1091"/>
      <c r="RWF308" s="1091"/>
      <c r="RWG308" s="1091"/>
      <c r="RWH308" s="1091"/>
      <c r="RWI308" s="1091"/>
      <c r="RWJ308" s="1091"/>
      <c r="RWK308" s="1091"/>
      <c r="RWL308" s="1091"/>
      <c r="RWM308" s="1091"/>
      <c r="RWN308" s="1091"/>
      <c r="RWO308" s="1091"/>
      <c r="RWP308" s="1091"/>
      <c r="RWQ308" s="1091"/>
      <c r="RWR308" s="1091"/>
      <c r="RWS308" s="1091"/>
      <c r="RWT308" s="1091"/>
      <c r="RWU308" s="1091"/>
      <c r="RWV308" s="1091"/>
      <c r="RWW308" s="1091"/>
      <c r="RWX308" s="1091"/>
      <c r="RWY308" s="1091"/>
      <c r="RWZ308" s="1091"/>
      <c r="RXA308" s="1091"/>
      <c r="RXB308" s="1091"/>
      <c r="RXC308" s="1091"/>
      <c r="RXD308" s="1091"/>
      <c r="RXE308" s="1091"/>
      <c r="RXF308" s="1091"/>
      <c r="RXG308" s="1091"/>
      <c r="RXH308" s="1091"/>
      <c r="RXI308" s="1091"/>
      <c r="RXJ308" s="1091"/>
      <c r="RXK308" s="1091"/>
      <c r="RXL308" s="1091"/>
      <c r="RXM308" s="1091"/>
      <c r="RXN308" s="1091"/>
      <c r="RXO308" s="1091"/>
      <c r="RXP308" s="1091"/>
      <c r="RXQ308" s="1091"/>
      <c r="RXR308" s="1091"/>
      <c r="RXS308" s="1091"/>
      <c r="RXT308" s="1091"/>
      <c r="RXU308" s="1091"/>
      <c r="RXV308" s="1091"/>
      <c r="RXW308" s="1091"/>
      <c r="RXX308" s="1091"/>
      <c r="RXY308" s="1091"/>
      <c r="RXZ308" s="1091"/>
      <c r="RYA308" s="1091"/>
      <c r="RYB308" s="1091"/>
      <c r="RYC308" s="1091"/>
      <c r="RYD308" s="1091"/>
      <c r="RYE308" s="1091"/>
      <c r="RYF308" s="1091"/>
      <c r="RYG308" s="1091"/>
      <c r="RYH308" s="1091"/>
      <c r="RYI308" s="1091"/>
      <c r="RYJ308" s="1091"/>
      <c r="RYK308" s="1091"/>
      <c r="RYL308" s="1091"/>
      <c r="RYM308" s="1091"/>
      <c r="RYN308" s="1091"/>
      <c r="RYO308" s="1091"/>
      <c r="RYP308" s="1091"/>
      <c r="RYQ308" s="1091"/>
      <c r="RYR308" s="1091"/>
      <c r="RYS308" s="1091"/>
      <c r="RYT308" s="1091"/>
      <c r="RYU308" s="1091"/>
      <c r="RYV308" s="1091"/>
      <c r="RYW308" s="1091"/>
      <c r="RYX308" s="1091"/>
      <c r="RYY308" s="1091"/>
      <c r="RYZ308" s="1091"/>
      <c r="RZA308" s="1091"/>
      <c r="RZB308" s="1091"/>
      <c r="RZC308" s="1091"/>
      <c r="RZD308" s="1091"/>
      <c r="RZE308" s="1091"/>
      <c r="RZF308" s="1091"/>
      <c r="RZG308" s="1091"/>
      <c r="RZH308" s="1091"/>
      <c r="RZI308" s="1091"/>
      <c r="RZJ308" s="1091"/>
      <c r="RZK308" s="1091"/>
      <c r="RZL308" s="1091"/>
      <c r="RZM308" s="1091"/>
      <c r="RZN308" s="1091"/>
      <c r="RZO308" s="1091"/>
      <c r="RZP308" s="1091"/>
      <c r="RZQ308" s="1091"/>
      <c r="RZR308" s="1091"/>
      <c r="RZS308" s="1091"/>
      <c r="RZT308" s="1091"/>
      <c r="RZU308" s="1091"/>
      <c r="RZV308" s="1091"/>
      <c r="RZW308" s="1091"/>
      <c r="RZX308" s="1091"/>
      <c r="RZY308" s="1091"/>
      <c r="RZZ308" s="1091"/>
      <c r="SAA308" s="1091"/>
      <c r="SAB308" s="1091"/>
      <c r="SAC308" s="1091"/>
      <c r="SAD308" s="1091"/>
      <c r="SAE308" s="1091"/>
      <c r="SAF308" s="1091"/>
      <c r="SAG308" s="1091"/>
      <c r="SAH308" s="1091"/>
      <c r="SAI308" s="1091"/>
      <c r="SAJ308" s="1091"/>
      <c r="SAK308" s="1091"/>
      <c r="SAL308" s="1091"/>
      <c r="SAM308" s="1091"/>
      <c r="SAN308" s="1091"/>
      <c r="SAO308" s="1091"/>
      <c r="SAP308" s="1091"/>
      <c r="SAQ308" s="1091"/>
      <c r="SAR308" s="1091"/>
      <c r="SAS308" s="1091"/>
      <c r="SAT308" s="1091"/>
      <c r="SAU308" s="1091"/>
      <c r="SAV308" s="1091"/>
      <c r="SAW308" s="1091"/>
      <c r="SAX308" s="1091"/>
      <c r="SAY308" s="1091"/>
      <c r="SAZ308" s="1091"/>
      <c r="SBA308" s="1091"/>
      <c r="SBB308" s="1091"/>
      <c r="SBC308" s="1091"/>
      <c r="SBD308" s="1091"/>
      <c r="SBE308" s="1091"/>
      <c r="SBF308" s="1091"/>
      <c r="SBG308" s="1091"/>
      <c r="SBH308" s="1091"/>
      <c r="SBI308" s="1091"/>
      <c r="SBJ308" s="1091"/>
      <c r="SBK308" s="1091"/>
      <c r="SBL308" s="1091"/>
      <c r="SBM308" s="1091"/>
      <c r="SBN308" s="1091"/>
      <c r="SBO308" s="1091"/>
      <c r="SBP308" s="1091"/>
      <c r="SBQ308" s="1091"/>
      <c r="SBR308" s="1091"/>
      <c r="SBS308" s="1091"/>
      <c r="SBT308" s="1091"/>
      <c r="SBU308" s="1091"/>
      <c r="SBV308" s="1091"/>
      <c r="SBW308" s="1091"/>
      <c r="SBX308" s="1091"/>
      <c r="SBY308" s="1091"/>
      <c r="SBZ308" s="1091"/>
      <c r="SCA308" s="1091"/>
      <c r="SCB308" s="1091"/>
      <c r="SCC308" s="1091"/>
      <c r="SCD308" s="1091"/>
      <c r="SCE308" s="1091"/>
      <c r="SCF308" s="1091"/>
      <c r="SCG308" s="1091"/>
      <c r="SCH308" s="1091"/>
      <c r="SCI308" s="1091"/>
      <c r="SCJ308" s="1091"/>
      <c r="SCK308" s="1091"/>
      <c r="SCL308" s="1091"/>
      <c r="SCM308" s="1091"/>
      <c r="SCN308" s="1091"/>
      <c r="SCO308" s="1091"/>
      <c r="SCP308" s="1091"/>
      <c r="SCQ308" s="1091"/>
      <c r="SCR308" s="1091"/>
      <c r="SCS308" s="1091"/>
      <c r="SCT308" s="1091"/>
      <c r="SCU308" s="1091"/>
      <c r="SCV308" s="1091"/>
      <c r="SCW308" s="1091"/>
      <c r="SCX308" s="1091"/>
      <c r="SCY308" s="1091"/>
      <c r="SCZ308" s="1091"/>
      <c r="SDA308" s="1091"/>
      <c r="SDB308" s="1091"/>
      <c r="SDC308" s="1091"/>
      <c r="SDD308" s="1091"/>
      <c r="SDE308" s="1091"/>
      <c r="SDF308" s="1091"/>
      <c r="SDG308" s="1091"/>
      <c r="SDH308" s="1091"/>
      <c r="SDI308" s="1091"/>
      <c r="SDJ308" s="1091"/>
      <c r="SDK308" s="1091"/>
      <c r="SDL308" s="1091"/>
      <c r="SDM308" s="1091"/>
      <c r="SDN308" s="1091"/>
      <c r="SDO308" s="1091"/>
      <c r="SDP308" s="1091"/>
      <c r="SDQ308" s="1091"/>
      <c r="SDR308" s="1091"/>
      <c r="SDS308" s="1091"/>
      <c r="SDT308" s="1091"/>
      <c r="SDU308" s="1091"/>
      <c r="SDV308" s="1091"/>
      <c r="SDW308" s="1091"/>
      <c r="SDX308" s="1091"/>
      <c r="SDY308" s="1091"/>
      <c r="SDZ308" s="1091"/>
      <c r="SEA308" s="1091"/>
      <c r="SEB308" s="1091"/>
      <c r="SEC308" s="1091"/>
      <c r="SED308" s="1091"/>
      <c r="SEE308" s="1091"/>
      <c r="SEF308" s="1091"/>
      <c r="SEG308" s="1091"/>
      <c r="SEH308" s="1091"/>
      <c r="SEI308" s="1091"/>
      <c r="SEJ308" s="1091"/>
      <c r="SEK308" s="1091"/>
      <c r="SEL308" s="1091"/>
      <c r="SEM308" s="1091"/>
      <c r="SEN308" s="1091"/>
      <c r="SEO308" s="1091"/>
      <c r="SEP308" s="1091"/>
      <c r="SEQ308" s="1091"/>
      <c r="SER308" s="1091"/>
      <c r="SES308" s="1091"/>
      <c r="SET308" s="1091"/>
      <c r="SEU308" s="1091"/>
      <c r="SEV308" s="1091"/>
      <c r="SEW308" s="1091"/>
      <c r="SEX308" s="1091"/>
      <c r="SEY308" s="1091"/>
      <c r="SEZ308" s="1091"/>
      <c r="SFA308" s="1091"/>
      <c r="SFB308" s="1091"/>
      <c r="SFC308" s="1091"/>
      <c r="SFD308" s="1091"/>
      <c r="SFE308" s="1091"/>
      <c r="SFF308" s="1091"/>
      <c r="SFG308" s="1091"/>
      <c r="SFH308" s="1091"/>
      <c r="SFI308" s="1091"/>
      <c r="SFJ308" s="1091"/>
      <c r="SFK308" s="1091"/>
      <c r="SFL308" s="1091"/>
      <c r="SFM308" s="1091"/>
      <c r="SFN308" s="1091"/>
      <c r="SFO308" s="1091"/>
      <c r="SFP308" s="1091"/>
      <c r="SFQ308" s="1091"/>
      <c r="SFR308" s="1091"/>
      <c r="SFS308" s="1091"/>
      <c r="SFT308" s="1091"/>
      <c r="SFU308" s="1091"/>
      <c r="SFV308" s="1091"/>
      <c r="SFW308" s="1091"/>
      <c r="SFX308" s="1091"/>
      <c r="SFY308" s="1091"/>
      <c r="SFZ308" s="1091"/>
      <c r="SGA308" s="1091"/>
      <c r="SGB308" s="1091"/>
      <c r="SGC308" s="1091"/>
      <c r="SGD308" s="1091"/>
      <c r="SGE308" s="1091"/>
      <c r="SGF308" s="1091"/>
      <c r="SGG308" s="1091"/>
      <c r="SGH308" s="1091"/>
      <c r="SGI308" s="1091"/>
      <c r="SGJ308" s="1091"/>
      <c r="SGK308" s="1091"/>
      <c r="SGL308" s="1091"/>
      <c r="SGM308" s="1091"/>
      <c r="SGN308" s="1091"/>
      <c r="SGO308" s="1091"/>
      <c r="SGP308" s="1091"/>
      <c r="SGQ308" s="1091"/>
      <c r="SGR308" s="1091"/>
      <c r="SGS308" s="1091"/>
      <c r="SGT308" s="1091"/>
      <c r="SGU308" s="1091"/>
      <c r="SGV308" s="1091"/>
      <c r="SGW308" s="1091"/>
      <c r="SGX308" s="1091"/>
      <c r="SGY308" s="1091"/>
      <c r="SGZ308" s="1091"/>
      <c r="SHA308" s="1091"/>
      <c r="SHB308" s="1091"/>
      <c r="SHC308" s="1091"/>
      <c r="SHD308" s="1091"/>
      <c r="SHE308" s="1091"/>
      <c r="SHF308" s="1091"/>
      <c r="SHG308" s="1091"/>
      <c r="SHH308" s="1091"/>
      <c r="SHI308" s="1091"/>
      <c r="SHJ308" s="1091"/>
      <c r="SHK308" s="1091"/>
      <c r="SHL308" s="1091"/>
      <c r="SHM308" s="1091"/>
      <c r="SHN308" s="1091"/>
      <c r="SHO308" s="1091"/>
      <c r="SHP308" s="1091"/>
      <c r="SHQ308" s="1091"/>
      <c r="SHR308" s="1091"/>
      <c r="SHS308" s="1091"/>
      <c r="SHT308" s="1091"/>
      <c r="SHU308" s="1091"/>
      <c r="SHV308" s="1091"/>
      <c r="SHW308" s="1091"/>
      <c r="SHX308" s="1091"/>
      <c r="SHY308" s="1091"/>
      <c r="SHZ308" s="1091"/>
      <c r="SIA308" s="1091"/>
      <c r="SIB308" s="1091"/>
      <c r="SIC308" s="1091"/>
      <c r="SID308" s="1091"/>
      <c r="SIE308" s="1091"/>
      <c r="SIF308" s="1091"/>
      <c r="SIG308" s="1091"/>
      <c r="SIH308" s="1091"/>
      <c r="SII308" s="1091"/>
      <c r="SIJ308" s="1091"/>
      <c r="SIK308" s="1091"/>
      <c r="SIL308" s="1091"/>
      <c r="SIM308" s="1091"/>
      <c r="SIN308" s="1091"/>
      <c r="SIO308" s="1091"/>
      <c r="SIP308" s="1091"/>
      <c r="SIQ308" s="1091"/>
      <c r="SIR308" s="1091"/>
      <c r="SIS308" s="1091"/>
      <c r="SIT308" s="1091"/>
      <c r="SIU308" s="1091"/>
      <c r="SIV308" s="1091"/>
      <c r="SIW308" s="1091"/>
      <c r="SIX308" s="1091"/>
      <c r="SIY308" s="1091"/>
      <c r="SIZ308" s="1091"/>
      <c r="SJA308" s="1091"/>
      <c r="SJB308" s="1091"/>
      <c r="SJC308" s="1091"/>
      <c r="SJD308" s="1091"/>
      <c r="SJE308" s="1091"/>
      <c r="SJF308" s="1091"/>
      <c r="SJG308" s="1091"/>
      <c r="SJH308" s="1091"/>
      <c r="SJI308" s="1091"/>
      <c r="SJJ308" s="1091"/>
      <c r="SJK308" s="1091"/>
      <c r="SJL308" s="1091"/>
      <c r="SJM308" s="1091"/>
      <c r="SJN308" s="1091"/>
      <c r="SJO308" s="1091"/>
      <c r="SJP308" s="1091"/>
      <c r="SJQ308" s="1091"/>
      <c r="SJR308" s="1091"/>
      <c r="SJS308" s="1091"/>
      <c r="SJT308" s="1091"/>
      <c r="SJU308" s="1091"/>
      <c r="SJV308" s="1091"/>
      <c r="SJW308" s="1091"/>
      <c r="SJX308" s="1091"/>
      <c r="SJY308" s="1091"/>
      <c r="SJZ308" s="1091"/>
      <c r="SKA308" s="1091"/>
      <c r="SKB308" s="1091"/>
      <c r="SKC308" s="1091"/>
      <c r="SKD308" s="1091"/>
      <c r="SKE308" s="1091"/>
      <c r="SKF308" s="1091"/>
      <c r="SKG308" s="1091"/>
      <c r="SKH308" s="1091"/>
      <c r="SKI308" s="1091"/>
      <c r="SKJ308" s="1091"/>
      <c r="SKK308" s="1091"/>
      <c r="SKL308" s="1091"/>
      <c r="SKM308" s="1091"/>
      <c r="SKN308" s="1091"/>
      <c r="SKO308" s="1091"/>
      <c r="SKP308" s="1091"/>
      <c r="SKQ308" s="1091"/>
      <c r="SKR308" s="1091"/>
      <c r="SKS308" s="1091"/>
      <c r="SKT308" s="1091"/>
      <c r="SKU308" s="1091"/>
      <c r="SKV308" s="1091"/>
      <c r="SKW308" s="1091"/>
      <c r="SKX308" s="1091"/>
      <c r="SKY308" s="1091"/>
      <c r="SKZ308" s="1091"/>
      <c r="SLA308" s="1091"/>
      <c r="SLB308" s="1091"/>
      <c r="SLC308" s="1091"/>
      <c r="SLD308" s="1091"/>
      <c r="SLE308" s="1091"/>
      <c r="SLF308" s="1091"/>
      <c r="SLG308" s="1091"/>
      <c r="SLH308" s="1091"/>
      <c r="SLI308" s="1091"/>
      <c r="SLJ308" s="1091"/>
      <c r="SLK308" s="1091"/>
      <c r="SLL308" s="1091"/>
      <c r="SLM308" s="1091"/>
      <c r="SLN308" s="1091"/>
      <c r="SLO308" s="1091"/>
      <c r="SLP308" s="1091"/>
      <c r="SLQ308" s="1091"/>
      <c r="SLR308" s="1091"/>
      <c r="SLS308" s="1091"/>
      <c r="SLT308" s="1091"/>
      <c r="SLU308" s="1091"/>
      <c r="SLV308" s="1091"/>
      <c r="SLW308" s="1091"/>
      <c r="SLX308" s="1091"/>
      <c r="SLY308" s="1091"/>
      <c r="SLZ308" s="1091"/>
      <c r="SMA308" s="1091"/>
      <c r="SMB308" s="1091"/>
      <c r="SMC308" s="1091"/>
      <c r="SMD308" s="1091"/>
      <c r="SME308" s="1091"/>
      <c r="SMF308" s="1091"/>
      <c r="SMG308" s="1091"/>
      <c r="SMH308" s="1091"/>
      <c r="SMI308" s="1091"/>
      <c r="SMJ308" s="1091"/>
      <c r="SMK308" s="1091"/>
      <c r="SML308" s="1091"/>
      <c r="SMM308" s="1091"/>
      <c r="SMN308" s="1091"/>
      <c r="SMO308" s="1091"/>
      <c r="SMP308" s="1091"/>
      <c r="SMQ308" s="1091"/>
      <c r="SMR308" s="1091"/>
      <c r="SMS308" s="1091"/>
      <c r="SMT308" s="1091"/>
      <c r="SMU308" s="1091"/>
      <c r="SMV308" s="1091"/>
      <c r="SMW308" s="1091"/>
      <c r="SMX308" s="1091"/>
      <c r="SMY308" s="1091"/>
      <c r="SMZ308" s="1091"/>
      <c r="SNA308" s="1091"/>
      <c r="SNB308" s="1091"/>
      <c r="SNC308" s="1091"/>
      <c r="SND308" s="1091"/>
      <c r="SNE308" s="1091"/>
      <c r="SNF308" s="1091"/>
      <c r="SNG308" s="1091"/>
      <c r="SNH308" s="1091"/>
      <c r="SNI308" s="1091"/>
      <c r="SNJ308" s="1091"/>
      <c r="SNK308" s="1091"/>
      <c r="SNL308" s="1091"/>
      <c r="SNM308" s="1091"/>
      <c r="SNN308" s="1091"/>
      <c r="SNO308" s="1091"/>
      <c r="SNP308" s="1091"/>
      <c r="SNQ308" s="1091"/>
      <c r="SNR308" s="1091"/>
      <c r="SNS308" s="1091"/>
      <c r="SNT308" s="1091"/>
      <c r="SNU308" s="1091"/>
      <c r="SNV308" s="1091"/>
      <c r="SNW308" s="1091"/>
      <c r="SNX308" s="1091"/>
      <c r="SNY308" s="1091"/>
      <c r="SNZ308" s="1091"/>
      <c r="SOA308" s="1091"/>
      <c r="SOB308" s="1091"/>
      <c r="SOC308" s="1091"/>
      <c r="SOD308" s="1091"/>
      <c r="SOE308" s="1091"/>
      <c r="SOF308" s="1091"/>
      <c r="SOG308" s="1091"/>
      <c r="SOH308" s="1091"/>
      <c r="SOI308" s="1091"/>
      <c r="SOJ308" s="1091"/>
      <c r="SOK308" s="1091"/>
      <c r="SOL308" s="1091"/>
      <c r="SOM308" s="1091"/>
      <c r="SON308" s="1091"/>
      <c r="SOO308" s="1091"/>
      <c r="SOP308" s="1091"/>
      <c r="SOQ308" s="1091"/>
      <c r="SOR308" s="1091"/>
      <c r="SOS308" s="1091"/>
      <c r="SOT308" s="1091"/>
      <c r="SOU308" s="1091"/>
      <c r="SOV308" s="1091"/>
      <c r="SOW308" s="1091"/>
      <c r="SOX308" s="1091"/>
      <c r="SOY308" s="1091"/>
      <c r="SOZ308" s="1091"/>
      <c r="SPA308" s="1091"/>
      <c r="SPB308" s="1091"/>
      <c r="SPC308" s="1091"/>
      <c r="SPD308" s="1091"/>
      <c r="SPE308" s="1091"/>
      <c r="SPF308" s="1091"/>
      <c r="SPG308" s="1091"/>
      <c r="SPH308" s="1091"/>
      <c r="SPI308" s="1091"/>
      <c r="SPJ308" s="1091"/>
      <c r="SPK308" s="1091"/>
      <c r="SPL308" s="1091"/>
      <c r="SPM308" s="1091"/>
      <c r="SPN308" s="1091"/>
      <c r="SPO308" s="1091"/>
      <c r="SPP308" s="1091"/>
      <c r="SPQ308" s="1091"/>
      <c r="SPR308" s="1091"/>
      <c r="SPS308" s="1091"/>
      <c r="SPT308" s="1091"/>
      <c r="SPU308" s="1091"/>
      <c r="SPV308" s="1091"/>
      <c r="SPW308" s="1091"/>
      <c r="SPX308" s="1091"/>
      <c r="SPY308" s="1091"/>
      <c r="SPZ308" s="1091"/>
      <c r="SQA308" s="1091"/>
      <c r="SQB308" s="1091"/>
      <c r="SQC308" s="1091"/>
      <c r="SQD308" s="1091"/>
      <c r="SQE308" s="1091"/>
      <c r="SQF308" s="1091"/>
      <c r="SQG308" s="1091"/>
      <c r="SQH308" s="1091"/>
      <c r="SQI308" s="1091"/>
      <c r="SQJ308" s="1091"/>
      <c r="SQK308" s="1091"/>
      <c r="SQL308" s="1091"/>
      <c r="SQM308" s="1091"/>
      <c r="SQN308" s="1091"/>
      <c r="SQO308" s="1091"/>
      <c r="SQP308" s="1091"/>
      <c r="SQQ308" s="1091"/>
      <c r="SQR308" s="1091"/>
      <c r="SQS308" s="1091"/>
      <c r="SQT308" s="1091"/>
      <c r="SQU308" s="1091"/>
      <c r="SQV308" s="1091"/>
      <c r="SQW308" s="1091"/>
      <c r="SQX308" s="1091"/>
      <c r="SQY308" s="1091"/>
      <c r="SQZ308" s="1091"/>
      <c r="SRA308" s="1091"/>
      <c r="SRB308" s="1091"/>
      <c r="SRC308" s="1091"/>
      <c r="SRD308" s="1091"/>
      <c r="SRE308" s="1091"/>
      <c r="SRF308" s="1091"/>
      <c r="SRG308" s="1091"/>
      <c r="SRH308" s="1091"/>
      <c r="SRI308" s="1091"/>
      <c r="SRJ308" s="1091"/>
      <c r="SRK308" s="1091"/>
      <c r="SRL308" s="1091"/>
      <c r="SRM308" s="1091"/>
      <c r="SRN308" s="1091"/>
      <c r="SRO308" s="1091"/>
      <c r="SRP308" s="1091"/>
      <c r="SRQ308" s="1091"/>
      <c r="SRR308" s="1091"/>
      <c r="SRS308" s="1091"/>
      <c r="SRT308" s="1091"/>
      <c r="SRU308" s="1091"/>
      <c r="SRV308" s="1091"/>
      <c r="SRW308" s="1091"/>
      <c r="SRX308" s="1091"/>
      <c r="SRY308" s="1091"/>
      <c r="SRZ308" s="1091"/>
      <c r="SSA308" s="1091"/>
      <c r="SSB308" s="1091"/>
      <c r="SSC308" s="1091"/>
      <c r="SSD308" s="1091"/>
      <c r="SSE308" s="1091"/>
      <c r="SSF308" s="1091"/>
      <c r="SSG308" s="1091"/>
      <c r="SSH308" s="1091"/>
      <c r="SSI308" s="1091"/>
      <c r="SSJ308" s="1091"/>
      <c r="SSK308" s="1091"/>
      <c r="SSL308" s="1091"/>
      <c r="SSM308" s="1091"/>
      <c r="SSN308" s="1091"/>
      <c r="SSO308" s="1091"/>
      <c r="SSP308" s="1091"/>
      <c r="SSQ308" s="1091"/>
      <c r="SSR308" s="1091"/>
      <c r="SSS308" s="1091"/>
      <c r="SST308" s="1091"/>
      <c r="SSU308" s="1091"/>
      <c r="SSV308" s="1091"/>
      <c r="SSW308" s="1091"/>
      <c r="SSX308" s="1091"/>
      <c r="SSY308" s="1091"/>
      <c r="SSZ308" s="1091"/>
      <c r="STA308" s="1091"/>
      <c r="STB308" s="1091"/>
      <c r="STC308" s="1091"/>
      <c r="STD308" s="1091"/>
      <c r="STE308" s="1091"/>
      <c r="STF308" s="1091"/>
      <c r="STG308" s="1091"/>
      <c r="STH308" s="1091"/>
      <c r="STI308" s="1091"/>
      <c r="STJ308" s="1091"/>
      <c r="STK308" s="1091"/>
      <c r="STL308" s="1091"/>
      <c r="STM308" s="1091"/>
      <c r="STN308" s="1091"/>
      <c r="STO308" s="1091"/>
      <c r="STP308" s="1091"/>
      <c r="STQ308" s="1091"/>
      <c r="STR308" s="1091"/>
      <c r="STS308" s="1091"/>
      <c r="STT308" s="1091"/>
      <c r="STU308" s="1091"/>
      <c r="STV308" s="1091"/>
      <c r="STW308" s="1091"/>
      <c r="STX308" s="1091"/>
      <c r="STY308" s="1091"/>
      <c r="STZ308" s="1091"/>
      <c r="SUA308" s="1091"/>
      <c r="SUB308" s="1091"/>
      <c r="SUC308" s="1091"/>
      <c r="SUD308" s="1091"/>
      <c r="SUE308" s="1091"/>
      <c r="SUF308" s="1091"/>
      <c r="SUG308" s="1091"/>
      <c r="SUH308" s="1091"/>
      <c r="SUI308" s="1091"/>
      <c r="SUJ308" s="1091"/>
      <c r="SUK308" s="1091"/>
      <c r="SUL308" s="1091"/>
      <c r="SUM308" s="1091"/>
      <c r="SUN308" s="1091"/>
      <c r="SUO308" s="1091"/>
      <c r="SUP308" s="1091"/>
      <c r="SUQ308" s="1091"/>
      <c r="SUR308" s="1091"/>
      <c r="SUS308" s="1091"/>
      <c r="SUT308" s="1091"/>
      <c r="SUU308" s="1091"/>
      <c r="SUV308" s="1091"/>
      <c r="SUW308" s="1091"/>
      <c r="SUX308" s="1091"/>
      <c r="SUY308" s="1091"/>
      <c r="SUZ308" s="1091"/>
      <c r="SVA308" s="1091"/>
      <c r="SVB308" s="1091"/>
      <c r="SVC308" s="1091"/>
      <c r="SVD308" s="1091"/>
      <c r="SVE308" s="1091"/>
      <c r="SVF308" s="1091"/>
      <c r="SVG308" s="1091"/>
      <c r="SVH308" s="1091"/>
      <c r="SVI308" s="1091"/>
      <c r="SVJ308" s="1091"/>
      <c r="SVK308" s="1091"/>
      <c r="SVL308" s="1091"/>
      <c r="SVM308" s="1091"/>
      <c r="SVN308" s="1091"/>
      <c r="SVO308" s="1091"/>
      <c r="SVP308" s="1091"/>
      <c r="SVQ308" s="1091"/>
      <c r="SVR308" s="1091"/>
      <c r="SVS308" s="1091"/>
      <c r="SVT308" s="1091"/>
      <c r="SVU308" s="1091"/>
      <c r="SVV308" s="1091"/>
      <c r="SVW308" s="1091"/>
      <c r="SVX308" s="1091"/>
      <c r="SVY308" s="1091"/>
      <c r="SVZ308" s="1091"/>
      <c r="SWA308" s="1091"/>
      <c r="SWB308" s="1091"/>
      <c r="SWC308" s="1091"/>
      <c r="SWD308" s="1091"/>
      <c r="SWE308" s="1091"/>
      <c r="SWF308" s="1091"/>
      <c r="SWG308" s="1091"/>
      <c r="SWH308" s="1091"/>
      <c r="SWI308" s="1091"/>
      <c r="SWJ308" s="1091"/>
      <c r="SWK308" s="1091"/>
      <c r="SWL308" s="1091"/>
      <c r="SWM308" s="1091"/>
      <c r="SWN308" s="1091"/>
      <c r="SWO308" s="1091"/>
      <c r="SWP308" s="1091"/>
      <c r="SWQ308" s="1091"/>
      <c r="SWR308" s="1091"/>
      <c r="SWS308" s="1091"/>
      <c r="SWT308" s="1091"/>
      <c r="SWU308" s="1091"/>
      <c r="SWV308" s="1091"/>
      <c r="SWW308" s="1091"/>
      <c r="SWX308" s="1091"/>
      <c r="SWY308" s="1091"/>
      <c r="SWZ308" s="1091"/>
      <c r="SXA308" s="1091"/>
      <c r="SXB308" s="1091"/>
      <c r="SXC308" s="1091"/>
      <c r="SXD308" s="1091"/>
      <c r="SXE308" s="1091"/>
      <c r="SXF308" s="1091"/>
      <c r="SXG308" s="1091"/>
      <c r="SXH308" s="1091"/>
      <c r="SXI308" s="1091"/>
      <c r="SXJ308" s="1091"/>
      <c r="SXK308" s="1091"/>
      <c r="SXL308" s="1091"/>
      <c r="SXM308" s="1091"/>
      <c r="SXN308" s="1091"/>
      <c r="SXO308" s="1091"/>
      <c r="SXP308" s="1091"/>
      <c r="SXQ308" s="1091"/>
      <c r="SXR308" s="1091"/>
      <c r="SXS308" s="1091"/>
      <c r="SXT308" s="1091"/>
      <c r="SXU308" s="1091"/>
      <c r="SXV308" s="1091"/>
      <c r="SXW308" s="1091"/>
      <c r="SXX308" s="1091"/>
      <c r="SXY308" s="1091"/>
      <c r="SXZ308" s="1091"/>
      <c r="SYA308" s="1091"/>
      <c r="SYB308" s="1091"/>
      <c r="SYC308" s="1091"/>
      <c r="SYD308" s="1091"/>
      <c r="SYE308" s="1091"/>
      <c r="SYF308" s="1091"/>
      <c r="SYG308" s="1091"/>
      <c r="SYH308" s="1091"/>
      <c r="SYI308" s="1091"/>
      <c r="SYJ308" s="1091"/>
      <c r="SYK308" s="1091"/>
      <c r="SYL308" s="1091"/>
      <c r="SYM308" s="1091"/>
      <c r="SYN308" s="1091"/>
      <c r="SYO308" s="1091"/>
      <c r="SYP308" s="1091"/>
      <c r="SYQ308" s="1091"/>
      <c r="SYR308" s="1091"/>
      <c r="SYS308" s="1091"/>
      <c r="SYT308" s="1091"/>
      <c r="SYU308" s="1091"/>
      <c r="SYV308" s="1091"/>
      <c r="SYW308" s="1091"/>
      <c r="SYX308" s="1091"/>
      <c r="SYY308" s="1091"/>
      <c r="SYZ308" s="1091"/>
      <c r="SZA308" s="1091"/>
      <c r="SZB308" s="1091"/>
      <c r="SZC308" s="1091"/>
      <c r="SZD308" s="1091"/>
      <c r="SZE308" s="1091"/>
      <c r="SZF308" s="1091"/>
      <c r="SZG308" s="1091"/>
      <c r="SZH308" s="1091"/>
      <c r="SZI308" s="1091"/>
      <c r="SZJ308" s="1091"/>
      <c r="SZK308" s="1091"/>
      <c r="SZL308" s="1091"/>
      <c r="SZM308" s="1091"/>
      <c r="SZN308" s="1091"/>
      <c r="SZO308" s="1091"/>
      <c r="SZP308" s="1091"/>
      <c r="SZQ308" s="1091"/>
      <c r="SZR308" s="1091"/>
      <c r="SZS308" s="1091"/>
      <c r="SZT308" s="1091"/>
      <c r="SZU308" s="1091"/>
      <c r="SZV308" s="1091"/>
      <c r="SZW308" s="1091"/>
      <c r="SZX308" s="1091"/>
      <c r="SZY308" s="1091"/>
      <c r="SZZ308" s="1091"/>
      <c r="TAA308" s="1091"/>
      <c r="TAB308" s="1091"/>
      <c r="TAC308" s="1091"/>
      <c r="TAD308" s="1091"/>
      <c r="TAE308" s="1091"/>
      <c r="TAF308" s="1091"/>
      <c r="TAG308" s="1091"/>
      <c r="TAH308" s="1091"/>
      <c r="TAI308" s="1091"/>
      <c r="TAJ308" s="1091"/>
      <c r="TAK308" s="1091"/>
      <c r="TAL308" s="1091"/>
      <c r="TAM308" s="1091"/>
      <c r="TAN308" s="1091"/>
      <c r="TAO308" s="1091"/>
      <c r="TAP308" s="1091"/>
      <c r="TAQ308" s="1091"/>
      <c r="TAR308" s="1091"/>
      <c r="TAS308" s="1091"/>
      <c r="TAT308" s="1091"/>
      <c r="TAU308" s="1091"/>
      <c r="TAV308" s="1091"/>
      <c r="TAW308" s="1091"/>
      <c r="TAX308" s="1091"/>
      <c r="TAY308" s="1091"/>
      <c r="TAZ308" s="1091"/>
      <c r="TBA308" s="1091"/>
      <c r="TBB308" s="1091"/>
      <c r="TBC308" s="1091"/>
      <c r="TBD308" s="1091"/>
      <c r="TBE308" s="1091"/>
      <c r="TBF308" s="1091"/>
      <c r="TBG308" s="1091"/>
      <c r="TBH308" s="1091"/>
      <c r="TBI308" s="1091"/>
      <c r="TBJ308" s="1091"/>
      <c r="TBK308" s="1091"/>
      <c r="TBL308" s="1091"/>
      <c r="TBM308" s="1091"/>
      <c r="TBN308" s="1091"/>
      <c r="TBO308" s="1091"/>
      <c r="TBP308" s="1091"/>
      <c r="TBQ308" s="1091"/>
      <c r="TBR308" s="1091"/>
      <c r="TBS308" s="1091"/>
      <c r="TBT308" s="1091"/>
      <c r="TBU308" s="1091"/>
      <c r="TBV308" s="1091"/>
      <c r="TBW308" s="1091"/>
      <c r="TBX308" s="1091"/>
      <c r="TBY308" s="1091"/>
      <c r="TBZ308" s="1091"/>
      <c r="TCA308" s="1091"/>
      <c r="TCB308" s="1091"/>
      <c r="TCC308" s="1091"/>
      <c r="TCD308" s="1091"/>
      <c r="TCE308" s="1091"/>
      <c r="TCF308" s="1091"/>
      <c r="TCG308" s="1091"/>
      <c r="TCH308" s="1091"/>
      <c r="TCI308" s="1091"/>
      <c r="TCJ308" s="1091"/>
      <c r="TCK308" s="1091"/>
      <c r="TCL308" s="1091"/>
      <c r="TCM308" s="1091"/>
      <c r="TCN308" s="1091"/>
      <c r="TCO308" s="1091"/>
      <c r="TCP308" s="1091"/>
      <c r="TCQ308" s="1091"/>
      <c r="TCR308" s="1091"/>
      <c r="TCS308" s="1091"/>
      <c r="TCT308" s="1091"/>
      <c r="TCU308" s="1091"/>
      <c r="TCV308" s="1091"/>
      <c r="TCW308" s="1091"/>
      <c r="TCX308" s="1091"/>
      <c r="TCY308" s="1091"/>
      <c r="TCZ308" s="1091"/>
      <c r="TDA308" s="1091"/>
      <c r="TDB308" s="1091"/>
      <c r="TDC308" s="1091"/>
      <c r="TDD308" s="1091"/>
      <c r="TDE308" s="1091"/>
      <c r="TDF308" s="1091"/>
      <c r="TDG308" s="1091"/>
      <c r="TDH308" s="1091"/>
      <c r="TDI308" s="1091"/>
      <c r="TDJ308" s="1091"/>
      <c r="TDK308" s="1091"/>
      <c r="TDL308" s="1091"/>
      <c r="TDM308" s="1091"/>
      <c r="TDN308" s="1091"/>
      <c r="TDO308" s="1091"/>
      <c r="TDP308" s="1091"/>
      <c r="TDQ308" s="1091"/>
      <c r="TDR308" s="1091"/>
      <c r="TDS308" s="1091"/>
      <c r="TDT308" s="1091"/>
      <c r="TDU308" s="1091"/>
      <c r="TDV308" s="1091"/>
      <c r="TDW308" s="1091"/>
      <c r="TDX308" s="1091"/>
      <c r="TDY308" s="1091"/>
      <c r="TDZ308" s="1091"/>
      <c r="TEA308" s="1091"/>
      <c r="TEB308" s="1091"/>
      <c r="TEC308" s="1091"/>
      <c r="TED308" s="1091"/>
      <c r="TEE308" s="1091"/>
      <c r="TEF308" s="1091"/>
      <c r="TEG308" s="1091"/>
      <c r="TEH308" s="1091"/>
      <c r="TEI308" s="1091"/>
      <c r="TEJ308" s="1091"/>
      <c r="TEK308" s="1091"/>
      <c r="TEL308" s="1091"/>
      <c r="TEM308" s="1091"/>
      <c r="TEN308" s="1091"/>
      <c r="TEO308" s="1091"/>
      <c r="TEP308" s="1091"/>
      <c r="TEQ308" s="1091"/>
      <c r="TER308" s="1091"/>
      <c r="TES308" s="1091"/>
      <c r="TET308" s="1091"/>
      <c r="TEU308" s="1091"/>
      <c r="TEV308" s="1091"/>
      <c r="TEW308" s="1091"/>
      <c r="TEX308" s="1091"/>
      <c r="TEY308" s="1091"/>
      <c r="TEZ308" s="1091"/>
      <c r="TFA308" s="1091"/>
      <c r="TFB308" s="1091"/>
      <c r="TFC308" s="1091"/>
      <c r="TFD308" s="1091"/>
      <c r="TFE308" s="1091"/>
      <c r="TFF308" s="1091"/>
      <c r="TFG308" s="1091"/>
      <c r="TFH308" s="1091"/>
      <c r="TFI308" s="1091"/>
      <c r="TFJ308" s="1091"/>
      <c r="TFK308" s="1091"/>
      <c r="TFL308" s="1091"/>
      <c r="TFM308" s="1091"/>
      <c r="TFN308" s="1091"/>
      <c r="TFO308" s="1091"/>
      <c r="TFP308" s="1091"/>
      <c r="TFQ308" s="1091"/>
      <c r="TFR308" s="1091"/>
      <c r="TFS308" s="1091"/>
      <c r="TFT308" s="1091"/>
      <c r="TFU308" s="1091"/>
      <c r="TFV308" s="1091"/>
      <c r="TFW308" s="1091"/>
      <c r="TFX308" s="1091"/>
      <c r="TFY308" s="1091"/>
      <c r="TFZ308" s="1091"/>
      <c r="TGA308" s="1091"/>
      <c r="TGB308" s="1091"/>
      <c r="TGC308" s="1091"/>
      <c r="TGD308" s="1091"/>
      <c r="TGE308" s="1091"/>
      <c r="TGF308" s="1091"/>
      <c r="TGG308" s="1091"/>
      <c r="TGH308" s="1091"/>
      <c r="TGI308" s="1091"/>
      <c r="TGJ308" s="1091"/>
      <c r="TGK308" s="1091"/>
      <c r="TGL308" s="1091"/>
      <c r="TGM308" s="1091"/>
      <c r="TGN308" s="1091"/>
      <c r="TGO308" s="1091"/>
      <c r="TGP308" s="1091"/>
      <c r="TGQ308" s="1091"/>
      <c r="TGR308" s="1091"/>
      <c r="TGS308" s="1091"/>
      <c r="TGT308" s="1091"/>
      <c r="TGU308" s="1091"/>
      <c r="TGV308" s="1091"/>
      <c r="TGW308" s="1091"/>
      <c r="TGX308" s="1091"/>
      <c r="TGY308" s="1091"/>
      <c r="TGZ308" s="1091"/>
      <c r="THA308" s="1091"/>
      <c r="THB308" s="1091"/>
      <c r="THC308" s="1091"/>
      <c r="THD308" s="1091"/>
      <c r="THE308" s="1091"/>
      <c r="THF308" s="1091"/>
      <c r="THG308" s="1091"/>
      <c r="THH308" s="1091"/>
      <c r="THI308" s="1091"/>
      <c r="THJ308" s="1091"/>
      <c r="THK308" s="1091"/>
      <c r="THL308" s="1091"/>
      <c r="THM308" s="1091"/>
      <c r="THN308" s="1091"/>
      <c r="THO308" s="1091"/>
      <c r="THP308" s="1091"/>
      <c r="THQ308" s="1091"/>
      <c r="THR308" s="1091"/>
      <c r="THS308" s="1091"/>
      <c r="THT308" s="1091"/>
      <c r="THU308" s="1091"/>
      <c r="THV308" s="1091"/>
      <c r="THW308" s="1091"/>
      <c r="THX308" s="1091"/>
      <c r="THY308" s="1091"/>
      <c r="THZ308" s="1091"/>
      <c r="TIA308" s="1091"/>
      <c r="TIB308" s="1091"/>
      <c r="TIC308" s="1091"/>
      <c r="TID308" s="1091"/>
      <c r="TIE308" s="1091"/>
      <c r="TIF308" s="1091"/>
      <c r="TIG308" s="1091"/>
      <c r="TIH308" s="1091"/>
      <c r="TII308" s="1091"/>
      <c r="TIJ308" s="1091"/>
      <c r="TIK308" s="1091"/>
      <c r="TIL308" s="1091"/>
      <c r="TIM308" s="1091"/>
      <c r="TIN308" s="1091"/>
      <c r="TIO308" s="1091"/>
      <c r="TIP308" s="1091"/>
      <c r="TIQ308" s="1091"/>
      <c r="TIR308" s="1091"/>
      <c r="TIS308" s="1091"/>
      <c r="TIT308" s="1091"/>
      <c r="TIU308" s="1091"/>
      <c r="TIV308" s="1091"/>
      <c r="TIW308" s="1091"/>
      <c r="TIX308" s="1091"/>
      <c r="TIY308" s="1091"/>
      <c r="TIZ308" s="1091"/>
      <c r="TJA308" s="1091"/>
      <c r="TJB308" s="1091"/>
      <c r="TJC308" s="1091"/>
      <c r="TJD308" s="1091"/>
      <c r="TJE308" s="1091"/>
      <c r="TJF308" s="1091"/>
      <c r="TJG308" s="1091"/>
      <c r="TJH308" s="1091"/>
      <c r="TJI308" s="1091"/>
      <c r="TJJ308" s="1091"/>
      <c r="TJK308" s="1091"/>
      <c r="TJL308" s="1091"/>
      <c r="TJM308" s="1091"/>
      <c r="TJN308" s="1091"/>
      <c r="TJO308" s="1091"/>
      <c r="TJP308" s="1091"/>
      <c r="TJQ308" s="1091"/>
      <c r="TJR308" s="1091"/>
      <c r="TJS308" s="1091"/>
      <c r="TJT308" s="1091"/>
      <c r="TJU308" s="1091"/>
      <c r="TJV308" s="1091"/>
      <c r="TJW308" s="1091"/>
      <c r="TJX308" s="1091"/>
      <c r="TJY308" s="1091"/>
      <c r="TJZ308" s="1091"/>
      <c r="TKA308" s="1091"/>
      <c r="TKB308" s="1091"/>
      <c r="TKC308" s="1091"/>
      <c r="TKD308" s="1091"/>
      <c r="TKE308" s="1091"/>
      <c r="TKF308" s="1091"/>
      <c r="TKG308" s="1091"/>
      <c r="TKH308" s="1091"/>
      <c r="TKI308" s="1091"/>
      <c r="TKJ308" s="1091"/>
      <c r="TKK308" s="1091"/>
      <c r="TKL308" s="1091"/>
      <c r="TKM308" s="1091"/>
      <c r="TKN308" s="1091"/>
      <c r="TKO308" s="1091"/>
      <c r="TKP308" s="1091"/>
      <c r="TKQ308" s="1091"/>
      <c r="TKR308" s="1091"/>
      <c r="TKS308" s="1091"/>
      <c r="TKT308" s="1091"/>
      <c r="TKU308" s="1091"/>
      <c r="TKV308" s="1091"/>
      <c r="TKW308" s="1091"/>
      <c r="TKX308" s="1091"/>
      <c r="TKY308" s="1091"/>
      <c r="TKZ308" s="1091"/>
      <c r="TLA308" s="1091"/>
      <c r="TLB308" s="1091"/>
      <c r="TLC308" s="1091"/>
      <c r="TLD308" s="1091"/>
      <c r="TLE308" s="1091"/>
      <c r="TLF308" s="1091"/>
      <c r="TLG308" s="1091"/>
      <c r="TLH308" s="1091"/>
      <c r="TLI308" s="1091"/>
      <c r="TLJ308" s="1091"/>
      <c r="TLK308" s="1091"/>
      <c r="TLL308" s="1091"/>
      <c r="TLM308" s="1091"/>
      <c r="TLN308" s="1091"/>
      <c r="TLO308" s="1091"/>
      <c r="TLP308" s="1091"/>
      <c r="TLQ308" s="1091"/>
      <c r="TLR308" s="1091"/>
      <c r="TLS308" s="1091"/>
      <c r="TLT308" s="1091"/>
      <c r="TLU308" s="1091"/>
      <c r="TLV308" s="1091"/>
      <c r="TLW308" s="1091"/>
      <c r="TLX308" s="1091"/>
      <c r="TLY308" s="1091"/>
      <c r="TLZ308" s="1091"/>
      <c r="TMA308" s="1091"/>
      <c r="TMB308" s="1091"/>
      <c r="TMC308" s="1091"/>
      <c r="TMD308" s="1091"/>
      <c r="TME308" s="1091"/>
      <c r="TMF308" s="1091"/>
      <c r="TMG308" s="1091"/>
      <c r="TMH308" s="1091"/>
      <c r="TMI308" s="1091"/>
      <c r="TMJ308" s="1091"/>
      <c r="TMK308" s="1091"/>
      <c r="TML308" s="1091"/>
      <c r="TMM308" s="1091"/>
      <c r="TMN308" s="1091"/>
      <c r="TMO308" s="1091"/>
      <c r="TMP308" s="1091"/>
      <c r="TMQ308" s="1091"/>
      <c r="TMR308" s="1091"/>
      <c r="TMS308" s="1091"/>
      <c r="TMT308" s="1091"/>
      <c r="TMU308" s="1091"/>
      <c r="TMV308" s="1091"/>
      <c r="TMW308" s="1091"/>
      <c r="TMX308" s="1091"/>
      <c r="TMY308" s="1091"/>
      <c r="TMZ308" s="1091"/>
      <c r="TNA308" s="1091"/>
      <c r="TNB308" s="1091"/>
      <c r="TNC308" s="1091"/>
      <c r="TND308" s="1091"/>
      <c r="TNE308" s="1091"/>
      <c r="TNF308" s="1091"/>
      <c r="TNG308" s="1091"/>
      <c r="TNH308" s="1091"/>
      <c r="TNI308" s="1091"/>
      <c r="TNJ308" s="1091"/>
      <c r="TNK308" s="1091"/>
      <c r="TNL308" s="1091"/>
      <c r="TNM308" s="1091"/>
      <c r="TNN308" s="1091"/>
      <c r="TNO308" s="1091"/>
      <c r="TNP308" s="1091"/>
      <c r="TNQ308" s="1091"/>
      <c r="TNR308" s="1091"/>
      <c r="TNS308" s="1091"/>
      <c r="TNT308" s="1091"/>
      <c r="TNU308" s="1091"/>
      <c r="TNV308" s="1091"/>
      <c r="TNW308" s="1091"/>
      <c r="TNX308" s="1091"/>
      <c r="TNY308" s="1091"/>
      <c r="TNZ308" s="1091"/>
      <c r="TOA308" s="1091"/>
      <c r="TOB308" s="1091"/>
      <c r="TOC308" s="1091"/>
      <c r="TOD308" s="1091"/>
      <c r="TOE308" s="1091"/>
      <c r="TOF308" s="1091"/>
      <c r="TOG308" s="1091"/>
      <c r="TOH308" s="1091"/>
      <c r="TOI308" s="1091"/>
      <c r="TOJ308" s="1091"/>
      <c r="TOK308" s="1091"/>
      <c r="TOL308" s="1091"/>
      <c r="TOM308" s="1091"/>
      <c r="TON308" s="1091"/>
      <c r="TOO308" s="1091"/>
      <c r="TOP308" s="1091"/>
      <c r="TOQ308" s="1091"/>
      <c r="TOR308" s="1091"/>
      <c r="TOS308" s="1091"/>
      <c r="TOT308" s="1091"/>
      <c r="TOU308" s="1091"/>
      <c r="TOV308" s="1091"/>
      <c r="TOW308" s="1091"/>
      <c r="TOX308" s="1091"/>
      <c r="TOY308" s="1091"/>
      <c r="TOZ308" s="1091"/>
      <c r="TPA308" s="1091"/>
      <c r="TPB308" s="1091"/>
      <c r="TPC308" s="1091"/>
      <c r="TPD308" s="1091"/>
      <c r="TPE308" s="1091"/>
      <c r="TPF308" s="1091"/>
      <c r="TPG308" s="1091"/>
      <c r="TPH308" s="1091"/>
      <c r="TPI308" s="1091"/>
      <c r="TPJ308" s="1091"/>
      <c r="TPK308" s="1091"/>
      <c r="TPL308" s="1091"/>
      <c r="TPM308" s="1091"/>
      <c r="TPN308" s="1091"/>
      <c r="TPO308" s="1091"/>
      <c r="TPP308" s="1091"/>
      <c r="TPQ308" s="1091"/>
      <c r="TPR308" s="1091"/>
      <c r="TPS308" s="1091"/>
      <c r="TPT308" s="1091"/>
      <c r="TPU308" s="1091"/>
      <c r="TPV308" s="1091"/>
      <c r="TPW308" s="1091"/>
      <c r="TPX308" s="1091"/>
      <c r="TPY308" s="1091"/>
      <c r="TPZ308" s="1091"/>
      <c r="TQA308" s="1091"/>
      <c r="TQB308" s="1091"/>
      <c r="TQC308" s="1091"/>
      <c r="TQD308" s="1091"/>
      <c r="TQE308" s="1091"/>
      <c r="TQF308" s="1091"/>
      <c r="TQG308" s="1091"/>
      <c r="TQH308" s="1091"/>
      <c r="TQI308" s="1091"/>
      <c r="TQJ308" s="1091"/>
      <c r="TQK308" s="1091"/>
      <c r="TQL308" s="1091"/>
      <c r="TQM308" s="1091"/>
      <c r="TQN308" s="1091"/>
      <c r="TQO308" s="1091"/>
      <c r="TQP308" s="1091"/>
      <c r="TQQ308" s="1091"/>
      <c r="TQR308" s="1091"/>
      <c r="TQS308" s="1091"/>
      <c r="TQT308" s="1091"/>
      <c r="TQU308" s="1091"/>
      <c r="TQV308" s="1091"/>
      <c r="TQW308" s="1091"/>
      <c r="TQX308" s="1091"/>
      <c r="TQY308" s="1091"/>
      <c r="TQZ308" s="1091"/>
      <c r="TRA308" s="1091"/>
      <c r="TRB308" s="1091"/>
      <c r="TRC308" s="1091"/>
      <c r="TRD308" s="1091"/>
      <c r="TRE308" s="1091"/>
      <c r="TRF308" s="1091"/>
      <c r="TRG308" s="1091"/>
      <c r="TRH308" s="1091"/>
      <c r="TRI308" s="1091"/>
      <c r="TRJ308" s="1091"/>
      <c r="TRK308" s="1091"/>
      <c r="TRL308" s="1091"/>
      <c r="TRM308" s="1091"/>
      <c r="TRN308" s="1091"/>
      <c r="TRO308" s="1091"/>
      <c r="TRP308" s="1091"/>
      <c r="TRQ308" s="1091"/>
      <c r="TRR308" s="1091"/>
      <c r="TRS308" s="1091"/>
      <c r="TRT308" s="1091"/>
      <c r="TRU308" s="1091"/>
      <c r="TRV308" s="1091"/>
      <c r="TRW308" s="1091"/>
      <c r="TRX308" s="1091"/>
      <c r="TRY308" s="1091"/>
      <c r="TRZ308" s="1091"/>
      <c r="TSA308" s="1091"/>
      <c r="TSB308" s="1091"/>
      <c r="TSC308" s="1091"/>
      <c r="TSD308" s="1091"/>
      <c r="TSE308" s="1091"/>
      <c r="TSF308" s="1091"/>
      <c r="TSG308" s="1091"/>
      <c r="TSH308" s="1091"/>
      <c r="TSI308" s="1091"/>
      <c r="TSJ308" s="1091"/>
      <c r="TSK308" s="1091"/>
      <c r="TSL308" s="1091"/>
      <c r="TSM308" s="1091"/>
      <c r="TSN308" s="1091"/>
      <c r="TSO308" s="1091"/>
      <c r="TSP308" s="1091"/>
      <c r="TSQ308" s="1091"/>
      <c r="TSR308" s="1091"/>
      <c r="TSS308" s="1091"/>
      <c r="TST308" s="1091"/>
      <c r="TSU308" s="1091"/>
      <c r="TSV308" s="1091"/>
      <c r="TSW308" s="1091"/>
      <c r="TSX308" s="1091"/>
      <c r="TSY308" s="1091"/>
      <c r="TSZ308" s="1091"/>
      <c r="TTA308" s="1091"/>
      <c r="TTB308" s="1091"/>
      <c r="TTC308" s="1091"/>
      <c r="TTD308" s="1091"/>
      <c r="TTE308" s="1091"/>
      <c r="TTF308" s="1091"/>
      <c r="TTG308" s="1091"/>
      <c r="TTH308" s="1091"/>
      <c r="TTI308" s="1091"/>
      <c r="TTJ308" s="1091"/>
      <c r="TTK308" s="1091"/>
      <c r="TTL308" s="1091"/>
      <c r="TTM308" s="1091"/>
      <c r="TTN308" s="1091"/>
      <c r="TTO308" s="1091"/>
      <c r="TTP308" s="1091"/>
      <c r="TTQ308" s="1091"/>
      <c r="TTR308" s="1091"/>
      <c r="TTS308" s="1091"/>
      <c r="TTT308" s="1091"/>
      <c r="TTU308" s="1091"/>
      <c r="TTV308" s="1091"/>
      <c r="TTW308" s="1091"/>
      <c r="TTX308" s="1091"/>
      <c r="TTY308" s="1091"/>
      <c r="TTZ308" s="1091"/>
      <c r="TUA308" s="1091"/>
      <c r="TUB308" s="1091"/>
      <c r="TUC308" s="1091"/>
      <c r="TUD308" s="1091"/>
      <c r="TUE308" s="1091"/>
      <c r="TUF308" s="1091"/>
      <c r="TUG308" s="1091"/>
      <c r="TUH308" s="1091"/>
      <c r="TUI308" s="1091"/>
      <c r="TUJ308" s="1091"/>
      <c r="TUK308" s="1091"/>
      <c r="TUL308" s="1091"/>
      <c r="TUM308" s="1091"/>
      <c r="TUN308" s="1091"/>
      <c r="TUO308" s="1091"/>
      <c r="TUP308" s="1091"/>
      <c r="TUQ308" s="1091"/>
      <c r="TUR308" s="1091"/>
      <c r="TUS308" s="1091"/>
      <c r="TUT308" s="1091"/>
      <c r="TUU308" s="1091"/>
      <c r="TUV308" s="1091"/>
      <c r="TUW308" s="1091"/>
      <c r="TUX308" s="1091"/>
      <c r="TUY308" s="1091"/>
      <c r="TUZ308" s="1091"/>
      <c r="TVA308" s="1091"/>
      <c r="TVB308" s="1091"/>
      <c r="TVC308" s="1091"/>
      <c r="TVD308" s="1091"/>
      <c r="TVE308" s="1091"/>
      <c r="TVF308" s="1091"/>
      <c r="TVG308" s="1091"/>
      <c r="TVH308" s="1091"/>
      <c r="TVI308" s="1091"/>
      <c r="TVJ308" s="1091"/>
      <c r="TVK308" s="1091"/>
      <c r="TVL308" s="1091"/>
      <c r="TVM308" s="1091"/>
      <c r="TVN308" s="1091"/>
      <c r="TVO308" s="1091"/>
      <c r="TVP308" s="1091"/>
      <c r="TVQ308" s="1091"/>
      <c r="TVR308" s="1091"/>
      <c r="TVS308" s="1091"/>
      <c r="TVT308" s="1091"/>
      <c r="TVU308" s="1091"/>
      <c r="TVV308" s="1091"/>
      <c r="TVW308" s="1091"/>
      <c r="TVX308" s="1091"/>
      <c r="TVY308" s="1091"/>
      <c r="TVZ308" s="1091"/>
      <c r="TWA308" s="1091"/>
      <c r="TWB308" s="1091"/>
      <c r="TWC308" s="1091"/>
      <c r="TWD308" s="1091"/>
      <c r="TWE308" s="1091"/>
      <c r="TWF308" s="1091"/>
      <c r="TWG308" s="1091"/>
      <c r="TWH308" s="1091"/>
      <c r="TWI308" s="1091"/>
      <c r="TWJ308" s="1091"/>
      <c r="TWK308" s="1091"/>
      <c r="TWL308" s="1091"/>
      <c r="TWM308" s="1091"/>
      <c r="TWN308" s="1091"/>
      <c r="TWO308" s="1091"/>
      <c r="TWP308" s="1091"/>
      <c r="TWQ308" s="1091"/>
      <c r="TWR308" s="1091"/>
      <c r="TWS308" s="1091"/>
      <c r="TWT308" s="1091"/>
      <c r="TWU308" s="1091"/>
      <c r="TWV308" s="1091"/>
      <c r="TWW308" s="1091"/>
      <c r="TWX308" s="1091"/>
      <c r="TWY308" s="1091"/>
      <c r="TWZ308" s="1091"/>
      <c r="TXA308" s="1091"/>
      <c r="TXB308" s="1091"/>
      <c r="TXC308" s="1091"/>
      <c r="TXD308" s="1091"/>
      <c r="TXE308" s="1091"/>
      <c r="TXF308" s="1091"/>
      <c r="TXG308" s="1091"/>
      <c r="TXH308" s="1091"/>
      <c r="TXI308" s="1091"/>
      <c r="TXJ308" s="1091"/>
      <c r="TXK308" s="1091"/>
      <c r="TXL308" s="1091"/>
      <c r="TXM308" s="1091"/>
      <c r="TXN308" s="1091"/>
      <c r="TXO308" s="1091"/>
      <c r="TXP308" s="1091"/>
      <c r="TXQ308" s="1091"/>
      <c r="TXR308" s="1091"/>
      <c r="TXS308" s="1091"/>
      <c r="TXT308" s="1091"/>
      <c r="TXU308" s="1091"/>
      <c r="TXV308" s="1091"/>
      <c r="TXW308" s="1091"/>
      <c r="TXX308" s="1091"/>
      <c r="TXY308" s="1091"/>
      <c r="TXZ308" s="1091"/>
      <c r="TYA308" s="1091"/>
      <c r="TYB308" s="1091"/>
      <c r="TYC308" s="1091"/>
      <c r="TYD308" s="1091"/>
      <c r="TYE308" s="1091"/>
      <c r="TYF308" s="1091"/>
      <c r="TYG308" s="1091"/>
      <c r="TYH308" s="1091"/>
      <c r="TYI308" s="1091"/>
      <c r="TYJ308" s="1091"/>
      <c r="TYK308" s="1091"/>
      <c r="TYL308" s="1091"/>
      <c r="TYM308" s="1091"/>
      <c r="TYN308" s="1091"/>
      <c r="TYO308" s="1091"/>
      <c r="TYP308" s="1091"/>
      <c r="TYQ308" s="1091"/>
      <c r="TYR308" s="1091"/>
      <c r="TYS308" s="1091"/>
      <c r="TYT308" s="1091"/>
      <c r="TYU308" s="1091"/>
      <c r="TYV308" s="1091"/>
      <c r="TYW308" s="1091"/>
      <c r="TYX308" s="1091"/>
      <c r="TYY308" s="1091"/>
      <c r="TYZ308" s="1091"/>
      <c r="TZA308" s="1091"/>
      <c r="TZB308" s="1091"/>
      <c r="TZC308" s="1091"/>
      <c r="TZD308" s="1091"/>
      <c r="TZE308" s="1091"/>
      <c r="TZF308" s="1091"/>
      <c r="TZG308" s="1091"/>
      <c r="TZH308" s="1091"/>
      <c r="TZI308" s="1091"/>
      <c r="TZJ308" s="1091"/>
      <c r="TZK308" s="1091"/>
      <c r="TZL308" s="1091"/>
      <c r="TZM308" s="1091"/>
      <c r="TZN308" s="1091"/>
      <c r="TZO308" s="1091"/>
      <c r="TZP308" s="1091"/>
      <c r="TZQ308" s="1091"/>
      <c r="TZR308" s="1091"/>
      <c r="TZS308" s="1091"/>
      <c r="TZT308" s="1091"/>
      <c r="TZU308" s="1091"/>
      <c r="TZV308" s="1091"/>
      <c r="TZW308" s="1091"/>
      <c r="TZX308" s="1091"/>
      <c r="TZY308" s="1091"/>
      <c r="TZZ308" s="1091"/>
      <c r="UAA308" s="1091"/>
      <c r="UAB308" s="1091"/>
      <c r="UAC308" s="1091"/>
      <c r="UAD308" s="1091"/>
      <c r="UAE308" s="1091"/>
      <c r="UAF308" s="1091"/>
      <c r="UAG308" s="1091"/>
      <c r="UAH308" s="1091"/>
      <c r="UAI308" s="1091"/>
      <c r="UAJ308" s="1091"/>
      <c r="UAK308" s="1091"/>
      <c r="UAL308" s="1091"/>
      <c r="UAM308" s="1091"/>
      <c r="UAN308" s="1091"/>
      <c r="UAO308" s="1091"/>
      <c r="UAP308" s="1091"/>
      <c r="UAQ308" s="1091"/>
      <c r="UAR308" s="1091"/>
      <c r="UAS308" s="1091"/>
      <c r="UAT308" s="1091"/>
      <c r="UAU308" s="1091"/>
      <c r="UAV308" s="1091"/>
      <c r="UAW308" s="1091"/>
      <c r="UAX308" s="1091"/>
      <c r="UAY308" s="1091"/>
      <c r="UAZ308" s="1091"/>
      <c r="UBA308" s="1091"/>
      <c r="UBB308" s="1091"/>
      <c r="UBC308" s="1091"/>
      <c r="UBD308" s="1091"/>
      <c r="UBE308" s="1091"/>
      <c r="UBF308" s="1091"/>
      <c r="UBG308" s="1091"/>
      <c r="UBH308" s="1091"/>
      <c r="UBI308" s="1091"/>
      <c r="UBJ308" s="1091"/>
      <c r="UBK308" s="1091"/>
      <c r="UBL308" s="1091"/>
      <c r="UBM308" s="1091"/>
      <c r="UBN308" s="1091"/>
      <c r="UBO308" s="1091"/>
      <c r="UBP308" s="1091"/>
      <c r="UBQ308" s="1091"/>
      <c r="UBR308" s="1091"/>
      <c r="UBS308" s="1091"/>
      <c r="UBT308" s="1091"/>
      <c r="UBU308" s="1091"/>
      <c r="UBV308" s="1091"/>
      <c r="UBW308" s="1091"/>
      <c r="UBX308" s="1091"/>
      <c r="UBY308" s="1091"/>
      <c r="UBZ308" s="1091"/>
      <c r="UCA308" s="1091"/>
      <c r="UCB308" s="1091"/>
      <c r="UCC308" s="1091"/>
      <c r="UCD308" s="1091"/>
      <c r="UCE308" s="1091"/>
      <c r="UCF308" s="1091"/>
      <c r="UCG308" s="1091"/>
      <c r="UCH308" s="1091"/>
      <c r="UCI308" s="1091"/>
      <c r="UCJ308" s="1091"/>
      <c r="UCK308" s="1091"/>
      <c r="UCL308" s="1091"/>
      <c r="UCM308" s="1091"/>
      <c r="UCN308" s="1091"/>
      <c r="UCO308" s="1091"/>
      <c r="UCP308" s="1091"/>
      <c r="UCQ308" s="1091"/>
      <c r="UCR308" s="1091"/>
      <c r="UCS308" s="1091"/>
      <c r="UCT308" s="1091"/>
      <c r="UCU308" s="1091"/>
      <c r="UCV308" s="1091"/>
      <c r="UCW308" s="1091"/>
      <c r="UCX308" s="1091"/>
      <c r="UCY308" s="1091"/>
      <c r="UCZ308" s="1091"/>
      <c r="UDA308" s="1091"/>
      <c r="UDB308" s="1091"/>
      <c r="UDC308" s="1091"/>
      <c r="UDD308" s="1091"/>
      <c r="UDE308" s="1091"/>
      <c r="UDF308" s="1091"/>
      <c r="UDG308" s="1091"/>
      <c r="UDH308" s="1091"/>
      <c r="UDI308" s="1091"/>
      <c r="UDJ308" s="1091"/>
      <c r="UDK308" s="1091"/>
      <c r="UDL308" s="1091"/>
      <c r="UDM308" s="1091"/>
      <c r="UDN308" s="1091"/>
      <c r="UDO308" s="1091"/>
      <c r="UDP308" s="1091"/>
      <c r="UDQ308" s="1091"/>
      <c r="UDR308" s="1091"/>
      <c r="UDS308" s="1091"/>
      <c r="UDT308" s="1091"/>
      <c r="UDU308" s="1091"/>
      <c r="UDV308" s="1091"/>
      <c r="UDW308" s="1091"/>
      <c r="UDX308" s="1091"/>
      <c r="UDY308" s="1091"/>
      <c r="UDZ308" s="1091"/>
      <c r="UEA308" s="1091"/>
      <c r="UEB308" s="1091"/>
      <c r="UEC308" s="1091"/>
      <c r="UED308" s="1091"/>
      <c r="UEE308" s="1091"/>
      <c r="UEF308" s="1091"/>
      <c r="UEG308" s="1091"/>
      <c r="UEH308" s="1091"/>
      <c r="UEI308" s="1091"/>
      <c r="UEJ308" s="1091"/>
      <c r="UEK308" s="1091"/>
      <c r="UEL308" s="1091"/>
      <c r="UEM308" s="1091"/>
      <c r="UEN308" s="1091"/>
      <c r="UEO308" s="1091"/>
      <c r="UEP308" s="1091"/>
      <c r="UEQ308" s="1091"/>
      <c r="UER308" s="1091"/>
      <c r="UES308" s="1091"/>
      <c r="UET308" s="1091"/>
      <c r="UEU308" s="1091"/>
      <c r="UEV308" s="1091"/>
      <c r="UEW308" s="1091"/>
      <c r="UEX308" s="1091"/>
      <c r="UEY308" s="1091"/>
      <c r="UEZ308" s="1091"/>
      <c r="UFA308" s="1091"/>
      <c r="UFB308" s="1091"/>
      <c r="UFC308" s="1091"/>
      <c r="UFD308" s="1091"/>
      <c r="UFE308" s="1091"/>
      <c r="UFF308" s="1091"/>
      <c r="UFG308" s="1091"/>
      <c r="UFH308" s="1091"/>
      <c r="UFI308" s="1091"/>
      <c r="UFJ308" s="1091"/>
      <c r="UFK308" s="1091"/>
      <c r="UFL308" s="1091"/>
      <c r="UFM308" s="1091"/>
      <c r="UFN308" s="1091"/>
      <c r="UFO308" s="1091"/>
      <c r="UFP308" s="1091"/>
      <c r="UFQ308" s="1091"/>
      <c r="UFR308" s="1091"/>
      <c r="UFS308" s="1091"/>
      <c r="UFT308" s="1091"/>
      <c r="UFU308" s="1091"/>
      <c r="UFV308" s="1091"/>
      <c r="UFW308" s="1091"/>
      <c r="UFX308" s="1091"/>
      <c r="UFY308" s="1091"/>
      <c r="UFZ308" s="1091"/>
      <c r="UGA308" s="1091"/>
      <c r="UGB308" s="1091"/>
      <c r="UGC308" s="1091"/>
      <c r="UGD308" s="1091"/>
      <c r="UGE308" s="1091"/>
      <c r="UGF308" s="1091"/>
      <c r="UGG308" s="1091"/>
      <c r="UGH308" s="1091"/>
      <c r="UGI308" s="1091"/>
      <c r="UGJ308" s="1091"/>
      <c r="UGK308" s="1091"/>
      <c r="UGL308" s="1091"/>
      <c r="UGM308" s="1091"/>
      <c r="UGN308" s="1091"/>
      <c r="UGO308" s="1091"/>
      <c r="UGP308" s="1091"/>
      <c r="UGQ308" s="1091"/>
      <c r="UGR308" s="1091"/>
      <c r="UGS308" s="1091"/>
      <c r="UGT308" s="1091"/>
      <c r="UGU308" s="1091"/>
      <c r="UGV308" s="1091"/>
      <c r="UGW308" s="1091"/>
      <c r="UGX308" s="1091"/>
      <c r="UGY308" s="1091"/>
      <c r="UGZ308" s="1091"/>
      <c r="UHA308" s="1091"/>
      <c r="UHB308" s="1091"/>
      <c r="UHC308" s="1091"/>
      <c r="UHD308" s="1091"/>
      <c r="UHE308" s="1091"/>
      <c r="UHF308" s="1091"/>
      <c r="UHG308" s="1091"/>
      <c r="UHH308" s="1091"/>
      <c r="UHI308" s="1091"/>
      <c r="UHJ308" s="1091"/>
      <c r="UHK308" s="1091"/>
      <c r="UHL308" s="1091"/>
      <c r="UHM308" s="1091"/>
      <c r="UHN308" s="1091"/>
      <c r="UHO308" s="1091"/>
      <c r="UHP308" s="1091"/>
      <c r="UHQ308" s="1091"/>
      <c r="UHR308" s="1091"/>
      <c r="UHS308" s="1091"/>
      <c r="UHT308" s="1091"/>
      <c r="UHU308" s="1091"/>
      <c r="UHV308" s="1091"/>
      <c r="UHW308" s="1091"/>
      <c r="UHX308" s="1091"/>
      <c r="UHY308" s="1091"/>
      <c r="UHZ308" s="1091"/>
      <c r="UIA308" s="1091"/>
      <c r="UIB308" s="1091"/>
      <c r="UIC308" s="1091"/>
      <c r="UID308" s="1091"/>
      <c r="UIE308" s="1091"/>
      <c r="UIF308" s="1091"/>
      <c r="UIG308" s="1091"/>
      <c r="UIH308" s="1091"/>
      <c r="UII308" s="1091"/>
      <c r="UIJ308" s="1091"/>
      <c r="UIK308" s="1091"/>
      <c r="UIL308" s="1091"/>
      <c r="UIM308" s="1091"/>
      <c r="UIN308" s="1091"/>
      <c r="UIO308" s="1091"/>
      <c r="UIP308" s="1091"/>
      <c r="UIQ308" s="1091"/>
      <c r="UIR308" s="1091"/>
      <c r="UIS308" s="1091"/>
      <c r="UIT308" s="1091"/>
      <c r="UIU308" s="1091"/>
      <c r="UIV308" s="1091"/>
      <c r="UIW308" s="1091"/>
      <c r="UIX308" s="1091"/>
      <c r="UIY308" s="1091"/>
      <c r="UIZ308" s="1091"/>
      <c r="UJA308" s="1091"/>
      <c r="UJB308" s="1091"/>
      <c r="UJC308" s="1091"/>
      <c r="UJD308" s="1091"/>
      <c r="UJE308" s="1091"/>
      <c r="UJF308" s="1091"/>
      <c r="UJG308" s="1091"/>
      <c r="UJH308" s="1091"/>
      <c r="UJI308" s="1091"/>
      <c r="UJJ308" s="1091"/>
      <c r="UJK308" s="1091"/>
      <c r="UJL308" s="1091"/>
      <c r="UJM308" s="1091"/>
      <c r="UJN308" s="1091"/>
      <c r="UJO308" s="1091"/>
      <c r="UJP308" s="1091"/>
      <c r="UJQ308" s="1091"/>
      <c r="UJR308" s="1091"/>
      <c r="UJS308" s="1091"/>
      <c r="UJT308" s="1091"/>
      <c r="UJU308" s="1091"/>
      <c r="UJV308" s="1091"/>
      <c r="UJW308" s="1091"/>
      <c r="UJX308" s="1091"/>
      <c r="UJY308" s="1091"/>
      <c r="UJZ308" s="1091"/>
      <c r="UKA308" s="1091"/>
      <c r="UKB308" s="1091"/>
      <c r="UKC308" s="1091"/>
      <c r="UKD308" s="1091"/>
      <c r="UKE308" s="1091"/>
      <c r="UKF308" s="1091"/>
      <c r="UKG308" s="1091"/>
      <c r="UKH308" s="1091"/>
      <c r="UKI308" s="1091"/>
      <c r="UKJ308" s="1091"/>
      <c r="UKK308" s="1091"/>
      <c r="UKL308" s="1091"/>
      <c r="UKM308" s="1091"/>
      <c r="UKN308" s="1091"/>
      <c r="UKO308" s="1091"/>
      <c r="UKP308" s="1091"/>
      <c r="UKQ308" s="1091"/>
      <c r="UKR308" s="1091"/>
      <c r="UKS308" s="1091"/>
      <c r="UKT308" s="1091"/>
      <c r="UKU308" s="1091"/>
      <c r="UKV308" s="1091"/>
      <c r="UKW308" s="1091"/>
      <c r="UKX308" s="1091"/>
      <c r="UKY308" s="1091"/>
      <c r="UKZ308" s="1091"/>
      <c r="ULA308" s="1091"/>
      <c r="ULB308" s="1091"/>
      <c r="ULC308" s="1091"/>
      <c r="ULD308" s="1091"/>
      <c r="ULE308" s="1091"/>
      <c r="ULF308" s="1091"/>
      <c r="ULG308" s="1091"/>
      <c r="ULH308" s="1091"/>
      <c r="ULI308" s="1091"/>
      <c r="ULJ308" s="1091"/>
      <c r="ULK308" s="1091"/>
      <c r="ULL308" s="1091"/>
      <c r="ULM308" s="1091"/>
      <c r="ULN308" s="1091"/>
      <c r="ULO308" s="1091"/>
      <c r="ULP308" s="1091"/>
      <c r="ULQ308" s="1091"/>
      <c r="ULR308" s="1091"/>
      <c r="ULS308" s="1091"/>
      <c r="ULT308" s="1091"/>
      <c r="ULU308" s="1091"/>
      <c r="ULV308" s="1091"/>
      <c r="ULW308" s="1091"/>
      <c r="ULX308" s="1091"/>
      <c r="ULY308" s="1091"/>
      <c r="ULZ308" s="1091"/>
      <c r="UMA308" s="1091"/>
      <c r="UMB308" s="1091"/>
      <c r="UMC308" s="1091"/>
      <c r="UMD308" s="1091"/>
      <c r="UME308" s="1091"/>
      <c r="UMF308" s="1091"/>
      <c r="UMG308" s="1091"/>
      <c r="UMH308" s="1091"/>
      <c r="UMI308" s="1091"/>
      <c r="UMJ308" s="1091"/>
      <c r="UMK308" s="1091"/>
      <c r="UML308" s="1091"/>
      <c r="UMM308" s="1091"/>
      <c r="UMN308" s="1091"/>
      <c r="UMO308" s="1091"/>
      <c r="UMP308" s="1091"/>
      <c r="UMQ308" s="1091"/>
      <c r="UMR308" s="1091"/>
      <c r="UMS308" s="1091"/>
      <c r="UMT308" s="1091"/>
      <c r="UMU308" s="1091"/>
      <c r="UMV308" s="1091"/>
      <c r="UMW308" s="1091"/>
      <c r="UMX308" s="1091"/>
      <c r="UMY308" s="1091"/>
      <c r="UMZ308" s="1091"/>
      <c r="UNA308" s="1091"/>
      <c r="UNB308" s="1091"/>
      <c r="UNC308" s="1091"/>
      <c r="UND308" s="1091"/>
      <c r="UNE308" s="1091"/>
      <c r="UNF308" s="1091"/>
      <c r="UNG308" s="1091"/>
      <c r="UNH308" s="1091"/>
      <c r="UNI308" s="1091"/>
      <c r="UNJ308" s="1091"/>
      <c r="UNK308" s="1091"/>
      <c r="UNL308" s="1091"/>
      <c r="UNM308" s="1091"/>
      <c r="UNN308" s="1091"/>
      <c r="UNO308" s="1091"/>
      <c r="UNP308" s="1091"/>
      <c r="UNQ308" s="1091"/>
      <c r="UNR308" s="1091"/>
      <c r="UNS308" s="1091"/>
      <c r="UNT308" s="1091"/>
      <c r="UNU308" s="1091"/>
      <c r="UNV308" s="1091"/>
      <c r="UNW308" s="1091"/>
      <c r="UNX308" s="1091"/>
      <c r="UNY308" s="1091"/>
      <c r="UNZ308" s="1091"/>
      <c r="UOA308" s="1091"/>
      <c r="UOB308" s="1091"/>
      <c r="UOC308" s="1091"/>
      <c r="UOD308" s="1091"/>
      <c r="UOE308" s="1091"/>
      <c r="UOF308" s="1091"/>
      <c r="UOG308" s="1091"/>
      <c r="UOH308" s="1091"/>
      <c r="UOI308" s="1091"/>
      <c r="UOJ308" s="1091"/>
      <c r="UOK308" s="1091"/>
      <c r="UOL308" s="1091"/>
      <c r="UOM308" s="1091"/>
      <c r="UON308" s="1091"/>
      <c r="UOO308" s="1091"/>
      <c r="UOP308" s="1091"/>
      <c r="UOQ308" s="1091"/>
      <c r="UOR308" s="1091"/>
      <c r="UOS308" s="1091"/>
      <c r="UOT308" s="1091"/>
      <c r="UOU308" s="1091"/>
      <c r="UOV308" s="1091"/>
      <c r="UOW308" s="1091"/>
      <c r="UOX308" s="1091"/>
      <c r="UOY308" s="1091"/>
      <c r="UOZ308" s="1091"/>
      <c r="UPA308" s="1091"/>
      <c r="UPB308" s="1091"/>
      <c r="UPC308" s="1091"/>
      <c r="UPD308" s="1091"/>
      <c r="UPE308" s="1091"/>
      <c r="UPF308" s="1091"/>
      <c r="UPG308" s="1091"/>
      <c r="UPH308" s="1091"/>
      <c r="UPI308" s="1091"/>
      <c r="UPJ308" s="1091"/>
      <c r="UPK308" s="1091"/>
      <c r="UPL308" s="1091"/>
      <c r="UPM308" s="1091"/>
      <c r="UPN308" s="1091"/>
      <c r="UPO308" s="1091"/>
      <c r="UPP308" s="1091"/>
      <c r="UPQ308" s="1091"/>
      <c r="UPR308" s="1091"/>
      <c r="UPS308" s="1091"/>
      <c r="UPT308" s="1091"/>
      <c r="UPU308" s="1091"/>
      <c r="UPV308" s="1091"/>
      <c r="UPW308" s="1091"/>
      <c r="UPX308" s="1091"/>
      <c r="UPY308" s="1091"/>
      <c r="UPZ308" s="1091"/>
      <c r="UQA308" s="1091"/>
      <c r="UQB308" s="1091"/>
      <c r="UQC308" s="1091"/>
      <c r="UQD308" s="1091"/>
      <c r="UQE308" s="1091"/>
      <c r="UQF308" s="1091"/>
      <c r="UQG308" s="1091"/>
      <c r="UQH308" s="1091"/>
      <c r="UQI308" s="1091"/>
      <c r="UQJ308" s="1091"/>
      <c r="UQK308" s="1091"/>
      <c r="UQL308" s="1091"/>
      <c r="UQM308" s="1091"/>
      <c r="UQN308" s="1091"/>
      <c r="UQO308" s="1091"/>
      <c r="UQP308" s="1091"/>
      <c r="UQQ308" s="1091"/>
      <c r="UQR308" s="1091"/>
      <c r="UQS308" s="1091"/>
      <c r="UQT308" s="1091"/>
      <c r="UQU308" s="1091"/>
      <c r="UQV308" s="1091"/>
      <c r="UQW308" s="1091"/>
      <c r="UQX308" s="1091"/>
      <c r="UQY308" s="1091"/>
      <c r="UQZ308" s="1091"/>
      <c r="URA308" s="1091"/>
      <c r="URB308" s="1091"/>
      <c r="URC308" s="1091"/>
      <c r="URD308" s="1091"/>
      <c r="URE308" s="1091"/>
      <c r="URF308" s="1091"/>
      <c r="URG308" s="1091"/>
      <c r="URH308" s="1091"/>
      <c r="URI308" s="1091"/>
      <c r="URJ308" s="1091"/>
      <c r="URK308" s="1091"/>
      <c r="URL308" s="1091"/>
      <c r="URM308" s="1091"/>
      <c r="URN308" s="1091"/>
      <c r="URO308" s="1091"/>
      <c r="URP308" s="1091"/>
      <c r="URQ308" s="1091"/>
      <c r="URR308" s="1091"/>
      <c r="URS308" s="1091"/>
      <c r="URT308" s="1091"/>
      <c r="URU308" s="1091"/>
      <c r="URV308" s="1091"/>
      <c r="URW308" s="1091"/>
      <c r="URX308" s="1091"/>
      <c r="URY308" s="1091"/>
      <c r="URZ308" s="1091"/>
      <c r="USA308" s="1091"/>
      <c r="USB308" s="1091"/>
      <c r="USC308" s="1091"/>
      <c r="USD308" s="1091"/>
      <c r="USE308" s="1091"/>
      <c r="USF308" s="1091"/>
      <c r="USG308" s="1091"/>
      <c r="USH308" s="1091"/>
      <c r="USI308" s="1091"/>
      <c r="USJ308" s="1091"/>
      <c r="USK308" s="1091"/>
      <c r="USL308" s="1091"/>
      <c r="USM308" s="1091"/>
      <c r="USN308" s="1091"/>
      <c r="USO308" s="1091"/>
      <c r="USP308" s="1091"/>
      <c r="USQ308" s="1091"/>
      <c r="USR308" s="1091"/>
      <c r="USS308" s="1091"/>
      <c r="UST308" s="1091"/>
      <c r="USU308" s="1091"/>
      <c r="USV308" s="1091"/>
      <c r="USW308" s="1091"/>
      <c r="USX308" s="1091"/>
      <c r="USY308" s="1091"/>
      <c r="USZ308" s="1091"/>
      <c r="UTA308" s="1091"/>
      <c r="UTB308" s="1091"/>
      <c r="UTC308" s="1091"/>
      <c r="UTD308" s="1091"/>
      <c r="UTE308" s="1091"/>
      <c r="UTF308" s="1091"/>
      <c r="UTG308" s="1091"/>
      <c r="UTH308" s="1091"/>
      <c r="UTI308" s="1091"/>
      <c r="UTJ308" s="1091"/>
      <c r="UTK308" s="1091"/>
      <c r="UTL308" s="1091"/>
      <c r="UTM308" s="1091"/>
      <c r="UTN308" s="1091"/>
      <c r="UTO308" s="1091"/>
      <c r="UTP308" s="1091"/>
      <c r="UTQ308" s="1091"/>
      <c r="UTR308" s="1091"/>
      <c r="UTS308" s="1091"/>
      <c r="UTT308" s="1091"/>
      <c r="UTU308" s="1091"/>
      <c r="UTV308" s="1091"/>
      <c r="UTW308" s="1091"/>
      <c r="UTX308" s="1091"/>
      <c r="UTY308" s="1091"/>
      <c r="UTZ308" s="1091"/>
      <c r="UUA308" s="1091"/>
      <c r="UUB308" s="1091"/>
      <c r="UUC308" s="1091"/>
      <c r="UUD308" s="1091"/>
      <c r="UUE308" s="1091"/>
      <c r="UUF308" s="1091"/>
      <c r="UUG308" s="1091"/>
      <c r="UUH308" s="1091"/>
      <c r="UUI308" s="1091"/>
      <c r="UUJ308" s="1091"/>
      <c r="UUK308" s="1091"/>
      <c r="UUL308" s="1091"/>
      <c r="UUM308" s="1091"/>
      <c r="UUN308" s="1091"/>
      <c r="UUO308" s="1091"/>
      <c r="UUP308" s="1091"/>
      <c r="UUQ308" s="1091"/>
      <c r="UUR308" s="1091"/>
      <c r="UUS308" s="1091"/>
      <c r="UUT308" s="1091"/>
      <c r="UUU308" s="1091"/>
      <c r="UUV308" s="1091"/>
      <c r="UUW308" s="1091"/>
      <c r="UUX308" s="1091"/>
      <c r="UUY308" s="1091"/>
      <c r="UUZ308" s="1091"/>
      <c r="UVA308" s="1091"/>
      <c r="UVB308" s="1091"/>
      <c r="UVC308" s="1091"/>
      <c r="UVD308" s="1091"/>
      <c r="UVE308" s="1091"/>
      <c r="UVF308" s="1091"/>
      <c r="UVG308" s="1091"/>
      <c r="UVH308" s="1091"/>
      <c r="UVI308" s="1091"/>
      <c r="UVJ308" s="1091"/>
      <c r="UVK308" s="1091"/>
      <c r="UVL308" s="1091"/>
      <c r="UVM308" s="1091"/>
      <c r="UVN308" s="1091"/>
      <c r="UVO308" s="1091"/>
      <c r="UVP308" s="1091"/>
      <c r="UVQ308" s="1091"/>
      <c r="UVR308" s="1091"/>
      <c r="UVS308" s="1091"/>
      <c r="UVT308" s="1091"/>
      <c r="UVU308" s="1091"/>
      <c r="UVV308" s="1091"/>
      <c r="UVW308" s="1091"/>
      <c r="UVX308" s="1091"/>
      <c r="UVY308" s="1091"/>
      <c r="UVZ308" s="1091"/>
      <c r="UWA308" s="1091"/>
      <c r="UWB308" s="1091"/>
      <c r="UWC308" s="1091"/>
      <c r="UWD308" s="1091"/>
      <c r="UWE308" s="1091"/>
      <c r="UWF308" s="1091"/>
      <c r="UWG308" s="1091"/>
      <c r="UWH308" s="1091"/>
      <c r="UWI308" s="1091"/>
      <c r="UWJ308" s="1091"/>
      <c r="UWK308" s="1091"/>
      <c r="UWL308" s="1091"/>
      <c r="UWM308" s="1091"/>
      <c r="UWN308" s="1091"/>
      <c r="UWO308" s="1091"/>
      <c r="UWP308" s="1091"/>
      <c r="UWQ308" s="1091"/>
      <c r="UWR308" s="1091"/>
      <c r="UWS308" s="1091"/>
      <c r="UWT308" s="1091"/>
      <c r="UWU308" s="1091"/>
      <c r="UWV308" s="1091"/>
      <c r="UWW308" s="1091"/>
      <c r="UWX308" s="1091"/>
      <c r="UWY308" s="1091"/>
      <c r="UWZ308" s="1091"/>
      <c r="UXA308" s="1091"/>
      <c r="UXB308" s="1091"/>
      <c r="UXC308" s="1091"/>
      <c r="UXD308" s="1091"/>
      <c r="UXE308" s="1091"/>
      <c r="UXF308" s="1091"/>
      <c r="UXG308" s="1091"/>
      <c r="UXH308" s="1091"/>
      <c r="UXI308" s="1091"/>
      <c r="UXJ308" s="1091"/>
      <c r="UXK308" s="1091"/>
      <c r="UXL308" s="1091"/>
      <c r="UXM308" s="1091"/>
      <c r="UXN308" s="1091"/>
      <c r="UXO308" s="1091"/>
      <c r="UXP308" s="1091"/>
      <c r="UXQ308" s="1091"/>
      <c r="UXR308" s="1091"/>
      <c r="UXS308" s="1091"/>
      <c r="UXT308" s="1091"/>
      <c r="UXU308" s="1091"/>
      <c r="UXV308" s="1091"/>
      <c r="UXW308" s="1091"/>
      <c r="UXX308" s="1091"/>
      <c r="UXY308" s="1091"/>
      <c r="UXZ308" s="1091"/>
      <c r="UYA308" s="1091"/>
      <c r="UYB308" s="1091"/>
      <c r="UYC308" s="1091"/>
      <c r="UYD308" s="1091"/>
      <c r="UYE308" s="1091"/>
      <c r="UYF308" s="1091"/>
      <c r="UYG308" s="1091"/>
      <c r="UYH308" s="1091"/>
      <c r="UYI308" s="1091"/>
      <c r="UYJ308" s="1091"/>
      <c r="UYK308" s="1091"/>
      <c r="UYL308" s="1091"/>
      <c r="UYM308" s="1091"/>
      <c r="UYN308" s="1091"/>
      <c r="UYO308" s="1091"/>
      <c r="UYP308" s="1091"/>
      <c r="UYQ308" s="1091"/>
      <c r="UYR308" s="1091"/>
      <c r="UYS308" s="1091"/>
      <c r="UYT308" s="1091"/>
      <c r="UYU308" s="1091"/>
      <c r="UYV308" s="1091"/>
      <c r="UYW308" s="1091"/>
      <c r="UYX308" s="1091"/>
      <c r="UYY308" s="1091"/>
      <c r="UYZ308" s="1091"/>
      <c r="UZA308" s="1091"/>
      <c r="UZB308" s="1091"/>
      <c r="UZC308" s="1091"/>
      <c r="UZD308" s="1091"/>
      <c r="UZE308" s="1091"/>
      <c r="UZF308" s="1091"/>
      <c r="UZG308" s="1091"/>
      <c r="UZH308" s="1091"/>
      <c r="UZI308" s="1091"/>
      <c r="UZJ308" s="1091"/>
      <c r="UZK308" s="1091"/>
      <c r="UZL308" s="1091"/>
      <c r="UZM308" s="1091"/>
      <c r="UZN308" s="1091"/>
      <c r="UZO308" s="1091"/>
      <c r="UZP308" s="1091"/>
      <c r="UZQ308" s="1091"/>
      <c r="UZR308" s="1091"/>
      <c r="UZS308" s="1091"/>
      <c r="UZT308" s="1091"/>
      <c r="UZU308" s="1091"/>
      <c r="UZV308" s="1091"/>
      <c r="UZW308" s="1091"/>
      <c r="UZX308" s="1091"/>
      <c r="UZY308" s="1091"/>
      <c r="UZZ308" s="1091"/>
      <c r="VAA308" s="1091"/>
      <c r="VAB308" s="1091"/>
      <c r="VAC308" s="1091"/>
      <c r="VAD308" s="1091"/>
      <c r="VAE308" s="1091"/>
      <c r="VAF308" s="1091"/>
      <c r="VAG308" s="1091"/>
      <c r="VAH308" s="1091"/>
      <c r="VAI308" s="1091"/>
      <c r="VAJ308" s="1091"/>
      <c r="VAK308" s="1091"/>
      <c r="VAL308" s="1091"/>
      <c r="VAM308" s="1091"/>
      <c r="VAN308" s="1091"/>
      <c r="VAO308" s="1091"/>
      <c r="VAP308" s="1091"/>
      <c r="VAQ308" s="1091"/>
      <c r="VAR308" s="1091"/>
      <c r="VAS308" s="1091"/>
      <c r="VAT308" s="1091"/>
      <c r="VAU308" s="1091"/>
      <c r="VAV308" s="1091"/>
      <c r="VAW308" s="1091"/>
      <c r="VAX308" s="1091"/>
      <c r="VAY308" s="1091"/>
      <c r="VAZ308" s="1091"/>
      <c r="VBA308" s="1091"/>
      <c r="VBB308" s="1091"/>
      <c r="VBC308" s="1091"/>
      <c r="VBD308" s="1091"/>
      <c r="VBE308" s="1091"/>
      <c r="VBF308" s="1091"/>
      <c r="VBG308" s="1091"/>
      <c r="VBH308" s="1091"/>
      <c r="VBI308" s="1091"/>
      <c r="VBJ308" s="1091"/>
      <c r="VBK308" s="1091"/>
      <c r="VBL308" s="1091"/>
      <c r="VBM308" s="1091"/>
      <c r="VBN308" s="1091"/>
      <c r="VBO308" s="1091"/>
      <c r="VBP308" s="1091"/>
      <c r="VBQ308" s="1091"/>
      <c r="VBR308" s="1091"/>
      <c r="VBS308" s="1091"/>
      <c r="VBT308" s="1091"/>
      <c r="VBU308" s="1091"/>
      <c r="VBV308" s="1091"/>
      <c r="VBW308" s="1091"/>
      <c r="VBX308" s="1091"/>
      <c r="VBY308" s="1091"/>
      <c r="VBZ308" s="1091"/>
      <c r="VCA308" s="1091"/>
      <c r="VCB308" s="1091"/>
      <c r="VCC308" s="1091"/>
      <c r="VCD308" s="1091"/>
      <c r="VCE308" s="1091"/>
      <c r="VCF308" s="1091"/>
      <c r="VCG308" s="1091"/>
      <c r="VCH308" s="1091"/>
      <c r="VCI308" s="1091"/>
      <c r="VCJ308" s="1091"/>
      <c r="VCK308" s="1091"/>
      <c r="VCL308" s="1091"/>
      <c r="VCM308" s="1091"/>
      <c r="VCN308" s="1091"/>
      <c r="VCO308" s="1091"/>
      <c r="VCP308" s="1091"/>
      <c r="VCQ308" s="1091"/>
      <c r="VCR308" s="1091"/>
      <c r="VCS308" s="1091"/>
      <c r="VCT308" s="1091"/>
      <c r="VCU308" s="1091"/>
      <c r="VCV308" s="1091"/>
      <c r="VCW308" s="1091"/>
      <c r="VCX308" s="1091"/>
      <c r="VCY308" s="1091"/>
      <c r="VCZ308" s="1091"/>
      <c r="VDA308" s="1091"/>
      <c r="VDB308" s="1091"/>
      <c r="VDC308" s="1091"/>
      <c r="VDD308" s="1091"/>
      <c r="VDE308" s="1091"/>
      <c r="VDF308" s="1091"/>
      <c r="VDG308" s="1091"/>
      <c r="VDH308" s="1091"/>
      <c r="VDI308" s="1091"/>
      <c r="VDJ308" s="1091"/>
      <c r="VDK308" s="1091"/>
      <c r="VDL308" s="1091"/>
      <c r="VDM308" s="1091"/>
      <c r="VDN308" s="1091"/>
      <c r="VDO308" s="1091"/>
      <c r="VDP308" s="1091"/>
      <c r="VDQ308" s="1091"/>
      <c r="VDR308" s="1091"/>
      <c r="VDS308" s="1091"/>
      <c r="VDT308" s="1091"/>
      <c r="VDU308" s="1091"/>
      <c r="VDV308" s="1091"/>
      <c r="VDW308" s="1091"/>
      <c r="VDX308" s="1091"/>
      <c r="VDY308" s="1091"/>
      <c r="VDZ308" s="1091"/>
      <c r="VEA308" s="1091"/>
      <c r="VEB308" s="1091"/>
      <c r="VEC308" s="1091"/>
      <c r="VED308" s="1091"/>
      <c r="VEE308" s="1091"/>
      <c r="VEF308" s="1091"/>
      <c r="VEG308" s="1091"/>
      <c r="VEH308" s="1091"/>
      <c r="VEI308" s="1091"/>
      <c r="VEJ308" s="1091"/>
      <c r="VEK308" s="1091"/>
      <c r="VEL308" s="1091"/>
      <c r="VEM308" s="1091"/>
      <c r="VEN308" s="1091"/>
      <c r="VEO308" s="1091"/>
      <c r="VEP308" s="1091"/>
      <c r="VEQ308" s="1091"/>
      <c r="VER308" s="1091"/>
      <c r="VES308" s="1091"/>
      <c r="VET308" s="1091"/>
      <c r="VEU308" s="1091"/>
      <c r="VEV308" s="1091"/>
      <c r="VEW308" s="1091"/>
      <c r="VEX308" s="1091"/>
      <c r="VEY308" s="1091"/>
      <c r="VEZ308" s="1091"/>
      <c r="VFA308" s="1091"/>
      <c r="VFB308" s="1091"/>
      <c r="VFC308" s="1091"/>
      <c r="VFD308" s="1091"/>
      <c r="VFE308" s="1091"/>
      <c r="VFF308" s="1091"/>
      <c r="VFG308" s="1091"/>
      <c r="VFH308" s="1091"/>
      <c r="VFI308" s="1091"/>
      <c r="VFJ308" s="1091"/>
      <c r="VFK308" s="1091"/>
      <c r="VFL308" s="1091"/>
      <c r="VFM308" s="1091"/>
      <c r="VFN308" s="1091"/>
      <c r="VFO308" s="1091"/>
      <c r="VFP308" s="1091"/>
      <c r="VFQ308" s="1091"/>
      <c r="VFR308" s="1091"/>
      <c r="VFS308" s="1091"/>
      <c r="VFT308" s="1091"/>
      <c r="VFU308" s="1091"/>
      <c r="VFV308" s="1091"/>
      <c r="VFW308" s="1091"/>
      <c r="VFX308" s="1091"/>
      <c r="VFY308" s="1091"/>
      <c r="VFZ308" s="1091"/>
      <c r="VGA308" s="1091"/>
      <c r="VGB308" s="1091"/>
      <c r="VGC308" s="1091"/>
      <c r="VGD308" s="1091"/>
      <c r="VGE308" s="1091"/>
      <c r="VGF308" s="1091"/>
      <c r="VGG308" s="1091"/>
      <c r="VGH308" s="1091"/>
      <c r="VGI308" s="1091"/>
      <c r="VGJ308" s="1091"/>
      <c r="VGK308" s="1091"/>
      <c r="VGL308" s="1091"/>
      <c r="VGM308" s="1091"/>
      <c r="VGN308" s="1091"/>
      <c r="VGO308" s="1091"/>
      <c r="VGP308" s="1091"/>
      <c r="VGQ308" s="1091"/>
      <c r="VGR308" s="1091"/>
      <c r="VGS308" s="1091"/>
      <c r="VGT308" s="1091"/>
      <c r="VGU308" s="1091"/>
      <c r="VGV308" s="1091"/>
      <c r="VGW308" s="1091"/>
      <c r="VGX308" s="1091"/>
      <c r="VGY308" s="1091"/>
      <c r="VGZ308" s="1091"/>
      <c r="VHA308" s="1091"/>
      <c r="VHB308" s="1091"/>
      <c r="VHC308" s="1091"/>
      <c r="VHD308" s="1091"/>
      <c r="VHE308" s="1091"/>
      <c r="VHF308" s="1091"/>
      <c r="VHG308" s="1091"/>
      <c r="VHH308" s="1091"/>
      <c r="VHI308" s="1091"/>
      <c r="VHJ308" s="1091"/>
      <c r="VHK308" s="1091"/>
      <c r="VHL308" s="1091"/>
      <c r="VHM308" s="1091"/>
      <c r="VHN308" s="1091"/>
      <c r="VHO308" s="1091"/>
      <c r="VHP308" s="1091"/>
      <c r="VHQ308" s="1091"/>
      <c r="VHR308" s="1091"/>
      <c r="VHS308" s="1091"/>
      <c r="VHT308" s="1091"/>
      <c r="VHU308" s="1091"/>
      <c r="VHV308" s="1091"/>
      <c r="VHW308" s="1091"/>
      <c r="VHX308" s="1091"/>
      <c r="VHY308" s="1091"/>
      <c r="VHZ308" s="1091"/>
      <c r="VIA308" s="1091"/>
      <c r="VIB308" s="1091"/>
      <c r="VIC308" s="1091"/>
      <c r="VID308" s="1091"/>
      <c r="VIE308" s="1091"/>
      <c r="VIF308" s="1091"/>
      <c r="VIG308" s="1091"/>
      <c r="VIH308" s="1091"/>
      <c r="VII308" s="1091"/>
      <c r="VIJ308" s="1091"/>
      <c r="VIK308" s="1091"/>
      <c r="VIL308" s="1091"/>
      <c r="VIM308" s="1091"/>
      <c r="VIN308" s="1091"/>
      <c r="VIO308" s="1091"/>
      <c r="VIP308" s="1091"/>
      <c r="VIQ308" s="1091"/>
      <c r="VIR308" s="1091"/>
      <c r="VIS308" s="1091"/>
      <c r="VIT308" s="1091"/>
      <c r="VIU308" s="1091"/>
      <c r="VIV308" s="1091"/>
      <c r="VIW308" s="1091"/>
      <c r="VIX308" s="1091"/>
      <c r="VIY308" s="1091"/>
      <c r="VIZ308" s="1091"/>
      <c r="VJA308" s="1091"/>
      <c r="VJB308" s="1091"/>
      <c r="VJC308" s="1091"/>
      <c r="VJD308" s="1091"/>
      <c r="VJE308" s="1091"/>
      <c r="VJF308" s="1091"/>
      <c r="VJG308" s="1091"/>
      <c r="VJH308" s="1091"/>
      <c r="VJI308" s="1091"/>
      <c r="VJJ308" s="1091"/>
      <c r="VJK308" s="1091"/>
      <c r="VJL308" s="1091"/>
      <c r="VJM308" s="1091"/>
      <c r="VJN308" s="1091"/>
      <c r="VJO308" s="1091"/>
      <c r="VJP308" s="1091"/>
      <c r="VJQ308" s="1091"/>
      <c r="VJR308" s="1091"/>
      <c r="VJS308" s="1091"/>
      <c r="VJT308" s="1091"/>
      <c r="VJU308" s="1091"/>
      <c r="VJV308" s="1091"/>
      <c r="VJW308" s="1091"/>
      <c r="VJX308" s="1091"/>
      <c r="VJY308" s="1091"/>
      <c r="VJZ308" s="1091"/>
      <c r="VKA308" s="1091"/>
      <c r="VKB308" s="1091"/>
      <c r="VKC308" s="1091"/>
      <c r="VKD308" s="1091"/>
      <c r="VKE308" s="1091"/>
      <c r="VKF308" s="1091"/>
      <c r="VKG308" s="1091"/>
      <c r="VKH308" s="1091"/>
      <c r="VKI308" s="1091"/>
      <c r="VKJ308" s="1091"/>
      <c r="VKK308" s="1091"/>
      <c r="VKL308" s="1091"/>
      <c r="VKM308" s="1091"/>
      <c r="VKN308" s="1091"/>
      <c r="VKO308" s="1091"/>
      <c r="VKP308" s="1091"/>
      <c r="VKQ308" s="1091"/>
      <c r="VKR308" s="1091"/>
      <c r="VKS308" s="1091"/>
      <c r="VKT308" s="1091"/>
      <c r="VKU308" s="1091"/>
      <c r="VKV308" s="1091"/>
      <c r="VKW308" s="1091"/>
      <c r="VKX308" s="1091"/>
      <c r="VKY308" s="1091"/>
      <c r="VKZ308" s="1091"/>
      <c r="VLA308" s="1091"/>
      <c r="VLB308" s="1091"/>
      <c r="VLC308" s="1091"/>
      <c r="VLD308" s="1091"/>
      <c r="VLE308" s="1091"/>
      <c r="VLF308" s="1091"/>
      <c r="VLG308" s="1091"/>
      <c r="VLH308" s="1091"/>
      <c r="VLI308" s="1091"/>
      <c r="VLJ308" s="1091"/>
      <c r="VLK308" s="1091"/>
      <c r="VLL308" s="1091"/>
      <c r="VLM308" s="1091"/>
      <c r="VLN308" s="1091"/>
      <c r="VLO308" s="1091"/>
      <c r="VLP308" s="1091"/>
      <c r="VLQ308" s="1091"/>
      <c r="VLR308" s="1091"/>
      <c r="VLS308" s="1091"/>
      <c r="VLT308" s="1091"/>
      <c r="VLU308" s="1091"/>
      <c r="VLV308" s="1091"/>
      <c r="VLW308" s="1091"/>
      <c r="VLX308" s="1091"/>
      <c r="VLY308" s="1091"/>
      <c r="VLZ308" s="1091"/>
      <c r="VMA308" s="1091"/>
      <c r="VMB308" s="1091"/>
      <c r="VMC308" s="1091"/>
      <c r="VMD308" s="1091"/>
      <c r="VME308" s="1091"/>
      <c r="VMF308" s="1091"/>
      <c r="VMG308" s="1091"/>
      <c r="VMH308" s="1091"/>
      <c r="VMI308" s="1091"/>
      <c r="VMJ308" s="1091"/>
      <c r="VMK308" s="1091"/>
      <c r="VML308" s="1091"/>
      <c r="VMM308" s="1091"/>
      <c r="VMN308" s="1091"/>
      <c r="VMO308" s="1091"/>
      <c r="VMP308" s="1091"/>
      <c r="VMQ308" s="1091"/>
      <c r="VMR308" s="1091"/>
      <c r="VMS308" s="1091"/>
      <c r="VMT308" s="1091"/>
      <c r="VMU308" s="1091"/>
      <c r="VMV308" s="1091"/>
      <c r="VMW308" s="1091"/>
      <c r="VMX308" s="1091"/>
      <c r="VMY308" s="1091"/>
      <c r="VMZ308" s="1091"/>
      <c r="VNA308" s="1091"/>
      <c r="VNB308" s="1091"/>
      <c r="VNC308" s="1091"/>
      <c r="VND308" s="1091"/>
      <c r="VNE308" s="1091"/>
      <c r="VNF308" s="1091"/>
      <c r="VNG308" s="1091"/>
      <c r="VNH308" s="1091"/>
      <c r="VNI308" s="1091"/>
      <c r="VNJ308" s="1091"/>
      <c r="VNK308" s="1091"/>
      <c r="VNL308" s="1091"/>
      <c r="VNM308" s="1091"/>
      <c r="VNN308" s="1091"/>
      <c r="VNO308" s="1091"/>
      <c r="VNP308" s="1091"/>
      <c r="VNQ308" s="1091"/>
      <c r="VNR308" s="1091"/>
      <c r="VNS308" s="1091"/>
      <c r="VNT308" s="1091"/>
      <c r="VNU308" s="1091"/>
      <c r="VNV308" s="1091"/>
      <c r="VNW308" s="1091"/>
      <c r="VNX308" s="1091"/>
      <c r="VNY308" s="1091"/>
      <c r="VNZ308" s="1091"/>
      <c r="VOA308" s="1091"/>
      <c r="VOB308" s="1091"/>
      <c r="VOC308" s="1091"/>
      <c r="VOD308" s="1091"/>
      <c r="VOE308" s="1091"/>
      <c r="VOF308" s="1091"/>
      <c r="VOG308" s="1091"/>
      <c r="VOH308" s="1091"/>
      <c r="VOI308" s="1091"/>
      <c r="VOJ308" s="1091"/>
      <c r="VOK308" s="1091"/>
      <c r="VOL308" s="1091"/>
      <c r="VOM308" s="1091"/>
      <c r="VON308" s="1091"/>
      <c r="VOO308" s="1091"/>
      <c r="VOP308" s="1091"/>
      <c r="VOQ308" s="1091"/>
      <c r="VOR308" s="1091"/>
      <c r="VOS308" s="1091"/>
      <c r="VOT308" s="1091"/>
      <c r="VOU308" s="1091"/>
      <c r="VOV308" s="1091"/>
      <c r="VOW308" s="1091"/>
      <c r="VOX308" s="1091"/>
      <c r="VOY308" s="1091"/>
      <c r="VOZ308" s="1091"/>
      <c r="VPA308" s="1091"/>
      <c r="VPB308" s="1091"/>
      <c r="VPC308" s="1091"/>
      <c r="VPD308" s="1091"/>
      <c r="VPE308" s="1091"/>
      <c r="VPF308" s="1091"/>
      <c r="VPG308" s="1091"/>
      <c r="VPH308" s="1091"/>
      <c r="VPI308" s="1091"/>
      <c r="VPJ308" s="1091"/>
      <c r="VPK308" s="1091"/>
      <c r="VPL308" s="1091"/>
      <c r="VPM308" s="1091"/>
      <c r="VPN308" s="1091"/>
      <c r="VPO308" s="1091"/>
      <c r="VPP308" s="1091"/>
      <c r="VPQ308" s="1091"/>
      <c r="VPR308" s="1091"/>
      <c r="VPS308" s="1091"/>
      <c r="VPT308" s="1091"/>
      <c r="VPU308" s="1091"/>
      <c r="VPV308" s="1091"/>
      <c r="VPW308" s="1091"/>
      <c r="VPX308" s="1091"/>
      <c r="VPY308" s="1091"/>
      <c r="VPZ308" s="1091"/>
      <c r="VQA308" s="1091"/>
      <c r="VQB308" s="1091"/>
      <c r="VQC308" s="1091"/>
      <c r="VQD308" s="1091"/>
      <c r="VQE308" s="1091"/>
      <c r="VQF308" s="1091"/>
      <c r="VQG308" s="1091"/>
      <c r="VQH308" s="1091"/>
      <c r="VQI308" s="1091"/>
      <c r="VQJ308" s="1091"/>
      <c r="VQK308" s="1091"/>
      <c r="VQL308" s="1091"/>
      <c r="VQM308" s="1091"/>
      <c r="VQN308" s="1091"/>
      <c r="VQO308" s="1091"/>
      <c r="VQP308" s="1091"/>
      <c r="VQQ308" s="1091"/>
      <c r="VQR308" s="1091"/>
      <c r="VQS308" s="1091"/>
      <c r="VQT308" s="1091"/>
      <c r="VQU308" s="1091"/>
      <c r="VQV308" s="1091"/>
      <c r="VQW308" s="1091"/>
      <c r="VQX308" s="1091"/>
      <c r="VQY308" s="1091"/>
      <c r="VQZ308" s="1091"/>
      <c r="VRA308" s="1091"/>
      <c r="VRB308" s="1091"/>
      <c r="VRC308" s="1091"/>
      <c r="VRD308" s="1091"/>
      <c r="VRE308" s="1091"/>
      <c r="VRF308" s="1091"/>
      <c r="VRG308" s="1091"/>
      <c r="VRH308" s="1091"/>
      <c r="VRI308" s="1091"/>
      <c r="VRJ308" s="1091"/>
      <c r="VRK308" s="1091"/>
      <c r="VRL308" s="1091"/>
      <c r="VRM308" s="1091"/>
      <c r="VRN308" s="1091"/>
      <c r="VRO308" s="1091"/>
      <c r="VRP308" s="1091"/>
      <c r="VRQ308" s="1091"/>
      <c r="VRR308" s="1091"/>
      <c r="VRS308" s="1091"/>
      <c r="VRT308" s="1091"/>
      <c r="VRU308" s="1091"/>
      <c r="VRV308" s="1091"/>
      <c r="VRW308" s="1091"/>
      <c r="VRX308" s="1091"/>
      <c r="VRY308" s="1091"/>
      <c r="VRZ308" s="1091"/>
      <c r="VSA308" s="1091"/>
      <c r="VSB308" s="1091"/>
      <c r="VSC308" s="1091"/>
      <c r="VSD308" s="1091"/>
      <c r="VSE308" s="1091"/>
      <c r="VSF308" s="1091"/>
      <c r="VSG308" s="1091"/>
      <c r="VSH308" s="1091"/>
      <c r="VSI308" s="1091"/>
      <c r="VSJ308" s="1091"/>
      <c r="VSK308" s="1091"/>
      <c r="VSL308" s="1091"/>
      <c r="VSM308" s="1091"/>
      <c r="VSN308" s="1091"/>
      <c r="VSO308" s="1091"/>
      <c r="VSP308" s="1091"/>
      <c r="VSQ308" s="1091"/>
      <c r="VSR308" s="1091"/>
      <c r="VSS308" s="1091"/>
      <c r="VST308" s="1091"/>
      <c r="VSU308" s="1091"/>
      <c r="VSV308" s="1091"/>
      <c r="VSW308" s="1091"/>
      <c r="VSX308" s="1091"/>
      <c r="VSY308" s="1091"/>
      <c r="VSZ308" s="1091"/>
      <c r="VTA308" s="1091"/>
      <c r="VTB308" s="1091"/>
      <c r="VTC308" s="1091"/>
      <c r="VTD308" s="1091"/>
      <c r="VTE308" s="1091"/>
      <c r="VTF308" s="1091"/>
      <c r="VTG308" s="1091"/>
      <c r="VTH308" s="1091"/>
      <c r="VTI308" s="1091"/>
      <c r="VTJ308" s="1091"/>
      <c r="VTK308" s="1091"/>
      <c r="VTL308" s="1091"/>
      <c r="VTM308" s="1091"/>
      <c r="VTN308" s="1091"/>
      <c r="VTO308" s="1091"/>
      <c r="VTP308" s="1091"/>
      <c r="VTQ308" s="1091"/>
      <c r="VTR308" s="1091"/>
      <c r="VTS308" s="1091"/>
      <c r="VTT308" s="1091"/>
      <c r="VTU308" s="1091"/>
      <c r="VTV308" s="1091"/>
      <c r="VTW308" s="1091"/>
      <c r="VTX308" s="1091"/>
      <c r="VTY308" s="1091"/>
      <c r="VTZ308" s="1091"/>
      <c r="VUA308" s="1091"/>
      <c r="VUB308" s="1091"/>
      <c r="VUC308" s="1091"/>
      <c r="VUD308" s="1091"/>
      <c r="VUE308" s="1091"/>
      <c r="VUF308" s="1091"/>
      <c r="VUG308" s="1091"/>
      <c r="VUH308" s="1091"/>
      <c r="VUI308" s="1091"/>
      <c r="VUJ308" s="1091"/>
      <c r="VUK308" s="1091"/>
      <c r="VUL308" s="1091"/>
      <c r="VUM308" s="1091"/>
      <c r="VUN308" s="1091"/>
      <c r="VUO308" s="1091"/>
      <c r="VUP308" s="1091"/>
      <c r="VUQ308" s="1091"/>
      <c r="VUR308" s="1091"/>
      <c r="VUS308" s="1091"/>
      <c r="VUT308" s="1091"/>
      <c r="VUU308" s="1091"/>
      <c r="VUV308" s="1091"/>
      <c r="VUW308" s="1091"/>
      <c r="VUX308" s="1091"/>
      <c r="VUY308" s="1091"/>
      <c r="VUZ308" s="1091"/>
      <c r="VVA308" s="1091"/>
      <c r="VVB308" s="1091"/>
      <c r="VVC308" s="1091"/>
      <c r="VVD308" s="1091"/>
      <c r="VVE308" s="1091"/>
      <c r="VVF308" s="1091"/>
      <c r="VVG308" s="1091"/>
      <c r="VVH308" s="1091"/>
      <c r="VVI308" s="1091"/>
      <c r="VVJ308" s="1091"/>
      <c r="VVK308" s="1091"/>
      <c r="VVL308" s="1091"/>
      <c r="VVM308" s="1091"/>
      <c r="VVN308" s="1091"/>
      <c r="VVO308" s="1091"/>
      <c r="VVP308" s="1091"/>
      <c r="VVQ308" s="1091"/>
      <c r="VVR308" s="1091"/>
      <c r="VVS308" s="1091"/>
      <c r="VVT308" s="1091"/>
      <c r="VVU308" s="1091"/>
      <c r="VVV308" s="1091"/>
      <c r="VVW308" s="1091"/>
      <c r="VVX308" s="1091"/>
      <c r="VVY308" s="1091"/>
      <c r="VVZ308" s="1091"/>
      <c r="VWA308" s="1091"/>
      <c r="VWB308" s="1091"/>
      <c r="VWC308" s="1091"/>
      <c r="VWD308" s="1091"/>
      <c r="VWE308" s="1091"/>
      <c r="VWF308" s="1091"/>
      <c r="VWG308" s="1091"/>
      <c r="VWH308" s="1091"/>
      <c r="VWI308" s="1091"/>
      <c r="VWJ308" s="1091"/>
      <c r="VWK308" s="1091"/>
      <c r="VWL308" s="1091"/>
      <c r="VWM308" s="1091"/>
      <c r="VWN308" s="1091"/>
      <c r="VWO308" s="1091"/>
      <c r="VWP308" s="1091"/>
      <c r="VWQ308" s="1091"/>
      <c r="VWR308" s="1091"/>
      <c r="VWS308" s="1091"/>
      <c r="VWT308" s="1091"/>
      <c r="VWU308" s="1091"/>
      <c r="VWV308" s="1091"/>
      <c r="VWW308" s="1091"/>
      <c r="VWX308" s="1091"/>
      <c r="VWY308" s="1091"/>
      <c r="VWZ308" s="1091"/>
      <c r="VXA308" s="1091"/>
      <c r="VXB308" s="1091"/>
      <c r="VXC308" s="1091"/>
      <c r="VXD308" s="1091"/>
      <c r="VXE308" s="1091"/>
      <c r="VXF308" s="1091"/>
      <c r="VXG308" s="1091"/>
      <c r="VXH308" s="1091"/>
      <c r="VXI308" s="1091"/>
      <c r="VXJ308" s="1091"/>
      <c r="VXK308" s="1091"/>
      <c r="VXL308" s="1091"/>
      <c r="VXM308" s="1091"/>
      <c r="VXN308" s="1091"/>
      <c r="VXO308" s="1091"/>
      <c r="VXP308" s="1091"/>
      <c r="VXQ308" s="1091"/>
      <c r="VXR308" s="1091"/>
      <c r="VXS308" s="1091"/>
      <c r="VXT308" s="1091"/>
      <c r="VXU308" s="1091"/>
      <c r="VXV308" s="1091"/>
      <c r="VXW308" s="1091"/>
      <c r="VXX308" s="1091"/>
      <c r="VXY308" s="1091"/>
      <c r="VXZ308" s="1091"/>
      <c r="VYA308" s="1091"/>
      <c r="VYB308" s="1091"/>
      <c r="VYC308" s="1091"/>
      <c r="VYD308" s="1091"/>
      <c r="VYE308" s="1091"/>
      <c r="VYF308" s="1091"/>
      <c r="VYG308" s="1091"/>
      <c r="VYH308" s="1091"/>
      <c r="VYI308" s="1091"/>
      <c r="VYJ308" s="1091"/>
      <c r="VYK308" s="1091"/>
      <c r="VYL308" s="1091"/>
      <c r="VYM308" s="1091"/>
      <c r="VYN308" s="1091"/>
      <c r="VYO308" s="1091"/>
      <c r="VYP308" s="1091"/>
      <c r="VYQ308" s="1091"/>
      <c r="VYR308" s="1091"/>
      <c r="VYS308" s="1091"/>
      <c r="VYT308" s="1091"/>
      <c r="VYU308" s="1091"/>
      <c r="VYV308" s="1091"/>
      <c r="VYW308" s="1091"/>
      <c r="VYX308" s="1091"/>
      <c r="VYY308" s="1091"/>
      <c r="VYZ308" s="1091"/>
      <c r="VZA308" s="1091"/>
      <c r="VZB308" s="1091"/>
      <c r="VZC308" s="1091"/>
      <c r="VZD308" s="1091"/>
      <c r="VZE308" s="1091"/>
      <c r="VZF308" s="1091"/>
      <c r="VZG308" s="1091"/>
      <c r="VZH308" s="1091"/>
      <c r="VZI308" s="1091"/>
      <c r="VZJ308" s="1091"/>
      <c r="VZK308" s="1091"/>
      <c r="VZL308" s="1091"/>
      <c r="VZM308" s="1091"/>
      <c r="VZN308" s="1091"/>
      <c r="VZO308" s="1091"/>
      <c r="VZP308" s="1091"/>
      <c r="VZQ308" s="1091"/>
      <c r="VZR308" s="1091"/>
      <c r="VZS308" s="1091"/>
      <c r="VZT308" s="1091"/>
      <c r="VZU308" s="1091"/>
      <c r="VZV308" s="1091"/>
      <c r="VZW308" s="1091"/>
      <c r="VZX308" s="1091"/>
      <c r="VZY308" s="1091"/>
      <c r="VZZ308" s="1091"/>
      <c r="WAA308" s="1091"/>
      <c r="WAB308" s="1091"/>
      <c r="WAC308" s="1091"/>
      <c r="WAD308" s="1091"/>
      <c r="WAE308" s="1091"/>
      <c r="WAF308" s="1091"/>
      <c r="WAG308" s="1091"/>
      <c r="WAH308" s="1091"/>
      <c r="WAI308" s="1091"/>
      <c r="WAJ308" s="1091"/>
      <c r="WAK308" s="1091"/>
      <c r="WAL308" s="1091"/>
      <c r="WAM308" s="1091"/>
      <c r="WAN308" s="1091"/>
      <c r="WAO308" s="1091"/>
      <c r="WAP308" s="1091"/>
      <c r="WAQ308" s="1091"/>
      <c r="WAR308" s="1091"/>
      <c r="WAS308" s="1091"/>
      <c r="WAT308" s="1091"/>
      <c r="WAU308" s="1091"/>
      <c r="WAV308" s="1091"/>
      <c r="WAW308" s="1091"/>
      <c r="WAX308" s="1091"/>
      <c r="WAY308" s="1091"/>
      <c r="WAZ308" s="1091"/>
      <c r="WBA308" s="1091"/>
      <c r="WBB308" s="1091"/>
      <c r="WBC308" s="1091"/>
      <c r="WBD308" s="1091"/>
      <c r="WBE308" s="1091"/>
      <c r="WBF308" s="1091"/>
      <c r="WBG308" s="1091"/>
      <c r="WBH308" s="1091"/>
      <c r="WBI308" s="1091"/>
      <c r="WBJ308" s="1091"/>
      <c r="WBK308" s="1091"/>
      <c r="WBL308" s="1091"/>
      <c r="WBM308" s="1091"/>
      <c r="WBN308" s="1091"/>
      <c r="WBO308" s="1091"/>
      <c r="WBP308" s="1091"/>
      <c r="WBQ308" s="1091"/>
      <c r="WBR308" s="1091"/>
      <c r="WBS308" s="1091"/>
      <c r="WBT308" s="1091"/>
      <c r="WBU308" s="1091"/>
      <c r="WBV308" s="1091"/>
      <c r="WBW308" s="1091"/>
      <c r="WBX308" s="1091"/>
      <c r="WBY308" s="1091"/>
      <c r="WBZ308" s="1091"/>
      <c r="WCA308" s="1091"/>
      <c r="WCB308" s="1091"/>
      <c r="WCC308" s="1091"/>
      <c r="WCD308" s="1091"/>
      <c r="WCE308" s="1091"/>
      <c r="WCF308" s="1091"/>
      <c r="WCG308" s="1091"/>
      <c r="WCH308" s="1091"/>
      <c r="WCI308" s="1091"/>
      <c r="WCJ308" s="1091"/>
      <c r="WCK308" s="1091"/>
      <c r="WCL308" s="1091"/>
      <c r="WCM308" s="1091"/>
      <c r="WCN308" s="1091"/>
      <c r="WCO308" s="1091"/>
      <c r="WCP308" s="1091"/>
      <c r="WCQ308" s="1091"/>
      <c r="WCR308" s="1091"/>
      <c r="WCS308" s="1091"/>
      <c r="WCT308" s="1091"/>
      <c r="WCU308" s="1091"/>
      <c r="WCV308" s="1091"/>
      <c r="WCW308" s="1091"/>
      <c r="WCX308" s="1091"/>
      <c r="WCY308" s="1091"/>
      <c r="WCZ308" s="1091"/>
      <c r="WDA308" s="1091"/>
      <c r="WDB308" s="1091"/>
      <c r="WDC308" s="1091"/>
      <c r="WDD308" s="1091"/>
      <c r="WDE308" s="1091"/>
      <c r="WDF308" s="1091"/>
      <c r="WDG308" s="1091"/>
      <c r="WDH308" s="1091"/>
      <c r="WDI308" s="1091"/>
      <c r="WDJ308" s="1091"/>
      <c r="WDK308" s="1091"/>
      <c r="WDL308" s="1091"/>
      <c r="WDM308" s="1091"/>
      <c r="WDN308" s="1091"/>
      <c r="WDO308" s="1091"/>
      <c r="WDP308" s="1091"/>
      <c r="WDQ308" s="1091"/>
      <c r="WDR308" s="1091"/>
      <c r="WDS308" s="1091"/>
      <c r="WDT308" s="1091"/>
      <c r="WDU308" s="1091"/>
      <c r="WDV308" s="1091"/>
      <c r="WDW308" s="1091"/>
      <c r="WDX308" s="1091"/>
      <c r="WDY308" s="1091"/>
      <c r="WDZ308" s="1091"/>
      <c r="WEA308" s="1091"/>
      <c r="WEB308" s="1091"/>
      <c r="WEC308" s="1091"/>
      <c r="WED308" s="1091"/>
      <c r="WEE308" s="1091"/>
      <c r="WEF308" s="1091"/>
      <c r="WEG308" s="1091"/>
      <c r="WEH308" s="1091"/>
      <c r="WEI308" s="1091"/>
      <c r="WEJ308" s="1091"/>
      <c r="WEK308" s="1091"/>
      <c r="WEL308" s="1091"/>
      <c r="WEM308" s="1091"/>
      <c r="WEN308" s="1091"/>
      <c r="WEO308" s="1091"/>
      <c r="WEP308" s="1091"/>
      <c r="WEQ308" s="1091"/>
      <c r="WER308" s="1091"/>
      <c r="WES308" s="1091"/>
      <c r="WET308" s="1091"/>
      <c r="WEU308" s="1091"/>
      <c r="WEV308" s="1091"/>
      <c r="WEW308" s="1091"/>
      <c r="WEX308" s="1091"/>
      <c r="WEY308" s="1091"/>
      <c r="WEZ308" s="1091"/>
      <c r="WFA308" s="1091"/>
      <c r="WFB308" s="1091"/>
      <c r="WFC308" s="1091"/>
      <c r="WFD308" s="1091"/>
      <c r="WFE308" s="1091"/>
      <c r="WFF308" s="1091"/>
      <c r="WFG308" s="1091"/>
      <c r="WFH308" s="1091"/>
      <c r="WFI308" s="1091"/>
      <c r="WFJ308" s="1091"/>
      <c r="WFK308" s="1091"/>
      <c r="WFL308" s="1091"/>
      <c r="WFM308" s="1091"/>
      <c r="WFN308" s="1091"/>
      <c r="WFO308" s="1091"/>
      <c r="WFP308" s="1091"/>
      <c r="WFQ308" s="1091"/>
      <c r="WFR308" s="1091"/>
      <c r="WFS308" s="1091"/>
      <c r="WFT308" s="1091"/>
      <c r="WFU308" s="1091"/>
      <c r="WFV308" s="1091"/>
      <c r="WFW308" s="1091"/>
      <c r="WFX308" s="1091"/>
      <c r="WFY308" s="1091"/>
      <c r="WFZ308" s="1091"/>
      <c r="WGA308" s="1091"/>
      <c r="WGB308" s="1091"/>
      <c r="WGC308" s="1091"/>
      <c r="WGD308" s="1091"/>
      <c r="WGE308" s="1091"/>
      <c r="WGF308" s="1091"/>
      <c r="WGG308" s="1091"/>
      <c r="WGH308" s="1091"/>
      <c r="WGI308" s="1091"/>
      <c r="WGJ308" s="1091"/>
      <c r="WGK308" s="1091"/>
      <c r="WGL308" s="1091"/>
      <c r="WGM308" s="1091"/>
      <c r="WGN308" s="1091"/>
      <c r="WGO308" s="1091"/>
      <c r="WGP308" s="1091"/>
      <c r="WGQ308" s="1091"/>
      <c r="WGR308" s="1091"/>
      <c r="WGS308" s="1091"/>
      <c r="WGT308" s="1091"/>
      <c r="WGU308" s="1091"/>
      <c r="WGV308" s="1091"/>
      <c r="WGW308" s="1091"/>
      <c r="WGX308" s="1091"/>
      <c r="WGY308" s="1091"/>
      <c r="WGZ308" s="1091"/>
      <c r="WHA308" s="1091"/>
      <c r="WHB308" s="1091"/>
      <c r="WHC308" s="1091"/>
      <c r="WHD308" s="1091"/>
      <c r="WHE308" s="1091"/>
      <c r="WHF308" s="1091"/>
      <c r="WHG308" s="1091"/>
      <c r="WHH308" s="1091"/>
      <c r="WHI308" s="1091"/>
      <c r="WHJ308" s="1091"/>
      <c r="WHK308" s="1091"/>
      <c r="WHL308" s="1091"/>
      <c r="WHM308" s="1091"/>
      <c r="WHN308" s="1091"/>
      <c r="WHO308" s="1091"/>
      <c r="WHP308" s="1091"/>
      <c r="WHQ308" s="1091"/>
      <c r="WHR308" s="1091"/>
      <c r="WHS308" s="1091"/>
      <c r="WHT308" s="1091"/>
      <c r="WHU308" s="1091"/>
      <c r="WHV308" s="1091"/>
      <c r="WHW308" s="1091"/>
      <c r="WHX308" s="1091"/>
      <c r="WHY308" s="1091"/>
      <c r="WHZ308" s="1091"/>
      <c r="WIA308" s="1091"/>
      <c r="WIB308" s="1091"/>
      <c r="WIC308" s="1091"/>
      <c r="WID308" s="1091"/>
      <c r="WIE308" s="1091"/>
      <c r="WIF308" s="1091"/>
      <c r="WIG308" s="1091"/>
      <c r="WIH308" s="1091"/>
      <c r="WII308" s="1091"/>
      <c r="WIJ308" s="1091"/>
      <c r="WIK308" s="1091"/>
      <c r="WIL308" s="1091"/>
      <c r="WIM308" s="1091"/>
      <c r="WIN308" s="1091"/>
      <c r="WIO308" s="1091"/>
      <c r="WIP308" s="1091"/>
      <c r="WIQ308" s="1091"/>
      <c r="WIR308" s="1091"/>
      <c r="WIS308" s="1091"/>
      <c r="WIT308" s="1091"/>
      <c r="WIU308" s="1091"/>
      <c r="WIV308" s="1091"/>
      <c r="WIW308" s="1091"/>
      <c r="WIX308" s="1091"/>
      <c r="WIY308" s="1091"/>
      <c r="WIZ308" s="1091"/>
      <c r="WJA308" s="1091"/>
      <c r="WJB308" s="1091"/>
      <c r="WJC308" s="1091"/>
      <c r="WJD308" s="1091"/>
      <c r="WJE308" s="1091"/>
      <c r="WJF308" s="1091"/>
      <c r="WJG308" s="1091"/>
      <c r="WJH308" s="1091"/>
      <c r="WJI308" s="1091"/>
      <c r="WJJ308" s="1091"/>
      <c r="WJK308" s="1091"/>
      <c r="WJL308" s="1091"/>
      <c r="WJM308" s="1091"/>
      <c r="WJN308" s="1091"/>
      <c r="WJO308" s="1091"/>
      <c r="WJP308" s="1091"/>
      <c r="WJQ308" s="1091"/>
      <c r="WJR308" s="1091"/>
      <c r="WJS308" s="1091"/>
      <c r="WJT308" s="1091"/>
      <c r="WJU308" s="1091"/>
      <c r="WJV308" s="1091"/>
      <c r="WJW308" s="1091"/>
      <c r="WJX308" s="1091"/>
      <c r="WJY308" s="1091"/>
      <c r="WJZ308" s="1091"/>
      <c r="WKA308" s="1091"/>
      <c r="WKB308" s="1091"/>
      <c r="WKC308" s="1091"/>
      <c r="WKD308" s="1091"/>
      <c r="WKE308" s="1091"/>
      <c r="WKF308" s="1091"/>
      <c r="WKG308" s="1091"/>
      <c r="WKH308" s="1091"/>
      <c r="WKI308" s="1091"/>
      <c r="WKJ308" s="1091"/>
      <c r="WKK308" s="1091"/>
      <c r="WKL308" s="1091"/>
      <c r="WKM308" s="1091"/>
      <c r="WKN308" s="1091"/>
      <c r="WKO308" s="1091"/>
      <c r="WKP308" s="1091"/>
      <c r="WKQ308" s="1091"/>
      <c r="WKR308" s="1091"/>
      <c r="WKS308" s="1091"/>
      <c r="WKT308" s="1091"/>
      <c r="WKU308" s="1091"/>
      <c r="WKV308" s="1091"/>
      <c r="WKW308" s="1091"/>
      <c r="WKX308" s="1091"/>
      <c r="WKY308" s="1091"/>
      <c r="WKZ308" s="1091"/>
      <c r="WLA308" s="1091"/>
      <c r="WLB308" s="1091"/>
      <c r="WLC308" s="1091"/>
      <c r="WLD308" s="1091"/>
      <c r="WLE308" s="1091"/>
      <c r="WLF308" s="1091"/>
      <c r="WLG308" s="1091"/>
      <c r="WLH308" s="1091"/>
      <c r="WLI308" s="1091"/>
      <c r="WLJ308" s="1091"/>
      <c r="WLK308" s="1091"/>
      <c r="WLL308" s="1091"/>
      <c r="WLM308" s="1091"/>
      <c r="WLN308" s="1091"/>
      <c r="WLO308" s="1091"/>
      <c r="WLP308" s="1091"/>
      <c r="WLQ308" s="1091"/>
      <c r="WLR308" s="1091"/>
      <c r="WLS308" s="1091"/>
      <c r="WLT308" s="1091"/>
      <c r="WLU308" s="1091"/>
      <c r="WLV308" s="1091"/>
      <c r="WLW308" s="1091"/>
      <c r="WLX308" s="1091"/>
      <c r="WLY308" s="1091"/>
      <c r="WLZ308" s="1091"/>
      <c r="WMA308" s="1091"/>
      <c r="WMB308" s="1091"/>
      <c r="WMC308" s="1091"/>
      <c r="WMD308" s="1091"/>
      <c r="WME308" s="1091"/>
      <c r="WMF308" s="1091"/>
      <c r="WMG308" s="1091"/>
      <c r="WMH308" s="1091"/>
      <c r="WMI308" s="1091"/>
      <c r="WMJ308" s="1091"/>
      <c r="WMK308" s="1091"/>
      <c r="WML308" s="1091"/>
      <c r="WMM308" s="1091"/>
      <c r="WMN308" s="1091"/>
      <c r="WMO308" s="1091"/>
      <c r="WMP308" s="1091"/>
      <c r="WMQ308" s="1091"/>
      <c r="WMR308" s="1091"/>
      <c r="WMS308" s="1091"/>
      <c r="WMT308" s="1091"/>
      <c r="WMU308" s="1091"/>
      <c r="WMV308" s="1091"/>
      <c r="WMW308" s="1091"/>
      <c r="WMX308" s="1091"/>
      <c r="WMY308" s="1091"/>
      <c r="WMZ308" s="1091"/>
      <c r="WNA308" s="1091"/>
      <c r="WNB308" s="1091"/>
      <c r="WNC308" s="1091"/>
      <c r="WND308" s="1091"/>
      <c r="WNE308" s="1091"/>
      <c r="WNF308" s="1091"/>
      <c r="WNG308" s="1091"/>
      <c r="WNH308" s="1091"/>
      <c r="WNI308" s="1091"/>
      <c r="WNJ308" s="1091"/>
      <c r="WNK308" s="1091"/>
      <c r="WNL308" s="1091"/>
      <c r="WNM308" s="1091"/>
      <c r="WNN308" s="1091"/>
      <c r="WNO308" s="1091"/>
      <c r="WNP308" s="1091"/>
      <c r="WNQ308" s="1091"/>
      <c r="WNR308" s="1091"/>
      <c r="WNS308" s="1091"/>
      <c r="WNT308" s="1091"/>
      <c r="WNU308" s="1091"/>
      <c r="WNV308" s="1091"/>
      <c r="WNW308" s="1091"/>
      <c r="WNX308" s="1091"/>
      <c r="WNY308" s="1091"/>
      <c r="WNZ308" s="1091"/>
      <c r="WOA308" s="1091"/>
      <c r="WOB308" s="1091"/>
      <c r="WOC308" s="1091"/>
      <c r="WOD308" s="1091"/>
      <c r="WOE308" s="1091"/>
      <c r="WOF308" s="1091"/>
      <c r="WOG308" s="1091"/>
      <c r="WOH308" s="1091"/>
      <c r="WOI308" s="1091"/>
      <c r="WOJ308" s="1091"/>
      <c r="WOK308" s="1091"/>
      <c r="WOL308" s="1091"/>
      <c r="WOM308" s="1091"/>
      <c r="WON308" s="1091"/>
      <c r="WOO308" s="1091"/>
      <c r="WOP308" s="1091"/>
      <c r="WOQ308" s="1091"/>
      <c r="WOR308" s="1091"/>
      <c r="WOS308" s="1091"/>
      <c r="WOT308" s="1091"/>
      <c r="WOU308" s="1091"/>
      <c r="WOV308" s="1091"/>
      <c r="WOW308" s="1091"/>
      <c r="WOX308" s="1091"/>
      <c r="WOY308" s="1091"/>
      <c r="WOZ308" s="1091"/>
      <c r="WPA308" s="1091"/>
      <c r="WPB308" s="1091"/>
      <c r="WPC308" s="1091"/>
      <c r="WPD308" s="1091"/>
      <c r="WPE308" s="1091"/>
      <c r="WPF308" s="1091"/>
      <c r="WPG308" s="1091"/>
      <c r="WPH308" s="1091"/>
      <c r="WPI308" s="1091"/>
      <c r="WPJ308" s="1091"/>
      <c r="WPK308" s="1091"/>
      <c r="WPL308" s="1091"/>
      <c r="WPM308" s="1091"/>
      <c r="WPN308" s="1091"/>
      <c r="WPO308" s="1091"/>
      <c r="WPP308" s="1091"/>
      <c r="WPQ308" s="1091"/>
      <c r="WPR308" s="1091"/>
      <c r="WPS308" s="1091"/>
      <c r="WPT308" s="1091"/>
      <c r="WPU308" s="1091"/>
      <c r="WPV308" s="1091"/>
      <c r="WPW308" s="1091"/>
      <c r="WPX308" s="1091"/>
      <c r="WPY308" s="1091"/>
      <c r="WPZ308" s="1091"/>
      <c r="WQA308" s="1091"/>
      <c r="WQB308" s="1091"/>
      <c r="WQC308" s="1091"/>
      <c r="WQD308" s="1091"/>
      <c r="WQE308" s="1091"/>
      <c r="WQF308" s="1091"/>
      <c r="WQG308" s="1091"/>
      <c r="WQH308" s="1091"/>
      <c r="WQI308" s="1091"/>
      <c r="WQJ308" s="1091"/>
      <c r="WQK308" s="1091"/>
      <c r="WQL308" s="1091"/>
      <c r="WQM308" s="1091"/>
      <c r="WQN308" s="1091"/>
      <c r="WQO308" s="1091"/>
      <c r="WQP308" s="1091"/>
      <c r="WQQ308" s="1091"/>
      <c r="WQR308" s="1091"/>
      <c r="WQS308" s="1091"/>
      <c r="WQT308" s="1091"/>
      <c r="WQU308" s="1091"/>
      <c r="WQV308" s="1091"/>
      <c r="WQW308" s="1091"/>
      <c r="WQX308" s="1091"/>
      <c r="WQY308" s="1091"/>
      <c r="WQZ308" s="1091"/>
      <c r="WRA308" s="1091"/>
      <c r="WRB308" s="1091"/>
      <c r="WRC308" s="1091"/>
      <c r="WRD308" s="1091"/>
      <c r="WRE308" s="1091"/>
      <c r="WRF308" s="1091"/>
      <c r="WRG308" s="1091"/>
      <c r="WRH308" s="1091"/>
      <c r="WRI308" s="1091"/>
      <c r="WRJ308" s="1091"/>
      <c r="WRK308" s="1091"/>
      <c r="WRL308" s="1091"/>
      <c r="WRM308" s="1091"/>
      <c r="WRN308" s="1091"/>
      <c r="WRO308" s="1091"/>
      <c r="WRP308" s="1091"/>
      <c r="WRQ308" s="1091"/>
      <c r="WRR308" s="1091"/>
      <c r="WRS308" s="1091"/>
      <c r="WRT308" s="1091"/>
      <c r="WRU308" s="1091"/>
      <c r="WRV308" s="1091"/>
      <c r="WRW308" s="1091"/>
      <c r="WRX308" s="1091"/>
      <c r="WRY308" s="1091"/>
      <c r="WRZ308" s="1091"/>
      <c r="WSA308" s="1091"/>
      <c r="WSB308" s="1091"/>
      <c r="WSC308" s="1091"/>
      <c r="WSD308" s="1091"/>
      <c r="WSE308" s="1091"/>
      <c r="WSF308" s="1091"/>
      <c r="WSG308" s="1091"/>
      <c r="WSH308" s="1091"/>
      <c r="WSI308" s="1091"/>
      <c r="WSJ308" s="1091"/>
      <c r="WSK308" s="1091"/>
      <c r="WSL308" s="1091"/>
      <c r="WSM308" s="1091"/>
      <c r="WSN308" s="1091"/>
      <c r="WSO308" s="1091"/>
      <c r="WSP308" s="1091"/>
      <c r="WSQ308" s="1091"/>
      <c r="WSR308" s="1091"/>
      <c r="WSS308" s="1091"/>
      <c r="WST308" s="1091"/>
      <c r="WSU308" s="1091"/>
      <c r="WSV308" s="1091"/>
      <c r="WSW308" s="1091"/>
      <c r="WSX308" s="1091"/>
      <c r="WSY308" s="1091"/>
      <c r="WSZ308" s="1091"/>
      <c r="WTA308" s="1091"/>
      <c r="WTB308" s="1091"/>
      <c r="WTC308" s="1091"/>
      <c r="WTD308" s="1091"/>
      <c r="WTE308" s="1091"/>
      <c r="WTF308" s="1091"/>
      <c r="WTG308" s="1091"/>
      <c r="WTH308" s="1091"/>
      <c r="WTI308" s="1091"/>
      <c r="WTJ308" s="1091"/>
      <c r="WTK308" s="1091"/>
      <c r="WTL308" s="1091"/>
      <c r="WTM308" s="1091"/>
      <c r="WTN308" s="1091"/>
      <c r="WTO308" s="1091"/>
      <c r="WTP308" s="1091"/>
      <c r="WTQ308" s="1091"/>
      <c r="WTR308" s="1091"/>
      <c r="WTS308" s="1091"/>
      <c r="WTT308" s="1091"/>
      <c r="WTU308" s="1091"/>
      <c r="WTV308" s="1091"/>
      <c r="WTW308" s="1091"/>
      <c r="WTX308" s="1091"/>
      <c r="WTY308" s="1091"/>
      <c r="WTZ308" s="1091"/>
      <c r="WUA308" s="1091"/>
      <c r="WUB308" s="1091"/>
      <c r="WUC308" s="1091"/>
      <c r="WUD308" s="1091"/>
      <c r="WUE308" s="1091"/>
      <c r="WUF308" s="1091"/>
      <c r="WUG308" s="1091"/>
      <c r="WUH308" s="1091"/>
      <c r="WUI308" s="1091"/>
      <c r="WUJ308" s="1091"/>
      <c r="WUK308" s="1091"/>
      <c r="WUL308" s="1091"/>
      <c r="WUM308" s="1091"/>
      <c r="WUN308" s="1091"/>
      <c r="WUO308" s="1091"/>
      <c r="WUP308" s="1091"/>
      <c r="WUQ308" s="1091"/>
      <c r="WUR308" s="1091"/>
      <c r="WUS308" s="1091"/>
      <c r="WUT308" s="1091"/>
      <c r="WUU308" s="1091"/>
      <c r="WUV308" s="1091"/>
      <c r="WUW308" s="1091"/>
      <c r="WUX308" s="1091"/>
      <c r="WUY308" s="1091"/>
      <c r="WUZ308" s="1091"/>
      <c r="WVA308" s="1091"/>
      <c r="WVB308" s="1091"/>
      <c r="WVC308" s="1091"/>
      <c r="WVD308" s="1091"/>
      <c r="WVE308" s="1091"/>
      <c r="WVF308" s="1091"/>
      <c r="WVG308" s="1091"/>
      <c r="WVH308" s="1091"/>
      <c r="WVI308" s="1091"/>
      <c r="WVJ308" s="1091"/>
      <c r="WVK308" s="1091"/>
      <c r="WVL308" s="1091"/>
      <c r="WVM308" s="1091"/>
      <c r="WVN308" s="1091"/>
      <c r="WVO308" s="1091"/>
      <c r="WVP308" s="1091"/>
      <c r="WVQ308" s="1091"/>
      <c r="WVR308" s="1091"/>
      <c r="WVS308" s="1091"/>
      <c r="WVT308" s="1091"/>
      <c r="WVU308" s="1091"/>
      <c r="WVV308" s="1091"/>
      <c r="WVW308" s="1091"/>
      <c r="WVX308" s="1091"/>
      <c r="WVY308" s="1091"/>
      <c r="WVZ308" s="1091"/>
      <c r="WWA308" s="1091"/>
      <c r="WWB308" s="1091"/>
      <c r="WWC308" s="1091"/>
      <c r="WWD308" s="1091"/>
      <c r="WWE308" s="1091"/>
      <c r="WWF308" s="1091"/>
      <c r="WWG308" s="1091"/>
      <c r="WWH308" s="1091"/>
      <c r="WWI308" s="1091"/>
      <c r="WWJ308" s="1091"/>
      <c r="WWK308" s="1091"/>
      <c r="WWL308" s="1091"/>
      <c r="WWM308" s="1091"/>
      <c r="WWN308" s="1091"/>
      <c r="WWO308" s="1091"/>
      <c r="WWP308" s="1091"/>
      <c r="WWQ308" s="1091"/>
      <c r="WWR308" s="1091"/>
      <c r="WWS308" s="1091"/>
      <c r="WWT308" s="1091"/>
      <c r="WWU308" s="1091"/>
      <c r="WWV308" s="1091"/>
      <c r="WWW308" s="1091"/>
      <c r="WWX308" s="1091"/>
      <c r="WWY308" s="1091"/>
      <c r="WWZ308" s="1091"/>
      <c r="WXA308" s="1091"/>
      <c r="WXB308" s="1091"/>
      <c r="WXC308" s="1091"/>
      <c r="WXD308" s="1091"/>
      <c r="WXE308" s="1091"/>
      <c r="WXF308" s="1091"/>
      <c r="WXG308" s="1091"/>
      <c r="WXH308" s="1091"/>
      <c r="WXI308" s="1091"/>
      <c r="WXJ308" s="1091"/>
      <c r="WXK308" s="1091"/>
      <c r="WXL308" s="1091"/>
      <c r="WXM308" s="1091"/>
      <c r="WXN308" s="1091"/>
      <c r="WXO308" s="1091"/>
      <c r="WXP308" s="1091"/>
      <c r="WXQ308" s="1091"/>
      <c r="WXR308" s="1091"/>
      <c r="WXS308" s="1091"/>
      <c r="WXT308" s="1091"/>
      <c r="WXU308" s="1091"/>
      <c r="WXV308" s="1091"/>
      <c r="WXW308" s="1091"/>
      <c r="WXX308" s="1091"/>
      <c r="WXY308" s="1091"/>
      <c r="WXZ308" s="1091"/>
      <c r="WYA308" s="1091"/>
      <c r="WYB308" s="1091"/>
      <c r="WYC308" s="1091"/>
      <c r="WYD308" s="1091"/>
      <c r="WYE308" s="1091"/>
      <c r="WYF308" s="1091"/>
      <c r="WYG308" s="1091"/>
      <c r="WYH308" s="1091"/>
      <c r="WYI308" s="1091"/>
      <c r="WYJ308" s="1091"/>
      <c r="WYK308" s="1091"/>
      <c r="WYL308" s="1091"/>
      <c r="WYM308" s="1091"/>
      <c r="WYN308" s="1091"/>
      <c r="WYO308" s="1091"/>
      <c r="WYP308" s="1091"/>
      <c r="WYQ308" s="1091"/>
      <c r="WYR308" s="1091"/>
      <c r="WYS308" s="1091"/>
      <c r="WYT308" s="1091"/>
      <c r="WYU308" s="1091"/>
      <c r="WYV308" s="1091"/>
      <c r="WYW308" s="1091"/>
      <c r="WYX308" s="1091"/>
      <c r="WYY308" s="1091"/>
      <c r="WYZ308" s="1091"/>
      <c r="WZA308" s="1091"/>
      <c r="WZB308" s="1091"/>
      <c r="WZC308" s="1091"/>
      <c r="WZD308" s="1091"/>
      <c r="WZE308" s="1091"/>
      <c r="WZF308" s="1091"/>
      <c r="WZG308" s="1091"/>
      <c r="WZH308" s="1091"/>
      <c r="WZI308" s="1091"/>
      <c r="WZJ308" s="1091"/>
      <c r="WZK308" s="1091"/>
      <c r="WZL308" s="1091"/>
      <c r="WZM308" s="1091"/>
      <c r="WZN308" s="1091"/>
      <c r="WZO308" s="1091"/>
      <c r="WZP308" s="1091"/>
      <c r="WZQ308" s="1091"/>
      <c r="WZR308" s="1091"/>
      <c r="WZS308" s="1091"/>
      <c r="WZT308" s="1091"/>
      <c r="WZU308" s="1091"/>
      <c r="WZV308" s="1091"/>
      <c r="WZW308" s="1091"/>
      <c r="WZX308" s="1091"/>
      <c r="WZY308" s="1091"/>
      <c r="WZZ308" s="1091"/>
      <c r="XAA308" s="1091"/>
      <c r="XAB308" s="1091"/>
      <c r="XAC308" s="1091"/>
      <c r="XAD308" s="1091"/>
      <c r="XAE308" s="1091"/>
      <c r="XAF308" s="1091"/>
      <c r="XAG308" s="1091"/>
      <c r="XAH308" s="1091"/>
      <c r="XAI308" s="1091"/>
      <c r="XAJ308" s="1091"/>
      <c r="XAK308" s="1091"/>
      <c r="XAL308" s="1091"/>
      <c r="XAM308" s="1091"/>
      <c r="XAN308" s="1091"/>
      <c r="XAO308" s="1091"/>
      <c r="XAP308" s="1091"/>
      <c r="XAQ308" s="1091"/>
      <c r="XAR308" s="1091"/>
      <c r="XAS308" s="1091"/>
      <c r="XAT308" s="1091"/>
      <c r="XAU308" s="1091"/>
      <c r="XAV308" s="1091"/>
      <c r="XAW308" s="1091"/>
      <c r="XAX308" s="1091"/>
      <c r="XAY308" s="1091"/>
      <c r="XAZ308" s="1091"/>
      <c r="XBA308" s="1091"/>
      <c r="XBB308" s="1091"/>
      <c r="XBC308" s="1091"/>
      <c r="XBD308" s="1091"/>
      <c r="XBE308" s="1091"/>
      <c r="XBF308" s="1091"/>
      <c r="XBG308" s="1091"/>
      <c r="XBH308" s="1091"/>
      <c r="XBI308" s="1091"/>
      <c r="XBJ308" s="1091"/>
      <c r="XBK308" s="1091"/>
      <c r="XBL308" s="1091"/>
      <c r="XBM308" s="1091"/>
      <c r="XBN308" s="1091"/>
      <c r="XBO308" s="1091"/>
      <c r="XBP308" s="1091"/>
      <c r="XBQ308" s="1091"/>
      <c r="XBR308" s="1091"/>
      <c r="XBS308" s="1091"/>
      <c r="XBT308" s="1091"/>
      <c r="XBU308" s="1091"/>
      <c r="XBV308" s="1091"/>
      <c r="XBW308" s="1091"/>
      <c r="XBX308" s="1091"/>
      <c r="XBY308" s="1091"/>
      <c r="XBZ308" s="1091"/>
      <c r="XCA308" s="1091"/>
      <c r="XCB308" s="1091"/>
      <c r="XCC308" s="1091"/>
      <c r="XCD308" s="1091"/>
      <c r="XCE308" s="1091"/>
      <c r="XCF308" s="1091"/>
      <c r="XCG308" s="1091"/>
      <c r="XCH308" s="1091"/>
      <c r="XCI308" s="1091"/>
      <c r="XCJ308" s="1091"/>
      <c r="XCK308" s="1091"/>
      <c r="XCL308" s="1091"/>
      <c r="XCM308" s="1091"/>
      <c r="XCN308" s="1091"/>
      <c r="XCO308" s="1091"/>
      <c r="XCP308" s="1091"/>
      <c r="XCQ308" s="1091"/>
      <c r="XCR308" s="1091"/>
      <c r="XCS308" s="1091"/>
      <c r="XCT308" s="1091"/>
      <c r="XCU308" s="1091"/>
      <c r="XCV308" s="1091"/>
      <c r="XCW308" s="1091"/>
      <c r="XCX308" s="1091"/>
      <c r="XCY308" s="1091"/>
      <c r="XCZ308" s="1091"/>
      <c r="XDA308" s="1091"/>
      <c r="XDB308" s="1091"/>
      <c r="XDC308" s="1091"/>
      <c r="XDD308" s="1091"/>
      <c r="XDE308" s="1091"/>
      <c r="XDF308" s="1091"/>
      <c r="XDG308" s="1091"/>
      <c r="XDH308" s="1091"/>
      <c r="XDI308" s="1091"/>
      <c r="XDJ308" s="1091"/>
      <c r="XDK308" s="1091"/>
      <c r="XDL308" s="1091"/>
      <c r="XDM308" s="1091"/>
      <c r="XDN308" s="1091"/>
      <c r="XDO308" s="1091"/>
      <c r="XDP308" s="1091"/>
      <c r="XDQ308" s="1091"/>
      <c r="XDR308" s="1091"/>
      <c r="XDS308" s="1091"/>
      <c r="XDT308" s="1091"/>
      <c r="XDU308" s="1091"/>
      <c r="XDV308" s="1091"/>
      <c r="XDW308" s="1091"/>
      <c r="XDX308" s="1091"/>
      <c r="XDY308" s="1091"/>
      <c r="XDZ308" s="1091"/>
      <c r="XEA308" s="1091"/>
      <c r="XEB308" s="1091"/>
      <c r="XEC308" s="1091"/>
      <c r="XED308" s="1091"/>
      <c r="XEE308" s="1091"/>
      <c r="XEF308" s="1091"/>
      <c r="XEG308" s="1091"/>
      <c r="XEH308" s="1091"/>
      <c r="XEI308" s="1091"/>
      <c r="XEJ308" s="1091"/>
      <c r="XEK308" s="1091"/>
      <c r="XEL308" s="1091"/>
      <c r="XEM308" s="1091"/>
      <c r="XEN308" s="1091"/>
      <c r="XEO308" s="1091"/>
      <c r="XEP308" s="1091"/>
      <c r="XEQ308" s="1091"/>
      <c r="XER308" s="1091"/>
      <c r="XES308" s="1091"/>
      <c r="XET308" s="1091"/>
      <c r="XEU308" s="1091"/>
      <c r="XEV308" s="1091"/>
      <c r="XEW308" s="1091"/>
      <c r="XEX308" s="1091"/>
      <c r="XEY308" s="1091"/>
      <c r="XEZ308" s="1091"/>
      <c r="XFA308" s="1091"/>
      <c r="XFB308" s="1091"/>
      <c r="XFC308" s="1091"/>
      <c r="XFD308" s="1091"/>
    </row>
    <row r="309" spans="1:16384">
      <c r="D309" s="1186" t="s">
        <v>393</v>
      </c>
      <c r="Q309" s="1196">
        <f>Q294+Q296-Q307</f>
        <v>8259.3947692302172</v>
      </c>
      <c r="R309" s="1158"/>
      <c r="S309" s="1161"/>
    </row>
    <row r="310" spans="1:16384">
      <c r="C310" s="1186"/>
      <c r="Q310" s="1225"/>
      <c r="R310" s="1158"/>
      <c r="S310" s="1161"/>
    </row>
    <row r="311" spans="1:16384">
      <c r="A311" s="1206"/>
      <c r="B311" s="1207"/>
      <c r="C311" s="1208" t="s">
        <v>2944</v>
      </c>
      <c r="D311" s="1209"/>
      <c r="E311" s="1209"/>
      <c r="F311" s="1209"/>
      <c r="G311" s="1209"/>
      <c r="H311" s="1209"/>
      <c r="I311" s="1210"/>
      <c r="J311" s="1209"/>
      <c r="K311" s="1209"/>
      <c r="L311" s="1209"/>
      <c r="M311" s="1209"/>
      <c r="N311" s="1209"/>
      <c r="O311" s="1209"/>
      <c r="P311" s="1209"/>
      <c r="Q311" s="1211">
        <f>+M203</f>
        <v>1158199.5943972969</v>
      </c>
      <c r="R311" s="1158"/>
      <c r="S311" s="1161"/>
    </row>
    <row r="312" spans="1:16384">
      <c r="B312" s="1219"/>
      <c r="C312" s="1220"/>
      <c r="D312" s="1090"/>
      <c r="E312" s="1090"/>
      <c r="F312" s="1090"/>
      <c r="G312" s="1090"/>
      <c r="H312" s="1090"/>
      <c r="I312" s="1221"/>
      <c r="J312" s="1090"/>
      <c r="K312" s="1090"/>
      <c r="L312" s="1090"/>
      <c r="M312" s="1090"/>
      <c r="N312" s="1090"/>
      <c r="O312" s="1090"/>
      <c r="P312" s="1090"/>
      <c r="R312" s="1158"/>
      <c r="S312" s="1161"/>
    </row>
    <row r="313" spans="1:16384">
      <c r="D313" s="1186" t="s">
        <v>2945</v>
      </c>
      <c r="Q313" s="1187">
        <v>198003.39000000004</v>
      </c>
      <c r="R313" s="1158"/>
      <c r="S313" s="1161"/>
    </row>
    <row r="314" spans="1:16384">
      <c r="D314" s="1222" t="s">
        <v>2946</v>
      </c>
      <c r="R314" s="1158"/>
      <c r="S314" s="1161"/>
    </row>
    <row r="315" spans="1:16384">
      <c r="C315" s="1186"/>
      <c r="D315" s="1186"/>
      <c r="Q315" s="1188"/>
      <c r="R315" s="1158"/>
      <c r="S315" s="1161"/>
    </row>
    <row r="316" spans="1:16384" s="1224" customFormat="1">
      <c r="B316" s="1223"/>
      <c r="D316" s="1088"/>
      <c r="E316" s="1088"/>
      <c r="F316" s="1088"/>
      <c r="G316" s="1088"/>
      <c r="H316" s="1088"/>
      <c r="I316" s="1089"/>
      <c r="J316" s="1088"/>
      <c r="K316" s="1088"/>
      <c r="L316" s="1088"/>
      <c r="M316" s="1088"/>
      <c r="N316" s="1088"/>
      <c r="O316" s="1088"/>
      <c r="P316" s="1088"/>
      <c r="Q316" s="1189" t="s">
        <v>2925</v>
      </c>
      <c r="R316" s="1226"/>
      <c r="S316" s="1111"/>
    </row>
    <row r="317" spans="1:16384">
      <c r="C317" s="1191">
        <v>70010</v>
      </c>
      <c r="D317" s="1186" t="s">
        <v>17</v>
      </c>
      <c r="E317" s="1095"/>
      <c r="F317" s="1095"/>
      <c r="G317" s="1095"/>
      <c r="H317" s="1095"/>
      <c r="I317" s="1096"/>
      <c r="J317" s="1095"/>
      <c r="K317" s="1095"/>
      <c r="L317" s="1095"/>
      <c r="M317" s="1095"/>
      <c r="N317" s="1095"/>
      <c r="O317" s="1095"/>
      <c r="P317" s="1095"/>
      <c r="Q317" s="1190">
        <f>+IFERROR(VLOOKUP(C317,'2183 IS 2018'!$D:$AH,31,FALSE),0)</f>
        <v>688164.41999999993</v>
      </c>
      <c r="R317" s="1158"/>
      <c r="S317" s="1161"/>
    </row>
    <row r="318" spans="1:16384">
      <c r="C318" s="1191">
        <v>70020</v>
      </c>
      <c r="D318" s="1191" t="s">
        <v>24</v>
      </c>
      <c r="E318" s="1095"/>
      <c r="F318" s="1095"/>
      <c r="G318" s="1095"/>
      <c r="H318" s="1095"/>
      <c r="I318" s="1096"/>
      <c r="J318" s="1095"/>
      <c r="K318" s="1095"/>
      <c r="L318" s="1095"/>
      <c r="M318" s="1095"/>
      <c r="N318" s="1095"/>
      <c r="O318" s="1095"/>
      <c r="P318" s="1095"/>
      <c r="Q318" s="1190">
        <f>+IFERROR(VLOOKUP(C318,'2183 IS 2018'!$D:$AH,31,FALSE),0)</f>
        <v>560957.7300000001</v>
      </c>
      <c r="R318" s="1158"/>
      <c r="S318" s="1161"/>
    </row>
    <row r="319" spans="1:16384">
      <c r="C319" s="1191">
        <v>70025</v>
      </c>
      <c r="D319" s="1191" t="s">
        <v>25</v>
      </c>
      <c r="E319" s="1095"/>
      <c r="F319" s="1095"/>
      <c r="G319" s="1095"/>
      <c r="H319" s="1095"/>
      <c r="I319" s="1096"/>
      <c r="J319" s="1095"/>
      <c r="K319" s="1095"/>
      <c r="L319" s="1095"/>
      <c r="M319" s="1095"/>
      <c r="N319" s="1095"/>
      <c r="O319" s="1095"/>
      <c r="P319" s="1095"/>
      <c r="Q319" s="1190">
        <f>+IFERROR(VLOOKUP(C319,'2183 IS 2018'!$D:$AH,31,FALSE),0)</f>
        <v>61052.280000000006</v>
      </c>
      <c r="R319" s="1158"/>
      <c r="S319" s="1161"/>
    </row>
    <row r="320" spans="1:16384">
      <c r="C320" s="1191">
        <v>70036</v>
      </c>
      <c r="D320" s="1194" t="s">
        <v>2947</v>
      </c>
      <c r="E320" s="1095"/>
      <c r="F320" s="1095"/>
      <c r="G320" s="1095"/>
      <c r="H320" s="1095"/>
      <c r="I320" s="1096"/>
      <c r="J320" s="1095"/>
      <c r="K320" s="1095"/>
      <c r="L320" s="1095"/>
      <c r="M320" s="1095"/>
      <c r="N320" s="1095"/>
      <c r="O320" s="1095"/>
      <c r="P320" s="1095"/>
      <c r="Q320" s="1190">
        <f>+IFERROR(VLOOKUP(C320,'2183 IS 2018'!$D:$AH,31,FALSE),0)</f>
        <v>13731.35</v>
      </c>
      <c r="R320" s="1158"/>
      <c r="S320" s="1161"/>
    </row>
    <row r="321" spans="1:19">
      <c r="C321" s="1191">
        <v>70065</v>
      </c>
      <c r="D321" s="1191" t="s">
        <v>21</v>
      </c>
      <c r="E321" s="1095"/>
      <c r="F321" s="1095"/>
      <c r="G321" s="1095"/>
      <c r="H321" s="1095"/>
      <c r="I321" s="1096"/>
      <c r="J321" s="1095"/>
      <c r="K321" s="1095"/>
      <c r="L321" s="1095"/>
      <c r="M321" s="1095"/>
      <c r="N321" s="1095"/>
      <c r="O321" s="1095"/>
      <c r="P321" s="1095"/>
      <c r="Q321" s="1190">
        <f>+IFERROR(VLOOKUP(C321,'2183 IS 2018'!$D:$AH,31,FALSE),0)</f>
        <v>11581.47</v>
      </c>
      <c r="R321" s="1158"/>
      <c r="S321" s="1161"/>
    </row>
    <row r="322" spans="1:19">
      <c r="C322" s="1191">
        <v>70070</v>
      </c>
      <c r="D322" s="1191" t="s">
        <v>22</v>
      </c>
      <c r="E322" s="1095"/>
      <c r="F322" s="1095"/>
      <c r="G322" s="1095"/>
      <c r="H322" s="1095"/>
      <c r="I322" s="1096"/>
      <c r="J322" s="1095"/>
      <c r="K322" s="1095"/>
      <c r="L322" s="1095"/>
      <c r="M322" s="1095"/>
      <c r="N322" s="1095"/>
      <c r="O322" s="1095"/>
      <c r="P322" s="1095"/>
      <c r="Q322" s="1190">
        <f>+IFERROR(VLOOKUP(C322,'2183 IS 2018'!$D:$AH,31,FALSE),0)</f>
        <v>24657.500000000004</v>
      </c>
      <c r="R322" s="1158"/>
      <c r="S322" s="1161"/>
    </row>
    <row r="323" spans="1:19">
      <c r="D323" s="1091"/>
      <c r="E323" s="1095"/>
      <c r="F323" s="1095"/>
      <c r="G323" s="1095"/>
      <c r="H323" s="1095"/>
      <c r="I323" s="1096"/>
      <c r="J323" s="1095"/>
      <c r="K323" s="1095"/>
      <c r="L323" s="1095"/>
      <c r="M323" s="1095"/>
      <c r="N323" s="1095"/>
      <c r="O323" s="1095"/>
      <c r="P323" s="1095"/>
      <c r="Q323" s="1159">
        <f>SUM(Q317:Q322)</f>
        <v>1360144.75</v>
      </c>
      <c r="R323" s="1158"/>
      <c r="S323" s="1161"/>
    </row>
    <row r="324" spans="1:19">
      <c r="C324" s="1186"/>
      <c r="D324" s="1186"/>
      <c r="E324" s="1095"/>
      <c r="F324" s="1095"/>
      <c r="G324" s="1095"/>
      <c r="H324" s="1095"/>
      <c r="I324" s="1096"/>
      <c r="J324" s="1095"/>
      <c r="K324" s="1095"/>
      <c r="L324" s="1095"/>
      <c r="M324" s="1095"/>
      <c r="N324" s="1095"/>
      <c r="O324" s="1095"/>
      <c r="P324" s="1095"/>
      <c r="Q324" s="1097"/>
      <c r="R324" s="1158"/>
      <c r="S324" s="1161"/>
    </row>
    <row r="325" spans="1:19">
      <c r="D325" s="1186"/>
      <c r="E325" s="1095"/>
      <c r="F325" s="1095"/>
      <c r="G325" s="1095"/>
      <c r="H325" s="1095"/>
      <c r="I325" s="1096"/>
      <c r="J325" s="1095"/>
      <c r="K325" s="1095"/>
      <c r="L325" s="1095"/>
      <c r="M325" s="1095"/>
      <c r="N325" s="1095"/>
      <c r="O325" s="1095"/>
      <c r="P325" s="1095"/>
      <c r="Q325" s="1097"/>
      <c r="R325" s="1158"/>
      <c r="S325" s="1161"/>
    </row>
    <row r="326" spans="1:19">
      <c r="D326" s="1186" t="s">
        <v>393</v>
      </c>
      <c r="Q326" s="1188">
        <f>Q311+Q313-Q323</f>
        <v>-3941.7656027029734</v>
      </c>
      <c r="R326" s="1158"/>
      <c r="S326" s="1161"/>
    </row>
    <row r="327" spans="1:19">
      <c r="Q327" s="1225"/>
      <c r="R327" s="1158"/>
      <c r="S327" s="1161"/>
    </row>
    <row r="328" spans="1:19">
      <c r="D328" s="1091"/>
      <c r="E328" s="1091"/>
      <c r="F328" s="1091"/>
      <c r="G328" s="1091"/>
      <c r="H328" s="1091"/>
      <c r="I328" s="1092"/>
      <c r="J328" s="1091"/>
      <c r="K328" s="1091"/>
      <c r="L328" s="1091"/>
      <c r="M328" s="1091"/>
      <c r="N328" s="1091"/>
      <c r="O328" s="1091"/>
      <c r="P328" s="1091"/>
      <c r="Q328" s="1158"/>
      <c r="R328" s="1158"/>
      <c r="S328" s="1161"/>
    </row>
    <row r="329" spans="1:19">
      <c r="A329" s="1199"/>
      <c r="B329" s="1200"/>
      <c r="C329" s="1201" t="s">
        <v>2948</v>
      </c>
      <c r="D329" s="1202"/>
      <c r="E329" s="1202"/>
      <c r="F329" s="1202"/>
      <c r="G329" s="1202"/>
      <c r="H329" s="1202"/>
      <c r="I329" s="1203"/>
      <c r="J329" s="1202"/>
      <c r="K329" s="1202"/>
      <c r="L329" s="1202"/>
      <c r="M329" s="1202"/>
      <c r="N329" s="1202"/>
      <c r="O329" s="1202"/>
      <c r="P329" s="1202"/>
      <c r="Q329" s="1204">
        <f>+M161</f>
        <v>32501.339910000002</v>
      </c>
    </row>
    <row r="330" spans="1:19">
      <c r="D330" s="1091"/>
      <c r="E330" s="1091"/>
      <c r="F330" s="1091"/>
      <c r="G330" s="1091"/>
      <c r="H330" s="1091"/>
      <c r="I330" s="1092"/>
      <c r="J330" s="1091"/>
      <c r="K330" s="1091"/>
      <c r="L330" s="1091"/>
      <c r="M330" s="1091"/>
      <c r="N330" s="1091"/>
      <c r="O330" s="1091"/>
      <c r="P330" s="1091"/>
      <c r="R330" s="1158"/>
      <c r="S330" s="1161"/>
    </row>
    <row r="331" spans="1:19">
      <c r="D331" s="1186" t="s">
        <v>2924</v>
      </c>
      <c r="E331" s="1091"/>
      <c r="F331" s="1091"/>
      <c r="G331" s="1091"/>
      <c r="H331" s="1091"/>
      <c r="I331" s="1092"/>
      <c r="J331" s="1091"/>
      <c r="K331" s="1091"/>
      <c r="L331" s="1091"/>
      <c r="M331" s="1091"/>
      <c r="N331" s="1091"/>
      <c r="O331" s="1091"/>
      <c r="P331" s="1091"/>
      <c r="Q331" s="1187">
        <v>-1917.1</v>
      </c>
      <c r="R331" s="1158"/>
      <c r="S331" s="1161"/>
    </row>
    <row r="332" spans="1:19">
      <c r="D332" s="1186" t="s">
        <v>2928</v>
      </c>
      <c r="E332" s="1091"/>
      <c r="F332" s="1091"/>
      <c r="G332" s="1091"/>
      <c r="H332" s="1091"/>
      <c r="I332" s="1092"/>
      <c r="J332" s="1091"/>
      <c r="K332" s="1091"/>
      <c r="L332" s="1091"/>
      <c r="M332" s="1091"/>
      <c r="N332" s="1091"/>
      <c r="O332" s="1091"/>
      <c r="P332" s="1091"/>
      <c r="R332" s="1158"/>
      <c r="S332" s="1161"/>
    </row>
    <row r="333" spans="1:19">
      <c r="D333" s="1186"/>
      <c r="E333" s="1091"/>
      <c r="F333" s="1091"/>
      <c r="G333" s="1091"/>
      <c r="H333" s="1091"/>
      <c r="I333" s="1092"/>
      <c r="J333" s="1091"/>
      <c r="K333" s="1091"/>
      <c r="L333" s="1091"/>
      <c r="M333" s="1091"/>
      <c r="N333" s="1091"/>
      <c r="O333" s="1091"/>
      <c r="P333" s="1091"/>
      <c r="Q333" s="1188"/>
      <c r="R333" s="1158"/>
      <c r="S333" s="1161"/>
    </row>
    <row r="334" spans="1:19">
      <c r="D334" s="1091"/>
      <c r="E334" s="1091"/>
      <c r="F334" s="1091"/>
      <c r="G334" s="1091"/>
      <c r="H334" s="1091"/>
      <c r="I334" s="1092"/>
      <c r="J334" s="1091"/>
      <c r="K334" s="1091"/>
      <c r="L334" s="1091"/>
      <c r="M334" s="1091"/>
      <c r="N334" s="1091"/>
      <c r="O334" s="1091"/>
      <c r="P334" s="1091"/>
      <c r="Q334" s="1188"/>
      <c r="R334" s="1158"/>
      <c r="S334" s="1161"/>
    </row>
    <row r="335" spans="1:19">
      <c r="C335" s="1191"/>
      <c r="D335" s="1191"/>
      <c r="E335" s="1091"/>
      <c r="F335" s="1091"/>
      <c r="G335" s="1091"/>
      <c r="H335" s="1091"/>
      <c r="I335" s="1092"/>
      <c r="J335" s="1091"/>
      <c r="K335" s="1091"/>
      <c r="L335" s="1091"/>
      <c r="M335" s="1091"/>
      <c r="N335" s="1091"/>
      <c r="O335" s="1091"/>
      <c r="P335" s="1091"/>
      <c r="Q335" s="1189" t="s">
        <v>2925</v>
      </c>
      <c r="R335" s="1158"/>
      <c r="S335" s="1161"/>
    </row>
    <row r="336" spans="1:19">
      <c r="C336" s="1191">
        <v>55020</v>
      </c>
      <c r="D336" s="1191" t="s">
        <v>24</v>
      </c>
      <c r="E336" s="1091"/>
      <c r="F336" s="1091"/>
      <c r="G336" s="1091"/>
      <c r="H336" s="1091"/>
      <c r="I336" s="1092"/>
      <c r="J336" s="1091"/>
      <c r="K336" s="1091"/>
      <c r="L336" s="1091"/>
      <c r="M336" s="1091"/>
      <c r="N336" s="1091"/>
      <c r="O336" s="1091"/>
      <c r="P336" s="1091"/>
      <c r="Q336" s="1190">
        <f>+IFERROR(VLOOKUP(C336,'2183 IS 2018'!$D:$AH,31,FALSE),0)</f>
        <v>3598.9100000000003</v>
      </c>
      <c r="R336" s="1158"/>
      <c r="S336" s="1161"/>
    </row>
    <row r="337" spans="3:19">
      <c r="C337" s="1191">
        <v>55025</v>
      </c>
      <c r="D337" s="1191" t="s">
        <v>25</v>
      </c>
      <c r="E337" s="1091"/>
      <c r="F337" s="1091"/>
      <c r="G337" s="1091"/>
      <c r="H337" s="1091"/>
      <c r="I337" s="1092"/>
      <c r="J337" s="1091"/>
      <c r="K337" s="1091"/>
      <c r="L337" s="1091"/>
      <c r="M337" s="1091"/>
      <c r="N337" s="1091"/>
      <c r="O337" s="1091"/>
      <c r="P337" s="1091"/>
      <c r="Q337" s="1190">
        <f>+IFERROR(VLOOKUP(C337,'2183 IS 2018'!$D:$AH,31,FALSE),0)</f>
        <v>469.96</v>
      </c>
      <c r="R337" s="1158"/>
      <c r="S337" s="1161"/>
    </row>
    <row r="338" spans="3:19">
      <c r="C338" s="1191">
        <v>55035</v>
      </c>
      <c r="D338" s="1194" t="s">
        <v>26</v>
      </c>
      <c r="E338" s="1091"/>
      <c r="F338" s="1091"/>
      <c r="G338" s="1091"/>
      <c r="H338" s="1091"/>
      <c r="I338" s="1092"/>
      <c r="J338" s="1091"/>
      <c r="K338" s="1091"/>
      <c r="L338" s="1091"/>
      <c r="M338" s="1091"/>
      <c r="N338" s="1091"/>
      <c r="O338" s="1091"/>
      <c r="P338" s="1091"/>
      <c r="Q338" s="1190">
        <f>+IFERROR(VLOOKUP(C338,'2183 IS 2018'!$D:$AH,31,FALSE),0)</f>
        <v>0</v>
      </c>
      <c r="R338" s="1158"/>
      <c r="S338" s="1161"/>
    </row>
    <row r="339" spans="3:19">
      <c r="C339" s="1191">
        <v>55036</v>
      </c>
      <c r="D339" s="1194" t="s">
        <v>2926</v>
      </c>
      <c r="E339" s="1091"/>
      <c r="F339" s="1091"/>
      <c r="G339" s="1091"/>
      <c r="H339" s="1091"/>
      <c r="I339" s="1092"/>
      <c r="J339" s="1091"/>
      <c r="K339" s="1091"/>
      <c r="L339" s="1091"/>
      <c r="M339" s="1091"/>
      <c r="N339" s="1091"/>
      <c r="O339" s="1091"/>
      <c r="P339" s="1091"/>
      <c r="Q339" s="1190">
        <f>+IFERROR(VLOOKUP(C339,'2183 IS 2018'!$D:$AH,31,FALSE),0)</f>
        <v>0</v>
      </c>
      <c r="R339" s="1158"/>
      <c r="S339" s="1161"/>
    </row>
    <row r="340" spans="3:19">
      <c r="C340" s="1191">
        <v>55065</v>
      </c>
      <c r="D340" s="1191" t="s">
        <v>21</v>
      </c>
      <c r="Q340" s="1190">
        <f>+IFERROR(VLOOKUP(C340,'2183 IS 2018'!$D:$AH,31,FALSE),0)</f>
        <v>363</v>
      </c>
      <c r="R340" s="1158"/>
      <c r="S340" s="1161"/>
    </row>
    <row r="341" spans="3:19">
      <c r="C341" s="1191">
        <v>52070</v>
      </c>
      <c r="D341" s="1191" t="s">
        <v>22</v>
      </c>
      <c r="Q341" s="1190">
        <f>+IFERROR(VLOOKUP(C341,'2183 IS 2018'!$D:$AH,31,FALSE),0)</f>
        <v>23159.05</v>
      </c>
      <c r="R341" s="1158"/>
      <c r="S341" s="1161"/>
    </row>
    <row r="342" spans="3:19">
      <c r="C342" s="1195"/>
      <c r="D342" s="1195"/>
      <c r="Q342" s="1159">
        <f>SUM(Q336:Q341)</f>
        <v>27590.92</v>
      </c>
      <c r="R342" s="1158"/>
      <c r="S342" s="1161"/>
    </row>
    <row r="343" spans="3:19">
      <c r="C343" s="1195"/>
      <c r="D343" s="1195"/>
      <c r="Q343" s="1097"/>
      <c r="R343" s="1158"/>
      <c r="S343" s="1161"/>
    </row>
    <row r="344" spans="3:19">
      <c r="C344" s="1195"/>
      <c r="D344" s="1205" t="s">
        <v>393</v>
      </c>
      <c r="Q344" s="1097"/>
      <c r="R344" s="1158"/>
      <c r="S344" s="1161"/>
    </row>
    <row r="345" spans="3:19">
      <c r="D345" s="1091"/>
      <c r="E345" s="1091"/>
      <c r="F345" s="1091"/>
      <c r="G345" s="1091"/>
      <c r="H345" s="1091"/>
      <c r="I345" s="1092"/>
      <c r="J345" s="1091"/>
      <c r="K345" s="1091"/>
      <c r="L345" s="1091"/>
      <c r="M345" s="1091"/>
      <c r="N345" s="1091"/>
      <c r="O345" s="1091"/>
      <c r="P345" s="1091"/>
      <c r="Q345" s="1188">
        <f>Q329+Q331-Q342</f>
        <v>2993.3199100000056</v>
      </c>
      <c r="R345" s="1158"/>
      <c r="S345" s="1161"/>
    </row>
    <row r="346" spans="3:19">
      <c r="D346" s="1091"/>
      <c r="E346" s="1091"/>
      <c r="F346" s="1091"/>
      <c r="G346" s="1091"/>
      <c r="H346" s="1091"/>
      <c r="I346" s="1092"/>
      <c r="J346" s="1091"/>
      <c r="K346" s="1091"/>
      <c r="L346" s="1091"/>
      <c r="M346" s="1091"/>
      <c r="N346" s="1091"/>
      <c r="O346" s="1091"/>
      <c r="P346" s="1091"/>
      <c r="Q346" s="1158"/>
      <c r="R346" s="1158"/>
      <c r="S346" s="1161"/>
    </row>
    <row r="347" spans="3:19">
      <c r="D347" s="1091"/>
      <c r="E347" s="1091"/>
      <c r="F347" s="1091"/>
      <c r="G347" s="1091"/>
      <c r="H347" s="1091"/>
      <c r="I347" s="1092"/>
      <c r="J347" s="1091"/>
      <c r="K347" s="1091"/>
      <c r="L347" s="1091"/>
      <c r="M347" s="1091"/>
      <c r="N347" s="1091"/>
      <c r="O347" s="1091"/>
      <c r="P347" s="1091"/>
      <c r="Q347" s="1158"/>
      <c r="R347" s="1158"/>
      <c r="S347" s="1161"/>
    </row>
    <row r="348" spans="3:19">
      <c r="D348" s="1091"/>
      <c r="E348" s="1091"/>
      <c r="F348" s="1091"/>
      <c r="G348" s="1091"/>
      <c r="H348" s="1091"/>
      <c r="I348" s="1092"/>
      <c r="J348" s="1091"/>
      <c r="K348" s="1091"/>
      <c r="L348" s="1091"/>
      <c r="M348" s="1091"/>
      <c r="N348" s="1091"/>
      <c r="O348" s="1091"/>
      <c r="P348" s="1091"/>
      <c r="Q348" s="1158"/>
      <c r="R348" s="1158"/>
      <c r="S348" s="1161"/>
    </row>
    <row r="349" spans="3:19">
      <c r="D349" s="1091"/>
      <c r="E349" s="1091"/>
      <c r="F349" s="1091"/>
      <c r="G349" s="1091"/>
      <c r="H349" s="1091"/>
      <c r="I349" s="1092"/>
      <c r="J349" s="1091"/>
      <c r="K349" s="1091"/>
      <c r="L349" s="1091"/>
      <c r="M349" s="1091"/>
      <c r="N349" s="1091"/>
      <c r="O349" s="1091"/>
      <c r="P349" s="1091"/>
      <c r="Q349" s="1158"/>
      <c r="R349" s="1158"/>
      <c r="S349" s="1161"/>
    </row>
    <row r="350" spans="3:19">
      <c r="D350" s="1091"/>
      <c r="E350" s="1091"/>
      <c r="F350" s="1091"/>
      <c r="G350" s="1091"/>
      <c r="H350" s="1091"/>
      <c r="I350" s="1092"/>
      <c r="J350" s="1091"/>
      <c r="K350" s="1091"/>
      <c r="L350" s="1091"/>
      <c r="M350" s="1091"/>
      <c r="N350" s="1091"/>
      <c r="O350" s="1091"/>
      <c r="P350" s="1091"/>
      <c r="Q350" s="1157">
        <f>+Q345+Q326+Q309+Q255+Q237+Q292</f>
        <v>-128666.30918946423</v>
      </c>
      <c r="R350" s="1158"/>
      <c r="S350" s="1161"/>
    </row>
    <row r="351" spans="3:19">
      <c r="D351" s="1091"/>
      <c r="E351" s="1091"/>
      <c r="F351" s="1091"/>
      <c r="G351" s="1091"/>
      <c r="H351" s="1091"/>
      <c r="I351" s="1092"/>
      <c r="J351" s="1091"/>
      <c r="K351" s="1091"/>
      <c r="L351" s="1091"/>
      <c r="M351" s="1091"/>
      <c r="N351" s="1091"/>
      <c r="O351" s="1091"/>
      <c r="P351" s="1091"/>
      <c r="Q351" s="1227">
        <f>+Q350/Q216</f>
        <v>-1.8324393552232924E-2</v>
      </c>
      <c r="R351" s="1228" t="s">
        <v>2949</v>
      </c>
      <c r="S351" s="1161"/>
    </row>
    <row r="352" spans="3:19">
      <c r="D352" s="1091"/>
      <c r="E352" s="1091"/>
      <c r="F352" s="1091"/>
      <c r="G352" s="1091"/>
      <c r="H352" s="1091"/>
      <c r="I352" s="1092"/>
      <c r="J352" s="1091"/>
      <c r="K352" s="1091"/>
      <c r="L352" s="1091"/>
      <c r="M352" s="1091"/>
      <c r="N352" s="1091"/>
      <c r="O352" s="1091"/>
      <c r="P352" s="1091"/>
      <c r="Q352" s="1225" t="s">
        <v>2950</v>
      </c>
      <c r="R352" s="1158"/>
      <c r="S352" s="1161"/>
    </row>
    <row r="353" spans="1:19">
      <c r="D353" s="1091"/>
      <c r="E353" s="1091"/>
      <c r="F353" s="1091"/>
      <c r="G353" s="1091"/>
      <c r="H353" s="1091"/>
      <c r="I353" s="1092"/>
      <c r="J353" s="1091"/>
      <c r="K353" s="1091"/>
      <c r="L353" s="1091"/>
      <c r="M353" s="1091"/>
      <c r="N353" s="1091"/>
      <c r="O353" s="1091"/>
      <c r="P353" s="1091"/>
      <c r="Q353" s="1158"/>
      <c r="R353" s="1158"/>
      <c r="S353" s="1161"/>
    </row>
    <row r="354" spans="1:19">
      <c r="A354" s="1087" t="s">
        <v>2951</v>
      </c>
      <c r="D354" s="1091"/>
      <c r="E354" s="1091"/>
      <c r="F354" s="1091"/>
      <c r="G354" s="1091"/>
      <c r="H354" s="1091"/>
      <c r="I354" s="1092"/>
      <c r="J354" s="1091"/>
      <c r="K354" s="1091"/>
      <c r="L354" s="1091"/>
      <c r="M354" s="1091"/>
      <c r="N354" s="1091"/>
      <c r="O354" s="1091"/>
      <c r="P354" s="1091"/>
      <c r="Q354" s="1158"/>
    </row>
    <row r="355" spans="1:19">
      <c r="A355" s="1229" t="s">
        <v>2949</v>
      </c>
      <c r="B355" s="1086" t="s">
        <v>2952</v>
      </c>
      <c r="D355" s="1091"/>
      <c r="E355" s="1091"/>
      <c r="F355" s="1091"/>
      <c r="G355" s="1091"/>
      <c r="H355" s="1091"/>
      <c r="I355" s="1092"/>
      <c r="J355" s="1091"/>
      <c r="K355" s="1091"/>
      <c r="L355" s="1091"/>
      <c r="M355" s="1091"/>
      <c r="N355" s="1091"/>
      <c r="O355" s="1091"/>
      <c r="P355" s="1091"/>
      <c r="Q355" s="1158"/>
    </row>
    <row r="356" spans="1:19">
      <c r="D356" s="1091"/>
      <c r="E356" s="1091"/>
      <c r="F356" s="1091"/>
      <c r="G356" s="1091"/>
      <c r="H356" s="1091"/>
      <c r="I356" s="1092"/>
      <c r="J356" s="1091"/>
      <c r="K356" s="1091"/>
      <c r="L356" s="1091"/>
      <c r="M356" s="1091"/>
      <c r="N356" s="1091"/>
      <c r="O356" s="1091"/>
      <c r="P356" s="1091"/>
      <c r="Q356" s="1158"/>
    </row>
    <row r="357" spans="1:19">
      <c r="D357" s="1091"/>
      <c r="E357" s="1091"/>
      <c r="F357" s="1091"/>
      <c r="G357" s="1091"/>
      <c r="H357" s="1091"/>
      <c r="I357" s="1092"/>
      <c r="J357" s="1091"/>
      <c r="K357" s="1091"/>
      <c r="L357" s="1091"/>
      <c r="M357" s="1091"/>
      <c r="N357" s="1091"/>
      <c r="O357" s="1091"/>
      <c r="P357" s="1091"/>
      <c r="Q357" s="1158"/>
    </row>
  </sheetData>
  <autoFilter ref="A13:Q207">
    <sortState ref="A9:AD82">
      <sortCondition sortBy="cellColor" ref="A8:A82" dxfId="24"/>
    </sortState>
  </autoFilter>
  <mergeCells count="1">
    <mergeCell ref="A220:D220"/>
  </mergeCells>
  <pageMargins left="0.75" right="0.75" top="1" bottom="1" header="0.5" footer="0.5"/>
  <pageSetup scale="35" pageOrder="overThenDown" orientation="landscape" r:id="rId1"/>
  <headerFooter alignWithMargins="0"/>
  <colBreaks count="1" manualBreakCount="1">
    <brk id="17" max="216"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7"/>
  <sheetViews>
    <sheetView showGridLines="0" tabSelected="1" view="pageBreakPreview" zoomScale="115" zoomScaleNormal="100" zoomScaleSheetLayoutView="115" workbookViewId="0">
      <selection activeCell="AR41" sqref="AR41"/>
    </sheetView>
  </sheetViews>
  <sheetFormatPr defaultRowHeight="15"/>
  <cols>
    <col min="4" max="5" width="11.140625" bestFit="1" customWidth="1"/>
    <col min="7" max="7" width="8.140625" bestFit="1" customWidth="1"/>
  </cols>
  <sheetData>
    <row r="1" spans="1:8">
      <c r="A1" s="705" t="s">
        <v>958</v>
      </c>
    </row>
    <row r="2" spans="1:8">
      <c r="A2" s="710" t="s">
        <v>959</v>
      </c>
    </row>
    <row r="3" spans="1:8">
      <c r="A3" s="710" t="s">
        <v>960</v>
      </c>
    </row>
    <row r="4" spans="1:8">
      <c r="A4" s="1074" t="s">
        <v>2696</v>
      </c>
    </row>
    <row r="6" spans="1:8">
      <c r="B6" s="712" t="s">
        <v>951</v>
      </c>
      <c r="C6" s="712"/>
      <c r="D6" s="701" t="s">
        <v>952</v>
      </c>
      <c r="E6" s="701" t="s">
        <v>953</v>
      </c>
      <c r="F6" s="701"/>
      <c r="G6" s="701"/>
      <c r="H6" s="646"/>
    </row>
    <row r="7" spans="1:8">
      <c r="B7" s="647" t="s">
        <v>615</v>
      </c>
      <c r="C7" s="648"/>
      <c r="D7" s="649">
        <f>+SUM(D8:D9)</f>
        <v>173931059.41613787</v>
      </c>
      <c r="E7" s="649">
        <f>+SUM(E8:E9)</f>
        <v>125882813.46984366</v>
      </c>
      <c r="F7" s="650"/>
      <c r="G7" s="651">
        <f>+G8+G9</f>
        <v>1</v>
      </c>
      <c r="H7" s="646"/>
    </row>
    <row r="8" spans="1:8">
      <c r="B8" s="652" t="s">
        <v>2</v>
      </c>
      <c r="C8" s="403"/>
      <c r="D8" s="653">
        <f>+[51]References!F63</f>
        <v>109504226.18905443</v>
      </c>
      <c r="E8" s="653">
        <f>+[51]References!G63</f>
        <v>79253815.424281389</v>
      </c>
      <c r="F8" s="653"/>
      <c r="G8" s="654">
        <f>+E8/E7</f>
        <v>0.62958408093784257</v>
      </c>
      <c r="H8" s="646"/>
    </row>
    <row r="9" spans="1:8">
      <c r="B9" s="652" t="s">
        <v>954</v>
      </c>
      <c r="C9" s="403"/>
      <c r="D9" s="653">
        <f>+[51]References!F64</f>
        <v>64426833.227083445</v>
      </c>
      <c r="E9" s="653">
        <f>+[51]References!G64</f>
        <v>46628998.045562275</v>
      </c>
      <c r="F9" s="655"/>
      <c r="G9" s="654">
        <f>+E9/E7</f>
        <v>0.37041591906215748</v>
      </c>
      <c r="H9" s="646"/>
    </row>
    <row r="10" spans="1:8">
      <c r="B10" s="647" t="s">
        <v>616</v>
      </c>
      <c r="C10" s="649"/>
      <c r="D10" s="649">
        <f>+SUM(D11:D12)</f>
        <v>15900867.17524226</v>
      </c>
      <c r="E10" s="649">
        <f>+SUM(E11:E12)</f>
        <v>11508271.744845491</v>
      </c>
      <c r="F10" s="651"/>
      <c r="G10" s="651">
        <f>+G11+G12</f>
        <v>1</v>
      </c>
      <c r="H10" s="646"/>
    </row>
    <row r="11" spans="1:8">
      <c r="B11" s="652" t="s">
        <v>2</v>
      </c>
      <c r="C11" s="653"/>
      <c r="D11" s="653">
        <f>+[51]References!F66</f>
        <v>11162931.959474204</v>
      </c>
      <c r="E11" s="653">
        <f>+[51]References!G66</f>
        <v>8079185.4332870636</v>
      </c>
      <c r="F11" s="403"/>
      <c r="G11" s="654">
        <f>+E11/$E$10</f>
        <v>0.70203290402016261</v>
      </c>
      <c r="H11" s="646"/>
    </row>
    <row r="12" spans="1:8">
      <c r="B12" s="652" t="s">
        <v>954</v>
      </c>
      <c r="C12" s="653"/>
      <c r="D12" s="653">
        <f>+[51]References!F67</f>
        <v>4737935.2157680551</v>
      </c>
      <c r="E12" s="653">
        <f>+[51]References!G67</f>
        <v>3429086.3115584264</v>
      </c>
      <c r="F12" s="403"/>
      <c r="G12" s="654">
        <f>+E12/$E$10</f>
        <v>0.29796709597983734</v>
      </c>
      <c r="H12" s="646"/>
    </row>
    <row r="13" spans="1:8">
      <c r="B13" s="647" t="s">
        <v>955</v>
      </c>
      <c r="C13" s="648"/>
      <c r="D13" s="649">
        <f>+SUM(D14:D15)</f>
        <v>1992971.3257525992</v>
      </c>
      <c r="E13" s="649">
        <f>+SUM(E14:E15)</f>
        <v>1442415.3943098676</v>
      </c>
      <c r="F13" s="650"/>
      <c r="G13" s="651">
        <f>+G14+G15</f>
        <v>1</v>
      </c>
      <c r="H13" s="646"/>
    </row>
    <row r="14" spans="1:8">
      <c r="B14" s="652" t="s">
        <v>2</v>
      </c>
      <c r="C14" s="403"/>
      <c r="D14" s="653">
        <f>+[51]References!F69</f>
        <v>1401887.6592188755</v>
      </c>
      <c r="E14" s="653">
        <f>+[51]References!G69</f>
        <v>1014617.8796560112</v>
      </c>
      <c r="F14" s="653"/>
      <c r="G14" s="654">
        <f>+E14/$E$13</f>
        <v>0.70341587011518358</v>
      </c>
      <c r="H14" s="646"/>
    </row>
    <row r="15" spans="1:8">
      <c r="B15" s="652" t="s">
        <v>954</v>
      </c>
      <c r="C15" s="403"/>
      <c r="D15" s="653">
        <f>+[51]References!F70</f>
        <v>591083.66653372359</v>
      </c>
      <c r="E15" s="653">
        <f>+[51]References!G70</f>
        <v>427797.5146538564</v>
      </c>
      <c r="F15" s="655"/>
      <c r="G15" s="654">
        <f>+E15/$E$13</f>
        <v>0.29658412988481636</v>
      </c>
      <c r="H15" s="646"/>
    </row>
    <row r="16" spans="1:8">
      <c r="B16" s="647" t="s">
        <v>619</v>
      </c>
      <c r="C16" s="648"/>
      <c r="D16" s="649">
        <f>+SUM(D17:D18)</f>
        <v>8821280.6761202775</v>
      </c>
      <c r="E16" s="649">
        <f>+SUM(E17:E18)</f>
        <v>6384412.5002446491</v>
      </c>
      <c r="F16" s="649"/>
      <c r="G16" s="651">
        <f>+G17+G18</f>
        <v>1</v>
      </c>
      <c r="H16" s="646"/>
    </row>
    <row r="17" spans="2:8">
      <c r="B17" s="652" t="s">
        <v>2</v>
      </c>
      <c r="C17" s="403"/>
      <c r="D17" s="653">
        <f>+[51]References!F72</f>
        <v>5925497.3035515565</v>
      </c>
      <c r="E17" s="653">
        <f>+[51]References!G72</f>
        <v>4288585.8010811014</v>
      </c>
      <c r="F17" s="655"/>
      <c r="G17" s="654">
        <f>+E17/$E$16</f>
        <v>0.67172755534150774</v>
      </c>
      <c r="H17" s="646"/>
    </row>
    <row r="18" spans="2:8">
      <c r="B18" s="652" t="s">
        <v>954</v>
      </c>
      <c r="C18" s="655"/>
      <c r="D18" s="653">
        <f>+[51]References!F73</f>
        <v>2895783.3725687205</v>
      </c>
      <c r="E18" s="653">
        <f>+[51]References!G73</f>
        <v>2095826.6991635473</v>
      </c>
      <c r="F18" s="656"/>
      <c r="G18" s="654">
        <f>+E18/$E$16</f>
        <v>0.3282724446584922</v>
      </c>
      <c r="H18" s="646"/>
    </row>
    <row r="19" spans="2:8">
      <c r="B19" s="652"/>
      <c r="C19" s="655"/>
      <c r="D19" s="653"/>
      <c r="E19" s="653"/>
      <c r="F19" s="656"/>
      <c r="G19" s="654"/>
      <c r="H19" s="646"/>
    </row>
    <row r="20" spans="2:8">
      <c r="B20" s="652"/>
      <c r="C20" s="711" t="s">
        <v>962</v>
      </c>
      <c r="D20" s="655">
        <f>+D16+D13+D10+D7</f>
        <v>200646178.59325302</v>
      </c>
      <c r="E20" s="655">
        <f>+E16+E13+E10+E7</f>
        <v>145217913.10924366</v>
      </c>
      <c r="F20" s="655"/>
      <c r="G20" s="403"/>
      <c r="H20" s="646"/>
    </row>
    <row r="21" spans="2:8" s="704" customFormat="1" ht="15.75" thickBot="1">
      <c r="B21" s="652"/>
      <c r="C21" s="711"/>
      <c r="D21" s="655"/>
      <c r="E21" s="655"/>
      <c r="F21" s="655"/>
      <c r="G21" s="709"/>
      <c r="H21" s="646"/>
    </row>
    <row r="22" spans="2:8">
      <c r="B22" s="698" t="s">
        <v>961</v>
      </c>
      <c r="C22" s="700"/>
      <c r="D22" s="700"/>
      <c r="E22" s="691"/>
      <c r="F22" s="653"/>
      <c r="G22" s="403"/>
      <c r="H22" s="646"/>
    </row>
    <row r="23" spans="2:8">
      <c r="B23" s="690" t="s">
        <v>956</v>
      </c>
      <c r="C23" s="706"/>
      <c r="D23" s="654">
        <f>+(E7+E10)/E20</f>
        <v>0.94610287583001829</v>
      </c>
      <c r="E23" s="689"/>
      <c r="F23" s="653"/>
      <c r="G23" s="403"/>
      <c r="H23" s="646"/>
    </row>
    <row r="24" spans="2:8">
      <c r="B24" s="690" t="s">
        <v>955</v>
      </c>
      <c r="C24" s="706"/>
      <c r="D24" s="654">
        <f>+E13/E20</f>
        <v>9.932764928420202E-3</v>
      </c>
      <c r="E24" s="689"/>
      <c r="F24" s="653"/>
      <c r="G24" s="403"/>
      <c r="H24" s="646"/>
    </row>
    <row r="25" spans="2:8">
      <c r="B25" s="690" t="s">
        <v>957</v>
      </c>
      <c r="C25" s="688"/>
      <c r="D25" s="654">
        <f>+E16/E20</f>
        <v>4.3964359241561481E-2</v>
      </c>
      <c r="E25" s="699"/>
      <c r="F25" s="655"/>
      <c r="G25" s="646"/>
      <c r="H25" s="646"/>
    </row>
    <row r="26" spans="2:8" ht="15.75" thickBot="1">
      <c r="B26" s="687"/>
      <c r="C26" s="686"/>
      <c r="D26" s="686"/>
      <c r="E26" s="685"/>
      <c r="F26" s="657"/>
      <c r="G26" s="657"/>
      <c r="H26" s="646"/>
    </row>
    <row r="27" spans="2:8">
      <c r="B27" s="657"/>
      <c r="C27" s="657"/>
      <c r="D27" s="657"/>
      <c r="E27" s="657"/>
      <c r="F27" s="657"/>
      <c r="G27" s="657"/>
      <c r="H27" s="646"/>
    </row>
  </sheetData>
  <pageMargins left="0.7" right="0.7" top="0.75" bottom="0.75" header="0.3" footer="0.3"/>
  <pageSetup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224"/>
  <sheetViews>
    <sheetView showGridLines="0" tabSelected="1" view="pageBreakPreview" topLeftCell="D7" zoomScale="60" zoomScaleNormal="75" workbookViewId="0">
      <pane xSplit="5" ySplit="7" topLeftCell="I173" activePane="bottomRight" state="frozen"/>
      <selection activeCell="AR41" sqref="AR41"/>
      <selection pane="topRight" activeCell="AR41" sqref="AR41"/>
      <selection pane="bottomLeft" activeCell="AR41" sqref="AR41"/>
      <selection pane="bottomRight" activeCell="AR41" sqref="AR41"/>
    </sheetView>
  </sheetViews>
  <sheetFormatPr defaultColWidth="13.85546875" defaultRowHeight="12.75" outlineLevelRow="1"/>
  <cols>
    <col min="1" max="1" width="116.7109375" style="407" customWidth="1"/>
    <col min="2" max="2" width="16.5703125" style="407" customWidth="1"/>
    <col min="3" max="3" width="12.42578125" style="407" customWidth="1"/>
    <col min="4" max="4" width="6.85546875" style="407" customWidth="1"/>
    <col min="5" max="6" width="2.28515625" style="407" customWidth="1"/>
    <col min="7" max="7" width="25.5703125" style="407" customWidth="1"/>
    <col min="8" max="8" width="3.85546875" style="407" customWidth="1"/>
    <col min="9" max="9" width="2" style="407" customWidth="1"/>
    <col min="10" max="10" width="15.5703125" style="407" customWidth="1"/>
    <col min="11" max="11" width="1.85546875" style="407" customWidth="1"/>
    <col min="12" max="12" width="15.5703125" style="407" customWidth="1"/>
    <col min="13" max="13" width="1.85546875" style="407" customWidth="1"/>
    <col min="14" max="14" width="15.5703125" style="407" customWidth="1"/>
    <col min="15" max="15" width="1.85546875" style="407" customWidth="1"/>
    <col min="16" max="16" width="15.5703125" style="407" customWidth="1"/>
    <col min="17" max="17" width="3.140625" style="407" customWidth="1"/>
    <col min="18" max="20" width="16.28515625" style="407" bestFit="1" customWidth="1"/>
    <col min="21" max="21" width="1.85546875" style="407" customWidth="1"/>
    <col min="22" max="22" width="15.5703125" style="407" customWidth="1"/>
    <col min="23" max="23" width="2.85546875" style="407" customWidth="1"/>
    <col min="24" max="16384" width="13.85546875" style="407"/>
  </cols>
  <sheetData>
    <row r="1" spans="1:25">
      <c r="D1" s="407" t="s">
        <v>175</v>
      </c>
      <c r="E1" s="407" t="s">
        <v>176</v>
      </c>
      <c r="F1" s="408"/>
      <c r="G1" s="409"/>
      <c r="J1" s="407" t="s">
        <v>188</v>
      </c>
      <c r="L1" s="407" t="s">
        <v>651</v>
      </c>
      <c r="N1" s="407" t="s">
        <v>652</v>
      </c>
      <c r="R1" s="413" t="s">
        <v>186</v>
      </c>
      <c r="S1" s="413" t="s">
        <v>187</v>
      </c>
    </row>
    <row r="2" spans="1:25" s="421" customFormat="1" outlineLevel="1">
      <c r="A2" s="414"/>
      <c r="B2" s="415"/>
      <c r="C2" s="416"/>
      <c r="D2" s="417"/>
      <c r="E2" s="417"/>
      <c r="F2" s="418"/>
      <c r="G2" s="418"/>
      <c r="H2" s="414"/>
      <c r="I2" s="414"/>
      <c r="J2" s="419">
        <v>0</v>
      </c>
      <c r="K2" s="414"/>
      <c r="L2" s="419">
        <v>0</v>
      </c>
      <c r="M2" s="414"/>
      <c r="N2" s="420">
        <v>0</v>
      </c>
      <c r="O2" s="414"/>
      <c r="P2" s="419">
        <f>J2+L2+N2</f>
        <v>0</v>
      </c>
      <c r="Q2" s="414"/>
      <c r="R2" s="419">
        <v>0</v>
      </c>
      <c r="S2" s="419">
        <v>0</v>
      </c>
      <c r="T2" s="419">
        <f>P2</f>
        <v>0</v>
      </c>
      <c r="U2" s="414"/>
      <c r="V2" s="420">
        <f>T2-S2</f>
        <v>0</v>
      </c>
      <c r="W2" s="414"/>
      <c r="X2" s="414"/>
    </row>
    <row r="3" spans="1:25">
      <c r="G3" s="409"/>
      <c r="J3" s="407" t="str">
        <f>D9</f>
        <v>2018-04</v>
      </c>
      <c r="L3" s="407" t="str">
        <f>D9</f>
        <v>2018-04</v>
      </c>
      <c r="N3" s="407" t="str">
        <f>YearMonth</f>
        <v>2018-04</v>
      </c>
      <c r="P3" s="407" t="str">
        <f>D9</f>
        <v>2018-04</v>
      </c>
      <c r="R3" s="407" t="str">
        <f>IFERROR(TEXT(EDATE($B$7,MID(LEFT(R1,FIND(")",R1)-1),FIND("(",R1)+1,LEN(R1))),"yyyy-mm"),"")</f>
        <v>2018-02</v>
      </c>
      <c r="S3" s="407" t="str">
        <f>IFERROR(TEXT(EDATE($B$7,MID(LEFT(S1,FIND(")",S1)-1),FIND("(",S1)+1,LEN(S1))),"yyyy-mm"),"")</f>
        <v>2018-03</v>
      </c>
      <c r="T3" s="407" t="str">
        <f>D9</f>
        <v>2018-04</v>
      </c>
    </row>
    <row r="4" spans="1:25">
      <c r="A4" s="407" t="str">
        <f>_xll.jBinder("MarkerCell")</f>
        <v>jBinderOption{MarkerCell}: This cell will be used to note the tab was created from the binder.</v>
      </c>
      <c r="B4" s="407" t="str">
        <f ca="1">_xll.ReportVariable("FinCube",B11:B224,A1:Y1,A2:Y2,_xll.Param("BS"&amp;IF(ExcludeIC=TRUE,",!Eliminated",""),District,System,SubSystem,,,"*",,RIGHT(YearMonth,2),LEFT(YearMonth,4),,,1,,FALSE))</f>
        <v>OK!: ReportVariable Formula OK [jAction{}]</v>
      </c>
      <c r="G4" s="409"/>
      <c r="J4" s="407" t="s">
        <v>653</v>
      </c>
      <c r="L4" s="407" t="s">
        <v>654</v>
      </c>
      <c r="N4" s="407" t="s">
        <v>652</v>
      </c>
      <c r="P4" s="407" t="s">
        <v>655</v>
      </c>
      <c r="R4" s="407" t="s">
        <v>655</v>
      </c>
      <c r="S4" s="407" t="s">
        <v>655</v>
      </c>
      <c r="T4" s="407" t="s">
        <v>655</v>
      </c>
    </row>
    <row r="5" spans="1:25">
      <c r="A5" s="407" t="str">
        <f>_xll.jBinder("ChooseSegmentListtoIterateThru","Dist")</f>
        <v>jBinderOption{ChooseSegmentListtoIterateThru|Dist}: Option "ChooseSegmentListtoIterateThru" has value "Dist"</v>
      </c>
      <c r="B5" s="407"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407" t="str">
        <f>_xll.jBinder("CreateSummaryTab","False")</f>
        <v>jBinderOption{CreateSummaryTab|False}: Option "CreateSummaryTab" has value "False"</v>
      </c>
      <c r="B6" s="407"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424" customFormat="1" ht="15.75">
      <c r="A7" s="407" t="str">
        <f ca="1">_xll.jBinder("Dist",District)</f>
        <v>jBinderOption{Dist||N7}: "Dist" can iterate on cell "N7"</v>
      </c>
      <c r="B7" s="422">
        <f>DATEVALUE(RIGHT(YearMonth,2)&amp;"/1/"&amp;LEFT(YearMonth,4))</f>
        <v>43191</v>
      </c>
      <c r="C7" s="407"/>
      <c r="D7" s="423" t="s">
        <v>189</v>
      </c>
      <c r="L7" s="425" t="s">
        <v>190</v>
      </c>
      <c r="N7" s="426">
        <v>2183</v>
      </c>
      <c r="T7" s="425" t="s">
        <v>195</v>
      </c>
      <c r="V7" s="431" t="s">
        <v>194</v>
      </c>
      <c r="X7" s="428"/>
    </row>
    <row r="8" spans="1:25" s="424" customFormat="1" ht="15.75">
      <c r="A8" s="424" t="str">
        <f>_xll.jBinder("TabSuffix","_BS")</f>
        <v>jBinderOption{TabSuffix|_BS}: Option "TabSuffix" has value "_BS"</v>
      </c>
      <c r="B8" s="429"/>
      <c r="C8" s="429"/>
      <c r="D8" s="423" t="s">
        <v>656</v>
      </c>
      <c r="L8" s="425" t="s">
        <v>192</v>
      </c>
      <c r="M8" s="427"/>
      <c r="N8" s="426"/>
      <c r="T8" s="425" t="s">
        <v>657</v>
      </c>
      <c r="V8" s="412" t="s">
        <v>194</v>
      </c>
    </row>
    <row r="9" spans="1:25" s="424" customFormat="1" ht="15.75">
      <c r="B9" s="429"/>
      <c r="C9" s="429"/>
      <c r="D9" s="432" t="s">
        <v>1913</v>
      </c>
      <c r="J9" s="433" t="s">
        <v>658</v>
      </c>
      <c r="K9" s="434"/>
      <c r="L9" s="433" t="s">
        <v>658</v>
      </c>
      <c r="M9" s="434"/>
      <c r="N9" s="433" t="s">
        <v>658</v>
      </c>
      <c r="O9" s="434"/>
      <c r="P9" s="433" t="s">
        <v>658</v>
      </c>
      <c r="Q9" s="434"/>
      <c r="R9" s="433" t="s">
        <v>658</v>
      </c>
      <c r="S9" s="433" t="s">
        <v>658</v>
      </c>
      <c r="T9" s="433" t="s">
        <v>658</v>
      </c>
    </row>
    <row r="10" spans="1:25" s="424" customFormat="1" ht="15.75">
      <c r="B10" s="416"/>
      <c r="C10" s="416"/>
      <c r="D10" s="430" t="str">
        <f>IF(ISERROR($B$7),"The date cell in D9  must be in YYYY-MM format","")</f>
        <v/>
      </c>
      <c r="E10" s="435"/>
      <c r="F10" s="435"/>
      <c r="G10" s="435"/>
      <c r="H10" s="435"/>
      <c r="I10" s="435"/>
      <c r="J10" s="436" t="s">
        <v>659</v>
      </c>
      <c r="K10" s="436"/>
      <c r="L10" s="436"/>
      <c r="M10" s="436"/>
      <c r="N10" s="436"/>
      <c r="O10" s="436"/>
      <c r="P10" s="436"/>
      <c r="Q10" s="435"/>
      <c r="R10" s="436" t="s">
        <v>660</v>
      </c>
      <c r="S10" s="436"/>
      <c r="T10" s="436"/>
      <c r="U10" s="435"/>
      <c r="V10" s="435"/>
      <c r="W10" s="435"/>
      <c r="X10" s="435"/>
      <c r="Y10" s="435"/>
    </row>
    <row r="11" spans="1:25" s="437" customFormat="1">
      <c r="B11" s="416"/>
      <c r="C11" s="416"/>
      <c r="D11" s="435"/>
      <c r="E11" s="435"/>
      <c r="F11" s="435"/>
      <c r="G11" s="435"/>
      <c r="H11" s="435"/>
      <c r="I11" s="435"/>
      <c r="J11" s="435"/>
      <c r="K11" s="435"/>
      <c r="L11" s="435"/>
      <c r="M11" s="435"/>
      <c r="N11" s="435"/>
      <c r="O11" s="435"/>
      <c r="P11" s="435"/>
      <c r="Q11" s="435"/>
      <c r="R11" s="435"/>
      <c r="S11" s="435"/>
      <c r="T11" s="438"/>
      <c r="U11" s="435"/>
      <c r="V11" s="435"/>
      <c r="W11" s="435"/>
      <c r="X11" s="435"/>
      <c r="Y11" s="435"/>
    </row>
    <row r="12" spans="1:25" s="437" customFormat="1">
      <c r="B12" s="416"/>
      <c r="C12" s="416"/>
      <c r="D12" s="435"/>
      <c r="E12" s="435"/>
      <c r="F12" s="435"/>
      <c r="G12" s="435"/>
      <c r="H12" s="435"/>
      <c r="I12" s="435"/>
      <c r="J12" s="435"/>
      <c r="K12" s="435"/>
      <c r="L12" s="439" t="s">
        <v>661</v>
      </c>
      <c r="M12" s="440"/>
      <c r="N12" s="439"/>
      <c r="O12" s="435"/>
      <c r="P12" s="441"/>
      <c r="Q12" s="435"/>
      <c r="R12" s="442"/>
      <c r="S12" s="442"/>
      <c r="T12" s="443" t="s">
        <v>13</v>
      </c>
      <c r="U12" s="435"/>
      <c r="V12" s="444" t="s">
        <v>662</v>
      </c>
      <c r="W12" s="435"/>
      <c r="X12" s="435"/>
      <c r="Y12" s="435"/>
    </row>
    <row r="13" spans="1:25" s="437" customFormat="1" ht="13.5" thickBot="1">
      <c r="B13" s="416"/>
      <c r="C13" s="416"/>
      <c r="D13" s="435"/>
      <c r="E13" s="435"/>
      <c r="F13" s="435"/>
      <c r="G13" s="435"/>
      <c r="H13" s="435"/>
      <c r="I13" s="435"/>
      <c r="J13" s="445" t="s">
        <v>653</v>
      </c>
      <c r="K13" s="435"/>
      <c r="L13" s="445" t="s">
        <v>654</v>
      </c>
      <c r="M13" s="435"/>
      <c r="N13" s="446" t="s">
        <v>652</v>
      </c>
      <c r="O13" s="435"/>
      <c r="P13" s="445" t="s">
        <v>13</v>
      </c>
      <c r="Q13" s="435"/>
      <c r="R13" s="447">
        <f>IFERROR(EDATE(S13,-1),"")</f>
        <v>43132</v>
      </c>
      <c r="S13" s="447">
        <f>IFERROR(EDATE(T13,-1),"")</f>
        <v>43160</v>
      </c>
      <c r="T13" s="447">
        <f>$B$7</f>
        <v>43191</v>
      </c>
      <c r="U13" s="435"/>
      <c r="V13" s="446" t="s">
        <v>663</v>
      </c>
      <c r="W13" s="435"/>
      <c r="X13" s="435"/>
      <c r="Y13" s="435"/>
    </row>
    <row r="14" spans="1:25" s="437" customFormat="1" ht="5.25" customHeight="1">
      <c r="B14" s="416"/>
      <c r="C14" s="416"/>
      <c r="D14" s="435"/>
      <c r="E14" s="435"/>
      <c r="F14" s="448"/>
      <c r="G14" s="435"/>
      <c r="H14" s="435"/>
      <c r="I14" s="435"/>
      <c r="J14" s="433"/>
      <c r="K14" s="435"/>
      <c r="L14" s="433"/>
      <c r="M14" s="435"/>
      <c r="N14" s="433"/>
      <c r="O14" s="435"/>
      <c r="P14" s="433"/>
      <c r="Q14" s="435"/>
      <c r="R14" s="433"/>
      <c r="S14" s="433"/>
      <c r="T14" s="433"/>
      <c r="U14" s="435"/>
      <c r="V14" s="433"/>
      <c r="W14" s="435"/>
      <c r="X14" s="435"/>
      <c r="Y14" s="435"/>
    </row>
    <row r="15" spans="1:25" s="421" customFormat="1" ht="4.5" customHeight="1">
      <c r="B15" s="416"/>
      <c r="C15" s="416"/>
      <c r="D15" s="414"/>
      <c r="E15" s="414"/>
      <c r="F15" s="414"/>
      <c r="G15" s="414"/>
      <c r="H15" s="414"/>
      <c r="I15" s="414"/>
      <c r="J15" s="414"/>
      <c r="K15" s="414"/>
      <c r="L15" s="414"/>
      <c r="M15" s="414"/>
      <c r="N15" s="414"/>
      <c r="O15" s="414"/>
      <c r="P15" s="414"/>
      <c r="Q15" s="435"/>
      <c r="R15" s="414"/>
      <c r="S15" s="414"/>
      <c r="T15" s="414"/>
      <c r="U15" s="414"/>
      <c r="V15" s="414"/>
      <c r="W15" s="414"/>
      <c r="X15" s="414"/>
      <c r="Y15" s="414"/>
    </row>
    <row r="16" spans="1:25" s="421" customFormat="1" outlineLevel="1">
      <c r="A16" s="414"/>
      <c r="B16" s="415" t="s">
        <v>664</v>
      </c>
      <c r="C16" s="416"/>
      <c r="D16" s="417">
        <v>10051</v>
      </c>
      <c r="E16" s="417" t="s">
        <v>665</v>
      </c>
      <c r="F16" s="418"/>
      <c r="G16" s="418"/>
      <c r="H16" s="414"/>
      <c r="I16" s="414"/>
      <c r="J16" s="419">
        <v>5000</v>
      </c>
      <c r="K16" s="414"/>
      <c r="L16" s="419">
        <v>0</v>
      </c>
      <c r="M16" s="414"/>
      <c r="N16" s="420">
        <v>0</v>
      </c>
      <c r="O16" s="414"/>
      <c r="P16" s="419">
        <f t="shared" ref="P16:P25" si="0">J16+L16+N16</f>
        <v>5000</v>
      </c>
      <c r="Q16" s="414"/>
      <c r="R16" s="419">
        <v>5000</v>
      </c>
      <c r="S16" s="419">
        <v>5000</v>
      </c>
      <c r="T16" s="419">
        <f t="shared" ref="T16:T25" si="1">P16</f>
        <v>5000</v>
      </c>
      <c r="U16" s="414"/>
      <c r="V16" s="420">
        <f t="shared" ref="V16:V25" si="2">T16-S16</f>
        <v>0</v>
      </c>
      <c r="W16" s="414"/>
      <c r="X16" s="414"/>
    </row>
    <row r="17" spans="1:25" s="421" customFormat="1" outlineLevel="1">
      <c r="A17" s="414"/>
      <c r="B17" s="415" t="s">
        <v>397</v>
      </c>
      <c r="C17" s="416"/>
      <c r="D17" s="417">
        <v>10063</v>
      </c>
      <c r="E17" s="417" t="s">
        <v>666</v>
      </c>
      <c r="F17" s="418"/>
      <c r="G17" s="418"/>
      <c r="H17" s="414"/>
      <c r="I17" s="414"/>
      <c r="J17" s="419">
        <v>51216.84</v>
      </c>
      <c r="K17" s="414"/>
      <c r="L17" s="419">
        <v>0</v>
      </c>
      <c r="M17" s="414"/>
      <c r="N17" s="420">
        <v>0</v>
      </c>
      <c r="O17" s="414"/>
      <c r="P17" s="419">
        <f t="shared" si="0"/>
        <v>51216.84</v>
      </c>
      <c r="Q17" s="414"/>
      <c r="R17" s="419">
        <v>47034.42</v>
      </c>
      <c r="S17" s="419">
        <v>33169.300000000003</v>
      </c>
      <c r="T17" s="419">
        <f t="shared" si="1"/>
        <v>51216.84</v>
      </c>
      <c r="U17" s="414"/>
      <c r="V17" s="420">
        <f t="shared" si="2"/>
        <v>18047.539999999994</v>
      </c>
      <c r="W17" s="414"/>
      <c r="X17" s="414"/>
    </row>
    <row r="18" spans="1:25" s="421" customFormat="1" outlineLevel="1">
      <c r="A18" s="414"/>
      <c r="B18" s="415" t="s">
        <v>397</v>
      </c>
      <c r="C18" s="416"/>
      <c r="D18" s="417">
        <v>10070</v>
      </c>
      <c r="E18" s="417" t="s">
        <v>667</v>
      </c>
      <c r="F18" s="418"/>
      <c r="G18" s="418"/>
      <c r="H18" s="414"/>
      <c r="I18" s="414"/>
      <c r="J18" s="419">
        <v>-35799.279999999999</v>
      </c>
      <c r="K18" s="414"/>
      <c r="L18" s="419">
        <v>0</v>
      </c>
      <c r="M18" s="414"/>
      <c r="N18" s="420">
        <v>0</v>
      </c>
      <c r="O18" s="414"/>
      <c r="P18" s="419">
        <f t="shared" si="0"/>
        <v>-35799.279999999999</v>
      </c>
      <c r="Q18" s="414"/>
      <c r="R18" s="419">
        <v>-34585.279999999999</v>
      </c>
      <c r="S18" s="419">
        <v>-35799.279999999999</v>
      </c>
      <c r="T18" s="419">
        <f t="shared" si="1"/>
        <v>-35799.279999999999</v>
      </c>
      <c r="U18" s="414"/>
      <c r="V18" s="420">
        <f t="shared" si="2"/>
        <v>0</v>
      </c>
      <c r="W18" s="414"/>
      <c r="X18" s="414"/>
    </row>
    <row r="19" spans="1:25" s="421" customFormat="1" outlineLevel="1">
      <c r="A19" s="414"/>
      <c r="B19" s="415" t="s">
        <v>397</v>
      </c>
      <c r="C19" s="416"/>
      <c r="D19" s="417">
        <v>10071</v>
      </c>
      <c r="E19" s="417" t="s">
        <v>668</v>
      </c>
      <c r="F19" s="418"/>
      <c r="G19" s="418"/>
      <c r="H19" s="414"/>
      <c r="I19" s="414"/>
      <c r="J19" s="419">
        <v>35799.279999999999</v>
      </c>
      <c r="K19" s="414"/>
      <c r="L19" s="419">
        <v>0</v>
      </c>
      <c r="M19" s="414"/>
      <c r="N19" s="420">
        <v>0</v>
      </c>
      <c r="O19" s="414"/>
      <c r="P19" s="419">
        <f t="shared" si="0"/>
        <v>35799.279999999999</v>
      </c>
      <c r="Q19" s="414"/>
      <c r="R19" s="419">
        <v>34585.279999999999</v>
      </c>
      <c r="S19" s="419">
        <v>35799.279999999999</v>
      </c>
      <c r="T19" s="419">
        <f t="shared" si="1"/>
        <v>35799.279999999999</v>
      </c>
      <c r="U19" s="414"/>
      <c r="V19" s="420">
        <f t="shared" si="2"/>
        <v>0</v>
      </c>
      <c r="W19" s="414"/>
      <c r="X19" s="414"/>
    </row>
    <row r="20" spans="1:25" s="421" customFormat="1" outlineLevel="1">
      <c r="A20" s="414"/>
      <c r="B20" s="415" t="s">
        <v>397</v>
      </c>
      <c r="C20" s="416"/>
      <c r="D20" s="417">
        <v>10092</v>
      </c>
      <c r="E20" s="417" t="s">
        <v>670</v>
      </c>
      <c r="F20" s="418"/>
      <c r="G20" s="418"/>
      <c r="H20" s="414"/>
      <c r="I20" s="414"/>
      <c r="J20" s="419">
        <v>0</v>
      </c>
      <c r="K20" s="414"/>
      <c r="L20" s="419">
        <v>0</v>
      </c>
      <c r="M20" s="414"/>
      <c r="N20" s="420">
        <v>0</v>
      </c>
      <c r="O20" s="414"/>
      <c r="P20" s="419">
        <f t="shared" si="0"/>
        <v>0</v>
      </c>
      <c r="Q20" s="414"/>
      <c r="R20" s="419">
        <v>0</v>
      </c>
      <c r="S20" s="419">
        <v>0</v>
      </c>
      <c r="T20" s="419">
        <f t="shared" si="1"/>
        <v>0</v>
      </c>
      <c r="U20" s="414"/>
      <c r="V20" s="420">
        <f t="shared" si="2"/>
        <v>0</v>
      </c>
      <c r="W20" s="414"/>
      <c r="X20" s="414"/>
    </row>
    <row r="21" spans="1:25" s="421" customFormat="1" outlineLevel="1">
      <c r="A21" s="414"/>
      <c r="B21" s="415" t="s">
        <v>397</v>
      </c>
      <c r="C21" s="416"/>
      <c r="D21" s="417">
        <v>10093</v>
      </c>
      <c r="E21" s="417" t="s">
        <v>671</v>
      </c>
      <c r="F21" s="418"/>
      <c r="G21" s="418"/>
      <c r="H21" s="414"/>
      <c r="I21" s="414"/>
      <c r="J21" s="419">
        <v>0</v>
      </c>
      <c r="K21" s="414"/>
      <c r="L21" s="419">
        <v>0</v>
      </c>
      <c r="M21" s="414"/>
      <c r="N21" s="420">
        <v>0</v>
      </c>
      <c r="O21" s="414"/>
      <c r="P21" s="419">
        <f t="shared" si="0"/>
        <v>0</v>
      </c>
      <c r="Q21" s="414"/>
      <c r="R21" s="419">
        <v>0</v>
      </c>
      <c r="S21" s="419">
        <v>0</v>
      </c>
      <c r="T21" s="419">
        <f t="shared" si="1"/>
        <v>0</v>
      </c>
      <c r="U21" s="414"/>
      <c r="V21" s="420">
        <f t="shared" si="2"/>
        <v>0</v>
      </c>
      <c r="W21" s="414"/>
      <c r="X21" s="414"/>
    </row>
    <row r="22" spans="1:25" s="421" customFormat="1" outlineLevel="1">
      <c r="A22" s="414"/>
      <c r="B22" s="415" t="s">
        <v>397</v>
      </c>
      <c r="C22" s="416"/>
      <c r="D22" s="417">
        <v>10095</v>
      </c>
      <c r="E22" s="417" t="s">
        <v>672</v>
      </c>
      <c r="F22" s="418"/>
      <c r="G22" s="418"/>
      <c r="H22" s="414"/>
      <c r="I22" s="414"/>
      <c r="J22" s="419">
        <v>-409.8</v>
      </c>
      <c r="K22" s="414"/>
      <c r="L22" s="419">
        <v>0</v>
      </c>
      <c r="M22" s="414"/>
      <c r="N22" s="420">
        <v>0</v>
      </c>
      <c r="O22" s="414"/>
      <c r="P22" s="419">
        <f t="shared" si="0"/>
        <v>-409.8</v>
      </c>
      <c r="Q22" s="414"/>
      <c r="R22" s="419">
        <v>367.39</v>
      </c>
      <c r="S22" s="419">
        <v>90</v>
      </c>
      <c r="T22" s="419">
        <f t="shared" si="1"/>
        <v>-409.8</v>
      </c>
      <c r="U22" s="414"/>
      <c r="V22" s="420">
        <f t="shared" si="2"/>
        <v>-499.8</v>
      </c>
      <c r="W22" s="414"/>
      <c r="X22" s="414"/>
    </row>
    <row r="23" spans="1:25" s="421" customFormat="1" outlineLevel="1">
      <c r="A23" s="414"/>
      <c r="B23" s="415" t="s">
        <v>397</v>
      </c>
      <c r="C23" s="416"/>
      <c r="D23" s="417">
        <v>10097</v>
      </c>
      <c r="E23" s="417" t="s">
        <v>673</v>
      </c>
      <c r="F23" s="418"/>
      <c r="G23" s="418"/>
      <c r="H23" s="414"/>
      <c r="I23" s="414"/>
      <c r="J23" s="419">
        <v>0</v>
      </c>
      <c r="K23" s="414"/>
      <c r="L23" s="419">
        <v>0</v>
      </c>
      <c r="M23" s="414"/>
      <c r="N23" s="420">
        <v>0</v>
      </c>
      <c r="O23" s="414"/>
      <c r="P23" s="419">
        <f t="shared" si="0"/>
        <v>0</v>
      </c>
      <c r="Q23" s="414"/>
      <c r="R23" s="419">
        <v>0</v>
      </c>
      <c r="S23" s="419">
        <v>0</v>
      </c>
      <c r="T23" s="419">
        <f t="shared" si="1"/>
        <v>0</v>
      </c>
      <c r="U23" s="414"/>
      <c r="V23" s="420">
        <f t="shared" si="2"/>
        <v>0</v>
      </c>
      <c r="W23" s="414"/>
      <c r="X23" s="414"/>
    </row>
    <row r="24" spans="1:25" s="421" customFormat="1" outlineLevel="1">
      <c r="A24" s="414"/>
      <c r="B24" s="415" t="s">
        <v>397</v>
      </c>
      <c r="C24" s="416"/>
      <c r="D24" s="417">
        <v>10098</v>
      </c>
      <c r="E24" s="417" t="s">
        <v>674</v>
      </c>
      <c r="F24" s="418"/>
      <c r="G24" s="418"/>
      <c r="H24" s="414"/>
      <c r="I24" s="414"/>
      <c r="J24" s="419">
        <v>0</v>
      </c>
      <c r="K24" s="414"/>
      <c r="L24" s="419">
        <v>0</v>
      </c>
      <c r="M24" s="414"/>
      <c r="N24" s="420">
        <v>0</v>
      </c>
      <c r="O24" s="414"/>
      <c r="P24" s="419">
        <f t="shared" si="0"/>
        <v>0</v>
      </c>
      <c r="Q24" s="414"/>
      <c r="R24" s="419">
        <v>0</v>
      </c>
      <c r="S24" s="419">
        <v>0</v>
      </c>
      <c r="T24" s="419">
        <f t="shared" si="1"/>
        <v>0</v>
      </c>
      <c r="U24" s="414"/>
      <c r="V24" s="420">
        <f t="shared" si="2"/>
        <v>0</v>
      </c>
      <c r="W24" s="414"/>
      <c r="X24" s="414"/>
    </row>
    <row r="25" spans="1:25" s="421" customFormat="1" outlineLevel="1">
      <c r="A25" s="414"/>
      <c r="B25" s="415" t="s">
        <v>397</v>
      </c>
      <c r="C25" s="416"/>
      <c r="D25" s="417">
        <v>10099</v>
      </c>
      <c r="E25" s="417" t="s">
        <v>675</v>
      </c>
      <c r="F25" s="418"/>
      <c r="G25" s="418"/>
      <c r="H25" s="414"/>
      <c r="I25" s="414"/>
      <c r="J25" s="419">
        <v>0</v>
      </c>
      <c r="K25" s="414"/>
      <c r="L25" s="419">
        <v>0</v>
      </c>
      <c r="M25" s="414"/>
      <c r="N25" s="420">
        <v>0</v>
      </c>
      <c r="O25" s="414"/>
      <c r="P25" s="419">
        <f t="shared" si="0"/>
        <v>0</v>
      </c>
      <c r="Q25" s="414"/>
      <c r="R25" s="419">
        <v>95.06</v>
      </c>
      <c r="S25" s="419">
        <v>261.76</v>
      </c>
      <c r="T25" s="419">
        <f t="shared" si="1"/>
        <v>0</v>
      </c>
      <c r="U25" s="414"/>
      <c r="V25" s="420">
        <f t="shared" si="2"/>
        <v>-261.76</v>
      </c>
      <c r="W25" s="414"/>
      <c r="X25" s="414"/>
    </row>
    <row r="26" spans="1:25" s="421" customFormat="1" ht="4.5" customHeight="1" outlineLevel="1">
      <c r="A26" s="411"/>
      <c r="B26" s="449" t="s">
        <v>194</v>
      </c>
      <c r="C26" s="449"/>
      <c r="D26" s="414"/>
      <c r="E26" s="414"/>
      <c r="F26" s="414"/>
      <c r="G26" s="414"/>
      <c r="H26" s="414"/>
      <c r="I26" s="414"/>
      <c r="J26" s="450"/>
      <c r="K26" s="414"/>
      <c r="L26" s="450"/>
      <c r="M26" s="414"/>
      <c r="N26" s="450"/>
      <c r="O26" s="414"/>
      <c r="P26" s="450"/>
      <c r="Q26" s="414"/>
      <c r="R26" s="450"/>
      <c r="S26" s="450"/>
      <c r="T26" s="450"/>
      <c r="U26" s="414"/>
      <c r="V26" s="450"/>
      <c r="W26" s="414"/>
      <c r="X26" s="414"/>
      <c r="Y26" s="414"/>
    </row>
    <row r="27" spans="1:25" s="421" customFormat="1">
      <c r="A27" s="416" t="s">
        <v>664</v>
      </c>
      <c r="B27" s="416" t="s">
        <v>194</v>
      </c>
      <c r="C27" s="416"/>
      <c r="D27" s="414"/>
      <c r="E27" s="414"/>
      <c r="F27" s="414" t="s">
        <v>676</v>
      </c>
      <c r="G27" s="414"/>
      <c r="H27" s="414"/>
      <c r="I27" s="414"/>
      <c r="J27" s="451">
        <f>SUM(J16:J26)</f>
        <v>55807.039999999994</v>
      </c>
      <c r="K27" s="414"/>
      <c r="L27" s="451">
        <f>SUM(L16:L26)</f>
        <v>0</v>
      </c>
      <c r="M27" s="414"/>
      <c r="N27" s="452">
        <f>SUM(N16:N26)</f>
        <v>0</v>
      </c>
      <c r="O27" s="414"/>
      <c r="P27" s="451">
        <f t="shared" ref="P27" si="3">J27+L27+N27</f>
        <v>55807.039999999994</v>
      </c>
      <c r="Q27" s="414"/>
      <c r="R27" s="451">
        <f>SUM(R16:R26)</f>
        <v>52496.869999999995</v>
      </c>
      <c r="S27" s="451">
        <f>SUM(S16:S26)</f>
        <v>38521.060000000005</v>
      </c>
      <c r="T27" s="451">
        <f>SUM(T16:T26)</f>
        <v>55807.039999999994</v>
      </c>
      <c r="U27" s="414"/>
      <c r="V27" s="452">
        <f>SUM(V16:V26)</f>
        <v>17285.979999999996</v>
      </c>
      <c r="W27" s="414"/>
      <c r="X27" s="414"/>
      <c r="Y27" s="414"/>
    </row>
    <row r="28" spans="1:25" s="421" customFormat="1" outlineLevel="1">
      <c r="A28" s="414"/>
      <c r="B28" s="415" t="s">
        <v>677</v>
      </c>
      <c r="C28" s="416"/>
      <c r="D28" s="417">
        <v>11501</v>
      </c>
      <c r="E28" s="417" t="s">
        <v>678</v>
      </c>
      <c r="F28" s="418"/>
      <c r="G28" s="418"/>
      <c r="H28" s="414"/>
      <c r="I28" s="414"/>
      <c r="J28" s="419">
        <v>2875013.01</v>
      </c>
      <c r="K28" s="414"/>
      <c r="L28" s="419">
        <v>0</v>
      </c>
      <c r="M28" s="414"/>
      <c r="N28" s="420">
        <v>0</v>
      </c>
      <c r="O28" s="414"/>
      <c r="P28" s="419">
        <f t="shared" ref="P28:P36" si="4">J28+L28+N28</f>
        <v>2875013.01</v>
      </c>
      <c r="Q28" s="414"/>
      <c r="R28" s="419">
        <v>3060590.96</v>
      </c>
      <c r="S28" s="419">
        <v>3068723.29</v>
      </c>
      <c r="T28" s="419">
        <f t="shared" ref="T28:T36" si="5">P28</f>
        <v>2875013.01</v>
      </c>
      <c r="U28" s="414"/>
      <c r="V28" s="420">
        <f t="shared" ref="V28:V36" si="6">T28-S28</f>
        <v>-193710.28000000026</v>
      </c>
      <c r="W28" s="414"/>
      <c r="X28" s="414"/>
    </row>
    <row r="29" spans="1:25" s="421" customFormat="1" outlineLevel="1">
      <c r="A29" s="414"/>
      <c r="B29" s="415" t="s">
        <v>397</v>
      </c>
      <c r="C29" s="416"/>
      <c r="D29" s="417">
        <v>11502</v>
      </c>
      <c r="E29" s="417" t="s">
        <v>679</v>
      </c>
      <c r="F29" s="418"/>
      <c r="G29" s="418"/>
      <c r="H29" s="414"/>
      <c r="I29" s="414"/>
      <c r="J29" s="419">
        <v>0</v>
      </c>
      <c r="K29" s="414"/>
      <c r="L29" s="419">
        <v>0</v>
      </c>
      <c r="M29" s="414"/>
      <c r="N29" s="420">
        <v>0</v>
      </c>
      <c r="O29" s="414"/>
      <c r="P29" s="419">
        <f t="shared" si="4"/>
        <v>0</v>
      </c>
      <c r="Q29" s="414"/>
      <c r="R29" s="419">
        <v>0</v>
      </c>
      <c r="S29" s="419">
        <v>77.13</v>
      </c>
      <c r="T29" s="419">
        <f t="shared" si="5"/>
        <v>0</v>
      </c>
      <c r="U29" s="414"/>
      <c r="V29" s="420">
        <f t="shared" si="6"/>
        <v>-77.13</v>
      </c>
      <c r="W29" s="414"/>
      <c r="X29" s="414"/>
    </row>
    <row r="30" spans="1:25" s="421" customFormat="1" outlineLevel="1">
      <c r="A30" s="414"/>
      <c r="B30" s="415" t="s">
        <v>397</v>
      </c>
      <c r="C30" s="416"/>
      <c r="D30" s="417">
        <v>11510</v>
      </c>
      <c r="E30" s="417" t="s">
        <v>680</v>
      </c>
      <c r="F30" s="418"/>
      <c r="G30" s="418"/>
      <c r="H30" s="414"/>
      <c r="I30" s="414"/>
      <c r="J30" s="419">
        <v>14912.31</v>
      </c>
      <c r="K30" s="414"/>
      <c r="L30" s="419">
        <v>0</v>
      </c>
      <c r="M30" s="414"/>
      <c r="N30" s="420">
        <v>0</v>
      </c>
      <c r="O30" s="414"/>
      <c r="P30" s="419">
        <f t="shared" si="4"/>
        <v>14912.31</v>
      </c>
      <c r="Q30" s="414"/>
      <c r="R30" s="419">
        <v>1027.26</v>
      </c>
      <c r="S30" s="419">
        <v>3201.87</v>
      </c>
      <c r="T30" s="419">
        <f t="shared" si="5"/>
        <v>14912.31</v>
      </c>
      <c r="U30" s="414"/>
      <c r="V30" s="420">
        <f t="shared" si="6"/>
        <v>11710.439999999999</v>
      </c>
      <c r="W30" s="414"/>
      <c r="X30" s="414"/>
    </row>
    <row r="31" spans="1:25" s="421" customFormat="1" outlineLevel="1">
      <c r="A31" s="414"/>
      <c r="B31" s="415" t="s">
        <v>397</v>
      </c>
      <c r="C31" s="416"/>
      <c r="D31" s="417">
        <v>11599</v>
      </c>
      <c r="E31" s="417" t="s">
        <v>681</v>
      </c>
      <c r="F31" s="418"/>
      <c r="G31" s="418"/>
      <c r="H31" s="414"/>
      <c r="I31" s="414"/>
      <c r="J31" s="419">
        <v>145.33000000000001</v>
      </c>
      <c r="K31" s="414"/>
      <c r="L31" s="419">
        <v>0</v>
      </c>
      <c r="M31" s="414"/>
      <c r="N31" s="420">
        <v>0</v>
      </c>
      <c r="O31" s="414"/>
      <c r="P31" s="419">
        <f t="shared" si="4"/>
        <v>145.33000000000001</v>
      </c>
      <c r="Q31" s="414"/>
      <c r="R31" s="419">
        <v>909.34</v>
      </c>
      <c r="S31" s="419">
        <v>4683.8500000000004</v>
      </c>
      <c r="T31" s="419">
        <f t="shared" si="5"/>
        <v>145.33000000000001</v>
      </c>
      <c r="U31" s="414"/>
      <c r="V31" s="420">
        <f t="shared" si="6"/>
        <v>-4538.5200000000004</v>
      </c>
      <c r="W31" s="414"/>
      <c r="X31" s="414"/>
    </row>
    <row r="32" spans="1:25" s="421" customFormat="1" outlineLevel="1">
      <c r="A32" s="414"/>
      <c r="B32" s="415" t="s">
        <v>397</v>
      </c>
      <c r="C32" s="416"/>
      <c r="D32" s="417">
        <v>11701</v>
      </c>
      <c r="E32" s="417" t="s">
        <v>682</v>
      </c>
      <c r="F32" s="418"/>
      <c r="G32" s="418"/>
      <c r="H32" s="414"/>
      <c r="I32" s="414"/>
      <c r="J32" s="419">
        <v>277</v>
      </c>
      <c r="K32" s="414"/>
      <c r="L32" s="419">
        <v>0</v>
      </c>
      <c r="M32" s="414"/>
      <c r="N32" s="420">
        <v>0</v>
      </c>
      <c r="O32" s="414"/>
      <c r="P32" s="419">
        <f t="shared" si="4"/>
        <v>277</v>
      </c>
      <c r="Q32" s="414"/>
      <c r="R32" s="419">
        <v>259</v>
      </c>
      <c r="S32" s="419">
        <v>259</v>
      </c>
      <c r="T32" s="419">
        <f t="shared" si="5"/>
        <v>277</v>
      </c>
      <c r="U32" s="414"/>
      <c r="V32" s="420">
        <f t="shared" si="6"/>
        <v>18</v>
      </c>
      <c r="W32" s="414"/>
      <c r="X32" s="414"/>
    </row>
    <row r="33" spans="1:25" s="421" customFormat="1" outlineLevel="1">
      <c r="A33" s="414"/>
      <c r="B33" s="415" t="s">
        <v>397</v>
      </c>
      <c r="C33" s="416"/>
      <c r="D33" s="417">
        <v>11800</v>
      </c>
      <c r="E33" s="417" t="s">
        <v>683</v>
      </c>
      <c r="F33" s="418"/>
      <c r="G33" s="418"/>
      <c r="H33" s="414"/>
      <c r="I33" s="414"/>
      <c r="J33" s="419">
        <v>462706.44</v>
      </c>
      <c r="K33" s="414"/>
      <c r="L33" s="419">
        <v>0</v>
      </c>
      <c r="M33" s="414"/>
      <c r="N33" s="420">
        <v>0</v>
      </c>
      <c r="O33" s="414"/>
      <c r="P33" s="419">
        <f t="shared" si="4"/>
        <v>462706.44</v>
      </c>
      <c r="Q33" s="414"/>
      <c r="R33" s="419">
        <v>0</v>
      </c>
      <c r="S33" s="419">
        <v>289394.3</v>
      </c>
      <c r="T33" s="419">
        <f t="shared" si="5"/>
        <v>462706.44</v>
      </c>
      <c r="U33" s="414"/>
      <c r="V33" s="420">
        <f t="shared" si="6"/>
        <v>173312.14</v>
      </c>
      <c r="W33" s="414"/>
      <c r="X33" s="414"/>
    </row>
    <row r="34" spans="1:25" s="421" customFormat="1" outlineLevel="1">
      <c r="A34" s="414"/>
      <c r="B34" s="415" t="s">
        <v>397</v>
      </c>
      <c r="C34" s="416"/>
      <c r="D34" s="417">
        <v>11901</v>
      </c>
      <c r="E34" s="417" t="s">
        <v>684</v>
      </c>
      <c r="F34" s="418"/>
      <c r="G34" s="418"/>
      <c r="H34" s="414"/>
      <c r="I34" s="414"/>
      <c r="J34" s="419">
        <v>-822238.38</v>
      </c>
      <c r="K34" s="414"/>
      <c r="L34" s="419">
        <v>0</v>
      </c>
      <c r="M34" s="414"/>
      <c r="N34" s="420">
        <v>0</v>
      </c>
      <c r="O34" s="414"/>
      <c r="P34" s="419">
        <f t="shared" si="4"/>
        <v>-822238.38</v>
      </c>
      <c r="Q34" s="414"/>
      <c r="R34" s="419">
        <v>-810567.1</v>
      </c>
      <c r="S34" s="419">
        <v>-816284.02</v>
      </c>
      <c r="T34" s="419">
        <f t="shared" si="5"/>
        <v>-822238.38</v>
      </c>
      <c r="U34" s="414"/>
      <c r="V34" s="420">
        <f t="shared" si="6"/>
        <v>-5954.359999999986</v>
      </c>
      <c r="W34" s="414"/>
      <c r="X34" s="414"/>
    </row>
    <row r="35" spans="1:25" s="421" customFormat="1" outlineLevel="1">
      <c r="A35" s="414"/>
      <c r="B35" s="415" t="s">
        <v>397</v>
      </c>
      <c r="C35" s="416"/>
      <c r="D35" s="417">
        <v>11902</v>
      </c>
      <c r="E35" s="417" t="s">
        <v>685</v>
      </c>
      <c r="F35" s="418"/>
      <c r="G35" s="418"/>
      <c r="H35" s="414"/>
      <c r="I35" s="414"/>
      <c r="J35" s="419">
        <v>1339075.43</v>
      </c>
      <c r="K35" s="414"/>
      <c r="L35" s="419">
        <v>0</v>
      </c>
      <c r="M35" s="414"/>
      <c r="N35" s="420">
        <v>0</v>
      </c>
      <c r="O35" s="414"/>
      <c r="P35" s="419">
        <f t="shared" si="4"/>
        <v>1339075.43</v>
      </c>
      <c r="Q35" s="414"/>
      <c r="R35" s="419">
        <v>1310699.26</v>
      </c>
      <c r="S35" s="419">
        <v>1325094.6299999999</v>
      </c>
      <c r="T35" s="419">
        <f t="shared" si="5"/>
        <v>1339075.43</v>
      </c>
      <c r="U35" s="414"/>
      <c r="V35" s="420">
        <f t="shared" si="6"/>
        <v>13980.800000000047</v>
      </c>
      <c r="W35" s="414"/>
      <c r="X35" s="414"/>
    </row>
    <row r="36" spans="1:25" s="421" customFormat="1" outlineLevel="1">
      <c r="A36" s="414"/>
      <c r="B36" s="415" t="s">
        <v>397</v>
      </c>
      <c r="C36" s="416"/>
      <c r="D36" s="417">
        <v>11903</v>
      </c>
      <c r="E36" s="417" t="s">
        <v>686</v>
      </c>
      <c r="F36" s="418"/>
      <c r="G36" s="418"/>
      <c r="H36" s="414"/>
      <c r="I36" s="414"/>
      <c r="J36" s="419">
        <v>-529643.89</v>
      </c>
      <c r="K36" s="414"/>
      <c r="L36" s="419">
        <v>0</v>
      </c>
      <c r="M36" s="414"/>
      <c r="N36" s="420">
        <v>0</v>
      </c>
      <c r="O36" s="414"/>
      <c r="P36" s="419">
        <f t="shared" si="4"/>
        <v>-529643.89</v>
      </c>
      <c r="Q36" s="414"/>
      <c r="R36" s="419">
        <v>-518274.37</v>
      </c>
      <c r="S36" s="419">
        <v>-526146.49</v>
      </c>
      <c r="T36" s="419">
        <f t="shared" si="5"/>
        <v>-529643.89</v>
      </c>
      <c r="U36" s="414"/>
      <c r="V36" s="420">
        <f t="shared" si="6"/>
        <v>-3497.4000000000233</v>
      </c>
      <c r="W36" s="414"/>
      <c r="X36" s="414"/>
    </row>
    <row r="37" spans="1:25" s="421" customFormat="1" ht="5.0999999999999996" customHeight="1" outlineLevel="1">
      <c r="A37" s="416" t="s">
        <v>194</v>
      </c>
      <c r="B37" s="449" t="s">
        <v>194</v>
      </c>
      <c r="C37" s="449"/>
      <c r="D37" s="418"/>
      <c r="E37" s="418"/>
      <c r="F37" s="418"/>
      <c r="G37" s="418"/>
      <c r="H37" s="414"/>
      <c r="I37" s="414"/>
      <c r="J37" s="453"/>
      <c r="K37" s="414"/>
      <c r="L37" s="453"/>
      <c r="M37" s="414"/>
      <c r="N37" s="454"/>
      <c r="O37" s="414"/>
      <c r="P37" s="453"/>
      <c r="Q37" s="414"/>
      <c r="R37" s="453"/>
      <c r="S37" s="453"/>
      <c r="T37" s="453"/>
      <c r="U37" s="414"/>
      <c r="V37" s="454"/>
      <c r="W37" s="414"/>
      <c r="X37" s="414"/>
      <c r="Y37" s="414"/>
    </row>
    <row r="38" spans="1:25" s="421" customFormat="1">
      <c r="A38" s="416" t="s">
        <v>677</v>
      </c>
      <c r="B38" s="416" t="s">
        <v>194</v>
      </c>
      <c r="C38" s="416"/>
      <c r="D38" s="414"/>
      <c r="E38" s="414"/>
      <c r="F38" s="417" t="s">
        <v>687</v>
      </c>
      <c r="G38" s="414"/>
      <c r="H38" s="414"/>
      <c r="I38" s="414"/>
      <c r="J38" s="451">
        <f>SUM(J28:J37)</f>
        <v>3340247.2499999995</v>
      </c>
      <c r="K38" s="414"/>
      <c r="L38" s="451">
        <f>SUM(L28:L37)</f>
        <v>0</v>
      </c>
      <c r="M38" s="414"/>
      <c r="N38" s="452">
        <f>SUM(N28:N37)</f>
        <v>0</v>
      </c>
      <c r="O38" s="414"/>
      <c r="P38" s="451">
        <f t="shared" ref="P38" si="7">J38+L38+N38</f>
        <v>3340247.2499999995</v>
      </c>
      <c r="Q38" s="414"/>
      <c r="R38" s="451">
        <f>SUM(R28:R37)</f>
        <v>3044644.3499999996</v>
      </c>
      <c r="S38" s="451">
        <f>SUM(S28:S37)</f>
        <v>3349003.5599999996</v>
      </c>
      <c r="T38" s="451">
        <f>SUM(T28:T37)</f>
        <v>3340247.2499999995</v>
      </c>
      <c r="U38" s="414"/>
      <c r="V38" s="452">
        <f>SUM(V28:V37)</f>
        <v>-8756.3100000002014</v>
      </c>
      <c r="W38" s="414"/>
      <c r="X38" s="414"/>
      <c r="Y38" s="414"/>
    </row>
    <row r="39" spans="1:25" s="421" customFormat="1" outlineLevel="1">
      <c r="A39" s="414"/>
      <c r="B39" s="415" t="s">
        <v>688</v>
      </c>
      <c r="C39" s="416"/>
      <c r="D39" s="417">
        <v>12001</v>
      </c>
      <c r="E39" s="417" t="s">
        <v>689</v>
      </c>
      <c r="F39" s="418"/>
      <c r="G39" s="418"/>
      <c r="H39" s="414"/>
      <c r="I39" s="414"/>
      <c r="J39" s="419">
        <v>149165.29999999999</v>
      </c>
      <c r="K39" s="414"/>
      <c r="L39" s="419">
        <v>0</v>
      </c>
      <c r="M39" s="414"/>
      <c r="N39" s="420">
        <v>0</v>
      </c>
      <c r="O39" s="414"/>
      <c r="P39" s="419">
        <f>J39+L39+N39</f>
        <v>149165.29999999999</v>
      </c>
      <c r="Q39" s="414"/>
      <c r="R39" s="419">
        <v>149165.29999999999</v>
      </c>
      <c r="S39" s="419">
        <v>149165.29999999999</v>
      </c>
      <c r="T39" s="419">
        <f t="shared" ref="T39:T43" si="8">P39</f>
        <v>149165.29999999999</v>
      </c>
      <c r="U39" s="414"/>
      <c r="V39" s="420">
        <f t="shared" ref="V39:V43" si="9">T39-S39</f>
        <v>0</v>
      </c>
      <c r="W39" s="414"/>
      <c r="X39" s="414"/>
    </row>
    <row r="40" spans="1:25" s="421" customFormat="1" outlineLevel="1">
      <c r="A40" s="414"/>
      <c r="B40" s="415" t="s">
        <v>397</v>
      </c>
      <c r="C40" s="416"/>
      <c r="D40" s="417">
        <v>12002</v>
      </c>
      <c r="E40" s="417" t="s">
        <v>690</v>
      </c>
      <c r="F40" s="418"/>
      <c r="G40" s="418"/>
      <c r="H40" s="414"/>
      <c r="I40" s="414"/>
      <c r="J40" s="419">
        <v>9421.8700000000008</v>
      </c>
      <c r="K40" s="414"/>
      <c r="L40" s="419">
        <v>0</v>
      </c>
      <c r="M40" s="414"/>
      <c r="N40" s="420">
        <v>0</v>
      </c>
      <c r="O40" s="414"/>
      <c r="P40" s="419">
        <f>J40+L40+N40</f>
        <v>9421.8700000000008</v>
      </c>
      <c r="Q40" s="414"/>
      <c r="R40" s="419">
        <v>26423.86</v>
      </c>
      <c r="S40" s="419">
        <v>17694.53</v>
      </c>
      <c r="T40" s="419">
        <f t="shared" si="8"/>
        <v>9421.8700000000008</v>
      </c>
      <c r="U40" s="414"/>
      <c r="V40" s="420">
        <f t="shared" si="9"/>
        <v>-8272.659999999998</v>
      </c>
      <c r="W40" s="414"/>
      <c r="X40" s="414"/>
    </row>
    <row r="41" spans="1:25" s="421" customFormat="1" outlineLevel="1">
      <c r="A41" s="414"/>
      <c r="B41" s="415" t="s">
        <v>397</v>
      </c>
      <c r="C41" s="416"/>
      <c r="D41" s="417">
        <v>12003</v>
      </c>
      <c r="E41" s="417" t="s">
        <v>691</v>
      </c>
      <c r="F41" s="418"/>
      <c r="G41" s="418"/>
      <c r="H41" s="414"/>
      <c r="I41" s="414"/>
      <c r="J41" s="419">
        <v>16441.86</v>
      </c>
      <c r="K41" s="414"/>
      <c r="L41" s="419">
        <v>0</v>
      </c>
      <c r="M41" s="414"/>
      <c r="N41" s="420">
        <v>0</v>
      </c>
      <c r="O41" s="414"/>
      <c r="P41" s="419">
        <f>J41+L41+N41</f>
        <v>16441.86</v>
      </c>
      <c r="Q41" s="414"/>
      <c r="R41" s="419">
        <v>16441.86</v>
      </c>
      <c r="S41" s="419">
        <v>16441.86</v>
      </c>
      <c r="T41" s="419">
        <f t="shared" si="8"/>
        <v>16441.86</v>
      </c>
      <c r="U41" s="414"/>
      <c r="V41" s="420">
        <f t="shared" si="9"/>
        <v>0</v>
      </c>
      <c r="W41" s="414"/>
      <c r="X41" s="414"/>
    </row>
    <row r="42" spans="1:25" s="421" customFormat="1" outlineLevel="1">
      <c r="A42" s="414"/>
      <c r="B42" s="415" t="s">
        <v>397</v>
      </c>
      <c r="C42" s="416"/>
      <c r="D42" s="417">
        <v>12004</v>
      </c>
      <c r="E42" s="417" t="s">
        <v>692</v>
      </c>
      <c r="F42" s="418"/>
      <c r="G42" s="418"/>
      <c r="H42" s="414"/>
      <c r="I42" s="414"/>
      <c r="J42" s="419">
        <v>5443.9</v>
      </c>
      <c r="K42" s="414"/>
      <c r="L42" s="419">
        <v>0</v>
      </c>
      <c r="M42" s="414"/>
      <c r="N42" s="420">
        <v>0</v>
      </c>
      <c r="O42" s="414"/>
      <c r="P42" s="419">
        <f>J42+L42+N42</f>
        <v>5443.9</v>
      </c>
      <c r="Q42" s="414"/>
      <c r="R42" s="419">
        <v>5443.9</v>
      </c>
      <c r="S42" s="419">
        <v>5443.9</v>
      </c>
      <c r="T42" s="419">
        <f t="shared" si="8"/>
        <v>5443.9</v>
      </c>
      <c r="U42" s="414"/>
      <c r="V42" s="420">
        <f t="shared" si="9"/>
        <v>0</v>
      </c>
      <c r="W42" s="414"/>
      <c r="X42" s="414"/>
    </row>
    <row r="43" spans="1:25" s="421" customFormat="1" outlineLevel="1">
      <c r="A43" s="414"/>
      <c r="B43" s="415" t="s">
        <v>397</v>
      </c>
      <c r="C43" s="416"/>
      <c r="D43" s="417">
        <v>12005</v>
      </c>
      <c r="E43" s="417" t="s">
        <v>693</v>
      </c>
      <c r="F43" s="418"/>
      <c r="G43" s="418"/>
      <c r="H43" s="414"/>
      <c r="I43" s="414"/>
      <c r="J43" s="419">
        <v>22934.03</v>
      </c>
      <c r="K43" s="414"/>
      <c r="L43" s="419">
        <v>0</v>
      </c>
      <c r="M43" s="414"/>
      <c r="N43" s="420">
        <v>0</v>
      </c>
      <c r="O43" s="414"/>
      <c r="P43" s="419">
        <f>J43+L43+N43</f>
        <v>22934.03</v>
      </c>
      <c r="Q43" s="414"/>
      <c r="R43" s="419">
        <v>22934.03</v>
      </c>
      <c r="S43" s="419">
        <v>22934.03</v>
      </c>
      <c r="T43" s="419">
        <f t="shared" si="8"/>
        <v>22934.03</v>
      </c>
      <c r="U43" s="414"/>
      <c r="V43" s="420">
        <f t="shared" si="9"/>
        <v>0</v>
      </c>
      <c r="W43" s="414"/>
      <c r="X43" s="414"/>
    </row>
    <row r="44" spans="1:25" s="421" customFormat="1" ht="5.0999999999999996" customHeight="1" outlineLevel="1">
      <c r="A44" s="416" t="s">
        <v>194</v>
      </c>
      <c r="B44" s="449" t="s">
        <v>194</v>
      </c>
      <c r="C44" s="449"/>
      <c r="D44" s="418"/>
      <c r="E44" s="418"/>
      <c r="F44" s="418"/>
      <c r="G44" s="418"/>
      <c r="H44" s="414"/>
      <c r="I44" s="414"/>
      <c r="J44" s="453"/>
      <c r="K44" s="414"/>
      <c r="L44" s="453"/>
      <c r="M44" s="414"/>
      <c r="N44" s="454"/>
      <c r="O44" s="414"/>
      <c r="P44" s="453"/>
      <c r="Q44" s="414"/>
      <c r="R44" s="453"/>
      <c r="S44" s="453"/>
      <c r="T44" s="453"/>
      <c r="U44" s="414"/>
      <c r="V44" s="454"/>
      <c r="W44" s="414"/>
      <c r="X44" s="414"/>
      <c r="Y44" s="414"/>
    </row>
    <row r="45" spans="1:25" s="421" customFormat="1">
      <c r="A45" s="416" t="s">
        <v>688</v>
      </c>
      <c r="B45" s="416" t="s">
        <v>194</v>
      </c>
      <c r="C45" s="416"/>
      <c r="D45" s="414"/>
      <c r="E45" s="414"/>
      <c r="F45" s="417" t="s">
        <v>694</v>
      </c>
      <c r="G45" s="414"/>
      <c r="H45" s="414"/>
      <c r="I45" s="414"/>
      <c r="J45" s="451">
        <f>SUM(J39:J44)</f>
        <v>203406.95999999996</v>
      </c>
      <c r="K45" s="414"/>
      <c r="L45" s="451">
        <f>SUM(L39:L44)</f>
        <v>0</v>
      </c>
      <c r="M45" s="414"/>
      <c r="N45" s="452">
        <f>SUM(N39:N44)</f>
        <v>0</v>
      </c>
      <c r="O45" s="414"/>
      <c r="P45" s="451">
        <f t="shared" ref="P45" si="10">J45+L45+N45</f>
        <v>203406.95999999996</v>
      </c>
      <c r="Q45" s="414"/>
      <c r="R45" s="451">
        <f>SUM(R39:R44)</f>
        <v>220408.94999999995</v>
      </c>
      <c r="S45" s="451">
        <f>SUM(S39:S44)</f>
        <v>211679.62</v>
      </c>
      <c r="T45" s="451">
        <f>SUM(T39:T44)</f>
        <v>203406.95999999996</v>
      </c>
      <c r="U45" s="414"/>
      <c r="V45" s="452">
        <f>SUM(V39:V44)</f>
        <v>-8272.659999999998</v>
      </c>
      <c r="W45" s="414"/>
      <c r="X45" s="414"/>
      <c r="Y45" s="414"/>
    </row>
    <row r="46" spans="1:25" s="421" customFormat="1" outlineLevel="1">
      <c r="A46" s="414"/>
      <c r="B46" s="415" t="s">
        <v>695</v>
      </c>
      <c r="C46" s="416"/>
      <c r="D46" s="417">
        <v>13001</v>
      </c>
      <c r="E46" s="417" t="s">
        <v>696</v>
      </c>
      <c r="F46" s="418"/>
      <c r="G46" s="418"/>
      <c r="H46" s="414"/>
      <c r="I46" s="414"/>
      <c r="J46" s="419">
        <v>47277.33</v>
      </c>
      <c r="K46" s="414"/>
      <c r="L46" s="419">
        <v>0</v>
      </c>
      <c r="M46" s="414"/>
      <c r="N46" s="420">
        <v>0</v>
      </c>
      <c r="O46" s="414"/>
      <c r="P46" s="419">
        <f>J46+L46+N46</f>
        <v>47277.33</v>
      </c>
      <c r="Q46" s="414"/>
      <c r="R46" s="419">
        <v>59096.67</v>
      </c>
      <c r="S46" s="419">
        <v>53187</v>
      </c>
      <c r="T46" s="419">
        <f t="shared" ref="T46:T49" si="11">P46</f>
        <v>47277.33</v>
      </c>
      <c r="U46" s="414"/>
      <c r="V46" s="420">
        <f t="shared" ref="V46:V49" si="12">T46-S46</f>
        <v>-5909.6699999999983</v>
      </c>
      <c r="W46" s="414"/>
      <c r="X46" s="414"/>
    </row>
    <row r="47" spans="1:25" s="421" customFormat="1" outlineLevel="1">
      <c r="A47" s="414"/>
      <c r="B47" s="415" t="s">
        <v>397</v>
      </c>
      <c r="C47" s="416"/>
      <c r="D47" s="417">
        <v>13003</v>
      </c>
      <c r="E47" s="417" t="s">
        <v>697</v>
      </c>
      <c r="F47" s="418"/>
      <c r="G47" s="418"/>
      <c r="H47" s="414"/>
      <c r="I47" s="414"/>
      <c r="J47" s="419">
        <v>413.33</v>
      </c>
      <c r="K47" s="414"/>
      <c r="L47" s="419">
        <v>0</v>
      </c>
      <c r="M47" s="414"/>
      <c r="N47" s="420">
        <v>0</v>
      </c>
      <c r="O47" s="414"/>
      <c r="P47" s="419">
        <f>J47+L47+N47</f>
        <v>413.33</v>
      </c>
      <c r="Q47" s="414"/>
      <c r="R47" s="419">
        <v>826.67</v>
      </c>
      <c r="S47" s="419">
        <v>620</v>
      </c>
      <c r="T47" s="419">
        <f t="shared" si="11"/>
        <v>413.33</v>
      </c>
      <c r="U47" s="414"/>
      <c r="V47" s="420">
        <f t="shared" si="12"/>
        <v>-206.67000000000002</v>
      </c>
      <c r="W47" s="414"/>
      <c r="X47" s="414"/>
    </row>
    <row r="48" spans="1:25" s="421" customFormat="1" outlineLevel="1">
      <c r="A48" s="414"/>
      <c r="B48" s="415" t="s">
        <v>397</v>
      </c>
      <c r="C48" s="416"/>
      <c r="D48" s="417">
        <v>13004</v>
      </c>
      <c r="E48" s="417" t="s">
        <v>698</v>
      </c>
      <c r="F48" s="418"/>
      <c r="G48" s="418"/>
      <c r="H48" s="414"/>
      <c r="I48" s="414"/>
      <c r="J48" s="419">
        <v>72819.61</v>
      </c>
      <c r="K48" s="414"/>
      <c r="L48" s="419">
        <v>0</v>
      </c>
      <c r="M48" s="414"/>
      <c r="N48" s="420">
        <v>0</v>
      </c>
      <c r="O48" s="414"/>
      <c r="P48" s="419">
        <f>J48+L48+N48</f>
        <v>72819.61</v>
      </c>
      <c r="Q48" s="414"/>
      <c r="R48" s="419">
        <v>0</v>
      </c>
      <c r="S48" s="419">
        <v>0</v>
      </c>
      <c r="T48" s="419">
        <f t="shared" si="11"/>
        <v>72819.61</v>
      </c>
      <c r="U48" s="414"/>
      <c r="V48" s="420">
        <f t="shared" si="12"/>
        <v>72819.61</v>
      </c>
      <c r="W48" s="414"/>
      <c r="X48" s="414"/>
    </row>
    <row r="49" spans="1:25" s="421" customFormat="1" outlineLevel="1">
      <c r="A49" s="414"/>
      <c r="B49" s="415" t="s">
        <v>397</v>
      </c>
      <c r="C49" s="416"/>
      <c r="D49" s="417">
        <v>13008</v>
      </c>
      <c r="E49" s="417" t="s">
        <v>699</v>
      </c>
      <c r="F49" s="418"/>
      <c r="G49" s="418"/>
      <c r="H49" s="414"/>
      <c r="I49" s="414"/>
      <c r="J49" s="419">
        <v>25749.86</v>
      </c>
      <c r="K49" s="414"/>
      <c r="L49" s="419">
        <v>0</v>
      </c>
      <c r="M49" s="414"/>
      <c r="N49" s="420">
        <v>0</v>
      </c>
      <c r="O49" s="414"/>
      <c r="P49" s="419">
        <f>J49+L49+N49</f>
        <v>25749.86</v>
      </c>
      <c r="Q49" s="414"/>
      <c r="R49" s="419">
        <v>7227.37</v>
      </c>
      <c r="S49" s="419">
        <v>24581.02</v>
      </c>
      <c r="T49" s="419">
        <f t="shared" si="11"/>
        <v>25749.86</v>
      </c>
      <c r="U49" s="414"/>
      <c r="V49" s="420">
        <f t="shared" si="12"/>
        <v>1168.8400000000001</v>
      </c>
      <c r="W49" s="414"/>
      <c r="X49" s="414"/>
    </row>
    <row r="50" spans="1:25" s="421" customFormat="1" ht="3.75" customHeight="1" outlineLevel="1">
      <c r="A50" s="416" t="s">
        <v>194</v>
      </c>
      <c r="B50" s="449" t="s">
        <v>194</v>
      </c>
      <c r="C50" s="449"/>
      <c r="D50" s="418"/>
      <c r="E50" s="418"/>
      <c r="F50" s="418"/>
      <c r="G50" s="418"/>
      <c r="H50" s="414"/>
      <c r="I50" s="414"/>
      <c r="J50" s="453"/>
      <c r="K50" s="414"/>
      <c r="L50" s="453"/>
      <c r="M50" s="414"/>
      <c r="N50" s="454"/>
      <c r="O50" s="414"/>
      <c r="P50" s="453"/>
      <c r="Q50" s="414"/>
      <c r="R50" s="453"/>
      <c r="S50" s="453"/>
      <c r="T50" s="453"/>
      <c r="U50" s="414"/>
      <c r="V50" s="454"/>
      <c r="W50" s="414"/>
      <c r="X50" s="414"/>
      <c r="Y50" s="414"/>
    </row>
    <row r="51" spans="1:25" s="421" customFormat="1">
      <c r="A51" s="416" t="s">
        <v>695</v>
      </c>
      <c r="B51" s="416" t="s">
        <v>194</v>
      </c>
      <c r="C51" s="416"/>
      <c r="D51" s="414"/>
      <c r="E51" s="414"/>
      <c r="F51" s="417" t="s">
        <v>700</v>
      </c>
      <c r="G51" s="414"/>
      <c r="H51" s="414"/>
      <c r="I51" s="414"/>
      <c r="J51" s="451">
        <f>SUM(J46:J50)</f>
        <v>146260.13</v>
      </c>
      <c r="K51" s="414"/>
      <c r="L51" s="451">
        <f>SUM(L46:L50)</f>
        <v>0</v>
      </c>
      <c r="M51" s="414"/>
      <c r="N51" s="452">
        <f>SUM(N46:N50)</f>
        <v>0</v>
      </c>
      <c r="O51" s="414"/>
      <c r="P51" s="451">
        <f>J51+L51+N51</f>
        <v>146260.13</v>
      </c>
      <c r="Q51" s="414"/>
      <c r="R51" s="451">
        <f>SUM(R46:R50)</f>
        <v>67150.709999999992</v>
      </c>
      <c r="S51" s="451">
        <f>SUM(S46:S50)</f>
        <v>78388.02</v>
      </c>
      <c r="T51" s="451">
        <f>SUM(T46:T50)</f>
        <v>146260.13</v>
      </c>
      <c r="U51" s="455"/>
      <c r="V51" s="452">
        <f>SUM(V46:V50)</f>
        <v>67872.11</v>
      </c>
      <c r="W51" s="414"/>
      <c r="X51" s="414"/>
      <c r="Y51" s="414"/>
    </row>
    <row r="52" spans="1:25" s="421" customFormat="1" outlineLevel="1">
      <c r="A52" s="414"/>
      <c r="B52" s="415" t="s">
        <v>701</v>
      </c>
      <c r="C52" s="416"/>
      <c r="D52" s="417"/>
      <c r="E52" s="417"/>
      <c r="F52" s="418"/>
      <c r="G52" s="418"/>
      <c r="H52" s="414"/>
      <c r="I52" s="414"/>
      <c r="J52" s="419"/>
      <c r="K52" s="414"/>
      <c r="L52" s="419"/>
      <c r="M52" s="414"/>
      <c r="N52" s="420"/>
      <c r="O52" s="414"/>
      <c r="P52" s="419">
        <f>J52+L52+N52</f>
        <v>0</v>
      </c>
      <c r="Q52" s="414"/>
      <c r="R52" s="419"/>
      <c r="S52" s="419"/>
      <c r="T52" s="419">
        <f>P52</f>
        <v>0</v>
      </c>
      <c r="U52" s="414"/>
      <c r="V52" s="420">
        <f>T52-S52</f>
        <v>0</v>
      </c>
      <c r="W52" s="414"/>
      <c r="X52" s="414"/>
    </row>
    <row r="53" spans="1:25" s="421" customFormat="1" ht="3.75" customHeight="1" outlineLevel="1">
      <c r="A53" s="416" t="s">
        <v>194</v>
      </c>
      <c r="B53" s="449" t="s">
        <v>194</v>
      </c>
      <c r="C53" s="449"/>
      <c r="D53" s="418"/>
      <c r="E53" s="418"/>
      <c r="F53" s="418"/>
      <c r="G53" s="418"/>
      <c r="H53" s="414"/>
      <c r="I53" s="414"/>
      <c r="J53" s="453"/>
      <c r="K53" s="414"/>
      <c r="L53" s="453"/>
      <c r="M53" s="414"/>
      <c r="N53" s="454"/>
      <c r="O53" s="414"/>
      <c r="P53" s="453"/>
      <c r="Q53" s="414"/>
      <c r="R53" s="453"/>
      <c r="S53" s="453"/>
      <c r="T53" s="453"/>
      <c r="U53" s="414"/>
      <c r="V53" s="454"/>
      <c r="W53" s="414"/>
      <c r="X53" s="414"/>
      <c r="Y53" s="414"/>
    </row>
    <row r="54" spans="1:25" s="421" customFormat="1">
      <c r="A54" s="416" t="s">
        <v>701</v>
      </c>
      <c r="B54" s="416" t="s">
        <v>194</v>
      </c>
      <c r="C54" s="416"/>
      <c r="D54" s="414"/>
      <c r="E54" s="414"/>
      <c r="F54" s="417" t="s">
        <v>702</v>
      </c>
      <c r="G54" s="414"/>
      <c r="H54" s="414"/>
      <c r="I54" s="414"/>
      <c r="J54" s="451">
        <f>SUM(J52:J53)</f>
        <v>0</v>
      </c>
      <c r="K54" s="414"/>
      <c r="L54" s="451">
        <f>SUM(L52:L53)</f>
        <v>0</v>
      </c>
      <c r="M54" s="414"/>
      <c r="N54" s="452">
        <f>SUM(N52:N53)</f>
        <v>0</v>
      </c>
      <c r="O54" s="414"/>
      <c r="P54" s="451">
        <f>J54+L54+N54</f>
        <v>0</v>
      </c>
      <c r="Q54" s="414"/>
      <c r="R54" s="451">
        <f>SUM(R52:R53)</f>
        <v>0</v>
      </c>
      <c r="S54" s="451">
        <f>SUM(S52:S53)</f>
        <v>0</v>
      </c>
      <c r="T54" s="451">
        <f>SUM(T52:T53)</f>
        <v>0</v>
      </c>
      <c r="U54" s="455"/>
      <c r="V54" s="452">
        <f>SUM(V52:V53)</f>
        <v>0</v>
      </c>
      <c r="W54" s="414"/>
      <c r="X54" s="414"/>
      <c r="Y54" s="414"/>
    </row>
    <row r="55" spans="1:25" s="421" customFormat="1" ht="7.5" customHeight="1">
      <c r="A55" s="449" t="s">
        <v>194</v>
      </c>
      <c r="B55" s="449" t="s">
        <v>194</v>
      </c>
      <c r="C55" s="449"/>
      <c r="D55" s="414"/>
      <c r="E55" s="414"/>
      <c r="F55" s="414"/>
      <c r="G55" s="414"/>
      <c r="H55" s="414"/>
      <c r="I55" s="414"/>
      <c r="J55" s="456"/>
      <c r="K55" s="414"/>
      <c r="L55" s="456"/>
      <c r="M55" s="414"/>
      <c r="N55" s="456"/>
      <c r="O55" s="414"/>
      <c r="P55" s="456"/>
      <c r="Q55" s="414"/>
      <c r="R55" s="456"/>
      <c r="S55" s="456"/>
      <c r="T55" s="456"/>
      <c r="U55" s="414"/>
      <c r="V55" s="456"/>
      <c r="W55" s="414"/>
      <c r="X55" s="414"/>
      <c r="Y55" s="414"/>
    </row>
    <row r="56" spans="1:25" s="421" customFormat="1">
      <c r="A56" s="416" t="s">
        <v>194</v>
      </c>
      <c r="B56" s="449" t="s">
        <v>194</v>
      </c>
      <c r="C56" s="449"/>
      <c r="D56" s="414"/>
      <c r="E56" s="457" t="s">
        <v>703</v>
      </c>
      <c r="F56" s="414"/>
      <c r="G56" s="414"/>
      <c r="H56" s="414"/>
      <c r="I56" s="414"/>
      <c r="J56" s="406">
        <f>SUM(J27,J38,J45,J51,J54)</f>
        <v>3745721.3799999994</v>
      </c>
      <c r="K56" s="414"/>
      <c r="L56" s="406">
        <f>SUM(L27,L38,L45,L51,L54)</f>
        <v>0</v>
      </c>
      <c r="M56" s="414"/>
      <c r="N56" s="405">
        <f>SUM(N27,N38,N45,N51,N54)</f>
        <v>0</v>
      </c>
      <c r="O56" s="414"/>
      <c r="P56" s="406">
        <f>SUM(P27,P38,P45,P51,P54)</f>
        <v>3745721.3799999994</v>
      </c>
      <c r="Q56" s="414"/>
      <c r="R56" s="406">
        <f>SUM(R27,R38,R45,R51,R54)</f>
        <v>3384700.88</v>
      </c>
      <c r="S56" s="406">
        <f>SUM(S27,S38,S45,S51,S54)</f>
        <v>3677592.26</v>
      </c>
      <c r="T56" s="406">
        <f>SUM(T27,T38,T45,T51,T54)</f>
        <v>3745721.3799999994</v>
      </c>
      <c r="U56" s="414"/>
      <c r="V56" s="405">
        <f>SUM(V27,V38,V45,V51,V54)</f>
        <v>68129.119999999792</v>
      </c>
      <c r="W56" s="414"/>
      <c r="X56" s="414"/>
      <c r="Y56" s="414"/>
    </row>
    <row r="57" spans="1:25" s="421" customFormat="1" ht="7.5" customHeight="1">
      <c r="A57" s="449" t="s">
        <v>194</v>
      </c>
      <c r="B57" s="449" t="s">
        <v>194</v>
      </c>
      <c r="C57" s="449"/>
      <c r="D57" s="414"/>
      <c r="E57" s="414"/>
      <c r="F57" s="414"/>
      <c r="G57" s="414"/>
      <c r="H57" s="414"/>
      <c r="I57" s="414"/>
      <c r="J57" s="456"/>
      <c r="K57" s="414"/>
      <c r="L57" s="456"/>
      <c r="M57" s="414"/>
      <c r="N57" s="420"/>
      <c r="O57" s="414"/>
      <c r="P57" s="456"/>
      <c r="Q57" s="414"/>
      <c r="R57" s="456"/>
      <c r="S57" s="456"/>
      <c r="T57" s="456"/>
      <c r="U57" s="414"/>
      <c r="V57" s="420"/>
      <c r="W57" s="414"/>
      <c r="X57" s="414"/>
      <c r="Y57" s="414"/>
    </row>
    <row r="58" spans="1:25" s="421" customFormat="1" outlineLevel="1">
      <c r="A58" s="449" t="s">
        <v>194</v>
      </c>
      <c r="B58" s="449" t="s">
        <v>194</v>
      </c>
      <c r="C58" s="449"/>
      <c r="D58" s="414"/>
      <c r="E58" s="414"/>
      <c r="F58" s="414"/>
      <c r="G58" s="414"/>
      <c r="H58" s="414"/>
      <c r="I58" s="414"/>
      <c r="J58" s="456"/>
      <c r="K58" s="414"/>
      <c r="L58" s="456"/>
      <c r="M58" s="414"/>
      <c r="N58" s="420"/>
      <c r="O58" s="414"/>
      <c r="P58" s="456"/>
      <c r="Q58" s="414"/>
      <c r="R58" s="456"/>
      <c r="S58" s="456"/>
      <c r="T58" s="456"/>
      <c r="U58" s="414"/>
      <c r="V58" s="420"/>
      <c r="W58" s="414"/>
      <c r="X58" s="414"/>
      <c r="Y58" s="414"/>
    </row>
    <row r="59" spans="1:25" s="421" customFormat="1" outlineLevel="1">
      <c r="A59" s="414"/>
      <c r="B59" s="415" t="s">
        <v>704</v>
      </c>
      <c r="C59" s="416"/>
      <c r="D59" s="417">
        <v>14002</v>
      </c>
      <c r="E59" s="417" t="s">
        <v>705</v>
      </c>
      <c r="F59" s="418"/>
      <c r="G59" s="418"/>
      <c r="H59" s="414"/>
      <c r="I59" s="414"/>
      <c r="J59" s="419">
        <v>4312000</v>
      </c>
      <c r="K59" s="414"/>
      <c r="L59" s="419">
        <v>0</v>
      </c>
      <c r="M59" s="414"/>
      <c r="N59" s="420">
        <v>0</v>
      </c>
      <c r="O59" s="414"/>
      <c r="P59" s="419">
        <f t="shared" ref="P59:P96" si="13">J59+L59+N59</f>
        <v>4312000</v>
      </c>
      <c r="Q59" s="414"/>
      <c r="R59" s="419">
        <v>4312000</v>
      </c>
      <c r="S59" s="419">
        <v>4312000</v>
      </c>
      <c r="T59" s="419">
        <f t="shared" ref="T59:T96" si="14">P59</f>
        <v>4312000</v>
      </c>
      <c r="U59" s="414"/>
      <c r="V59" s="420">
        <f t="shared" ref="V59:V96" si="15">T59-S59</f>
        <v>0</v>
      </c>
      <c r="W59" s="414"/>
      <c r="X59" s="414"/>
    </row>
    <row r="60" spans="1:25" s="421" customFormat="1" outlineLevel="1">
      <c r="A60" s="414"/>
      <c r="B60" s="415" t="s">
        <v>397</v>
      </c>
      <c r="C60" s="416"/>
      <c r="D60" s="417">
        <v>14011</v>
      </c>
      <c r="E60" s="417" t="s">
        <v>706</v>
      </c>
      <c r="F60" s="418"/>
      <c r="G60" s="418"/>
      <c r="H60" s="414"/>
      <c r="I60" s="414"/>
      <c r="J60" s="419">
        <v>27878.91</v>
      </c>
      <c r="K60" s="414"/>
      <c r="L60" s="419">
        <v>0</v>
      </c>
      <c r="M60" s="414"/>
      <c r="N60" s="420">
        <v>0</v>
      </c>
      <c r="O60" s="414"/>
      <c r="P60" s="419">
        <f t="shared" si="13"/>
        <v>27878.91</v>
      </c>
      <c r="Q60" s="414"/>
      <c r="R60" s="419">
        <v>27878.91</v>
      </c>
      <c r="S60" s="419">
        <v>27878.91</v>
      </c>
      <c r="T60" s="419">
        <f t="shared" si="14"/>
        <v>27878.91</v>
      </c>
      <c r="U60" s="414"/>
      <c r="V60" s="420">
        <f t="shared" si="15"/>
        <v>0</v>
      </c>
      <c r="W60" s="414"/>
      <c r="X60" s="414"/>
    </row>
    <row r="61" spans="1:25" s="421" customFormat="1" outlineLevel="1">
      <c r="A61" s="414"/>
      <c r="B61" s="415" t="s">
        <v>397</v>
      </c>
      <c r="C61" s="416"/>
      <c r="D61" s="417">
        <v>14012</v>
      </c>
      <c r="E61" s="417" t="s">
        <v>707</v>
      </c>
      <c r="F61" s="418"/>
      <c r="G61" s="418"/>
      <c r="H61" s="414"/>
      <c r="I61" s="414"/>
      <c r="J61" s="419">
        <v>600000</v>
      </c>
      <c r="K61" s="414"/>
      <c r="L61" s="419">
        <v>0</v>
      </c>
      <c r="M61" s="414"/>
      <c r="N61" s="420">
        <v>0</v>
      </c>
      <c r="O61" s="414"/>
      <c r="P61" s="419">
        <f t="shared" si="13"/>
        <v>600000</v>
      </c>
      <c r="Q61" s="414"/>
      <c r="R61" s="419">
        <v>600000</v>
      </c>
      <c r="S61" s="419">
        <v>600000</v>
      </c>
      <c r="T61" s="419">
        <f t="shared" si="14"/>
        <v>600000</v>
      </c>
      <c r="U61" s="414"/>
      <c r="V61" s="420">
        <f t="shared" si="15"/>
        <v>0</v>
      </c>
      <c r="W61" s="414"/>
      <c r="X61" s="414"/>
    </row>
    <row r="62" spans="1:25" s="421" customFormat="1" outlineLevel="1">
      <c r="A62" s="414"/>
      <c r="B62" s="415" t="s">
        <v>397</v>
      </c>
      <c r="C62" s="416"/>
      <c r="D62" s="417">
        <v>14016</v>
      </c>
      <c r="E62" s="417" t="s">
        <v>708</v>
      </c>
      <c r="F62" s="418"/>
      <c r="G62" s="418"/>
      <c r="H62" s="414"/>
      <c r="I62" s="414"/>
      <c r="J62" s="419">
        <v>-303434.39</v>
      </c>
      <c r="K62" s="414"/>
      <c r="L62" s="419">
        <v>0</v>
      </c>
      <c r="M62" s="414"/>
      <c r="N62" s="420">
        <v>0</v>
      </c>
      <c r="O62" s="414"/>
      <c r="P62" s="419">
        <f t="shared" si="13"/>
        <v>-303434.39</v>
      </c>
      <c r="Q62" s="414"/>
      <c r="R62" s="419">
        <v>-297969.74</v>
      </c>
      <c r="S62" s="419">
        <v>-300702.07</v>
      </c>
      <c r="T62" s="419">
        <f t="shared" si="14"/>
        <v>-303434.39</v>
      </c>
      <c r="U62" s="414"/>
      <c r="V62" s="420">
        <f t="shared" si="15"/>
        <v>-2732.320000000007</v>
      </c>
      <c r="W62" s="414"/>
      <c r="X62" s="414"/>
    </row>
    <row r="63" spans="1:25" s="421" customFormat="1" outlineLevel="1">
      <c r="A63" s="414"/>
      <c r="B63" s="415" t="s">
        <v>397</v>
      </c>
      <c r="C63" s="416"/>
      <c r="D63" s="417">
        <v>14031</v>
      </c>
      <c r="E63" s="417" t="s">
        <v>709</v>
      </c>
      <c r="F63" s="418"/>
      <c r="G63" s="418"/>
      <c r="H63" s="414"/>
      <c r="I63" s="414"/>
      <c r="J63" s="419">
        <v>42334.3</v>
      </c>
      <c r="K63" s="414"/>
      <c r="L63" s="419">
        <v>0</v>
      </c>
      <c r="M63" s="414"/>
      <c r="N63" s="420">
        <v>0</v>
      </c>
      <c r="O63" s="414"/>
      <c r="P63" s="419">
        <f t="shared" si="13"/>
        <v>42334.3</v>
      </c>
      <c r="Q63" s="414"/>
      <c r="R63" s="419">
        <v>42334.3</v>
      </c>
      <c r="S63" s="419">
        <v>42334.3</v>
      </c>
      <c r="T63" s="419">
        <f t="shared" si="14"/>
        <v>42334.3</v>
      </c>
      <c r="U63" s="414"/>
      <c r="V63" s="420">
        <f t="shared" si="15"/>
        <v>0</v>
      </c>
      <c r="W63" s="414"/>
      <c r="X63" s="414"/>
    </row>
    <row r="64" spans="1:25" s="421" customFormat="1" outlineLevel="1">
      <c r="A64" s="414"/>
      <c r="B64" s="415" t="s">
        <v>397</v>
      </c>
      <c r="C64" s="416"/>
      <c r="D64" s="417">
        <v>14032</v>
      </c>
      <c r="E64" s="417" t="s">
        <v>710</v>
      </c>
      <c r="F64" s="418"/>
      <c r="G64" s="418"/>
      <c r="H64" s="414"/>
      <c r="I64" s="414"/>
      <c r="J64" s="419">
        <v>24500</v>
      </c>
      <c r="K64" s="414"/>
      <c r="L64" s="419">
        <v>0</v>
      </c>
      <c r="M64" s="414"/>
      <c r="N64" s="420">
        <v>0</v>
      </c>
      <c r="O64" s="414"/>
      <c r="P64" s="419">
        <f t="shared" si="13"/>
        <v>24500</v>
      </c>
      <c r="Q64" s="414"/>
      <c r="R64" s="419">
        <v>24500</v>
      </c>
      <c r="S64" s="419">
        <v>24500</v>
      </c>
      <c r="T64" s="419">
        <f t="shared" si="14"/>
        <v>24500</v>
      </c>
      <c r="U64" s="414"/>
      <c r="V64" s="420">
        <f t="shared" si="15"/>
        <v>0</v>
      </c>
      <c r="W64" s="414"/>
      <c r="X64" s="414"/>
    </row>
    <row r="65" spans="1:24" s="421" customFormat="1" outlineLevel="1">
      <c r="A65" s="414"/>
      <c r="B65" s="415" t="s">
        <v>397</v>
      </c>
      <c r="C65" s="416"/>
      <c r="D65" s="417">
        <v>14033</v>
      </c>
      <c r="E65" s="417" t="s">
        <v>711</v>
      </c>
      <c r="F65" s="418"/>
      <c r="G65" s="418"/>
      <c r="H65" s="414"/>
      <c r="I65" s="414"/>
      <c r="J65" s="419">
        <v>-20665.36</v>
      </c>
      <c r="K65" s="414"/>
      <c r="L65" s="419">
        <v>0</v>
      </c>
      <c r="M65" s="414"/>
      <c r="N65" s="420">
        <v>0</v>
      </c>
      <c r="O65" s="414"/>
      <c r="P65" s="419">
        <f t="shared" si="13"/>
        <v>-20665.36</v>
      </c>
      <c r="Q65" s="414"/>
      <c r="R65" s="419">
        <v>9820.64</v>
      </c>
      <c r="S65" s="419">
        <v>9820.64</v>
      </c>
      <c r="T65" s="419">
        <f t="shared" si="14"/>
        <v>-20665.36</v>
      </c>
      <c r="U65" s="414"/>
      <c r="V65" s="420">
        <f t="shared" si="15"/>
        <v>-30486</v>
      </c>
      <c r="W65" s="414"/>
      <c r="X65" s="414"/>
    </row>
    <row r="66" spans="1:24" s="421" customFormat="1" outlineLevel="1">
      <c r="A66" s="414"/>
      <c r="B66" s="415" t="s">
        <v>397</v>
      </c>
      <c r="C66" s="416"/>
      <c r="D66" s="417">
        <v>14036</v>
      </c>
      <c r="E66" s="417" t="s">
        <v>712</v>
      </c>
      <c r="F66" s="418"/>
      <c r="G66" s="418"/>
      <c r="H66" s="414"/>
      <c r="I66" s="414"/>
      <c r="J66" s="419">
        <v>-38419.29</v>
      </c>
      <c r="K66" s="414"/>
      <c r="L66" s="419">
        <v>0</v>
      </c>
      <c r="M66" s="414"/>
      <c r="N66" s="420">
        <v>0</v>
      </c>
      <c r="O66" s="414"/>
      <c r="P66" s="419">
        <f t="shared" si="13"/>
        <v>-38419.29</v>
      </c>
      <c r="Q66" s="414"/>
      <c r="R66" s="419">
        <v>-37353.040000000001</v>
      </c>
      <c r="S66" s="419">
        <v>-38309.58</v>
      </c>
      <c r="T66" s="419">
        <f t="shared" si="14"/>
        <v>-38419.29</v>
      </c>
      <c r="U66" s="414"/>
      <c r="V66" s="420">
        <f t="shared" si="15"/>
        <v>-109.70999999999913</v>
      </c>
      <c r="W66" s="414"/>
      <c r="X66" s="414"/>
    </row>
    <row r="67" spans="1:24" s="421" customFormat="1" outlineLevel="1">
      <c r="A67" s="414"/>
      <c r="B67" s="415" t="s">
        <v>397</v>
      </c>
      <c r="C67" s="416"/>
      <c r="D67" s="417">
        <v>14037</v>
      </c>
      <c r="E67" s="417" t="s">
        <v>711</v>
      </c>
      <c r="F67" s="418"/>
      <c r="G67" s="418"/>
      <c r="H67" s="414"/>
      <c r="I67" s="414"/>
      <c r="J67" s="419">
        <v>1026.8599999999999</v>
      </c>
      <c r="K67" s="414"/>
      <c r="L67" s="419">
        <v>0</v>
      </c>
      <c r="M67" s="414"/>
      <c r="N67" s="420">
        <v>0</v>
      </c>
      <c r="O67" s="414"/>
      <c r="P67" s="419">
        <f t="shared" si="13"/>
        <v>1026.8599999999999</v>
      </c>
      <c r="Q67" s="414"/>
      <c r="R67" s="419">
        <v>-28612.31</v>
      </c>
      <c r="S67" s="419">
        <v>-28612.31</v>
      </c>
      <c r="T67" s="419">
        <f t="shared" si="14"/>
        <v>1026.8599999999999</v>
      </c>
      <c r="U67" s="414"/>
      <c r="V67" s="420">
        <f t="shared" si="15"/>
        <v>29639.170000000002</v>
      </c>
      <c r="W67" s="414"/>
      <c r="X67" s="414"/>
    </row>
    <row r="68" spans="1:24" s="421" customFormat="1" outlineLevel="1">
      <c r="A68" s="414"/>
      <c r="B68" s="415" t="s">
        <v>397</v>
      </c>
      <c r="C68" s="416"/>
      <c r="D68" s="417">
        <v>14041</v>
      </c>
      <c r="E68" s="417" t="s">
        <v>713</v>
      </c>
      <c r="F68" s="418"/>
      <c r="G68" s="418"/>
      <c r="H68" s="414"/>
      <c r="I68" s="414"/>
      <c r="J68" s="419">
        <v>7910396.7400000002</v>
      </c>
      <c r="K68" s="414"/>
      <c r="L68" s="419">
        <v>0</v>
      </c>
      <c r="M68" s="414"/>
      <c r="N68" s="420">
        <v>0</v>
      </c>
      <c r="O68" s="414"/>
      <c r="P68" s="419">
        <f t="shared" si="13"/>
        <v>7910396.7400000002</v>
      </c>
      <c r="Q68" s="414"/>
      <c r="R68" s="419">
        <v>7385873.0099999998</v>
      </c>
      <c r="S68" s="419">
        <v>7570718.9900000002</v>
      </c>
      <c r="T68" s="419">
        <f t="shared" si="14"/>
        <v>7910396.7400000002</v>
      </c>
      <c r="U68" s="414"/>
      <c r="V68" s="420">
        <f t="shared" si="15"/>
        <v>339677.75</v>
      </c>
      <c r="W68" s="414"/>
      <c r="X68" s="414"/>
    </row>
    <row r="69" spans="1:24" s="421" customFormat="1" outlineLevel="1">
      <c r="A69" s="414"/>
      <c r="B69" s="415" t="s">
        <v>397</v>
      </c>
      <c r="C69" s="416"/>
      <c r="D69" s="417">
        <v>14042</v>
      </c>
      <c r="E69" s="417" t="s">
        <v>714</v>
      </c>
      <c r="F69" s="418"/>
      <c r="G69" s="418"/>
      <c r="H69" s="414"/>
      <c r="I69" s="414"/>
      <c r="J69" s="419">
        <v>5814965.5499999998</v>
      </c>
      <c r="K69" s="414"/>
      <c r="L69" s="419">
        <v>0</v>
      </c>
      <c r="M69" s="414"/>
      <c r="N69" s="420">
        <v>0</v>
      </c>
      <c r="O69" s="414"/>
      <c r="P69" s="419">
        <f t="shared" si="13"/>
        <v>5814965.5499999998</v>
      </c>
      <c r="Q69" s="414"/>
      <c r="R69" s="419">
        <v>5814965.5499999998</v>
      </c>
      <c r="S69" s="419">
        <v>5814965.5499999998</v>
      </c>
      <c r="T69" s="419">
        <f t="shared" si="14"/>
        <v>5814965.5499999998</v>
      </c>
      <c r="U69" s="414"/>
      <c r="V69" s="420">
        <f t="shared" si="15"/>
        <v>0</v>
      </c>
      <c r="W69" s="414"/>
      <c r="X69" s="414"/>
    </row>
    <row r="70" spans="1:24" s="421" customFormat="1" outlineLevel="1">
      <c r="A70" s="414"/>
      <c r="B70" s="415" t="s">
        <v>397</v>
      </c>
      <c r="C70" s="416"/>
      <c r="D70" s="417">
        <v>14043</v>
      </c>
      <c r="E70" s="417" t="s">
        <v>715</v>
      </c>
      <c r="F70" s="418"/>
      <c r="G70" s="418"/>
      <c r="H70" s="414"/>
      <c r="I70" s="414"/>
      <c r="J70" s="419">
        <v>-332082.95</v>
      </c>
      <c r="K70" s="414"/>
      <c r="L70" s="419">
        <v>0</v>
      </c>
      <c r="M70" s="414"/>
      <c r="N70" s="420">
        <v>0</v>
      </c>
      <c r="O70" s="414"/>
      <c r="P70" s="419">
        <f t="shared" si="13"/>
        <v>-332082.95</v>
      </c>
      <c r="Q70" s="414"/>
      <c r="R70" s="419">
        <v>179268.17</v>
      </c>
      <c r="S70" s="419">
        <v>184768.17</v>
      </c>
      <c r="T70" s="419">
        <f t="shared" si="14"/>
        <v>-332082.95</v>
      </c>
      <c r="U70" s="414"/>
      <c r="V70" s="420">
        <f t="shared" si="15"/>
        <v>-516851.12</v>
      </c>
      <c r="W70" s="414"/>
      <c r="X70" s="414"/>
    </row>
    <row r="71" spans="1:24" s="421" customFormat="1" outlineLevel="1">
      <c r="A71" s="414"/>
      <c r="B71" s="415" t="s">
        <v>397</v>
      </c>
      <c r="C71" s="416"/>
      <c r="D71" s="417">
        <v>14044</v>
      </c>
      <c r="E71" s="417" t="s">
        <v>716</v>
      </c>
      <c r="F71" s="418"/>
      <c r="G71" s="418"/>
      <c r="H71" s="414"/>
      <c r="I71" s="414"/>
      <c r="J71" s="419">
        <v>-396423.05</v>
      </c>
      <c r="K71" s="414"/>
      <c r="L71" s="419">
        <v>0</v>
      </c>
      <c r="M71" s="414"/>
      <c r="N71" s="420">
        <v>0</v>
      </c>
      <c r="O71" s="414"/>
      <c r="P71" s="419">
        <f t="shared" si="13"/>
        <v>-396423.05</v>
      </c>
      <c r="Q71" s="414"/>
      <c r="R71" s="419">
        <v>-385423.05</v>
      </c>
      <c r="S71" s="419">
        <v>-396423.05</v>
      </c>
      <c r="T71" s="419">
        <f t="shared" si="14"/>
        <v>-396423.05</v>
      </c>
      <c r="U71" s="414"/>
      <c r="V71" s="420">
        <f t="shared" si="15"/>
        <v>0</v>
      </c>
      <c r="W71" s="414"/>
      <c r="X71" s="414"/>
    </row>
    <row r="72" spans="1:24" s="421" customFormat="1" outlineLevel="1">
      <c r="A72" s="414"/>
      <c r="B72" s="415" t="s">
        <v>397</v>
      </c>
      <c r="C72" s="416"/>
      <c r="D72" s="417">
        <v>14046</v>
      </c>
      <c r="E72" s="417" t="s">
        <v>717</v>
      </c>
      <c r="F72" s="418"/>
      <c r="G72" s="418"/>
      <c r="H72" s="414"/>
      <c r="I72" s="414"/>
      <c r="J72" s="419">
        <v>-8035023.9800000004</v>
      </c>
      <c r="K72" s="414"/>
      <c r="L72" s="419">
        <v>0</v>
      </c>
      <c r="M72" s="414"/>
      <c r="N72" s="420">
        <v>0</v>
      </c>
      <c r="O72" s="414"/>
      <c r="P72" s="419">
        <f t="shared" si="13"/>
        <v>-8035023.9800000004</v>
      </c>
      <c r="Q72" s="414"/>
      <c r="R72" s="419">
        <v>-7891057.2199999997</v>
      </c>
      <c r="S72" s="419">
        <v>-7963161.0800000001</v>
      </c>
      <c r="T72" s="419">
        <f t="shared" si="14"/>
        <v>-8035023.9800000004</v>
      </c>
      <c r="U72" s="414"/>
      <c r="V72" s="420">
        <f t="shared" si="15"/>
        <v>-71862.900000000373</v>
      </c>
      <c r="W72" s="414"/>
      <c r="X72" s="414"/>
    </row>
    <row r="73" spans="1:24" s="421" customFormat="1" outlineLevel="1">
      <c r="A73" s="414"/>
      <c r="B73" s="415" t="s">
        <v>397</v>
      </c>
      <c r="C73" s="416"/>
      <c r="D73" s="417">
        <v>14047</v>
      </c>
      <c r="E73" s="417" t="s">
        <v>715</v>
      </c>
      <c r="F73" s="418"/>
      <c r="G73" s="418"/>
      <c r="H73" s="414"/>
      <c r="I73" s="414"/>
      <c r="J73" s="419">
        <v>198948.46</v>
      </c>
      <c r="K73" s="414"/>
      <c r="L73" s="419">
        <v>0</v>
      </c>
      <c r="M73" s="414"/>
      <c r="N73" s="420">
        <v>0</v>
      </c>
      <c r="O73" s="414"/>
      <c r="P73" s="419">
        <f t="shared" si="13"/>
        <v>198948.46</v>
      </c>
      <c r="Q73" s="414"/>
      <c r="R73" s="419">
        <v>-198718.04</v>
      </c>
      <c r="S73" s="419">
        <v>-204218.04</v>
      </c>
      <c r="T73" s="419">
        <f t="shared" si="14"/>
        <v>198948.46</v>
      </c>
      <c r="U73" s="414"/>
      <c r="V73" s="420">
        <f t="shared" si="15"/>
        <v>403166.5</v>
      </c>
      <c r="W73" s="414"/>
      <c r="X73" s="414"/>
    </row>
    <row r="74" spans="1:24" s="421" customFormat="1" outlineLevel="1">
      <c r="A74" s="414"/>
      <c r="B74" s="415" t="s">
        <v>397</v>
      </c>
      <c r="C74" s="416"/>
      <c r="D74" s="417">
        <v>14048</v>
      </c>
      <c r="E74" s="417" t="s">
        <v>716</v>
      </c>
      <c r="F74" s="418"/>
      <c r="G74" s="418"/>
      <c r="H74" s="414"/>
      <c r="I74" s="414"/>
      <c r="J74" s="419">
        <v>395079.94</v>
      </c>
      <c r="K74" s="414"/>
      <c r="L74" s="419">
        <v>0</v>
      </c>
      <c r="M74" s="414"/>
      <c r="N74" s="420">
        <v>0</v>
      </c>
      <c r="O74" s="414"/>
      <c r="P74" s="419">
        <f t="shared" si="13"/>
        <v>395079.94</v>
      </c>
      <c r="Q74" s="414"/>
      <c r="R74" s="419">
        <v>384079.94</v>
      </c>
      <c r="S74" s="419">
        <v>395079.94</v>
      </c>
      <c r="T74" s="419">
        <f t="shared" si="14"/>
        <v>395079.94</v>
      </c>
      <c r="U74" s="414"/>
      <c r="V74" s="420">
        <f t="shared" si="15"/>
        <v>0</v>
      </c>
      <c r="W74" s="414"/>
      <c r="X74" s="414"/>
    </row>
    <row r="75" spans="1:24" s="421" customFormat="1" outlineLevel="1">
      <c r="A75" s="414"/>
      <c r="B75" s="415" t="s">
        <v>397</v>
      </c>
      <c r="C75" s="416"/>
      <c r="D75" s="417">
        <v>14051</v>
      </c>
      <c r="E75" s="417" t="s">
        <v>718</v>
      </c>
      <c r="F75" s="418"/>
      <c r="G75" s="418"/>
      <c r="H75" s="414"/>
      <c r="I75" s="414"/>
      <c r="J75" s="419">
        <v>3566950.09</v>
      </c>
      <c r="K75" s="414"/>
      <c r="L75" s="419">
        <v>0</v>
      </c>
      <c r="M75" s="414"/>
      <c r="N75" s="420">
        <v>0</v>
      </c>
      <c r="O75" s="414"/>
      <c r="P75" s="419">
        <f t="shared" si="13"/>
        <v>3566950.09</v>
      </c>
      <c r="Q75" s="414"/>
      <c r="R75" s="419">
        <v>3534093.05</v>
      </c>
      <c r="S75" s="419">
        <v>3534093.05</v>
      </c>
      <c r="T75" s="419">
        <f t="shared" si="14"/>
        <v>3566950.09</v>
      </c>
      <c r="U75" s="414"/>
      <c r="V75" s="420">
        <f t="shared" si="15"/>
        <v>32857.040000000037</v>
      </c>
      <c r="W75" s="414"/>
      <c r="X75" s="414"/>
    </row>
    <row r="76" spans="1:24" s="421" customFormat="1" outlineLevel="1">
      <c r="A76" s="414"/>
      <c r="B76" s="415" t="s">
        <v>397</v>
      </c>
      <c r="C76" s="416"/>
      <c r="D76" s="417">
        <v>14052</v>
      </c>
      <c r="E76" s="417" t="s">
        <v>719</v>
      </c>
      <c r="F76" s="418"/>
      <c r="G76" s="418"/>
      <c r="H76" s="414"/>
      <c r="I76" s="414"/>
      <c r="J76" s="419">
        <v>2631910</v>
      </c>
      <c r="K76" s="414"/>
      <c r="L76" s="419">
        <v>0</v>
      </c>
      <c r="M76" s="414"/>
      <c r="N76" s="420">
        <v>0</v>
      </c>
      <c r="O76" s="414"/>
      <c r="P76" s="419">
        <f t="shared" si="13"/>
        <v>2631910</v>
      </c>
      <c r="Q76" s="414"/>
      <c r="R76" s="419">
        <v>2631910</v>
      </c>
      <c r="S76" s="419">
        <v>2631910</v>
      </c>
      <c r="T76" s="419">
        <f t="shared" si="14"/>
        <v>2631910</v>
      </c>
      <c r="U76" s="414"/>
      <c r="V76" s="420">
        <f t="shared" si="15"/>
        <v>0</v>
      </c>
      <c r="W76" s="414"/>
      <c r="X76" s="414"/>
    </row>
    <row r="77" spans="1:24" s="421" customFormat="1" outlineLevel="1">
      <c r="A77" s="414"/>
      <c r="B77" s="415" t="s">
        <v>397</v>
      </c>
      <c r="C77" s="416"/>
      <c r="D77" s="417">
        <v>14053</v>
      </c>
      <c r="E77" s="417" t="s">
        <v>720</v>
      </c>
      <c r="F77" s="418"/>
      <c r="G77" s="418"/>
      <c r="H77" s="414"/>
      <c r="I77" s="414"/>
      <c r="J77" s="419">
        <v>330427.95</v>
      </c>
      <c r="K77" s="414"/>
      <c r="L77" s="419">
        <v>0</v>
      </c>
      <c r="M77" s="414"/>
      <c r="N77" s="420">
        <v>0</v>
      </c>
      <c r="O77" s="414"/>
      <c r="P77" s="419">
        <f t="shared" si="13"/>
        <v>330427.95</v>
      </c>
      <c r="Q77" s="414"/>
      <c r="R77" s="419">
        <v>330427.95</v>
      </c>
      <c r="S77" s="419">
        <v>330427.95</v>
      </c>
      <c r="T77" s="419">
        <f t="shared" si="14"/>
        <v>330427.95</v>
      </c>
      <c r="U77" s="414"/>
      <c r="V77" s="420">
        <f t="shared" si="15"/>
        <v>0</v>
      </c>
      <c r="W77" s="414"/>
      <c r="X77" s="414"/>
    </row>
    <row r="78" spans="1:24" s="421" customFormat="1" outlineLevel="1">
      <c r="A78" s="414"/>
      <c r="B78" s="415" t="s">
        <v>397</v>
      </c>
      <c r="C78" s="416"/>
      <c r="D78" s="417">
        <v>14054</v>
      </c>
      <c r="E78" s="417" t="s">
        <v>721</v>
      </c>
      <c r="F78" s="418"/>
      <c r="G78" s="418"/>
      <c r="H78" s="414"/>
      <c r="I78" s="414"/>
      <c r="J78" s="419">
        <v>-62330.38</v>
      </c>
      <c r="K78" s="414"/>
      <c r="L78" s="419">
        <v>0</v>
      </c>
      <c r="M78" s="414"/>
      <c r="N78" s="420">
        <v>0</v>
      </c>
      <c r="O78" s="414"/>
      <c r="P78" s="419">
        <f t="shared" si="13"/>
        <v>-62330.38</v>
      </c>
      <c r="Q78" s="414"/>
      <c r="R78" s="419">
        <v>-62330.38</v>
      </c>
      <c r="S78" s="419">
        <v>-62330.38</v>
      </c>
      <c r="T78" s="419">
        <f t="shared" si="14"/>
        <v>-62330.38</v>
      </c>
      <c r="U78" s="414"/>
      <c r="V78" s="420">
        <f t="shared" si="15"/>
        <v>0</v>
      </c>
      <c r="W78" s="414"/>
      <c r="X78" s="414"/>
    </row>
    <row r="79" spans="1:24" s="421" customFormat="1" outlineLevel="1">
      <c r="A79" s="414"/>
      <c r="B79" s="415" t="s">
        <v>397</v>
      </c>
      <c r="C79" s="416"/>
      <c r="D79" s="417">
        <v>14056</v>
      </c>
      <c r="E79" s="417" t="s">
        <v>722</v>
      </c>
      <c r="F79" s="418"/>
      <c r="G79" s="418"/>
      <c r="H79" s="414"/>
      <c r="I79" s="414"/>
      <c r="J79" s="419">
        <v>-4297644.7</v>
      </c>
      <c r="K79" s="414"/>
      <c r="L79" s="419">
        <v>0</v>
      </c>
      <c r="M79" s="414"/>
      <c r="N79" s="420">
        <v>0</v>
      </c>
      <c r="O79" s="414"/>
      <c r="P79" s="419">
        <f t="shared" si="13"/>
        <v>-4297644.7</v>
      </c>
      <c r="Q79" s="414"/>
      <c r="R79" s="419">
        <v>-4227092.55</v>
      </c>
      <c r="S79" s="419">
        <v>-4262772.88</v>
      </c>
      <c r="T79" s="419">
        <f t="shared" si="14"/>
        <v>-4297644.7</v>
      </c>
      <c r="U79" s="414"/>
      <c r="V79" s="420">
        <f t="shared" si="15"/>
        <v>-34871.820000000298</v>
      </c>
      <c r="W79" s="414"/>
      <c r="X79" s="414"/>
    </row>
    <row r="80" spans="1:24" s="421" customFormat="1" outlineLevel="1">
      <c r="A80" s="414"/>
      <c r="B80" s="415" t="s">
        <v>397</v>
      </c>
      <c r="C80" s="416"/>
      <c r="D80" s="417">
        <v>14057</v>
      </c>
      <c r="E80" s="417" t="s">
        <v>723</v>
      </c>
      <c r="F80" s="418"/>
      <c r="G80" s="418"/>
      <c r="H80" s="414"/>
      <c r="I80" s="414"/>
      <c r="J80" s="419">
        <v>-308047.83</v>
      </c>
      <c r="K80" s="414"/>
      <c r="L80" s="419">
        <v>0</v>
      </c>
      <c r="M80" s="414"/>
      <c r="N80" s="420">
        <v>0</v>
      </c>
      <c r="O80" s="414"/>
      <c r="P80" s="419">
        <f t="shared" si="13"/>
        <v>-308047.83</v>
      </c>
      <c r="Q80" s="414"/>
      <c r="R80" s="419">
        <v>-308047.83</v>
      </c>
      <c r="S80" s="419">
        <v>-308047.83</v>
      </c>
      <c r="T80" s="419">
        <f t="shared" si="14"/>
        <v>-308047.83</v>
      </c>
      <c r="U80" s="414"/>
      <c r="V80" s="420">
        <f t="shared" si="15"/>
        <v>0</v>
      </c>
      <c r="W80" s="414"/>
      <c r="X80" s="414"/>
    </row>
    <row r="81" spans="1:24" s="421" customFormat="1" outlineLevel="1">
      <c r="A81" s="414"/>
      <c r="B81" s="415" t="s">
        <v>397</v>
      </c>
      <c r="C81" s="416"/>
      <c r="D81" s="417">
        <v>14058</v>
      </c>
      <c r="E81" s="417" t="s">
        <v>724</v>
      </c>
      <c r="F81" s="418"/>
      <c r="G81" s="418"/>
      <c r="H81" s="414"/>
      <c r="I81" s="414"/>
      <c r="J81" s="419">
        <v>52458.55</v>
      </c>
      <c r="K81" s="414"/>
      <c r="L81" s="419">
        <v>0</v>
      </c>
      <c r="M81" s="414"/>
      <c r="N81" s="420">
        <v>0</v>
      </c>
      <c r="O81" s="414"/>
      <c r="P81" s="419">
        <f t="shared" si="13"/>
        <v>52458.55</v>
      </c>
      <c r="Q81" s="414"/>
      <c r="R81" s="419">
        <v>52458.55</v>
      </c>
      <c r="S81" s="419">
        <v>52458.55</v>
      </c>
      <c r="T81" s="419">
        <f t="shared" si="14"/>
        <v>52458.55</v>
      </c>
      <c r="U81" s="414"/>
      <c r="V81" s="420">
        <f t="shared" si="15"/>
        <v>0</v>
      </c>
      <c r="W81" s="414"/>
      <c r="X81" s="414"/>
    </row>
    <row r="82" spans="1:24" s="421" customFormat="1" outlineLevel="1">
      <c r="A82" s="414"/>
      <c r="B82" s="415" t="s">
        <v>397</v>
      </c>
      <c r="C82" s="416"/>
      <c r="D82" s="417">
        <v>14071</v>
      </c>
      <c r="E82" s="417" t="s">
        <v>725</v>
      </c>
      <c r="F82" s="418"/>
      <c r="G82" s="418"/>
      <c r="H82" s="414"/>
      <c r="I82" s="414"/>
      <c r="J82" s="419">
        <v>267255.90000000002</v>
      </c>
      <c r="K82" s="414"/>
      <c r="L82" s="419">
        <v>0</v>
      </c>
      <c r="M82" s="414"/>
      <c r="N82" s="420">
        <v>0</v>
      </c>
      <c r="O82" s="414"/>
      <c r="P82" s="419">
        <f t="shared" si="13"/>
        <v>267255.90000000002</v>
      </c>
      <c r="Q82" s="414"/>
      <c r="R82" s="419">
        <v>267255.90000000002</v>
      </c>
      <c r="S82" s="419">
        <v>267255.90000000002</v>
      </c>
      <c r="T82" s="419">
        <f t="shared" si="14"/>
        <v>267255.90000000002</v>
      </c>
      <c r="U82" s="414"/>
      <c r="V82" s="420">
        <f t="shared" si="15"/>
        <v>0</v>
      </c>
      <c r="W82" s="414"/>
      <c r="X82" s="414"/>
    </row>
    <row r="83" spans="1:24" s="421" customFormat="1" outlineLevel="1">
      <c r="A83" s="414"/>
      <c r="B83" s="415" t="s">
        <v>397</v>
      </c>
      <c r="C83" s="416"/>
      <c r="D83" s="417">
        <v>14073</v>
      </c>
      <c r="E83" s="417" t="s">
        <v>726</v>
      </c>
      <c r="F83" s="418"/>
      <c r="G83" s="418"/>
      <c r="H83" s="414"/>
      <c r="I83" s="414"/>
      <c r="J83" s="419">
        <v>49890.47</v>
      </c>
      <c r="K83" s="414"/>
      <c r="L83" s="419">
        <v>0</v>
      </c>
      <c r="M83" s="414"/>
      <c r="N83" s="420">
        <v>0</v>
      </c>
      <c r="O83" s="414"/>
      <c r="P83" s="419">
        <f t="shared" si="13"/>
        <v>49890.47</v>
      </c>
      <c r="Q83" s="414"/>
      <c r="R83" s="419">
        <v>49890.47</v>
      </c>
      <c r="S83" s="419">
        <v>49890.47</v>
      </c>
      <c r="T83" s="419">
        <f t="shared" si="14"/>
        <v>49890.47</v>
      </c>
      <c r="U83" s="414"/>
      <c r="V83" s="420">
        <f t="shared" si="15"/>
        <v>0</v>
      </c>
      <c r="W83" s="414"/>
      <c r="X83" s="414"/>
    </row>
    <row r="84" spans="1:24" s="421" customFormat="1" outlineLevel="1">
      <c r="A84" s="414"/>
      <c r="B84" s="415" t="s">
        <v>397</v>
      </c>
      <c r="C84" s="416"/>
      <c r="D84" s="417">
        <v>14076</v>
      </c>
      <c r="E84" s="417" t="s">
        <v>727</v>
      </c>
      <c r="F84" s="418"/>
      <c r="G84" s="418"/>
      <c r="H84" s="414"/>
      <c r="I84" s="414"/>
      <c r="J84" s="419">
        <v>-236974.97</v>
      </c>
      <c r="K84" s="414"/>
      <c r="L84" s="419">
        <v>0</v>
      </c>
      <c r="M84" s="414"/>
      <c r="N84" s="420">
        <v>0</v>
      </c>
      <c r="O84" s="414"/>
      <c r="P84" s="419">
        <f t="shared" si="13"/>
        <v>-236974.97</v>
      </c>
      <c r="Q84" s="414"/>
      <c r="R84" s="419">
        <v>-234092.41</v>
      </c>
      <c r="S84" s="419">
        <v>-235533.71</v>
      </c>
      <c r="T84" s="419">
        <f t="shared" si="14"/>
        <v>-236974.97</v>
      </c>
      <c r="U84" s="414"/>
      <c r="V84" s="420">
        <f t="shared" si="15"/>
        <v>-1441.2600000000093</v>
      </c>
      <c r="W84" s="414"/>
      <c r="X84" s="414"/>
    </row>
    <row r="85" spans="1:24" s="421" customFormat="1" outlineLevel="1">
      <c r="A85" s="414"/>
      <c r="B85" s="415" t="s">
        <v>397</v>
      </c>
      <c r="C85" s="416"/>
      <c r="D85" s="417">
        <v>14077</v>
      </c>
      <c r="E85" s="417" t="s">
        <v>728</v>
      </c>
      <c r="F85" s="418"/>
      <c r="G85" s="418"/>
      <c r="H85" s="414"/>
      <c r="I85" s="414"/>
      <c r="J85" s="419">
        <v>-39682.65</v>
      </c>
      <c r="K85" s="414"/>
      <c r="L85" s="419">
        <v>0</v>
      </c>
      <c r="M85" s="414"/>
      <c r="N85" s="420">
        <v>0</v>
      </c>
      <c r="O85" s="414"/>
      <c r="P85" s="419">
        <f t="shared" si="13"/>
        <v>-39682.65</v>
      </c>
      <c r="Q85" s="414"/>
      <c r="R85" s="419">
        <v>-39682.65</v>
      </c>
      <c r="S85" s="419">
        <v>-39682.65</v>
      </c>
      <c r="T85" s="419">
        <f t="shared" si="14"/>
        <v>-39682.65</v>
      </c>
      <c r="U85" s="414"/>
      <c r="V85" s="420">
        <f t="shared" si="15"/>
        <v>0</v>
      </c>
      <c r="W85" s="414"/>
      <c r="X85" s="414"/>
    </row>
    <row r="86" spans="1:24" s="421" customFormat="1" outlineLevel="1">
      <c r="A86" s="414"/>
      <c r="B86" s="415" t="s">
        <v>397</v>
      </c>
      <c r="C86" s="416"/>
      <c r="D86" s="417">
        <v>14081</v>
      </c>
      <c r="E86" s="417" t="s">
        <v>729</v>
      </c>
      <c r="F86" s="418"/>
      <c r="G86" s="418"/>
      <c r="H86" s="414"/>
      <c r="I86" s="414"/>
      <c r="J86" s="419">
        <v>97080.04</v>
      </c>
      <c r="K86" s="414"/>
      <c r="L86" s="419">
        <v>0</v>
      </c>
      <c r="M86" s="414"/>
      <c r="N86" s="420">
        <v>0</v>
      </c>
      <c r="O86" s="414"/>
      <c r="P86" s="419">
        <f t="shared" si="13"/>
        <v>97080.04</v>
      </c>
      <c r="Q86" s="414"/>
      <c r="R86" s="419">
        <v>97080.04</v>
      </c>
      <c r="S86" s="419">
        <v>97080.04</v>
      </c>
      <c r="T86" s="419">
        <f t="shared" si="14"/>
        <v>97080.04</v>
      </c>
      <c r="U86" s="414"/>
      <c r="V86" s="420">
        <f t="shared" si="15"/>
        <v>0</v>
      </c>
      <c r="W86" s="414"/>
      <c r="X86" s="414"/>
    </row>
    <row r="87" spans="1:24" s="421" customFormat="1" outlineLevel="1">
      <c r="A87" s="414"/>
      <c r="B87" s="415" t="s">
        <v>397</v>
      </c>
      <c r="C87" s="416"/>
      <c r="D87" s="417">
        <v>14082</v>
      </c>
      <c r="E87" s="417" t="s">
        <v>730</v>
      </c>
      <c r="F87" s="418"/>
      <c r="G87" s="418"/>
      <c r="H87" s="414"/>
      <c r="I87" s="414"/>
      <c r="J87" s="419">
        <v>2698000</v>
      </c>
      <c r="K87" s="414"/>
      <c r="L87" s="419">
        <v>0</v>
      </c>
      <c r="M87" s="414"/>
      <c r="N87" s="420">
        <v>0</v>
      </c>
      <c r="O87" s="414"/>
      <c r="P87" s="419">
        <f t="shared" si="13"/>
        <v>2698000</v>
      </c>
      <c r="Q87" s="414"/>
      <c r="R87" s="419">
        <v>2698000</v>
      </c>
      <c r="S87" s="419">
        <v>2698000</v>
      </c>
      <c r="T87" s="419">
        <f t="shared" si="14"/>
        <v>2698000</v>
      </c>
      <c r="U87" s="414"/>
      <c r="V87" s="420">
        <f t="shared" si="15"/>
        <v>0</v>
      </c>
      <c r="W87" s="414"/>
      <c r="X87" s="414"/>
    </row>
    <row r="88" spans="1:24" s="421" customFormat="1" outlineLevel="1">
      <c r="A88" s="414"/>
      <c r="B88" s="415" t="s">
        <v>397</v>
      </c>
      <c r="C88" s="416"/>
      <c r="D88" s="417">
        <v>14086</v>
      </c>
      <c r="E88" s="417" t="s">
        <v>731</v>
      </c>
      <c r="F88" s="418"/>
      <c r="G88" s="418"/>
      <c r="H88" s="414"/>
      <c r="I88" s="414"/>
      <c r="J88" s="419">
        <v>-1325715.3700000001</v>
      </c>
      <c r="K88" s="414"/>
      <c r="L88" s="419">
        <v>0</v>
      </c>
      <c r="M88" s="414"/>
      <c r="N88" s="420">
        <v>0</v>
      </c>
      <c r="O88" s="414"/>
      <c r="P88" s="419">
        <f t="shared" si="13"/>
        <v>-1325715.3700000001</v>
      </c>
      <c r="Q88" s="414"/>
      <c r="R88" s="419">
        <v>-1301593.4099999999</v>
      </c>
      <c r="S88" s="419">
        <v>-1313654.4099999999</v>
      </c>
      <c r="T88" s="419">
        <f t="shared" si="14"/>
        <v>-1325715.3700000001</v>
      </c>
      <c r="U88" s="414"/>
      <c r="V88" s="420">
        <f t="shared" si="15"/>
        <v>-12060.960000000196</v>
      </c>
      <c r="W88" s="414"/>
      <c r="X88" s="414"/>
    </row>
    <row r="89" spans="1:24" s="421" customFormat="1" outlineLevel="1">
      <c r="A89" s="414"/>
      <c r="B89" s="415" t="s">
        <v>397</v>
      </c>
      <c r="C89" s="416"/>
      <c r="D89" s="417">
        <v>14101</v>
      </c>
      <c r="E89" s="417" t="s">
        <v>732</v>
      </c>
      <c r="F89" s="418"/>
      <c r="G89" s="418"/>
      <c r="H89" s="414"/>
      <c r="I89" s="414"/>
      <c r="J89" s="419">
        <v>110314.65</v>
      </c>
      <c r="K89" s="414"/>
      <c r="L89" s="419">
        <v>0</v>
      </c>
      <c r="M89" s="414"/>
      <c r="N89" s="420">
        <v>0</v>
      </c>
      <c r="O89" s="414"/>
      <c r="P89" s="419">
        <f t="shared" si="13"/>
        <v>110314.65</v>
      </c>
      <c r="Q89" s="414"/>
      <c r="R89" s="419">
        <v>110314.65</v>
      </c>
      <c r="S89" s="419">
        <v>110314.65</v>
      </c>
      <c r="T89" s="419">
        <f t="shared" si="14"/>
        <v>110314.65</v>
      </c>
      <c r="U89" s="414"/>
      <c r="V89" s="420">
        <f t="shared" si="15"/>
        <v>0</v>
      </c>
      <c r="W89" s="414"/>
      <c r="X89" s="414"/>
    </row>
    <row r="90" spans="1:24" s="421" customFormat="1" outlineLevel="1">
      <c r="A90" s="414"/>
      <c r="B90" s="415" t="s">
        <v>397</v>
      </c>
      <c r="C90" s="416"/>
      <c r="D90" s="417">
        <v>14106</v>
      </c>
      <c r="E90" s="417" t="s">
        <v>733</v>
      </c>
      <c r="F90" s="418"/>
      <c r="G90" s="418"/>
      <c r="H90" s="414"/>
      <c r="I90" s="414"/>
      <c r="J90" s="419">
        <v>-103991.15</v>
      </c>
      <c r="K90" s="414"/>
      <c r="L90" s="419">
        <v>0</v>
      </c>
      <c r="M90" s="414"/>
      <c r="N90" s="420">
        <v>0</v>
      </c>
      <c r="O90" s="414"/>
      <c r="P90" s="419">
        <f t="shared" si="13"/>
        <v>-103991.15</v>
      </c>
      <c r="Q90" s="414"/>
      <c r="R90" s="419">
        <v>-103691.31</v>
      </c>
      <c r="S90" s="419">
        <v>-103841.23</v>
      </c>
      <c r="T90" s="419">
        <f t="shared" si="14"/>
        <v>-103991.15</v>
      </c>
      <c r="U90" s="414"/>
      <c r="V90" s="420">
        <f t="shared" si="15"/>
        <v>-149.91999999999825</v>
      </c>
      <c r="W90" s="414"/>
      <c r="X90" s="414"/>
    </row>
    <row r="91" spans="1:24" s="421" customFormat="1" outlineLevel="1">
      <c r="A91" s="414"/>
      <c r="B91" s="415" t="s">
        <v>397</v>
      </c>
      <c r="C91" s="416"/>
      <c r="D91" s="417">
        <v>14111</v>
      </c>
      <c r="E91" s="417" t="s">
        <v>734</v>
      </c>
      <c r="F91" s="418"/>
      <c r="G91" s="418"/>
      <c r="H91" s="414"/>
      <c r="I91" s="414"/>
      <c r="J91" s="419">
        <v>235229.58</v>
      </c>
      <c r="K91" s="414"/>
      <c r="L91" s="419">
        <v>0</v>
      </c>
      <c r="M91" s="414"/>
      <c r="N91" s="420">
        <v>0</v>
      </c>
      <c r="O91" s="414"/>
      <c r="P91" s="419">
        <f t="shared" si="13"/>
        <v>235229.58</v>
      </c>
      <c r="Q91" s="414"/>
      <c r="R91" s="419">
        <v>235229.58</v>
      </c>
      <c r="S91" s="419">
        <v>235229.58</v>
      </c>
      <c r="T91" s="419">
        <f t="shared" si="14"/>
        <v>235229.58</v>
      </c>
      <c r="U91" s="414"/>
      <c r="V91" s="420">
        <f t="shared" si="15"/>
        <v>0</v>
      </c>
      <c r="W91" s="414"/>
      <c r="X91" s="414"/>
    </row>
    <row r="92" spans="1:24" s="421" customFormat="1" outlineLevel="1">
      <c r="A92" s="414"/>
      <c r="B92" s="415" t="s">
        <v>397</v>
      </c>
      <c r="C92" s="416"/>
      <c r="D92" s="417">
        <v>14113</v>
      </c>
      <c r="E92" s="417" t="s">
        <v>735</v>
      </c>
      <c r="F92" s="418"/>
      <c r="G92" s="418"/>
      <c r="H92" s="414"/>
      <c r="I92" s="414"/>
      <c r="J92" s="419">
        <v>1631.74</v>
      </c>
      <c r="K92" s="414"/>
      <c r="L92" s="419">
        <v>0</v>
      </c>
      <c r="M92" s="414"/>
      <c r="N92" s="420">
        <v>0</v>
      </c>
      <c r="O92" s="414"/>
      <c r="P92" s="419">
        <f t="shared" si="13"/>
        <v>1631.74</v>
      </c>
      <c r="Q92" s="414"/>
      <c r="R92" s="419">
        <v>1631.74</v>
      </c>
      <c r="S92" s="419">
        <v>1631.74</v>
      </c>
      <c r="T92" s="419">
        <f t="shared" si="14"/>
        <v>1631.74</v>
      </c>
      <c r="U92" s="414"/>
      <c r="V92" s="420">
        <f t="shared" si="15"/>
        <v>0</v>
      </c>
      <c r="W92" s="414"/>
      <c r="X92" s="414"/>
    </row>
    <row r="93" spans="1:24" s="421" customFormat="1" outlineLevel="1">
      <c r="A93" s="414"/>
      <c r="B93" s="415" t="s">
        <v>397</v>
      </c>
      <c r="C93" s="416"/>
      <c r="D93" s="417">
        <v>14116</v>
      </c>
      <c r="E93" s="417" t="s">
        <v>736</v>
      </c>
      <c r="F93" s="418"/>
      <c r="G93" s="418"/>
      <c r="H93" s="414"/>
      <c r="I93" s="414"/>
      <c r="J93" s="419">
        <v>-233544.78</v>
      </c>
      <c r="K93" s="414"/>
      <c r="L93" s="419">
        <v>0</v>
      </c>
      <c r="M93" s="414"/>
      <c r="N93" s="420">
        <v>0</v>
      </c>
      <c r="O93" s="414"/>
      <c r="P93" s="419">
        <f t="shared" si="13"/>
        <v>-233544.78</v>
      </c>
      <c r="Q93" s="414"/>
      <c r="R93" s="419">
        <v>-233086.05</v>
      </c>
      <c r="S93" s="419">
        <v>-233345.49</v>
      </c>
      <c r="T93" s="419">
        <f t="shared" si="14"/>
        <v>-233544.78</v>
      </c>
      <c r="U93" s="414"/>
      <c r="V93" s="420">
        <f t="shared" si="15"/>
        <v>-199.29000000000815</v>
      </c>
      <c r="W93" s="414"/>
      <c r="X93" s="414"/>
    </row>
    <row r="94" spans="1:24" s="421" customFormat="1" outlineLevel="1">
      <c r="A94" s="414"/>
      <c r="B94" s="415" t="s">
        <v>397</v>
      </c>
      <c r="C94" s="416"/>
      <c r="D94" s="417">
        <v>14117</v>
      </c>
      <c r="E94" s="417" t="s">
        <v>737</v>
      </c>
      <c r="F94" s="418"/>
      <c r="G94" s="418"/>
      <c r="H94" s="414"/>
      <c r="I94" s="414"/>
      <c r="J94" s="419">
        <v>-1341.72</v>
      </c>
      <c r="K94" s="414"/>
      <c r="L94" s="419">
        <v>0</v>
      </c>
      <c r="M94" s="414"/>
      <c r="N94" s="420">
        <v>0</v>
      </c>
      <c r="O94" s="414"/>
      <c r="P94" s="419">
        <f t="shared" si="13"/>
        <v>-1341.72</v>
      </c>
      <c r="Q94" s="414"/>
      <c r="R94" s="419">
        <v>-1341.72</v>
      </c>
      <c r="S94" s="419">
        <v>-1341.72</v>
      </c>
      <c r="T94" s="419">
        <f t="shared" si="14"/>
        <v>-1341.72</v>
      </c>
      <c r="U94" s="414"/>
      <c r="V94" s="420">
        <f t="shared" si="15"/>
        <v>0</v>
      </c>
      <c r="W94" s="414"/>
      <c r="X94" s="414"/>
    </row>
    <row r="95" spans="1:24" s="421" customFormat="1" outlineLevel="1">
      <c r="A95" s="414"/>
      <c r="B95" s="415" t="s">
        <v>397</v>
      </c>
      <c r="C95" s="416"/>
      <c r="D95" s="417">
        <v>14121</v>
      </c>
      <c r="E95" s="417" t="s">
        <v>836</v>
      </c>
      <c r="F95" s="418"/>
      <c r="G95" s="418"/>
      <c r="H95" s="414"/>
      <c r="I95" s="414"/>
      <c r="J95" s="419">
        <v>0</v>
      </c>
      <c r="K95" s="414"/>
      <c r="L95" s="419">
        <v>0</v>
      </c>
      <c r="M95" s="414"/>
      <c r="N95" s="420">
        <v>0</v>
      </c>
      <c r="O95" s="414"/>
      <c r="P95" s="419">
        <f t="shared" si="13"/>
        <v>0</v>
      </c>
      <c r="Q95" s="414"/>
      <c r="R95" s="419">
        <v>0</v>
      </c>
      <c r="S95" s="419">
        <v>49368</v>
      </c>
      <c r="T95" s="419">
        <f t="shared" si="14"/>
        <v>0</v>
      </c>
      <c r="U95" s="414"/>
      <c r="V95" s="420">
        <f t="shared" si="15"/>
        <v>-49368</v>
      </c>
      <c r="W95" s="414"/>
      <c r="X95" s="414"/>
    </row>
    <row r="96" spans="1:24" s="421" customFormat="1" outlineLevel="1">
      <c r="A96" s="414"/>
      <c r="B96" s="415" t="s">
        <v>397</v>
      </c>
      <c r="C96" s="416"/>
      <c r="D96" s="417">
        <v>14201</v>
      </c>
      <c r="E96" s="417" t="s">
        <v>738</v>
      </c>
      <c r="F96" s="418"/>
      <c r="G96" s="418"/>
      <c r="H96" s="414"/>
      <c r="I96" s="414"/>
      <c r="J96" s="419">
        <v>592390.72</v>
      </c>
      <c r="K96" s="414"/>
      <c r="L96" s="419">
        <v>0</v>
      </c>
      <c r="M96" s="414"/>
      <c r="N96" s="420">
        <v>0</v>
      </c>
      <c r="O96" s="414"/>
      <c r="P96" s="419">
        <f t="shared" si="13"/>
        <v>592390.72</v>
      </c>
      <c r="Q96" s="414"/>
      <c r="R96" s="419">
        <v>164169.54</v>
      </c>
      <c r="S96" s="419">
        <v>404759.25</v>
      </c>
      <c r="T96" s="419">
        <f t="shared" si="14"/>
        <v>592390.72</v>
      </c>
      <c r="U96" s="414"/>
      <c r="V96" s="420">
        <f t="shared" si="15"/>
        <v>187631.46999999997</v>
      </c>
      <c r="W96" s="414"/>
      <c r="X96" s="414"/>
    </row>
    <row r="97" spans="1:25" s="421" customFormat="1" ht="4.5" customHeight="1" outlineLevel="1">
      <c r="A97" s="449" t="s">
        <v>194</v>
      </c>
      <c r="B97" s="449" t="s">
        <v>194</v>
      </c>
      <c r="C97" s="449"/>
      <c r="D97" s="458"/>
      <c r="E97" s="414"/>
      <c r="F97" s="414"/>
      <c r="G97" s="414"/>
      <c r="H97" s="414"/>
      <c r="I97" s="414"/>
      <c r="J97" s="453"/>
      <c r="K97" s="414"/>
      <c r="L97" s="453"/>
      <c r="M97" s="414"/>
      <c r="N97" s="454"/>
      <c r="O97" s="414"/>
      <c r="P97" s="453"/>
      <c r="Q97" s="414"/>
      <c r="R97" s="453"/>
      <c r="S97" s="453"/>
      <c r="T97" s="453"/>
      <c r="U97" s="414"/>
      <c r="V97" s="454"/>
      <c r="W97" s="414"/>
      <c r="X97" s="414"/>
      <c r="Y97" s="414"/>
    </row>
    <row r="98" spans="1:25" s="421" customFormat="1">
      <c r="A98" s="416" t="s">
        <v>704</v>
      </c>
      <c r="B98" s="449" t="s">
        <v>194</v>
      </c>
      <c r="C98" s="449"/>
      <c r="D98" s="414"/>
      <c r="E98" s="414"/>
      <c r="F98" s="414" t="s">
        <v>739</v>
      </c>
      <c r="G98" s="414"/>
      <c r="H98" s="414"/>
      <c r="I98" s="414"/>
      <c r="J98" s="451">
        <f>SUM(J59:J97)</f>
        <v>14225347.880000001</v>
      </c>
      <c r="K98" s="414"/>
      <c r="L98" s="451">
        <f>SUM(L59:L97)</f>
        <v>0</v>
      </c>
      <c r="M98" s="414"/>
      <c r="N98" s="452">
        <f>SUM(N59:N97)</f>
        <v>0</v>
      </c>
      <c r="O98" s="414"/>
      <c r="P98" s="451">
        <f>J98+L98+N98</f>
        <v>14225347.880000001</v>
      </c>
      <c r="Q98" s="414"/>
      <c r="R98" s="451">
        <f>SUM(R59:R97)</f>
        <v>13603090.279999999</v>
      </c>
      <c r="S98" s="451">
        <f>SUM(S59:S97)</f>
        <v>13952509.249999998</v>
      </c>
      <c r="T98" s="451">
        <f>SUM(T59:T97)</f>
        <v>14225347.880000001</v>
      </c>
      <c r="U98" s="414"/>
      <c r="V98" s="452">
        <f>SUM(V59:V97)</f>
        <v>272838.62999999919</v>
      </c>
      <c r="W98" s="414"/>
      <c r="X98" s="414"/>
      <c r="Y98" s="414"/>
    </row>
    <row r="99" spans="1:25" s="421" customFormat="1" outlineLevel="1">
      <c r="A99" s="414"/>
      <c r="B99" s="415" t="s">
        <v>740</v>
      </c>
      <c r="C99" s="416"/>
      <c r="D99" s="417"/>
      <c r="E99" s="417"/>
      <c r="F99" s="418"/>
      <c r="G99" s="418"/>
      <c r="H99" s="414"/>
      <c r="I99" s="414"/>
      <c r="J99" s="419"/>
      <c r="K99" s="414"/>
      <c r="L99" s="419"/>
      <c r="M99" s="414"/>
      <c r="N99" s="420"/>
      <c r="O99" s="414"/>
      <c r="P99" s="419">
        <f>J99+L99+N99</f>
        <v>0</v>
      </c>
      <c r="Q99" s="414"/>
      <c r="R99" s="419"/>
      <c r="S99" s="419"/>
      <c r="T99" s="419">
        <f>P99</f>
        <v>0</v>
      </c>
      <c r="U99" s="414"/>
      <c r="V99" s="420">
        <f>T99-S99</f>
        <v>0</v>
      </c>
      <c r="W99" s="414"/>
      <c r="X99" s="414"/>
    </row>
    <row r="100" spans="1:25" s="421" customFormat="1" ht="5.0999999999999996" customHeight="1" outlineLevel="1">
      <c r="A100" s="449" t="s">
        <v>194</v>
      </c>
      <c r="B100" s="449" t="s">
        <v>194</v>
      </c>
      <c r="C100" s="449"/>
      <c r="D100" s="418"/>
      <c r="E100" s="418"/>
      <c r="F100" s="418"/>
      <c r="G100" s="418"/>
      <c r="H100" s="414"/>
      <c r="I100" s="414"/>
      <c r="J100" s="453"/>
      <c r="K100" s="414"/>
      <c r="L100" s="453"/>
      <c r="M100" s="414"/>
      <c r="N100" s="454"/>
      <c r="O100" s="414"/>
      <c r="P100" s="453"/>
      <c r="Q100" s="414"/>
      <c r="R100" s="453"/>
      <c r="S100" s="453"/>
      <c r="T100" s="453"/>
      <c r="U100" s="414"/>
      <c r="V100" s="454"/>
      <c r="W100" s="414"/>
      <c r="X100" s="414"/>
      <c r="Y100" s="414"/>
    </row>
    <row r="101" spans="1:25" s="421" customFormat="1">
      <c r="A101" s="416" t="s">
        <v>740</v>
      </c>
      <c r="B101" s="449" t="s">
        <v>194</v>
      </c>
      <c r="C101" s="449"/>
      <c r="D101" s="414"/>
      <c r="E101" s="414"/>
      <c r="F101" s="417" t="s">
        <v>741</v>
      </c>
      <c r="G101" s="414"/>
      <c r="H101" s="414"/>
      <c r="I101" s="414"/>
      <c r="J101" s="451">
        <f>SUM(J99:J100)</f>
        <v>0</v>
      </c>
      <c r="K101" s="414"/>
      <c r="L101" s="451">
        <f>SUM(L99:L100)</f>
        <v>0</v>
      </c>
      <c r="M101" s="414"/>
      <c r="N101" s="452">
        <f>SUM(N99:N100)</f>
        <v>0</v>
      </c>
      <c r="O101" s="414"/>
      <c r="P101" s="451">
        <f>J101+L101+N101</f>
        <v>0</v>
      </c>
      <c r="Q101" s="414"/>
      <c r="R101" s="451">
        <f>SUM(R99:R100)</f>
        <v>0</v>
      </c>
      <c r="S101" s="451">
        <f>SUM(S99:S100)</f>
        <v>0</v>
      </c>
      <c r="T101" s="451">
        <f>SUM(T99:T100)</f>
        <v>0</v>
      </c>
      <c r="U101" s="414"/>
      <c r="V101" s="452">
        <f>SUM(V99:V100)</f>
        <v>0</v>
      </c>
      <c r="W101" s="414"/>
      <c r="X101" s="414"/>
      <c r="Y101" s="414"/>
    </row>
    <row r="102" spans="1:25" s="421" customFormat="1" outlineLevel="1">
      <c r="A102" s="414"/>
      <c r="B102" s="415" t="s">
        <v>742</v>
      </c>
      <c r="C102" s="416"/>
      <c r="D102" s="417">
        <v>15111</v>
      </c>
      <c r="E102" s="417" t="s">
        <v>743</v>
      </c>
      <c r="F102" s="418"/>
      <c r="G102" s="418"/>
      <c r="H102" s="414"/>
      <c r="I102" s="414"/>
      <c r="J102" s="419">
        <v>2119667.87</v>
      </c>
      <c r="K102" s="414"/>
      <c r="L102" s="419">
        <v>0</v>
      </c>
      <c r="M102" s="414"/>
      <c r="N102" s="420">
        <v>0</v>
      </c>
      <c r="O102" s="414"/>
      <c r="P102" s="419">
        <f>J102+L102+N102</f>
        <v>2119667.87</v>
      </c>
      <c r="Q102" s="414"/>
      <c r="R102" s="419">
        <v>2119667.87</v>
      </c>
      <c r="S102" s="419">
        <v>2119667.87</v>
      </c>
      <c r="T102" s="419">
        <f>P102</f>
        <v>2119667.87</v>
      </c>
      <c r="U102" s="414"/>
      <c r="V102" s="420">
        <f>T102-S102</f>
        <v>0</v>
      </c>
      <c r="W102" s="414"/>
      <c r="X102" s="414"/>
    </row>
    <row r="103" spans="1:25" s="421" customFormat="1" ht="4.5" customHeight="1" outlineLevel="1">
      <c r="A103" s="449" t="s">
        <v>194</v>
      </c>
      <c r="B103" s="414" t="s">
        <v>194</v>
      </c>
      <c r="C103" s="459"/>
      <c r="D103" s="458"/>
      <c r="E103" s="414"/>
      <c r="F103" s="414"/>
      <c r="G103" s="414"/>
      <c r="H103" s="414"/>
      <c r="I103" s="414"/>
      <c r="J103" s="453"/>
      <c r="K103" s="414"/>
      <c r="L103" s="453"/>
      <c r="M103" s="414"/>
      <c r="N103" s="454"/>
      <c r="O103" s="414"/>
      <c r="P103" s="453"/>
      <c r="Q103" s="414"/>
      <c r="R103" s="453"/>
      <c r="S103" s="453"/>
      <c r="T103" s="453"/>
      <c r="U103" s="414"/>
      <c r="V103" s="454"/>
      <c r="W103" s="414"/>
      <c r="X103" s="414"/>
      <c r="Y103" s="414"/>
    </row>
    <row r="104" spans="1:25" s="421" customFormat="1">
      <c r="A104" s="416" t="s">
        <v>742</v>
      </c>
      <c r="B104" s="449" t="s">
        <v>194</v>
      </c>
      <c r="C104" s="449"/>
      <c r="D104" s="414"/>
      <c r="E104" s="414"/>
      <c r="F104" s="414" t="s">
        <v>744</v>
      </c>
      <c r="G104" s="414"/>
      <c r="H104" s="414"/>
      <c r="I104" s="414"/>
      <c r="J104" s="451">
        <f>SUM(J102:J103)</f>
        <v>2119667.87</v>
      </c>
      <c r="K104" s="414"/>
      <c r="L104" s="451">
        <f>SUM(L102:L103)</f>
        <v>0</v>
      </c>
      <c r="M104" s="414"/>
      <c r="N104" s="452">
        <f>SUM(N102:N103)</f>
        <v>0</v>
      </c>
      <c r="O104" s="414"/>
      <c r="P104" s="451">
        <f>J104+L104+N104</f>
        <v>2119667.87</v>
      </c>
      <c r="Q104" s="414"/>
      <c r="R104" s="451">
        <f>SUM(R102:R103)</f>
        <v>2119667.87</v>
      </c>
      <c r="S104" s="451">
        <f>SUM(S102:S103)</f>
        <v>2119667.87</v>
      </c>
      <c r="T104" s="451">
        <f>SUM(T102:T103)</f>
        <v>2119667.87</v>
      </c>
      <c r="U104" s="414"/>
      <c r="V104" s="452">
        <f>SUM(V102:V103)</f>
        <v>0</v>
      </c>
      <c r="W104" s="414"/>
      <c r="X104" s="414"/>
      <c r="Y104" s="414"/>
    </row>
    <row r="105" spans="1:25" s="421" customFormat="1" outlineLevel="1">
      <c r="A105" s="414"/>
      <c r="B105" s="415" t="s">
        <v>745</v>
      </c>
      <c r="C105" s="416"/>
      <c r="D105" s="417">
        <v>15222</v>
      </c>
      <c r="E105" s="417" t="s">
        <v>746</v>
      </c>
      <c r="F105" s="418"/>
      <c r="G105" s="418"/>
      <c r="H105" s="414"/>
      <c r="I105" s="414"/>
      <c r="J105" s="419">
        <v>1010555.08</v>
      </c>
      <c r="K105" s="414"/>
      <c r="L105" s="419">
        <v>0</v>
      </c>
      <c r="M105" s="414"/>
      <c r="N105" s="420">
        <v>0</v>
      </c>
      <c r="O105" s="414"/>
      <c r="P105" s="419">
        <f>J105+L105+N105</f>
        <v>1010555.08</v>
      </c>
      <c r="Q105" s="414"/>
      <c r="R105" s="419">
        <v>1010555.08</v>
      </c>
      <c r="S105" s="419">
        <v>1010555.08</v>
      </c>
      <c r="T105" s="419">
        <f t="shared" ref="T105:T108" si="16">P105</f>
        <v>1010555.08</v>
      </c>
      <c r="U105" s="414"/>
      <c r="V105" s="420">
        <f t="shared" ref="V105:V108" si="17">T105-S105</f>
        <v>0</v>
      </c>
      <c r="W105" s="414"/>
      <c r="X105" s="414"/>
    </row>
    <row r="106" spans="1:25" s="421" customFormat="1" outlineLevel="1">
      <c r="A106" s="414"/>
      <c r="B106" s="415" t="s">
        <v>397</v>
      </c>
      <c r="C106" s="416"/>
      <c r="D106" s="417">
        <v>15226</v>
      </c>
      <c r="E106" s="417" t="s">
        <v>747</v>
      </c>
      <c r="F106" s="418"/>
      <c r="G106" s="418"/>
      <c r="H106" s="414"/>
      <c r="I106" s="414"/>
      <c r="J106" s="419">
        <v>-387379.45</v>
      </c>
      <c r="K106" s="414"/>
      <c r="L106" s="419">
        <v>0</v>
      </c>
      <c r="M106" s="414"/>
      <c r="N106" s="420">
        <v>0</v>
      </c>
      <c r="O106" s="414"/>
      <c r="P106" s="419">
        <f>J106+L106+N106</f>
        <v>-387379.45</v>
      </c>
      <c r="Q106" s="414"/>
      <c r="R106" s="419">
        <v>-370536.86</v>
      </c>
      <c r="S106" s="419">
        <v>-378958.16</v>
      </c>
      <c r="T106" s="419">
        <f t="shared" si="16"/>
        <v>-387379.45</v>
      </c>
      <c r="U106" s="414"/>
      <c r="V106" s="420">
        <f t="shared" si="17"/>
        <v>-8421.2900000000373</v>
      </c>
      <c r="W106" s="414"/>
      <c r="X106" s="414"/>
    </row>
    <row r="107" spans="1:25" s="421" customFormat="1" outlineLevel="1">
      <c r="A107" s="414"/>
      <c r="B107" s="415" t="s">
        <v>397</v>
      </c>
      <c r="C107" s="416"/>
      <c r="D107" s="417">
        <v>15227</v>
      </c>
      <c r="E107" s="417" t="s">
        <v>748</v>
      </c>
      <c r="F107" s="418"/>
      <c r="G107" s="418"/>
      <c r="H107" s="414"/>
      <c r="I107" s="414"/>
      <c r="J107" s="419">
        <v>-572647.9</v>
      </c>
      <c r="K107" s="414"/>
      <c r="L107" s="419">
        <v>0</v>
      </c>
      <c r="M107" s="414"/>
      <c r="N107" s="420">
        <v>0</v>
      </c>
      <c r="O107" s="414"/>
      <c r="P107" s="419">
        <f>J107+L107+N107</f>
        <v>-572647.9</v>
      </c>
      <c r="Q107" s="414"/>
      <c r="R107" s="419">
        <v>-572647.9</v>
      </c>
      <c r="S107" s="419">
        <v>-572647.9</v>
      </c>
      <c r="T107" s="419">
        <f t="shared" si="16"/>
        <v>-572647.9</v>
      </c>
      <c r="U107" s="414"/>
      <c r="V107" s="420">
        <f t="shared" si="17"/>
        <v>0</v>
      </c>
      <c r="W107" s="414"/>
      <c r="X107" s="414"/>
    </row>
    <row r="108" spans="1:25" s="421" customFormat="1" outlineLevel="1">
      <c r="A108" s="414"/>
      <c r="B108" s="415" t="s">
        <v>397</v>
      </c>
      <c r="C108" s="416"/>
      <c r="D108" s="417">
        <v>15261</v>
      </c>
      <c r="E108" s="417" t="s">
        <v>749</v>
      </c>
      <c r="F108" s="418"/>
      <c r="G108" s="418"/>
      <c r="H108" s="414"/>
      <c r="I108" s="414"/>
      <c r="J108" s="419">
        <v>41614151</v>
      </c>
      <c r="K108" s="414"/>
      <c r="L108" s="419">
        <v>0</v>
      </c>
      <c r="M108" s="414"/>
      <c r="N108" s="420">
        <v>0</v>
      </c>
      <c r="O108" s="414"/>
      <c r="P108" s="419">
        <f>J108+L108+N108</f>
        <v>41614151</v>
      </c>
      <c r="Q108" s="414"/>
      <c r="R108" s="419">
        <v>41614151</v>
      </c>
      <c r="S108" s="419">
        <v>41614151</v>
      </c>
      <c r="T108" s="419">
        <f t="shared" si="16"/>
        <v>41614151</v>
      </c>
      <c r="U108" s="414"/>
      <c r="V108" s="420">
        <f t="shared" si="17"/>
        <v>0</v>
      </c>
      <c r="W108" s="414"/>
      <c r="X108" s="414"/>
    </row>
    <row r="109" spans="1:25" s="421" customFormat="1" ht="5.0999999999999996" customHeight="1" outlineLevel="1">
      <c r="A109" s="449" t="s">
        <v>194</v>
      </c>
      <c r="B109" s="416" t="s">
        <v>194</v>
      </c>
      <c r="C109" s="416"/>
      <c r="D109" s="418"/>
      <c r="E109" s="418"/>
      <c r="F109" s="418"/>
      <c r="G109" s="418"/>
      <c r="H109" s="414"/>
      <c r="I109" s="414"/>
      <c r="J109" s="453"/>
      <c r="K109" s="414"/>
      <c r="L109" s="453"/>
      <c r="M109" s="414"/>
      <c r="N109" s="454"/>
      <c r="O109" s="414"/>
      <c r="P109" s="453"/>
      <c r="Q109" s="414"/>
      <c r="R109" s="453"/>
      <c r="S109" s="453"/>
      <c r="T109" s="453"/>
      <c r="U109" s="414"/>
      <c r="V109" s="454"/>
      <c r="W109" s="414"/>
      <c r="X109" s="414"/>
      <c r="Y109" s="414"/>
    </row>
    <row r="110" spans="1:25" s="421" customFormat="1">
      <c r="A110" s="416" t="s">
        <v>745</v>
      </c>
      <c r="B110" s="449" t="s">
        <v>194</v>
      </c>
      <c r="C110" s="449"/>
      <c r="D110" s="414"/>
      <c r="E110" s="414"/>
      <c r="F110" s="417" t="s">
        <v>750</v>
      </c>
      <c r="G110" s="460"/>
      <c r="H110" s="460"/>
      <c r="I110" s="460"/>
      <c r="J110" s="451">
        <f>SUM(J105:J109)</f>
        <v>41664678.729999997</v>
      </c>
      <c r="K110" s="414"/>
      <c r="L110" s="451">
        <f>SUM(L105:L109)</f>
        <v>0</v>
      </c>
      <c r="M110" s="414"/>
      <c r="N110" s="452">
        <f>SUM(N105:N109)</f>
        <v>0</v>
      </c>
      <c r="O110" s="414"/>
      <c r="P110" s="451">
        <f>J110+L110+N110</f>
        <v>41664678.729999997</v>
      </c>
      <c r="Q110" s="414"/>
      <c r="R110" s="451">
        <f>SUM(R105:R109)</f>
        <v>41681521.32</v>
      </c>
      <c r="S110" s="451">
        <f>SUM(S105:S109)</f>
        <v>41673100.020000003</v>
      </c>
      <c r="T110" s="451">
        <f>SUM(T105:T109)</f>
        <v>41664678.729999997</v>
      </c>
      <c r="U110" s="414"/>
      <c r="V110" s="452">
        <f>SUM(V105:V109)</f>
        <v>-8421.2900000000373</v>
      </c>
      <c r="W110" s="414"/>
      <c r="X110" s="414"/>
      <c r="Y110" s="414"/>
    </row>
    <row r="111" spans="1:25" s="421" customFormat="1" outlineLevel="1">
      <c r="A111" s="414"/>
      <c r="B111" s="415" t="s">
        <v>751</v>
      </c>
      <c r="C111" s="416"/>
      <c r="D111" s="417">
        <v>16100</v>
      </c>
      <c r="E111" s="417" t="s">
        <v>752</v>
      </c>
      <c r="F111" s="418"/>
      <c r="G111" s="418"/>
      <c r="H111" s="414"/>
      <c r="I111" s="414"/>
      <c r="J111" s="419">
        <v>2450.9699999999998</v>
      </c>
      <c r="K111" s="414"/>
      <c r="L111" s="419">
        <v>0</v>
      </c>
      <c r="M111" s="414"/>
      <c r="N111" s="420">
        <v>0</v>
      </c>
      <c r="O111" s="414"/>
      <c r="P111" s="419">
        <f>J111+L111+N111</f>
        <v>2450.9699999999998</v>
      </c>
      <c r="Q111" s="414"/>
      <c r="R111" s="419">
        <v>2450.9699999999998</v>
      </c>
      <c r="S111" s="419">
        <v>2450.9699999999998</v>
      </c>
      <c r="T111" s="419">
        <f>P111</f>
        <v>2450.9699999999998</v>
      </c>
      <c r="U111" s="414"/>
      <c r="V111" s="420">
        <f>T111-S111</f>
        <v>0</v>
      </c>
      <c r="W111" s="414"/>
      <c r="X111" s="414"/>
    </row>
    <row r="112" spans="1:25" s="421" customFormat="1" ht="5.0999999999999996" customHeight="1" outlineLevel="1">
      <c r="A112" s="449" t="s">
        <v>194</v>
      </c>
      <c r="B112" s="416" t="s">
        <v>194</v>
      </c>
      <c r="C112" s="416"/>
      <c r="D112" s="418"/>
      <c r="E112" s="418"/>
      <c r="F112" s="418"/>
      <c r="G112" s="418"/>
      <c r="H112" s="414"/>
      <c r="I112" s="414"/>
      <c r="J112" s="453"/>
      <c r="K112" s="414"/>
      <c r="L112" s="453"/>
      <c r="M112" s="414"/>
      <c r="N112" s="454"/>
      <c r="O112" s="414"/>
      <c r="P112" s="453"/>
      <c r="Q112" s="414"/>
      <c r="R112" s="453"/>
      <c r="S112" s="453"/>
      <c r="T112" s="453"/>
      <c r="U112" s="414"/>
      <c r="V112" s="454"/>
      <c r="W112" s="414"/>
      <c r="X112" s="414"/>
      <c r="Y112" s="414"/>
    </row>
    <row r="113" spans="1:25" s="421" customFormat="1">
      <c r="A113" s="416" t="s">
        <v>751</v>
      </c>
      <c r="B113" s="416" t="s">
        <v>194</v>
      </c>
      <c r="C113" s="416"/>
      <c r="D113" s="414"/>
      <c r="E113" s="414"/>
      <c r="F113" s="417" t="s">
        <v>752</v>
      </c>
      <c r="G113" s="460"/>
      <c r="H113" s="460"/>
      <c r="I113" s="460"/>
      <c r="J113" s="451">
        <f>SUM(J111:J112)</f>
        <v>2450.9699999999998</v>
      </c>
      <c r="K113" s="414"/>
      <c r="L113" s="451">
        <f>SUM(L111:L112)</f>
        <v>0</v>
      </c>
      <c r="M113" s="414"/>
      <c r="N113" s="452">
        <f>SUM(N111:N112)</f>
        <v>0</v>
      </c>
      <c r="O113" s="414"/>
      <c r="P113" s="451">
        <f>J113+L113+N113</f>
        <v>2450.9699999999998</v>
      </c>
      <c r="Q113" s="414"/>
      <c r="R113" s="451">
        <f>SUM(R111:R112)</f>
        <v>2450.9699999999998</v>
      </c>
      <c r="S113" s="451">
        <f>SUM(S111:S112)</f>
        <v>2450.9699999999998</v>
      </c>
      <c r="T113" s="451">
        <f>SUM(T111:T112)</f>
        <v>2450.9699999999998</v>
      </c>
      <c r="U113" s="414"/>
      <c r="V113" s="452">
        <f>SUM(V111:V112)</f>
        <v>0</v>
      </c>
      <c r="W113" s="414"/>
      <c r="X113" s="414"/>
      <c r="Y113" s="414"/>
    </row>
    <row r="114" spans="1:25" s="421" customFormat="1" outlineLevel="1">
      <c r="A114" s="414"/>
      <c r="B114" s="415" t="s">
        <v>753</v>
      </c>
      <c r="C114" s="416"/>
      <c r="D114" s="417"/>
      <c r="E114" s="417"/>
      <c r="F114" s="418"/>
      <c r="G114" s="418"/>
      <c r="H114" s="414"/>
      <c r="I114" s="414"/>
      <c r="J114" s="419"/>
      <c r="K114" s="414"/>
      <c r="L114" s="419"/>
      <c r="M114" s="414"/>
      <c r="N114" s="420"/>
      <c r="O114" s="414"/>
      <c r="P114" s="419">
        <f>J114+L114+N114</f>
        <v>0</v>
      </c>
      <c r="Q114" s="414"/>
      <c r="R114" s="419"/>
      <c r="S114" s="419"/>
      <c r="T114" s="419">
        <f>P114</f>
        <v>0</v>
      </c>
      <c r="U114" s="414"/>
      <c r="V114" s="420">
        <f>T114-S114</f>
        <v>0</v>
      </c>
      <c r="W114" s="414"/>
      <c r="X114" s="414"/>
    </row>
    <row r="115" spans="1:25" s="421" customFormat="1" ht="4.5" customHeight="1" outlineLevel="1">
      <c r="A115" s="416" t="s">
        <v>194</v>
      </c>
      <c r="B115" s="414" t="s">
        <v>194</v>
      </c>
      <c r="C115" s="459"/>
      <c r="D115" s="458"/>
      <c r="E115" s="414"/>
      <c r="F115" s="414"/>
      <c r="G115" s="414"/>
      <c r="H115" s="414"/>
      <c r="I115" s="414"/>
      <c r="J115" s="453"/>
      <c r="K115" s="414"/>
      <c r="L115" s="453"/>
      <c r="M115" s="414"/>
      <c r="N115" s="454"/>
      <c r="O115" s="414"/>
      <c r="P115" s="453"/>
      <c r="Q115" s="414"/>
      <c r="R115" s="453"/>
      <c r="S115" s="453"/>
      <c r="T115" s="453"/>
      <c r="U115" s="414"/>
      <c r="V115" s="454"/>
      <c r="W115" s="414"/>
      <c r="X115" s="414"/>
      <c r="Y115" s="414"/>
    </row>
    <row r="116" spans="1:25" s="421" customFormat="1">
      <c r="A116" s="416" t="s">
        <v>753</v>
      </c>
      <c r="B116" s="449" t="s">
        <v>194</v>
      </c>
      <c r="C116" s="449"/>
      <c r="D116" s="414"/>
      <c r="E116" s="414"/>
      <c r="F116" s="414" t="s">
        <v>754</v>
      </c>
      <c r="G116" s="414"/>
      <c r="H116" s="414"/>
      <c r="I116" s="414"/>
      <c r="J116" s="451">
        <f>SUM(J114:J115)</f>
        <v>0</v>
      </c>
      <c r="K116" s="414"/>
      <c r="L116" s="451">
        <f>SUM(L114:L115)</f>
        <v>0</v>
      </c>
      <c r="M116" s="414"/>
      <c r="N116" s="452">
        <f>SUM(N114:N115)</f>
        <v>0</v>
      </c>
      <c r="O116" s="414"/>
      <c r="P116" s="451">
        <f>J116+L116+N116</f>
        <v>0</v>
      </c>
      <c r="Q116" s="414"/>
      <c r="R116" s="451">
        <f>SUM(R114:R115)</f>
        <v>0</v>
      </c>
      <c r="S116" s="451">
        <f>SUM(S114:S115)</f>
        <v>0</v>
      </c>
      <c r="T116" s="451">
        <f>SUM(T114:T115)</f>
        <v>0</v>
      </c>
      <c r="U116" s="414"/>
      <c r="V116" s="452">
        <f>SUM(V114:V115)</f>
        <v>0</v>
      </c>
      <c r="W116" s="414"/>
      <c r="X116" s="414"/>
      <c r="Y116" s="414"/>
    </row>
    <row r="117" spans="1:25" s="421" customFormat="1" outlineLevel="1">
      <c r="A117" s="414"/>
      <c r="B117" s="415" t="s">
        <v>755</v>
      </c>
      <c r="C117" s="416"/>
      <c r="D117" s="417"/>
      <c r="E117" s="417"/>
      <c r="F117" s="418"/>
      <c r="G117" s="418"/>
      <c r="H117" s="414"/>
      <c r="I117" s="414"/>
      <c r="J117" s="419"/>
      <c r="K117" s="414"/>
      <c r="L117" s="419"/>
      <c r="M117" s="414"/>
      <c r="N117" s="420"/>
      <c r="O117" s="414"/>
      <c r="P117" s="419">
        <f>J117+L117+N117</f>
        <v>0</v>
      </c>
      <c r="Q117" s="414"/>
      <c r="R117" s="419"/>
      <c r="S117" s="419"/>
      <c r="T117" s="419">
        <f>P117</f>
        <v>0</v>
      </c>
      <c r="U117" s="414"/>
      <c r="V117" s="420">
        <f>T117-S117</f>
        <v>0</v>
      </c>
      <c r="W117" s="414"/>
      <c r="X117" s="414"/>
    </row>
    <row r="118" spans="1:25" s="421" customFormat="1" ht="5.0999999999999996" customHeight="1" outlineLevel="1">
      <c r="A118" s="449" t="s">
        <v>194</v>
      </c>
      <c r="B118" s="449" t="s">
        <v>194</v>
      </c>
      <c r="C118" s="449"/>
      <c r="D118" s="418"/>
      <c r="E118" s="418"/>
      <c r="F118" s="418"/>
      <c r="G118" s="418"/>
      <c r="H118" s="414"/>
      <c r="I118" s="414"/>
      <c r="J118" s="453"/>
      <c r="K118" s="414"/>
      <c r="L118" s="453"/>
      <c r="M118" s="414"/>
      <c r="N118" s="454"/>
      <c r="O118" s="414"/>
      <c r="P118" s="453"/>
      <c r="Q118" s="414"/>
      <c r="R118" s="453"/>
      <c r="S118" s="453"/>
      <c r="T118" s="453"/>
      <c r="U118" s="414"/>
      <c r="V118" s="454"/>
      <c r="W118" s="414"/>
      <c r="X118" s="414"/>
      <c r="Y118" s="414"/>
    </row>
    <row r="119" spans="1:25" s="421" customFormat="1">
      <c r="A119" s="416" t="s">
        <v>755</v>
      </c>
      <c r="B119" s="449" t="s">
        <v>194</v>
      </c>
      <c r="C119" s="449"/>
      <c r="D119" s="414"/>
      <c r="E119" s="414"/>
      <c r="F119" s="417" t="s">
        <v>756</v>
      </c>
      <c r="G119" s="414"/>
      <c r="H119" s="414"/>
      <c r="I119" s="414"/>
      <c r="J119" s="451">
        <f>SUM(J117:J118)</f>
        <v>0</v>
      </c>
      <c r="K119" s="414"/>
      <c r="L119" s="451">
        <f>SUM(L117:L118)</f>
        <v>0</v>
      </c>
      <c r="M119" s="414"/>
      <c r="N119" s="452">
        <f>SUM(N117:N118)</f>
        <v>0</v>
      </c>
      <c r="O119" s="414"/>
      <c r="P119" s="451">
        <f>J119+L119+N119</f>
        <v>0</v>
      </c>
      <c r="Q119" s="414"/>
      <c r="R119" s="451">
        <f>SUM(R117:R118)</f>
        <v>0</v>
      </c>
      <c r="S119" s="451">
        <f>SUM(S117:S118)</f>
        <v>0</v>
      </c>
      <c r="T119" s="451">
        <f>SUM(T117:T118)</f>
        <v>0</v>
      </c>
      <c r="U119" s="414"/>
      <c r="V119" s="452">
        <f>SUM(V117:V118)</f>
        <v>0</v>
      </c>
      <c r="W119" s="414"/>
      <c r="X119" s="414"/>
      <c r="Y119" s="414"/>
    </row>
    <row r="120" spans="1:25" s="421" customFormat="1" outlineLevel="1">
      <c r="A120" s="414"/>
      <c r="B120" s="415" t="s">
        <v>757</v>
      </c>
      <c r="C120" s="416"/>
      <c r="D120" s="417"/>
      <c r="E120" s="417"/>
      <c r="F120" s="418"/>
      <c r="G120" s="418"/>
      <c r="H120" s="414"/>
      <c r="I120" s="414"/>
      <c r="J120" s="419"/>
      <c r="K120" s="414"/>
      <c r="L120" s="419"/>
      <c r="M120" s="414"/>
      <c r="N120" s="420"/>
      <c r="O120" s="414"/>
      <c r="P120" s="419">
        <f>J120+L120+N120</f>
        <v>0</v>
      </c>
      <c r="Q120" s="414"/>
      <c r="R120" s="419"/>
      <c r="S120" s="419"/>
      <c r="T120" s="419">
        <f>P120</f>
        <v>0</v>
      </c>
      <c r="U120" s="414"/>
      <c r="V120" s="420">
        <f>T120-S120</f>
        <v>0</v>
      </c>
      <c r="W120" s="414"/>
      <c r="X120" s="414"/>
    </row>
    <row r="121" spans="1:25" s="421" customFormat="1" ht="5.0999999999999996" customHeight="1" outlineLevel="1">
      <c r="A121" s="449" t="s">
        <v>194</v>
      </c>
      <c r="B121" s="449" t="s">
        <v>194</v>
      </c>
      <c r="C121" s="449"/>
      <c r="D121" s="418"/>
      <c r="E121" s="418"/>
      <c r="F121" s="418"/>
      <c r="G121" s="418"/>
      <c r="H121" s="414"/>
      <c r="I121" s="414"/>
      <c r="J121" s="453"/>
      <c r="K121" s="414"/>
      <c r="L121" s="453"/>
      <c r="M121" s="414"/>
      <c r="N121" s="454"/>
      <c r="O121" s="414"/>
      <c r="P121" s="453"/>
      <c r="Q121" s="414"/>
      <c r="R121" s="453"/>
      <c r="S121" s="453"/>
      <c r="T121" s="453"/>
      <c r="U121" s="414"/>
      <c r="V121" s="454"/>
      <c r="W121" s="414"/>
      <c r="X121" s="414"/>
      <c r="Y121" s="414"/>
    </row>
    <row r="122" spans="1:25" s="421" customFormat="1">
      <c r="A122" s="416" t="s">
        <v>757</v>
      </c>
      <c r="B122" s="416" t="s">
        <v>194</v>
      </c>
      <c r="C122" s="416"/>
      <c r="D122" s="414"/>
      <c r="E122" s="414"/>
      <c r="F122" s="417" t="s">
        <v>758</v>
      </c>
      <c r="G122" s="414"/>
      <c r="H122" s="414"/>
      <c r="I122" s="414"/>
      <c r="J122" s="451">
        <f>SUM(J120:J121)</f>
        <v>0</v>
      </c>
      <c r="K122" s="414"/>
      <c r="L122" s="451">
        <f>SUM(L120:L121)</f>
        <v>0</v>
      </c>
      <c r="M122" s="414"/>
      <c r="N122" s="452">
        <f>SUM(N120:N121)</f>
        <v>0</v>
      </c>
      <c r="O122" s="414"/>
      <c r="P122" s="451">
        <f>J122+L122+N122</f>
        <v>0</v>
      </c>
      <c r="Q122" s="414"/>
      <c r="R122" s="451">
        <f>SUM(R120:R121)</f>
        <v>0</v>
      </c>
      <c r="S122" s="451">
        <f>SUM(S120:S121)</f>
        <v>0</v>
      </c>
      <c r="T122" s="451">
        <f>SUM(T120:T121)</f>
        <v>0</v>
      </c>
      <c r="U122" s="414"/>
      <c r="V122" s="452">
        <f>SUM(V120:V121)</f>
        <v>0</v>
      </c>
      <c r="W122" s="414"/>
      <c r="X122" s="414"/>
      <c r="Y122" s="414"/>
    </row>
    <row r="123" spans="1:25" s="421" customFormat="1" outlineLevel="1">
      <c r="A123" s="414"/>
      <c r="B123" s="415" t="s">
        <v>759</v>
      </c>
      <c r="C123" s="416"/>
      <c r="D123" s="417">
        <v>17100</v>
      </c>
      <c r="E123" s="417" t="s">
        <v>760</v>
      </c>
      <c r="F123" s="418"/>
      <c r="G123" s="418"/>
      <c r="H123" s="414"/>
      <c r="I123" s="414"/>
      <c r="J123" s="419">
        <v>6549136.9000000004</v>
      </c>
      <c r="K123" s="414"/>
      <c r="L123" s="419">
        <v>0</v>
      </c>
      <c r="M123" s="414"/>
      <c r="N123" s="420">
        <v>0</v>
      </c>
      <c r="O123" s="414"/>
      <c r="P123" s="419">
        <f>J123+L123+N123</f>
        <v>6549136.9000000004</v>
      </c>
      <c r="Q123" s="414"/>
      <c r="R123" s="419">
        <v>6492875.6299999999</v>
      </c>
      <c r="S123" s="419">
        <v>6802042.79</v>
      </c>
      <c r="T123" s="419">
        <f t="shared" ref="T123:T124" si="18">P123</f>
        <v>6549136.9000000004</v>
      </c>
      <c r="U123" s="414"/>
      <c r="V123" s="420">
        <f t="shared" ref="V123:V124" si="19">T123-S123</f>
        <v>-252905.88999999966</v>
      </c>
      <c r="W123" s="414"/>
      <c r="X123" s="414"/>
    </row>
    <row r="124" spans="1:25" s="421" customFormat="1" outlineLevel="1">
      <c r="A124" s="414"/>
      <c r="B124" s="415" t="s">
        <v>397</v>
      </c>
      <c r="C124" s="416"/>
      <c r="D124" s="417">
        <v>18100</v>
      </c>
      <c r="E124" s="417" t="s">
        <v>761</v>
      </c>
      <c r="F124" s="418"/>
      <c r="G124" s="418"/>
      <c r="H124" s="414"/>
      <c r="I124" s="414"/>
      <c r="J124" s="419">
        <v>-31221730.129999999</v>
      </c>
      <c r="K124" s="414"/>
      <c r="L124" s="419">
        <v>0</v>
      </c>
      <c r="M124" s="414"/>
      <c r="N124" s="420">
        <v>0</v>
      </c>
      <c r="O124" s="414"/>
      <c r="P124" s="419">
        <f>J124+L124+N124</f>
        <v>-31221730.129999999</v>
      </c>
      <c r="Q124" s="414"/>
      <c r="R124" s="419">
        <v>-31221730.129999999</v>
      </c>
      <c r="S124" s="419">
        <v>-31221730.129999999</v>
      </c>
      <c r="T124" s="419">
        <f t="shared" si="18"/>
        <v>-31221730.129999999</v>
      </c>
      <c r="U124" s="414"/>
      <c r="V124" s="420">
        <f t="shared" si="19"/>
        <v>0</v>
      </c>
      <c r="W124" s="414"/>
      <c r="X124" s="414"/>
    </row>
    <row r="125" spans="1:25" s="421" customFormat="1" ht="5.0999999999999996" customHeight="1" outlineLevel="1">
      <c r="A125" s="416" t="s">
        <v>194</v>
      </c>
      <c r="B125" s="416" t="s">
        <v>194</v>
      </c>
      <c r="C125" s="416"/>
      <c r="D125" s="418"/>
      <c r="E125" s="418"/>
      <c r="F125" s="418"/>
      <c r="G125" s="418"/>
      <c r="H125" s="414"/>
      <c r="I125" s="414"/>
      <c r="J125" s="453"/>
      <c r="K125" s="414"/>
      <c r="L125" s="453"/>
      <c r="M125" s="414"/>
      <c r="N125" s="454"/>
      <c r="O125" s="414"/>
      <c r="P125" s="453"/>
      <c r="Q125" s="414"/>
      <c r="R125" s="453"/>
      <c r="S125" s="453"/>
      <c r="T125" s="453"/>
      <c r="U125" s="414"/>
      <c r="V125" s="454"/>
      <c r="W125" s="414"/>
      <c r="X125" s="414"/>
      <c r="Y125" s="414"/>
    </row>
    <row r="126" spans="1:25" s="421" customFormat="1">
      <c r="A126" s="416" t="s">
        <v>759</v>
      </c>
      <c r="B126" s="416" t="s">
        <v>194</v>
      </c>
      <c r="C126" s="416"/>
      <c r="D126" s="414"/>
      <c r="E126" s="414"/>
      <c r="F126" s="417" t="s">
        <v>762</v>
      </c>
      <c r="G126" s="414"/>
      <c r="H126" s="414"/>
      <c r="I126" s="414"/>
      <c r="J126" s="451">
        <f>SUM(J123:J125)</f>
        <v>-24672593.229999997</v>
      </c>
      <c r="K126" s="414"/>
      <c r="L126" s="451">
        <f>SUM(L123:L125)</f>
        <v>0</v>
      </c>
      <c r="M126" s="414"/>
      <c r="N126" s="452">
        <f>SUM(N123:N125)</f>
        <v>0</v>
      </c>
      <c r="O126" s="414"/>
      <c r="P126" s="451">
        <f>J126+L126+N126</f>
        <v>-24672593.229999997</v>
      </c>
      <c r="Q126" s="414"/>
      <c r="R126" s="451">
        <f>SUM(R123:R125)</f>
        <v>-24728854.5</v>
      </c>
      <c r="S126" s="451">
        <f>SUM(S123:S125)</f>
        <v>-24419687.34</v>
      </c>
      <c r="T126" s="451">
        <f>SUM(T123:T125)</f>
        <v>-24672593.229999997</v>
      </c>
      <c r="U126" s="414"/>
      <c r="V126" s="452">
        <f>SUM(V123:V125)</f>
        <v>-252905.88999999966</v>
      </c>
      <c r="W126" s="414"/>
      <c r="X126" s="414"/>
      <c r="Y126" s="414"/>
    </row>
    <row r="127" spans="1:25" s="421" customFormat="1" ht="7.5" customHeight="1">
      <c r="A127" s="416" t="s">
        <v>194</v>
      </c>
      <c r="B127" s="449" t="s">
        <v>194</v>
      </c>
      <c r="C127" s="449"/>
      <c r="D127" s="414"/>
      <c r="E127" s="414"/>
      <c r="F127" s="414"/>
      <c r="G127" s="414"/>
      <c r="H127" s="414"/>
      <c r="I127" s="414"/>
      <c r="J127" s="456"/>
      <c r="K127" s="414"/>
      <c r="L127" s="456"/>
      <c r="M127" s="414"/>
      <c r="N127" s="420"/>
      <c r="O127" s="414"/>
      <c r="P127" s="456"/>
      <c r="Q127" s="414"/>
      <c r="R127" s="456"/>
      <c r="S127" s="456"/>
      <c r="T127" s="456"/>
      <c r="U127" s="414"/>
      <c r="V127" s="420"/>
      <c r="W127" s="414"/>
      <c r="X127" s="414"/>
      <c r="Y127" s="414"/>
    </row>
    <row r="128" spans="1:25" s="421" customFormat="1" ht="13.5" thickBot="1">
      <c r="A128" s="416" t="s">
        <v>194</v>
      </c>
      <c r="B128" s="449" t="s">
        <v>194</v>
      </c>
      <c r="C128" s="449"/>
      <c r="D128" s="414"/>
      <c r="E128" s="457" t="s">
        <v>763</v>
      </c>
      <c r="F128" s="414"/>
      <c r="G128" s="414"/>
      <c r="H128" s="414"/>
      <c r="I128" s="414"/>
      <c r="J128" s="461">
        <f>SUM(J98,J101,J104,J110,J113,J116,J119,J122,J126,J56)</f>
        <v>37085273.600000001</v>
      </c>
      <c r="K128" s="414"/>
      <c r="L128" s="461">
        <f>SUM(L98,L101,L104,L110,L113,L116,L119,L122,L126,L56)</f>
        <v>0</v>
      </c>
      <c r="M128" s="414"/>
      <c r="N128" s="462">
        <f>SUM(N98,N101,N104,N110,N113,N116,N119,N122,N126,N56)</f>
        <v>0</v>
      </c>
      <c r="O128" s="414"/>
      <c r="P128" s="461">
        <f>SUM(P98,P101,P104,P110,P113,P116,P119,P122,P126,P56)</f>
        <v>37085273.600000001</v>
      </c>
      <c r="Q128" s="414"/>
      <c r="R128" s="461">
        <f>SUM(R98,R101,R104,R110,R113,R116,R119,R122,R126,R56)</f>
        <v>36062576.82</v>
      </c>
      <c r="S128" s="461">
        <f>SUM(S98,S101,S104,S110,S113,S116,S119,S122,S126,S56)</f>
        <v>37005633.030000001</v>
      </c>
      <c r="T128" s="461">
        <f>SUM(T98,T101,T104,T110,T113,T116,T119,T122,T126,T56)</f>
        <v>37085273.600000001</v>
      </c>
      <c r="U128" s="414"/>
      <c r="V128" s="462">
        <f>SUM(V98,V101,V104,V110,V113,V116,V119,V122,V126,V56)</f>
        <v>79640.569999999279</v>
      </c>
      <c r="W128" s="414"/>
      <c r="X128" s="414"/>
      <c r="Y128" s="414"/>
    </row>
    <row r="129" spans="1:25" s="421" customFormat="1" ht="7.5" customHeight="1" thickTop="1">
      <c r="A129" s="449" t="s">
        <v>194</v>
      </c>
      <c r="B129" s="449"/>
      <c r="C129" s="449"/>
      <c r="D129" s="414"/>
      <c r="E129" s="457"/>
      <c r="F129" s="414"/>
      <c r="G129" s="414"/>
      <c r="H129" s="414"/>
      <c r="I129" s="414"/>
      <c r="J129" s="452"/>
      <c r="K129" s="459"/>
      <c r="L129" s="452"/>
      <c r="M129" s="459"/>
      <c r="N129" s="452"/>
      <c r="O129" s="459"/>
      <c r="P129" s="452"/>
      <c r="Q129" s="459"/>
      <c r="R129" s="452"/>
      <c r="S129" s="452"/>
      <c r="T129" s="452"/>
      <c r="U129" s="459"/>
      <c r="V129" s="452"/>
      <c r="W129" s="414"/>
      <c r="X129" s="414"/>
      <c r="Y129" s="414"/>
    </row>
    <row r="130" spans="1:25" s="421" customFormat="1" outlineLevel="1">
      <c r="A130" s="414"/>
      <c r="B130" s="415" t="s">
        <v>764</v>
      </c>
      <c r="C130" s="416"/>
      <c r="D130" s="417"/>
      <c r="E130" s="417"/>
      <c r="F130" s="418"/>
      <c r="G130" s="418"/>
      <c r="H130" s="414"/>
      <c r="I130" s="414"/>
      <c r="J130" s="419"/>
      <c r="K130" s="414"/>
      <c r="L130" s="419"/>
      <c r="M130" s="414"/>
      <c r="N130" s="420"/>
      <c r="O130" s="414"/>
      <c r="P130" s="419">
        <f>J130+L130+N130</f>
        <v>0</v>
      </c>
      <c r="Q130" s="414"/>
      <c r="R130" s="419"/>
      <c r="S130" s="419"/>
      <c r="T130" s="419">
        <f>P130</f>
        <v>0</v>
      </c>
      <c r="U130" s="414"/>
      <c r="V130" s="420">
        <f>T130-S130</f>
        <v>0</v>
      </c>
      <c r="W130" s="414"/>
      <c r="X130" s="414"/>
    </row>
    <row r="131" spans="1:25" s="421" customFormat="1" ht="5.0999999999999996" customHeight="1" outlineLevel="1">
      <c r="A131" s="449"/>
      <c r="B131" s="449"/>
      <c r="C131" s="449"/>
      <c r="D131" s="417"/>
      <c r="E131" s="417"/>
      <c r="F131" s="414"/>
      <c r="G131" s="414"/>
      <c r="H131" s="414"/>
      <c r="I131" s="414"/>
      <c r="J131" s="453"/>
      <c r="K131" s="414"/>
      <c r="L131" s="453"/>
      <c r="M131" s="414"/>
      <c r="N131" s="454"/>
      <c r="O131" s="414"/>
      <c r="P131" s="453"/>
      <c r="Q131" s="414"/>
      <c r="R131" s="453"/>
      <c r="S131" s="453"/>
      <c r="T131" s="453"/>
      <c r="U131" s="414"/>
      <c r="V131" s="454"/>
      <c r="W131" s="414"/>
      <c r="X131" s="414"/>
      <c r="Y131" s="414"/>
    </row>
    <row r="132" spans="1:25" s="421" customFormat="1" ht="12.75" customHeight="1">
      <c r="A132" s="416" t="s">
        <v>764</v>
      </c>
      <c r="B132" s="449" t="s">
        <v>194</v>
      </c>
      <c r="C132" s="449"/>
      <c r="D132" s="414"/>
      <c r="E132" s="414"/>
      <c r="F132" s="414" t="s">
        <v>765</v>
      </c>
      <c r="G132" s="414"/>
      <c r="H132" s="414"/>
      <c r="I132" s="414"/>
      <c r="J132" s="451">
        <f>SUM(J130:J131)</f>
        <v>0</v>
      </c>
      <c r="K132" s="414"/>
      <c r="L132" s="451">
        <f>SUM(L130:L131)</f>
        <v>0</v>
      </c>
      <c r="M132" s="414"/>
      <c r="N132" s="452">
        <f>SUM(N130:N131)</f>
        <v>0</v>
      </c>
      <c r="O132" s="414"/>
      <c r="P132" s="451">
        <f>J132+L132+N132</f>
        <v>0</v>
      </c>
      <c r="Q132" s="414"/>
      <c r="R132" s="451">
        <f>SUM(R130:R131)</f>
        <v>0</v>
      </c>
      <c r="S132" s="451">
        <f>SUM(S130:S131)</f>
        <v>0</v>
      </c>
      <c r="T132" s="451">
        <f>SUM(T130:T131)</f>
        <v>0</v>
      </c>
      <c r="U132" s="414"/>
      <c r="V132" s="452">
        <f>SUM(V130:V131)</f>
        <v>0</v>
      </c>
      <c r="W132" s="414"/>
      <c r="X132" s="414"/>
      <c r="Y132" s="414"/>
    </row>
    <row r="133" spans="1:25" s="421" customFormat="1" outlineLevel="1">
      <c r="A133" s="449"/>
      <c r="B133" s="416" t="s">
        <v>194</v>
      </c>
      <c r="C133" s="416"/>
      <c r="D133" s="414"/>
      <c r="E133" s="414"/>
      <c r="F133" s="414"/>
      <c r="G133" s="414"/>
      <c r="H133" s="414"/>
      <c r="I133" s="414"/>
      <c r="J133" s="456"/>
      <c r="K133" s="414"/>
      <c r="L133" s="456"/>
      <c r="M133" s="414"/>
      <c r="N133" s="420"/>
      <c r="O133" s="414"/>
      <c r="P133" s="456"/>
      <c r="Q133" s="414"/>
      <c r="R133" s="456"/>
      <c r="S133" s="456"/>
      <c r="T133" s="456"/>
      <c r="U133" s="414"/>
      <c r="V133" s="420"/>
      <c r="W133" s="414"/>
      <c r="X133" s="414"/>
      <c r="Y133" s="414"/>
    </row>
    <row r="134" spans="1:25" s="421" customFormat="1" outlineLevel="1">
      <c r="A134" s="414"/>
      <c r="B134" s="415" t="s">
        <v>766</v>
      </c>
      <c r="C134" s="416"/>
      <c r="D134" s="417"/>
      <c r="E134" s="417"/>
      <c r="F134" s="418"/>
      <c r="G134" s="418"/>
      <c r="H134" s="414"/>
      <c r="I134" s="414"/>
      <c r="J134" s="419"/>
      <c r="K134" s="414"/>
      <c r="L134" s="419"/>
      <c r="M134" s="414"/>
      <c r="N134" s="420"/>
      <c r="O134" s="414"/>
      <c r="P134" s="419">
        <f>J134+L134+N134</f>
        <v>0</v>
      </c>
      <c r="Q134" s="414"/>
      <c r="R134" s="419"/>
      <c r="S134" s="419"/>
      <c r="T134" s="419">
        <f>P134</f>
        <v>0</v>
      </c>
      <c r="U134" s="414"/>
      <c r="V134" s="420">
        <f>T134-S134</f>
        <v>0</v>
      </c>
      <c r="W134" s="414"/>
      <c r="X134" s="414"/>
    </row>
    <row r="135" spans="1:25" s="421" customFormat="1" ht="5.0999999999999996" customHeight="1" outlineLevel="1">
      <c r="A135" s="416" t="s">
        <v>194</v>
      </c>
      <c r="B135" s="416" t="s">
        <v>194</v>
      </c>
      <c r="C135" s="416"/>
      <c r="D135" s="418"/>
      <c r="E135" s="418"/>
      <c r="F135" s="418"/>
      <c r="G135" s="418"/>
      <c r="H135" s="414"/>
      <c r="I135" s="414"/>
      <c r="J135" s="453"/>
      <c r="K135" s="414"/>
      <c r="L135" s="453"/>
      <c r="M135" s="414"/>
      <c r="N135" s="454"/>
      <c r="O135" s="414"/>
      <c r="P135" s="453"/>
      <c r="Q135" s="414"/>
      <c r="R135" s="453"/>
      <c r="S135" s="453"/>
      <c r="T135" s="453"/>
      <c r="U135" s="414"/>
      <c r="V135" s="454"/>
      <c r="W135" s="414"/>
      <c r="X135" s="414"/>
      <c r="Y135" s="414"/>
    </row>
    <row r="136" spans="1:25" s="421" customFormat="1" ht="12.75" customHeight="1">
      <c r="A136" s="416" t="s">
        <v>766</v>
      </c>
      <c r="B136" s="416" t="s">
        <v>194</v>
      </c>
      <c r="C136" s="416"/>
      <c r="D136" s="414"/>
      <c r="E136" s="414"/>
      <c r="F136" s="417" t="s">
        <v>767</v>
      </c>
      <c r="G136" s="414"/>
      <c r="H136" s="414"/>
      <c r="I136" s="414"/>
      <c r="J136" s="451">
        <f>SUM(J134:J135)</f>
        <v>0</v>
      </c>
      <c r="K136" s="414"/>
      <c r="L136" s="451">
        <f>SUM(L134:L135)</f>
        <v>0</v>
      </c>
      <c r="M136" s="414"/>
      <c r="N136" s="452">
        <f>SUM(N134:N135)</f>
        <v>0</v>
      </c>
      <c r="O136" s="414"/>
      <c r="P136" s="451">
        <f t="shared" ref="P136" si="20">J136+L136+N136</f>
        <v>0</v>
      </c>
      <c r="Q136" s="414"/>
      <c r="R136" s="451">
        <f>SUM(R134:R135)</f>
        <v>0</v>
      </c>
      <c r="S136" s="451">
        <f>SUM(S134:S135)</f>
        <v>0</v>
      </c>
      <c r="T136" s="451">
        <f>SUM(T134:T135)</f>
        <v>0</v>
      </c>
      <c r="U136" s="414"/>
      <c r="V136" s="452">
        <f>SUM(V134:V135)</f>
        <v>0</v>
      </c>
      <c r="W136" s="414"/>
      <c r="X136" s="414"/>
      <c r="Y136" s="414"/>
    </row>
    <row r="137" spans="1:25" s="421" customFormat="1" outlineLevel="1">
      <c r="A137" s="414"/>
      <c r="B137" s="415" t="s">
        <v>768</v>
      </c>
      <c r="C137" s="416"/>
      <c r="D137" s="417">
        <v>20120</v>
      </c>
      <c r="E137" s="417" t="s">
        <v>769</v>
      </c>
      <c r="F137" s="418"/>
      <c r="G137" s="418"/>
      <c r="H137" s="414"/>
      <c r="I137" s="414"/>
      <c r="J137" s="419">
        <v>1304887.03</v>
      </c>
      <c r="K137" s="414"/>
      <c r="L137" s="419">
        <v>0</v>
      </c>
      <c r="M137" s="414"/>
      <c r="N137" s="420">
        <v>0</v>
      </c>
      <c r="O137" s="414"/>
      <c r="P137" s="419">
        <f t="shared" ref="P137:P145" si="21">J137+L137+N137</f>
        <v>1304887.03</v>
      </c>
      <c r="Q137" s="414"/>
      <c r="R137" s="419">
        <v>1013342.79</v>
      </c>
      <c r="S137" s="419">
        <v>1237368.28</v>
      </c>
      <c r="T137" s="419">
        <f t="shared" ref="T137:T145" si="22">P137</f>
        <v>1304887.03</v>
      </c>
      <c r="U137" s="414"/>
      <c r="V137" s="420">
        <f t="shared" ref="V137:V145" si="23">T137-S137</f>
        <v>67518.75</v>
      </c>
      <c r="W137" s="414"/>
      <c r="X137" s="414"/>
    </row>
    <row r="138" spans="1:25" s="421" customFormat="1" outlineLevel="1">
      <c r="A138" s="414"/>
      <c r="B138" s="415" t="s">
        <v>397</v>
      </c>
      <c r="C138" s="416"/>
      <c r="D138" s="417">
        <v>20121</v>
      </c>
      <c r="E138" s="417" t="s">
        <v>839</v>
      </c>
      <c r="F138" s="418"/>
      <c r="G138" s="418"/>
      <c r="H138" s="414"/>
      <c r="I138" s="414"/>
      <c r="J138" s="419">
        <v>0</v>
      </c>
      <c r="K138" s="414"/>
      <c r="L138" s="419">
        <v>0</v>
      </c>
      <c r="M138" s="414"/>
      <c r="N138" s="420">
        <v>0</v>
      </c>
      <c r="O138" s="414"/>
      <c r="P138" s="419">
        <f t="shared" si="21"/>
        <v>0</v>
      </c>
      <c r="Q138" s="414"/>
      <c r="R138" s="419">
        <v>0</v>
      </c>
      <c r="S138" s="419">
        <v>49368</v>
      </c>
      <c r="T138" s="419">
        <f t="shared" si="22"/>
        <v>0</v>
      </c>
      <c r="U138" s="414"/>
      <c r="V138" s="420">
        <f t="shared" si="23"/>
        <v>-49368</v>
      </c>
      <c r="W138" s="414"/>
      <c r="X138" s="414"/>
    </row>
    <row r="139" spans="1:25" s="421" customFormat="1" outlineLevel="1">
      <c r="A139" s="414"/>
      <c r="B139" s="415" t="s">
        <v>397</v>
      </c>
      <c r="C139" s="416"/>
      <c r="D139" s="417">
        <v>20123</v>
      </c>
      <c r="E139" s="417" t="s">
        <v>770</v>
      </c>
      <c r="F139" s="418"/>
      <c r="G139" s="418"/>
      <c r="H139" s="414"/>
      <c r="I139" s="414"/>
      <c r="J139" s="419">
        <v>29559.37</v>
      </c>
      <c r="K139" s="414"/>
      <c r="L139" s="419">
        <v>0</v>
      </c>
      <c r="M139" s="414"/>
      <c r="N139" s="420">
        <v>0</v>
      </c>
      <c r="O139" s="414"/>
      <c r="P139" s="419">
        <f t="shared" si="21"/>
        <v>29559.37</v>
      </c>
      <c r="Q139" s="414"/>
      <c r="R139" s="419">
        <v>14727.92</v>
      </c>
      <c r="S139" s="419">
        <v>33312.49</v>
      </c>
      <c r="T139" s="419">
        <f t="shared" si="22"/>
        <v>29559.37</v>
      </c>
      <c r="U139" s="414"/>
      <c r="V139" s="420">
        <f t="shared" si="23"/>
        <v>-3753.119999999999</v>
      </c>
      <c r="W139" s="414"/>
      <c r="X139" s="414"/>
    </row>
    <row r="140" spans="1:25" s="421" customFormat="1" outlineLevel="1">
      <c r="A140" s="414"/>
      <c r="B140" s="415" t="s">
        <v>397</v>
      </c>
      <c r="C140" s="416"/>
      <c r="D140" s="417">
        <v>20140</v>
      </c>
      <c r="E140" s="417" t="s">
        <v>771</v>
      </c>
      <c r="F140" s="418"/>
      <c r="G140" s="418"/>
      <c r="H140" s="414"/>
      <c r="I140" s="414"/>
      <c r="J140" s="419">
        <v>4469.9799999999996</v>
      </c>
      <c r="K140" s="414"/>
      <c r="L140" s="419">
        <v>0</v>
      </c>
      <c r="M140" s="414"/>
      <c r="N140" s="420">
        <v>0</v>
      </c>
      <c r="O140" s="414"/>
      <c r="P140" s="419">
        <f t="shared" si="21"/>
        <v>4469.9799999999996</v>
      </c>
      <c r="Q140" s="414"/>
      <c r="R140" s="419">
        <v>3216.98</v>
      </c>
      <c r="S140" s="419">
        <v>3854.33</v>
      </c>
      <c r="T140" s="419">
        <f t="shared" si="22"/>
        <v>4469.9799999999996</v>
      </c>
      <c r="U140" s="414"/>
      <c r="V140" s="420">
        <f t="shared" si="23"/>
        <v>615.64999999999964</v>
      </c>
      <c r="W140" s="414"/>
      <c r="X140" s="414"/>
    </row>
    <row r="141" spans="1:25" s="421" customFormat="1" outlineLevel="1">
      <c r="A141" s="414"/>
      <c r="B141" s="415" t="s">
        <v>397</v>
      </c>
      <c r="C141" s="416"/>
      <c r="D141" s="417">
        <v>20170</v>
      </c>
      <c r="E141" s="417" t="s">
        <v>772</v>
      </c>
      <c r="F141" s="418"/>
      <c r="G141" s="418"/>
      <c r="H141" s="414"/>
      <c r="I141" s="414"/>
      <c r="J141" s="419">
        <v>42704.73</v>
      </c>
      <c r="K141" s="414"/>
      <c r="L141" s="419">
        <v>0</v>
      </c>
      <c r="M141" s="414"/>
      <c r="N141" s="420">
        <v>0</v>
      </c>
      <c r="O141" s="414"/>
      <c r="P141" s="419">
        <f t="shared" si="21"/>
        <v>42704.73</v>
      </c>
      <c r="Q141" s="414"/>
      <c r="R141" s="419">
        <v>41131.94</v>
      </c>
      <c r="S141" s="419">
        <v>42579.85</v>
      </c>
      <c r="T141" s="419">
        <f t="shared" si="22"/>
        <v>42704.73</v>
      </c>
      <c r="U141" s="414"/>
      <c r="V141" s="420">
        <f t="shared" si="23"/>
        <v>124.88000000000466</v>
      </c>
      <c r="W141" s="414"/>
      <c r="X141" s="414"/>
    </row>
    <row r="142" spans="1:25" s="421" customFormat="1" outlineLevel="1">
      <c r="A142" s="414"/>
      <c r="B142" s="415" t="s">
        <v>397</v>
      </c>
      <c r="C142" s="416"/>
      <c r="D142" s="417">
        <v>20175</v>
      </c>
      <c r="E142" s="417" t="s">
        <v>773</v>
      </c>
      <c r="F142" s="418"/>
      <c r="G142" s="418"/>
      <c r="H142" s="414"/>
      <c r="I142" s="414"/>
      <c r="J142" s="419">
        <v>59108.93</v>
      </c>
      <c r="K142" s="414"/>
      <c r="L142" s="419">
        <v>0</v>
      </c>
      <c r="M142" s="414"/>
      <c r="N142" s="420">
        <v>0</v>
      </c>
      <c r="O142" s="414"/>
      <c r="P142" s="419">
        <f t="shared" si="21"/>
        <v>59108.93</v>
      </c>
      <c r="Q142" s="414"/>
      <c r="R142" s="419">
        <v>75296.850000000006</v>
      </c>
      <c r="S142" s="419">
        <v>94250.559999999998</v>
      </c>
      <c r="T142" s="419">
        <f t="shared" si="22"/>
        <v>59108.93</v>
      </c>
      <c r="U142" s="414"/>
      <c r="V142" s="420">
        <f t="shared" si="23"/>
        <v>-35141.629999999997</v>
      </c>
      <c r="W142" s="414"/>
      <c r="X142" s="414"/>
    </row>
    <row r="143" spans="1:25" s="421" customFormat="1" outlineLevel="1">
      <c r="A143" s="414"/>
      <c r="B143" s="415" t="s">
        <v>397</v>
      </c>
      <c r="C143" s="416"/>
      <c r="D143" s="417">
        <v>20177</v>
      </c>
      <c r="E143" s="417" t="s">
        <v>774</v>
      </c>
      <c r="F143" s="418"/>
      <c r="G143" s="418"/>
      <c r="H143" s="414"/>
      <c r="I143" s="414"/>
      <c r="J143" s="419">
        <v>8432.56</v>
      </c>
      <c r="K143" s="414"/>
      <c r="L143" s="419">
        <v>0</v>
      </c>
      <c r="M143" s="414"/>
      <c r="N143" s="420">
        <v>0</v>
      </c>
      <c r="O143" s="414"/>
      <c r="P143" s="419">
        <f t="shared" si="21"/>
        <v>8432.56</v>
      </c>
      <c r="Q143" s="414"/>
      <c r="R143" s="419">
        <v>13764.32</v>
      </c>
      <c r="S143" s="419">
        <v>19670.490000000002</v>
      </c>
      <c r="T143" s="419">
        <f t="shared" si="22"/>
        <v>8432.56</v>
      </c>
      <c r="U143" s="414"/>
      <c r="V143" s="420">
        <f t="shared" si="23"/>
        <v>-11237.930000000002</v>
      </c>
      <c r="W143" s="414"/>
      <c r="X143" s="414"/>
    </row>
    <row r="144" spans="1:25" s="421" customFormat="1" outlineLevel="1">
      <c r="A144" s="414"/>
      <c r="B144" s="415" t="s">
        <v>397</v>
      </c>
      <c r="C144" s="416"/>
      <c r="D144" s="417">
        <v>20178</v>
      </c>
      <c r="E144" s="417" t="s">
        <v>775</v>
      </c>
      <c r="F144" s="418"/>
      <c r="G144" s="418"/>
      <c r="H144" s="414"/>
      <c r="I144" s="414"/>
      <c r="J144" s="419">
        <v>44603.95</v>
      </c>
      <c r="K144" s="414"/>
      <c r="L144" s="419">
        <v>0</v>
      </c>
      <c r="M144" s="414"/>
      <c r="N144" s="420">
        <v>0</v>
      </c>
      <c r="O144" s="414"/>
      <c r="P144" s="419">
        <f t="shared" si="21"/>
        <v>44603.95</v>
      </c>
      <c r="Q144" s="414"/>
      <c r="R144" s="419">
        <v>166566.42000000001</v>
      </c>
      <c r="S144" s="419">
        <v>177680.06</v>
      </c>
      <c r="T144" s="419">
        <f t="shared" si="22"/>
        <v>44603.95</v>
      </c>
      <c r="U144" s="414"/>
      <c r="V144" s="420">
        <f t="shared" si="23"/>
        <v>-133076.10999999999</v>
      </c>
      <c r="W144" s="414"/>
      <c r="X144" s="414"/>
    </row>
    <row r="145" spans="1:25" s="421" customFormat="1" outlineLevel="1">
      <c r="A145" s="414"/>
      <c r="B145" s="415" t="s">
        <v>397</v>
      </c>
      <c r="C145" s="416"/>
      <c r="D145" s="417">
        <v>20180</v>
      </c>
      <c r="E145" s="417" t="s">
        <v>776</v>
      </c>
      <c r="F145" s="418"/>
      <c r="G145" s="418"/>
      <c r="H145" s="414"/>
      <c r="I145" s="414"/>
      <c r="J145" s="419">
        <v>77699.789999999994</v>
      </c>
      <c r="K145" s="414"/>
      <c r="L145" s="419">
        <v>0</v>
      </c>
      <c r="M145" s="414"/>
      <c r="N145" s="420">
        <v>0</v>
      </c>
      <c r="O145" s="414"/>
      <c r="P145" s="419">
        <f t="shared" si="21"/>
        <v>77699.789999999994</v>
      </c>
      <c r="Q145" s="414"/>
      <c r="R145" s="419">
        <v>75087.990000000005</v>
      </c>
      <c r="S145" s="419">
        <v>79081.89</v>
      </c>
      <c r="T145" s="419">
        <f t="shared" si="22"/>
        <v>77699.789999999994</v>
      </c>
      <c r="U145" s="414"/>
      <c r="V145" s="420">
        <f t="shared" si="23"/>
        <v>-1382.1000000000058</v>
      </c>
      <c r="W145" s="414"/>
      <c r="X145" s="414"/>
    </row>
    <row r="146" spans="1:25" s="421" customFormat="1" ht="5.0999999999999996" customHeight="1" outlineLevel="1">
      <c r="A146" s="416" t="s">
        <v>194</v>
      </c>
      <c r="B146" s="416" t="s">
        <v>194</v>
      </c>
      <c r="C146" s="416"/>
      <c r="D146" s="418"/>
      <c r="E146" s="418"/>
      <c r="F146" s="418"/>
      <c r="G146" s="418"/>
      <c r="H146" s="414"/>
      <c r="I146" s="414"/>
      <c r="J146" s="453"/>
      <c r="K146" s="414"/>
      <c r="L146" s="453"/>
      <c r="M146" s="414"/>
      <c r="N146" s="454"/>
      <c r="O146" s="414"/>
      <c r="P146" s="453"/>
      <c r="Q146" s="414"/>
      <c r="R146" s="453"/>
      <c r="S146" s="453"/>
      <c r="T146" s="453"/>
      <c r="U146" s="414"/>
      <c r="V146" s="454"/>
      <c r="W146" s="414"/>
      <c r="X146" s="414"/>
      <c r="Y146" s="414"/>
    </row>
    <row r="147" spans="1:25" s="421" customFormat="1">
      <c r="A147" s="416" t="s">
        <v>768</v>
      </c>
      <c r="B147" s="416" t="s">
        <v>194</v>
      </c>
      <c r="C147" s="416"/>
      <c r="D147" s="414"/>
      <c r="E147" s="414"/>
      <c r="F147" s="417" t="s">
        <v>777</v>
      </c>
      <c r="G147" s="414"/>
      <c r="H147" s="414"/>
      <c r="I147" s="414"/>
      <c r="J147" s="451">
        <f>SUM(J137:J146)</f>
        <v>1571466.34</v>
      </c>
      <c r="K147" s="414"/>
      <c r="L147" s="451">
        <f>SUM(L137:L146)</f>
        <v>0</v>
      </c>
      <c r="M147" s="414"/>
      <c r="N147" s="452">
        <f>SUM(N137:N146)</f>
        <v>0</v>
      </c>
      <c r="O147" s="414"/>
      <c r="P147" s="451">
        <f>J147+L147+N147</f>
        <v>1571466.34</v>
      </c>
      <c r="Q147" s="414"/>
      <c r="R147" s="451">
        <f>SUM(R137:R146)</f>
        <v>1403135.2100000002</v>
      </c>
      <c r="S147" s="451">
        <f>SUM(S137:S146)</f>
        <v>1737165.9500000002</v>
      </c>
      <c r="T147" s="451">
        <f>SUM(T137:T146)</f>
        <v>1571466.34</v>
      </c>
      <c r="U147" s="414"/>
      <c r="V147" s="452">
        <f>SUM(V137:V146)</f>
        <v>-165699.60999999999</v>
      </c>
      <c r="W147" s="414"/>
      <c r="X147" s="414"/>
      <c r="Y147" s="414"/>
    </row>
    <row r="148" spans="1:25" s="421" customFormat="1" outlineLevel="1">
      <c r="A148" s="414"/>
      <c r="B148" s="415" t="s">
        <v>778</v>
      </c>
      <c r="C148" s="416"/>
      <c r="D148" s="417">
        <v>20300</v>
      </c>
      <c r="E148" s="417" t="s">
        <v>779</v>
      </c>
      <c r="F148" s="418"/>
      <c r="G148" s="418"/>
      <c r="H148" s="414"/>
      <c r="I148" s="414"/>
      <c r="J148" s="419">
        <v>665723.46</v>
      </c>
      <c r="K148" s="414"/>
      <c r="L148" s="419">
        <v>0</v>
      </c>
      <c r="M148" s="414"/>
      <c r="N148" s="420">
        <v>0</v>
      </c>
      <c r="O148" s="414"/>
      <c r="P148" s="419">
        <f>J148+L148+N148</f>
        <v>665723.46</v>
      </c>
      <c r="Q148" s="414"/>
      <c r="R148" s="419">
        <v>659757.32999999996</v>
      </c>
      <c r="S148" s="419">
        <v>767901.08</v>
      </c>
      <c r="T148" s="419">
        <f>P148</f>
        <v>665723.46</v>
      </c>
      <c r="U148" s="414"/>
      <c r="V148" s="420">
        <f>T148-S148</f>
        <v>-102177.62</v>
      </c>
      <c r="W148" s="414"/>
      <c r="X148" s="414"/>
    </row>
    <row r="149" spans="1:25" s="421" customFormat="1" ht="5.0999999999999996" customHeight="1" outlineLevel="1">
      <c r="A149" s="416" t="s">
        <v>194</v>
      </c>
      <c r="B149" s="449" t="s">
        <v>194</v>
      </c>
      <c r="C149" s="449"/>
      <c r="D149" s="418"/>
      <c r="E149" s="418"/>
      <c r="F149" s="418"/>
      <c r="G149" s="418"/>
      <c r="H149" s="414"/>
      <c r="I149" s="414"/>
      <c r="J149" s="453"/>
      <c r="K149" s="414"/>
      <c r="L149" s="453"/>
      <c r="M149" s="414"/>
      <c r="N149" s="454"/>
      <c r="O149" s="414"/>
      <c r="P149" s="453"/>
      <c r="Q149" s="414"/>
      <c r="R149" s="453"/>
      <c r="S149" s="453"/>
      <c r="T149" s="453"/>
      <c r="U149" s="414"/>
      <c r="V149" s="454"/>
      <c r="W149" s="414"/>
      <c r="X149" s="414"/>
      <c r="Y149" s="414"/>
    </row>
    <row r="150" spans="1:25" s="421" customFormat="1">
      <c r="A150" s="416" t="s">
        <v>778</v>
      </c>
      <c r="B150" s="449" t="s">
        <v>194</v>
      </c>
      <c r="C150" s="449"/>
      <c r="D150" s="414"/>
      <c r="E150" s="414"/>
      <c r="F150" s="417" t="s">
        <v>780</v>
      </c>
      <c r="G150" s="414"/>
      <c r="H150" s="414"/>
      <c r="I150" s="414"/>
      <c r="J150" s="451">
        <f>SUM(J148:J149)</f>
        <v>665723.46</v>
      </c>
      <c r="K150" s="414"/>
      <c r="L150" s="451">
        <f>SUM(L148:L149)</f>
        <v>0</v>
      </c>
      <c r="M150" s="414"/>
      <c r="N150" s="452">
        <f>SUM(N148:N149)</f>
        <v>0</v>
      </c>
      <c r="O150" s="414"/>
      <c r="P150" s="451">
        <f t="shared" ref="P150" si="24">J150+L150+N150</f>
        <v>665723.46</v>
      </c>
      <c r="Q150" s="414"/>
      <c r="R150" s="451">
        <f>SUM(R148:R149)</f>
        <v>659757.32999999996</v>
      </c>
      <c r="S150" s="451">
        <f>SUM(S148:S149)</f>
        <v>767901.08</v>
      </c>
      <c r="T150" s="451">
        <f>SUM(T148:T149)</f>
        <v>665723.46</v>
      </c>
      <c r="U150" s="414"/>
      <c r="V150" s="452">
        <f>SUM(V148:V149)</f>
        <v>-102177.62</v>
      </c>
      <c r="W150" s="414"/>
      <c r="X150" s="414"/>
      <c r="Y150" s="414"/>
    </row>
    <row r="151" spans="1:25" s="421" customFormat="1" outlineLevel="1">
      <c r="A151" s="414"/>
      <c r="B151" s="415" t="s">
        <v>781</v>
      </c>
      <c r="C151" s="416"/>
      <c r="D151" s="417">
        <v>20320</v>
      </c>
      <c r="E151" s="417" t="s">
        <v>782</v>
      </c>
      <c r="F151" s="418"/>
      <c r="G151" s="418"/>
      <c r="H151" s="414"/>
      <c r="I151" s="414"/>
      <c r="J151" s="419">
        <v>311056.06</v>
      </c>
      <c r="K151" s="414"/>
      <c r="L151" s="419">
        <v>0</v>
      </c>
      <c r="M151" s="414"/>
      <c r="N151" s="420">
        <v>0</v>
      </c>
      <c r="O151" s="414"/>
      <c r="P151" s="419">
        <f t="shared" ref="P151:P156" si="25">J151+L151+N151</f>
        <v>311056.06</v>
      </c>
      <c r="Q151" s="414"/>
      <c r="R151" s="419">
        <v>188203.35</v>
      </c>
      <c r="S151" s="419">
        <v>272761.37</v>
      </c>
      <c r="T151" s="419">
        <f t="shared" ref="T151:T156" si="26">P151</f>
        <v>311056.06</v>
      </c>
      <c r="U151" s="414"/>
      <c r="V151" s="420">
        <f t="shared" ref="V151:V156" si="27">T151-S151</f>
        <v>38294.69</v>
      </c>
      <c r="W151" s="414"/>
      <c r="X151" s="414"/>
    </row>
    <row r="152" spans="1:25" s="421" customFormat="1" outlineLevel="1">
      <c r="A152" s="414"/>
      <c r="B152" s="415" t="s">
        <v>397</v>
      </c>
      <c r="C152" s="416"/>
      <c r="D152" s="417">
        <v>20321</v>
      </c>
      <c r="E152" s="417" t="s">
        <v>783</v>
      </c>
      <c r="F152" s="418"/>
      <c r="G152" s="418"/>
      <c r="H152" s="414"/>
      <c r="I152" s="414"/>
      <c r="J152" s="419">
        <v>315105.64</v>
      </c>
      <c r="K152" s="414"/>
      <c r="L152" s="419">
        <v>0</v>
      </c>
      <c r="M152" s="414"/>
      <c r="N152" s="420">
        <v>0</v>
      </c>
      <c r="O152" s="414"/>
      <c r="P152" s="419">
        <f t="shared" si="25"/>
        <v>315105.64</v>
      </c>
      <c r="Q152" s="414"/>
      <c r="R152" s="419">
        <v>304598.40000000002</v>
      </c>
      <c r="S152" s="419">
        <v>306447.92</v>
      </c>
      <c r="T152" s="419">
        <f t="shared" si="26"/>
        <v>315105.64</v>
      </c>
      <c r="U152" s="414"/>
      <c r="V152" s="420">
        <f t="shared" si="27"/>
        <v>8657.7200000000303</v>
      </c>
      <c r="W152" s="414"/>
      <c r="X152" s="414"/>
    </row>
    <row r="153" spans="1:25" s="421" customFormat="1" outlineLevel="1">
      <c r="A153" s="414"/>
      <c r="B153" s="415" t="s">
        <v>397</v>
      </c>
      <c r="C153" s="416"/>
      <c r="D153" s="417">
        <v>20325</v>
      </c>
      <c r="E153" s="417" t="s">
        <v>784</v>
      </c>
      <c r="F153" s="418"/>
      <c r="G153" s="418"/>
      <c r="H153" s="414"/>
      <c r="I153" s="414"/>
      <c r="J153" s="419">
        <v>0</v>
      </c>
      <c r="K153" s="414"/>
      <c r="L153" s="419">
        <v>0</v>
      </c>
      <c r="M153" s="414"/>
      <c r="N153" s="420">
        <v>0</v>
      </c>
      <c r="O153" s="414"/>
      <c r="P153" s="419">
        <f t="shared" si="25"/>
        <v>0</v>
      </c>
      <c r="Q153" s="414"/>
      <c r="R153" s="419">
        <v>-126372.36</v>
      </c>
      <c r="S153" s="419">
        <v>0</v>
      </c>
      <c r="T153" s="419">
        <f t="shared" si="26"/>
        <v>0</v>
      </c>
      <c r="U153" s="414"/>
      <c r="V153" s="420">
        <f t="shared" si="27"/>
        <v>0</v>
      </c>
      <c r="W153" s="414"/>
      <c r="X153" s="414"/>
    </row>
    <row r="154" spans="1:25" s="421" customFormat="1" outlineLevel="1">
      <c r="A154" s="414"/>
      <c r="B154" s="415" t="s">
        <v>397</v>
      </c>
      <c r="C154" s="416"/>
      <c r="D154" s="417">
        <v>20340</v>
      </c>
      <c r="E154" s="417" t="s">
        <v>785</v>
      </c>
      <c r="F154" s="418"/>
      <c r="G154" s="418"/>
      <c r="H154" s="414"/>
      <c r="I154" s="414"/>
      <c r="J154" s="419">
        <v>17864.11</v>
      </c>
      <c r="K154" s="414"/>
      <c r="L154" s="419">
        <v>0</v>
      </c>
      <c r="M154" s="414"/>
      <c r="N154" s="420">
        <v>0</v>
      </c>
      <c r="O154" s="414"/>
      <c r="P154" s="419">
        <f t="shared" si="25"/>
        <v>17864.11</v>
      </c>
      <c r="Q154" s="414"/>
      <c r="R154" s="419">
        <v>8932.0499999999993</v>
      </c>
      <c r="S154" s="419">
        <v>13398.08</v>
      </c>
      <c r="T154" s="419">
        <f t="shared" si="26"/>
        <v>17864.11</v>
      </c>
      <c r="U154" s="414"/>
      <c r="V154" s="420">
        <f t="shared" si="27"/>
        <v>4466.0300000000007</v>
      </c>
      <c r="W154" s="414"/>
      <c r="X154" s="414"/>
    </row>
    <row r="155" spans="1:25" s="421" customFormat="1" outlineLevel="1">
      <c r="A155" s="414"/>
      <c r="B155" s="415" t="s">
        <v>397</v>
      </c>
      <c r="C155" s="416"/>
      <c r="D155" s="417">
        <v>20351</v>
      </c>
      <c r="E155" s="417" t="s">
        <v>786</v>
      </c>
      <c r="F155" s="418"/>
      <c r="G155" s="418"/>
      <c r="H155" s="414"/>
      <c r="I155" s="414"/>
      <c r="J155" s="419">
        <v>15579.7</v>
      </c>
      <c r="K155" s="414"/>
      <c r="L155" s="419">
        <v>0</v>
      </c>
      <c r="M155" s="414"/>
      <c r="N155" s="420">
        <v>0</v>
      </c>
      <c r="O155" s="414"/>
      <c r="P155" s="419">
        <f t="shared" si="25"/>
        <v>15579.7</v>
      </c>
      <c r="Q155" s="414"/>
      <c r="R155" s="419">
        <v>7789.85</v>
      </c>
      <c r="S155" s="419">
        <v>11684.78</v>
      </c>
      <c r="T155" s="419">
        <f t="shared" si="26"/>
        <v>15579.7</v>
      </c>
      <c r="U155" s="414"/>
      <c r="V155" s="420">
        <f t="shared" si="27"/>
        <v>3894.92</v>
      </c>
      <c r="W155" s="414"/>
      <c r="X155" s="414"/>
    </row>
    <row r="156" spans="1:25" s="421" customFormat="1" outlineLevel="1">
      <c r="A156" s="414"/>
      <c r="B156" s="415" t="s">
        <v>397</v>
      </c>
      <c r="C156" s="416"/>
      <c r="D156" s="417">
        <v>20360</v>
      </c>
      <c r="E156" s="417" t="s">
        <v>787</v>
      </c>
      <c r="F156" s="418"/>
      <c r="G156" s="418"/>
      <c r="H156" s="414"/>
      <c r="I156" s="414"/>
      <c r="J156" s="419">
        <v>0</v>
      </c>
      <c r="K156" s="414"/>
      <c r="L156" s="419">
        <v>0</v>
      </c>
      <c r="M156" s="414"/>
      <c r="N156" s="420">
        <v>0</v>
      </c>
      <c r="O156" s="414"/>
      <c r="P156" s="419">
        <f t="shared" si="25"/>
        <v>0</v>
      </c>
      <c r="Q156" s="414"/>
      <c r="R156" s="419">
        <v>17821.759999999998</v>
      </c>
      <c r="S156" s="419">
        <v>26732.639999999999</v>
      </c>
      <c r="T156" s="419">
        <f t="shared" si="26"/>
        <v>0</v>
      </c>
      <c r="U156" s="414"/>
      <c r="V156" s="420">
        <f t="shared" si="27"/>
        <v>-26732.639999999999</v>
      </c>
      <c r="W156" s="414"/>
      <c r="X156" s="414"/>
    </row>
    <row r="157" spans="1:25" s="421" customFormat="1" ht="4.5" customHeight="1" outlineLevel="1">
      <c r="A157" s="449" t="s">
        <v>194</v>
      </c>
      <c r="B157" s="449" t="s">
        <v>194</v>
      </c>
      <c r="C157" s="449"/>
      <c r="D157" s="458"/>
      <c r="E157" s="414"/>
      <c r="F157" s="414"/>
      <c r="G157" s="414"/>
      <c r="H157" s="414"/>
      <c r="I157" s="414"/>
      <c r="J157" s="453"/>
      <c r="K157" s="414"/>
      <c r="L157" s="453"/>
      <c r="M157" s="414"/>
      <c r="N157" s="454"/>
      <c r="O157" s="414"/>
      <c r="P157" s="453"/>
      <c r="Q157" s="414"/>
      <c r="R157" s="453"/>
      <c r="S157" s="453"/>
      <c r="T157" s="453"/>
      <c r="U157" s="414"/>
      <c r="V157" s="454"/>
      <c r="W157" s="414"/>
      <c r="X157" s="414"/>
      <c r="Y157" s="414"/>
    </row>
    <row r="158" spans="1:25" s="421" customFormat="1">
      <c r="A158" s="416" t="s">
        <v>781</v>
      </c>
      <c r="B158" s="449" t="s">
        <v>194</v>
      </c>
      <c r="C158" s="449"/>
      <c r="D158" s="414"/>
      <c r="E158" s="414"/>
      <c r="F158" s="414" t="s">
        <v>789</v>
      </c>
      <c r="G158" s="414"/>
      <c r="H158" s="414"/>
      <c r="I158" s="414"/>
      <c r="J158" s="451">
        <f>SUM(J151:J157)</f>
        <v>659605.50999999989</v>
      </c>
      <c r="K158" s="414"/>
      <c r="L158" s="451">
        <f>SUM(L151:L157)</f>
        <v>0</v>
      </c>
      <c r="M158" s="414"/>
      <c r="N158" s="452">
        <f>SUM(N151:N157)</f>
        <v>0</v>
      </c>
      <c r="O158" s="414"/>
      <c r="P158" s="451">
        <f>J158+L158+N158</f>
        <v>659605.50999999989</v>
      </c>
      <c r="Q158" s="414"/>
      <c r="R158" s="451">
        <f>SUM(R151:R157)</f>
        <v>400973.05</v>
      </c>
      <c r="S158" s="451">
        <f>SUM(S151:S157)</f>
        <v>631024.79</v>
      </c>
      <c r="T158" s="451">
        <f>SUM(T151:T157)</f>
        <v>659605.50999999989</v>
      </c>
      <c r="U158" s="414"/>
      <c r="V158" s="452">
        <f>SUM(V151:V157)</f>
        <v>28580.72000000003</v>
      </c>
      <c r="W158" s="414"/>
      <c r="X158" s="414"/>
      <c r="Y158" s="414"/>
    </row>
    <row r="159" spans="1:25" s="421" customFormat="1" ht="7.5" customHeight="1">
      <c r="A159" s="449" t="s">
        <v>194</v>
      </c>
      <c r="B159" s="449" t="s">
        <v>194</v>
      </c>
      <c r="C159" s="449"/>
      <c r="D159" s="414"/>
      <c r="E159" s="414"/>
      <c r="F159" s="414"/>
      <c r="G159" s="414"/>
      <c r="H159" s="414"/>
      <c r="I159" s="414"/>
      <c r="J159" s="456"/>
      <c r="K159" s="414"/>
      <c r="L159" s="456"/>
      <c r="M159" s="414"/>
      <c r="N159" s="420"/>
      <c r="O159" s="414"/>
      <c r="P159" s="456"/>
      <c r="Q159" s="414"/>
      <c r="R159" s="456"/>
      <c r="S159" s="456"/>
      <c r="T159" s="456"/>
      <c r="U159" s="414"/>
      <c r="V159" s="420"/>
      <c r="W159" s="414"/>
      <c r="X159" s="414"/>
      <c r="Y159" s="414"/>
    </row>
    <row r="160" spans="1:25" s="421" customFormat="1">
      <c r="A160" s="449" t="s">
        <v>194</v>
      </c>
      <c r="B160" s="449" t="s">
        <v>194</v>
      </c>
      <c r="C160" s="449"/>
      <c r="D160" s="414"/>
      <c r="E160" s="457" t="s">
        <v>790</v>
      </c>
      <c r="F160" s="414"/>
      <c r="G160" s="414"/>
      <c r="H160" s="414"/>
      <c r="I160" s="414"/>
      <c r="J160" s="406">
        <f>SUM(J136,J147,J150,J158,J132)</f>
        <v>2896795.3099999996</v>
      </c>
      <c r="K160" s="414"/>
      <c r="L160" s="406">
        <f>SUM(L136,L147,L150,L158,L132)</f>
        <v>0</v>
      </c>
      <c r="M160" s="414"/>
      <c r="N160" s="405">
        <f>SUM(N136,N147,N150,N158)</f>
        <v>0</v>
      </c>
      <c r="O160" s="414"/>
      <c r="P160" s="406">
        <f>SUM(P136,P147,P150,P158,P132)</f>
        <v>2896795.3099999996</v>
      </c>
      <c r="Q160" s="414"/>
      <c r="R160" s="406">
        <f>SUM(R136,R147,R150,R158,R132)</f>
        <v>2463865.59</v>
      </c>
      <c r="S160" s="406">
        <f>SUM(S136,S147,S150,S158,S132)</f>
        <v>3136091.8200000003</v>
      </c>
      <c r="T160" s="406">
        <f>SUM(T136,T147,T150,T158,T132)</f>
        <v>2896795.3099999996</v>
      </c>
      <c r="U160" s="414"/>
      <c r="V160" s="405">
        <f>SUM(V136,V147,V150,V158,V132)</f>
        <v>-239296.50999999995</v>
      </c>
      <c r="W160" s="414"/>
      <c r="X160" s="414"/>
      <c r="Y160" s="414"/>
    </row>
    <row r="161" spans="1:25" s="421" customFormat="1" ht="7.5" customHeight="1">
      <c r="A161" s="449" t="s">
        <v>194</v>
      </c>
      <c r="B161" s="449" t="s">
        <v>194</v>
      </c>
      <c r="C161" s="449"/>
      <c r="D161" s="414"/>
      <c r="E161" s="414"/>
      <c r="F161" s="414"/>
      <c r="G161" s="414"/>
      <c r="H161" s="414"/>
      <c r="I161" s="414"/>
      <c r="J161" s="456"/>
      <c r="K161" s="414"/>
      <c r="L161" s="456"/>
      <c r="M161" s="414"/>
      <c r="N161" s="420"/>
      <c r="O161" s="414"/>
      <c r="P161" s="456"/>
      <c r="Q161" s="414"/>
      <c r="R161" s="456"/>
      <c r="S161" s="456"/>
      <c r="T161" s="456"/>
      <c r="U161" s="414"/>
      <c r="V161" s="420"/>
      <c r="W161" s="414"/>
      <c r="X161" s="414"/>
      <c r="Y161" s="414"/>
    </row>
    <row r="162" spans="1:25" s="421" customFormat="1" outlineLevel="1">
      <c r="A162" s="449" t="s">
        <v>194</v>
      </c>
      <c r="B162" s="449" t="s">
        <v>194</v>
      </c>
      <c r="C162" s="449"/>
      <c r="D162" s="414"/>
      <c r="E162" s="414"/>
      <c r="F162" s="414"/>
      <c r="G162" s="414"/>
      <c r="H162" s="414"/>
      <c r="I162" s="414"/>
      <c r="J162" s="456"/>
      <c r="K162" s="414"/>
      <c r="L162" s="456"/>
      <c r="M162" s="414"/>
      <c r="N162" s="420"/>
      <c r="O162" s="414"/>
      <c r="P162" s="456"/>
      <c r="Q162" s="414"/>
      <c r="R162" s="456"/>
      <c r="S162" s="456"/>
      <c r="T162" s="456"/>
      <c r="U162" s="414"/>
      <c r="V162" s="420"/>
      <c r="W162" s="414"/>
      <c r="X162" s="414"/>
      <c r="Y162" s="414"/>
    </row>
    <row r="163" spans="1:25" s="421" customFormat="1" outlineLevel="1">
      <c r="A163" s="414"/>
      <c r="B163" s="415" t="s">
        <v>791</v>
      </c>
      <c r="C163" s="416"/>
      <c r="D163" s="417"/>
      <c r="E163" s="417"/>
      <c r="F163" s="418"/>
      <c r="G163" s="418"/>
      <c r="H163" s="414"/>
      <c r="I163" s="414"/>
      <c r="J163" s="419"/>
      <c r="K163" s="414"/>
      <c r="L163" s="419"/>
      <c r="M163" s="414"/>
      <c r="N163" s="420"/>
      <c r="O163" s="414"/>
      <c r="P163" s="419">
        <f>J163+L163+N163</f>
        <v>0</v>
      </c>
      <c r="Q163" s="414"/>
      <c r="R163" s="419"/>
      <c r="S163" s="419"/>
      <c r="T163" s="419">
        <f>P163</f>
        <v>0</v>
      </c>
      <c r="U163" s="414"/>
      <c r="V163" s="420">
        <f>T163-S163</f>
        <v>0</v>
      </c>
      <c r="W163" s="414"/>
      <c r="X163" s="414"/>
    </row>
    <row r="164" spans="1:25" s="421" customFormat="1" ht="5.0999999999999996" customHeight="1" outlineLevel="1">
      <c r="A164" s="449" t="s">
        <v>194</v>
      </c>
      <c r="B164" s="449" t="s">
        <v>194</v>
      </c>
      <c r="C164" s="449"/>
      <c r="D164" s="418"/>
      <c r="E164" s="418"/>
      <c r="F164" s="418"/>
      <c r="G164" s="418"/>
      <c r="H164" s="414"/>
      <c r="I164" s="414"/>
      <c r="J164" s="453"/>
      <c r="K164" s="414"/>
      <c r="L164" s="453"/>
      <c r="M164" s="414"/>
      <c r="N164" s="454"/>
      <c r="O164" s="414"/>
      <c r="P164" s="453"/>
      <c r="Q164" s="414"/>
      <c r="R164" s="453"/>
      <c r="S164" s="453"/>
      <c r="T164" s="453"/>
      <c r="U164" s="414"/>
      <c r="V164" s="454"/>
      <c r="W164" s="414"/>
      <c r="X164" s="414"/>
      <c r="Y164" s="414"/>
    </row>
    <row r="165" spans="1:25" s="421" customFormat="1">
      <c r="A165" s="416" t="s">
        <v>791</v>
      </c>
      <c r="B165" s="449" t="s">
        <v>194</v>
      </c>
      <c r="C165" s="449"/>
      <c r="D165" s="414"/>
      <c r="E165" s="414"/>
      <c r="F165" s="417" t="s">
        <v>792</v>
      </c>
      <c r="G165" s="414"/>
      <c r="H165" s="414"/>
      <c r="I165" s="414"/>
      <c r="J165" s="451">
        <f>SUM(J163:J164)</f>
        <v>0</v>
      </c>
      <c r="K165" s="414"/>
      <c r="L165" s="451">
        <f>SUM(L163:L164)</f>
        <v>0</v>
      </c>
      <c r="M165" s="414"/>
      <c r="N165" s="452">
        <f>SUM(N163:N164)</f>
        <v>0</v>
      </c>
      <c r="O165" s="414"/>
      <c r="P165" s="451">
        <f>J165+L165+N165</f>
        <v>0</v>
      </c>
      <c r="Q165" s="414"/>
      <c r="R165" s="451">
        <f>SUM(R163:R164)</f>
        <v>0</v>
      </c>
      <c r="S165" s="451">
        <f>SUM(S163:S164)</f>
        <v>0</v>
      </c>
      <c r="T165" s="451">
        <f>SUM(T163:T164)</f>
        <v>0</v>
      </c>
      <c r="U165" s="414"/>
      <c r="V165" s="452">
        <f>SUM(V163:V164)</f>
        <v>0</v>
      </c>
      <c r="W165" s="414"/>
      <c r="X165" s="414"/>
      <c r="Y165" s="414"/>
    </row>
    <row r="166" spans="1:25" s="421" customFormat="1" outlineLevel="1">
      <c r="A166" s="414"/>
      <c r="B166" s="415" t="s">
        <v>793</v>
      </c>
      <c r="C166" s="416"/>
      <c r="D166" s="417"/>
      <c r="E166" s="417"/>
      <c r="F166" s="418"/>
      <c r="G166" s="418"/>
      <c r="H166" s="414"/>
      <c r="I166" s="414"/>
      <c r="J166" s="419"/>
      <c r="K166" s="414"/>
      <c r="L166" s="419"/>
      <c r="M166" s="414"/>
      <c r="N166" s="420"/>
      <c r="O166" s="414"/>
      <c r="P166" s="419">
        <f>J166+L166+N166</f>
        <v>0</v>
      </c>
      <c r="Q166" s="414"/>
      <c r="R166" s="419"/>
      <c r="S166" s="419"/>
      <c r="T166" s="419">
        <f>P166</f>
        <v>0</v>
      </c>
      <c r="U166" s="414"/>
      <c r="V166" s="420">
        <f>T166-S166</f>
        <v>0</v>
      </c>
      <c r="W166" s="414"/>
      <c r="X166" s="414"/>
    </row>
    <row r="167" spans="1:25" s="421" customFormat="1" ht="5.0999999999999996" customHeight="1" outlineLevel="1">
      <c r="A167" s="449" t="s">
        <v>194</v>
      </c>
      <c r="B167" s="449" t="s">
        <v>194</v>
      </c>
      <c r="C167" s="449"/>
      <c r="D167" s="418"/>
      <c r="E167" s="418"/>
      <c r="F167" s="418"/>
      <c r="G167" s="418"/>
      <c r="H167" s="414"/>
      <c r="I167" s="414"/>
      <c r="J167" s="453"/>
      <c r="K167" s="414"/>
      <c r="L167" s="453"/>
      <c r="M167" s="414"/>
      <c r="N167" s="454"/>
      <c r="O167" s="414"/>
      <c r="P167" s="453"/>
      <c r="Q167" s="414"/>
      <c r="R167" s="453"/>
      <c r="S167" s="453"/>
      <c r="T167" s="453"/>
      <c r="U167" s="414"/>
      <c r="V167" s="454"/>
      <c r="W167" s="414"/>
      <c r="X167" s="414"/>
      <c r="Y167" s="414"/>
    </row>
    <row r="168" spans="1:25" s="421" customFormat="1">
      <c r="A168" s="416" t="s">
        <v>793</v>
      </c>
      <c r="B168" s="449" t="s">
        <v>194</v>
      </c>
      <c r="C168" s="449"/>
      <c r="D168" s="414"/>
      <c r="E168" s="414"/>
      <c r="F168" s="417" t="s">
        <v>794</v>
      </c>
      <c r="G168" s="414"/>
      <c r="H168" s="414"/>
      <c r="I168" s="414"/>
      <c r="J168" s="451">
        <f>SUM(J166:J167)</f>
        <v>0</v>
      </c>
      <c r="K168" s="414"/>
      <c r="L168" s="451">
        <f>SUM(L166:L167)</f>
        <v>0</v>
      </c>
      <c r="M168" s="414"/>
      <c r="N168" s="452">
        <f>SUM(N166:N167)</f>
        <v>0</v>
      </c>
      <c r="O168" s="414"/>
      <c r="P168" s="451">
        <f>J168+L168+N168</f>
        <v>0</v>
      </c>
      <c r="Q168" s="414"/>
      <c r="R168" s="451">
        <f>SUM(R166:R167)</f>
        <v>0</v>
      </c>
      <c r="S168" s="451">
        <f>SUM(S166:S167)</f>
        <v>0</v>
      </c>
      <c r="T168" s="451">
        <f>SUM(T166:T167)</f>
        <v>0</v>
      </c>
      <c r="U168" s="414"/>
      <c r="V168" s="452">
        <f>SUM(V166:V167)</f>
        <v>0</v>
      </c>
      <c r="W168" s="414"/>
      <c r="X168" s="414"/>
      <c r="Y168" s="414"/>
    </row>
    <row r="169" spans="1:25" s="421" customFormat="1" outlineLevel="1">
      <c r="A169" s="414"/>
      <c r="B169" s="415" t="s">
        <v>795</v>
      </c>
      <c r="C169" s="416"/>
      <c r="D169" s="417"/>
      <c r="E169" s="417"/>
      <c r="F169" s="418"/>
      <c r="G169" s="418"/>
      <c r="H169" s="414"/>
      <c r="I169" s="414"/>
      <c r="J169" s="419"/>
      <c r="K169" s="414"/>
      <c r="L169" s="419"/>
      <c r="M169" s="414"/>
      <c r="N169" s="420"/>
      <c r="O169" s="414"/>
      <c r="P169" s="419">
        <f>J169+L169+N169</f>
        <v>0</v>
      </c>
      <c r="Q169" s="414"/>
      <c r="R169" s="419"/>
      <c r="S169" s="419"/>
      <c r="T169" s="419">
        <f>P169</f>
        <v>0</v>
      </c>
      <c r="U169" s="414"/>
      <c r="V169" s="420">
        <f>T169-S169</f>
        <v>0</v>
      </c>
      <c r="W169" s="414"/>
      <c r="X169" s="414"/>
    </row>
    <row r="170" spans="1:25" s="421" customFormat="1" ht="5.0999999999999996" customHeight="1" outlineLevel="1">
      <c r="A170" s="449" t="s">
        <v>194</v>
      </c>
      <c r="B170" s="416" t="s">
        <v>194</v>
      </c>
      <c r="C170" s="416"/>
      <c r="D170" s="418"/>
      <c r="E170" s="418"/>
      <c r="F170" s="418"/>
      <c r="G170" s="418"/>
      <c r="H170" s="414"/>
      <c r="I170" s="414"/>
      <c r="J170" s="453"/>
      <c r="K170" s="414"/>
      <c r="L170" s="453"/>
      <c r="M170" s="414"/>
      <c r="N170" s="454"/>
      <c r="O170" s="414"/>
      <c r="P170" s="453"/>
      <c r="Q170" s="414"/>
      <c r="R170" s="453"/>
      <c r="S170" s="453"/>
      <c r="T170" s="453"/>
      <c r="U170" s="414"/>
      <c r="V170" s="454"/>
      <c r="W170" s="414"/>
      <c r="X170" s="414"/>
      <c r="Y170" s="414"/>
    </row>
    <row r="171" spans="1:25" s="421" customFormat="1">
      <c r="A171" s="416" t="s">
        <v>795</v>
      </c>
      <c r="B171" s="416" t="s">
        <v>194</v>
      </c>
      <c r="C171" s="416"/>
      <c r="D171" s="414"/>
      <c r="E171" s="414"/>
      <c r="F171" s="417" t="s">
        <v>796</v>
      </c>
      <c r="G171" s="414"/>
      <c r="H171" s="414"/>
      <c r="I171" s="414"/>
      <c r="J171" s="451">
        <f>SUM(J169:J170)</f>
        <v>0</v>
      </c>
      <c r="K171" s="414"/>
      <c r="L171" s="451">
        <f>SUM(L169:L170)</f>
        <v>0</v>
      </c>
      <c r="M171" s="414"/>
      <c r="N171" s="452">
        <f>SUM(N169:N170)</f>
        <v>0</v>
      </c>
      <c r="O171" s="414"/>
      <c r="P171" s="451">
        <f>J171+L171+N171</f>
        <v>0</v>
      </c>
      <c r="Q171" s="414"/>
      <c r="R171" s="451">
        <f>SUM(R169:R170)</f>
        <v>0</v>
      </c>
      <c r="S171" s="451">
        <f>SUM(S169:S170)</f>
        <v>0</v>
      </c>
      <c r="T171" s="451">
        <f>SUM(T169:T170)</f>
        <v>0</v>
      </c>
      <c r="U171" s="414"/>
      <c r="V171" s="452">
        <f>SUM(V169:V170)</f>
        <v>0</v>
      </c>
      <c r="W171" s="414"/>
      <c r="X171" s="414"/>
      <c r="Y171" s="414"/>
    </row>
    <row r="172" spans="1:25" s="421" customFormat="1" outlineLevel="1">
      <c r="A172" s="414"/>
      <c r="B172" s="415" t="s">
        <v>797</v>
      </c>
      <c r="C172" s="416"/>
      <c r="D172" s="417"/>
      <c r="E172" s="417"/>
      <c r="F172" s="418"/>
      <c r="G172" s="418"/>
      <c r="H172" s="414"/>
      <c r="I172" s="414"/>
      <c r="J172" s="419"/>
      <c r="K172" s="414"/>
      <c r="L172" s="419"/>
      <c r="M172" s="414"/>
      <c r="N172" s="420"/>
      <c r="O172" s="414"/>
      <c r="P172" s="419">
        <f>J172+L172+N172</f>
        <v>0</v>
      </c>
      <c r="Q172" s="414"/>
      <c r="R172" s="419"/>
      <c r="S172" s="419"/>
      <c r="T172" s="419">
        <f>P172</f>
        <v>0</v>
      </c>
      <c r="U172" s="414"/>
      <c r="V172" s="420">
        <f>T172-S172</f>
        <v>0</v>
      </c>
      <c r="W172" s="414"/>
      <c r="X172" s="414"/>
    </row>
    <row r="173" spans="1:25" s="421" customFormat="1" ht="5.0999999999999996" customHeight="1" outlineLevel="1">
      <c r="A173" s="416" t="s">
        <v>194</v>
      </c>
      <c r="B173" s="449"/>
      <c r="C173" s="449"/>
      <c r="D173" s="417"/>
      <c r="E173" s="417"/>
      <c r="F173" s="414"/>
      <c r="G173" s="414"/>
      <c r="H173" s="414"/>
      <c r="I173" s="414"/>
      <c r="J173" s="453"/>
      <c r="K173" s="414"/>
      <c r="L173" s="453"/>
      <c r="M173" s="414"/>
      <c r="N173" s="454"/>
      <c r="O173" s="414"/>
      <c r="P173" s="453"/>
      <c r="Q173" s="414"/>
      <c r="R173" s="453"/>
      <c r="S173" s="453"/>
      <c r="T173" s="453"/>
      <c r="U173" s="414"/>
      <c r="V173" s="454"/>
      <c r="W173" s="414"/>
      <c r="X173" s="414"/>
      <c r="Y173" s="414"/>
    </row>
    <row r="174" spans="1:25" s="421" customFormat="1" ht="12.75" customHeight="1">
      <c r="A174" s="416" t="s">
        <v>797</v>
      </c>
      <c r="B174" s="449" t="s">
        <v>194</v>
      </c>
      <c r="C174" s="449"/>
      <c r="D174" s="414"/>
      <c r="E174" s="414"/>
      <c r="F174" s="414" t="s">
        <v>798</v>
      </c>
      <c r="G174" s="414"/>
      <c r="H174" s="414"/>
      <c r="I174" s="414"/>
      <c r="J174" s="451">
        <f>SUM(J172:J173)</f>
        <v>0</v>
      </c>
      <c r="K174" s="414"/>
      <c r="L174" s="451">
        <f>SUM(L172:L173)</f>
        <v>0</v>
      </c>
      <c r="M174" s="414"/>
      <c r="N174" s="452">
        <f>SUM(N172:N173)</f>
        <v>0</v>
      </c>
      <c r="O174" s="414"/>
      <c r="P174" s="451">
        <f>J174+L174+N174</f>
        <v>0</v>
      </c>
      <c r="Q174" s="414"/>
      <c r="R174" s="451">
        <f>SUM(R172:R173)</f>
        <v>0</v>
      </c>
      <c r="S174" s="451">
        <f>SUM(S172:S173)</f>
        <v>0</v>
      </c>
      <c r="T174" s="451">
        <f>SUM(T172:T173)</f>
        <v>0</v>
      </c>
      <c r="U174" s="414"/>
      <c r="V174" s="452">
        <f>SUM(V172:V173)</f>
        <v>0</v>
      </c>
      <c r="W174" s="414"/>
      <c r="X174" s="414"/>
      <c r="Y174" s="414"/>
    </row>
    <row r="175" spans="1:25" s="421" customFormat="1" outlineLevel="1">
      <c r="A175" s="414"/>
      <c r="B175" s="415" t="s">
        <v>799</v>
      </c>
      <c r="C175" s="416"/>
      <c r="D175" s="417"/>
      <c r="E175" s="417"/>
      <c r="F175" s="418"/>
      <c r="G175" s="418"/>
      <c r="H175" s="414"/>
      <c r="I175" s="414"/>
      <c r="J175" s="419"/>
      <c r="K175" s="414"/>
      <c r="L175" s="419"/>
      <c r="M175" s="414"/>
      <c r="N175" s="420"/>
      <c r="O175" s="414"/>
      <c r="P175" s="419">
        <f>J175+L175+N175</f>
        <v>0</v>
      </c>
      <c r="Q175" s="414"/>
      <c r="R175" s="419"/>
      <c r="S175" s="419"/>
      <c r="T175" s="419">
        <f>P175</f>
        <v>0</v>
      </c>
      <c r="U175" s="414"/>
      <c r="V175" s="420">
        <f>T175-S175</f>
        <v>0</v>
      </c>
      <c r="W175" s="414"/>
      <c r="X175" s="414"/>
    </row>
    <row r="176" spans="1:25" s="421" customFormat="1" ht="5.0999999999999996" customHeight="1" outlineLevel="1">
      <c r="A176" s="449" t="s">
        <v>194</v>
      </c>
      <c r="B176" s="416" t="s">
        <v>194</v>
      </c>
      <c r="C176" s="416"/>
      <c r="D176" s="418"/>
      <c r="E176" s="418"/>
      <c r="F176" s="418"/>
      <c r="G176" s="418"/>
      <c r="H176" s="414"/>
      <c r="I176" s="414"/>
      <c r="J176" s="453"/>
      <c r="K176" s="414"/>
      <c r="L176" s="453"/>
      <c r="M176" s="414"/>
      <c r="N176" s="454"/>
      <c r="O176" s="414"/>
      <c r="P176" s="453"/>
      <c r="Q176" s="414"/>
      <c r="R176" s="453"/>
      <c r="S176" s="453"/>
      <c r="T176" s="453"/>
      <c r="U176" s="414"/>
      <c r="V176" s="454"/>
      <c r="W176" s="414"/>
      <c r="X176" s="414"/>
      <c r="Y176" s="414"/>
    </row>
    <row r="177" spans="1:25" s="421" customFormat="1">
      <c r="A177" s="416" t="s">
        <v>799</v>
      </c>
      <c r="B177" s="416" t="s">
        <v>194</v>
      </c>
      <c r="C177" s="416"/>
      <c r="D177" s="414"/>
      <c r="E177" s="414"/>
      <c r="F177" s="417" t="s">
        <v>800</v>
      </c>
      <c r="G177" s="414"/>
      <c r="H177" s="414"/>
      <c r="I177" s="414"/>
      <c r="J177" s="451">
        <f>SUM(J175:J176)</f>
        <v>0</v>
      </c>
      <c r="K177" s="414"/>
      <c r="L177" s="451">
        <f>SUM(L175:L176)</f>
        <v>0</v>
      </c>
      <c r="M177" s="414"/>
      <c r="N177" s="452">
        <f>SUM(N175:N176)</f>
        <v>0</v>
      </c>
      <c r="O177" s="414"/>
      <c r="P177" s="451">
        <f>J177+L177+N177</f>
        <v>0</v>
      </c>
      <c r="Q177" s="414"/>
      <c r="R177" s="451">
        <f>SUM(R175:R176)</f>
        <v>0</v>
      </c>
      <c r="S177" s="451">
        <f>SUM(S175:S176)</f>
        <v>0</v>
      </c>
      <c r="T177" s="451">
        <f>SUM(T175:T176)</f>
        <v>0</v>
      </c>
      <c r="U177" s="414"/>
      <c r="V177" s="452">
        <f>SUM(V175:V176)</f>
        <v>0</v>
      </c>
      <c r="W177" s="414"/>
      <c r="X177" s="414"/>
      <c r="Y177" s="414"/>
    </row>
    <row r="178" spans="1:25" s="421" customFormat="1" outlineLevel="1">
      <c r="A178" s="414"/>
      <c r="B178" s="415" t="s">
        <v>801</v>
      </c>
      <c r="C178" s="416"/>
      <c r="D178" s="417"/>
      <c r="E178" s="417"/>
      <c r="F178" s="418"/>
      <c r="G178" s="418"/>
      <c r="H178" s="414"/>
      <c r="I178" s="414"/>
      <c r="J178" s="419"/>
      <c r="K178" s="414"/>
      <c r="L178" s="419"/>
      <c r="M178" s="414"/>
      <c r="N178" s="420"/>
      <c r="O178" s="414"/>
      <c r="P178" s="419">
        <f>J178+L178+N178</f>
        <v>0</v>
      </c>
      <c r="Q178" s="414"/>
      <c r="R178" s="419"/>
      <c r="S178" s="419"/>
      <c r="T178" s="419">
        <f>P178</f>
        <v>0</v>
      </c>
      <c r="U178" s="414"/>
      <c r="V178" s="420">
        <f>T178-S178</f>
        <v>0</v>
      </c>
      <c r="W178" s="414"/>
      <c r="X178" s="414"/>
    </row>
    <row r="179" spans="1:25" s="421" customFormat="1" ht="5.0999999999999996" customHeight="1" outlineLevel="1">
      <c r="A179" s="416" t="s">
        <v>194</v>
      </c>
      <c r="B179" s="416" t="s">
        <v>194</v>
      </c>
      <c r="C179" s="416"/>
      <c r="D179" s="418"/>
      <c r="E179" s="418"/>
      <c r="F179" s="418"/>
      <c r="G179" s="418"/>
      <c r="H179" s="414"/>
      <c r="I179" s="414"/>
      <c r="J179" s="453"/>
      <c r="K179" s="414"/>
      <c r="L179" s="453"/>
      <c r="M179" s="414"/>
      <c r="N179" s="454"/>
      <c r="O179" s="414"/>
      <c r="P179" s="453"/>
      <c r="Q179" s="414"/>
      <c r="R179" s="453"/>
      <c r="S179" s="453"/>
      <c r="T179" s="453"/>
      <c r="U179" s="414"/>
      <c r="V179" s="454"/>
      <c r="W179" s="414"/>
      <c r="X179" s="414"/>
      <c r="Y179" s="414"/>
    </row>
    <row r="180" spans="1:25" s="421" customFormat="1">
      <c r="A180" s="416" t="s">
        <v>801</v>
      </c>
      <c r="B180" s="416" t="s">
        <v>194</v>
      </c>
      <c r="C180" s="416"/>
      <c r="D180" s="414"/>
      <c r="E180" s="414"/>
      <c r="F180" s="417" t="s">
        <v>802</v>
      </c>
      <c r="G180" s="414"/>
      <c r="H180" s="414"/>
      <c r="I180" s="414"/>
      <c r="J180" s="451">
        <f>SUM(J178:J179)</f>
        <v>0</v>
      </c>
      <c r="K180" s="414"/>
      <c r="L180" s="451">
        <f>SUM(L178:L179)</f>
        <v>0</v>
      </c>
      <c r="M180" s="414"/>
      <c r="N180" s="452">
        <f>SUM(N178:N179)</f>
        <v>0</v>
      </c>
      <c r="O180" s="414"/>
      <c r="P180" s="451">
        <f>J180+L180+N180</f>
        <v>0</v>
      </c>
      <c r="Q180" s="414"/>
      <c r="R180" s="451">
        <f>SUM(R178:R179)</f>
        <v>0</v>
      </c>
      <c r="S180" s="451">
        <f>SUM(S178:S179)</f>
        <v>0</v>
      </c>
      <c r="T180" s="451">
        <f>SUM(T178:T179)</f>
        <v>0</v>
      </c>
      <c r="U180" s="414"/>
      <c r="V180" s="452">
        <f>SUM(V178:V179)</f>
        <v>0</v>
      </c>
      <c r="W180" s="414"/>
      <c r="X180" s="414"/>
      <c r="Y180" s="414"/>
    </row>
    <row r="181" spans="1:25" s="421" customFormat="1" outlineLevel="1">
      <c r="A181" s="414"/>
      <c r="B181" s="415" t="s">
        <v>803</v>
      </c>
      <c r="C181" s="416"/>
      <c r="D181" s="417"/>
      <c r="E181" s="417"/>
      <c r="F181" s="418"/>
      <c r="G181" s="418"/>
      <c r="H181" s="414"/>
      <c r="I181" s="414"/>
      <c r="J181" s="419"/>
      <c r="K181" s="414"/>
      <c r="L181" s="419"/>
      <c r="M181" s="414"/>
      <c r="N181" s="420"/>
      <c r="O181" s="414"/>
      <c r="P181" s="419">
        <f>J181+L181+N181</f>
        <v>0</v>
      </c>
      <c r="Q181" s="414"/>
      <c r="R181" s="419"/>
      <c r="S181" s="419"/>
      <c r="T181" s="419">
        <f>P181</f>
        <v>0</v>
      </c>
      <c r="U181" s="414"/>
      <c r="V181" s="420">
        <f>T181-S181</f>
        <v>0</v>
      </c>
      <c r="W181" s="414"/>
      <c r="X181" s="414"/>
    </row>
    <row r="182" spans="1:25" s="421" customFormat="1" ht="5.0999999999999996" customHeight="1" outlineLevel="1">
      <c r="A182" s="449" t="s">
        <v>194</v>
      </c>
      <c r="B182" s="449" t="s">
        <v>194</v>
      </c>
      <c r="C182" s="449"/>
      <c r="D182" s="418"/>
      <c r="E182" s="418"/>
      <c r="F182" s="418"/>
      <c r="G182" s="418"/>
      <c r="H182" s="414"/>
      <c r="I182" s="414"/>
      <c r="J182" s="453"/>
      <c r="K182" s="414"/>
      <c r="L182" s="453"/>
      <c r="M182" s="414"/>
      <c r="N182" s="454"/>
      <c r="O182" s="414"/>
      <c r="P182" s="453"/>
      <c r="Q182" s="414"/>
      <c r="R182" s="453"/>
      <c r="S182" s="453"/>
      <c r="T182" s="453"/>
      <c r="U182" s="414"/>
      <c r="V182" s="454"/>
      <c r="W182" s="414"/>
      <c r="X182" s="414"/>
      <c r="Y182" s="414"/>
    </row>
    <row r="183" spans="1:25" s="421" customFormat="1">
      <c r="A183" s="416" t="s">
        <v>803</v>
      </c>
      <c r="B183" s="416" t="s">
        <v>194</v>
      </c>
      <c r="C183" s="416"/>
      <c r="D183" s="414"/>
      <c r="E183" s="414"/>
      <c r="F183" s="417" t="s">
        <v>804</v>
      </c>
      <c r="G183" s="414"/>
      <c r="H183" s="414"/>
      <c r="I183" s="414"/>
      <c r="J183" s="451">
        <f>SUM(J181:J182)</f>
        <v>0</v>
      </c>
      <c r="K183" s="414"/>
      <c r="L183" s="451">
        <f>SUM(L181:L182)</f>
        <v>0</v>
      </c>
      <c r="M183" s="414"/>
      <c r="N183" s="452">
        <f>SUM(N181:N182)</f>
        <v>0</v>
      </c>
      <c r="O183" s="414"/>
      <c r="P183" s="451">
        <f>J183+L183+N183</f>
        <v>0</v>
      </c>
      <c r="Q183" s="414"/>
      <c r="R183" s="451">
        <f>SUM(R181:R182)</f>
        <v>0</v>
      </c>
      <c r="S183" s="451">
        <f>SUM(S181:S182)</f>
        <v>0</v>
      </c>
      <c r="T183" s="451">
        <f>SUM(T181:T182)</f>
        <v>0</v>
      </c>
      <c r="U183" s="414"/>
      <c r="V183" s="452">
        <f>SUM(V181:V182)</f>
        <v>0</v>
      </c>
      <c r="W183" s="414"/>
      <c r="X183" s="414"/>
      <c r="Y183" s="414"/>
    </row>
    <row r="184" spans="1:25" s="421" customFormat="1" ht="7.5" customHeight="1">
      <c r="A184" s="416" t="s">
        <v>194</v>
      </c>
      <c r="B184" s="416" t="s">
        <v>194</v>
      </c>
      <c r="C184" s="416"/>
      <c r="D184" s="414"/>
      <c r="E184" s="414"/>
      <c r="F184" s="414"/>
      <c r="G184" s="414"/>
      <c r="H184" s="414"/>
      <c r="I184" s="414"/>
      <c r="J184" s="456"/>
      <c r="K184" s="414"/>
      <c r="L184" s="456"/>
      <c r="M184" s="414"/>
      <c r="N184" s="420"/>
      <c r="O184" s="414"/>
      <c r="P184" s="456"/>
      <c r="Q184" s="414"/>
      <c r="R184" s="456"/>
      <c r="S184" s="456"/>
      <c r="T184" s="456"/>
      <c r="U184" s="414"/>
      <c r="V184" s="420"/>
      <c r="W184" s="414"/>
      <c r="X184" s="414"/>
      <c r="Y184" s="414"/>
    </row>
    <row r="185" spans="1:25" s="421" customFormat="1">
      <c r="A185" s="416" t="s">
        <v>194</v>
      </c>
      <c r="B185" s="416" t="s">
        <v>194</v>
      </c>
      <c r="C185" s="416"/>
      <c r="D185" s="414"/>
      <c r="E185" s="457" t="s">
        <v>805</v>
      </c>
      <c r="F185" s="414"/>
      <c r="G185" s="414"/>
      <c r="H185" s="414"/>
      <c r="I185" s="414"/>
      <c r="J185" s="406">
        <f>SUM(J165,J171,J180,J160,J168,J177,J174)</f>
        <v>2896795.3099999996</v>
      </c>
      <c r="K185" s="414"/>
      <c r="L185" s="406">
        <f>SUM(L165,L171,L180,L160,L168,L177,L174)</f>
        <v>0</v>
      </c>
      <c r="M185" s="414"/>
      <c r="N185" s="405">
        <f>SUM(N165,N171,N180,N160,N168,N177,N174)</f>
        <v>0</v>
      </c>
      <c r="O185" s="414"/>
      <c r="P185" s="406">
        <f>SUM(P165,P171,P180,P160,P168,P177,P174)</f>
        <v>2896795.3099999996</v>
      </c>
      <c r="Q185" s="414"/>
      <c r="R185" s="406">
        <f>SUM(R165,R171,R180,R160,R168,R177,R174)</f>
        <v>2463865.59</v>
      </c>
      <c r="S185" s="406">
        <f>SUM(S165,S171,S180,S160,S168,S177,S174)</f>
        <v>3136091.8200000003</v>
      </c>
      <c r="T185" s="406">
        <f>SUM(T165,T171,T180,T160,T168,T177,T174)</f>
        <v>2896795.3099999996</v>
      </c>
      <c r="U185" s="414"/>
      <c r="V185" s="405">
        <f>SUM(V165,V171,V180,V160,V168,V177,V174)</f>
        <v>-239296.50999999995</v>
      </c>
      <c r="W185" s="414"/>
      <c r="X185" s="414"/>
      <c r="Y185" s="414"/>
    </row>
    <row r="186" spans="1:25" s="421" customFormat="1" ht="7.5" customHeight="1">
      <c r="A186" s="416" t="s">
        <v>194</v>
      </c>
      <c r="B186" s="416" t="s">
        <v>194</v>
      </c>
      <c r="C186" s="416"/>
      <c r="D186" s="414"/>
      <c r="E186" s="414"/>
      <c r="F186" s="414"/>
      <c r="G186" s="414"/>
      <c r="H186" s="414"/>
      <c r="I186" s="414"/>
      <c r="J186" s="456"/>
      <c r="K186" s="414"/>
      <c r="L186" s="456"/>
      <c r="M186" s="414"/>
      <c r="N186" s="420"/>
      <c r="O186" s="414"/>
      <c r="P186" s="456"/>
      <c r="Q186" s="414"/>
      <c r="R186" s="456"/>
      <c r="S186" s="456"/>
      <c r="T186" s="456"/>
      <c r="U186" s="414"/>
      <c r="V186" s="420"/>
      <c r="W186" s="414"/>
      <c r="X186" s="414"/>
      <c r="Y186" s="414"/>
    </row>
    <row r="187" spans="1:25" s="421" customFormat="1" outlineLevel="1">
      <c r="A187" s="414"/>
      <c r="B187" s="415" t="s">
        <v>806</v>
      </c>
      <c r="C187" s="416"/>
      <c r="D187" s="417"/>
      <c r="E187" s="417"/>
      <c r="F187" s="418"/>
      <c r="G187" s="418"/>
      <c r="H187" s="414"/>
      <c r="I187" s="414"/>
      <c r="J187" s="419"/>
      <c r="K187" s="414"/>
      <c r="L187" s="419"/>
      <c r="M187" s="414"/>
      <c r="N187" s="420"/>
      <c r="O187" s="414"/>
      <c r="P187" s="419">
        <f>J187+L187+N187</f>
        <v>0</v>
      </c>
      <c r="Q187" s="414"/>
      <c r="R187" s="419"/>
      <c r="S187" s="419"/>
      <c r="T187" s="419">
        <f>P187</f>
        <v>0</v>
      </c>
      <c r="U187" s="414"/>
      <c r="V187" s="420">
        <f>T187-S187</f>
        <v>0</v>
      </c>
      <c r="W187" s="414"/>
      <c r="X187" s="414"/>
    </row>
    <row r="188" spans="1:25" s="421" customFormat="1" ht="5.0999999999999996" customHeight="1" outlineLevel="1">
      <c r="A188" s="416" t="s">
        <v>194</v>
      </c>
      <c r="B188" s="416" t="s">
        <v>194</v>
      </c>
      <c r="C188" s="416"/>
      <c r="D188" s="418"/>
      <c r="E188" s="418"/>
      <c r="F188" s="418"/>
      <c r="G188" s="418"/>
      <c r="H188" s="414"/>
      <c r="I188" s="414"/>
      <c r="J188" s="453"/>
      <c r="K188" s="414"/>
      <c r="L188" s="453"/>
      <c r="M188" s="414"/>
      <c r="N188" s="454"/>
      <c r="O188" s="414"/>
      <c r="P188" s="453"/>
      <c r="Q188" s="414"/>
      <c r="R188" s="453"/>
      <c r="S188" s="453"/>
      <c r="T188" s="453"/>
      <c r="U188" s="414"/>
      <c r="V188" s="454"/>
      <c r="W188" s="414"/>
      <c r="X188" s="414"/>
      <c r="Y188" s="414"/>
    </row>
    <row r="189" spans="1:25" s="421" customFormat="1">
      <c r="A189" s="416" t="s">
        <v>806</v>
      </c>
      <c r="B189" s="416" t="s">
        <v>194</v>
      </c>
      <c r="C189" s="416"/>
      <c r="D189" s="414"/>
      <c r="E189" s="414"/>
      <c r="F189" s="417" t="s">
        <v>807</v>
      </c>
      <c r="G189" s="414"/>
      <c r="H189" s="414"/>
      <c r="I189" s="414"/>
      <c r="J189" s="451">
        <f>SUM(J187:J188)</f>
        <v>0</v>
      </c>
      <c r="K189" s="414"/>
      <c r="L189" s="451">
        <f>SUM(L187:L188)</f>
        <v>0</v>
      </c>
      <c r="M189" s="414"/>
      <c r="N189" s="452">
        <f>SUM(N187:N188)</f>
        <v>0</v>
      </c>
      <c r="O189" s="414"/>
      <c r="P189" s="451">
        <f>J189+L189+N189</f>
        <v>0</v>
      </c>
      <c r="Q189" s="414"/>
      <c r="R189" s="451">
        <f>SUM(R187:R188)</f>
        <v>0</v>
      </c>
      <c r="S189" s="451">
        <f>SUM(S187:S188)</f>
        <v>0</v>
      </c>
      <c r="T189" s="451">
        <f>SUM(T187:T188)</f>
        <v>0</v>
      </c>
      <c r="U189" s="414"/>
      <c r="V189" s="452">
        <f>SUM(V187:V188)</f>
        <v>0</v>
      </c>
      <c r="W189" s="414"/>
      <c r="X189" s="414"/>
      <c r="Y189" s="414"/>
    </row>
    <row r="190" spans="1:25" s="421" customFormat="1" outlineLevel="1">
      <c r="A190" s="414"/>
      <c r="B190" s="415" t="s">
        <v>808</v>
      </c>
      <c r="C190" s="416"/>
      <c r="D190" s="417"/>
      <c r="E190" s="417"/>
      <c r="F190" s="418"/>
      <c r="G190" s="418"/>
      <c r="H190" s="414"/>
      <c r="I190" s="414"/>
      <c r="J190" s="419"/>
      <c r="K190" s="414"/>
      <c r="L190" s="419"/>
      <c r="M190" s="414"/>
      <c r="N190" s="420"/>
      <c r="O190" s="414"/>
      <c r="P190" s="419">
        <f>J190+L190+N190</f>
        <v>0</v>
      </c>
      <c r="Q190" s="414"/>
      <c r="R190" s="419"/>
      <c r="S190" s="419"/>
      <c r="T190" s="419">
        <f>P190</f>
        <v>0</v>
      </c>
      <c r="U190" s="414"/>
      <c r="V190" s="420">
        <f>T190-S190</f>
        <v>0</v>
      </c>
      <c r="W190" s="414"/>
      <c r="X190" s="414"/>
    </row>
    <row r="191" spans="1:25" s="421" customFormat="1" ht="5.0999999999999996" customHeight="1" outlineLevel="1">
      <c r="A191" s="416" t="s">
        <v>194</v>
      </c>
      <c r="B191" s="416" t="s">
        <v>194</v>
      </c>
      <c r="C191" s="416"/>
      <c r="D191" s="418"/>
      <c r="E191" s="418"/>
      <c r="F191" s="418"/>
      <c r="G191" s="418"/>
      <c r="H191" s="414"/>
      <c r="I191" s="414"/>
      <c r="J191" s="453"/>
      <c r="K191" s="414"/>
      <c r="L191" s="453"/>
      <c r="M191" s="414"/>
      <c r="N191" s="454"/>
      <c r="O191" s="414"/>
      <c r="P191" s="453"/>
      <c r="Q191" s="414"/>
      <c r="R191" s="453"/>
      <c r="S191" s="453"/>
      <c r="T191" s="453"/>
      <c r="U191" s="414"/>
      <c r="V191" s="454"/>
      <c r="W191" s="414"/>
      <c r="X191" s="414"/>
      <c r="Y191" s="414"/>
    </row>
    <row r="192" spans="1:25" s="421" customFormat="1">
      <c r="A192" s="463" t="s">
        <v>808</v>
      </c>
      <c r="B192" s="416" t="s">
        <v>194</v>
      </c>
      <c r="C192" s="416"/>
      <c r="D192" s="414"/>
      <c r="E192" s="414"/>
      <c r="F192" s="417" t="s">
        <v>809</v>
      </c>
      <c r="G192" s="414"/>
      <c r="H192" s="414"/>
      <c r="I192" s="414"/>
      <c r="J192" s="451">
        <f>SUM(J190:J191)</f>
        <v>0</v>
      </c>
      <c r="K192" s="414"/>
      <c r="L192" s="451">
        <f>SUM(L190:L191)</f>
        <v>0</v>
      </c>
      <c r="M192" s="414"/>
      <c r="N192" s="452">
        <f>SUM(N190:N191)</f>
        <v>0</v>
      </c>
      <c r="O192" s="414"/>
      <c r="P192" s="451">
        <f>J192+L192+N192</f>
        <v>0</v>
      </c>
      <c r="Q192" s="414"/>
      <c r="R192" s="451">
        <f>SUM(R190:R191)</f>
        <v>0</v>
      </c>
      <c r="S192" s="451">
        <f>SUM(S190:S191)</f>
        <v>0</v>
      </c>
      <c r="T192" s="451">
        <f>SUM(T190:T191)</f>
        <v>0</v>
      </c>
      <c r="U192" s="414"/>
      <c r="V192" s="452">
        <f>SUM(V190:V191)</f>
        <v>0</v>
      </c>
      <c r="W192" s="414"/>
      <c r="X192" s="414"/>
      <c r="Y192" s="414"/>
    </row>
    <row r="193" spans="1:25" s="421" customFormat="1" outlineLevel="1">
      <c r="A193" s="414"/>
      <c r="B193" s="415" t="s">
        <v>810</v>
      </c>
      <c r="C193" s="416"/>
      <c r="D193" s="417"/>
      <c r="E193" s="417"/>
      <c r="F193" s="418"/>
      <c r="G193" s="418"/>
      <c r="H193" s="414"/>
      <c r="I193" s="414"/>
      <c r="J193" s="419"/>
      <c r="K193" s="414"/>
      <c r="L193" s="419"/>
      <c r="M193" s="414"/>
      <c r="N193" s="420"/>
      <c r="O193" s="414"/>
      <c r="P193" s="419">
        <f>J193+L193+N193</f>
        <v>0</v>
      </c>
      <c r="Q193" s="414"/>
      <c r="R193" s="419"/>
      <c r="S193" s="419"/>
      <c r="T193" s="419">
        <f>P193</f>
        <v>0</v>
      </c>
      <c r="U193" s="414"/>
      <c r="V193" s="420">
        <f>T193-S193</f>
        <v>0</v>
      </c>
      <c r="W193" s="414"/>
      <c r="X193" s="414"/>
    </row>
    <row r="194" spans="1:25" s="421" customFormat="1" ht="5.0999999999999996" customHeight="1" outlineLevel="1">
      <c r="A194" s="416" t="s">
        <v>194</v>
      </c>
      <c r="B194" s="416" t="s">
        <v>194</v>
      </c>
      <c r="C194" s="416"/>
      <c r="D194" s="418"/>
      <c r="E194" s="418"/>
      <c r="F194" s="418"/>
      <c r="G194" s="418"/>
      <c r="H194" s="414"/>
      <c r="I194" s="414"/>
      <c r="J194" s="453"/>
      <c r="K194" s="414"/>
      <c r="L194" s="453"/>
      <c r="M194" s="414"/>
      <c r="N194" s="454"/>
      <c r="O194" s="414"/>
      <c r="P194" s="453"/>
      <c r="Q194" s="414"/>
      <c r="R194" s="453"/>
      <c r="S194" s="453"/>
      <c r="T194" s="453"/>
      <c r="U194" s="414"/>
      <c r="V194" s="454"/>
      <c r="W194" s="414"/>
      <c r="X194" s="414"/>
      <c r="Y194" s="414"/>
    </row>
    <row r="195" spans="1:25" s="421" customFormat="1">
      <c r="A195" s="463" t="s">
        <v>810</v>
      </c>
      <c r="B195" s="416" t="s">
        <v>194</v>
      </c>
      <c r="C195" s="416"/>
      <c r="D195" s="414"/>
      <c r="E195" s="414"/>
      <c r="F195" s="417" t="s">
        <v>811</v>
      </c>
      <c r="G195" s="414"/>
      <c r="H195" s="414"/>
      <c r="I195" s="414"/>
      <c r="J195" s="451">
        <f>SUM(J193:J194)</f>
        <v>0</v>
      </c>
      <c r="K195" s="414"/>
      <c r="L195" s="451">
        <f>SUM(L193:L194)</f>
        <v>0</v>
      </c>
      <c r="M195" s="414"/>
      <c r="N195" s="452">
        <f>SUM(N193:N194)</f>
        <v>0</v>
      </c>
      <c r="O195" s="414"/>
      <c r="P195" s="451">
        <f>J195+L195+N195</f>
        <v>0</v>
      </c>
      <c r="Q195" s="414"/>
      <c r="R195" s="451">
        <f>SUM(R193:R194)</f>
        <v>0</v>
      </c>
      <c r="S195" s="451">
        <f>SUM(S193:S194)</f>
        <v>0</v>
      </c>
      <c r="T195" s="451">
        <f>SUM(T193:T194)</f>
        <v>0</v>
      </c>
      <c r="U195" s="414"/>
      <c r="V195" s="452">
        <f>SUM(V193:V194)</f>
        <v>0</v>
      </c>
      <c r="W195" s="414"/>
      <c r="X195" s="414"/>
      <c r="Y195" s="414"/>
    </row>
    <row r="196" spans="1:25" s="421" customFormat="1" outlineLevel="1">
      <c r="A196" s="414"/>
      <c r="B196" s="415" t="s">
        <v>812</v>
      </c>
      <c r="C196" s="416"/>
      <c r="D196" s="417"/>
      <c r="E196" s="417"/>
      <c r="F196" s="418"/>
      <c r="G196" s="418"/>
      <c r="H196" s="414"/>
      <c r="I196" s="414"/>
      <c r="J196" s="419"/>
      <c r="K196" s="414"/>
      <c r="L196" s="419"/>
      <c r="M196" s="414"/>
      <c r="N196" s="420"/>
      <c r="O196" s="414"/>
      <c r="P196" s="419">
        <f>J196+L196+N196</f>
        <v>0</v>
      </c>
      <c r="Q196" s="414"/>
      <c r="R196" s="419"/>
      <c r="S196" s="419"/>
      <c r="T196" s="419">
        <f>P196</f>
        <v>0</v>
      </c>
      <c r="U196" s="414"/>
      <c r="V196" s="420">
        <f>T196-S196</f>
        <v>0</v>
      </c>
      <c r="W196" s="414"/>
      <c r="X196" s="414"/>
    </row>
    <row r="197" spans="1:25" s="421" customFormat="1" ht="5.0999999999999996" customHeight="1" outlineLevel="1">
      <c r="A197" s="416" t="s">
        <v>194</v>
      </c>
      <c r="B197" s="416" t="s">
        <v>194</v>
      </c>
      <c r="C197" s="416"/>
      <c r="D197" s="418"/>
      <c r="E197" s="418"/>
      <c r="F197" s="418"/>
      <c r="G197" s="418"/>
      <c r="H197" s="414"/>
      <c r="I197" s="414"/>
      <c r="J197" s="453"/>
      <c r="K197" s="414"/>
      <c r="L197" s="453"/>
      <c r="M197" s="414"/>
      <c r="N197" s="454"/>
      <c r="O197" s="414"/>
      <c r="P197" s="453"/>
      <c r="Q197" s="414"/>
      <c r="R197" s="453"/>
      <c r="S197" s="453"/>
      <c r="T197" s="453"/>
      <c r="U197" s="414"/>
      <c r="V197" s="454"/>
      <c r="W197" s="414"/>
      <c r="X197" s="414"/>
      <c r="Y197" s="414"/>
    </row>
    <row r="198" spans="1:25" s="421" customFormat="1">
      <c r="A198" s="416" t="s">
        <v>812</v>
      </c>
      <c r="B198" s="416" t="s">
        <v>194</v>
      </c>
      <c r="C198" s="416"/>
      <c r="D198" s="414"/>
      <c r="E198" s="414"/>
      <c r="F198" s="417" t="s">
        <v>813</v>
      </c>
      <c r="G198" s="414"/>
      <c r="H198" s="414"/>
      <c r="I198" s="414"/>
      <c r="J198" s="451">
        <f>SUM(J196:J197)</f>
        <v>0</v>
      </c>
      <c r="K198" s="414"/>
      <c r="L198" s="451">
        <f>SUM(L196:L197)</f>
        <v>0</v>
      </c>
      <c r="M198" s="414"/>
      <c r="N198" s="452">
        <f>SUM(N196:N197)</f>
        <v>0</v>
      </c>
      <c r="O198" s="414"/>
      <c r="P198" s="451">
        <f>J198+L198+N198</f>
        <v>0</v>
      </c>
      <c r="Q198" s="414"/>
      <c r="R198" s="451">
        <f>SUM(R196:R197)</f>
        <v>0</v>
      </c>
      <c r="S198" s="451">
        <f>SUM(S196:S197)</f>
        <v>0</v>
      </c>
      <c r="T198" s="451">
        <f>SUM(T196:T197)</f>
        <v>0</v>
      </c>
      <c r="U198" s="414"/>
      <c r="V198" s="452">
        <f>SUM(V196:V197)</f>
        <v>0</v>
      </c>
      <c r="W198" s="414"/>
      <c r="X198" s="414"/>
      <c r="Y198" s="414"/>
    </row>
    <row r="199" spans="1:25" s="421" customFormat="1" outlineLevel="1">
      <c r="A199" s="414"/>
      <c r="B199" s="415" t="s">
        <v>814</v>
      </c>
      <c r="C199" s="416"/>
      <c r="D199" s="417"/>
      <c r="E199" s="417"/>
      <c r="F199" s="418"/>
      <c r="G199" s="418"/>
      <c r="H199" s="414"/>
      <c r="I199" s="414"/>
      <c r="J199" s="419"/>
      <c r="K199" s="414"/>
      <c r="L199" s="419"/>
      <c r="M199" s="414"/>
      <c r="N199" s="420"/>
      <c r="O199" s="414"/>
      <c r="P199" s="419">
        <f>J199+L199+N199</f>
        <v>0</v>
      </c>
      <c r="Q199" s="414"/>
      <c r="R199" s="419"/>
      <c r="S199" s="419"/>
      <c r="T199" s="419">
        <f>P199</f>
        <v>0</v>
      </c>
      <c r="U199" s="414"/>
      <c r="V199" s="420">
        <f>T199-S199</f>
        <v>0</v>
      </c>
      <c r="W199" s="414"/>
      <c r="X199" s="414"/>
    </row>
    <row r="200" spans="1:25" s="421" customFormat="1" ht="5.0999999999999996" customHeight="1" outlineLevel="1">
      <c r="A200" s="416" t="s">
        <v>194</v>
      </c>
      <c r="B200" s="416" t="s">
        <v>194</v>
      </c>
      <c r="C200" s="416"/>
      <c r="D200" s="418"/>
      <c r="E200" s="418"/>
      <c r="F200" s="418"/>
      <c r="G200" s="418"/>
      <c r="H200" s="414"/>
      <c r="I200" s="414"/>
      <c r="J200" s="453"/>
      <c r="K200" s="414"/>
      <c r="L200" s="453"/>
      <c r="M200" s="414"/>
      <c r="N200" s="454"/>
      <c r="O200" s="414"/>
      <c r="P200" s="453"/>
      <c r="Q200" s="414"/>
      <c r="R200" s="453"/>
      <c r="S200" s="453"/>
      <c r="T200" s="453"/>
      <c r="U200" s="414"/>
      <c r="V200" s="454"/>
      <c r="W200" s="414"/>
      <c r="X200" s="414"/>
      <c r="Y200" s="414"/>
    </row>
    <row r="201" spans="1:25" s="421" customFormat="1">
      <c r="A201" s="416" t="s">
        <v>814</v>
      </c>
      <c r="B201" s="416" t="s">
        <v>194</v>
      </c>
      <c r="C201" s="416"/>
      <c r="D201" s="414"/>
      <c r="E201" s="414"/>
      <c r="F201" s="417" t="s">
        <v>815</v>
      </c>
      <c r="G201" s="414"/>
      <c r="H201" s="414"/>
      <c r="I201" s="414"/>
      <c r="J201" s="451">
        <f>SUM(J199:J200)</f>
        <v>0</v>
      </c>
      <c r="K201" s="414"/>
      <c r="L201" s="451">
        <f>SUM(L199:L200)</f>
        <v>0</v>
      </c>
      <c r="M201" s="414"/>
      <c r="N201" s="452">
        <f>SUM(N199:N200)</f>
        <v>0</v>
      </c>
      <c r="O201" s="414"/>
      <c r="P201" s="451">
        <f>J201+L201+N201</f>
        <v>0</v>
      </c>
      <c r="Q201" s="414"/>
      <c r="R201" s="451">
        <f>SUM(R199:R200)</f>
        <v>0</v>
      </c>
      <c r="S201" s="451">
        <f>SUM(S199:S200)</f>
        <v>0</v>
      </c>
      <c r="T201" s="451">
        <f>SUM(T199:T200)</f>
        <v>0</v>
      </c>
      <c r="U201" s="414"/>
      <c r="V201" s="452">
        <f>SUM(V199:V200)</f>
        <v>0</v>
      </c>
      <c r="W201" s="414"/>
      <c r="X201" s="414"/>
      <c r="Y201" s="414"/>
    </row>
    <row r="202" spans="1:25" s="421" customFormat="1" outlineLevel="1">
      <c r="A202" s="414"/>
      <c r="B202" s="415" t="s">
        <v>816</v>
      </c>
      <c r="C202" s="416"/>
      <c r="D202" s="417"/>
      <c r="E202" s="417"/>
      <c r="F202" s="418"/>
      <c r="G202" s="418"/>
      <c r="H202" s="414"/>
      <c r="I202" s="414"/>
      <c r="J202" s="419"/>
      <c r="K202" s="414"/>
      <c r="L202" s="419"/>
      <c r="M202" s="414"/>
      <c r="N202" s="420"/>
      <c r="O202" s="414"/>
      <c r="P202" s="419">
        <f>J202+L202+N202</f>
        <v>0</v>
      </c>
      <c r="Q202" s="414"/>
      <c r="R202" s="419"/>
      <c r="S202" s="419"/>
      <c r="T202" s="419">
        <f>P202</f>
        <v>0</v>
      </c>
      <c r="U202" s="414"/>
      <c r="V202" s="420">
        <f>T202-S202</f>
        <v>0</v>
      </c>
      <c r="W202" s="414"/>
      <c r="X202" s="414"/>
    </row>
    <row r="203" spans="1:25" s="421" customFormat="1" ht="5.0999999999999996" customHeight="1" outlineLevel="1">
      <c r="A203" s="416" t="s">
        <v>194</v>
      </c>
      <c r="B203" s="416" t="s">
        <v>194</v>
      </c>
      <c r="C203" s="416"/>
      <c r="D203" s="418"/>
      <c r="E203" s="418"/>
      <c r="F203" s="418"/>
      <c r="G203" s="418"/>
      <c r="H203" s="414"/>
      <c r="I203" s="414"/>
      <c r="J203" s="453"/>
      <c r="K203" s="414"/>
      <c r="L203" s="453"/>
      <c r="M203" s="414"/>
      <c r="N203" s="454"/>
      <c r="O203" s="414"/>
      <c r="P203" s="453"/>
      <c r="Q203" s="414"/>
      <c r="R203" s="453"/>
      <c r="S203" s="453"/>
      <c r="T203" s="453"/>
      <c r="U203" s="414"/>
      <c r="V203" s="454"/>
      <c r="W203" s="414"/>
      <c r="X203" s="414"/>
      <c r="Y203" s="414"/>
    </row>
    <row r="204" spans="1:25" s="421" customFormat="1">
      <c r="A204" s="416" t="s">
        <v>816</v>
      </c>
      <c r="B204" s="416" t="s">
        <v>194</v>
      </c>
      <c r="C204" s="416"/>
      <c r="D204" s="414"/>
      <c r="E204" s="414"/>
      <c r="F204" s="417" t="s">
        <v>817</v>
      </c>
      <c r="G204" s="414"/>
      <c r="H204" s="414"/>
      <c r="I204" s="414"/>
      <c r="J204" s="451">
        <f>SUM(J202:J203)</f>
        <v>0</v>
      </c>
      <c r="K204" s="414"/>
      <c r="L204" s="451">
        <f>SUM(L202:L203)</f>
        <v>0</v>
      </c>
      <c r="M204" s="414"/>
      <c r="N204" s="452">
        <f>SUM(N202:N203)</f>
        <v>0</v>
      </c>
      <c r="O204" s="414"/>
      <c r="P204" s="451">
        <f>J204+L204+N204</f>
        <v>0</v>
      </c>
      <c r="Q204" s="414"/>
      <c r="R204" s="451">
        <f>SUM(R202:R203)</f>
        <v>0</v>
      </c>
      <c r="S204" s="451">
        <f>SUM(S202:S203)</f>
        <v>0</v>
      </c>
      <c r="T204" s="451">
        <f>SUM(T202:T203)</f>
        <v>0</v>
      </c>
      <c r="U204" s="414"/>
      <c r="V204" s="452">
        <f>SUM(V202:V203)</f>
        <v>0</v>
      </c>
      <c r="W204" s="414"/>
      <c r="X204" s="414"/>
      <c r="Y204" s="414"/>
    </row>
    <row r="205" spans="1:25" s="421" customFormat="1" outlineLevel="1">
      <c r="A205" s="414"/>
      <c r="B205" s="415" t="s">
        <v>818</v>
      </c>
      <c r="C205" s="416"/>
      <c r="D205" s="417"/>
      <c r="E205" s="417"/>
      <c r="F205" s="418"/>
      <c r="G205" s="418"/>
      <c r="H205" s="414"/>
      <c r="I205" s="414"/>
      <c r="J205" s="419"/>
      <c r="K205" s="414"/>
      <c r="L205" s="419"/>
      <c r="M205" s="414"/>
      <c r="N205" s="420"/>
      <c r="O205" s="414"/>
      <c r="P205" s="419">
        <f>J205+L205+N205</f>
        <v>0</v>
      </c>
      <c r="Q205" s="414"/>
      <c r="R205" s="419"/>
      <c r="S205" s="419"/>
      <c r="T205" s="419">
        <f>P205</f>
        <v>0</v>
      </c>
      <c r="U205" s="414"/>
      <c r="V205" s="420">
        <f>T205-S205</f>
        <v>0</v>
      </c>
      <c r="W205" s="414"/>
      <c r="X205" s="414"/>
    </row>
    <row r="206" spans="1:25" s="421" customFormat="1" ht="5.0999999999999996" customHeight="1" outlineLevel="1">
      <c r="A206" s="416" t="s">
        <v>194</v>
      </c>
      <c r="B206" s="449"/>
      <c r="C206" s="449"/>
      <c r="D206" s="418"/>
      <c r="E206" s="418"/>
      <c r="F206" s="418"/>
      <c r="G206" s="418"/>
      <c r="H206" s="414"/>
      <c r="I206" s="414"/>
      <c r="J206" s="453"/>
      <c r="K206" s="414"/>
      <c r="L206" s="453"/>
      <c r="M206" s="414"/>
      <c r="N206" s="454"/>
      <c r="O206" s="414"/>
      <c r="P206" s="453"/>
      <c r="Q206" s="414"/>
      <c r="R206" s="453"/>
      <c r="S206" s="453"/>
      <c r="T206" s="453"/>
      <c r="U206" s="414"/>
      <c r="V206" s="454"/>
      <c r="W206" s="414"/>
      <c r="X206" s="414"/>
      <c r="Y206" s="414"/>
    </row>
    <row r="207" spans="1:25" s="421" customFormat="1">
      <c r="A207" s="416" t="s">
        <v>818</v>
      </c>
      <c r="B207" s="449"/>
      <c r="C207" s="449"/>
      <c r="D207" s="414"/>
      <c r="E207" s="414"/>
      <c r="F207" s="417" t="s">
        <v>819</v>
      </c>
      <c r="G207" s="414"/>
      <c r="H207" s="414"/>
      <c r="I207" s="414"/>
      <c r="J207" s="451">
        <f>SUM(J205:J206)</f>
        <v>0</v>
      </c>
      <c r="K207" s="414"/>
      <c r="L207" s="451">
        <f>SUM(L205:L206)</f>
        <v>0</v>
      </c>
      <c r="M207" s="414"/>
      <c r="N207" s="452">
        <f>SUM(N205:N206)</f>
        <v>0</v>
      </c>
      <c r="O207" s="414"/>
      <c r="P207" s="451">
        <f>J207+L207+N207</f>
        <v>0</v>
      </c>
      <c r="Q207" s="414"/>
      <c r="R207" s="451">
        <f>SUM(R205:R206)</f>
        <v>0</v>
      </c>
      <c r="S207" s="451">
        <f>SUM(S205:S206)</f>
        <v>0</v>
      </c>
      <c r="T207" s="451">
        <f>SUM(T205:T206)</f>
        <v>0</v>
      </c>
      <c r="U207" s="414"/>
      <c r="V207" s="452">
        <f>SUM(V205:V206)</f>
        <v>0</v>
      </c>
      <c r="W207" s="414"/>
      <c r="X207" s="414"/>
      <c r="Y207" s="414"/>
    </row>
    <row r="208" spans="1:25" s="421" customFormat="1" ht="7.5" hidden="1" customHeight="1">
      <c r="A208" s="449"/>
      <c r="B208" s="416"/>
      <c r="C208" s="416"/>
      <c r="D208" s="414"/>
      <c r="E208" s="414"/>
      <c r="F208" s="414"/>
      <c r="G208" s="414"/>
      <c r="H208" s="414"/>
      <c r="I208" s="414"/>
      <c r="J208" s="456"/>
      <c r="K208" s="414"/>
      <c r="L208" s="456"/>
      <c r="M208" s="414"/>
      <c r="N208" s="420"/>
      <c r="O208" s="414"/>
      <c r="P208" s="456"/>
      <c r="Q208" s="414"/>
      <c r="R208" s="456"/>
      <c r="S208" s="456"/>
      <c r="T208" s="456"/>
      <c r="U208" s="414"/>
      <c r="V208" s="420"/>
      <c r="W208" s="414"/>
      <c r="X208" s="414"/>
      <c r="Y208" s="414"/>
    </row>
    <row r="209" spans="1:25" s="421" customFormat="1" outlineLevel="1">
      <c r="A209" s="414"/>
      <c r="B209" s="415" t="s">
        <v>820</v>
      </c>
      <c r="C209" s="416"/>
      <c r="D209" s="417">
        <v>29100</v>
      </c>
      <c r="E209" s="417" t="s">
        <v>821</v>
      </c>
      <c r="F209" s="418"/>
      <c r="G209" s="418"/>
      <c r="H209" s="414"/>
      <c r="I209" s="414"/>
      <c r="J209" s="419">
        <v>34188478.289999999</v>
      </c>
      <c r="K209" s="414"/>
      <c r="L209" s="419">
        <v>0</v>
      </c>
      <c r="M209" s="414"/>
      <c r="N209" s="420">
        <v>0</v>
      </c>
      <c r="O209" s="414"/>
      <c r="P209" s="419">
        <f>J209+L209+N209</f>
        <v>34188478.289999999</v>
      </c>
      <c r="Q209" s="414"/>
      <c r="R209" s="419">
        <v>33598711.229999997</v>
      </c>
      <c r="S209" s="419">
        <v>33869541.210000001</v>
      </c>
      <c r="T209" s="419">
        <f>P209</f>
        <v>34188478.289999999</v>
      </c>
      <c r="U209" s="414"/>
      <c r="V209" s="420">
        <f>T209-S209</f>
        <v>318937.07999999821</v>
      </c>
      <c r="W209" s="414"/>
      <c r="X209" s="414"/>
    </row>
    <row r="210" spans="1:25" s="421" customFormat="1" ht="5.0999999999999996" customHeight="1" outlineLevel="1">
      <c r="A210" s="416" t="s">
        <v>194</v>
      </c>
      <c r="B210" s="449"/>
      <c r="C210" s="449"/>
      <c r="D210" s="418"/>
      <c r="E210" s="418"/>
      <c r="F210" s="418"/>
      <c r="G210" s="418"/>
      <c r="H210" s="414"/>
      <c r="I210" s="414"/>
      <c r="J210" s="453"/>
      <c r="K210" s="414"/>
      <c r="L210" s="453"/>
      <c r="M210" s="414"/>
      <c r="N210" s="454"/>
      <c r="O210" s="414"/>
      <c r="P210" s="453"/>
      <c r="Q210" s="414"/>
      <c r="R210" s="453"/>
      <c r="S210" s="453"/>
      <c r="T210" s="453"/>
      <c r="U210" s="414"/>
      <c r="V210" s="454"/>
      <c r="W210" s="414"/>
      <c r="X210" s="414"/>
      <c r="Y210" s="414"/>
    </row>
    <row r="211" spans="1:25" s="421" customFormat="1">
      <c r="A211" s="416" t="s">
        <v>820</v>
      </c>
      <c r="B211" s="449"/>
      <c r="C211" s="449"/>
      <c r="D211" s="414"/>
      <c r="E211" s="414"/>
      <c r="F211" s="417" t="s">
        <v>821</v>
      </c>
      <c r="G211" s="414"/>
      <c r="H211" s="414"/>
      <c r="I211" s="414"/>
      <c r="J211" s="451">
        <f>SUM(J209:J210)</f>
        <v>34188478.289999999</v>
      </c>
      <c r="K211" s="414"/>
      <c r="L211" s="451">
        <f>SUM(L209:L210)</f>
        <v>0</v>
      </c>
      <c r="M211" s="414"/>
      <c r="N211" s="452">
        <f>SUM(N209:N210)</f>
        <v>0</v>
      </c>
      <c r="O211" s="414"/>
      <c r="P211" s="451">
        <f>J211+L211+N211</f>
        <v>34188478.289999999</v>
      </c>
      <c r="Q211" s="414"/>
      <c r="R211" s="451">
        <f>SUM(R209:R210)</f>
        <v>33598711.229999997</v>
      </c>
      <c r="S211" s="451">
        <f>SUM(S209:S210)</f>
        <v>33869541.210000001</v>
      </c>
      <c r="T211" s="451">
        <f>SUM(T209:T210)</f>
        <v>34188478.289999999</v>
      </c>
      <c r="U211" s="414"/>
      <c r="V211" s="452">
        <f>SUM(V209:V210)</f>
        <v>318937.07999999821</v>
      </c>
      <c r="W211" s="414"/>
      <c r="X211" s="414"/>
      <c r="Y211" s="414"/>
    </row>
    <row r="212" spans="1:25" s="421" customFormat="1" ht="7.5" customHeight="1">
      <c r="A212" s="449"/>
      <c r="B212" s="416"/>
      <c r="C212" s="416"/>
      <c r="D212" s="414"/>
      <c r="E212" s="414"/>
      <c r="F212" s="414"/>
      <c r="G212" s="414"/>
      <c r="H212" s="414"/>
      <c r="I212" s="414"/>
      <c r="J212" s="456"/>
      <c r="K212" s="414"/>
      <c r="L212" s="456"/>
      <c r="M212" s="414"/>
      <c r="N212" s="420"/>
      <c r="O212" s="414"/>
      <c r="P212" s="456"/>
      <c r="Q212" s="414"/>
      <c r="R212" s="456"/>
      <c r="S212" s="456"/>
      <c r="T212" s="456"/>
      <c r="U212" s="414"/>
      <c r="V212" s="420"/>
      <c r="W212" s="414"/>
      <c r="X212" s="414"/>
      <c r="Y212" s="414"/>
    </row>
    <row r="213" spans="1:25" s="421" customFormat="1">
      <c r="A213" s="449"/>
      <c r="B213" s="416"/>
      <c r="C213" s="416"/>
      <c r="D213" s="414"/>
      <c r="E213" s="457" t="s">
        <v>821</v>
      </c>
      <c r="F213" s="414"/>
      <c r="G213" s="414"/>
      <c r="H213" s="414"/>
      <c r="I213" s="414"/>
      <c r="J213" s="406">
        <f>SUM(J189,J195,J201,J207,J198,J192,J204,J211)</f>
        <v>34188478.289999999</v>
      </c>
      <c r="K213" s="414"/>
      <c r="L213" s="406">
        <f>SUM(L189,L195,L201,L207,L198,L192,L204,L211)</f>
        <v>0</v>
      </c>
      <c r="M213" s="414"/>
      <c r="N213" s="405">
        <f>SUM(N189,N195,N201,N207,N198,N192,N204,N211)</f>
        <v>0</v>
      </c>
      <c r="O213" s="414"/>
      <c r="P213" s="406">
        <f>SUM(P189,P195,P201,P207,P198,P192,P204,P211)</f>
        <v>34188478.289999999</v>
      </c>
      <c r="Q213" s="414"/>
      <c r="R213" s="406">
        <f>SUM(R189,R195,R201,R207,R198,R192,R204,R211)</f>
        <v>33598711.229999997</v>
      </c>
      <c r="S213" s="406">
        <f>SUM(S189,S195,S201,S207,S198,S192,S204,S211)</f>
        <v>33869541.210000001</v>
      </c>
      <c r="T213" s="406">
        <f>SUM(T189,T195,T201,T207,T198,T192,T204,T211)</f>
        <v>34188478.289999999</v>
      </c>
      <c r="U213" s="414"/>
      <c r="V213" s="405">
        <f>SUM(V189,V195,V201,V207,V198,V192,V204,V211)</f>
        <v>318937.07999999821</v>
      </c>
      <c r="W213" s="414"/>
      <c r="X213" s="414"/>
      <c r="Y213" s="414"/>
    </row>
    <row r="214" spans="1:25" s="421" customFormat="1" ht="7.5" customHeight="1">
      <c r="A214" s="416"/>
      <c r="B214" s="416"/>
      <c r="C214" s="416"/>
      <c r="D214" s="414"/>
      <c r="E214" s="414"/>
      <c r="F214" s="414"/>
      <c r="G214" s="414"/>
      <c r="H214" s="414"/>
      <c r="I214" s="414"/>
      <c r="J214" s="456"/>
      <c r="K214" s="414"/>
      <c r="L214" s="456"/>
      <c r="M214" s="414"/>
      <c r="N214" s="420"/>
      <c r="O214" s="414"/>
      <c r="P214" s="456"/>
      <c r="Q214" s="414"/>
      <c r="R214" s="456"/>
      <c r="S214" s="456"/>
      <c r="T214" s="456"/>
      <c r="U214" s="414"/>
      <c r="V214" s="420"/>
      <c r="W214" s="414"/>
      <c r="X214" s="414"/>
      <c r="Y214" s="414"/>
    </row>
    <row r="215" spans="1:25" s="421" customFormat="1" ht="13.5" thickBot="1">
      <c r="A215" s="416"/>
      <c r="B215" s="416"/>
      <c r="C215" s="416"/>
      <c r="D215" s="414"/>
      <c r="E215" s="457" t="s">
        <v>822</v>
      </c>
      <c r="F215" s="414"/>
      <c r="G215" s="414"/>
      <c r="H215" s="414"/>
      <c r="I215" s="414"/>
      <c r="J215" s="461">
        <f>+J185+J213</f>
        <v>37085273.600000001</v>
      </c>
      <c r="K215" s="414"/>
      <c r="L215" s="461">
        <f>+L185+L213</f>
        <v>0</v>
      </c>
      <c r="M215" s="414"/>
      <c r="N215" s="462">
        <f>+N185+N213</f>
        <v>0</v>
      </c>
      <c r="O215" s="414"/>
      <c r="P215" s="461">
        <f>+P185+P213</f>
        <v>37085273.600000001</v>
      </c>
      <c r="Q215" s="414"/>
      <c r="R215" s="461">
        <f>+R185+R213</f>
        <v>36062576.819999993</v>
      </c>
      <c r="S215" s="461">
        <f>+S185+S213</f>
        <v>37005633.030000001</v>
      </c>
      <c r="T215" s="461">
        <f>+T185+T213</f>
        <v>37085273.600000001</v>
      </c>
      <c r="U215" s="414"/>
      <c r="V215" s="462">
        <f>+V185+V213</f>
        <v>79640.569999998261</v>
      </c>
      <c r="W215" s="414"/>
      <c r="X215" s="414"/>
      <c r="Y215" s="414"/>
    </row>
    <row r="216" spans="1:25" s="421" customFormat="1" ht="7.5" customHeight="1" thickTop="1">
      <c r="A216" s="416"/>
      <c r="B216" s="416"/>
      <c r="C216" s="416"/>
      <c r="D216" s="414"/>
      <c r="E216" s="414"/>
      <c r="F216" s="414"/>
      <c r="G216" s="414"/>
      <c r="H216" s="414"/>
      <c r="I216" s="414"/>
      <c r="J216" s="456"/>
      <c r="K216" s="414"/>
      <c r="L216" s="456"/>
      <c r="M216" s="414"/>
      <c r="N216" s="420"/>
      <c r="O216" s="414"/>
      <c r="P216" s="456"/>
      <c r="Q216" s="414"/>
      <c r="R216" s="456"/>
      <c r="S216" s="456"/>
      <c r="T216" s="456"/>
      <c r="U216" s="414"/>
      <c r="V216" s="420"/>
      <c r="W216" s="414"/>
      <c r="X216" s="414"/>
      <c r="Y216" s="414"/>
    </row>
    <row r="217" spans="1:25" s="464" customFormat="1" ht="12">
      <c r="A217" s="416"/>
      <c r="B217" s="416"/>
      <c r="C217" s="416"/>
      <c r="D217" s="414"/>
      <c r="E217" s="414"/>
      <c r="F217" s="414" t="s">
        <v>823</v>
      </c>
      <c r="G217" s="414"/>
      <c r="H217" s="414"/>
      <c r="I217" s="414"/>
      <c r="J217" s="456">
        <f>J128-J215</f>
        <v>0</v>
      </c>
      <c r="K217" s="414"/>
      <c r="L217" s="456">
        <f>L128-L215</f>
        <v>0</v>
      </c>
      <c r="M217" s="414"/>
      <c r="N217" s="456">
        <f>N128-N215</f>
        <v>0</v>
      </c>
      <c r="O217" s="414"/>
      <c r="P217" s="456">
        <f>P128-P215</f>
        <v>0</v>
      </c>
      <c r="Q217" s="414"/>
      <c r="R217" s="456">
        <f>R128-R215</f>
        <v>0</v>
      </c>
      <c r="S217" s="456">
        <f>S128-S215</f>
        <v>0</v>
      </c>
      <c r="T217" s="456">
        <f>T128-T215</f>
        <v>0</v>
      </c>
      <c r="U217" s="414"/>
      <c r="V217" s="456">
        <f>V128-V215</f>
        <v>1.0186340659856796E-9</v>
      </c>
      <c r="W217" s="414"/>
      <c r="X217" s="414"/>
      <c r="Y217" s="414"/>
    </row>
    <row r="218" spans="1:25" s="466" customFormat="1" ht="9.75" customHeight="1">
      <c r="A218" s="416"/>
      <c r="B218" s="449"/>
      <c r="C218" s="449"/>
      <c r="D218" s="414"/>
      <c r="E218" s="414"/>
      <c r="F218" s="417"/>
      <c r="G218" s="414"/>
      <c r="H218" s="416"/>
      <c r="I218" s="416"/>
      <c r="J218" s="465"/>
      <c r="K218" s="416"/>
      <c r="L218" s="416"/>
      <c r="M218" s="416"/>
      <c r="N218" s="416"/>
      <c r="O218" s="416"/>
      <c r="P218" s="416"/>
      <c r="Q218" s="416"/>
      <c r="R218" s="416"/>
      <c r="S218" s="416"/>
      <c r="T218" s="416"/>
      <c r="U218" s="416"/>
      <c r="V218" s="416"/>
      <c r="W218" s="416"/>
      <c r="X218" s="416"/>
      <c r="Y218" s="416"/>
    </row>
    <row r="219" spans="1:25" s="421" customFormat="1" outlineLevel="1">
      <c r="A219" s="414"/>
      <c r="B219" s="415" t="s">
        <v>430</v>
      </c>
      <c r="C219" s="416"/>
      <c r="D219" s="417"/>
      <c r="E219" s="417"/>
      <c r="F219" s="418"/>
      <c r="G219" s="418"/>
      <c r="H219" s="414"/>
      <c r="I219" s="414"/>
      <c r="J219" s="419"/>
      <c r="K219" s="414"/>
      <c r="L219" s="419"/>
      <c r="M219" s="414"/>
      <c r="N219" s="420"/>
      <c r="O219" s="414"/>
      <c r="P219" s="419"/>
      <c r="Q219" s="414"/>
      <c r="R219" s="419"/>
      <c r="S219" s="419"/>
      <c r="T219" s="419"/>
      <c r="U219" s="414"/>
      <c r="V219" s="420"/>
      <c r="W219" s="414"/>
      <c r="X219" s="414"/>
    </row>
    <row r="220" spans="1:25" ht="6" customHeight="1" outlineLevel="1">
      <c r="A220" s="449"/>
      <c r="B220" s="416"/>
      <c r="C220" s="416"/>
      <c r="D220" s="416"/>
      <c r="E220" s="416"/>
      <c r="F220" s="416"/>
      <c r="G220" s="416"/>
      <c r="H220" s="416"/>
      <c r="I220" s="416"/>
      <c r="J220" s="453"/>
      <c r="K220" s="456"/>
      <c r="L220" s="453"/>
      <c r="M220" s="416"/>
      <c r="N220" s="453"/>
      <c r="O220" s="416"/>
      <c r="P220" s="453"/>
      <c r="Q220" s="416"/>
      <c r="R220" s="453"/>
      <c r="S220" s="453"/>
      <c r="T220" s="453"/>
      <c r="U220" s="416"/>
      <c r="V220" s="453"/>
      <c r="W220" s="416"/>
      <c r="X220" s="416"/>
      <c r="Y220" s="416"/>
    </row>
    <row r="221" spans="1:25" s="410" customFormat="1">
      <c r="A221" s="416" t="s">
        <v>430</v>
      </c>
      <c r="B221" s="467"/>
      <c r="C221" s="467"/>
      <c r="D221" s="467"/>
      <c r="E221" s="467" t="s">
        <v>287</v>
      </c>
      <c r="F221" s="467"/>
      <c r="G221" s="467"/>
      <c r="H221" s="467"/>
      <c r="I221" s="467"/>
      <c r="J221" s="468">
        <f>SUM(J219:J220)</f>
        <v>0</v>
      </c>
      <c r="K221" s="469"/>
      <c r="L221" s="468">
        <f>SUM(L219:L220)</f>
        <v>0</v>
      </c>
      <c r="M221" s="469"/>
      <c r="N221" s="468">
        <f>SUM(N219:N220)</f>
        <v>0</v>
      </c>
      <c r="O221" s="469"/>
      <c r="P221" s="468">
        <f>SUM(P219:P220)</f>
        <v>0</v>
      </c>
      <c r="Q221" s="469"/>
      <c r="R221" s="468">
        <f>SUM(R219:R220)</f>
        <v>0</v>
      </c>
      <c r="S221" s="468">
        <f>SUM(S219:S220)</f>
        <v>0</v>
      </c>
      <c r="T221" s="468">
        <f>SUM(T219:T220)</f>
        <v>0</v>
      </c>
      <c r="U221" s="469"/>
      <c r="V221" s="468">
        <f>SUM(V219:V220)</f>
        <v>0</v>
      </c>
      <c r="W221" s="416"/>
      <c r="X221" s="416"/>
      <c r="Y221" s="416"/>
    </row>
    <row r="222" spans="1:25">
      <c r="A222" s="470"/>
      <c r="B222" s="416"/>
      <c r="C222" s="416"/>
      <c r="D222" s="416"/>
      <c r="E222" s="416"/>
      <c r="F222" s="416"/>
      <c r="G222" s="416"/>
      <c r="H222" s="416"/>
      <c r="I222" s="416"/>
      <c r="J222" s="471"/>
      <c r="K222" s="471"/>
      <c r="L222" s="472"/>
      <c r="M222" s="472"/>
      <c r="N222" s="472"/>
      <c r="O222" s="472"/>
      <c r="P222" s="472"/>
      <c r="Q222" s="472"/>
      <c r="R222" s="472"/>
      <c r="S222" s="472"/>
      <c r="T222" s="472"/>
      <c r="U222" s="472"/>
      <c r="V222" s="472"/>
      <c r="W222" s="416"/>
      <c r="X222" s="416"/>
      <c r="Y222" s="416"/>
    </row>
    <row r="223" spans="1:25">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row>
    <row r="224" spans="1:25">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row>
  </sheetData>
  <dataValidations count="1">
    <dataValidation type="list" allowBlank="1" showInputMessage="1" showErrorMessage="1" sqref="N8">
      <formula1>"TRUE,FALSE"</formula1>
    </dataValidation>
  </dataValidations>
  <pageMargins left="0.5" right="0.5" top="0.39" bottom="0.4" header="0.25" footer="0.25"/>
  <pageSetup scale="58" fitToHeight="0" orientation="landscape" errors="blank" r:id="rId1"/>
  <headerFooter alignWithMargins="0">
    <oddHeader>&amp;R&amp;D - &amp;T</oddHeader>
    <oddFooter>&amp;L&amp;F -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233"/>
  <sheetViews>
    <sheetView showGridLines="0" tabSelected="1" view="pageBreakPreview" topLeftCell="D7" zoomScale="60" zoomScaleNormal="75" workbookViewId="0">
      <pane xSplit="5" ySplit="7" topLeftCell="I155" activePane="bottomRight" state="frozen"/>
      <selection activeCell="AR41" sqref="AR41"/>
      <selection pane="topRight" activeCell="AR41" sqref="AR41"/>
      <selection pane="bottomLeft" activeCell="AR41" sqref="AR41"/>
      <selection pane="bottomRight" activeCell="AR41" sqref="AR41"/>
    </sheetView>
  </sheetViews>
  <sheetFormatPr defaultColWidth="13.85546875" defaultRowHeight="12.75" outlineLevelRow="1"/>
  <cols>
    <col min="1" max="1" width="116.7109375" style="407" customWidth="1"/>
    <col min="2" max="2" width="16.5703125" style="407" customWidth="1"/>
    <col min="3" max="3" width="12.42578125" style="407" customWidth="1"/>
    <col min="4" max="4" width="6.85546875" style="407" customWidth="1"/>
    <col min="5" max="6" width="2.28515625" style="407" customWidth="1"/>
    <col min="7" max="7" width="25.5703125" style="407" customWidth="1"/>
    <col min="8" max="8" width="3.85546875" style="407" customWidth="1"/>
    <col min="9" max="9" width="2" style="407" customWidth="1"/>
    <col min="10" max="10" width="15.5703125" style="407" customWidth="1"/>
    <col min="11" max="11" width="1.85546875" style="407" customWidth="1"/>
    <col min="12" max="12" width="15.5703125" style="407" customWidth="1"/>
    <col min="13" max="13" width="1.85546875" style="407" customWidth="1"/>
    <col min="14" max="14" width="15.5703125" style="407" customWidth="1"/>
    <col min="15" max="15" width="1.85546875" style="407" customWidth="1"/>
    <col min="16" max="16" width="15.5703125" style="407" customWidth="1"/>
    <col min="17" max="17" width="3.140625" style="407" customWidth="1"/>
    <col min="18" max="20" width="16.28515625" style="407" bestFit="1" customWidth="1"/>
    <col min="21" max="21" width="1.85546875" style="407" customWidth="1"/>
    <col min="22" max="22" width="15.5703125" style="407" customWidth="1"/>
    <col min="23" max="23" width="2.85546875" style="407" customWidth="1"/>
    <col min="24" max="16384" width="13.85546875" style="407"/>
  </cols>
  <sheetData>
    <row r="1" spans="1:25">
      <c r="D1" s="407" t="s">
        <v>175</v>
      </c>
      <c r="E1" s="407" t="s">
        <v>176</v>
      </c>
      <c r="F1" s="408"/>
      <c r="G1" s="409"/>
      <c r="J1" s="407" t="s">
        <v>188</v>
      </c>
      <c r="L1" s="407" t="s">
        <v>651</v>
      </c>
      <c r="N1" s="407" t="s">
        <v>652</v>
      </c>
      <c r="R1" s="413" t="s">
        <v>186</v>
      </c>
      <c r="S1" s="413" t="s">
        <v>187</v>
      </c>
    </row>
    <row r="2" spans="1:25" s="421" customFormat="1" outlineLevel="1">
      <c r="A2" s="414"/>
      <c r="B2" s="415"/>
      <c r="C2" s="416"/>
      <c r="D2" s="417"/>
      <c r="E2" s="417"/>
      <c r="F2" s="418"/>
      <c r="G2" s="418"/>
      <c r="H2" s="414"/>
      <c r="I2" s="414"/>
      <c r="J2" s="419">
        <v>0</v>
      </c>
      <c r="K2" s="414"/>
      <c r="L2" s="419">
        <v>0</v>
      </c>
      <c r="M2" s="414"/>
      <c r="N2" s="420">
        <v>0</v>
      </c>
      <c r="O2" s="414"/>
      <c r="P2" s="419">
        <f>J2+L2+N2</f>
        <v>0</v>
      </c>
      <c r="Q2" s="414"/>
      <c r="R2" s="419">
        <v>0</v>
      </c>
      <c r="S2" s="419">
        <v>0</v>
      </c>
      <c r="T2" s="419">
        <f>P2</f>
        <v>0</v>
      </c>
      <c r="U2" s="414"/>
      <c r="V2" s="420">
        <f>T2-S2</f>
        <v>0</v>
      </c>
      <c r="W2" s="414"/>
      <c r="X2" s="414"/>
    </row>
    <row r="3" spans="1:25">
      <c r="G3" s="409"/>
      <c r="J3" s="407" t="str">
        <f>D9</f>
        <v>2019-04</v>
      </c>
      <c r="L3" s="407" t="str">
        <f>D9</f>
        <v>2019-04</v>
      </c>
      <c r="N3" s="407" t="str">
        <f>YearMonth</f>
        <v>2019-04</v>
      </c>
      <c r="P3" s="407" t="str">
        <f>D9</f>
        <v>2019-04</v>
      </c>
      <c r="R3" s="407" t="str">
        <f>IFERROR(TEXT(EDATE($B$7,MID(LEFT(R1,FIND(")",R1)-1),FIND("(",R1)+1,LEN(R1))),"yyyy-mm"),"")</f>
        <v>2019-02</v>
      </c>
      <c r="S3" s="407" t="str">
        <f>IFERROR(TEXT(EDATE($B$7,MID(LEFT(S1,FIND(")",S1)-1),FIND("(",S1)+1,LEN(S1))),"yyyy-mm"),"")</f>
        <v>2019-03</v>
      </c>
      <c r="T3" s="407" t="str">
        <f>D9</f>
        <v>2019-04</v>
      </c>
    </row>
    <row r="4" spans="1:25">
      <c r="A4" s="407" t="str">
        <f>_xll.jBinder("MarkerCell")</f>
        <v>jBinderOption{MarkerCell}: This cell will be used to note the tab was created from the binder.</v>
      </c>
      <c r="B4" s="407" t="str">
        <f ca="1">_xll.ReportVariable("FinCube",B11:B233,A1:Y1,A2:Y2,_xll.Param("BS"&amp;IF(ExcludeIC=TRUE,",!Eliminated",""),District,System,SubSystem,,,"*",,RIGHT(YearMonth,2),LEFT(YearMonth,4),,,1,,FALSE))</f>
        <v>OK!: ReportVariable Formula OK [jAction{}]</v>
      </c>
      <c r="G4" s="409"/>
      <c r="J4" s="407" t="s">
        <v>653</v>
      </c>
      <c r="L4" s="407" t="s">
        <v>654</v>
      </c>
      <c r="N4" s="407" t="s">
        <v>652</v>
      </c>
      <c r="P4" s="407" t="s">
        <v>655</v>
      </c>
      <c r="R4" s="407" t="s">
        <v>655</v>
      </c>
      <c r="S4" s="407" t="s">
        <v>655</v>
      </c>
      <c r="T4" s="407" t="s">
        <v>655</v>
      </c>
    </row>
    <row r="5" spans="1:25">
      <c r="A5" s="407" t="str">
        <f>_xll.jBinder("ChooseSegmentListtoIterateThru","Dist")</f>
        <v>jBinderOption{ChooseSegmentListtoIterateThru|Dist}: Option "ChooseSegmentListtoIterateThru" has value "Dist"</v>
      </c>
      <c r="B5" s="407" t="str">
        <f ca="1">_xll.ReportDrill(,"JEQuery_WithStaged",_xll.PairGroup(_xll.PairExt("C:d","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6" spans="1:25">
      <c r="A6" s="407" t="str">
        <f>_xll.jBinder("CreateSummaryTab","False")</f>
        <v>jBinderOption{CreateSummaryTab|False}: Option "CreateSummaryTab" has value "False"</v>
      </c>
      <c r="B6" s="407" t="str">
        <f ca="1">_xll.ReportDrill(,"JEQuery_WithStaged",_xll.PairGroup(_xll.PairExt("C:a","Accounts"),_xll.PairExt(System,"Systems","N"),_xll.PairExt("R:3","DateFrom","Y"),_xll.PairExt("R:3","DateTo","Y"),_xll.PairExt(District,"Districts"),_xll.PairExt(SubSystem,"Subsystems","n"),_xll.PairExt("","VendorCode","n"),_xll.PairExt("","AmountFrom","N"),_xll.PairExt("","AmountTo","n"),_xll.PairExt("R:4","Posting","Y")),"Drill To JEQuery")</f>
        <v>OK!: ReportDrill 'Drill To JEQuery' Formula OK [jAction{}]</v>
      </c>
    </row>
    <row r="7" spans="1:25" s="424" customFormat="1" ht="15.75">
      <c r="A7" s="407" t="str">
        <f ca="1">_xll.jBinder("Dist",District)</f>
        <v>jBinderOption{Dist||N7}: "Dist" can iterate on cell "N7"</v>
      </c>
      <c r="B7" s="422">
        <f>DATEVALUE(RIGHT(YearMonth,2)&amp;"/1/"&amp;LEFT(YearMonth,4))</f>
        <v>43556</v>
      </c>
      <c r="C7" s="407"/>
      <c r="D7" s="423" t="s">
        <v>189</v>
      </c>
      <c r="L7" s="425" t="s">
        <v>190</v>
      </c>
      <c r="N7" s="426">
        <v>2183</v>
      </c>
      <c r="T7" s="425" t="s">
        <v>195</v>
      </c>
      <c r="V7" s="431" t="s">
        <v>194</v>
      </c>
      <c r="X7" s="428"/>
    </row>
    <row r="8" spans="1:25" s="424" customFormat="1" ht="15.75">
      <c r="A8" s="424" t="str">
        <f>_xll.jBinder("TabSuffix","_BS")</f>
        <v>jBinderOption{TabSuffix|_BS}: Option "TabSuffix" has value "_BS"</v>
      </c>
      <c r="B8" s="429"/>
      <c r="C8" s="429"/>
      <c r="D8" s="423" t="s">
        <v>656</v>
      </c>
      <c r="L8" s="425" t="s">
        <v>192</v>
      </c>
      <c r="M8" s="427"/>
      <c r="N8" s="426"/>
      <c r="T8" s="425" t="s">
        <v>657</v>
      </c>
      <c r="V8" s="412" t="s">
        <v>194</v>
      </c>
    </row>
    <row r="9" spans="1:25" s="424" customFormat="1" ht="15.75">
      <c r="B9" s="429"/>
      <c r="C9" s="429"/>
      <c r="D9" s="432" t="s">
        <v>824</v>
      </c>
      <c r="J9" s="433" t="s">
        <v>658</v>
      </c>
      <c r="K9" s="434"/>
      <c r="L9" s="433" t="s">
        <v>658</v>
      </c>
      <c r="M9" s="434"/>
      <c r="N9" s="433" t="s">
        <v>658</v>
      </c>
      <c r="O9" s="434"/>
      <c r="P9" s="433" t="s">
        <v>658</v>
      </c>
      <c r="Q9" s="434"/>
      <c r="R9" s="433" t="s">
        <v>658</v>
      </c>
      <c r="S9" s="433" t="s">
        <v>658</v>
      </c>
      <c r="T9" s="433" t="s">
        <v>658</v>
      </c>
    </row>
    <row r="10" spans="1:25" s="424" customFormat="1" ht="15.75">
      <c r="B10" s="416"/>
      <c r="C10" s="416"/>
      <c r="D10" s="430" t="str">
        <f>IF(ISERROR($B$7),"The date cell in D9  must be in YYYY-MM format","")</f>
        <v/>
      </c>
      <c r="E10" s="435"/>
      <c r="F10" s="435"/>
      <c r="G10" s="435"/>
      <c r="H10" s="435"/>
      <c r="I10" s="435"/>
      <c r="J10" s="436" t="s">
        <v>659</v>
      </c>
      <c r="K10" s="436"/>
      <c r="L10" s="436"/>
      <c r="M10" s="436"/>
      <c r="N10" s="436"/>
      <c r="O10" s="436"/>
      <c r="P10" s="436"/>
      <c r="Q10" s="435"/>
      <c r="R10" s="436" t="s">
        <v>660</v>
      </c>
      <c r="S10" s="436"/>
      <c r="T10" s="436"/>
      <c r="U10" s="435"/>
      <c r="V10" s="435"/>
      <c r="W10" s="435"/>
      <c r="X10" s="435"/>
      <c r="Y10" s="435"/>
    </row>
    <row r="11" spans="1:25" s="437" customFormat="1">
      <c r="B11" s="416"/>
      <c r="C11" s="416"/>
      <c r="D11" s="435"/>
      <c r="E11" s="435"/>
      <c r="F11" s="435"/>
      <c r="G11" s="435"/>
      <c r="H11" s="435"/>
      <c r="I11" s="435"/>
      <c r="J11" s="435"/>
      <c r="K11" s="435"/>
      <c r="L11" s="435"/>
      <c r="M11" s="435"/>
      <c r="N11" s="435"/>
      <c r="O11" s="435"/>
      <c r="P11" s="435"/>
      <c r="Q11" s="435"/>
      <c r="R11" s="435"/>
      <c r="S11" s="435"/>
      <c r="T11" s="438"/>
      <c r="U11" s="435"/>
      <c r="V11" s="435"/>
      <c r="W11" s="435"/>
      <c r="X11" s="435"/>
      <c r="Y11" s="435"/>
    </row>
    <row r="12" spans="1:25" s="437" customFormat="1">
      <c r="B12" s="416"/>
      <c r="C12" s="416"/>
      <c r="D12" s="435"/>
      <c r="E12" s="435"/>
      <c r="F12" s="435"/>
      <c r="G12" s="435"/>
      <c r="H12" s="435"/>
      <c r="I12" s="435"/>
      <c r="J12" s="435"/>
      <c r="K12" s="435"/>
      <c r="L12" s="439" t="s">
        <v>661</v>
      </c>
      <c r="M12" s="440"/>
      <c r="N12" s="439"/>
      <c r="O12" s="435"/>
      <c r="P12" s="441"/>
      <c r="Q12" s="435"/>
      <c r="R12" s="442"/>
      <c r="S12" s="442"/>
      <c r="T12" s="443" t="s">
        <v>13</v>
      </c>
      <c r="U12" s="435"/>
      <c r="V12" s="444" t="s">
        <v>662</v>
      </c>
      <c r="W12" s="435"/>
      <c r="X12" s="435"/>
      <c r="Y12" s="435"/>
    </row>
    <row r="13" spans="1:25" s="437" customFormat="1" ht="13.5" thickBot="1">
      <c r="B13" s="416"/>
      <c r="C13" s="416"/>
      <c r="D13" s="435"/>
      <c r="E13" s="435"/>
      <c r="F13" s="435"/>
      <c r="G13" s="435"/>
      <c r="H13" s="435"/>
      <c r="I13" s="435"/>
      <c r="J13" s="445" t="s">
        <v>653</v>
      </c>
      <c r="K13" s="435"/>
      <c r="L13" s="445" t="s">
        <v>654</v>
      </c>
      <c r="M13" s="435"/>
      <c r="N13" s="446" t="s">
        <v>652</v>
      </c>
      <c r="O13" s="435"/>
      <c r="P13" s="445" t="s">
        <v>13</v>
      </c>
      <c r="Q13" s="435"/>
      <c r="R13" s="447">
        <f>IFERROR(EDATE(S13,-1),"")</f>
        <v>43497</v>
      </c>
      <c r="S13" s="447">
        <f>IFERROR(EDATE(T13,-1),"")</f>
        <v>43525</v>
      </c>
      <c r="T13" s="447">
        <f>$B$7</f>
        <v>43556</v>
      </c>
      <c r="U13" s="435"/>
      <c r="V13" s="446" t="s">
        <v>663</v>
      </c>
      <c r="W13" s="435"/>
      <c r="X13" s="435"/>
      <c r="Y13" s="435"/>
    </row>
    <row r="14" spans="1:25" s="437" customFormat="1" ht="5.25" customHeight="1">
      <c r="B14" s="416"/>
      <c r="C14" s="416"/>
      <c r="D14" s="435"/>
      <c r="E14" s="435"/>
      <c r="F14" s="448"/>
      <c r="G14" s="435"/>
      <c r="H14" s="435"/>
      <c r="I14" s="435"/>
      <c r="J14" s="433"/>
      <c r="K14" s="435"/>
      <c r="L14" s="433"/>
      <c r="M14" s="435"/>
      <c r="N14" s="433"/>
      <c r="O14" s="435"/>
      <c r="P14" s="433"/>
      <c r="Q14" s="435"/>
      <c r="R14" s="433"/>
      <c r="S14" s="433"/>
      <c r="T14" s="433"/>
      <c r="U14" s="435"/>
      <c r="V14" s="433"/>
      <c r="W14" s="435"/>
      <c r="X14" s="435"/>
      <c r="Y14" s="435"/>
    </row>
    <row r="15" spans="1:25" s="421" customFormat="1" ht="4.5" customHeight="1">
      <c r="B15" s="416"/>
      <c r="C15" s="416"/>
      <c r="D15" s="414"/>
      <c r="E15" s="414"/>
      <c r="F15" s="414"/>
      <c r="G15" s="414"/>
      <c r="H15" s="414"/>
      <c r="I15" s="414"/>
      <c r="J15" s="414"/>
      <c r="K15" s="414"/>
      <c r="L15" s="414"/>
      <c r="M15" s="414"/>
      <c r="N15" s="414"/>
      <c r="O15" s="414"/>
      <c r="P15" s="414"/>
      <c r="Q15" s="435"/>
      <c r="R15" s="414"/>
      <c r="S15" s="414"/>
      <c r="T15" s="414"/>
      <c r="U15" s="414"/>
      <c r="V15" s="414"/>
      <c r="W15" s="414"/>
      <c r="X15" s="414"/>
      <c r="Y15" s="414"/>
    </row>
    <row r="16" spans="1:25" s="421" customFormat="1" outlineLevel="1">
      <c r="A16" s="414"/>
      <c r="B16" s="415" t="s">
        <v>664</v>
      </c>
      <c r="C16" s="416"/>
      <c r="D16" s="417">
        <v>10051</v>
      </c>
      <c r="E16" s="417" t="s">
        <v>665</v>
      </c>
      <c r="F16" s="418"/>
      <c r="G16" s="418"/>
      <c r="H16" s="414"/>
      <c r="I16" s="414"/>
      <c r="J16" s="419">
        <v>5000</v>
      </c>
      <c r="K16" s="414"/>
      <c r="L16" s="419">
        <v>0</v>
      </c>
      <c r="M16" s="414"/>
      <c r="N16" s="420">
        <v>0</v>
      </c>
      <c r="O16" s="414"/>
      <c r="P16" s="419">
        <f t="shared" ref="P16:P26" si="0">J16+L16+N16</f>
        <v>5000</v>
      </c>
      <c r="Q16" s="414"/>
      <c r="R16" s="419">
        <v>5000</v>
      </c>
      <c r="S16" s="419">
        <v>5000</v>
      </c>
      <c r="T16" s="419">
        <f t="shared" ref="T16:T26" si="1">P16</f>
        <v>5000</v>
      </c>
      <c r="U16" s="414"/>
      <c r="V16" s="420">
        <f t="shared" ref="V16:V26" si="2">T16-S16</f>
        <v>0</v>
      </c>
      <c r="W16" s="414"/>
      <c r="X16" s="414"/>
    </row>
    <row r="17" spans="1:25" s="421" customFormat="1" outlineLevel="1">
      <c r="A17" s="414"/>
      <c r="B17" s="415" t="s">
        <v>397</v>
      </c>
      <c r="C17" s="416"/>
      <c r="D17" s="417">
        <v>10063</v>
      </c>
      <c r="E17" s="417" t="s">
        <v>666</v>
      </c>
      <c r="F17" s="418"/>
      <c r="G17" s="418"/>
      <c r="H17" s="414"/>
      <c r="I17" s="414"/>
      <c r="J17" s="419">
        <v>35755.919999999998</v>
      </c>
      <c r="K17" s="414"/>
      <c r="L17" s="419">
        <v>0</v>
      </c>
      <c r="M17" s="414"/>
      <c r="N17" s="420">
        <v>0</v>
      </c>
      <c r="O17" s="414"/>
      <c r="P17" s="419">
        <f t="shared" si="0"/>
        <v>35755.919999999998</v>
      </c>
      <c r="Q17" s="414"/>
      <c r="R17" s="419">
        <v>28386.51</v>
      </c>
      <c r="S17" s="419">
        <v>13752.52</v>
      </c>
      <c r="T17" s="419">
        <f t="shared" si="1"/>
        <v>35755.919999999998</v>
      </c>
      <c r="U17" s="414"/>
      <c r="V17" s="420">
        <f t="shared" si="2"/>
        <v>22003.399999999998</v>
      </c>
      <c r="W17" s="414"/>
      <c r="X17" s="414"/>
    </row>
    <row r="18" spans="1:25" s="421" customFormat="1" outlineLevel="1">
      <c r="A18" s="414"/>
      <c r="B18" s="415" t="s">
        <v>397</v>
      </c>
      <c r="C18" s="416"/>
      <c r="D18" s="417">
        <v>10070</v>
      </c>
      <c r="E18" s="417" t="s">
        <v>667</v>
      </c>
      <c r="F18" s="418"/>
      <c r="G18" s="418"/>
      <c r="H18" s="414"/>
      <c r="I18" s="414"/>
      <c r="J18" s="419">
        <v>-47181.88</v>
      </c>
      <c r="K18" s="414"/>
      <c r="L18" s="419">
        <v>0</v>
      </c>
      <c r="M18" s="414"/>
      <c r="N18" s="420">
        <v>0</v>
      </c>
      <c r="O18" s="414"/>
      <c r="P18" s="419">
        <f t="shared" si="0"/>
        <v>-47181.88</v>
      </c>
      <c r="Q18" s="414"/>
      <c r="R18" s="419">
        <v>-47181.88</v>
      </c>
      <c r="S18" s="419">
        <v>-47181.88</v>
      </c>
      <c r="T18" s="419">
        <f t="shared" si="1"/>
        <v>-47181.88</v>
      </c>
      <c r="U18" s="414"/>
      <c r="V18" s="420">
        <f t="shared" si="2"/>
        <v>0</v>
      </c>
      <c r="W18" s="414"/>
      <c r="X18" s="414"/>
    </row>
    <row r="19" spans="1:25" s="421" customFormat="1" outlineLevel="1">
      <c r="A19" s="414"/>
      <c r="B19" s="415" t="s">
        <v>397</v>
      </c>
      <c r="C19" s="416"/>
      <c r="D19" s="417">
        <v>10071</v>
      </c>
      <c r="E19" s="417" t="s">
        <v>668</v>
      </c>
      <c r="F19" s="418"/>
      <c r="G19" s="418"/>
      <c r="H19" s="414"/>
      <c r="I19" s="414"/>
      <c r="J19" s="419">
        <v>47181.88</v>
      </c>
      <c r="K19" s="414"/>
      <c r="L19" s="419">
        <v>0</v>
      </c>
      <c r="M19" s="414"/>
      <c r="N19" s="420">
        <v>0</v>
      </c>
      <c r="O19" s="414"/>
      <c r="P19" s="419">
        <f t="shared" si="0"/>
        <v>47181.88</v>
      </c>
      <c r="Q19" s="414"/>
      <c r="R19" s="419">
        <v>47181.88</v>
      </c>
      <c r="S19" s="419">
        <v>47181.88</v>
      </c>
      <c r="T19" s="419">
        <f t="shared" si="1"/>
        <v>47181.88</v>
      </c>
      <c r="U19" s="414"/>
      <c r="V19" s="420">
        <f t="shared" si="2"/>
        <v>0</v>
      </c>
      <c r="W19" s="414"/>
      <c r="X19" s="414"/>
    </row>
    <row r="20" spans="1:25" s="421" customFormat="1" outlineLevel="1">
      <c r="A20" s="414"/>
      <c r="B20" s="415" t="s">
        <v>397</v>
      </c>
      <c r="C20" s="416"/>
      <c r="D20" s="417">
        <v>10091</v>
      </c>
      <c r="E20" s="417" t="s">
        <v>669</v>
      </c>
      <c r="F20" s="418"/>
      <c r="G20" s="418"/>
      <c r="H20" s="414"/>
      <c r="I20" s="414"/>
      <c r="J20" s="419">
        <v>0</v>
      </c>
      <c r="K20" s="414"/>
      <c r="L20" s="419">
        <v>0</v>
      </c>
      <c r="M20" s="414"/>
      <c r="N20" s="420">
        <v>0</v>
      </c>
      <c r="O20" s="414"/>
      <c r="P20" s="419">
        <f t="shared" si="0"/>
        <v>0</v>
      </c>
      <c r="Q20" s="414"/>
      <c r="R20" s="419">
        <v>0</v>
      </c>
      <c r="S20" s="419">
        <v>0</v>
      </c>
      <c r="T20" s="419">
        <f t="shared" si="1"/>
        <v>0</v>
      </c>
      <c r="U20" s="414"/>
      <c r="V20" s="420">
        <f t="shared" si="2"/>
        <v>0</v>
      </c>
      <c r="W20" s="414"/>
      <c r="X20" s="414"/>
    </row>
    <row r="21" spans="1:25" s="421" customFormat="1" outlineLevel="1">
      <c r="A21" s="414"/>
      <c r="B21" s="415" t="s">
        <v>397</v>
      </c>
      <c r="C21" s="416"/>
      <c r="D21" s="417">
        <v>10092</v>
      </c>
      <c r="E21" s="417" t="s">
        <v>670</v>
      </c>
      <c r="F21" s="418"/>
      <c r="G21" s="418"/>
      <c r="H21" s="414"/>
      <c r="I21" s="414"/>
      <c r="J21" s="419">
        <v>0</v>
      </c>
      <c r="K21" s="414"/>
      <c r="L21" s="419">
        <v>0</v>
      </c>
      <c r="M21" s="414"/>
      <c r="N21" s="420">
        <v>0</v>
      </c>
      <c r="O21" s="414"/>
      <c r="P21" s="419">
        <f t="shared" si="0"/>
        <v>0</v>
      </c>
      <c r="Q21" s="414"/>
      <c r="R21" s="419">
        <v>0</v>
      </c>
      <c r="S21" s="419">
        <v>-3015.92</v>
      </c>
      <c r="T21" s="419">
        <f t="shared" si="1"/>
        <v>0</v>
      </c>
      <c r="U21" s="414"/>
      <c r="V21" s="420">
        <f t="shared" si="2"/>
        <v>3015.92</v>
      </c>
      <c r="W21" s="414"/>
      <c r="X21" s="414"/>
    </row>
    <row r="22" spans="1:25" s="421" customFormat="1" outlineLevel="1">
      <c r="A22" s="414"/>
      <c r="B22" s="415" t="s">
        <v>397</v>
      </c>
      <c r="C22" s="416"/>
      <c r="D22" s="417">
        <v>10093</v>
      </c>
      <c r="E22" s="417" t="s">
        <v>671</v>
      </c>
      <c r="F22" s="418"/>
      <c r="G22" s="418"/>
      <c r="H22" s="414"/>
      <c r="I22" s="414"/>
      <c r="J22" s="419">
        <v>0</v>
      </c>
      <c r="K22" s="414"/>
      <c r="L22" s="419">
        <v>0</v>
      </c>
      <c r="M22" s="414"/>
      <c r="N22" s="420">
        <v>0</v>
      </c>
      <c r="O22" s="414"/>
      <c r="P22" s="419">
        <f t="shared" si="0"/>
        <v>0</v>
      </c>
      <c r="Q22" s="414"/>
      <c r="R22" s="419">
        <v>0</v>
      </c>
      <c r="S22" s="419">
        <v>0</v>
      </c>
      <c r="T22" s="419">
        <f t="shared" si="1"/>
        <v>0</v>
      </c>
      <c r="U22" s="414"/>
      <c r="V22" s="420">
        <f t="shared" si="2"/>
        <v>0</v>
      </c>
      <c r="W22" s="414"/>
      <c r="X22" s="414"/>
    </row>
    <row r="23" spans="1:25" s="421" customFormat="1" outlineLevel="1">
      <c r="A23" s="414"/>
      <c r="B23" s="415" t="s">
        <v>397</v>
      </c>
      <c r="C23" s="416"/>
      <c r="D23" s="417">
        <v>10095</v>
      </c>
      <c r="E23" s="417" t="s">
        <v>672</v>
      </c>
      <c r="F23" s="418"/>
      <c r="G23" s="418"/>
      <c r="H23" s="414"/>
      <c r="I23" s="414"/>
      <c r="J23" s="419">
        <v>177.48</v>
      </c>
      <c r="K23" s="414"/>
      <c r="L23" s="419">
        <v>0</v>
      </c>
      <c r="M23" s="414"/>
      <c r="N23" s="420">
        <v>0</v>
      </c>
      <c r="O23" s="414"/>
      <c r="P23" s="419">
        <f t="shared" si="0"/>
        <v>177.48</v>
      </c>
      <c r="Q23" s="414"/>
      <c r="R23" s="419">
        <v>14913.34</v>
      </c>
      <c r="S23" s="419">
        <v>150</v>
      </c>
      <c r="T23" s="419">
        <f t="shared" si="1"/>
        <v>177.48</v>
      </c>
      <c r="U23" s="414"/>
      <c r="V23" s="420">
        <f t="shared" si="2"/>
        <v>27.47999999999999</v>
      </c>
      <c r="W23" s="414"/>
      <c r="X23" s="414"/>
    </row>
    <row r="24" spans="1:25" s="421" customFormat="1" outlineLevel="1">
      <c r="A24" s="414"/>
      <c r="B24" s="415" t="s">
        <v>397</v>
      </c>
      <c r="C24" s="416"/>
      <c r="D24" s="417">
        <v>10097</v>
      </c>
      <c r="E24" s="417" t="s">
        <v>673</v>
      </c>
      <c r="F24" s="418"/>
      <c r="G24" s="418"/>
      <c r="H24" s="414"/>
      <c r="I24" s="414"/>
      <c r="J24" s="419">
        <v>0</v>
      </c>
      <c r="K24" s="414"/>
      <c r="L24" s="419">
        <v>0</v>
      </c>
      <c r="M24" s="414"/>
      <c r="N24" s="420">
        <v>0</v>
      </c>
      <c r="O24" s="414"/>
      <c r="P24" s="419">
        <f t="shared" si="0"/>
        <v>0</v>
      </c>
      <c r="Q24" s="414"/>
      <c r="R24" s="419">
        <v>0</v>
      </c>
      <c r="S24" s="419">
        <v>0</v>
      </c>
      <c r="T24" s="419">
        <f t="shared" si="1"/>
        <v>0</v>
      </c>
      <c r="U24" s="414"/>
      <c r="V24" s="420">
        <f t="shared" si="2"/>
        <v>0</v>
      </c>
      <c r="W24" s="414"/>
      <c r="X24" s="414"/>
    </row>
    <row r="25" spans="1:25" s="421" customFormat="1" outlineLevel="1">
      <c r="A25" s="414"/>
      <c r="B25" s="415" t="s">
        <v>397</v>
      </c>
      <c r="C25" s="416"/>
      <c r="D25" s="417">
        <v>10098</v>
      </c>
      <c r="E25" s="417" t="s">
        <v>674</v>
      </c>
      <c r="F25" s="418"/>
      <c r="G25" s="418"/>
      <c r="H25" s="414"/>
      <c r="I25" s="414"/>
      <c r="J25" s="419">
        <v>0</v>
      </c>
      <c r="K25" s="414"/>
      <c r="L25" s="419">
        <v>0</v>
      </c>
      <c r="M25" s="414"/>
      <c r="N25" s="420">
        <v>0</v>
      </c>
      <c r="O25" s="414"/>
      <c r="P25" s="419">
        <f t="shared" si="0"/>
        <v>0</v>
      </c>
      <c r="Q25" s="414"/>
      <c r="R25" s="419">
        <v>0</v>
      </c>
      <c r="S25" s="419">
        <v>-24.36</v>
      </c>
      <c r="T25" s="419">
        <f t="shared" si="1"/>
        <v>0</v>
      </c>
      <c r="U25" s="414"/>
      <c r="V25" s="420">
        <f t="shared" si="2"/>
        <v>24.36</v>
      </c>
      <c r="W25" s="414"/>
      <c r="X25" s="414"/>
    </row>
    <row r="26" spans="1:25" s="421" customFormat="1" outlineLevel="1">
      <c r="A26" s="414"/>
      <c r="B26" s="415" t="s">
        <v>397</v>
      </c>
      <c r="C26" s="416"/>
      <c r="D26" s="417">
        <v>10099</v>
      </c>
      <c r="E26" s="417" t="s">
        <v>675</v>
      </c>
      <c r="F26" s="418"/>
      <c r="G26" s="418"/>
      <c r="H26" s="414"/>
      <c r="I26" s="414"/>
      <c r="J26" s="419">
        <v>0</v>
      </c>
      <c r="K26" s="414"/>
      <c r="L26" s="419">
        <v>0</v>
      </c>
      <c r="M26" s="414"/>
      <c r="N26" s="420">
        <v>0</v>
      </c>
      <c r="O26" s="414"/>
      <c r="P26" s="419">
        <f t="shared" si="0"/>
        <v>0</v>
      </c>
      <c r="Q26" s="414"/>
      <c r="R26" s="419">
        <v>0</v>
      </c>
      <c r="S26" s="419">
        <v>0</v>
      </c>
      <c r="T26" s="419">
        <f t="shared" si="1"/>
        <v>0</v>
      </c>
      <c r="U26" s="414"/>
      <c r="V26" s="420">
        <f t="shared" si="2"/>
        <v>0</v>
      </c>
      <c r="W26" s="414"/>
      <c r="X26" s="414"/>
    </row>
    <row r="27" spans="1:25" s="421" customFormat="1" ht="4.5" customHeight="1" outlineLevel="1">
      <c r="A27" s="411"/>
      <c r="B27" s="449" t="s">
        <v>194</v>
      </c>
      <c r="C27" s="449"/>
      <c r="D27" s="414"/>
      <c r="E27" s="414"/>
      <c r="F27" s="414"/>
      <c r="G27" s="414"/>
      <c r="H27" s="414"/>
      <c r="I27" s="414"/>
      <c r="J27" s="450"/>
      <c r="K27" s="414"/>
      <c r="L27" s="450"/>
      <c r="M27" s="414"/>
      <c r="N27" s="450"/>
      <c r="O27" s="414"/>
      <c r="P27" s="450"/>
      <c r="Q27" s="414"/>
      <c r="R27" s="450"/>
      <c r="S27" s="450"/>
      <c r="T27" s="450"/>
      <c r="U27" s="414"/>
      <c r="V27" s="450"/>
      <c r="W27" s="414"/>
      <c r="X27" s="414"/>
      <c r="Y27" s="414"/>
    </row>
    <row r="28" spans="1:25" s="421" customFormat="1">
      <c r="A28" s="416" t="s">
        <v>664</v>
      </c>
      <c r="B28" s="416" t="s">
        <v>194</v>
      </c>
      <c r="C28" s="416"/>
      <c r="D28" s="414"/>
      <c r="E28" s="414"/>
      <c r="F28" s="414" t="s">
        <v>676</v>
      </c>
      <c r="G28" s="414"/>
      <c r="H28" s="414"/>
      <c r="I28" s="414"/>
      <c r="J28" s="451">
        <f>SUM(J16:J27)</f>
        <v>40933.4</v>
      </c>
      <c r="K28" s="414"/>
      <c r="L28" s="451">
        <f>SUM(L16:L27)</f>
        <v>0</v>
      </c>
      <c r="M28" s="414"/>
      <c r="N28" s="452">
        <f>SUM(N16:N27)</f>
        <v>0</v>
      </c>
      <c r="O28" s="414"/>
      <c r="P28" s="451">
        <f t="shared" ref="P28" si="3">J28+L28+N28</f>
        <v>40933.4</v>
      </c>
      <c r="Q28" s="414"/>
      <c r="R28" s="451">
        <f>SUM(R16:R27)</f>
        <v>48299.849999999991</v>
      </c>
      <c r="S28" s="451">
        <f>SUM(S16:S27)</f>
        <v>15862.24</v>
      </c>
      <c r="T28" s="451">
        <f>SUM(T16:T27)</f>
        <v>40933.4</v>
      </c>
      <c r="U28" s="414"/>
      <c r="V28" s="452">
        <f>SUM(V16:V27)</f>
        <v>25071.16</v>
      </c>
      <c r="W28" s="414"/>
      <c r="X28" s="414"/>
      <c r="Y28" s="414"/>
    </row>
    <row r="29" spans="1:25" s="421" customFormat="1" outlineLevel="1">
      <c r="A29" s="414"/>
      <c r="B29" s="415" t="s">
        <v>677</v>
      </c>
      <c r="C29" s="416"/>
      <c r="D29" s="417">
        <v>11501</v>
      </c>
      <c r="E29" s="417" t="s">
        <v>678</v>
      </c>
      <c r="F29" s="418"/>
      <c r="G29" s="418"/>
      <c r="H29" s="414"/>
      <c r="I29" s="414"/>
      <c r="J29" s="419">
        <v>3308876.4</v>
      </c>
      <c r="K29" s="414"/>
      <c r="L29" s="419">
        <v>0</v>
      </c>
      <c r="M29" s="414"/>
      <c r="N29" s="420">
        <v>0</v>
      </c>
      <c r="O29" s="414"/>
      <c r="P29" s="419">
        <f t="shared" ref="P29:P37" si="4">J29+L29+N29</f>
        <v>3308876.4</v>
      </c>
      <c r="Q29" s="414"/>
      <c r="R29" s="419">
        <v>3215918.15</v>
      </c>
      <c r="S29" s="419">
        <v>3482351.39</v>
      </c>
      <c r="T29" s="419">
        <f t="shared" ref="T29:T37" si="5">P29</f>
        <v>3308876.4</v>
      </c>
      <c r="U29" s="414"/>
      <c r="V29" s="420">
        <f t="shared" ref="V29:V37" si="6">T29-S29</f>
        <v>-173474.99000000022</v>
      </c>
      <c r="W29" s="414"/>
      <c r="X29" s="414"/>
    </row>
    <row r="30" spans="1:25" s="421" customFormat="1" outlineLevel="1">
      <c r="A30" s="414"/>
      <c r="B30" s="415" t="s">
        <v>397</v>
      </c>
      <c r="C30" s="416"/>
      <c r="D30" s="417">
        <v>11502</v>
      </c>
      <c r="E30" s="417" t="s">
        <v>679</v>
      </c>
      <c r="F30" s="418"/>
      <c r="G30" s="418"/>
      <c r="H30" s="414"/>
      <c r="I30" s="414"/>
      <c r="J30" s="419">
        <v>-58655.18</v>
      </c>
      <c r="K30" s="414"/>
      <c r="L30" s="419">
        <v>0</v>
      </c>
      <c r="M30" s="414"/>
      <c r="N30" s="420">
        <v>0</v>
      </c>
      <c r="O30" s="414"/>
      <c r="P30" s="419">
        <f t="shared" si="4"/>
        <v>-58655.18</v>
      </c>
      <c r="Q30" s="414"/>
      <c r="R30" s="419">
        <v>-1167.68</v>
      </c>
      <c r="S30" s="419">
        <v>-897.57</v>
      </c>
      <c r="T30" s="419">
        <f t="shared" si="5"/>
        <v>-58655.18</v>
      </c>
      <c r="U30" s="414"/>
      <c r="V30" s="420">
        <f t="shared" si="6"/>
        <v>-57757.61</v>
      </c>
      <c r="W30" s="414"/>
      <c r="X30" s="414"/>
    </row>
    <row r="31" spans="1:25" s="421" customFormat="1" outlineLevel="1">
      <c r="A31" s="414"/>
      <c r="B31" s="415" t="s">
        <v>397</v>
      </c>
      <c r="C31" s="416"/>
      <c r="D31" s="417">
        <v>11510</v>
      </c>
      <c r="E31" s="417" t="s">
        <v>680</v>
      </c>
      <c r="F31" s="418"/>
      <c r="G31" s="418"/>
      <c r="H31" s="414"/>
      <c r="I31" s="414"/>
      <c r="J31" s="419">
        <v>13882.22</v>
      </c>
      <c r="K31" s="414"/>
      <c r="L31" s="419">
        <v>0</v>
      </c>
      <c r="M31" s="414"/>
      <c r="N31" s="420">
        <v>0</v>
      </c>
      <c r="O31" s="414"/>
      <c r="P31" s="419">
        <f t="shared" si="4"/>
        <v>13882.22</v>
      </c>
      <c r="Q31" s="414"/>
      <c r="R31" s="419">
        <v>864.89</v>
      </c>
      <c r="S31" s="419">
        <v>12227.36</v>
      </c>
      <c r="T31" s="419">
        <f t="shared" si="5"/>
        <v>13882.22</v>
      </c>
      <c r="U31" s="414"/>
      <c r="V31" s="420">
        <f t="shared" si="6"/>
        <v>1654.8599999999988</v>
      </c>
      <c r="W31" s="414"/>
      <c r="X31" s="414"/>
    </row>
    <row r="32" spans="1:25" s="421" customFormat="1" outlineLevel="1">
      <c r="A32" s="414"/>
      <c r="B32" s="415" t="s">
        <v>397</v>
      </c>
      <c r="C32" s="416"/>
      <c r="D32" s="417">
        <v>11599</v>
      </c>
      <c r="E32" s="417" t="s">
        <v>681</v>
      </c>
      <c r="F32" s="418"/>
      <c r="G32" s="418"/>
      <c r="H32" s="414"/>
      <c r="I32" s="414"/>
      <c r="J32" s="419">
        <v>4678.3</v>
      </c>
      <c r="K32" s="414"/>
      <c r="L32" s="419">
        <v>0</v>
      </c>
      <c r="M32" s="414"/>
      <c r="N32" s="420">
        <v>0</v>
      </c>
      <c r="O32" s="414"/>
      <c r="P32" s="419">
        <f t="shared" si="4"/>
        <v>4678.3</v>
      </c>
      <c r="Q32" s="414"/>
      <c r="R32" s="419">
        <v>230.93</v>
      </c>
      <c r="S32" s="419">
        <v>7202.42</v>
      </c>
      <c r="T32" s="419">
        <f t="shared" si="5"/>
        <v>4678.3</v>
      </c>
      <c r="U32" s="414"/>
      <c r="V32" s="420">
        <f t="shared" si="6"/>
        <v>-2524.12</v>
      </c>
      <c r="W32" s="414"/>
      <c r="X32" s="414"/>
    </row>
    <row r="33" spans="1:25" s="421" customFormat="1" outlineLevel="1">
      <c r="A33" s="414"/>
      <c r="B33" s="415" t="s">
        <v>397</v>
      </c>
      <c r="C33" s="416"/>
      <c r="D33" s="417">
        <v>11701</v>
      </c>
      <c r="E33" s="417" t="s">
        <v>682</v>
      </c>
      <c r="F33" s="418"/>
      <c r="G33" s="418"/>
      <c r="H33" s="414"/>
      <c r="I33" s="414"/>
      <c r="J33" s="419">
        <v>668.2</v>
      </c>
      <c r="K33" s="414"/>
      <c r="L33" s="419">
        <v>0</v>
      </c>
      <c r="M33" s="414"/>
      <c r="N33" s="420">
        <v>0</v>
      </c>
      <c r="O33" s="414"/>
      <c r="P33" s="419">
        <f t="shared" si="4"/>
        <v>668.2</v>
      </c>
      <c r="Q33" s="414"/>
      <c r="R33" s="419">
        <v>822.4</v>
      </c>
      <c r="S33" s="419">
        <v>719.6</v>
      </c>
      <c r="T33" s="419">
        <f t="shared" si="5"/>
        <v>668.2</v>
      </c>
      <c r="U33" s="414"/>
      <c r="V33" s="420">
        <f t="shared" si="6"/>
        <v>-51.399999999999977</v>
      </c>
      <c r="W33" s="414"/>
      <c r="X33" s="414"/>
    </row>
    <row r="34" spans="1:25" s="421" customFormat="1" outlineLevel="1">
      <c r="A34" s="414"/>
      <c r="B34" s="415" t="s">
        <v>397</v>
      </c>
      <c r="C34" s="416"/>
      <c r="D34" s="417">
        <v>11800</v>
      </c>
      <c r="E34" s="417" t="s">
        <v>683</v>
      </c>
      <c r="F34" s="418"/>
      <c r="G34" s="418"/>
      <c r="H34" s="414"/>
      <c r="I34" s="414"/>
      <c r="J34" s="419">
        <v>555292.21</v>
      </c>
      <c r="K34" s="414"/>
      <c r="L34" s="419">
        <v>0</v>
      </c>
      <c r="M34" s="414"/>
      <c r="N34" s="420">
        <v>0</v>
      </c>
      <c r="O34" s="414"/>
      <c r="P34" s="419">
        <f t="shared" si="4"/>
        <v>555292.21</v>
      </c>
      <c r="Q34" s="414"/>
      <c r="R34" s="419">
        <v>614935.69999999995</v>
      </c>
      <c r="S34" s="419">
        <v>577003.06999999995</v>
      </c>
      <c r="T34" s="419">
        <f t="shared" si="5"/>
        <v>555292.21</v>
      </c>
      <c r="U34" s="414"/>
      <c r="V34" s="420">
        <f t="shared" si="6"/>
        <v>-21710.859999999986</v>
      </c>
      <c r="W34" s="414"/>
      <c r="X34" s="414"/>
    </row>
    <row r="35" spans="1:25" s="421" customFormat="1" outlineLevel="1">
      <c r="A35" s="414"/>
      <c r="B35" s="415" t="s">
        <v>397</v>
      </c>
      <c r="C35" s="416"/>
      <c r="D35" s="417">
        <v>11901</v>
      </c>
      <c r="E35" s="417" t="s">
        <v>684</v>
      </c>
      <c r="F35" s="418"/>
      <c r="G35" s="418"/>
      <c r="H35" s="414"/>
      <c r="I35" s="414"/>
      <c r="J35" s="419">
        <v>-869791.65</v>
      </c>
      <c r="K35" s="414"/>
      <c r="L35" s="419">
        <v>0</v>
      </c>
      <c r="M35" s="414"/>
      <c r="N35" s="420">
        <v>0</v>
      </c>
      <c r="O35" s="414"/>
      <c r="P35" s="419">
        <f t="shared" si="4"/>
        <v>-869791.65</v>
      </c>
      <c r="Q35" s="414"/>
      <c r="R35" s="419">
        <v>-868634.9</v>
      </c>
      <c r="S35" s="419">
        <v>-868147.49</v>
      </c>
      <c r="T35" s="419">
        <f t="shared" si="5"/>
        <v>-869791.65</v>
      </c>
      <c r="U35" s="414"/>
      <c r="V35" s="420">
        <f t="shared" si="6"/>
        <v>-1644.1600000000326</v>
      </c>
      <c r="W35" s="414"/>
      <c r="X35" s="414"/>
    </row>
    <row r="36" spans="1:25" s="421" customFormat="1" outlineLevel="1">
      <c r="A36" s="414"/>
      <c r="B36" s="415" t="s">
        <v>397</v>
      </c>
      <c r="C36" s="416"/>
      <c r="D36" s="417">
        <v>11902</v>
      </c>
      <c r="E36" s="417" t="s">
        <v>685</v>
      </c>
      <c r="F36" s="418"/>
      <c r="G36" s="418"/>
      <c r="H36" s="414"/>
      <c r="I36" s="414"/>
      <c r="J36" s="419">
        <v>1442553.95</v>
      </c>
      <c r="K36" s="414"/>
      <c r="L36" s="419">
        <v>0</v>
      </c>
      <c r="M36" s="414"/>
      <c r="N36" s="420">
        <v>0</v>
      </c>
      <c r="O36" s="414"/>
      <c r="P36" s="419">
        <f t="shared" si="4"/>
        <v>1442553.95</v>
      </c>
      <c r="Q36" s="414"/>
      <c r="R36" s="419">
        <v>1427536.3</v>
      </c>
      <c r="S36" s="419">
        <v>1434185.6</v>
      </c>
      <c r="T36" s="419">
        <f t="shared" si="5"/>
        <v>1442553.95</v>
      </c>
      <c r="U36" s="414"/>
      <c r="V36" s="420">
        <f t="shared" si="6"/>
        <v>8368.3499999998603</v>
      </c>
      <c r="W36" s="414"/>
      <c r="X36" s="414"/>
    </row>
    <row r="37" spans="1:25" s="421" customFormat="1" outlineLevel="1">
      <c r="A37" s="414"/>
      <c r="B37" s="415" t="s">
        <v>397</v>
      </c>
      <c r="C37" s="416"/>
      <c r="D37" s="417">
        <v>11903</v>
      </c>
      <c r="E37" s="417" t="s">
        <v>686</v>
      </c>
      <c r="F37" s="418"/>
      <c r="G37" s="418"/>
      <c r="H37" s="414"/>
      <c r="I37" s="414"/>
      <c r="J37" s="419">
        <v>-589539.17000000004</v>
      </c>
      <c r="K37" s="414"/>
      <c r="L37" s="419">
        <v>0</v>
      </c>
      <c r="M37" s="414"/>
      <c r="N37" s="420">
        <v>0</v>
      </c>
      <c r="O37" s="414"/>
      <c r="P37" s="419">
        <f t="shared" si="4"/>
        <v>-589539.17000000004</v>
      </c>
      <c r="Q37" s="414"/>
      <c r="R37" s="419">
        <v>-578411.82999999996</v>
      </c>
      <c r="S37" s="419">
        <v>-583412.01</v>
      </c>
      <c r="T37" s="419">
        <f t="shared" si="5"/>
        <v>-589539.17000000004</v>
      </c>
      <c r="U37" s="414"/>
      <c r="V37" s="420">
        <f t="shared" si="6"/>
        <v>-6127.1600000000326</v>
      </c>
      <c r="W37" s="414"/>
      <c r="X37" s="414"/>
    </row>
    <row r="38" spans="1:25" s="421" customFormat="1" ht="5.0999999999999996" customHeight="1" outlineLevel="1">
      <c r="A38" s="416" t="s">
        <v>194</v>
      </c>
      <c r="B38" s="449" t="s">
        <v>194</v>
      </c>
      <c r="C38" s="449"/>
      <c r="D38" s="418"/>
      <c r="E38" s="418"/>
      <c r="F38" s="418"/>
      <c r="G38" s="418"/>
      <c r="H38" s="414"/>
      <c r="I38" s="414"/>
      <c r="J38" s="453"/>
      <c r="K38" s="414"/>
      <c r="L38" s="453"/>
      <c r="M38" s="414"/>
      <c r="N38" s="454"/>
      <c r="O38" s="414"/>
      <c r="P38" s="453"/>
      <c r="Q38" s="414"/>
      <c r="R38" s="453"/>
      <c r="S38" s="453"/>
      <c r="T38" s="453"/>
      <c r="U38" s="414"/>
      <c r="V38" s="454"/>
      <c r="W38" s="414"/>
      <c r="X38" s="414"/>
      <c r="Y38" s="414"/>
    </row>
    <row r="39" spans="1:25" s="421" customFormat="1">
      <c r="A39" s="416" t="s">
        <v>677</v>
      </c>
      <c r="B39" s="416" t="s">
        <v>194</v>
      </c>
      <c r="C39" s="416"/>
      <c r="D39" s="414"/>
      <c r="E39" s="414"/>
      <c r="F39" s="417" t="s">
        <v>687</v>
      </c>
      <c r="G39" s="414"/>
      <c r="H39" s="414"/>
      <c r="I39" s="414"/>
      <c r="J39" s="451">
        <f>SUM(J29:J38)</f>
        <v>3807965.2800000003</v>
      </c>
      <c r="K39" s="414"/>
      <c r="L39" s="451">
        <f>SUM(L29:L38)</f>
        <v>0</v>
      </c>
      <c r="M39" s="414"/>
      <c r="N39" s="452">
        <f>SUM(N29:N38)</f>
        <v>0</v>
      </c>
      <c r="O39" s="414"/>
      <c r="P39" s="451">
        <f t="shared" ref="P39" si="7">J39+L39+N39</f>
        <v>3807965.2800000003</v>
      </c>
      <c r="Q39" s="414"/>
      <c r="R39" s="451">
        <f>SUM(R29:R38)</f>
        <v>3812093.96</v>
      </c>
      <c r="S39" s="451">
        <f>SUM(S29:S38)</f>
        <v>4061232.370000001</v>
      </c>
      <c r="T39" s="451">
        <f>SUM(T29:T38)</f>
        <v>3807965.2800000003</v>
      </c>
      <c r="U39" s="414"/>
      <c r="V39" s="452">
        <f>SUM(V29:V38)</f>
        <v>-253267.0900000004</v>
      </c>
      <c r="W39" s="414"/>
      <c r="X39" s="414"/>
      <c r="Y39" s="414"/>
    </row>
    <row r="40" spans="1:25" s="421" customFormat="1" outlineLevel="1">
      <c r="A40" s="414"/>
      <c r="B40" s="415" t="s">
        <v>688</v>
      </c>
      <c r="C40" s="416"/>
      <c r="D40" s="417">
        <v>12001</v>
      </c>
      <c r="E40" s="417" t="s">
        <v>689</v>
      </c>
      <c r="F40" s="418"/>
      <c r="G40" s="418"/>
      <c r="H40" s="414"/>
      <c r="I40" s="414"/>
      <c r="J40" s="419">
        <v>165389.06</v>
      </c>
      <c r="K40" s="414"/>
      <c r="L40" s="419">
        <v>0</v>
      </c>
      <c r="M40" s="414"/>
      <c r="N40" s="420">
        <v>0</v>
      </c>
      <c r="O40" s="414"/>
      <c r="P40" s="419">
        <f>J40+L40+N40</f>
        <v>165389.06</v>
      </c>
      <c r="Q40" s="414"/>
      <c r="R40" s="419">
        <v>165389.06</v>
      </c>
      <c r="S40" s="419">
        <v>165389.06</v>
      </c>
      <c r="T40" s="419">
        <f t="shared" ref="T40:T44" si="8">P40</f>
        <v>165389.06</v>
      </c>
      <c r="U40" s="414"/>
      <c r="V40" s="420">
        <f t="shared" ref="V40:V44" si="9">T40-S40</f>
        <v>0</v>
      </c>
      <c r="W40" s="414"/>
      <c r="X40" s="414"/>
    </row>
    <row r="41" spans="1:25" s="421" customFormat="1" outlineLevel="1">
      <c r="A41" s="414"/>
      <c r="B41" s="415" t="s">
        <v>397</v>
      </c>
      <c r="C41" s="416"/>
      <c r="D41" s="417">
        <v>12002</v>
      </c>
      <c r="E41" s="417" t="s">
        <v>690</v>
      </c>
      <c r="F41" s="418"/>
      <c r="G41" s="418"/>
      <c r="H41" s="414"/>
      <c r="I41" s="414"/>
      <c r="J41" s="419">
        <v>12084.62</v>
      </c>
      <c r="K41" s="414"/>
      <c r="L41" s="419">
        <v>0</v>
      </c>
      <c r="M41" s="414"/>
      <c r="N41" s="420">
        <v>0</v>
      </c>
      <c r="O41" s="414"/>
      <c r="P41" s="419">
        <f>J41+L41+N41</f>
        <v>12084.62</v>
      </c>
      <c r="Q41" s="414"/>
      <c r="R41" s="419">
        <v>14459.65</v>
      </c>
      <c r="S41" s="419">
        <v>9098.9500000000007</v>
      </c>
      <c r="T41" s="419">
        <f t="shared" si="8"/>
        <v>12084.62</v>
      </c>
      <c r="U41" s="414"/>
      <c r="V41" s="420">
        <f t="shared" si="9"/>
        <v>2985.67</v>
      </c>
      <c r="W41" s="414"/>
      <c r="X41" s="414"/>
    </row>
    <row r="42" spans="1:25" s="421" customFormat="1" outlineLevel="1">
      <c r="A42" s="414"/>
      <c r="B42" s="415" t="s">
        <v>397</v>
      </c>
      <c r="C42" s="416"/>
      <c r="D42" s="417">
        <v>12003</v>
      </c>
      <c r="E42" s="417" t="s">
        <v>691</v>
      </c>
      <c r="F42" s="418"/>
      <c r="G42" s="418"/>
      <c r="H42" s="414"/>
      <c r="I42" s="414"/>
      <c r="J42" s="419">
        <v>23070.79</v>
      </c>
      <c r="K42" s="414"/>
      <c r="L42" s="419">
        <v>0</v>
      </c>
      <c r="M42" s="414"/>
      <c r="N42" s="420">
        <v>0</v>
      </c>
      <c r="O42" s="414"/>
      <c r="P42" s="419">
        <f>J42+L42+N42</f>
        <v>23070.79</v>
      </c>
      <c r="Q42" s="414"/>
      <c r="R42" s="419">
        <v>23070.79</v>
      </c>
      <c r="S42" s="419">
        <v>23070.79</v>
      </c>
      <c r="T42" s="419">
        <f t="shared" si="8"/>
        <v>23070.79</v>
      </c>
      <c r="U42" s="414"/>
      <c r="V42" s="420">
        <f t="shared" si="9"/>
        <v>0</v>
      </c>
      <c r="W42" s="414"/>
      <c r="X42" s="414"/>
    </row>
    <row r="43" spans="1:25" s="421" customFormat="1" outlineLevel="1">
      <c r="A43" s="414"/>
      <c r="B43" s="415" t="s">
        <v>397</v>
      </c>
      <c r="C43" s="416"/>
      <c r="D43" s="417">
        <v>12004</v>
      </c>
      <c r="E43" s="417" t="s">
        <v>692</v>
      </c>
      <c r="F43" s="418"/>
      <c r="G43" s="418"/>
      <c r="H43" s="414"/>
      <c r="I43" s="414"/>
      <c r="J43" s="419">
        <v>5700.01</v>
      </c>
      <c r="K43" s="414"/>
      <c r="L43" s="419">
        <v>0</v>
      </c>
      <c r="M43" s="414"/>
      <c r="N43" s="420">
        <v>0</v>
      </c>
      <c r="O43" s="414"/>
      <c r="P43" s="419">
        <f>J43+L43+N43</f>
        <v>5700.01</v>
      </c>
      <c r="Q43" s="414"/>
      <c r="R43" s="419">
        <v>5700.01</v>
      </c>
      <c r="S43" s="419">
        <v>5700.01</v>
      </c>
      <c r="T43" s="419">
        <f t="shared" si="8"/>
        <v>5700.01</v>
      </c>
      <c r="U43" s="414"/>
      <c r="V43" s="420">
        <f t="shared" si="9"/>
        <v>0</v>
      </c>
      <c r="W43" s="414"/>
      <c r="X43" s="414"/>
    </row>
    <row r="44" spans="1:25" s="421" customFormat="1" outlineLevel="1">
      <c r="A44" s="414"/>
      <c r="B44" s="415" t="s">
        <v>397</v>
      </c>
      <c r="C44" s="416"/>
      <c r="D44" s="417">
        <v>12005</v>
      </c>
      <c r="E44" s="417" t="s">
        <v>693</v>
      </c>
      <c r="F44" s="418"/>
      <c r="G44" s="418"/>
      <c r="H44" s="414"/>
      <c r="I44" s="414"/>
      <c r="J44" s="419">
        <v>31203.1</v>
      </c>
      <c r="K44" s="414"/>
      <c r="L44" s="419">
        <v>0</v>
      </c>
      <c r="M44" s="414"/>
      <c r="N44" s="420">
        <v>0</v>
      </c>
      <c r="O44" s="414"/>
      <c r="P44" s="419">
        <f>J44+L44+N44</f>
        <v>31203.1</v>
      </c>
      <c r="Q44" s="414"/>
      <c r="R44" s="419">
        <v>31203.1</v>
      </c>
      <c r="S44" s="419">
        <v>31203.1</v>
      </c>
      <c r="T44" s="419">
        <f t="shared" si="8"/>
        <v>31203.1</v>
      </c>
      <c r="U44" s="414"/>
      <c r="V44" s="420">
        <f t="shared" si="9"/>
        <v>0</v>
      </c>
      <c r="W44" s="414"/>
      <c r="X44" s="414"/>
    </row>
    <row r="45" spans="1:25" s="421" customFormat="1" ht="5.0999999999999996" customHeight="1" outlineLevel="1">
      <c r="A45" s="416" t="s">
        <v>194</v>
      </c>
      <c r="B45" s="449" t="s">
        <v>194</v>
      </c>
      <c r="C45" s="449"/>
      <c r="D45" s="418"/>
      <c r="E45" s="418"/>
      <c r="F45" s="418"/>
      <c r="G45" s="418"/>
      <c r="H45" s="414"/>
      <c r="I45" s="414"/>
      <c r="J45" s="453"/>
      <c r="K45" s="414"/>
      <c r="L45" s="453"/>
      <c r="M45" s="414"/>
      <c r="N45" s="454"/>
      <c r="O45" s="414"/>
      <c r="P45" s="453"/>
      <c r="Q45" s="414"/>
      <c r="R45" s="453"/>
      <c r="S45" s="453"/>
      <c r="T45" s="453"/>
      <c r="U45" s="414"/>
      <c r="V45" s="454"/>
      <c r="W45" s="414"/>
      <c r="X45" s="414"/>
      <c r="Y45" s="414"/>
    </row>
    <row r="46" spans="1:25" s="421" customFormat="1">
      <c r="A46" s="416" t="s">
        <v>688</v>
      </c>
      <c r="B46" s="416" t="s">
        <v>194</v>
      </c>
      <c r="C46" s="416"/>
      <c r="D46" s="414"/>
      <c r="E46" s="414"/>
      <c r="F46" s="417" t="s">
        <v>694</v>
      </c>
      <c r="G46" s="414"/>
      <c r="H46" s="414"/>
      <c r="I46" s="414"/>
      <c r="J46" s="451">
        <f>SUM(J40:J45)</f>
        <v>237447.58000000002</v>
      </c>
      <c r="K46" s="414"/>
      <c r="L46" s="451">
        <f>SUM(L40:L45)</f>
        <v>0</v>
      </c>
      <c r="M46" s="414"/>
      <c r="N46" s="452">
        <f>SUM(N40:N45)</f>
        <v>0</v>
      </c>
      <c r="O46" s="414"/>
      <c r="P46" s="451">
        <f>J46+L46+N46</f>
        <v>237447.58000000002</v>
      </c>
      <c r="Q46" s="414"/>
      <c r="R46" s="451">
        <f>SUM(R40:R45)</f>
        <v>239822.61000000002</v>
      </c>
      <c r="S46" s="451">
        <f>SUM(S40:S45)</f>
        <v>234461.91000000003</v>
      </c>
      <c r="T46" s="451">
        <f>SUM(T40:T45)</f>
        <v>237447.58000000002</v>
      </c>
      <c r="U46" s="414"/>
      <c r="V46" s="452">
        <f>SUM(V40:V45)</f>
        <v>2985.67</v>
      </c>
      <c r="W46" s="414"/>
      <c r="X46" s="414"/>
      <c r="Y46" s="414"/>
    </row>
    <row r="47" spans="1:25" s="421" customFormat="1" outlineLevel="1">
      <c r="A47" s="414"/>
      <c r="B47" s="415" t="s">
        <v>695</v>
      </c>
      <c r="C47" s="416"/>
      <c r="D47" s="417">
        <v>13001</v>
      </c>
      <c r="E47" s="417" t="s">
        <v>696</v>
      </c>
      <c r="F47" s="418"/>
      <c r="G47" s="418"/>
      <c r="H47" s="414"/>
      <c r="I47" s="414"/>
      <c r="J47" s="419">
        <v>58593.89</v>
      </c>
      <c r="K47" s="414"/>
      <c r="L47" s="419">
        <v>0</v>
      </c>
      <c r="M47" s="414"/>
      <c r="N47" s="420">
        <v>0</v>
      </c>
      <c r="O47" s="414"/>
      <c r="P47" s="419">
        <f>J47+L47+N47</f>
        <v>58593.89</v>
      </c>
      <c r="Q47" s="414"/>
      <c r="R47" s="419">
        <v>73242.36</v>
      </c>
      <c r="S47" s="419">
        <v>65918.12</v>
      </c>
      <c r="T47" s="419">
        <f t="shared" ref="T47:T50" si="10">P47</f>
        <v>58593.89</v>
      </c>
      <c r="U47" s="414"/>
      <c r="V47" s="420">
        <f t="shared" ref="V47:V50" si="11">T47-S47</f>
        <v>-7324.2299999999959</v>
      </c>
      <c r="W47" s="414"/>
      <c r="X47" s="414"/>
    </row>
    <row r="48" spans="1:25" s="421" customFormat="1" outlineLevel="1">
      <c r="A48" s="414"/>
      <c r="B48" s="415" t="s">
        <v>397</v>
      </c>
      <c r="C48" s="416"/>
      <c r="D48" s="417">
        <v>13003</v>
      </c>
      <c r="E48" s="417" t="s">
        <v>697</v>
      </c>
      <c r="F48" s="418"/>
      <c r="G48" s="418"/>
      <c r="H48" s="414"/>
      <c r="I48" s="414"/>
      <c r="J48" s="419">
        <v>477.33</v>
      </c>
      <c r="K48" s="414"/>
      <c r="L48" s="419">
        <v>0</v>
      </c>
      <c r="M48" s="414"/>
      <c r="N48" s="420">
        <v>0</v>
      </c>
      <c r="O48" s="414"/>
      <c r="P48" s="419">
        <f>J48+L48+N48</f>
        <v>477.33</v>
      </c>
      <c r="Q48" s="414"/>
      <c r="R48" s="419">
        <v>954.67</v>
      </c>
      <c r="S48" s="419">
        <v>716</v>
      </c>
      <c r="T48" s="419">
        <f t="shared" si="10"/>
        <v>477.33</v>
      </c>
      <c r="U48" s="414"/>
      <c r="V48" s="420">
        <f t="shared" si="11"/>
        <v>-238.67000000000002</v>
      </c>
      <c r="W48" s="414"/>
      <c r="X48" s="414"/>
    </row>
    <row r="49" spans="1:25" s="421" customFormat="1" outlineLevel="1">
      <c r="A49" s="414"/>
      <c r="B49" s="415" t="s">
        <v>397</v>
      </c>
      <c r="C49" s="416"/>
      <c r="D49" s="417">
        <v>13004</v>
      </c>
      <c r="E49" s="417" t="s">
        <v>698</v>
      </c>
      <c r="F49" s="418"/>
      <c r="G49" s="418"/>
      <c r="H49" s="414"/>
      <c r="I49" s="414"/>
      <c r="J49" s="419">
        <v>63384.1</v>
      </c>
      <c r="K49" s="414"/>
      <c r="L49" s="419">
        <v>0</v>
      </c>
      <c r="M49" s="414"/>
      <c r="N49" s="420">
        <v>0</v>
      </c>
      <c r="O49" s="414"/>
      <c r="P49" s="419">
        <f>J49+L49+N49</f>
        <v>63384.1</v>
      </c>
      <c r="Q49" s="414"/>
      <c r="R49" s="419">
        <v>79230.13</v>
      </c>
      <c r="S49" s="419">
        <v>71307.12</v>
      </c>
      <c r="T49" s="419">
        <f t="shared" si="10"/>
        <v>63384.1</v>
      </c>
      <c r="U49" s="414"/>
      <c r="V49" s="420">
        <f t="shared" si="11"/>
        <v>-7923.0199999999968</v>
      </c>
      <c r="W49" s="414"/>
      <c r="X49" s="414"/>
    </row>
    <row r="50" spans="1:25" s="421" customFormat="1" outlineLevel="1">
      <c r="A50" s="414"/>
      <c r="B50" s="415" t="s">
        <v>397</v>
      </c>
      <c r="C50" s="416"/>
      <c r="D50" s="417">
        <v>13008</v>
      </c>
      <c r="E50" s="417" t="s">
        <v>699</v>
      </c>
      <c r="F50" s="418"/>
      <c r="G50" s="418"/>
      <c r="H50" s="414"/>
      <c r="I50" s="414"/>
      <c r="J50" s="419">
        <v>22137.97</v>
      </c>
      <c r="K50" s="414"/>
      <c r="L50" s="419">
        <v>0</v>
      </c>
      <c r="M50" s="414"/>
      <c r="N50" s="420">
        <v>0</v>
      </c>
      <c r="O50" s="414"/>
      <c r="P50" s="419">
        <f>J50+L50+N50</f>
        <v>22137.97</v>
      </c>
      <c r="Q50" s="414"/>
      <c r="R50" s="419">
        <v>12119.37</v>
      </c>
      <c r="S50" s="419">
        <v>17844.509999999998</v>
      </c>
      <c r="T50" s="419">
        <f t="shared" si="10"/>
        <v>22137.97</v>
      </c>
      <c r="U50" s="414"/>
      <c r="V50" s="420">
        <f t="shared" si="11"/>
        <v>4293.4600000000028</v>
      </c>
      <c r="W50" s="414"/>
      <c r="X50" s="414"/>
    </row>
    <row r="51" spans="1:25" s="421" customFormat="1" ht="3.75" customHeight="1" outlineLevel="1">
      <c r="A51" s="416" t="s">
        <v>194</v>
      </c>
      <c r="B51" s="449" t="s">
        <v>194</v>
      </c>
      <c r="C51" s="449"/>
      <c r="D51" s="418"/>
      <c r="E51" s="418"/>
      <c r="F51" s="418"/>
      <c r="G51" s="418"/>
      <c r="H51" s="414"/>
      <c r="I51" s="414"/>
      <c r="J51" s="453"/>
      <c r="K51" s="414"/>
      <c r="L51" s="453"/>
      <c r="M51" s="414"/>
      <c r="N51" s="454"/>
      <c r="O51" s="414"/>
      <c r="P51" s="453"/>
      <c r="Q51" s="414"/>
      <c r="R51" s="453"/>
      <c r="S51" s="453"/>
      <c r="T51" s="453"/>
      <c r="U51" s="414"/>
      <c r="V51" s="454"/>
      <c r="W51" s="414"/>
      <c r="X51" s="414"/>
      <c r="Y51" s="414"/>
    </row>
    <row r="52" spans="1:25" s="421" customFormat="1">
      <c r="A52" s="416" t="s">
        <v>695</v>
      </c>
      <c r="B52" s="416" t="s">
        <v>194</v>
      </c>
      <c r="C52" s="416"/>
      <c r="D52" s="414"/>
      <c r="E52" s="414"/>
      <c r="F52" s="417" t="s">
        <v>700</v>
      </c>
      <c r="G52" s="414"/>
      <c r="H52" s="414"/>
      <c r="I52" s="414"/>
      <c r="J52" s="451">
        <f>SUM(J47:J51)</f>
        <v>144593.29</v>
      </c>
      <c r="K52" s="414"/>
      <c r="L52" s="451">
        <f>SUM(L47:L51)</f>
        <v>0</v>
      </c>
      <c r="M52" s="414"/>
      <c r="N52" s="452">
        <f>SUM(N47:N51)</f>
        <v>0</v>
      </c>
      <c r="O52" s="414"/>
      <c r="P52" s="451">
        <f>J52+L52+N52</f>
        <v>144593.29</v>
      </c>
      <c r="Q52" s="414"/>
      <c r="R52" s="451">
        <f>SUM(R47:R51)</f>
        <v>165546.53</v>
      </c>
      <c r="S52" s="451">
        <f>SUM(S47:S51)</f>
        <v>155785.75</v>
      </c>
      <c r="T52" s="451">
        <f>SUM(T47:T51)</f>
        <v>144593.29</v>
      </c>
      <c r="U52" s="455"/>
      <c r="V52" s="452">
        <f>SUM(V47:V51)</f>
        <v>-11192.45999999999</v>
      </c>
      <c r="W52" s="414"/>
      <c r="X52" s="414"/>
      <c r="Y52" s="414"/>
    </row>
    <row r="53" spans="1:25" s="421" customFormat="1" outlineLevel="1">
      <c r="A53" s="414"/>
      <c r="B53" s="415" t="s">
        <v>701</v>
      </c>
      <c r="C53" s="416"/>
      <c r="D53" s="417"/>
      <c r="E53" s="417"/>
      <c r="F53" s="418"/>
      <c r="G53" s="418"/>
      <c r="H53" s="414"/>
      <c r="I53" s="414"/>
      <c r="J53" s="419"/>
      <c r="K53" s="414"/>
      <c r="L53" s="419"/>
      <c r="M53" s="414"/>
      <c r="N53" s="420"/>
      <c r="O53" s="414"/>
      <c r="P53" s="419">
        <f>J53+L53+N53</f>
        <v>0</v>
      </c>
      <c r="Q53" s="414"/>
      <c r="R53" s="419"/>
      <c r="S53" s="419"/>
      <c r="T53" s="419">
        <f>P53</f>
        <v>0</v>
      </c>
      <c r="U53" s="414"/>
      <c r="V53" s="420">
        <f>T53-S53</f>
        <v>0</v>
      </c>
      <c r="W53" s="414"/>
      <c r="X53" s="414"/>
    </row>
    <row r="54" spans="1:25" s="421" customFormat="1" ht="3.75" customHeight="1" outlineLevel="1">
      <c r="A54" s="416" t="s">
        <v>194</v>
      </c>
      <c r="B54" s="449" t="s">
        <v>194</v>
      </c>
      <c r="C54" s="449"/>
      <c r="D54" s="418"/>
      <c r="E54" s="418"/>
      <c r="F54" s="418"/>
      <c r="G54" s="418"/>
      <c r="H54" s="414"/>
      <c r="I54" s="414"/>
      <c r="J54" s="453"/>
      <c r="K54" s="414"/>
      <c r="L54" s="453"/>
      <c r="M54" s="414"/>
      <c r="N54" s="454"/>
      <c r="O54" s="414"/>
      <c r="P54" s="453"/>
      <c r="Q54" s="414"/>
      <c r="R54" s="453"/>
      <c r="S54" s="453"/>
      <c r="T54" s="453"/>
      <c r="U54" s="414"/>
      <c r="V54" s="454"/>
      <c r="W54" s="414"/>
      <c r="X54" s="414"/>
      <c r="Y54" s="414"/>
    </row>
    <row r="55" spans="1:25" s="421" customFormat="1">
      <c r="A55" s="416" t="s">
        <v>701</v>
      </c>
      <c r="B55" s="416" t="s">
        <v>194</v>
      </c>
      <c r="C55" s="416"/>
      <c r="D55" s="414"/>
      <c r="E55" s="414"/>
      <c r="F55" s="417" t="s">
        <v>702</v>
      </c>
      <c r="G55" s="414"/>
      <c r="H55" s="414"/>
      <c r="I55" s="414"/>
      <c r="J55" s="451">
        <f>SUM(J53:J54)</f>
        <v>0</v>
      </c>
      <c r="K55" s="414"/>
      <c r="L55" s="451">
        <f>SUM(L53:L54)</f>
        <v>0</v>
      </c>
      <c r="M55" s="414"/>
      <c r="N55" s="452">
        <f>SUM(N53:N54)</f>
        <v>0</v>
      </c>
      <c r="O55" s="414"/>
      <c r="P55" s="451">
        <f>J55+L55+N55</f>
        <v>0</v>
      </c>
      <c r="Q55" s="414"/>
      <c r="R55" s="451">
        <f>SUM(R53:R54)</f>
        <v>0</v>
      </c>
      <c r="S55" s="451">
        <f>SUM(S53:S54)</f>
        <v>0</v>
      </c>
      <c r="T55" s="451">
        <f>SUM(T53:T54)</f>
        <v>0</v>
      </c>
      <c r="U55" s="455"/>
      <c r="V55" s="452">
        <f>SUM(V53:V54)</f>
        <v>0</v>
      </c>
      <c r="W55" s="414"/>
      <c r="X55" s="414"/>
      <c r="Y55" s="414"/>
    </row>
    <row r="56" spans="1:25" s="421" customFormat="1" ht="7.5" customHeight="1">
      <c r="A56" s="449" t="s">
        <v>194</v>
      </c>
      <c r="B56" s="449" t="s">
        <v>194</v>
      </c>
      <c r="C56" s="449"/>
      <c r="D56" s="414"/>
      <c r="E56" s="414"/>
      <c r="F56" s="414"/>
      <c r="G56" s="414"/>
      <c r="H56" s="414"/>
      <c r="I56" s="414"/>
      <c r="J56" s="456"/>
      <c r="K56" s="414"/>
      <c r="L56" s="456"/>
      <c r="M56" s="414"/>
      <c r="N56" s="456"/>
      <c r="O56" s="414"/>
      <c r="P56" s="456"/>
      <c r="Q56" s="414"/>
      <c r="R56" s="456"/>
      <c r="S56" s="456"/>
      <c r="T56" s="456"/>
      <c r="U56" s="414"/>
      <c r="V56" s="456"/>
      <c r="W56" s="414"/>
      <c r="X56" s="414"/>
      <c r="Y56" s="414"/>
    </row>
    <row r="57" spans="1:25" s="421" customFormat="1">
      <c r="A57" s="416" t="s">
        <v>194</v>
      </c>
      <c r="B57" s="449" t="s">
        <v>194</v>
      </c>
      <c r="C57" s="449"/>
      <c r="D57" s="414"/>
      <c r="E57" s="457" t="s">
        <v>703</v>
      </c>
      <c r="F57" s="414"/>
      <c r="G57" s="414"/>
      <c r="H57" s="414"/>
      <c r="I57" s="414"/>
      <c r="J57" s="406">
        <f>SUM(J28,J39,J46,J52,J55)</f>
        <v>4230939.55</v>
      </c>
      <c r="K57" s="414"/>
      <c r="L57" s="406">
        <f>SUM(L28,L39,L46,L52,L55)</f>
        <v>0</v>
      </c>
      <c r="M57" s="414"/>
      <c r="N57" s="405">
        <f>SUM(N28,N39,N46,N52,N55)</f>
        <v>0</v>
      </c>
      <c r="O57" s="414"/>
      <c r="P57" s="406">
        <f>SUM(P28,P39,P46,P52,P55)</f>
        <v>4230939.55</v>
      </c>
      <c r="Q57" s="414"/>
      <c r="R57" s="406">
        <f>SUM(R28,R39,R46,R52,R55)</f>
        <v>4265762.95</v>
      </c>
      <c r="S57" s="406">
        <f>SUM(S28,S39,S46,S52,S55)</f>
        <v>4467342.2700000014</v>
      </c>
      <c r="T57" s="406">
        <f>SUM(T28,T39,T46,T52,T55)</f>
        <v>4230939.55</v>
      </c>
      <c r="U57" s="414"/>
      <c r="V57" s="405">
        <f>SUM(V28,V39,V46,V52,V55)</f>
        <v>-236402.72000000038</v>
      </c>
      <c r="W57" s="414"/>
      <c r="X57" s="414"/>
      <c r="Y57" s="414"/>
    </row>
    <row r="58" spans="1:25" s="421" customFormat="1" ht="7.5" customHeight="1">
      <c r="A58" s="449" t="s">
        <v>194</v>
      </c>
      <c r="B58" s="449" t="s">
        <v>194</v>
      </c>
      <c r="C58" s="449"/>
      <c r="D58" s="414"/>
      <c r="E58" s="414"/>
      <c r="F58" s="414"/>
      <c r="G58" s="414"/>
      <c r="H58" s="414"/>
      <c r="I58" s="414"/>
      <c r="J58" s="456"/>
      <c r="K58" s="414"/>
      <c r="L58" s="456"/>
      <c r="M58" s="414"/>
      <c r="N58" s="420"/>
      <c r="O58" s="414"/>
      <c r="P58" s="456"/>
      <c r="Q58" s="414"/>
      <c r="R58" s="456"/>
      <c r="S58" s="456"/>
      <c r="T58" s="456"/>
      <c r="U58" s="414"/>
      <c r="V58" s="420"/>
      <c r="W58" s="414"/>
      <c r="X58" s="414"/>
      <c r="Y58" s="414"/>
    </row>
    <row r="59" spans="1:25" s="421" customFormat="1" outlineLevel="1">
      <c r="A59" s="449" t="s">
        <v>194</v>
      </c>
      <c r="B59" s="449" t="s">
        <v>194</v>
      </c>
      <c r="C59" s="449"/>
      <c r="D59" s="414"/>
      <c r="E59" s="414"/>
      <c r="F59" s="414"/>
      <c r="G59" s="414"/>
      <c r="H59" s="414"/>
      <c r="I59" s="414"/>
      <c r="J59" s="456"/>
      <c r="K59" s="414"/>
      <c r="L59" s="456"/>
      <c r="M59" s="414"/>
      <c r="N59" s="420"/>
      <c r="O59" s="414"/>
      <c r="P59" s="456"/>
      <c r="Q59" s="414"/>
      <c r="R59" s="456"/>
      <c r="S59" s="456"/>
      <c r="T59" s="456"/>
      <c r="U59" s="414"/>
      <c r="V59" s="420"/>
      <c r="W59" s="414"/>
      <c r="X59" s="414"/>
      <c r="Y59" s="414"/>
    </row>
    <row r="60" spans="1:25" s="421" customFormat="1" outlineLevel="1">
      <c r="A60" s="414"/>
      <c r="B60" s="415" t="s">
        <v>704</v>
      </c>
      <c r="C60" s="416"/>
      <c r="D60" s="417">
        <v>14002</v>
      </c>
      <c r="E60" s="417" t="s">
        <v>705</v>
      </c>
      <c r="F60" s="418"/>
      <c r="G60" s="418"/>
      <c r="H60" s="414"/>
      <c r="I60" s="414"/>
      <c r="J60" s="419">
        <v>4312000</v>
      </c>
      <c r="K60" s="414"/>
      <c r="L60" s="419">
        <v>0</v>
      </c>
      <c r="M60" s="414"/>
      <c r="N60" s="420">
        <v>0</v>
      </c>
      <c r="O60" s="414"/>
      <c r="P60" s="419">
        <f t="shared" ref="P60:P97" si="12">J60+L60+N60</f>
        <v>4312000</v>
      </c>
      <c r="Q60" s="414"/>
      <c r="R60" s="419">
        <v>4312000</v>
      </c>
      <c r="S60" s="419">
        <v>4312000</v>
      </c>
      <c r="T60" s="419">
        <f t="shared" ref="T60:T97" si="13">P60</f>
        <v>4312000</v>
      </c>
      <c r="U60" s="414"/>
      <c r="V60" s="420">
        <f t="shared" ref="V60:V97" si="14">T60-S60</f>
        <v>0</v>
      </c>
      <c r="W60" s="414"/>
      <c r="X60" s="414"/>
    </row>
    <row r="61" spans="1:25" s="421" customFormat="1" outlineLevel="1">
      <c r="A61" s="414"/>
      <c r="B61" s="415" t="s">
        <v>397</v>
      </c>
      <c r="C61" s="416"/>
      <c r="D61" s="417">
        <v>14011</v>
      </c>
      <c r="E61" s="417" t="s">
        <v>706</v>
      </c>
      <c r="F61" s="418"/>
      <c r="G61" s="418"/>
      <c r="H61" s="414"/>
      <c r="I61" s="414"/>
      <c r="J61" s="419">
        <v>27878.91</v>
      </c>
      <c r="K61" s="414"/>
      <c r="L61" s="419">
        <v>0</v>
      </c>
      <c r="M61" s="414"/>
      <c r="N61" s="420">
        <v>0</v>
      </c>
      <c r="O61" s="414"/>
      <c r="P61" s="419">
        <f t="shared" si="12"/>
        <v>27878.91</v>
      </c>
      <c r="Q61" s="414"/>
      <c r="R61" s="419">
        <v>27878.91</v>
      </c>
      <c r="S61" s="419">
        <v>27878.91</v>
      </c>
      <c r="T61" s="419">
        <f t="shared" si="13"/>
        <v>27878.91</v>
      </c>
      <c r="U61" s="414"/>
      <c r="V61" s="420">
        <f t="shared" si="14"/>
        <v>0</v>
      </c>
      <c r="W61" s="414"/>
      <c r="X61" s="414"/>
    </row>
    <row r="62" spans="1:25" s="421" customFormat="1" outlineLevel="1">
      <c r="A62" s="414"/>
      <c r="B62" s="415" t="s">
        <v>397</v>
      </c>
      <c r="C62" s="416"/>
      <c r="D62" s="417">
        <v>14012</v>
      </c>
      <c r="E62" s="417" t="s">
        <v>707</v>
      </c>
      <c r="F62" s="418"/>
      <c r="G62" s="418"/>
      <c r="H62" s="414"/>
      <c r="I62" s="414"/>
      <c r="J62" s="419">
        <v>600000</v>
      </c>
      <c r="K62" s="414"/>
      <c r="L62" s="419">
        <v>0</v>
      </c>
      <c r="M62" s="414"/>
      <c r="N62" s="420">
        <v>0</v>
      </c>
      <c r="O62" s="414"/>
      <c r="P62" s="419">
        <f t="shared" si="12"/>
        <v>600000</v>
      </c>
      <c r="Q62" s="414"/>
      <c r="R62" s="419">
        <v>600000</v>
      </c>
      <c r="S62" s="419">
        <v>600000</v>
      </c>
      <c r="T62" s="419">
        <f t="shared" si="13"/>
        <v>600000</v>
      </c>
      <c r="U62" s="414"/>
      <c r="V62" s="420">
        <f t="shared" si="14"/>
        <v>0</v>
      </c>
      <c r="W62" s="414"/>
      <c r="X62" s="414"/>
    </row>
    <row r="63" spans="1:25" s="421" customFormat="1" outlineLevel="1">
      <c r="A63" s="414"/>
      <c r="B63" s="415" t="s">
        <v>397</v>
      </c>
      <c r="C63" s="416"/>
      <c r="D63" s="417">
        <v>14016</v>
      </c>
      <c r="E63" s="417" t="s">
        <v>708</v>
      </c>
      <c r="F63" s="418"/>
      <c r="G63" s="418"/>
      <c r="H63" s="414"/>
      <c r="I63" s="414"/>
      <c r="J63" s="419">
        <v>-336222.28</v>
      </c>
      <c r="K63" s="414"/>
      <c r="L63" s="419">
        <v>0</v>
      </c>
      <c r="M63" s="414"/>
      <c r="N63" s="420">
        <v>0</v>
      </c>
      <c r="O63" s="414"/>
      <c r="P63" s="419">
        <f t="shared" si="12"/>
        <v>-336222.28</v>
      </c>
      <c r="Q63" s="414"/>
      <c r="R63" s="419">
        <v>-330757.63</v>
      </c>
      <c r="S63" s="419">
        <v>-333489.96000000002</v>
      </c>
      <c r="T63" s="419">
        <f t="shared" si="13"/>
        <v>-336222.28</v>
      </c>
      <c r="U63" s="414"/>
      <c r="V63" s="420">
        <f t="shared" si="14"/>
        <v>-2732.320000000007</v>
      </c>
      <c r="W63" s="414"/>
      <c r="X63" s="414"/>
    </row>
    <row r="64" spans="1:25" s="421" customFormat="1" outlineLevel="1">
      <c r="A64" s="414"/>
      <c r="B64" s="415" t="s">
        <v>397</v>
      </c>
      <c r="C64" s="416"/>
      <c r="D64" s="417">
        <v>14031</v>
      </c>
      <c r="E64" s="417" t="s">
        <v>709</v>
      </c>
      <c r="F64" s="418"/>
      <c r="G64" s="418"/>
      <c r="H64" s="414"/>
      <c r="I64" s="414"/>
      <c r="J64" s="419">
        <v>42334.3</v>
      </c>
      <c r="K64" s="414"/>
      <c r="L64" s="419">
        <v>0</v>
      </c>
      <c r="M64" s="414"/>
      <c r="N64" s="420">
        <v>0</v>
      </c>
      <c r="O64" s="414"/>
      <c r="P64" s="419">
        <f t="shared" si="12"/>
        <v>42334.3</v>
      </c>
      <c r="Q64" s="414"/>
      <c r="R64" s="419">
        <v>42334.3</v>
      </c>
      <c r="S64" s="419">
        <v>42334.3</v>
      </c>
      <c r="T64" s="419">
        <f t="shared" si="13"/>
        <v>42334.3</v>
      </c>
      <c r="U64" s="414"/>
      <c r="V64" s="420">
        <f t="shared" si="14"/>
        <v>0</v>
      </c>
      <c r="W64" s="414"/>
      <c r="X64" s="414"/>
    </row>
    <row r="65" spans="1:24" s="421" customFormat="1" outlineLevel="1">
      <c r="A65" s="414"/>
      <c r="B65" s="415" t="s">
        <v>397</v>
      </c>
      <c r="C65" s="416"/>
      <c r="D65" s="417">
        <v>14032</v>
      </c>
      <c r="E65" s="417" t="s">
        <v>710</v>
      </c>
      <c r="F65" s="418"/>
      <c r="G65" s="418"/>
      <c r="H65" s="414"/>
      <c r="I65" s="414"/>
      <c r="J65" s="419">
        <v>24500</v>
      </c>
      <c r="K65" s="414"/>
      <c r="L65" s="419">
        <v>0</v>
      </c>
      <c r="M65" s="414"/>
      <c r="N65" s="420">
        <v>0</v>
      </c>
      <c r="O65" s="414"/>
      <c r="P65" s="419">
        <f t="shared" si="12"/>
        <v>24500</v>
      </c>
      <c r="Q65" s="414"/>
      <c r="R65" s="419">
        <v>24500</v>
      </c>
      <c r="S65" s="419">
        <v>24500</v>
      </c>
      <c r="T65" s="419">
        <f t="shared" si="13"/>
        <v>24500</v>
      </c>
      <c r="U65" s="414"/>
      <c r="V65" s="420">
        <f t="shared" si="14"/>
        <v>0</v>
      </c>
      <c r="W65" s="414"/>
      <c r="X65" s="414"/>
    </row>
    <row r="66" spans="1:24" s="421" customFormat="1" outlineLevel="1">
      <c r="A66" s="414"/>
      <c r="B66" s="415" t="s">
        <v>397</v>
      </c>
      <c r="C66" s="416"/>
      <c r="D66" s="417">
        <v>14033</v>
      </c>
      <c r="E66" s="417" t="s">
        <v>711</v>
      </c>
      <c r="F66" s="418"/>
      <c r="G66" s="418"/>
      <c r="H66" s="414"/>
      <c r="I66" s="414"/>
      <c r="J66" s="419">
        <v>-20665.36</v>
      </c>
      <c r="K66" s="414"/>
      <c r="L66" s="419">
        <v>0</v>
      </c>
      <c r="M66" s="414"/>
      <c r="N66" s="420">
        <v>0</v>
      </c>
      <c r="O66" s="414"/>
      <c r="P66" s="419">
        <f t="shared" si="12"/>
        <v>-20665.36</v>
      </c>
      <c r="Q66" s="414"/>
      <c r="R66" s="419">
        <v>-20665.36</v>
      </c>
      <c r="S66" s="419">
        <v>-20665.36</v>
      </c>
      <c r="T66" s="419">
        <f t="shared" si="13"/>
        <v>-20665.36</v>
      </c>
      <c r="U66" s="414"/>
      <c r="V66" s="420">
        <f t="shared" si="14"/>
        <v>0</v>
      </c>
      <c r="W66" s="414"/>
      <c r="X66" s="414"/>
    </row>
    <row r="67" spans="1:24" s="421" customFormat="1" outlineLevel="1">
      <c r="A67" s="414"/>
      <c r="B67" s="415" t="s">
        <v>397</v>
      </c>
      <c r="C67" s="416"/>
      <c r="D67" s="417">
        <v>14036</v>
      </c>
      <c r="E67" s="417" t="s">
        <v>712</v>
      </c>
      <c r="F67" s="418"/>
      <c r="G67" s="418"/>
      <c r="H67" s="414"/>
      <c r="I67" s="414"/>
      <c r="J67" s="419">
        <v>-39735.769999999997</v>
      </c>
      <c r="K67" s="414"/>
      <c r="L67" s="419">
        <v>0</v>
      </c>
      <c r="M67" s="414"/>
      <c r="N67" s="420">
        <v>0</v>
      </c>
      <c r="O67" s="414"/>
      <c r="P67" s="419">
        <f t="shared" si="12"/>
        <v>-39735.769999999997</v>
      </c>
      <c r="Q67" s="414"/>
      <c r="R67" s="419">
        <v>-39516.35</v>
      </c>
      <c r="S67" s="419">
        <v>-39626.06</v>
      </c>
      <c r="T67" s="419">
        <f t="shared" si="13"/>
        <v>-39735.769999999997</v>
      </c>
      <c r="U67" s="414"/>
      <c r="V67" s="420">
        <f t="shared" si="14"/>
        <v>-109.70999999999913</v>
      </c>
      <c r="W67" s="414"/>
      <c r="X67" s="414"/>
    </row>
    <row r="68" spans="1:24" s="421" customFormat="1" outlineLevel="1">
      <c r="A68" s="414"/>
      <c r="B68" s="415" t="s">
        <v>397</v>
      </c>
      <c r="C68" s="416"/>
      <c r="D68" s="417">
        <v>14037</v>
      </c>
      <c r="E68" s="417" t="s">
        <v>711</v>
      </c>
      <c r="F68" s="418"/>
      <c r="G68" s="418"/>
      <c r="H68" s="414"/>
      <c r="I68" s="414"/>
      <c r="J68" s="419">
        <v>1026.8599999999999</v>
      </c>
      <c r="K68" s="414"/>
      <c r="L68" s="419">
        <v>0</v>
      </c>
      <c r="M68" s="414"/>
      <c r="N68" s="420">
        <v>0</v>
      </c>
      <c r="O68" s="414"/>
      <c r="P68" s="419">
        <f t="shared" si="12"/>
        <v>1026.8599999999999</v>
      </c>
      <c r="Q68" s="414"/>
      <c r="R68" s="419">
        <v>1026.8599999999999</v>
      </c>
      <c r="S68" s="419">
        <v>1026.8599999999999</v>
      </c>
      <c r="T68" s="419">
        <f t="shared" si="13"/>
        <v>1026.8599999999999</v>
      </c>
      <c r="U68" s="414"/>
      <c r="V68" s="420">
        <f t="shared" si="14"/>
        <v>0</v>
      </c>
      <c r="W68" s="414"/>
      <c r="X68" s="414"/>
    </row>
    <row r="69" spans="1:24" s="421" customFormat="1" outlineLevel="1">
      <c r="A69" s="414"/>
      <c r="B69" s="415" t="s">
        <v>397</v>
      </c>
      <c r="C69" s="416"/>
      <c r="D69" s="417">
        <v>14041</v>
      </c>
      <c r="E69" s="417" t="s">
        <v>713</v>
      </c>
      <c r="F69" s="418"/>
      <c r="G69" s="418"/>
      <c r="H69" s="414"/>
      <c r="I69" s="414"/>
      <c r="J69" s="419">
        <v>11146939.380000001</v>
      </c>
      <c r="K69" s="414"/>
      <c r="L69" s="419">
        <v>0</v>
      </c>
      <c r="M69" s="414"/>
      <c r="N69" s="420">
        <v>0</v>
      </c>
      <c r="O69" s="414"/>
      <c r="P69" s="419">
        <f t="shared" si="12"/>
        <v>11146939.380000001</v>
      </c>
      <c r="Q69" s="414"/>
      <c r="R69" s="419">
        <v>11146939.380000001</v>
      </c>
      <c r="S69" s="419">
        <v>11146939.380000001</v>
      </c>
      <c r="T69" s="419">
        <f t="shared" si="13"/>
        <v>11146939.380000001</v>
      </c>
      <c r="U69" s="414"/>
      <c r="V69" s="420">
        <f t="shared" si="14"/>
        <v>0</v>
      </c>
      <c r="W69" s="414"/>
      <c r="X69" s="414"/>
    </row>
    <row r="70" spans="1:24" s="421" customFormat="1" outlineLevel="1">
      <c r="A70" s="414"/>
      <c r="B70" s="415" t="s">
        <v>397</v>
      </c>
      <c r="C70" s="416"/>
      <c r="D70" s="417">
        <v>14042</v>
      </c>
      <c r="E70" s="417" t="s">
        <v>714</v>
      </c>
      <c r="F70" s="418"/>
      <c r="G70" s="418"/>
      <c r="H70" s="414"/>
      <c r="I70" s="414"/>
      <c r="J70" s="419">
        <v>5814965.5499999998</v>
      </c>
      <c r="K70" s="414"/>
      <c r="L70" s="419">
        <v>0</v>
      </c>
      <c r="M70" s="414"/>
      <c r="N70" s="420">
        <v>0</v>
      </c>
      <c r="O70" s="414"/>
      <c r="P70" s="419">
        <f t="shared" si="12"/>
        <v>5814965.5499999998</v>
      </c>
      <c r="Q70" s="414"/>
      <c r="R70" s="419">
        <v>5814965.5499999998</v>
      </c>
      <c r="S70" s="419">
        <v>5814965.5499999998</v>
      </c>
      <c r="T70" s="419">
        <f t="shared" si="13"/>
        <v>5814965.5499999998</v>
      </c>
      <c r="U70" s="414"/>
      <c r="V70" s="420">
        <f t="shared" si="14"/>
        <v>0</v>
      </c>
      <c r="W70" s="414"/>
      <c r="X70" s="414"/>
    </row>
    <row r="71" spans="1:24" s="421" customFormat="1" outlineLevel="1">
      <c r="A71" s="414"/>
      <c r="B71" s="415" t="s">
        <v>397</v>
      </c>
      <c r="C71" s="416"/>
      <c r="D71" s="417">
        <v>14043</v>
      </c>
      <c r="E71" s="417" t="s">
        <v>715</v>
      </c>
      <c r="F71" s="418"/>
      <c r="G71" s="418"/>
      <c r="H71" s="414"/>
      <c r="I71" s="414"/>
      <c r="J71" s="419">
        <v>-439955.59</v>
      </c>
      <c r="K71" s="414"/>
      <c r="L71" s="419">
        <v>0</v>
      </c>
      <c r="M71" s="414"/>
      <c r="N71" s="420">
        <v>0</v>
      </c>
      <c r="O71" s="414"/>
      <c r="P71" s="419">
        <f t="shared" si="12"/>
        <v>-439955.59</v>
      </c>
      <c r="Q71" s="414"/>
      <c r="R71" s="419">
        <v>-439955.59</v>
      </c>
      <c r="S71" s="419">
        <v>-439955.59</v>
      </c>
      <c r="T71" s="419">
        <f t="shared" si="13"/>
        <v>-439955.59</v>
      </c>
      <c r="U71" s="414"/>
      <c r="V71" s="420">
        <f t="shared" si="14"/>
        <v>0</v>
      </c>
      <c r="W71" s="414"/>
      <c r="X71" s="414"/>
    </row>
    <row r="72" spans="1:24" s="421" customFormat="1" outlineLevel="1">
      <c r="A72" s="414"/>
      <c r="B72" s="415" t="s">
        <v>397</v>
      </c>
      <c r="C72" s="416"/>
      <c r="D72" s="417">
        <v>14044</v>
      </c>
      <c r="E72" s="417" t="s">
        <v>716</v>
      </c>
      <c r="F72" s="418"/>
      <c r="G72" s="418"/>
      <c r="H72" s="414"/>
      <c r="I72" s="414"/>
      <c r="J72" s="419">
        <v>-831852.59</v>
      </c>
      <c r="K72" s="414"/>
      <c r="L72" s="419">
        <v>0</v>
      </c>
      <c r="M72" s="414"/>
      <c r="N72" s="420">
        <v>0</v>
      </c>
      <c r="O72" s="414"/>
      <c r="P72" s="419">
        <f t="shared" si="12"/>
        <v>-831852.59</v>
      </c>
      <c r="Q72" s="414"/>
      <c r="R72" s="419">
        <v>-831852.59</v>
      </c>
      <c r="S72" s="419">
        <v>-831852.59</v>
      </c>
      <c r="T72" s="419">
        <f t="shared" si="13"/>
        <v>-831852.59</v>
      </c>
      <c r="U72" s="414"/>
      <c r="V72" s="420">
        <f t="shared" si="14"/>
        <v>0</v>
      </c>
      <c r="W72" s="414"/>
      <c r="X72" s="414"/>
    </row>
    <row r="73" spans="1:24" s="421" customFormat="1" outlineLevel="1">
      <c r="A73" s="414"/>
      <c r="B73" s="415" t="s">
        <v>397</v>
      </c>
      <c r="C73" s="416"/>
      <c r="D73" s="417">
        <v>14046</v>
      </c>
      <c r="E73" s="417" t="s">
        <v>717</v>
      </c>
      <c r="F73" s="418"/>
      <c r="G73" s="418"/>
      <c r="H73" s="414"/>
      <c r="I73" s="414"/>
      <c r="J73" s="419">
        <v>-9108005.7799999993</v>
      </c>
      <c r="K73" s="414"/>
      <c r="L73" s="419">
        <v>0</v>
      </c>
      <c r="M73" s="414"/>
      <c r="N73" s="420">
        <v>0</v>
      </c>
      <c r="O73" s="414"/>
      <c r="P73" s="419">
        <f t="shared" si="12"/>
        <v>-9108005.7799999993</v>
      </c>
      <c r="Q73" s="414"/>
      <c r="R73" s="419">
        <v>-8911143.3599999994</v>
      </c>
      <c r="S73" s="419">
        <v>-9009574.6500000004</v>
      </c>
      <c r="T73" s="419">
        <f t="shared" si="13"/>
        <v>-9108005.7799999993</v>
      </c>
      <c r="U73" s="414"/>
      <c r="V73" s="420">
        <f t="shared" si="14"/>
        <v>-98431.129999998957</v>
      </c>
      <c r="W73" s="414"/>
      <c r="X73" s="414"/>
    </row>
    <row r="74" spans="1:24" s="421" customFormat="1" outlineLevel="1">
      <c r="A74" s="414"/>
      <c r="B74" s="415" t="s">
        <v>397</v>
      </c>
      <c r="C74" s="416"/>
      <c r="D74" s="417">
        <v>14047</v>
      </c>
      <c r="E74" s="417" t="s">
        <v>715</v>
      </c>
      <c r="F74" s="418"/>
      <c r="G74" s="418"/>
      <c r="H74" s="414"/>
      <c r="I74" s="414"/>
      <c r="J74" s="419">
        <v>306821.09999999998</v>
      </c>
      <c r="K74" s="414"/>
      <c r="L74" s="419">
        <v>0</v>
      </c>
      <c r="M74" s="414"/>
      <c r="N74" s="420">
        <v>0</v>
      </c>
      <c r="O74" s="414"/>
      <c r="P74" s="419">
        <f t="shared" si="12"/>
        <v>306821.09999999998</v>
      </c>
      <c r="Q74" s="414"/>
      <c r="R74" s="419">
        <v>306821.09999999998</v>
      </c>
      <c r="S74" s="419">
        <v>306821.09999999998</v>
      </c>
      <c r="T74" s="419">
        <f t="shared" si="13"/>
        <v>306821.09999999998</v>
      </c>
      <c r="U74" s="414"/>
      <c r="V74" s="420">
        <f t="shared" si="14"/>
        <v>0</v>
      </c>
      <c r="W74" s="414"/>
      <c r="X74" s="414"/>
    </row>
    <row r="75" spans="1:24" s="421" customFormat="1" outlineLevel="1">
      <c r="A75" s="414"/>
      <c r="B75" s="415" t="s">
        <v>397</v>
      </c>
      <c r="C75" s="416"/>
      <c r="D75" s="417">
        <v>14048</v>
      </c>
      <c r="E75" s="417" t="s">
        <v>716</v>
      </c>
      <c r="F75" s="418"/>
      <c r="G75" s="418"/>
      <c r="H75" s="414"/>
      <c r="I75" s="414"/>
      <c r="J75" s="419">
        <v>830509.48</v>
      </c>
      <c r="K75" s="414"/>
      <c r="L75" s="419">
        <v>0</v>
      </c>
      <c r="M75" s="414"/>
      <c r="N75" s="420">
        <v>0</v>
      </c>
      <c r="O75" s="414"/>
      <c r="P75" s="419">
        <f t="shared" si="12"/>
        <v>830509.48</v>
      </c>
      <c r="Q75" s="414"/>
      <c r="R75" s="419">
        <v>830509.48</v>
      </c>
      <c r="S75" s="419">
        <v>830509.48</v>
      </c>
      <c r="T75" s="419">
        <f t="shared" si="13"/>
        <v>830509.48</v>
      </c>
      <c r="U75" s="414"/>
      <c r="V75" s="420">
        <f t="shared" si="14"/>
        <v>0</v>
      </c>
      <c r="W75" s="414"/>
      <c r="X75" s="414"/>
    </row>
    <row r="76" spans="1:24" s="421" customFormat="1" outlineLevel="1">
      <c r="A76" s="414"/>
      <c r="B76" s="415" t="s">
        <v>397</v>
      </c>
      <c r="C76" s="416"/>
      <c r="D76" s="417">
        <v>14051</v>
      </c>
      <c r="E76" s="417" t="s">
        <v>718</v>
      </c>
      <c r="F76" s="418"/>
      <c r="G76" s="418"/>
      <c r="H76" s="414"/>
      <c r="I76" s="414"/>
      <c r="J76" s="419">
        <v>4370701.46</v>
      </c>
      <c r="K76" s="414"/>
      <c r="L76" s="419">
        <v>0</v>
      </c>
      <c r="M76" s="414"/>
      <c r="N76" s="420">
        <v>0</v>
      </c>
      <c r="O76" s="414"/>
      <c r="P76" s="419">
        <f t="shared" si="12"/>
        <v>4370701.46</v>
      </c>
      <c r="Q76" s="414"/>
      <c r="R76" s="419">
        <v>4370701.46</v>
      </c>
      <c r="S76" s="419">
        <v>4370701.46</v>
      </c>
      <c r="T76" s="419">
        <f t="shared" si="13"/>
        <v>4370701.46</v>
      </c>
      <c r="U76" s="414"/>
      <c r="V76" s="420">
        <f t="shared" si="14"/>
        <v>0</v>
      </c>
      <c r="W76" s="414"/>
      <c r="X76" s="414"/>
    </row>
    <row r="77" spans="1:24" s="421" customFormat="1" outlineLevel="1">
      <c r="A77" s="414"/>
      <c r="B77" s="415" t="s">
        <v>397</v>
      </c>
      <c r="C77" s="416"/>
      <c r="D77" s="417">
        <v>14052</v>
      </c>
      <c r="E77" s="417" t="s">
        <v>719</v>
      </c>
      <c r="F77" s="418"/>
      <c r="G77" s="418"/>
      <c r="H77" s="414"/>
      <c r="I77" s="414"/>
      <c r="J77" s="419">
        <v>2631910</v>
      </c>
      <c r="K77" s="414"/>
      <c r="L77" s="419">
        <v>0</v>
      </c>
      <c r="M77" s="414"/>
      <c r="N77" s="420">
        <v>0</v>
      </c>
      <c r="O77" s="414"/>
      <c r="P77" s="419">
        <f t="shared" si="12"/>
        <v>2631910</v>
      </c>
      <c r="Q77" s="414"/>
      <c r="R77" s="419">
        <v>2631910</v>
      </c>
      <c r="S77" s="419">
        <v>2631910</v>
      </c>
      <c r="T77" s="419">
        <f t="shared" si="13"/>
        <v>2631910</v>
      </c>
      <c r="U77" s="414"/>
      <c r="V77" s="420">
        <f t="shared" si="14"/>
        <v>0</v>
      </c>
      <c r="W77" s="414"/>
      <c r="X77" s="414"/>
    </row>
    <row r="78" spans="1:24" s="421" customFormat="1" outlineLevel="1">
      <c r="A78" s="414"/>
      <c r="B78" s="415" t="s">
        <v>397</v>
      </c>
      <c r="C78" s="416"/>
      <c r="D78" s="417">
        <v>14053</v>
      </c>
      <c r="E78" s="417" t="s">
        <v>720</v>
      </c>
      <c r="F78" s="418"/>
      <c r="G78" s="418"/>
      <c r="H78" s="414"/>
      <c r="I78" s="414"/>
      <c r="J78" s="419">
        <v>326286.7</v>
      </c>
      <c r="K78" s="414"/>
      <c r="L78" s="419">
        <v>0</v>
      </c>
      <c r="M78" s="414"/>
      <c r="N78" s="420">
        <v>0</v>
      </c>
      <c r="O78" s="414"/>
      <c r="P78" s="419">
        <f t="shared" si="12"/>
        <v>326286.7</v>
      </c>
      <c r="Q78" s="414"/>
      <c r="R78" s="419">
        <v>326286.7</v>
      </c>
      <c r="S78" s="419">
        <v>326286.7</v>
      </c>
      <c r="T78" s="419">
        <f t="shared" si="13"/>
        <v>326286.7</v>
      </c>
      <c r="U78" s="414"/>
      <c r="V78" s="420">
        <f t="shared" si="14"/>
        <v>0</v>
      </c>
      <c r="W78" s="414"/>
      <c r="X78" s="414"/>
    </row>
    <row r="79" spans="1:24" s="421" customFormat="1" outlineLevel="1">
      <c r="A79" s="414"/>
      <c r="B79" s="415" t="s">
        <v>397</v>
      </c>
      <c r="C79" s="416"/>
      <c r="D79" s="417">
        <v>14054</v>
      </c>
      <c r="E79" s="417" t="s">
        <v>721</v>
      </c>
      <c r="F79" s="418"/>
      <c r="G79" s="418"/>
      <c r="H79" s="414"/>
      <c r="I79" s="414"/>
      <c r="J79" s="419">
        <v>-82918.94</v>
      </c>
      <c r="K79" s="414"/>
      <c r="L79" s="419">
        <v>0</v>
      </c>
      <c r="M79" s="414"/>
      <c r="N79" s="420">
        <v>0</v>
      </c>
      <c r="O79" s="414"/>
      <c r="P79" s="419">
        <f t="shared" si="12"/>
        <v>-82918.94</v>
      </c>
      <c r="Q79" s="414"/>
      <c r="R79" s="419">
        <v>-82918.94</v>
      </c>
      <c r="S79" s="419">
        <v>-82918.94</v>
      </c>
      <c r="T79" s="419">
        <f t="shared" si="13"/>
        <v>-82918.94</v>
      </c>
      <c r="U79" s="414"/>
      <c r="V79" s="420">
        <f t="shared" si="14"/>
        <v>0</v>
      </c>
      <c r="W79" s="414"/>
      <c r="X79" s="414"/>
    </row>
    <row r="80" spans="1:24" s="421" customFormat="1" outlineLevel="1">
      <c r="A80" s="414"/>
      <c r="B80" s="415" t="s">
        <v>397</v>
      </c>
      <c r="C80" s="416"/>
      <c r="D80" s="417">
        <v>14056</v>
      </c>
      <c r="E80" s="417" t="s">
        <v>722</v>
      </c>
      <c r="F80" s="418"/>
      <c r="G80" s="418"/>
      <c r="H80" s="414"/>
      <c r="I80" s="414"/>
      <c r="J80" s="419">
        <v>-4768298.9800000004</v>
      </c>
      <c r="K80" s="414"/>
      <c r="L80" s="419">
        <v>0</v>
      </c>
      <c r="M80" s="414"/>
      <c r="N80" s="420">
        <v>0</v>
      </c>
      <c r="O80" s="414"/>
      <c r="P80" s="419">
        <f t="shared" si="12"/>
        <v>-4768298.9800000004</v>
      </c>
      <c r="Q80" s="414"/>
      <c r="R80" s="419">
        <v>-4685755.67</v>
      </c>
      <c r="S80" s="419">
        <v>-4727175.32</v>
      </c>
      <c r="T80" s="419">
        <f t="shared" si="13"/>
        <v>-4768298.9800000004</v>
      </c>
      <c r="U80" s="414"/>
      <c r="V80" s="420">
        <f t="shared" si="14"/>
        <v>-41123.660000000149</v>
      </c>
      <c r="W80" s="414"/>
      <c r="X80" s="414"/>
    </row>
    <row r="81" spans="1:24" s="421" customFormat="1" outlineLevel="1">
      <c r="A81" s="414"/>
      <c r="B81" s="415" t="s">
        <v>397</v>
      </c>
      <c r="C81" s="416"/>
      <c r="D81" s="417">
        <v>14057</v>
      </c>
      <c r="E81" s="417" t="s">
        <v>723</v>
      </c>
      <c r="F81" s="418"/>
      <c r="G81" s="418"/>
      <c r="H81" s="414"/>
      <c r="I81" s="414"/>
      <c r="J81" s="419">
        <v>-303585.15000000002</v>
      </c>
      <c r="K81" s="414"/>
      <c r="L81" s="419">
        <v>0</v>
      </c>
      <c r="M81" s="414"/>
      <c r="N81" s="420">
        <v>0</v>
      </c>
      <c r="O81" s="414"/>
      <c r="P81" s="419">
        <f t="shared" si="12"/>
        <v>-303585.15000000002</v>
      </c>
      <c r="Q81" s="414"/>
      <c r="R81" s="419">
        <v>-303585.15000000002</v>
      </c>
      <c r="S81" s="419">
        <v>-303585.15000000002</v>
      </c>
      <c r="T81" s="419">
        <f t="shared" si="13"/>
        <v>-303585.15000000002</v>
      </c>
      <c r="U81" s="414"/>
      <c r="V81" s="420">
        <f t="shared" si="14"/>
        <v>0</v>
      </c>
      <c r="W81" s="414"/>
      <c r="X81" s="414"/>
    </row>
    <row r="82" spans="1:24" s="421" customFormat="1" outlineLevel="1">
      <c r="A82" s="414"/>
      <c r="B82" s="415" t="s">
        <v>397</v>
      </c>
      <c r="C82" s="416"/>
      <c r="D82" s="417">
        <v>14058</v>
      </c>
      <c r="E82" s="417" t="s">
        <v>724</v>
      </c>
      <c r="F82" s="418"/>
      <c r="G82" s="418"/>
      <c r="H82" s="414"/>
      <c r="I82" s="414"/>
      <c r="J82" s="419">
        <v>69274.929999999993</v>
      </c>
      <c r="K82" s="414"/>
      <c r="L82" s="419">
        <v>0</v>
      </c>
      <c r="M82" s="414"/>
      <c r="N82" s="420">
        <v>0</v>
      </c>
      <c r="O82" s="414"/>
      <c r="P82" s="419">
        <f t="shared" si="12"/>
        <v>69274.929999999993</v>
      </c>
      <c r="Q82" s="414"/>
      <c r="R82" s="419">
        <v>69274.929999999993</v>
      </c>
      <c r="S82" s="419">
        <v>69274.929999999993</v>
      </c>
      <c r="T82" s="419">
        <f t="shared" si="13"/>
        <v>69274.929999999993</v>
      </c>
      <c r="U82" s="414"/>
      <c r="V82" s="420">
        <f t="shared" si="14"/>
        <v>0</v>
      </c>
      <c r="W82" s="414"/>
      <c r="X82" s="414"/>
    </row>
    <row r="83" spans="1:24" s="421" customFormat="1" outlineLevel="1">
      <c r="A83" s="414"/>
      <c r="B83" s="415" t="s">
        <v>397</v>
      </c>
      <c r="C83" s="416"/>
      <c r="D83" s="417">
        <v>14071</v>
      </c>
      <c r="E83" s="417" t="s">
        <v>725</v>
      </c>
      <c r="F83" s="418"/>
      <c r="G83" s="418"/>
      <c r="H83" s="414"/>
      <c r="I83" s="414"/>
      <c r="J83" s="419">
        <v>267255.90000000002</v>
      </c>
      <c r="K83" s="414"/>
      <c r="L83" s="419">
        <v>0</v>
      </c>
      <c r="M83" s="414"/>
      <c r="N83" s="420">
        <v>0</v>
      </c>
      <c r="O83" s="414"/>
      <c r="P83" s="419">
        <f t="shared" si="12"/>
        <v>267255.90000000002</v>
      </c>
      <c r="Q83" s="414"/>
      <c r="R83" s="419">
        <v>267255.90000000002</v>
      </c>
      <c r="S83" s="419">
        <v>267255.90000000002</v>
      </c>
      <c r="T83" s="419">
        <f t="shared" si="13"/>
        <v>267255.90000000002</v>
      </c>
      <c r="U83" s="414"/>
      <c r="V83" s="420">
        <f t="shared" si="14"/>
        <v>0</v>
      </c>
      <c r="W83" s="414"/>
      <c r="X83" s="414"/>
    </row>
    <row r="84" spans="1:24" s="421" customFormat="1" outlineLevel="1">
      <c r="A84" s="414"/>
      <c r="B84" s="415" t="s">
        <v>397</v>
      </c>
      <c r="C84" s="416"/>
      <c r="D84" s="417">
        <v>14073</v>
      </c>
      <c r="E84" s="417" t="s">
        <v>726</v>
      </c>
      <c r="F84" s="418"/>
      <c r="G84" s="418"/>
      <c r="H84" s="414"/>
      <c r="I84" s="414"/>
      <c r="J84" s="419">
        <v>49890.47</v>
      </c>
      <c r="K84" s="414"/>
      <c r="L84" s="419">
        <v>0</v>
      </c>
      <c r="M84" s="414"/>
      <c r="N84" s="420">
        <v>0</v>
      </c>
      <c r="O84" s="414"/>
      <c r="P84" s="419">
        <f t="shared" si="12"/>
        <v>49890.47</v>
      </c>
      <c r="Q84" s="414"/>
      <c r="R84" s="419">
        <v>49890.47</v>
      </c>
      <c r="S84" s="419">
        <v>49890.47</v>
      </c>
      <c r="T84" s="419">
        <f t="shared" si="13"/>
        <v>49890.47</v>
      </c>
      <c r="U84" s="414"/>
      <c r="V84" s="420">
        <f t="shared" si="14"/>
        <v>0</v>
      </c>
      <c r="W84" s="414"/>
      <c r="X84" s="414"/>
    </row>
    <row r="85" spans="1:24" s="421" customFormat="1" outlineLevel="1">
      <c r="A85" s="414"/>
      <c r="B85" s="415" t="s">
        <v>397</v>
      </c>
      <c r="C85" s="416"/>
      <c r="D85" s="417">
        <v>14076</v>
      </c>
      <c r="E85" s="417" t="s">
        <v>727</v>
      </c>
      <c r="F85" s="418"/>
      <c r="G85" s="418"/>
      <c r="H85" s="414"/>
      <c r="I85" s="414"/>
      <c r="J85" s="419">
        <v>-250721.92000000001</v>
      </c>
      <c r="K85" s="414"/>
      <c r="L85" s="419">
        <v>0</v>
      </c>
      <c r="M85" s="414"/>
      <c r="N85" s="420">
        <v>0</v>
      </c>
      <c r="O85" s="414"/>
      <c r="P85" s="419">
        <f t="shared" si="12"/>
        <v>-250721.92000000001</v>
      </c>
      <c r="Q85" s="414"/>
      <c r="R85" s="419">
        <v>-248549.06</v>
      </c>
      <c r="S85" s="419">
        <v>-249635.5</v>
      </c>
      <c r="T85" s="419">
        <f t="shared" si="13"/>
        <v>-250721.92000000001</v>
      </c>
      <c r="U85" s="414"/>
      <c r="V85" s="420">
        <f t="shared" si="14"/>
        <v>-1086.4200000000128</v>
      </c>
      <c r="W85" s="414"/>
      <c r="X85" s="414"/>
    </row>
    <row r="86" spans="1:24" s="421" customFormat="1" outlineLevel="1">
      <c r="A86" s="414"/>
      <c r="B86" s="415" t="s">
        <v>397</v>
      </c>
      <c r="C86" s="416"/>
      <c r="D86" s="417">
        <v>14077</v>
      </c>
      <c r="E86" s="417" t="s">
        <v>728</v>
      </c>
      <c r="F86" s="418"/>
      <c r="G86" s="418"/>
      <c r="H86" s="414"/>
      <c r="I86" s="414"/>
      <c r="J86" s="419">
        <v>-39682.65</v>
      </c>
      <c r="K86" s="414"/>
      <c r="L86" s="419">
        <v>0</v>
      </c>
      <c r="M86" s="414"/>
      <c r="N86" s="420">
        <v>0</v>
      </c>
      <c r="O86" s="414"/>
      <c r="P86" s="419">
        <f t="shared" si="12"/>
        <v>-39682.65</v>
      </c>
      <c r="Q86" s="414"/>
      <c r="R86" s="419">
        <v>-39682.65</v>
      </c>
      <c r="S86" s="419">
        <v>-39682.65</v>
      </c>
      <c r="T86" s="419">
        <f t="shared" si="13"/>
        <v>-39682.65</v>
      </c>
      <c r="U86" s="414"/>
      <c r="V86" s="420">
        <f t="shared" si="14"/>
        <v>0</v>
      </c>
      <c r="W86" s="414"/>
      <c r="X86" s="414"/>
    </row>
    <row r="87" spans="1:24" s="421" customFormat="1" outlineLevel="1">
      <c r="A87" s="414"/>
      <c r="B87" s="415" t="s">
        <v>397</v>
      </c>
      <c r="C87" s="416"/>
      <c r="D87" s="417">
        <v>14081</v>
      </c>
      <c r="E87" s="417" t="s">
        <v>729</v>
      </c>
      <c r="F87" s="418"/>
      <c r="G87" s="418"/>
      <c r="H87" s="414"/>
      <c r="I87" s="414"/>
      <c r="J87" s="419">
        <v>97080.04</v>
      </c>
      <c r="K87" s="414"/>
      <c r="L87" s="419">
        <v>0</v>
      </c>
      <c r="M87" s="414"/>
      <c r="N87" s="420">
        <v>0</v>
      </c>
      <c r="O87" s="414"/>
      <c r="P87" s="419">
        <f t="shared" si="12"/>
        <v>97080.04</v>
      </c>
      <c r="Q87" s="414"/>
      <c r="R87" s="419">
        <v>97080.04</v>
      </c>
      <c r="S87" s="419">
        <v>97080.04</v>
      </c>
      <c r="T87" s="419">
        <f t="shared" si="13"/>
        <v>97080.04</v>
      </c>
      <c r="U87" s="414"/>
      <c r="V87" s="420">
        <f t="shared" si="14"/>
        <v>0</v>
      </c>
      <c r="W87" s="414"/>
      <c r="X87" s="414"/>
    </row>
    <row r="88" spans="1:24" s="421" customFormat="1" outlineLevel="1">
      <c r="A88" s="414"/>
      <c r="B88" s="415" t="s">
        <v>397</v>
      </c>
      <c r="C88" s="416"/>
      <c r="D88" s="417">
        <v>14082</v>
      </c>
      <c r="E88" s="417" t="s">
        <v>730</v>
      </c>
      <c r="F88" s="418"/>
      <c r="G88" s="418"/>
      <c r="H88" s="414"/>
      <c r="I88" s="414"/>
      <c r="J88" s="419">
        <v>2698000</v>
      </c>
      <c r="K88" s="414"/>
      <c r="L88" s="419">
        <v>0</v>
      </c>
      <c r="M88" s="414"/>
      <c r="N88" s="420">
        <v>0</v>
      </c>
      <c r="O88" s="414"/>
      <c r="P88" s="419">
        <f t="shared" si="12"/>
        <v>2698000</v>
      </c>
      <c r="Q88" s="414"/>
      <c r="R88" s="419">
        <v>2698000</v>
      </c>
      <c r="S88" s="419">
        <v>2698000</v>
      </c>
      <c r="T88" s="419">
        <f t="shared" si="13"/>
        <v>2698000</v>
      </c>
      <c r="U88" s="414"/>
      <c r="V88" s="420">
        <f t="shared" si="14"/>
        <v>0</v>
      </c>
      <c r="W88" s="414"/>
      <c r="X88" s="414"/>
    </row>
    <row r="89" spans="1:24" s="421" customFormat="1" outlineLevel="1">
      <c r="A89" s="414"/>
      <c r="B89" s="415" t="s">
        <v>397</v>
      </c>
      <c r="C89" s="416"/>
      <c r="D89" s="417">
        <v>14086</v>
      </c>
      <c r="E89" s="417" t="s">
        <v>731</v>
      </c>
      <c r="F89" s="418"/>
      <c r="G89" s="418"/>
      <c r="H89" s="414"/>
      <c r="I89" s="414"/>
      <c r="J89" s="419">
        <v>-1470447.33</v>
      </c>
      <c r="K89" s="414"/>
      <c r="L89" s="419">
        <v>0</v>
      </c>
      <c r="M89" s="414"/>
      <c r="N89" s="420">
        <v>0</v>
      </c>
      <c r="O89" s="414"/>
      <c r="P89" s="419">
        <f t="shared" si="12"/>
        <v>-1470447.33</v>
      </c>
      <c r="Q89" s="414"/>
      <c r="R89" s="419">
        <v>-1446325.37</v>
      </c>
      <c r="S89" s="419">
        <v>-1458386.37</v>
      </c>
      <c r="T89" s="419">
        <f t="shared" si="13"/>
        <v>-1470447.33</v>
      </c>
      <c r="U89" s="414"/>
      <c r="V89" s="420">
        <f t="shared" si="14"/>
        <v>-12060.959999999963</v>
      </c>
      <c r="W89" s="414"/>
      <c r="X89" s="414"/>
    </row>
    <row r="90" spans="1:24" s="421" customFormat="1" outlineLevel="1">
      <c r="A90" s="414"/>
      <c r="B90" s="415" t="s">
        <v>397</v>
      </c>
      <c r="C90" s="416"/>
      <c r="D90" s="417">
        <v>14101</v>
      </c>
      <c r="E90" s="417" t="s">
        <v>732</v>
      </c>
      <c r="F90" s="418"/>
      <c r="G90" s="418"/>
      <c r="H90" s="414"/>
      <c r="I90" s="414"/>
      <c r="J90" s="419">
        <v>110314.65</v>
      </c>
      <c r="K90" s="414"/>
      <c r="L90" s="419">
        <v>0</v>
      </c>
      <c r="M90" s="414"/>
      <c r="N90" s="420">
        <v>0</v>
      </c>
      <c r="O90" s="414"/>
      <c r="P90" s="419">
        <f t="shared" si="12"/>
        <v>110314.65</v>
      </c>
      <c r="Q90" s="414"/>
      <c r="R90" s="419">
        <v>110314.65</v>
      </c>
      <c r="S90" s="419">
        <v>110314.65</v>
      </c>
      <c r="T90" s="419">
        <f t="shared" si="13"/>
        <v>110314.65</v>
      </c>
      <c r="U90" s="414"/>
      <c r="V90" s="420">
        <f t="shared" si="14"/>
        <v>0</v>
      </c>
      <c r="W90" s="414"/>
      <c r="X90" s="414"/>
    </row>
    <row r="91" spans="1:24" s="421" customFormat="1" outlineLevel="1">
      <c r="A91" s="414"/>
      <c r="B91" s="415" t="s">
        <v>397</v>
      </c>
      <c r="C91" s="416"/>
      <c r="D91" s="417">
        <v>14106</v>
      </c>
      <c r="E91" s="417" t="s">
        <v>733</v>
      </c>
      <c r="F91" s="418"/>
      <c r="G91" s="418"/>
      <c r="H91" s="414"/>
      <c r="I91" s="414"/>
      <c r="J91" s="419">
        <v>-105790.22</v>
      </c>
      <c r="K91" s="414"/>
      <c r="L91" s="419">
        <v>0</v>
      </c>
      <c r="M91" s="414"/>
      <c r="N91" s="420">
        <v>0</v>
      </c>
      <c r="O91" s="414"/>
      <c r="P91" s="419">
        <f t="shared" si="12"/>
        <v>-105790.22</v>
      </c>
      <c r="Q91" s="414"/>
      <c r="R91" s="419">
        <v>-105490.38</v>
      </c>
      <c r="S91" s="419">
        <v>-105640.3</v>
      </c>
      <c r="T91" s="419">
        <f t="shared" si="13"/>
        <v>-105790.22</v>
      </c>
      <c r="U91" s="414"/>
      <c r="V91" s="420">
        <f t="shared" si="14"/>
        <v>-149.91999999999825</v>
      </c>
      <c r="W91" s="414"/>
      <c r="X91" s="414"/>
    </row>
    <row r="92" spans="1:24" s="421" customFormat="1" outlineLevel="1">
      <c r="A92" s="414"/>
      <c r="B92" s="415" t="s">
        <v>397</v>
      </c>
      <c r="C92" s="416"/>
      <c r="D92" s="417">
        <v>14111</v>
      </c>
      <c r="E92" s="417" t="s">
        <v>734</v>
      </c>
      <c r="F92" s="418"/>
      <c r="G92" s="418"/>
      <c r="H92" s="414"/>
      <c r="I92" s="414"/>
      <c r="J92" s="419">
        <v>238150.34</v>
      </c>
      <c r="K92" s="414"/>
      <c r="L92" s="419">
        <v>0</v>
      </c>
      <c r="M92" s="414"/>
      <c r="N92" s="420">
        <v>0</v>
      </c>
      <c r="O92" s="414"/>
      <c r="P92" s="419">
        <f t="shared" si="12"/>
        <v>238150.34</v>
      </c>
      <c r="Q92" s="414"/>
      <c r="R92" s="419">
        <v>236784.65</v>
      </c>
      <c r="S92" s="419">
        <v>238150.34</v>
      </c>
      <c r="T92" s="419">
        <f t="shared" si="13"/>
        <v>238150.34</v>
      </c>
      <c r="U92" s="414"/>
      <c r="V92" s="420">
        <f t="shared" si="14"/>
        <v>0</v>
      </c>
      <c r="W92" s="414"/>
      <c r="X92" s="414"/>
    </row>
    <row r="93" spans="1:24" s="421" customFormat="1" outlineLevel="1">
      <c r="A93" s="414"/>
      <c r="B93" s="415" t="s">
        <v>397</v>
      </c>
      <c r="C93" s="416"/>
      <c r="D93" s="417">
        <v>14113</v>
      </c>
      <c r="E93" s="417" t="s">
        <v>735</v>
      </c>
      <c r="F93" s="418"/>
      <c r="G93" s="418"/>
      <c r="H93" s="414"/>
      <c r="I93" s="414"/>
      <c r="J93" s="419">
        <v>1631.74</v>
      </c>
      <c r="K93" s="414"/>
      <c r="L93" s="419">
        <v>0</v>
      </c>
      <c r="M93" s="414"/>
      <c r="N93" s="420">
        <v>0</v>
      </c>
      <c r="O93" s="414"/>
      <c r="P93" s="419">
        <f t="shared" si="12"/>
        <v>1631.74</v>
      </c>
      <c r="Q93" s="414"/>
      <c r="R93" s="419">
        <v>1631.74</v>
      </c>
      <c r="S93" s="419">
        <v>1631.74</v>
      </c>
      <c r="T93" s="419">
        <f t="shared" si="13"/>
        <v>1631.74</v>
      </c>
      <c r="U93" s="414"/>
      <c r="V93" s="420">
        <f t="shared" si="14"/>
        <v>0</v>
      </c>
      <c r="W93" s="414"/>
      <c r="X93" s="414"/>
    </row>
    <row r="94" spans="1:24" s="421" customFormat="1" outlineLevel="1">
      <c r="A94" s="414"/>
      <c r="B94" s="415" t="s">
        <v>397</v>
      </c>
      <c r="C94" s="416"/>
      <c r="D94" s="417">
        <v>14116</v>
      </c>
      <c r="E94" s="417" t="s">
        <v>736</v>
      </c>
      <c r="F94" s="418"/>
      <c r="G94" s="418"/>
      <c r="H94" s="414"/>
      <c r="I94" s="414"/>
      <c r="J94" s="419">
        <v>-234998.96</v>
      </c>
      <c r="K94" s="414"/>
      <c r="L94" s="419">
        <v>0</v>
      </c>
      <c r="M94" s="414"/>
      <c r="N94" s="420">
        <v>0</v>
      </c>
      <c r="O94" s="414"/>
      <c r="P94" s="419">
        <f t="shared" si="12"/>
        <v>-234998.96</v>
      </c>
      <c r="Q94" s="414"/>
      <c r="R94" s="419">
        <v>-234764.09</v>
      </c>
      <c r="S94" s="419">
        <v>-234881.52</v>
      </c>
      <c r="T94" s="419">
        <f t="shared" si="13"/>
        <v>-234998.96</v>
      </c>
      <c r="U94" s="414"/>
      <c r="V94" s="420">
        <f t="shared" si="14"/>
        <v>-117.44000000000233</v>
      </c>
      <c r="W94" s="414"/>
      <c r="X94" s="414"/>
    </row>
    <row r="95" spans="1:24" s="421" customFormat="1" outlineLevel="1">
      <c r="A95" s="414"/>
      <c r="B95" s="415" t="s">
        <v>397</v>
      </c>
      <c r="C95" s="416"/>
      <c r="D95" s="417">
        <v>14117</v>
      </c>
      <c r="E95" s="417" t="s">
        <v>737</v>
      </c>
      <c r="F95" s="418"/>
      <c r="G95" s="418"/>
      <c r="H95" s="414"/>
      <c r="I95" s="414"/>
      <c r="J95" s="419">
        <v>-1341.72</v>
      </c>
      <c r="K95" s="414"/>
      <c r="L95" s="419">
        <v>0</v>
      </c>
      <c r="M95" s="414"/>
      <c r="N95" s="420">
        <v>0</v>
      </c>
      <c r="O95" s="414"/>
      <c r="P95" s="419">
        <f t="shared" si="12"/>
        <v>-1341.72</v>
      </c>
      <c r="Q95" s="414"/>
      <c r="R95" s="419">
        <v>-1341.72</v>
      </c>
      <c r="S95" s="419">
        <v>-1341.72</v>
      </c>
      <c r="T95" s="419">
        <f t="shared" si="13"/>
        <v>-1341.72</v>
      </c>
      <c r="U95" s="414"/>
      <c r="V95" s="420">
        <f t="shared" si="14"/>
        <v>0</v>
      </c>
      <c r="W95" s="414"/>
      <c r="X95" s="414"/>
    </row>
    <row r="96" spans="1:24" s="421" customFormat="1" outlineLevel="1">
      <c r="A96" s="414"/>
      <c r="B96" s="415" t="s">
        <v>397</v>
      </c>
      <c r="C96" s="416"/>
      <c r="D96" s="417">
        <v>14121</v>
      </c>
      <c r="E96" s="417" t="s">
        <v>836</v>
      </c>
      <c r="F96" s="418"/>
      <c r="G96" s="418"/>
      <c r="H96" s="414"/>
      <c r="I96" s="414"/>
      <c r="J96" s="419">
        <v>0</v>
      </c>
      <c r="K96" s="414"/>
      <c r="L96" s="419">
        <v>0</v>
      </c>
      <c r="M96" s="414"/>
      <c r="N96" s="420">
        <v>0</v>
      </c>
      <c r="O96" s="414"/>
      <c r="P96" s="419">
        <f t="shared" si="12"/>
        <v>0</v>
      </c>
      <c r="Q96" s="414"/>
      <c r="R96" s="419">
        <v>0</v>
      </c>
      <c r="S96" s="419">
        <v>25974.93</v>
      </c>
      <c r="T96" s="419">
        <f t="shared" si="13"/>
        <v>0</v>
      </c>
      <c r="U96" s="414"/>
      <c r="V96" s="420">
        <f t="shared" si="14"/>
        <v>-25974.93</v>
      </c>
      <c r="W96" s="414"/>
      <c r="X96" s="414"/>
    </row>
    <row r="97" spans="1:25" s="421" customFormat="1" outlineLevel="1">
      <c r="A97" s="414"/>
      <c r="B97" s="415" t="s">
        <v>397</v>
      </c>
      <c r="C97" s="416"/>
      <c r="D97" s="417">
        <v>14201</v>
      </c>
      <c r="E97" s="417" t="s">
        <v>738</v>
      </c>
      <c r="F97" s="418"/>
      <c r="G97" s="418"/>
      <c r="H97" s="414"/>
      <c r="I97" s="414"/>
      <c r="J97" s="419">
        <v>242809.06</v>
      </c>
      <c r="K97" s="414"/>
      <c r="L97" s="419">
        <v>0</v>
      </c>
      <c r="M97" s="414"/>
      <c r="N97" s="420">
        <v>0</v>
      </c>
      <c r="O97" s="414"/>
      <c r="P97" s="419">
        <f t="shared" si="12"/>
        <v>242809.06</v>
      </c>
      <c r="Q97" s="414"/>
      <c r="R97" s="419">
        <v>136829.01</v>
      </c>
      <c r="S97" s="419">
        <v>136829.01</v>
      </c>
      <c r="T97" s="419">
        <f t="shared" si="13"/>
        <v>242809.06</v>
      </c>
      <c r="U97" s="414"/>
      <c r="V97" s="420">
        <f t="shared" si="14"/>
        <v>105980.04999999999</v>
      </c>
      <c r="W97" s="414"/>
      <c r="X97" s="414"/>
    </row>
    <row r="98" spans="1:25" s="421" customFormat="1" ht="4.5" customHeight="1" outlineLevel="1">
      <c r="A98" s="449" t="s">
        <v>194</v>
      </c>
      <c r="B98" s="449" t="s">
        <v>194</v>
      </c>
      <c r="C98" s="449"/>
      <c r="D98" s="458"/>
      <c r="E98" s="414"/>
      <c r="F98" s="414"/>
      <c r="G98" s="414"/>
      <c r="H98" s="414"/>
      <c r="I98" s="414"/>
      <c r="J98" s="453"/>
      <c r="K98" s="414"/>
      <c r="L98" s="453"/>
      <c r="M98" s="414"/>
      <c r="N98" s="454"/>
      <c r="O98" s="414"/>
      <c r="P98" s="453"/>
      <c r="Q98" s="414"/>
      <c r="R98" s="453"/>
      <c r="S98" s="453"/>
      <c r="T98" s="453"/>
      <c r="U98" s="414"/>
      <c r="V98" s="454"/>
      <c r="W98" s="414"/>
      <c r="X98" s="414"/>
      <c r="Y98" s="414"/>
    </row>
    <row r="99" spans="1:25" s="421" customFormat="1">
      <c r="A99" s="416" t="s">
        <v>704</v>
      </c>
      <c r="B99" s="449" t="s">
        <v>194</v>
      </c>
      <c r="C99" s="449"/>
      <c r="D99" s="414"/>
      <c r="E99" s="414"/>
      <c r="F99" s="414" t="s">
        <v>739</v>
      </c>
      <c r="G99" s="414"/>
      <c r="H99" s="414"/>
      <c r="I99" s="414"/>
      <c r="J99" s="451">
        <f>SUM(J60:J98)</f>
        <v>16176057.629999999</v>
      </c>
      <c r="K99" s="414"/>
      <c r="L99" s="451">
        <f>SUM(L60:L98)</f>
        <v>0</v>
      </c>
      <c r="M99" s="414"/>
      <c r="N99" s="452">
        <f>SUM(N60:N98)</f>
        <v>0</v>
      </c>
      <c r="O99" s="414"/>
      <c r="P99" s="451">
        <f>J99+L99+N99</f>
        <v>16176057.629999999</v>
      </c>
      <c r="Q99" s="414"/>
      <c r="R99" s="451">
        <f>SUM(R60:R98)</f>
        <v>16380631.219999995</v>
      </c>
      <c r="S99" s="451">
        <f>SUM(S60:S98)</f>
        <v>16251864.069999997</v>
      </c>
      <c r="T99" s="451">
        <f>SUM(T60:T98)</f>
        <v>16176057.629999999</v>
      </c>
      <c r="U99" s="414"/>
      <c r="V99" s="452">
        <f>SUM(V60:V98)</f>
        <v>-75806.439999999071</v>
      </c>
      <c r="W99" s="414"/>
      <c r="X99" s="414"/>
      <c r="Y99" s="414"/>
    </row>
    <row r="100" spans="1:25" s="421" customFormat="1" outlineLevel="1">
      <c r="A100" s="414"/>
      <c r="B100" s="415" t="s">
        <v>740</v>
      </c>
      <c r="C100" s="416"/>
      <c r="D100" s="417"/>
      <c r="E100" s="417"/>
      <c r="F100" s="418"/>
      <c r="G100" s="418"/>
      <c r="H100" s="414"/>
      <c r="I100" s="414"/>
      <c r="J100" s="419"/>
      <c r="K100" s="414"/>
      <c r="L100" s="419"/>
      <c r="M100" s="414"/>
      <c r="N100" s="420"/>
      <c r="O100" s="414"/>
      <c r="P100" s="419">
        <f>J100+L100+N100</f>
        <v>0</v>
      </c>
      <c r="Q100" s="414"/>
      <c r="R100" s="419"/>
      <c r="S100" s="419"/>
      <c r="T100" s="419">
        <f>P100</f>
        <v>0</v>
      </c>
      <c r="U100" s="414"/>
      <c r="V100" s="420">
        <f>T100-S100</f>
        <v>0</v>
      </c>
      <c r="W100" s="414"/>
      <c r="X100" s="414"/>
    </row>
    <row r="101" spans="1:25" s="421" customFormat="1" ht="5.0999999999999996" customHeight="1" outlineLevel="1">
      <c r="A101" s="449" t="s">
        <v>194</v>
      </c>
      <c r="B101" s="449" t="s">
        <v>194</v>
      </c>
      <c r="C101" s="449"/>
      <c r="D101" s="418"/>
      <c r="E101" s="418"/>
      <c r="F101" s="418"/>
      <c r="G101" s="418"/>
      <c r="H101" s="414"/>
      <c r="I101" s="414"/>
      <c r="J101" s="453"/>
      <c r="K101" s="414"/>
      <c r="L101" s="453"/>
      <c r="M101" s="414"/>
      <c r="N101" s="454"/>
      <c r="O101" s="414"/>
      <c r="P101" s="453"/>
      <c r="Q101" s="414"/>
      <c r="R101" s="453"/>
      <c r="S101" s="453"/>
      <c r="T101" s="453"/>
      <c r="U101" s="414"/>
      <c r="V101" s="454"/>
      <c r="W101" s="414"/>
      <c r="X101" s="414"/>
      <c r="Y101" s="414"/>
    </row>
    <row r="102" spans="1:25" s="421" customFormat="1">
      <c r="A102" s="416" t="s">
        <v>740</v>
      </c>
      <c r="B102" s="449" t="s">
        <v>194</v>
      </c>
      <c r="C102" s="449"/>
      <c r="D102" s="414"/>
      <c r="E102" s="414"/>
      <c r="F102" s="417" t="s">
        <v>741</v>
      </c>
      <c r="G102" s="414"/>
      <c r="H102" s="414"/>
      <c r="I102" s="414"/>
      <c r="J102" s="451">
        <f>SUM(J100:J101)</f>
        <v>0</v>
      </c>
      <c r="K102" s="414"/>
      <c r="L102" s="451">
        <f>SUM(L100:L101)</f>
        <v>0</v>
      </c>
      <c r="M102" s="414"/>
      <c r="N102" s="452">
        <f>SUM(N100:N101)</f>
        <v>0</v>
      </c>
      <c r="O102" s="414"/>
      <c r="P102" s="451">
        <f>J102+L102+N102</f>
        <v>0</v>
      </c>
      <c r="Q102" s="414"/>
      <c r="R102" s="451">
        <f>SUM(R100:R101)</f>
        <v>0</v>
      </c>
      <c r="S102" s="451">
        <f>SUM(S100:S101)</f>
        <v>0</v>
      </c>
      <c r="T102" s="451">
        <f>SUM(T100:T101)</f>
        <v>0</v>
      </c>
      <c r="U102" s="414"/>
      <c r="V102" s="452">
        <f>SUM(V100:V101)</f>
        <v>0</v>
      </c>
      <c r="W102" s="414"/>
      <c r="X102" s="414"/>
      <c r="Y102" s="414"/>
    </row>
    <row r="103" spans="1:25" s="421" customFormat="1" outlineLevel="1">
      <c r="A103" s="414"/>
      <c r="B103" s="415" t="s">
        <v>742</v>
      </c>
      <c r="C103" s="416"/>
      <c r="D103" s="417">
        <v>15111</v>
      </c>
      <c r="E103" s="417" t="s">
        <v>743</v>
      </c>
      <c r="F103" s="418"/>
      <c r="G103" s="418"/>
      <c r="H103" s="414"/>
      <c r="I103" s="414"/>
      <c r="J103" s="419">
        <v>2119667.87</v>
      </c>
      <c r="K103" s="414"/>
      <c r="L103" s="419">
        <v>0</v>
      </c>
      <c r="M103" s="414"/>
      <c r="N103" s="420">
        <v>0</v>
      </c>
      <c r="O103" s="414"/>
      <c r="P103" s="419">
        <f>J103+L103+N103</f>
        <v>2119667.87</v>
      </c>
      <c r="Q103" s="414"/>
      <c r="R103" s="419">
        <v>2119667.87</v>
      </c>
      <c r="S103" s="419">
        <v>2119667.87</v>
      </c>
      <c r="T103" s="419">
        <f>P103</f>
        <v>2119667.87</v>
      </c>
      <c r="U103" s="414"/>
      <c r="V103" s="420">
        <f>T103-S103</f>
        <v>0</v>
      </c>
      <c r="W103" s="414"/>
      <c r="X103" s="414"/>
    </row>
    <row r="104" spans="1:25" s="421" customFormat="1" ht="4.5" customHeight="1" outlineLevel="1">
      <c r="A104" s="449" t="s">
        <v>194</v>
      </c>
      <c r="B104" s="414" t="s">
        <v>194</v>
      </c>
      <c r="C104" s="459"/>
      <c r="D104" s="458"/>
      <c r="E104" s="414"/>
      <c r="F104" s="414"/>
      <c r="G104" s="414"/>
      <c r="H104" s="414"/>
      <c r="I104" s="414"/>
      <c r="J104" s="453"/>
      <c r="K104" s="414"/>
      <c r="L104" s="453"/>
      <c r="M104" s="414"/>
      <c r="N104" s="454"/>
      <c r="O104" s="414"/>
      <c r="P104" s="453"/>
      <c r="Q104" s="414"/>
      <c r="R104" s="453"/>
      <c r="S104" s="453"/>
      <c r="T104" s="453"/>
      <c r="U104" s="414"/>
      <c r="V104" s="454"/>
      <c r="W104" s="414"/>
      <c r="X104" s="414"/>
      <c r="Y104" s="414"/>
    </row>
    <row r="105" spans="1:25" s="421" customFormat="1">
      <c r="A105" s="416" t="s">
        <v>742</v>
      </c>
      <c r="B105" s="449" t="s">
        <v>194</v>
      </c>
      <c r="C105" s="449"/>
      <c r="D105" s="414"/>
      <c r="E105" s="414"/>
      <c r="F105" s="414" t="s">
        <v>744</v>
      </c>
      <c r="G105" s="414"/>
      <c r="H105" s="414"/>
      <c r="I105" s="414"/>
      <c r="J105" s="451">
        <f>SUM(J103:J104)</f>
        <v>2119667.87</v>
      </c>
      <c r="K105" s="414"/>
      <c r="L105" s="451">
        <f>SUM(L103:L104)</f>
        <v>0</v>
      </c>
      <c r="M105" s="414"/>
      <c r="N105" s="452">
        <f>SUM(N103:N104)</f>
        <v>0</v>
      </c>
      <c r="O105" s="414"/>
      <c r="P105" s="451">
        <f>J105+L105+N105</f>
        <v>2119667.87</v>
      </c>
      <c r="Q105" s="414"/>
      <c r="R105" s="451">
        <f>SUM(R103:R104)</f>
        <v>2119667.87</v>
      </c>
      <c r="S105" s="451">
        <f>SUM(S103:S104)</f>
        <v>2119667.87</v>
      </c>
      <c r="T105" s="451">
        <f>SUM(T103:T104)</f>
        <v>2119667.87</v>
      </c>
      <c r="U105" s="414"/>
      <c r="V105" s="452">
        <f>SUM(V103:V104)</f>
        <v>0</v>
      </c>
      <c r="W105" s="414"/>
      <c r="X105" s="414"/>
      <c r="Y105" s="414"/>
    </row>
    <row r="106" spans="1:25" s="421" customFormat="1" outlineLevel="1">
      <c r="A106" s="414"/>
      <c r="B106" s="415" t="s">
        <v>745</v>
      </c>
      <c r="C106" s="416"/>
      <c r="D106" s="417">
        <v>15222</v>
      </c>
      <c r="E106" s="417" t="s">
        <v>746</v>
      </c>
      <c r="F106" s="418"/>
      <c r="G106" s="418"/>
      <c r="H106" s="414"/>
      <c r="I106" s="414"/>
      <c r="J106" s="419">
        <v>1010555.08</v>
      </c>
      <c r="K106" s="414"/>
      <c r="L106" s="419">
        <v>0</v>
      </c>
      <c r="M106" s="414"/>
      <c r="N106" s="420">
        <v>0</v>
      </c>
      <c r="O106" s="414"/>
      <c r="P106" s="419">
        <f>J106+L106+N106</f>
        <v>1010555.08</v>
      </c>
      <c r="Q106" s="414"/>
      <c r="R106" s="419">
        <v>1010555.08</v>
      </c>
      <c r="S106" s="419">
        <v>1010555.08</v>
      </c>
      <c r="T106" s="419">
        <f t="shared" ref="T106:T109" si="15">P106</f>
        <v>1010555.08</v>
      </c>
      <c r="U106" s="414"/>
      <c r="V106" s="420">
        <f t="shared" ref="V106:V109" si="16">T106-S106</f>
        <v>0</v>
      </c>
      <c r="W106" s="414"/>
      <c r="X106" s="414"/>
    </row>
    <row r="107" spans="1:25" s="421" customFormat="1" outlineLevel="1">
      <c r="A107" s="414"/>
      <c r="B107" s="415" t="s">
        <v>397</v>
      </c>
      <c r="C107" s="416"/>
      <c r="D107" s="417">
        <v>15226</v>
      </c>
      <c r="E107" s="417" t="s">
        <v>747</v>
      </c>
      <c r="F107" s="418"/>
      <c r="G107" s="418"/>
      <c r="H107" s="414"/>
      <c r="I107" s="414"/>
      <c r="J107" s="419">
        <v>-437907.18</v>
      </c>
      <c r="K107" s="414"/>
      <c r="L107" s="419">
        <v>0</v>
      </c>
      <c r="M107" s="414"/>
      <c r="N107" s="420">
        <v>0</v>
      </c>
      <c r="O107" s="414"/>
      <c r="P107" s="419">
        <f>J107+L107+N107</f>
        <v>-437907.18</v>
      </c>
      <c r="Q107" s="414"/>
      <c r="R107" s="419">
        <v>-437907.18</v>
      </c>
      <c r="S107" s="419">
        <v>-437907.18</v>
      </c>
      <c r="T107" s="419">
        <f t="shared" si="15"/>
        <v>-437907.18</v>
      </c>
      <c r="U107" s="414"/>
      <c r="V107" s="420">
        <f t="shared" si="16"/>
        <v>0</v>
      </c>
      <c r="W107" s="414"/>
      <c r="X107" s="414"/>
    </row>
    <row r="108" spans="1:25" s="421" customFormat="1" outlineLevel="1">
      <c r="A108" s="414"/>
      <c r="B108" s="415" t="s">
        <v>397</v>
      </c>
      <c r="C108" s="416"/>
      <c r="D108" s="417">
        <v>15227</v>
      </c>
      <c r="E108" s="417" t="s">
        <v>748</v>
      </c>
      <c r="F108" s="418"/>
      <c r="G108" s="418"/>
      <c r="H108" s="414"/>
      <c r="I108" s="414"/>
      <c r="J108" s="419">
        <v>-572647.9</v>
      </c>
      <c r="K108" s="414"/>
      <c r="L108" s="419">
        <v>0</v>
      </c>
      <c r="M108" s="414"/>
      <c r="N108" s="420">
        <v>0</v>
      </c>
      <c r="O108" s="414"/>
      <c r="P108" s="419">
        <f>J108+L108+N108</f>
        <v>-572647.9</v>
      </c>
      <c r="Q108" s="414"/>
      <c r="R108" s="419">
        <v>-572647.9</v>
      </c>
      <c r="S108" s="419">
        <v>-572647.9</v>
      </c>
      <c r="T108" s="419">
        <f t="shared" si="15"/>
        <v>-572647.9</v>
      </c>
      <c r="U108" s="414"/>
      <c r="V108" s="420">
        <f t="shared" si="16"/>
        <v>0</v>
      </c>
      <c r="W108" s="414"/>
      <c r="X108" s="414"/>
    </row>
    <row r="109" spans="1:25" s="421" customFormat="1" outlineLevel="1">
      <c r="A109" s="414"/>
      <c r="B109" s="415" t="s">
        <v>397</v>
      </c>
      <c r="C109" s="416"/>
      <c r="D109" s="417">
        <v>15261</v>
      </c>
      <c r="E109" s="417" t="s">
        <v>749</v>
      </c>
      <c r="F109" s="418"/>
      <c r="G109" s="418"/>
      <c r="H109" s="414"/>
      <c r="I109" s="414"/>
      <c r="J109" s="419">
        <v>41614151</v>
      </c>
      <c r="K109" s="414"/>
      <c r="L109" s="419">
        <v>0</v>
      </c>
      <c r="M109" s="414"/>
      <c r="N109" s="420">
        <v>0</v>
      </c>
      <c r="O109" s="414"/>
      <c r="P109" s="419">
        <f>J109+L109+N109</f>
        <v>41614151</v>
      </c>
      <c r="Q109" s="414"/>
      <c r="R109" s="419">
        <v>41614151</v>
      </c>
      <c r="S109" s="419">
        <v>41614151</v>
      </c>
      <c r="T109" s="419">
        <f t="shared" si="15"/>
        <v>41614151</v>
      </c>
      <c r="U109" s="414"/>
      <c r="V109" s="420">
        <f t="shared" si="16"/>
        <v>0</v>
      </c>
      <c r="W109" s="414"/>
      <c r="X109" s="414"/>
    </row>
    <row r="110" spans="1:25" s="421" customFormat="1" ht="5.0999999999999996" customHeight="1" outlineLevel="1">
      <c r="A110" s="449" t="s">
        <v>194</v>
      </c>
      <c r="B110" s="416" t="s">
        <v>194</v>
      </c>
      <c r="C110" s="416"/>
      <c r="D110" s="418"/>
      <c r="E110" s="418"/>
      <c r="F110" s="418"/>
      <c r="G110" s="418"/>
      <c r="H110" s="414"/>
      <c r="I110" s="414"/>
      <c r="J110" s="453"/>
      <c r="K110" s="414"/>
      <c r="L110" s="453"/>
      <c r="M110" s="414"/>
      <c r="N110" s="454"/>
      <c r="O110" s="414"/>
      <c r="P110" s="453"/>
      <c r="Q110" s="414"/>
      <c r="R110" s="453"/>
      <c r="S110" s="453"/>
      <c r="T110" s="453"/>
      <c r="U110" s="414"/>
      <c r="V110" s="454"/>
      <c r="W110" s="414"/>
      <c r="X110" s="414"/>
      <c r="Y110" s="414"/>
    </row>
    <row r="111" spans="1:25" s="421" customFormat="1">
      <c r="A111" s="416" t="s">
        <v>745</v>
      </c>
      <c r="B111" s="449" t="s">
        <v>194</v>
      </c>
      <c r="C111" s="449"/>
      <c r="D111" s="414"/>
      <c r="E111" s="414"/>
      <c r="F111" s="417" t="s">
        <v>750</v>
      </c>
      <c r="G111" s="460"/>
      <c r="H111" s="460"/>
      <c r="I111" s="460"/>
      <c r="J111" s="451">
        <f>SUM(J106:J110)</f>
        <v>41614151</v>
      </c>
      <c r="K111" s="414"/>
      <c r="L111" s="451">
        <f>SUM(L106:L110)</f>
        <v>0</v>
      </c>
      <c r="M111" s="414"/>
      <c r="N111" s="452">
        <f>SUM(N106:N110)</f>
        <v>0</v>
      </c>
      <c r="O111" s="414"/>
      <c r="P111" s="451">
        <f>J111+L111+N111</f>
        <v>41614151</v>
      </c>
      <c r="Q111" s="414"/>
      <c r="R111" s="451">
        <f>SUM(R106:R110)</f>
        <v>41614151</v>
      </c>
      <c r="S111" s="451">
        <f>SUM(S106:S110)</f>
        <v>41614151</v>
      </c>
      <c r="T111" s="451">
        <f>SUM(T106:T110)</f>
        <v>41614151</v>
      </c>
      <c r="U111" s="414"/>
      <c r="V111" s="452">
        <f>SUM(V106:V110)</f>
        <v>0</v>
      </c>
      <c r="W111" s="414"/>
      <c r="X111" s="414"/>
      <c r="Y111" s="414"/>
    </row>
    <row r="112" spans="1:25" s="421" customFormat="1" outlineLevel="1">
      <c r="A112" s="414"/>
      <c r="B112" s="415" t="s">
        <v>751</v>
      </c>
      <c r="C112" s="416"/>
      <c r="D112" s="417">
        <v>16100</v>
      </c>
      <c r="E112" s="417" t="s">
        <v>752</v>
      </c>
      <c r="F112" s="418"/>
      <c r="G112" s="418"/>
      <c r="H112" s="414"/>
      <c r="I112" s="414"/>
      <c r="J112" s="419">
        <v>2450.9699999999998</v>
      </c>
      <c r="K112" s="414"/>
      <c r="L112" s="419">
        <v>0</v>
      </c>
      <c r="M112" s="414"/>
      <c r="N112" s="420">
        <v>0</v>
      </c>
      <c r="O112" s="414"/>
      <c r="P112" s="419">
        <f>J112+L112+N112</f>
        <v>2450.9699999999998</v>
      </c>
      <c r="Q112" s="414"/>
      <c r="R112" s="419">
        <v>2450.9699999999998</v>
      </c>
      <c r="S112" s="419">
        <v>2450.9699999999998</v>
      </c>
      <c r="T112" s="419">
        <f>P112</f>
        <v>2450.9699999999998</v>
      </c>
      <c r="U112" s="414"/>
      <c r="V112" s="420">
        <f>T112-S112</f>
        <v>0</v>
      </c>
      <c r="W112" s="414"/>
      <c r="X112" s="414"/>
    </row>
    <row r="113" spans="1:25" s="421" customFormat="1" ht="5.0999999999999996" customHeight="1" outlineLevel="1">
      <c r="A113" s="449" t="s">
        <v>194</v>
      </c>
      <c r="B113" s="416" t="s">
        <v>194</v>
      </c>
      <c r="C113" s="416"/>
      <c r="D113" s="418"/>
      <c r="E113" s="418"/>
      <c r="F113" s="418"/>
      <c r="G113" s="418"/>
      <c r="H113" s="414"/>
      <c r="I113" s="414"/>
      <c r="J113" s="453"/>
      <c r="K113" s="414"/>
      <c r="L113" s="453"/>
      <c r="M113" s="414"/>
      <c r="N113" s="454"/>
      <c r="O113" s="414"/>
      <c r="P113" s="453"/>
      <c r="Q113" s="414"/>
      <c r="R113" s="453"/>
      <c r="S113" s="453"/>
      <c r="T113" s="453"/>
      <c r="U113" s="414"/>
      <c r="V113" s="454"/>
      <c r="W113" s="414"/>
      <c r="X113" s="414"/>
      <c r="Y113" s="414"/>
    </row>
    <row r="114" spans="1:25" s="421" customFormat="1">
      <c r="A114" s="416" t="s">
        <v>751</v>
      </c>
      <c r="B114" s="416" t="s">
        <v>194</v>
      </c>
      <c r="C114" s="416"/>
      <c r="D114" s="414"/>
      <c r="E114" s="414"/>
      <c r="F114" s="417" t="s">
        <v>752</v>
      </c>
      <c r="G114" s="460"/>
      <c r="H114" s="460"/>
      <c r="I114" s="460"/>
      <c r="J114" s="451">
        <f>SUM(J112:J113)</f>
        <v>2450.9699999999998</v>
      </c>
      <c r="K114" s="414"/>
      <c r="L114" s="451">
        <f>SUM(L112:L113)</f>
        <v>0</v>
      </c>
      <c r="M114" s="414"/>
      <c r="N114" s="452">
        <f>SUM(N112:N113)</f>
        <v>0</v>
      </c>
      <c r="O114" s="414"/>
      <c r="P114" s="451">
        <f>J114+L114+N114</f>
        <v>2450.9699999999998</v>
      </c>
      <c r="Q114" s="414"/>
      <c r="R114" s="451">
        <f>SUM(R112:R113)</f>
        <v>2450.9699999999998</v>
      </c>
      <c r="S114" s="451">
        <f>SUM(S112:S113)</f>
        <v>2450.9699999999998</v>
      </c>
      <c r="T114" s="451">
        <f>SUM(T112:T113)</f>
        <v>2450.9699999999998</v>
      </c>
      <c r="U114" s="414"/>
      <c r="V114" s="452">
        <f>SUM(V112:V113)</f>
        <v>0</v>
      </c>
      <c r="W114" s="414"/>
      <c r="X114" s="414"/>
      <c r="Y114" s="414"/>
    </row>
    <row r="115" spans="1:25" s="421" customFormat="1" outlineLevel="1">
      <c r="A115" s="414"/>
      <c r="B115" s="415" t="s">
        <v>753</v>
      </c>
      <c r="C115" s="416"/>
      <c r="D115" s="417"/>
      <c r="E115" s="417"/>
      <c r="F115" s="418"/>
      <c r="G115" s="418"/>
      <c r="H115" s="414"/>
      <c r="I115" s="414"/>
      <c r="J115" s="419"/>
      <c r="K115" s="414"/>
      <c r="L115" s="419"/>
      <c r="M115" s="414"/>
      <c r="N115" s="420"/>
      <c r="O115" s="414"/>
      <c r="P115" s="419">
        <f>J115+L115+N115</f>
        <v>0</v>
      </c>
      <c r="Q115" s="414"/>
      <c r="R115" s="419"/>
      <c r="S115" s="419"/>
      <c r="T115" s="419">
        <f>P115</f>
        <v>0</v>
      </c>
      <c r="U115" s="414"/>
      <c r="V115" s="420">
        <f>T115-S115</f>
        <v>0</v>
      </c>
      <c r="W115" s="414"/>
      <c r="X115" s="414"/>
    </row>
    <row r="116" spans="1:25" s="421" customFormat="1" ht="4.5" customHeight="1" outlineLevel="1">
      <c r="A116" s="416" t="s">
        <v>194</v>
      </c>
      <c r="B116" s="414" t="s">
        <v>194</v>
      </c>
      <c r="C116" s="459"/>
      <c r="D116" s="458"/>
      <c r="E116" s="414"/>
      <c r="F116" s="414"/>
      <c r="G116" s="414"/>
      <c r="H116" s="414"/>
      <c r="I116" s="414"/>
      <c r="J116" s="453"/>
      <c r="K116" s="414"/>
      <c r="L116" s="453"/>
      <c r="M116" s="414"/>
      <c r="N116" s="454"/>
      <c r="O116" s="414"/>
      <c r="P116" s="453"/>
      <c r="Q116" s="414"/>
      <c r="R116" s="453"/>
      <c r="S116" s="453"/>
      <c r="T116" s="453"/>
      <c r="U116" s="414"/>
      <c r="V116" s="454"/>
      <c r="W116" s="414"/>
      <c r="X116" s="414"/>
      <c r="Y116" s="414"/>
    </row>
    <row r="117" spans="1:25" s="421" customFormat="1">
      <c r="A117" s="416" t="s">
        <v>753</v>
      </c>
      <c r="B117" s="449" t="s">
        <v>194</v>
      </c>
      <c r="C117" s="449"/>
      <c r="D117" s="414"/>
      <c r="E117" s="414"/>
      <c r="F117" s="414" t="s">
        <v>754</v>
      </c>
      <c r="G117" s="414"/>
      <c r="H117" s="414"/>
      <c r="I117" s="414"/>
      <c r="J117" s="451">
        <f>SUM(J115:J116)</f>
        <v>0</v>
      </c>
      <c r="K117" s="414"/>
      <c r="L117" s="451">
        <f>SUM(L115:L116)</f>
        <v>0</v>
      </c>
      <c r="M117" s="414"/>
      <c r="N117" s="452">
        <f>SUM(N115:N116)</f>
        <v>0</v>
      </c>
      <c r="O117" s="414"/>
      <c r="P117" s="451">
        <f>J117+L117+N117</f>
        <v>0</v>
      </c>
      <c r="Q117" s="414"/>
      <c r="R117" s="451">
        <f>SUM(R115:R116)</f>
        <v>0</v>
      </c>
      <c r="S117" s="451">
        <f>SUM(S115:S116)</f>
        <v>0</v>
      </c>
      <c r="T117" s="451">
        <f>SUM(T115:T116)</f>
        <v>0</v>
      </c>
      <c r="U117" s="414"/>
      <c r="V117" s="452">
        <f>SUM(V115:V116)</f>
        <v>0</v>
      </c>
      <c r="W117" s="414"/>
      <c r="X117" s="414"/>
      <c r="Y117" s="414"/>
    </row>
    <row r="118" spans="1:25" s="421" customFormat="1" outlineLevel="1">
      <c r="A118" s="414"/>
      <c r="B118" s="415" t="s">
        <v>755</v>
      </c>
      <c r="C118" s="416"/>
      <c r="D118" s="417"/>
      <c r="E118" s="417"/>
      <c r="F118" s="418"/>
      <c r="G118" s="418"/>
      <c r="H118" s="414"/>
      <c r="I118" s="414"/>
      <c r="J118" s="419"/>
      <c r="K118" s="414"/>
      <c r="L118" s="419"/>
      <c r="M118" s="414"/>
      <c r="N118" s="420"/>
      <c r="O118" s="414"/>
      <c r="P118" s="419">
        <f>J118+L118+N118</f>
        <v>0</v>
      </c>
      <c r="Q118" s="414"/>
      <c r="R118" s="419"/>
      <c r="S118" s="419"/>
      <c r="T118" s="419">
        <f>P118</f>
        <v>0</v>
      </c>
      <c r="U118" s="414"/>
      <c r="V118" s="420">
        <f>T118-S118</f>
        <v>0</v>
      </c>
      <c r="W118" s="414"/>
      <c r="X118" s="414"/>
    </row>
    <row r="119" spans="1:25" s="421" customFormat="1" ht="5.0999999999999996" customHeight="1" outlineLevel="1">
      <c r="A119" s="449" t="s">
        <v>194</v>
      </c>
      <c r="B119" s="449" t="s">
        <v>194</v>
      </c>
      <c r="C119" s="449"/>
      <c r="D119" s="418"/>
      <c r="E119" s="418"/>
      <c r="F119" s="418"/>
      <c r="G119" s="418"/>
      <c r="H119" s="414"/>
      <c r="I119" s="414"/>
      <c r="J119" s="453"/>
      <c r="K119" s="414"/>
      <c r="L119" s="453"/>
      <c r="M119" s="414"/>
      <c r="N119" s="454"/>
      <c r="O119" s="414"/>
      <c r="P119" s="453"/>
      <c r="Q119" s="414"/>
      <c r="R119" s="453"/>
      <c r="S119" s="453"/>
      <c r="T119" s="453"/>
      <c r="U119" s="414"/>
      <c r="V119" s="454"/>
      <c r="W119" s="414"/>
      <c r="X119" s="414"/>
      <c r="Y119" s="414"/>
    </row>
    <row r="120" spans="1:25" s="421" customFormat="1">
      <c r="A120" s="416" t="s">
        <v>755</v>
      </c>
      <c r="B120" s="449" t="s">
        <v>194</v>
      </c>
      <c r="C120" s="449"/>
      <c r="D120" s="414"/>
      <c r="E120" s="414"/>
      <c r="F120" s="417" t="s">
        <v>756</v>
      </c>
      <c r="G120" s="414"/>
      <c r="H120" s="414"/>
      <c r="I120" s="414"/>
      <c r="J120" s="451">
        <f>SUM(J118:J119)</f>
        <v>0</v>
      </c>
      <c r="K120" s="414"/>
      <c r="L120" s="451">
        <f>SUM(L118:L119)</f>
        <v>0</v>
      </c>
      <c r="M120" s="414"/>
      <c r="N120" s="452">
        <f>SUM(N118:N119)</f>
        <v>0</v>
      </c>
      <c r="O120" s="414"/>
      <c r="P120" s="451">
        <f>J120+L120+N120</f>
        <v>0</v>
      </c>
      <c r="Q120" s="414"/>
      <c r="R120" s="451">
        <f>SUM(R118:R119)</f>
        <v>0</v>
      </c>
      <c r="S120" s="451">
        <f>SUM(S118:S119)</f>
        <v>0</v>
      </c>
      <c r="T120" s="451">
        <f>SUM(T118:T119)</f>
        <v>0</v>
      </c>
      <c r="U120" s="414"/>
      <c r="V120" s="452">
        <f>SUM(V118:V119)</f>
        <v>0</v>
      </c>
      <c r="W120" s="414"/>
      <c r="X120" s="414"/>
      <c r="Y120" s="414"/>
    </row>
    <row r="121" spans="1:25" s="421" customFormat="1" outlineLevel="1">
      <c r="A121" s="414"/>
      <c r="B121" s="415" t="s">
        <v>757</v>
      </c>
      <c r="C121" s="416"/>
      <c r="D121" s="417"/>
      <c r="E121" s="417"/>
      <c r="F121" s="418"/>
      <c r="G121" s="418"/>
      <c r="H121" s="414"/>
      <c r="I121" s="414"/>
      <c r="J121" s="419"/>
      <c r="K121" s="414"/>
      <c r="L121" s="419"/>
      <c r="M121" s="414"/>
      <c r="N121" s="420"/>
      <c r="O121" s="414"/>
      <c r="P121" s="419">
        <f>J121+L121+N121</f>
        <v>0</v>
      </c>
      <c r="Q121" s="414"/>
      <c r="R121" s="419"/>
      <c r="S121" s="419"/>
      <c r="T121" s="419">
        <f>P121</f>
        <v>0</v>
      </c>
      <c r="U121" s="414"/>
      <c r="V121" s="420">
        <f>T121-S121</f>
        <v>0</v>
      </c>
      <c r="W121" s="414"/>
      <c r="X121" s="414"/>
    </row>
    <row r="122" spans="1:25" s="421" customFormat="1" ht="5.0999999999999996" customHeight="1" outlineLevel="1">
      <c r="A122" s="449" t="s">
        <v>194</v>
      </c>
      <c r="B122" s="449" t="s">
        <v>194</v>
      </c>
      <c r="C122" s="449"/>
      <c r="D122" s="418"/>
      <c r="E122" s="418"/>
      <c r="F122" s="418"/>
      <c r="G122" s="418"/>
      <c r="H122" s="414"/>
      <c r="I122" s="414"/>
      <c r="J122" s="453"/>
      <c r="K122" s="414"/>
      <c r="L122" s="453"/>
      <c r="M122" s="414"/>
      <c r="N122" s="454"/>
      <c r="O122" s="414"/>
      <c r="P122" s="453"/>
      <c r="Q122" s="414"/>
      <c r="R122" s="453"/>
      <c r="S122" s="453"/>
      <c r="T122" s="453"/>
      <c r="U122" s="414"/>
      <c r="V122" s="454"/>
      <c r="W122" s="414"/>
      <c r="X122" s="414"/>
      <c r="Y122" s="414"/>
    </row>
    <row r="123" spans="1:25" s="421" customFormat="1">
      <c r="A123" s="416" t="s">
        <v>757</v>
      </c>
      <c r="B123" s="416" t="s">
        <v>194</v>
      </c>
      <c r="C123" s="416"/>
      <c r="D123" s="414"/>
      <c r="E123" s="414"/>
      <c r="F123" s="417" t="s">
        <v>758</v>
      </c>
      <c r="G123" s="414"/>
      <c r="H123" s="414"/>
      <c r="I123" s="414"/>
      <c r="J123" s="451">
        <f>SUM(J121:J122)</f>
        <v>0</v>
      </c>
      <c r="K123" s="414"/>
      <c r="L123" s="451">
        <f>SUM(L121:L122)</f>
        <v>0</v>
      </c>
      <c r="M123" s="414"/>
      <c r="N123" s="452">
        <f>SUM(N121:N122)</f>
        <v>0</v>
      </c>
      <c r="O123" s="414"/>
      <c r="P123" s="451">
        <f>J123+L123+N123</f>
        <v>0</v>
      </c>
      <c r="Q123" s="414"/>
      <c r="R123" s="451">
        <f>SUM(R121:R122)</f>
        <v>0</v>
      </c>
      <c r="S123" s="451">
        <f>SUM(S121:S122)</f>
        <v>0</v>
      </c>
      <c r="T123" s="451">
        <f>SUM(T121:T122)</f>
        <v>0</v>
      </c>
      <c r="U123" s="414"/>
      <c r="V123" s="452">
        <f>SUM(V121:V122)</f>
        <v>0</v>
      </c>
      <c r="W123" s="414"/>
      <c r="X123" s="414"/>
      <c r="Y123" s="414"/>
    </row>
    <row r="124" spans="1:25" s="421" customFormat="1" outlineLevel="1">
      <c r="A124" s="414"/>
      <c r="B124" s="415" t="s">
        <v>759</v>
      </c>
      <c r="C124" s="416"/>
      <c r="D124" s="417">
        <v>17100</v>
      </c>
      <c r="E124" s="417" t="s">
        <v>760</v>
      </c>
      <c r="F124" s="418"/>
      <c r="G124" s="418"/>
      <c r="H124" s="414"/>
      <c r="I124" s="414"/>
      <c r="J124" s="419">
        <v>7713405.1399999997</v>
      </c>
      <c r="K124" s="414"/>
      <c r="L124" s="419">
        <v>0</v>
      </c>
      <c r="M124" s="414"/>
      <c r="N124" s="420">
        <v>0</v>
      </c>
      <c r="O124" s="414"/>
      <c r="P124" s="419">
        <f>J124+L124+N124</f>
        <v>7713405.1399999997</v>
      </c>
      <c r="Q124" s="414"/>
      <c r="R124" s="419">
        <v>6772189.5599999996</v>
      </c>
      <c r="S124" s="419">
        <v>7318906.3499999996</v>
      </c>
      <c r="T124" s="419">
        <f t="shared" ref="T124:T125" si="17">P124</f>
        <v>7713405.1399999997</v>
      </c>
      <c r="U124" s="414"/>
      <c r="V124" s="420">
        <f t="shared" ref="V124:V125" si="18">T124-S124</f>
        <v>394498.79000000004</v>
      </c>
      <c r="W124" s="414"/>
      <c r="X124" s="414"/>
    </row>
    <row r="125" spans="1:25" s="421" customFormat="1" outlineLevel="1">
      <c r="A125" s="414"/>
      <c r="B125" s="415" t="s">
        <v>397</v>
      </c>
      <c r="C125" s="416"/>
      <c r="D125" s="417">
        <v>18100</v>
      </c>
      <c r="E125" s="417" t="s">
        <v>761</v>
      </c>
      <c r="F125" s="418"/>
      <c r="G125" s="418"/>
      <c r="H125" s="414"/>
      <c r="I125" s="414"/>
      <c r="J125" s="419">
        <v>-31221730.129999999</v>
      </c>
      <c r="K125" s="414"/>
      <c r="L125" s="419">
        <v>0</v>
      </c>
      <c r="M125" s="414"/>
      <c r="N125" s="420">
        <v>0</v>
      </c>
      <c r="O125" s="414"/>
      <c r="P125" s="419">
        <f>J125+L125+N125</f>
        <v>-31221730.129999999</v>
      </c>
      <c r="Q125" s="414"/>
      <c r="R125" s="419">
        <v>-31221730.129999999</v>
      </c>
      <c r="S125" s="419">
        <v>-31221730.129999999</v>
      </c>
      <c r="T125" s="419">
        <f t="shared" si="17"/>
        <v>-31221730.129999999</v>
      </c>
      <c r="U125" s="414"/>
      <c r="V125" s="420">
        <f t="shared" si="18"/>
        <v>0</v>
      </c>
      <c r="W125" s="414"/>
      <c r="X125" s="414"/>
    </row>
    <row r="126" spans="1:25" s="421" customFormat="1" ht="5.0999999999999996" customHeight="1" outlineLevel="1">
      <c r="A126" s="416" t="s">
        <v>194</v>
      </c>
      <c r="B126" s="416" t="s">
        <v>194</v>
      </c>
      <c r="C126" s="416"/>
      <c r="D126" s="418"/>
      <c r="E126" s="418"/>
      <c r="F126" s="418"/>
      <c r="G126" s="418"/>
      <c r="H126" s="414"/>
      <c r="I126" s="414"/>
      <c r="J126" s="453"/>
      <c r="K126" s="414"/>
      <c r="L126" s="453"/>
      <c r="M126" s="414"/>
      <c r="N126" s="454"/>
      <c r="O126" s="414"/>
      <c r="P126" s="453"/>
      <c r="Q126" s="414"/>
      <c r="R126" s="453"/>
      <c r="S126" s="453"/>
      <c r="T126" s="453"/>
      <c r="U126" s="414"/>
      <c r="V126" s="454"/>
      <c r="W126" s="414"/>
      <c r="X126" s="414"/>
      <c r="Y126" s="414"/>
    </row>
    <row r="127" spans="1:25" s="421" customFormat="1">
      <c r="A127" s="416" t="s">
        <v>759</v>
      </c>
      <c r="B127" s="416" t="s">
        <v>194</v>
      </c>
      <c r="C127" s="416"/>
      <c r="D127" s="414"/>
      <c r="E127" s="414"/>
      <c r="F127" s="417" t="s">
        <v>762</v>
      </c>
      <c r="G127" s="414"/>
      <c r="H127" s="414"/>
      <c r="I127" s="414"/>
      <c r="J127" s="451">
        <f>SUM(J124:J126)</f>
        <v>-23508324.989999998</v>
      </c>
      <c r="K127" s="414"/>
      <c r="L127" s="451">
        <f>SUM(L124:L126)</f>
        <v>0</v>
      </c>
      <c r="M127" s="414"/>
      <c r="N127" s="452">
        <f>SUM(N124:N126)</f>
        <v>0</v>
      </c>
      <c r="O127" s="414"/>
      <c r="P127" s="451">
        <f>J127+L127+N127</f>
        <v>-23508324.989999998</v>
      </c>
      <c r="Q127" s="414"/>
      <c r="R127" s="451">
        <f>SUM(R124:R126)</f>
        <v>-24449540.57</v>
      </c>
      <c r="S127" s="451">
        <f>SUM(S124:S126)</f>
        <v>-23902823.780000001</v>
      </c>
      <c r="T127" s="451">
        <f>SUM(T124:T126)</f>
        <v>-23508324.989999998</v>
      </c>
      <c r="U127" s="414"/>
      <c r="V127" s="452">
        <f>SUM(V124:V126)</f>
        <v>394498.79000000004</v>
      </c>
      <c r="W127" s="414"/>
      <c r="X127" s="414"/>
      <c r="Y127" s="414"/>
    </row>
    <row r="128" spans="1:25" s="421" customFormat="1" ht="7.5" customHeight="1">
      <c r="A128" s="416" t="s">
        <v>194</v>
      </c>
      <c r="B128" s="449" t="s">
        <v>194</v>
      </c>
      <c r="C128" s="449"/>
      <c r="D128" s="414"/>
      <c r="E128" s="414"/>
      <c r="F128" s="414"/>
      <c r="G128" s="414"/>
      <c r="H128" s="414"/>
      <c r="I128" s="414"/>
      <c r="J128" s="456"/>
      <c r="K128" s="414"/>
      <c r="L128" s="456"/>
      <c r="M128" s="414"/>
      <c r="N128" s="420"/>
      <c r="O128" s="414"/>
      <c r="P128" s="456"/>
      <c r="Q128" s="414"/>
      <c r="R128" s="456"/>
      <c r="S128" s="456"/>
      <c r="T128" s="456"/>
      <c r="U128" s="414"/>
      <c r="V128" s="420"/>
      <c r="W128" s="414"/>
      <c r="X128" s="414"/>
      <c r="Y128" s="414"/>
    </row>
    <row r="129" spans="1:25" s="421" customFormat="1" ht="13.5" thickBot="1">
      <c r="A129" s="416" t="s">
        <v>194</v>
      </c>
      <c r="B129" s="449" t="s">
        <v>194</v>
      </c>
      <c r="C129" s="449"/>
      <c r="D129" s="414"/>
      <c r="E129" s="457" t="s">
        <v>763</v>
      </c>
      <c r="F129" s="414"/>
      <c r="G129" s="414"/>
      <c r="H129" s="414"/>
      <c r="I129" s="414"/>
      <c r="J129" s="461">
        <f>SUM(J99,J102,J105,J111,J114,J117,J120,J123,J127,J57)</f>
        <v>40634942.030000001</v>
      </c>
      <c r="K129" s="414"/>
      <c r="L129" s="461">
        <f>SUM(L99,L102,L105,L111,L114,L117,L120,L123,L127,L57)</f>
        <v>0</v>
      </c>
      <c r="M129" s="414"/>
      <c r="N129" s="462">
        <f>SUM(N99,N102,N105,N111,N114,N117,N120,N123,N127,N57)</f>
        <v>0</v>
      </c>
      <c r="O129" s="414"/>
      <c r="P129" s="461">
        <f>SUM(P99,P102,P105,P111,P114,P117,P120,P123,P127,P57)</f>
        <v>40634942.030000001</v>
      </c>
      <c r="Q129" s="414"/>
      <c r="R129" s="461">
        <f>SUM(R99,R102,R105,R111,R114,R117,R120,R123,R127,R57)</f>
        <v>39933123.439999998</v>
      </c>
      <c r="S129" s="461">
        <f>SUM(S99,S102,S105,S111,S114,S117,S120,S123,S127,S57)</f>
        <v>40552652.399999999</v>
      </c>
      <c r="T129" s="461">
        <f>SUM(T99,T102,T105,T111,T114,T117,T120,T123,T127,T57)</f>
        <v>40634942.030000001</v>
      </c>
      <c r="U129" s="414"/>
      <c r="V129" s="462">
        <f>SUM(V99,V102,V105,V111,V114,V117,V120,V123,V127,V57)</f>
        <v>82289.630000000587</v>
      </c>
      <c r="W129" s="414"/>
      <c r="X129" s="414"/>
      <c r="Y129" s="414"/>
    </row>
    <row r="130" spans="1:25" s="421" customFormat="1" ht="7.5" customHeight="1" thickTop="1">
      <c r="A130" s="449" t="s">
        <v>194</v>
      </c>
      <c r="B130" s="449"/>
      <c r="C130" s="449"/>
      <c r="D130" s="414"/>
      <c r="E130" s="457"/>
      <c r="F130" s="414"/>
      <c r="G130" s="414"/>
      <c r="H130" s="414"/>
      <c r="I130" s="414"/>
      <c r="J130" s="452"/>
      <c r="K130" s="459"/>
      <c r="L130" s="452"/>
      <c r="M130" s="459"/>
      <c r="N130" s="452"/>
      <c r="O130" s="459"/>
      <c r="P130" s="452"/>
      <c r="Q130" s="459"/>
      <c r="R130" s="452"/>
      <c r="S130" s="452"/>
      <c r="T130" s="452"/>
      <c r="U130" s="459"/>
      <c r="V130" s="452"/>
      <c r="W130" s="414"/>
      <c r="X130" s="414"/>
      <c r="Y130" s="414"/>
    </row>
    <row r="131" spans="1:25" s="421" customFormat="1" outlineLevel="1">
      <c r="A131" s="414"/>
      <c r="B131" s="415" t="s">
        <v>764</v>
      </c>
      <c r="C131" s="416"/>
      <c r="D131" s="417"/>
      <c r="E131" s="417"/>
      <c r="F131" s="418"/>
      <c r="G131" s="418"/>
      <c r="H131" s="414"/>
      <c r="I131" s="414"/>
      <c r="J131" s="419"/>
      <c r="K131" s="414"/>
      <c r="L131" s="419"/>
      <c r="M131" s="414"/>
      <c r="N131" s="420"/>
      <c r="O131" s="414"/>
      <c r="P131" s="419">
        <f>J131+L131+N131</f>
        <v>0</v>
      </c>
      <c r="Q131" s="414"/>
      <c r="R131" s="419"/>
      <c r="S131" s="419"/>
      <c r="T131" s="419">
        <f>P131</f>
        <v>0</v>
      </c>
      <c r="U131" s="414"/>
      <c r="V131" s="420">
        <f>T131-S131</f>
        <v>0</v>
      </c>
      <c r="W131" s="414"/>
      <c r="X131" s="414"/>
    </row>
    <row r="132" spans="1:25" s="421" customFormat="1" ht="5.0999999999999996" customHeight="1" outlineLevel="1">
      <c r="A132" s="449"/>
      <c r="B132" s="449"/>
      <c r="C132" s="449"/>
      <c r="D132" s="417"/>
      <c r="E132" s="417"/>
      <c r="F132" s="414"/>
      <c r="G132" s="414"/>
      <c r="H132" s="414"/>
      <c r="I132" s="414"/>
      <c r="J132" s="453"/>
      <c r="K132" s="414"/>
      <c r="L132" s="453"/>
      <c r="M132" s="414"/>
      <c r="N132" s="454"/>
      <c r="O132" s="414"/>
      <c r="P132" s="453"/>
      <c r="Q132" s="414"/>
      <c r="R132" s="453"/>
      <c r="S132" s="453"/>
      <c r="T132" s="453"/>
      <c r="U132" s="414"/>
      <c r="V132" s="454"/>
      <c r="W132" s="414"/>
      <c r="X132" s="414"/>
      <c r="Y132" s="414"/>
    </row>
    <row r="133" spans="1:25" s="421" customFormat="1" ht="12.75" customHeight="1">
      <c r="A133" s="416" t="s">
        <v>764</v>
      </c>
      <c r="B133" s="449" t="s">
        <v>194</v>
      </c>
      <c r="C133" s="449"/>
      <c r="D133" s="414"/>
      <c r="E133" s="414"/>
      <c r="F133" s="414" t="s">
        <v>765</v>
      </c>
      <c r="G133" s="414"/>
      <c r="H133" s="414"/>
      <c r="I133" s="414"/>
      <c r="J133" s="451">
        <f>SUM(J131:J132)</f>
        <v>0</v>
      </c>
      <c r="K133" s="414"/>
      <c r="L133" s="451">
        <f>SUM(L131:L132)</f>
        <v>0</v>
      </c>
      <c r="M133" s="414"/>
      <c r="N133" s="452">
        <f>SUM(N131:N132)</f>
        <v>0</v>
      </c>
      <c r="O133" s="414"/>
      <c r="P133" s="451">
        <f>J133+L133+N133</f>
        <v>0</v>
      </c>
      <c r="Q133" s="414"/>
      <c r="R133" s="451">
        <f>SUM(R131:R132)</f>
        <v>0</v>
      </c>
      <c r="S133" s="451">
        <f>SUM(S131:S132)</f>
        <v>0</v>
      </c>
      <c r="T133" s="451">
        <f>SUM(T131:T132)</f>
        <v>0</v>
      </c>
      <c r="U133" s="414"/>
      <c r="V133" s="452">
        <f>SUM(V131:V132)</f>
        <v>0</v>
      </c>
      <c r="W133" s="414"/>
      <c r="X133" s="414"/>
      <c r="Y133" s="414"/>
    </row>
    <row r="134" spans="1:25" s="421" customFormat="1" outlineLevel="1">
      <c r="A134" s="449"/>
      <c r="B134" s="416" t="s">
        <v>194</v>
      </c>
      <c r="C134" s="416"/>
      <c r="D134" s="414"/>
      <c r="E134" s="414"/>
      <c r="F134" s="414"/>
      <c r="G134" s="414"/>
      <c r="H134" s="414"/>
      <c r="I134" s="414"/>
      <c r="J134" s="456"/>
      <c r="K134" s="414"/>
      <c r="L134" s="456"/>
      <c r="M134" s="414"/>
      <c r="N134" s="420"/>
      <c r="O134" s="414"/>
      <c r="P134" s="456"/>
      <c r="Q134" s="414"/>
      <c r="R134" s="456"/>
      <c r="S134" s="456"/>
      <c r="T134" s="456"/>
      <c r="U134" s="414"/>
      <c r="V134" s="420"/>
      <c r="W134" s="414"/>
      <c r="X134" s="414"/>
      <c r="Y134" s="414"/>
    </row>
    <row r="135" spans="1:25" s="421" customFormat="1" outlineLevel="1">
      <c r="A135" s="414"/>
      <c r="B135" s="415" t="s">
        <v>766</v>
      </c>
      <c r="C135" s="416"/>
      <c r="D135" s="417"/>
      <c r="E135" s="417"/>
      <c r="F135" s="418"/>
      <c r="G135" s="418"/>
      <c r="H135" s="414"/>
      <c r="I135" s="414"/>
      <c r="J135" s="419"/>
      <c r="K135" s="414"/>
      <c r="L135" s="419"/>
      <c r="M135" s="414"/>
      <c r="N135" s="420"/>
      <c r="O135" s="414"/>
      <c r="P135" s="419">
        <f>J135+L135+N135</f>
        <v>0</v>
      </c>
      <c r="Q135" s="414"/>
      <c r="R135" s="419"/>
      <c r="S135" s="419"/>
      <c r="T135" s="419">
        <f>P135</f>
        <v>0</v>
      </c>
      <c r="U135" s="414"/>
      <c r="V135" s="420">
        <f>T135-S135</f>
        <v>0</v>
      </c>
      <c r="W135" s="414"/>
      <c r="X135" s="414"/>
    </row>
    <row r="136" spans="1:25" s="421" customFormat="1" ht="5.0999999999999996" customHeight="1" outlineLevel="1">
      <c r="A136" s="416" t="s">
        <v>194</v>
      </c>
      <c r="B136" s="416" t="s">
        <v>194</v>
      </c>
      <c r="C136" s="416"/>
      <c r="D136" s="418"/>
      <c r="E136" s="418"/>
      <c r="F136" s="418"/>
      <c r="G136" s="418"/>
      <c r="H136" s="414"/>
      <c r="I136" s="414"/>
      <c r="J136" s="453"/>
      <c r="K136" s="414"/>
      <c r="L136" s="453"/>
      <c r="M136" s="414"/>
      <c r="N136" s="454"/>
      <c r="O136" s="414"/>
      <c r="P136" s="453"/>
      <c r="Q136" s="414"/>
      <c r="R136" s="453"/>
      <c r="S136" s="453"/>
      <c r="T136" s="453"/>
      <c r="U136" s="414"/>
      <c r="V136" s="454"/>
      <c r="W136" s="414"/>
      <c r="X136" s="414"/>
      <c r="Y136" s="414"/>
    </row>
    <row r="137" spans="1:25" s="421" customFormat="1" ht="12.75" customHeight="1">
      <c r="A137" s="416" t="s">
        <v>766</v>
      </c>
      <c r="B137" s="416" t="s">
        <v>194</v>
      </c>
      <c r="C137" s="416"/>
      <c r="D137" s="414"/>
      <c r="E137" s="414"/>
      <c r="F137" s="417" t="s">
        <v>767</v>
      </c>
      <c r="G137" s="414"/>
      <c r="H137" s="414"/>
      <c r="I137" s="414"/>
      <c r="J137" s="451">
        <f>SUM(J135:J136)</f>
        <v>0</v>
      </c>
      <c r="K137" s="414"/>
      <c r="L137" s="451">
        <f>SUM(L135:L136)</f>
        <v>0</v>
      </c>
      <c r="M137" s="414"/>
      <c r="N137" s="452">
        <f>SUM(N135:N136)</f>
        <v>0</v>
      </c>
      <c r="O137" s="414"/>
      <c r="P137" s="451">
        <f t="shared" ref="P137" si="19">J137+L137+N137</f>
        <v>0</v>
      </c>
      <c r="Q137" s="414"/>
      <c r="R137" s="451">
        <f>SUM(R135:R136)</f>
        <v>0</v>
      </c>
      <c r="S137" s="451">
        <f>SUM(S135:S136)</f>
        <v>0</v>
      </c>
      <c r="T137" s="451">
        <f>SUM(T135:T136)</f>
        <v>0</v>
      </c>
      <c r="U137" s="414"/>
      <c r="V137" s="452">
        <f>SUM(V135:V136)</f>
        <v>0</v>
      </c>
      <c r="W137" s="414"/>
      <c r="X137" s="414"/>
      <c r="Y137" s="414"/>
    </row>
    <row r="138" spans="1:25" s="421" customFormat="1" outlineLevel="1">
      <c r="A138" s="414"/>
      <c r="B138" s="415" t="s">
        <v>768</v>
      </c>
      <c r="C138" s="416"/>
      <c r="D138" s="417">
        <v>20120</v>
      </c>
      <c r="E138" s="417" t="s">
        <v>769</v>
      </c>
      <c r="F138" s="418"/>
      <c r="G138" s="418"/>
      <c r="H138" s="414"/>
      <c r="I138" s="414"/>
      <c r="J138" s="419">
        <v>1249187.72</v>
      </c>
      <c r="K138" s="414"/>
      <c r="L138" s="419">
        <v>0</v>
      </c>
      <c r="M138" s="414"/>
      <c r="N138" s="420">
        <v>0</v>
      </c>
      <c r="O138" s="414"/>
      <c r="P138" s="419">
        <f t="shared" ref="P138:P146" si="20">J138+L138+N138</f>
        <v>1249187.72</v>
      </c>
      <c r="Q138" s="414"/>
      <c r="R138" s="419">
        <v>965140.28</v>
      </c>
      <c r="S138" s="419">
        <v>1194775.3999999999</v>
      </c>
      <c r="T138" s="419">
        <f t="shared" ref="T138:T146" si="21">P138</f>
        <v>1249187.72</v>
      </c>
      <c r="U138" s="414"/>
      <c r="V138" s="420">
        <f t="shared" ref="V138:V146" si="22">T138-S138</f>
        <v>54412.320000000065</v>
      </c>
      <c r="W138" s="414"/>
      <c r="X138" s="414"/>
    </row>
    <row r="139" spans="1:25" s="421" customFormat="1" outlineLevel="1">
      <c r="A139" s="414"/>
      <c r="B139" s="415" t="s">
        <v>397</v>
      </c>
      <c r="C139" s="416"/>
      <c r="D139" s="417">
        <v>20121</v>
      </c>
      <c r="E139" s="417" t="s">
        <v>839</v>
      </c>
      <c r="F139" s="418"/>
      <c r="G139" s="418"/>
      <c r="H139" s="414"/>
      <c r="I139" s="414"/>
      <c r="J139" s="419">
        <v>0</v>
      </c>
      <c r="K139" s="414"/>
      <c r="L139" s="419">
        <v>0</v>
      </c>
      <c r="M139" s="414"/>
      <c r="N139" s="420">
        <v>0</v>
      </c>
      <c r="O139" s="414"/>
      <c r="P139" s="419">
        <f t="shared" si="20"/>
        <v>0</v>
      </c>
      <c r="Q139" s="414"/>
      <c r="R139" s="419">
        <v>0</v>
      </c>
      <c r="S139" s="419">
        <v>25974.93</v>
      </c>
      <c r="T139" s="419">
        <f t="shared" si="21"/>
        <v>0</v>
      </c>
      <c r="U139" s="414"/>
      <c r="V139" s="420">
        <f t="shared" si="22"/>
        <v>-25974.93</v>
      </c>
      <c r="W139" s="414"/>
      <c r="X139" s="414"/>
    </row>
    <row r="140" spans="1:25" s="421" customFormat="1" outlineLevel="1">
      <c r="A140" s="414"/>
      <c r="B140" s="415" t="s">
        <v>397</v>
      </c>
      <c r="C140" s="416"/>
      <c r="D140" s="417">
        <v>20123</v>
      </c>
      <c r="E140" s="417" t="s">
        <v>770</v>
      </c>
      <c r="F140" s="418"/>
      <c r="G140" s="418"/>
      <c r="H140" s="414"/>
      <c r="I140" s="414"/>
      <c r="J140" s="419">
        <v>11353.62</v>
      </c>
      <c r="K140" s="414"/>
      <c r="L140" s="419">
        <v>0</v>
      </c>
      <c r="M140" s="414"/>
      <c r="N140" s="420">
        <v>0</v>
      </c>
      <c r="O140" s="414"/>
      <c r="P140" s="419">
        <f t="shared" si="20"/>
        <v>11353.62</v>
      </c>
      <c r="Q140" s="414"/>
      <c r="R140" s="419">
        <v>19308.8</v>
      </c>
      <c r="S140" s="419">
        <v>38326.15</v>
      </c>
      <c r="T140" s="419">
        <f t="shared" si="21"/>
        <v>11353.62</v>
      </c>
      <c r="U140" s="414"/>
      <c r="V140" s="420">
        <f t="shared" si="22"/>
        <v>-26972.53</v>
      </c>
      <c r="W140" s="414"/>
      <c r="X140" s="414"/>
    </row>
    <row r="141" spans="1:25" s="421" customFormat="1" outlineLevel="1">
      <c r="A141" s="414"/>
      <c r="B141" s="415" t="s">
        <v>397</v>
      </c>
      <c r="C141" s="416"/>
      <c r="D141" s="417">
        <v>20140</v>
      </c>
      <c r="E141" s="417" t="s">
        <v>771</v>
      </c>
      <c r="F141" s="418"/>
      <c r="G141" s="418"/>
      <c r="H141" s="414"/>
      <c r="I141" s="414"/>
      <c r="J141" s="419">
        <v>4582.7700000000004</v>
      </c>
      <c r="K141" s="414"/>
      <c r="L141" s="419">
        <v>0</v>
      </c>
      <c r="M141" s="414"/>
      <c r="N141" s="420">
        <v>0</v>
      </c>
      <c r="O141" s="414"/>
      <c r="P141" s="419">
        <f t="shared" si="20"/>
        <v>4582.7700000000004</v>
      </c>
      <c r="Q141" s="414"/>
      <c r="R141" s="419">
        <v>3272.04</v>
      </c>
      <c r="S141" s="419">
        <v>3662.3</v>
      </c>
      <c r="T141" s="419">
        <f t="shared" si="21"/>
        <v>4582.7700000000004</v>
      </c>
      <c r="U141" s="414"/>
      <c r="V141" s="420">
        <f t="shared" si="22"/>
        <v>920.47000000000025</v>
      </c>
      <c r="W141" s="414"/>
      <c r="X141" s="414"/>
    </row>
    <row r="142" spans="1:25" s="421" customFormat="1" outlineLevel="1">
      <c r="A142" s="414"/>
      <c r="B142" s="415" t="s">
        <v>397</v>
      </c>
      <c r="C142" s="416"/>
      <c r="D142" s="417">
        <v>20170</v>
      </c>
      <c r="E142" s="417" t="s">
        <v>772</v>
      </c>
      <c r="F142" s="418"/>
      <c r="G142" s="418"/>
      <c r="H142" s="414"/>
      <c r="I142" s="414"/>
      <c r="J142" s="419">
        <v>44254.91</v>
      </c>
      <c r="K142" s="414"/>
      <c r="L142" s="419">
        <v>0</v>
      </c>
      <c r="M142" s="414"/>
      <c r="N142" s="420">
        <v>0</v>
      </c>
      <c r="O142" s="414"/>
      <c r="P142" s="419">
        <f t="shared" si="20"/>
        <v>44254.91</v>
      </c>
      <c r="Q142" s="414"/>
      <c r="R142" s="419">
        <v>41924.74</v>
      </c>
      <c r="S142" s="419">
        <v>43964.45</v>
      </c>
      <c r="T142" s="419">
        <f t="shared" si="21"/>
        <v>44254.91</v>
      </c>
      <c r="U142" s="414"/>
      <c r="V142" s="420">
        <f t="shared" si="22"/>
        <v>290.4600000000064</v>
      </c>
      <c r="W142" s="414"/>
      <c r="X142" s="414"/>
    </row>
    <row r="143" spans="1:25" s="421" customFormat="1" outlineLevel="1">
      <c r="A143" s="414"/>
      <c r="B143" s="415" t="s">
        <v>397</v>
      </c>
      <c r="C143" s="416"/>
      <c r="D143" s="417">
        <v>20175</v>
      </c>
      <c r="E143" s="417" t="s">
        <v>773</v>
      </c>
      <c r="F143" s="418"/>
      <c r="G143" s="418"/>
      <c r="H143" s="414"/>
      <c r="I143" s="414"/>
      <c r="J143" s="419">
        <v>64082.29</v>
      </c>
      <c r="K143" s="414"/>
      <c r="L143" s="419">
        <v>0</v>
      </c>
      <c r="M143" s="414"/>
      <c r="N143" s="420">
        <v>0</v>
      </c>
      <c r="O143" s="414"/>
      <c r="P143" s="419">
        <f t="shared" si="20"/>
        <v>64082.29</v>
      </c>
      <c r="Q143" s="414"/>
      <c r="R143" s="419">
        <v>79769.3</v>
      </c>
      <c r="S143" s="419">
        <v>85180.21</v>
      </c>
      <c r="T143" s="419">
        <f t="shared" si="21"/>
        <v>64082.29</v>
      </c>
      <c r="U143" s="414"/>
      <c r="V143" s="420">
        <f t="shared" si="22"/>
        <v>-21097.920000000006</v>
      </c>
      <c r="W143" s="414"/>
      <c r="X143" s="414"/>
    </row>
    <row r="144" spans="1:25" s="421" customFormat="1" outlineLevel="1">
      <c r="A144" s="414"/>
      <c r="B144" s="415" t="s">
        <v>397</v>
      </c>
      <c r="C144" s="416"/>
      <c r="D144" s="417">
        <v>20177</v>
      </c>
      <c r="E144" s="417" t="s">
        <v>774</v>
      </c>
      <c r="F144" s="418"/>
      <c r="G144" s="418"/>
      <c r="H144" s="414"/>
      <c r="I144" s="414"/>
      <c r="J144" s="419">
        <v>2666.8</v>
      </c>
      <c r="K144" s="414"/>
      <c r="L144" s="419">
        <v>0</v>
      </c>
      <c r="M144" s="414"/>
      <c r="N144" s="420">
        <v>0</v>
      </c>
      <c r="O144" s="414"/>
      <c r="P144" s="419">
        <f t="shared" si="20"/>
        <v>2666.8</v>
      </c>
      <c r="Q144" s="414"/>
      <c r="R144" s="419">
        <v>2333.46</v>
      </c>
      <c r="S144" s="419">
        <v>2500.13</v>
      </c>
      <c r="T144" s="419">
        <f t="shared" si="21"/>
        <v>2666.8</v>
      </c>
      <c r="U144" s="414"/>
      <c r="V144" s="420">
        <f t="shared" si="22"/>
        <v>166.67000000000007</v>
      </c>
      <c r="W144" s="414"/>
      <c r="X144" s="414"/>
    </row>
    <row r="145" spans="1:25" s="421" customFormat="1" outlineLevel="1">
      <c r="A145" s="414"/>
      <c r="B145" s="415" t="s">
        <v>397</v>
      </c>
      <c r="C145" s="416"/>
      <c r="D145" s="417">
        <v>20178</v>
      </c>
      <c r="E145" s="417" t="s">
        <v>775</v>
      </c>
      <c r="F145" s="418"/>
      <c r="G145" s="418"/>
      <c r="H145" s="414"/>
      <c r="I145" s="414"/>
      <c r="J145" s="419">
        <v>49634.28</v>
      </c>
      <c r="K145" s="414"/>
      <c r="L145" s="419">
        <v>0</v>
      </c>
      <c r="M145" s="414"/>
      <c r="N145" s="420">
        <v>0</v>
      </c>
      <c r="O145" s="414"/>
      <c r="P145" s="419">
        <f t="shared" si="20"/>
        <v>49634.28</v>
      </c>
      <c r="Q145" s="414"/>
      <c r="R145" s="419">
        <v>166850.18</v>
      </c>
      <c r="S145" s="419">
        <v>179409.06</v>
      </c>
      <c r="T145" s="419">
        <f t="shared" si="21"/>
        <v>49634.28</v>
      </c>
      <c r="U145" s="414"/>
      <c r="V145" s="420">
        <f t="shared" si="22"/>
        <v>-129774.78</v>
      </c>
      <c r="W145" s="414"/>
      <c r="X145" s="414"/>
    </row>
    <row r="146" spans="1:25" s="421" customFormat="1" outlineLevel="1">
      <c r="A146" s="414"/>
      <c r="B146" s="415" t="s">
        <v>397</v>
      </c>
      <c r="C146" s="416"/>
      <c r="D146" s="417">
        <v>20180</v>
      </c>
      <c r="E146" s="417" t="s">
        <v>776</v>
      </c>
      <c r="F146" s="418"/>
      <c r="G146" s="418"/>
      <c r="H146" s="414"/>
      <c r="I146" s="414"/>
      <c r="J146" s="419">
        <v>80429.78</v>
      </c>
      <c r="K146" s="414"/>
      <c r="L146" s="419">
        <v>0</v>
      </c>
      <c r="M146" s="414"/>
      <c r="N146" s="420">
        <v>0</v>
      </c>
      <c r="O146" s="414"/>
      <c r="P146" s="419">
        <f t="shared" si="20"/>
        <v>80429.78</v>
      </c>
      <c r="Q146" s="414"/>
      <c r="R146" s="419">
        <v>77578.039999999994</v>
      </c>
      <c r="S146" s="419">
        <v>83400.490000000005</v>
      </c>
      <c r="T146" s="419">
        <f t="shared" si="21"/>
        <v>80429.78</v>
      </c>
      <c r="U146" s="414"/>
      <c r="V146" s="420">
        <f t="shared" si="22"/>
        <v>-2970.7100000000064</v>
      </c>
      <c r="W146" s="414"/>
      <c r="X146" s="414"/>
    </row>
    <row r="147" spans="1:25" s="421" customFormat="1" ht="5.0999999999999996" customHeight="1" outlineLevel="1">
      <c r="A147" s="416" t="s">
        <v>194</v>
      </c>
      <c r="B147" s="416" t="s">
        <v>194</v>
      </c>
      <c r="C147" s="416"/>
      <c r="D147" s="418"/>
      <c r="E147" s="418"/>
      <c r="F147" s="418"/>
      <c r="G147" s="418"/>
      <c r="H147" s="414"/>
      <c r="I147" s="414"/>
      <c r="J147" s="453"/>
      <c r="K147" s="414"/>
      <c r="L147" s="453"/>
      <c r="M147" s="414"/>
      <c r="N147" s="454"/>
      <c r="O147" s="414"/>
      <c r="P147" s="453"/>
      <c r="Q147" s="414"/>
      <c r="R147" s="453"/>
      <c r="S147" s="453"/>
      <c r="T147" s="453"/>
      <c r="U147" s="414"/>
      <c r="V147" s="454"/>
      <c r="W147" s="414"/>
      <c r="X147" s="414"/>
      <c r="Y147" s="414"/>
    </row>
    <row r="148" spans="1:25" s="421" customFormat="1">
      <c r="A148" s="416" t="s">
        <v>768</v>
      </c>
      <c r="B148" s="416" t="s">
        <v>194</v>
      </c>
      <c r="C148" s="416"/>
      <c r="D148" s="414"/>
      <c r="E148" s="414"/>
      <c r="F148" s="417" t="s">
        <v>777</v>
      </c>
      <c r="G148" s="414"/>
      <c r="H148" s="414"/>
      <c r="I148" s="414"/>
      <c r="J148" s="451">
        <f>SUM(J138:J147)</f>
        <v>1506192.1700000002</v>
      </c>
      <c r="K148" s="414"/>
      <c r="L148" s="451">
        <f>SUM(L138:L147)</f>
        <v>0</v>
      </c>
      <c r="M148" s="414"/>
      <c r="N148" s="452">
        <f>SUM(N138:N147)</f>
        <v>0</v>
      </c>
      <c r="O148" s="414"/>
      <c r="P148" s="451">
        <f>J148+L148+N148</f>
        <v>1506192.1700000002</v>
      </c>
      <c r="Q148" s="414"/>
      <c r="R148" s="451">
        <f>SUM(R138:R147)</f>
        <v>1356176.84</v>
      </c>
      <c r="S148" s="451">
        <f>SUM(S138:S147)</f>
        <v>1657193.1199999996</v>
      </c>
      <c r="T148" s="451">
        <f>SUM(T138:T147)</f>
        <v>1506192.1700000002</v>
      </c>
      <c r="U148" s="414"/>
      <c r="V148" s="452">
        <f>SUM(V138:V147)</f>
        <v>-151000.94999999995</v>
      </c>
      <c r="W148" s="414"/>
      <c r="X148" s="414"/>
      <c r="Y148" s="414"/>
    </row>
    <row r="149" spans="1:25" s="421" customFormat="1" outlineLevel="1">
      <c r="A149" s="414"/>
      <c r="B149" s="415" t="s">
        <v>778</v>
      </c>
      <c r="C149" s="416"/>
      <c r="D149" s="417">
        <v>20300</v>
      </c>
      <c r="E149" s="417" t="s">
        <v>779</v>
      </c>
      <c r="F149" s="418"/>
      <c r="G149" s="418"/>
      <c r="H149" s="414"/>
      <c r="I149" s="414"/>
      <c r="J149" s="419">
        <v>772152.61</v>
      </c>
      <c r="K149" s="414"/>
      <c r="L149" s="419">
        <v>0</v>
      </c>
      <c r="M149" s="414"/>
      <c r="N149" s="420">
        <v>0</v>
      </c>
      <c r="O149" s="414"/>
      <c r="P149" s="419">
        <f>J149+L149+N149</f>
        <v>772152.61</v>
      </c>
      <c r="Q149" s="414"/>
      <c r="R149" s="419">
        <v>768472.83</v>
      </c>
      <c r="S149" s="419">
        <v>881636.54</v>
      </c>
      <c r="T149" s="419">
        <f>P149</f>
        <v>772152.61</v>
      </c>
      <c r="U149" s="414"/>
      <c r="V149" s="420">
        <f>T149-S149</f>
        <v>-109483.93000000005</v>
      </c>
      <c r="W149" s="414"/>
      <c r="X149" s="414"/>
    </row>
    <row r="150" spans="1:25" s="421" customFormat="1" ht="5.0999999999999996" customHeight="1" outlineLevel="1">
      <c r="A150" s="416" t="s">
        <v>194</v>
      </c>
      <c r="B150" s="449" t="s">
        <v>194</v>
      </c>
      <c r="C150" s="449"/>
      <c r="D150" s="418"/>
      <c r="E150" s="418"/>
      <c r="F150" s="418"/>
      <c r="G150" s="418"/>
      <c r="H150" s="414"/>
      <c r="I150" s="414"/>
      <c r="J150" s="453"/>
      <c r="K150" s="414"/>
      <c r="L150" s="453"/>
      <c r="M150" s="414"/>
      <c r="N150" s="454"/>
      <c r="O150" s="414"/>
      <c r="P150" s="453"/>
      <c r="Q150" s="414"/>
      <c r="R150" s="453"/>
      <c r="S150" s="453"/>
      <c r="T150" s="453"/>
      <c r="U150" s="414"/>
      <c r="V150" s="454"/>
      <c r="W150" s="414"/>
      <c r="X150" s="414"/>
      <c r="Y150" s="414"/>
    </row>
    <row r="151" spans="1:25" s="421" customFormat="1">
      <c r="A151" s="416" t="s">
        <v>778</v>
      </c>
      <c r="B151" s="449" t="s">
        <v>194</v>
      </c>
      <c r="C151" s="449"/>
      <c r="D151" s="414"/>
      <c r="E151" s="414"/>
      <c r="F151" s="417" t="s">
        <v>780</v>
      </c>
      <c r="G151" s="414"/>
      <c r="H151" s="414"/>
      <c r="I151" s="414"/>
      <c r="J151" s="451">
        <f>SUM(J149:J150)</f>
        <v>772152.61</v>
      </c>
      <c r="K151" s="414"/>
      <c r="L151" s="451">
        <f>SUM(L149:L150)</f>
        <v>0</v>
      </c>
      <c r="M151" s="414"/>
      <c r="N151" s="452">
        <f>SUM(N149:N150)</f>
        <v>0</v>
      </c>
      <c r="O151" s="414"/>
      <c r="P151" s="451">
        <f t="shared" ref="P151" si="23">J151+L151+N151</f>
        <v>772152.61</v>
      </c>
      <c r="Q151" s="414"/>
      <c r="R151" s="451">
        <f>SUM(R149:R150)</f>
        <v>768472.83</v>
      </c>
      <c r="S151" s="451">
        <f>SUM(S149:S150)</f>
        <v>881636.54</v>
      </c>
      <c r="T151" s="451">
        <f>SUM(T149:T150)</f>
        <v>772152.61</v>
      </c>
      <c r="U151" s="414"/>
      <c r="V151" s="452">
        <f>SUM(V149:V150)</f>
        <v>-109483.93000000005</v>
      </c>
      <c r="W151" s="414"/>
      <c r="X151" s="414"/>
      <c r="Y151" s="414"/>
    </row>
    <row r="152" spans="1:25" s="421" customFormat="1" outlineLevel="1">
      <c r="A152" s="414"/>
      <c r="B152" s="415" t="s">
        <v>781</v>
      </c>
      <c r="C152" s="416"/>
      <c r="D152" s="417">
        <v>20320</v>
      </c>
      <c r="E152" s="417" t="s">
        <v>782</v>
      </c>
      <c r="F152" s="418"/>
      <c r="G152" s="418"/>
      <c r="H152" s="414"/>
      <c r="I152" s="414"/>
      <c r="J152" s="419">
        <v>54977.36</v>
      </c>
      <c r="K152" s="414"/>
      <c r="L152" s="419">
        <v>0</v>
      </c>
      <c r="M152" s="414"/>
      <c r="N152" s="420">
        <v>0</v>
      </c>
      <c r="O152" s="414"/>
      <c r="P152" s="419">
        <f t="shared" ref="P152:P162" si="24">J152+L152+N152</f>
        <v>54977.36</v>
      </c>
      <c r="Q152" s="414"/>
      <c r="R152" s="419">
        <v>243002.7</v>
      </c>
      <c r="S152" s="419">
        <v>10942.99</v>
      </c>
      <c r="T152" s="419">
        <f t="shared" ref="T152:T162" si="25">P152</f>
        <v>54977.36</v>
      </c>
      <c r="U152" s="414"/>
      <c r="V152" s="420">
        <f t="shared" ref="V152:V162" si="26">T152-S152</f>
        <v>44034.37</v>
      </c>
      <c r="W152" s="414"/>
      <c r="X152" s="414"/>
    </row>
    <row r="153" spans="1:25" s="421" customFormat="1" outlineLevel="1">
      <c r="A153" s="414"/>
      <c r="B153" s="415" t="s">
        <v>397</v>
      </c>
      <c r="C153" s="416"/>
      <c r="D153" s="417">
        <v>20321</v>
      </c>
      <c r="E153" s="417" t="s">
        <v>783</v>
      </c>
      <c r="F153" s="418"/>
      <c r="G153" s="418"/>
      <c r="H153" s="414"/>
      <c r="I153" s="414"/>
      <c r="J153" s="419">
        <v>298739.64</v>
      </c>
      <c r="K153" s="414"/>
      <c r="L153" s="419">
        <v>0</v>
      </c>
      <c r="M153" s="414"/>
      <c r="N153" s="420">
        <v>0</v>
      </c>
      <c r="O153" s="414"/>
      <c r="P153" s="419">
        <f t="shared" si="24"/>
        <v>298739.64</v>
      </c>
      <c r="Q153" s="414"/>
      <c r="R153" s="419">
        <v>268956.99</v>
      </c>
      <c r="S153" s="419">
        <v>285822.86</v>
      </c>
      <c r="T153" s="419">
        <f t="shared" si="25"/>
        <v>298739.64</v>
      </c>
      <c r="U153" s="414"/>
      <c r="V153" s="420">
        <f t="shared" si="26"/>
        <v>12916.780000000028</v>
      </c>
      <c r="W153" s="414"/>
      <c r="X153" s="414"/>
    </row>
    <row r="154" spans="1:25" s="421" customFormat="1" outlineLevel="1">
      <c r="A154" s="414"/>
      <c r="B154" s="415" t="s">
        <v>397</v>
      </c>
      <c r="C154" s="416"/>
      <c r="D154" s="417">
        <v>20325</v>
      </c>
      <c r="E154" s="417" t="s">
        <v>784</v>
      </c>
      <c r="F154" s="418"/>
      <c r="G154" s="418"/>
      <c r="H154" s="414"/>
      <c r="I154" s="414"/>
      <c r="J154" s="419">
        <v>0</v>
      </c>
      <c r="K154" s="414"/>
      <c r="L154" s="419">
        <v>0</v>
      </c>
      <c r="M154" s="414"/>
      <c r="N154" s="420">
        <v>0</v>
      </c>
      <c r="O154" s="414"/>
      <c r="P154" s="419">
        <f t="shared" si="24"/>
        <v>0</v>
      </c>
      <c r="Q154" s="414"/>
      <c r="R154" s="419">
        <v>0</v>
      </c>
      <c r="S154" s="419">
        <v>0</v>
      </c>
      <c r="T154" s="419">
        <f t="shared" si="25"/>
        <v>0</v>
      </c>
      <c r="U154" s="414"/>
      <c r="V154" s="420">
        <f t="shared" si="26"/>
        <v>0</v>
      </c>
      <c r="W154" s="414"/>
      <c r="X154" s="414"/>
    </row>
    <row r="155" spans="1:25" s="421" customFormat="1" outlineLevel="1">
      <c r="A155" s="414"/>
      <c r="B155" s="415" t="s">
        <v>397</v>
      </c>
      <c r="C155" s="416"/>
      <c r="D155" s="417">
        <v>20340</v>
      </c>
      <c r="E155" s="417" t="s">
        <v>785</v>
      </c>
      <c r="F155" s="418"/>
      <c r="G155" s="418"/>
      <c r="H155" s="414"/>
      <c r="I155" s="414"/>
      <c r="J155" s="419">
        <v>13643.13</v>
      </c>
      <c r="K155" s="414"/>
      <c r="L155" s="419">
        <v>0</v>
      </c>
      <c r="M155" s="414"/>
      <c r="N155" s="420">
        <v>0</v>
      </c>
      <c r="O155" s="414"/>
      <c r="P155" s="419">
        <f t="shared" si="24"/>
        <v>13643.13</v>
      </c>
      <c r="Q155" s="414"/>
      <c r="R155" s="419">
        <v>6821.56</v>
      </c>
      <c r="S155" s="419">
        <v>10232.35</v>
      </c>
      <c r="T155" s="419">
        <f t="shared" si="25"/>
        <v>13643.13</v>
      </c>
      <c r="U155" s="414"/>
      <c r="V155" s="420">
        <f t="shared" si="26"/>
        <v>3410.7799999999988</v>
      </c>
      <c r="W155" s="414"/>
      <c r="X155" s="414"/>
    </row>
    <row r="156" spans="1:25" s="421" customFormat="1" outlineLevel="1">
      <c r="A156" s="414"/>
      <c r="B156" s="415" t="s">
        <v>397</v>
      </c>
      <c r="C156" s="416"/>
      <c r="D156" s="417">
        <v>20351</v>
      </c>
      <c r="E156" s="417" t="s">
        <v>786</v>
      </c>
      <c r="F156" s="418"/>
      <c r="G156" s="418"/>
      <c r="H156" s="414"/>
      <c r="I156" s="414"/>
      <c r="J156" s="419">
        <v>14724.27</v>
      </c>
      <c r="K156" s="414"/>
      <c r="L156" s="419">
        <v>0</v>
      </c>
      <c r="M156" s="414"/>
      <c r="N156" s="420">
        <v>0</v>
      </c>
      <c r="O156" s="414"/>
      <c r="P156" s="419">
        <f t="shared" si="24"/>
        <v>14724.27</v>
      </c>
      <c r="Q156" s="414"/>
      <c r="R156" s="419">
        <v>7362.14</v>
      </c>
      <c r="S156" s="419">
        <v>11043.21</v>
      </c>
      <c r="T156" s="419">
        <f t="shared" si="25"/>
        <v>14724.27</v>
      </c>
      <c r="U156" s="414"/>
      <c r="V156" s="420">
        <f t="shared" si="26"/>
        <v>3681.0600000000013</v>
      </c>
      <c r="W156" s="414"/>
      <c r="X156" s="414"/>
    </row>
    <row r="157" spans="1:25" s="421" customFormat="1" outlineLevel="1">
      <c r="A157" s="414"/>
      <c r="B157" s="415" t="s">
        <v>397</v>
      </c>
      <c r="C157" s="416"/>
      <c r="D157" s="417">
        <v>20360</v>
      </c>
      <c r="E157" s="417" t="s">
        <v>787</v>
      </c>
      <c r="F157" s="418"/>
      <c r="G157" s="418"/>
      <c r="H157" s="414"/>
      <c r="I157" s="414"/>
      <c r="J157" s="419">
        <v>0</v>
      </c>
      <c r="K157" s="414"/>
      <c r="L157" s="419">
        <v>0</v>
      </c>
      <c r="M157" s="414"/>
      <c r="N157" s="420">
        <v>0</v>
      </c>
      <c r="O157" s="414"/>
      <c r="P157" s="419">
        <f t="shared" si="24"/>
        <v>0</v>
      </c>
      <c r="Q157" s="414"/>
      <c r="R157" s="419">
        <v>0</v>
      </c>
      <c r="S157" s="419">
        <v>0</v>
      </c>
      <c r="T157" s="419">
        <f t="shared" si="25"/>
        <v>0</v>
      </c>
      <c r="U157" s="414"/>
      <c r="V157" s="420">
        <f t="shared" si="26"/>
        <v>0</v>
      </c>
      <c r="W157" s="414"/>
      <c r="X157" s="414"/>
    </row>
    <row r="158" spans="1:25" s="421" customFormat="1" outlineLevel="1">
      <c r="A158" s="414"/>
      <c r="B158" s="415" t="s">
        <v>397</v>
      </c>
      <c r="C158" s="416"/>
      <c r="D158" s="417">
        <v>20397</v>
      </c>
      <c r="E158" s="417" t="s">
        <v>788</v>
      </c>
      <c r="F158" s="418"/>
      <c r="G158" s="418"/>
      <c r="H158" s="414"/>
      <c r="I158" s="414"/>
      <c r="J158" s="419">
        <v>0</v>
      </c>
      <c r="K158" s="414"/>
      <c r="L158" s="419">
        <v>0</v>
      </c>
      <c r="M158" s="414"/>
      <c r="N158" s="420">
        <v>0</v>
      </c>
      <c r="O158" s="414"/>
      <c r="P158" s="419">
        <f t="shared" si="24"/>
        <v>0</v>
      </c>
      <c r="Q158" s="414"/>
      <c r="R158" s="419">
        <v>0</v>
      </c>
      <c r="S158" s="419">
        <v>0</v>
      </c>
      <c r="T158" s="419">
        <f t="shared" si="25"/>
        <v>0</v>
      </c>
      <c r="U158" s="414"/>
      <c r="V158" s="420">
        <f t="shared" si="26"/>
        <v>0</v>
      </c>
      <c r="W158" s="414"/>
      <c r="X158" s="414"/>
    </row>
    <row r="159" spans="1:25" s="421" customFormat="1" outlineLevel="1">
      <c r="A159" s="414"/>
      <c r="B159" s="415" t="s">
        <v>397</v>
      </c>
      <c r="C159" s="416"/>
      <c r="D159" s="417">
        <v>20651</v>
      </c>
      <c r="E159" s="417" t="s">
        <v>840</v>
      </c>
      <c r="F159" s="418"/>
      <c r="G159" s="418"/>
      <c r="H159" s="414"/>
      <c r="I159" s="414"/>
      <c r="J159" s="419">
        <v>12886.17</v>
      </c>
      <c r="K159" s="414"/>
      <c r="L159" s="419">
        <v>0</v>
      </c>
      <c r="M159" s="414"/>
      <c r="N159" s="420">
        <v>0</v>
      </c>
      <c r="O159" s="414"/>
      <c r="P159" s="419">
        <f t="shared" si="24"/>
        <v>12886.17</v>
      </c>
      <c r="Q159" s="414"/>
      <c r="R159" s="419">
        <v>12886.17</v>
      </c>
      <c r="S159" s="419">
        <v>12886.17</v>
      </c>
      <c r="T159" s="419">
        <f t="shared" si="25"/>
        <v>12886.17</v>
      </c>
      <c r="U159" s="414"/>
      <c r="V159" s="420">
        <f t="shared" si="26"/>
        <v>0</v>
      </c>
      <c r="W159" s="414"/>
      <c r="X159" s="414"/>
    </row>
    <row r="160" spans="1:25" s="421" customFormat="1" outlineLevel="1">
      <c r="A160" s="414"/>
      <c r="B160" s="415" t="s">
        <v>397</v>
      </c>
      <c r="C160" s="416"/>
      <c r="D160" s="417">
        <v>20652</v>
      </c>
      <c r="E160" s="417" t="s">
        <v>841</v>
      </c>
      <c r="F160" s="418"/>
      <c r="G160" s="418"/>
      <c r="H160" s="414"/>
      <c r="I160" s="414"/>
      <c r="J160" s="419">
        <v>-4526.32</v>
      </c>
      <c r="K160" s="414"/>
      <c r="L160" s="419">
        <v>0</v>
      </c>
      <c r="M160" s="414"/>
      <c r="N160" s="420">
        <v>0</v>
      </c>
      <c r="O160" s="414"/>
      <c r="P160" s="419">
        <f t="shared" si="24"/>
        <v>-4526.32</v>
      </c>
      <c r="Q160" s="414"/>
      <c r="R160" s="419">
        <v>-2263.16</v>
      </c>
      <c r="S160" s="419">
        <v>-3394.74</v>
      </c>
      <c r="T160" s="419">
        <f t="shared" si="25"/>
        <v>-4526.32</v>
      </c>
      <c r="U160" s="414"/>
      <c r="V160" s="420">
        <f t="shared" si="26"/>
        <v>-1131.58</v>
      </c>
      <c r="W160" s="414"/>
      <c r="X160" s="414"/>
    </row>
    <row r="161" spans="1:25" s="421" customFormat="1" outlineLevel="1">
      <c r="A161" s="414"/>
      <c r="B161" s="415" t="s">
        <v>397</v>
      </c>
      <c r="C161" s="416"/>
      <c r="D161" s="417">
        <v>20655</v>
      </c>
      <c r="E161" s="417" t="s">
        <v>842</v>
      </c>
      <c r="F161" s="418"/>
      <c r="G161" s="418"/>
      <c r="H161" s="414"/>
      <c r="I161" s="414"/>
      <c r="J161" s="419">
        <v>282.3</v>
      </c>
      <c r="K161" s="414"/>
      <c r="L161" s="419">
        <v>0</v>
      </c>
      <c r="M161" s="414"/>
      <c r="N161" s="420">
        <v>0</v>
      </c>
      <c r="O161" s="414"/>
      <c r="P161" s="419">
        <f t="shared" si="24"/>
        <v>282.3</v>
      </c>
      <c r="Q161" s="414"/>
      <c r="R161" s="419">
        <v>147.51</v>
      </c>
      <c r="S161" s="419">
        <v>216.5</v>
      </c>
      <c r="T161" s="419">
        <f t="shared" si="25"/>
        <v>282.3</v>
      </c>
      <c r="U161" s="414"/>
      <c r="V161" s="420">
        <f t="shared" si="26"/>
        <v>65.800000000000011</v>
      </c>
      <c r="W161" s="414"/>
      <c r="X161" s="414"/>
    </row>
    <row r="162" spans="1:25" s="421" customFormat="1" outlineLevel="1">
      <c r="A162" s="414"/>
      <c r="B162" s="415" t="s">
        <v>397</v>
      </c>
      <c r="C162" s="416"/>
      <c r="D162" s="417">
        <v>20658</v>
      </c>
      <c r="E162" s="417" t="s">
        <v>843</v>
      </c>
      <c r="F162" s="418"/>
      <c r="G162" s="418"/>
      <c r="H162" s="414"/>
      <c r="I162" s="414"/>
      <c r="J162" s="419">
        <v>4399.34</v>
      </c>
      <c r="K162" s="414"/>
      <c r="L162" s="419">
        <v>0</v>
      </c>
      <c r="M162" s="414"/>
      <c r="N162" s="420">
        <v>0</v>
      </c>
      <c r="O162" s="414"/>
      <c r="P162" s="419">
        <f t="shared" si="24"/>
        <v>4399.34</v>
      </c>
      <c r="Q162" s="414"/>
      <c r="R162" s="419">
        <v>2193.08</v>
      </c>
      <c r="S162" s="419">
        <v>3294.56</v>
      </c>
      <c r="T162" s="419">
        <f t="shared" si="25"/>
        <v>4399.34</v>
      </c>
      <c r="U162" s="414"/>
      <c r="V162" s="420">
        <f t="shared" si="26"/>
        <v>1104.7800000000002</v>
      </c>
      <c r="W162" s="414"/>
      <c r="X162" s="414"/>
    </row>
    <row r="163" spans="1:25" s="421" customFormat="1" ht="4.5" customHeight="1" outlineLevel="1">
      <c r="A163" s="449" t="s">
        <v>194</v>
      </c>
      <c r="B163" s="449" t="s">
        <v>194</v>
      </c>
      <c r="C163" s="449"/>
      <c r="D163" s="458"/>
      <c r="E163" s="414"/>
      <c r="F163" s="414"/>
      <c r="G163" s="414"/>
      <c r="H163" s="414"/>
      <c r="I163" s="414"/>
      <c r="J163" s="453"/>
      <c r="K163" s="414"/>
      <c r="L163" s="453"/>
      <c r="M163" s="414"/>
      <c r="N163" s="454"/>
      <c r="O163" s="414"/>
      <c r="P163" s="453"/>
      <c r="Q163" s="414"/>
      <c r="R163" s="453"/>
      <c r="S163" s="453"/>
      <c r="T163" s="453"/>
      <c r="U163" s="414"/>
      <c r="V163" s="454"/>
      <c r="W163" s="414"/>
      <c r="X163" s="414"/>
      <c r="Y163" s="414"/>
    </row>
    <row r="164" spans="1:25" s="421" customFormat="1">
      <c r="A164" s="416" t="s">
        <v>781</v>
      </c>
      <c r="B164" s="449" t="s">
        <v>194</v>
      </c>
      <c r="C164" s="449"/>
      <c r="D164" s="414"/>
      <c r="E164" s="414"/>
      <c r="F164" s="414" t="s">
        <v>789</v>
      </c>
      <c r="G164" s="414"/>
      <c r="H164" s="414"/>
      <c r="I164" s="414"/>
      <c r="J164" s="451">
        <f>SUM(J152:J163)</f>
        <v>395125.89</v>
      </c>
      <c r="K164" s="414"/>
      <c r="L164" s="451">
        <f>SUM(L152:L163)</f>
        <v>0</v>
      </c>
      <c r="M164" s="414"/>
      <c r="N164" s="452">
        <f>SUM(N152:N163)</f>
        <v>0</v>
      </c>
      <c r="O164" s="414"/>
      <c r="P164" s="451">
        <f>J164+L164+N164</f>
        <v>395125.89</v>
      </c>
      <c r="Q164" s="414"/>
      <c r="R164" s="451">
        <f>SUM(R152:R163)</f>
        <v>539106.99</v>
      </c>
      <c r="S164" s="451">
        <f>SUM(S152:S163)</f>
        <v>331043.89999999997</v>
      </c>
      <c r="T164" s="451">
        <f>SUM(T152:T163)</f>
        <v>395125.89</v>
      </c>
      <c r="U164" s="414"/>
      <c r="V164" s="452">
        <f>SUM(V152:V163)</f>
        <v>64081.990000000034</v>
      </c>
      <c r="W164" s="414"/>
      <c r="X164" s="414"/>
      <c r="Y164" s="414"/>
    </row>
    <row r="165" spans="1:25" s="421" customFormat="1" ht="7.5" customHeight="1">
      <c r="A165" s="449" t="s">
        <v>194</v>
      </c>
      <c r="B165" s="449" t="s">
        <v>194</v>
      </c>
      <c r="C165" s="449"/>
      <c r="D165" s="414"/>
      <c r="E165" s="414"/>
      <c r="F165" s="414"/>
      <c r="G165" s="414"/>
      <c r="H165" s="414"/>
      <c r="I165" s="414"/>
      <c r="J165" s="456"/>
      <c r="K165" s="414"/>
      <c r="L165" s="456"/>
      <c r="M165" s="414"/>
      <c r="N165" s="420"/>
      <c r="O165" s="414"/>
      <c r="P165" s="456"/>
      <c r="Q165" s="414"/>
      <c r="R165" s="456"/>
      <c r="S165" s="456"/>
      <c r="T165" s="456"/>
      <c r="U165" s="414"/>
      <c r="V165" s="420"/>
      <c r="W165" s="414"/>
      <c r="X165" s="414"/>
      <c r="Y165" s="414"/>
    </row>
    <row r="166" spans="1:25" s="421" customFormat="1">
      <c r="A166" s="449" t="s">
        <v>194</v>
      </c>
      <c r="B166" s="449" t="s">
        <v>194</v>
      </c>
      <c r="C166" s="449"/>
      <c r="D166" s="414"/>
      <c r="E166" s="457" t="s">
        <v>790</v>
      </c>
      <c r="F166" s="414"/>
      <c r="G166" s="414"/>
      <c r="H166" s="414"/>
      <c r="I166" s="414"/>
      <c r="J166" s="406">
        <f>SUM(J137,J148,J151,J164,J133)</f>
        <v>2673470.6700000004</v>
      </c>
      <c r="K166" s="414"/>
      <c r="L166" s="406">
        <f>SUM(L137,L148,L151,L164,L133)</f>
        <v>0</v>
      </c>
      <c r="M166" s="414"/>
      <c r="N166" s="405">
        <f>SUM(N137,N148,N151,N164)</f>
        <v>0</v>
      </c>
      <c r="O166" s="414"/>
      <c r="P166" s="406">
        <f>SUM(P137,P148,P151,P164,P133)</f>
        <v>2673470.6700000004</v>
      </c>
      <c r="Q166" s="414"/>
      <c r="R166" s="406">
        <f>SUM(R137,R148,R151,R164,R133)</f>
        <v>2663756.66</v>
      </c>
      <c r="S166" s="406">
        <f>SUM(S137,S148,S151,S164,S133)</f>
        <v>2869873.5599999996</v>
      </c>
      <c r="T166" s="406">
        <f>SUM(T137,T148,T151,T164,T133)</f>
        <v>2673470.6700000004</v>
      </c>
      <c r="U166" s="414"/>
      <c r="V166" s="405">
        <f>SUM(V137,V148,V151,V164,V133)</f>
        <v>-196402.88999999996</v>
      </c>
      <c r="W166" s="414"/>
      <c r="X166" s="414"/>
      <c r="Y166" s="414"/>
    </row>
    <row r="167" spans="1:25" s="421" customFormat="1" ht="7.5" customHeight="1">
      <c r="A167" s="449" t="s">
        <v>194</v>
      </c>
      <c r="B167" s="449" t="s">
        <v>194</v>
      </c>
      <c r="C167" s="449"/>
      <c r="D167" s="414"/>
      <c r="E167" s="414"/>
      <c r="F167" s="414"/>
      <c r="G167" s="414"/>
      <c r="H167" s="414"/>
      <c r="I167" s="414"/>
      <c r="J167" s="456"/>
      <c r="K167" s="414"/>
      <c r="L167" s="456"/>
      <c r="M167" s="414"/>
      <c r="N167" s="420"/>
      <c r="O167" s="414"/>
      <c r="P167" s="456"/>
      <c r="Q167" s="414"/>
      <c r="R167" s="456"/>
      <c r="S167" s="456"/>
      <c r="T167" s="456"/>
      <c r="U167" s="414"/>
      <c r="V167" s="420"/>
      <c r="W167" s="414"/>
      <c r="X167" s="414"/>
      <c r="Y167" s="414"/>
    </row>
    <row r="168" spans="1:25" s="421" customFormat="1" outlineLevel="1">
      <c r="A168" s="449" t="s">
        <v>194</v>
      </c>
      <c r="B168" s="449" t="s">
        <v>194</v>
      </c>
      <c r="C168" s="449"/>
      <c r="D168" s="414"/>
      <c r="E168" s="414"/>
      <c r="F168" s="414"/>
      <c r="G168" s="414"/>
      <c r="H168" s="414"/>
      <c r="I168" s="414"/>
      <c r="J168" s="456"/>
      <c r="K168" s="414"/>
      <c r="L168" s="456"/>
      <c r="M168" s="414"/>
      <c r="N168" s="420"/>
      <c r="O168" s="414"/>
      <c r="P168" s="456"/>
      <c r="Q168" s="414"/>
      <c r="R168" s="456"/>
      <c r="S168" s="456"/>
      <c r="T168" s="456"/>
      <c r="U168" s="414"/>
      <c r="V168" s="420"/>
      <c r="W168" s="414"/>
      <c r="X168" s="414"/>
      <c r="Y168" s="414"/>
    </row>
    <row r="169" spans="1:25" s="421" customFormat="1" outlineLevel="1">
      <c r="A169" s="414"/>
      <c r="B169" s="415" t="s">
        <v>791</v>
      </c>
      <c r="C169" s="416"/>
      <c r="D169" s="417"/>
      <c r="E169" s="417"/>
      <c r="F169" s="418"/>
      <c r="G169" s="418"/>
      <c r="H169" s="414"/>
      <c r="I169" s="414"/>
      <c r="J169" s="419"/>
      <c r="K169" s="414"/>
      <c r="L169" s="419"/>
      <c r="M169" s="414"/>
      <c r="N169" s="420"/>
      <c r="O169" s="414"/>
      <c r="P169" s="419">
        <f>J169+L169+N169</f>
        <v>0</v>
      </c>
      <c r="Q169" s="414"/>
      <c r="R169" s="419"/>
      <c r="S169" s="419"/>
      <c r="T169" s="419">
        <f>P169</f>
        <v>0</v>
      </c>
      <c r="U169" s="414"/>
      <c r="V169" s="420">
        <f>T169-S169</f>
        <v>0</v>
      </c>
      <c r="W169" s="414"/>
      <c r="X169" s="414"/>
    </row>
    <row r="170" spans="1:25" s="421" customFormat="1" ht="5.0999999999999996" customHeight="1" outlineLevel="1">
      <c r="A170" s="449" t="s">
        <v>194</v>
      </c>
      <c r="B170" s="449" t="s">
        <v>194</v>
      </c>
      <c r="C170" s="449"/>
      <c r="D170" s="418"/>
      <c r="E170" s="418"/>
      <c r="F170" s="418"/>
      <c r="G170" s="418"/>
      <c r="H170" s="414"/>
      <c r="I170" s="414"/>
      <c r="J170" s="453"/>
      <c r="K170" s="414"/>
      <c r="L170" s="453"/>
      <c r="M170" s="414"/>
      <c r="N170" s="454"/>
      <c r="O170" s="414"/>
      <c r="P170" s="453"/>
      <c r="Q170" s="414"/>
      <c r="R170" s="453"/>
      <c r="S170" s="453"/>
      <c r="T170" s="453"/>
      <c r="U170" s="414"/>
      <c r="V170" s="454"/>
      <c r="W170" s="414"/>
      <c r="X170" s="414"/>
      <c r="Y170" s="414"/>
    </row>
    <row r="171" spans="1:25" s="421" customFormat="1">
      <c r="A171" s="416" t="s">
        <v>791</v>
      </c>
      <c r="B171" s="449" t="s">
        <v>194</v>
      </c>
      <c r="C171" s="449"/>
      <c r="D171" s="414"/>
      <c r="E171" s="414"/>
      <c r="F171" s="417" t="s">
        <v>792</v>
      </c>
      <c r="G171" s="414"/>
      <c r="H171" s="414"/>
      <c r="I171" s="414"/>
      <c r="J171" s="451">
        <f>SUM(J169:J170)</f>
        <v>0</v>
      </c>
      <c r="K171" s="414"/>
      <c r="L171" s="451">
        <f>SUM(L169:L170)</f>
        <v>0</v>
      </c>
      <c r="M171" s="414"/>
      <c r="N171" s="452">
        <f>SUM(N169:N170)</f>
        <v>0</v>
      </c>
      <c r="O171" s="414"/>
      <c r="P171" s="451">
        <f>J171+L171+N171</f>
        <v>0</v>
      </c>
      <c r="Q171" s="414"/>
      <c r="R171" s="451">
        <f>SUM(R169:R170)</f>
        <v>0</v>
      </c>
      <c r="S171" s="451">
        <f>SUM(S169:S170)</f>
        <v>0</v>
      </c>
      <c r="T171" s="451">
        <f>SUM(T169:T170)</f>
        <v>0</v>
      </c>
      <c r="U171" s="414"/>
      <c r="V171" s="452">
        <f>SUM(V169:V170)</f>
        <v>0</v>
      </c>
      <c r="W171" s="414"/>
      <c r="X171" s="414"/>
      <c r="Y171" s="414"/>
    </row>
    <row r="172" spans="1:25" s="421" customFormat="1" outlineLevel="1">
      <c r="A172" s="414"/>
      <c r="B172" s="415" t="s">
        <v>793</v>
      </c>
      <c r="C172" s="416"/>
      <c r="D172" s="417"/>
      <c r="E172" s="417"/>
      <c r="F172" s="418"/>
      <c r="G172" s="418"/>
      <c r="H172" s="414"/>
      <c r="I172" s="414"/>
      <c r="J172" s="419"/>
      <c r="K172" s="414"/>
      <c r="L172" s="419"/>
      <c r="M172" s="414"/>
      <c r="N172" s="420"/>
      <c r="O172" s="414"/>
      <c r="P172" s="419">
        <f>J172+L172+N172</f>
        <v>0</v>
      </c>
      <c r="Q172" s="414"/>
      <c r="R172" s="419"/>
      <c r="S172" s="419"/>
      <c r="T172" s="419">
        <f>P172</f>
        <v>0</v>
      </c>
      <c r="U172" s="414"/>
      <c r="V172" s="420">
        <f>T172-S172</f>
        <v>0</v>
      </c>
      <c r="W172" s="414"/>
      <c r="X172" s="414"/>
    </row>
    <row r="173" spans="1:25" s="421" customFormat="1" ht="5.0999999999999996" customHeight="1" outlineLevel="1">
      <c r="A173" s="449" t="s">
        <v>194</v>
      </c>
      <c r="B173" s="449" t="s">
        <v>194</v>
      </c>
      <c r="C173" s="449"/>
      <c r="D173" s="418"/>
      <c r="E173" s="418"/>
      <c r="F173" s="418"/>
      <c r="G173" s="418"/>
      <c r="H173" s="414"/>
      <c r="I173" s="414"/>
      <c r="J173" s="453"/>
      <c r="K173" s="414"/>
      <c r="L173" s="453"/>
      <c r="M173" s="414"/>
      <c r="N173" s="454"/>
      <c r="O173" s="414"/>
      <c r="P173" s="453"/>
      <c r="Q173" s="414"/>
      <c r="R173" s="453"/>
      <c r="S173" s="453"/>
      <c r="T173" s="453"/>
      <c r="U173" s="414"/>
      <c r="V173" s="454"/>
      <c r="W173" s="414"/>
      <c r="X173" s="414"/>
      <c r="Y173" s="414"/>
    </row>
    <row r="174" spans="1:25" s="421" customFormat="1">
      <c r="A174" s="416" t="s">
        <v>793</v>
      </c>
      <c r="B174" s="449" t="s">
        <v>194</v>
      </c>
      <c r="C174" s="449"/>
      <c r="D174" s="414"/>
      <c r="E174" s="414"/>
      <c r="F174" s="417" t="s">
        <v>794</v>
      </c>
      <c r="G174" s="414"/>
      <c r="H174" s="414"/>
      <c r="I174" s="414"/>
      <c r="J174" s="451">
        <f>SUM(J172:J173)</f>
        <v>0</v>
      </c>
      <c r="K174" s="414"/>
      <c r="L174" s="451">
        <f>SUM(L172:L173)</f>
        <v>0</v>
      </c>
      <c r="M174" s="414"/>
      <c r="N174" s="452">
        <f>SUM(N172:N173)</f>
        <v>0</v>
      </c>
      <c r="O174" s="414"/>
      <c r="P174" s="451">
        <f>J174+L174+N174</f>
        <v>0</v>
      </c>
      <c r="Q174" s="414"/>
      <c r="R174" s="451">
        <f>SUM(R172:R173)</f>
        <v>0</v>
      </c>
      <c r="S174" s="451">
        <f>SUM(S172:S173)</f>
        <v>0</v>
      </c>
      <c r="T174" s="451">
        <f>SUM(T172:T173)</f>
        <v>0</v>
      </c>
      <c r="U174" s="414"/>
      <c r="V174" s="452">
        <f>SUM(V172:V173)</f>
        <v>0</v>
      </c>
      <c r="W174" s="414"/>
      <c r="X174" s="414"/>
      <c r="Y174" s="414"/>
    </row>
    <row r="175" spans="1:25" s="421" customFormat="1" outlineLevel="1">
      <c r="A175" s="414"/>
      <c r="B175" s="415" t="s">
        <v>795</v>
      </c>
      <c r="C175" s="416"/>
      <c r="D175" s="417">
        <v>21651</v>
      </c>
      <c r="E175" s="417" t="s">
        <v>844</v>
      </c>
      <c r="F175" s="418"/>
      <c r="G175" s="418"/>
      <c r="H175" s="414"/>
      <c r="I175" s="414"/>
      <c r="J175" s="419">
        <v>13357.78</v>
      </c>
      <c r="K175" s="414"/>
      <c r="L175" s="419">
        <v>0</v>
      </c>
      <c r="M175" s="414"/>
      <c r="N175" s="420">
        <v>0</v>
      </c>
      <c r="O175" s="414"/>
      <c r="P175" s="419">
        <f>J175+L175+N175</f>
        <v>13357.78</v>
      </c>
      <c r="Q175" s="414"/>
      <c r="R175" s="419">
        <v>13357.78</v>
      </c>
      <c r="S175" s="419">
        <v>13357.78</v>
      </c>
      <c r="T175" s="419">
        <f t="shared" ref="T175:T177" si="27">P175</f>
        <v>13357.78</v>
      </c>
      <c r="U175" s="414"/>
      <c r="V175" s="420">
        <f t="shared" ref="V175:V177" si="28">T175-S175</f>
        <v>0</v>
      </c>
      <c r="W175" s="414"/>
      <c r="X175" s="414"/>
    </row>
    <row r="176" spans="1:25" s="421" customFormat="1" outlineLevel="1">
      <c r="A176" s="414"/>
      <c r="B176" s="415" t="s">
        <v>397</v>
      </c>
      <c r="C176" s="416"/>
      <c r="D176" s="417">
        <v>21655</v>
      </c>
      <c r="E176" s="417" t="s">
        <v>845</v>
      </c>
      <c r="F176" s="418"/>
      <c r="G176" s="418"/>
      <c r="H176" s="414"/>
      <c r="I176" s="414"/>
      <c r="J176" s="419">
        <v>0</v>
      </c>
      <c r="K176" s="414"/>
      <c r="L176" s="419">
        <v>0</v>
      </c>
      <c r="M176" s="414"/>
      <c r="N176" s="420">
        <v>0</v>
      </c>
      <c r="O176" s="414"/>
      <c r="P176" s="419">
        <f>J176+L176+N176</f>
        <v>0</v>
      </c>
      <c r="Q176" s="414"/>
      <c r="R176" s="419">
        <v>0</v>
      </c>
      <c r="S176" s="419">
        <v>0</v>
      </c>
      <c r="T176" s="419">
        <f t="shared" si="27"/>
        <v>0</v>
      </c>
      <c r="U176" s="414"/>
      <c r="V176" s="420">
        <f t="shared" si="28"/>
        <v>0</v>
      </c>
      <c r="W176" s="414"/>
      <c r="X176" s="414"/>
    </row>
    <row r="177" spans="1:25" s="421" customFormat="1" outlineLevel="1">
      <c r="A177" s="414"/>
      <c r="B177" s="415" t="s">
        <v>397</v>
      </c>
      <c r="C177" s="416"/>
      <c r="D177" s="417">
        <v>21658</v>
      </c>
      <c r="E177" s="417" t="s">
        <v>846</v>
      </c>
      <c r="F177" s="418"/>
      <c r="G177" s="418"/>
      <c r="H177" s="414"/>
      <c r="I177" s="414"/>
      <c r="J177" s="419">
        <v>-4399.34</v>
      </c>
      <c r="K177" s="414"/>
      <c r="L177" s="419">
        <v>0</v>
      </c>
      <c r="M177" s="414"/>
      <c r="N177" s="420">
        <v>0</v>
      </c>
      <c r="O177" s="414"/>
      <c r="P177" s="419">
        <f>J177+L177+N177</f>
        <v>-4399.34</v>
      </c>
      <c r="Q177" s="414"/>
      <c r="R177" s="419">
        <v>-2193.08</v>
      </c>
      <c r="S177" s="419">
        <v>-3294.56</v>
      </c>
      <c r="T177" s="419">
        <f t="shared" si="27"/>
        <v>-4399.34</v>
      </c>
      <c r="U177" s="414"/>
      <c r="V177" s="420">
        <f t="shared" si="28"/>
        <v>-1104.7800000000002</v>
      </c>
      <c r="W177" s="414"/>
      <c r="X177" s="414"/>
    </row>
    <row r="178" spans="1:25" s="421" customFormat="1" ht="5.0999999999999996" customHeight="1" outlineLevel="1">
      <c r="A178" s="449" t="s">
        <v>194</v>
      </c>
      <c r="B178" s="416" t="s">
        <v>194</v>
      </c>
      <c r="C178" s="416"/>
      <c r="D178" s="418"/>
      <c r="E178" s="418"/>
      <c r="F178" s="418"/>
      <c r="G178" s="418"/>
      <c r="H178" s="414"/>
      <c r="I178" s="414"/>
      <c r="J178" s="453"/>
      <c r="K178" s="414"/>
      <c r="L178" s="453"/>
      <c r="M178" s="414"/>
      <c r="N178" s="454"/>
      <c r="O178" s="414"/>
      <c r="P178" s="453"/>
      <c r="Q178" s="414"/>
      <c r="R178" s="453"/>
      <c r="S178" s="453"/>
      <c r="T178" s="453"/>
      <c r="U178" s="414"/>
      <c r="V178" s="454"/>
      <c r="W178" s="414"/>
      <c r="X178" s="414"/>
      <c r="Y178" s="414"/>
    </row>
    <row r="179" spans="1:25" s="421" customFormat="1">
      <c r="A179" s="416" t="s">
        <v>795</v>
      </c>
      <c r="B179" s="416" t="s">
        <v>194</v>
      </c>
      <c r="C179" s="416"/>
      <c r="D179" s="414"/>
      <c r="E179" s="414"/>
      <c r="F179" s="417" t="s">
        <v>796</v>
      </c>
      <c r="G179" s="414"/>
      <c r="H179" s="414"/>
      <c r="I179" s="414"/>
      <c r="J179" s="451">
        <f>SUM(J175:J178)</f>
        <v>8958.44</v>
      </c>
      <c r="K179" s="414"/>
      <c r="L179" s="451">
        <f>SUM(L175:L178)</f>
        <v>0</v>
      </c>
      <c r="M179" s="414"/>
      <c r="N179" s="452">
        <f>SUM(N175:N178)</f>
        <v>0</v>
      </c>
      <c r="O179" s="414"/>
      <c r="P179" s="451">
        <f>J179+L179+N179</f>
        <v>8958.44</v>
      </c>
      <c r="Q179" s="414"/>
      <c r="R179" s="451">
        <f>SUM(R175:R178)</f>
        <v>11164.7</v>
      </c>
      <c r="S179" s="451">
        <f>SUM(S175:S178)</f>
        <v>10063.220000000001</v>
      </c>
      <c r="T179" s="451">
        <f>SUM(T175:T178)</f>
        <v>8958.44</v>
      </c>
      <c r="U179" s="414"/>
      <c r="V179" s="452">
        <f>SUM(V175:V178)</f>
        <v>-1104.7800000000002</v>
      </c>
      <c r="W179" s="414"/>
      <c r="X179" s="414"/>
      <c r="Y179" s="414"/>
    </row>
    <row r="180" spans="1:25" s="421" customFormat="1" outlineLevel="1">
      <c r="A180" s="414"/>
      <c r="B180" s="415" t="s">
        <v>797</v>
      </c>
      <c r="C180" s="416"/>
      <c r="D180" s="417"/>
      <c r="E180" s="417"/>
      <c r="F180" s="418"/>
      <c r="G180" s="418"/>
      <c r="H180" s="414"/>
      <c r="I180" s="414"/>
      <c r="J180" s="419"/>
      <c r="K180" s="414"/>
      <c r="L180" s="419"/>
      <c r="M180" s="414"/>
      <c r="N180" s="420"/>
      <c r="O180" s="414"/>
      <c r="P180" s="419">
        <f>J180+L180+N180</f>
        <v>0</v>
      </c>
      <c r="Q180" s="414"/>
      <c r="R180" s="419"/>
      <c r="S180" s="419"/>
      <c r="T180" s="419">
        <f>P180</f>
        <v>0</v>
      </c>
      <c r="U180" s="414"/>
      <c r="V180" s="420">
        <f>T180-S180</f>
        <v>0</v>
      </c>
      <c r="W180" s="414"/>
      <c r="X180" s="414"/>
    </row>
    <row r="181" spans="1:25" s="421" customFormat="1" ht="5.0999999999999996" customHeight="1" outlineLevel="1">
      <c r="A181" s="416" t="s">
        <v>194</v>
      </c>
      <c r="B181" s="449"/>
      <c r="C181" s="449"/>
      <c r="D181" s="417"/>
      <c r="E181" s="417"/>
      <c r="F181" s="414"/>
      <c r="G181" s="414"/>
      <c r="H181" s="414"/>
      <c r="I181" s="414"/>
      <c r="J181" s="453"/>
      <c r="K181" s="414"/>
      <c r="L181" s="453"/>
      <c r="M181" s="414"/>
      <c r="N181" s="454"/>
      <c r="O181" s="414"/>
      <c r="P181" s="453"/>
      <c r="Q181" s="414"/>
      <c r="R181" s="453"/>
      <c r="S181" s="453"/>
      <c r="T181" s="453"/>
      <c r="U181" s="414"/>
      <c r="V181" s="454"/>
      <c r="W181" s="414"/>
      <c r="X181" s="414"/>
      <c r="Y181" s="414"/>
    </row>
    <row r="182" spans="1:25" s="421" customFormat="1" ht="12.75" customHeight="1">
      <c r="A182" s="416" t="s">
        <v>797</v>
      </c>
      <c r="B182" s="449" t="s">
        <v>194</v>
      </c>
      <c r="C182" s="449"/>
      <c r="D182" s="414"/>
      <c r="E182" s="414"/>
      <c r="F182" s="414" t="s">
        <v>798</v>
      </c>
      <c r="G182" s="414"/>
      <c r="H182" s="414"/>
      <c r="I182" s="414"/>
      <c r="J182" s="451">
        <f>SUM(J180:J181)</f>
        <v>0</v>
      </c>
      <c r="K182" s="414"/>
      <c r="L182" s="451">
        <f>SUM(L180:L181)</f>
        <v>0</v>
      </c>
      <c r="M182" s="414"/>
      <c r="N182" s="452">
        <f>SUM(N180:N181)</f>
        <v>0</v>
      </c>
      <c r="O182" s="414"/>
      <c r="P182" s="451">
        <f>J182+L182+N182</f>
        <v>0</v>
      </c>
      <c r="Q182" s="414"/>
      <c r="R182" s="451">
        <f>SUM(R180:R181)</f>
        <v>0</v>
      </c>
      <c r="S182" s="451">
        <f>SUM(S180:S181)</f>
        <v>0</v>
      </c>
      <c r="T182" s="451">
        <f>SUM(T180:T181)</f>
        <v>0</v>
      </c>
      <c r="U182" s="414"/>
      <c r="V182" s="452">
        <f>SUM(V180:V181)</f>
        <v>0</v>
      </c>
      <c r="W182" s="414"/>
      <c r="X182" s="414"/>
      <c r="Y182" s="414"/>
    </row>
    <row r="183" spans="1:25" s="421" customFormat="1" outlineLevel="1">
      <c r="A183" s="414"/>
      <c r="B183" s="415" t="s">
        <v>799</v>
      </c>
      <c r="C183" s="416"/>
      <c r="D183" s="417"/>
      <c r="E183" s="417"/>
      <c r="F183" s="418"/>
      <c r="G183" s="418"/>
      <c r="H183" s="414"/>
      <c r="I183" s="414"/>
      <c r="J183" s="419"/>
      <c r="K183" s="414"/>
      <c r="L183" s="419"/>
      <c r="M183" s="414"/>
      <c r="N183" s="420"/>
      <c r="O183" s="414"/>
      <c r="P183" s="419">
        <f>J183+L183+N183</f>
        <v>0</v>
      </c>
      <c r="Q183" s="414"/>
      <c r="R183" s="419"/>
      <c r="S183" s="419"/>
      <c r="T183" s="419">
        <f>P183</f>
        <v>0</v>
      </c>
      <c r="U183" s="414"/>
      <c r="V183" s="420">
        <f>T183-S183</f>
        <v>0</v>
      </c>
      <c r="W183" s="414"/>
      <c r="X183" s="414"/>
    </row>
    <row r="184" spans="1:25" s="421" customFormat="1" ht="5.0999999999999996" customHeight="1" outlineLevel="1">
      <c r="A184" s="449" t="s">
        <v>194</v>
      </c>
      <c r="B184" s="416" t="s">
        <v>194</v>
      </c>
      <c r="C184" s="416"/>
      <c r="D184" s="418"/>
      <c r="E184" s="418"/>
      <c r="F184" s="418"/>
      <c r="G184" s="418"/>
      <c r="H184" s="414"/>
      <c r="I184" s="414"/>
      <c r="J184" s="453"/>
      <c r="K184" s="414"/>
      <c r="L184" s="453"/>
      <c r="M184" s="414"/>
      <c r="N184" s="454"/>
      <c r="O184" s="414"/>
      <c r="P184" s="453"/>
      <c r="Q184" s="414"/>
      <c r="R184" s="453"/>
      <c r="S184" s="453"/>
      <c r="T184" s="453"/>
      <c r="U184" s="414"/>
      <c r="V184" s="454"/>
      <c r="W184" s="414"/>
      <c r="X184" s="414"/>
      <c r="Y184" s="414"/>
    </row>
    <row r="185" spans="1:25" s="421" customFormat="1">
      <c r="A185" s="416" t="s">
        <v>799</v>
      </c>
      <c r="B185" s="416" t="s">
        <v>194</v>
      </c>
      <c r="C185" s="416"/>
      <c r="D185" s="414"/>
      <c r="E185" s="414"/>
      <c r="F185" s="417" t="s">
        <v>800</v>
      </c>
      <c r="G185" s="414"/>
      <c r="H185" s="414"/>
      <c r="I185" s="414"/>
      <c r="J185" s="451">
        <f>SUM(J183:J184)</f>
        <v>0</v>
      </c>
      <c r="K185" s="414"/>
      <c r="L185" s="451">
        <f>SUM(L183:L184)</f>
        <v>0</v>
      </c>
      <c r="M185" s="414"/>
      <c r="N185" s="452">
        <f>SUM(N183:N184)</f>
        <v>0</v>
      </c>
      <c r="O185" s="414"/>
      <c r="P185" s="451">
        <f>J185+L185+N185</f>
        <v>0</v>
      </c>
      <c r="Q185" s="414"/>
      <c r="R185" s="451">
        <f>SUM(R183:R184)</f>
        <v>0</v>
      </c>
      <c r="S185" s="451">
        <f>SUM(S183:S184)</f>
        <v>0</v>
      </c>
      <c r="T185" s="451">
        <f>SUM(T183:T184)</f>
        <v>0</v>
      </c>
      <c r="U185" s="414"/>
      <c r="V185" s="452">
        <f>SUM(V183:V184)</f>
        <v>0</v>
      </c>
      <c r="W185" s="414"/>
      <c r="X185" s="414"/>
      <c r="Y185" s="414"/>
    </row>
    <row r="186" spans="1:25" s="421" customFormat="1" outlineLevel="1">
      <c r="A186" s="414"/>
      <c r="B186" s="415" t="s">
        <v>801</v>
      </c>
      <c r="C186" s="416"/>
      <c r="D186" s="417"/>
      <c r="E186" s="417"/>
      <c r="F186" s="418"/>
      <c r="G186" s="418"/>
      <c r="H186" s="414"/>
      <c r="I186" s="414"/>
      <c r="J186" s="419"/>
      <c r="K186" s="414"/>
      <c r="L186" s="419"/>
      <c r="M186" s="414"/>
      <c r="N186" s="420"/>
      <c r="O186" s="414"/>
      <c r="P186" s="419">
        <f>J186+L186+N186</f>
        <v>0</v>
      </c>
      <c r="Q186" s="414"/>
      <c r="R186" s="419"/>
      <c r="S186" s="419"/>
      <c r="T186" s="419">
        <f>P186</f>
        <v>0</v>
      </c>
      <c r="U186" s="414"/>
      <c r="V186" s="420">
        <f>T186-S186</f>
        <v>0</v>
      </c>
      <c r="W186" s="414"/>
      <c r="X186" s="414"/>
    </row>
    <row r="187" spans="1:25" s="421" customFormat="1" ht="5.0999999999999996" customHeight="1" outlineLevel="1">
      <c r="A187" s="416" t="s">
        <v>194</v>
      </c>
      <c r="B187" s="416" t="s">
        <v>194</v>
      </c>
      <c r="C187" s="416"/>
      <c r="D187" s="418"/>
      <c r="E187" s="418"/>
      <c r="F187" s="418"/>
      <c r="G187" s="418"/>
      <c r="H187" s="414"/>
      <c r="I187" s="414"/>
      <c r="J187" s="453"/>
      <c r="K187" s="414"/>
      <c r="L187" s="453"/>
      <c r="M187" s="414"/>
      <c r="N187" s="454"/>
      <c r="O187" s="414"/>
      <c r="P187" s="453"/>
      <c r="Q187" s="414"/>
      <c r="R187" s="453"/>
      <c r="S187" s="453"/>
      <c r="T187" s="453"/>
      <c r="U187" s="414"/>
      <c r="V187" s="454"/>
      <c r="W187" s="414"/>
      <c r="X187" s="414"/>
      <c r="Y187" s="414"/>
    </row>
    <row r="188" spans="1:25" s="421" customFormat="1">
      <c r="A188" s="416" t="s">
        <v>801</v>
      </c>
      <c r="B188" s="416" t="s">
        <v>194</v>
      </c>
      <c r="C188" s="416"/>
      <c r="D188" s="414"/>
      <c r="E188" s="414"/>
      <c r="F188" s="417" t="s">
        <v>802</v>
      </c>
      <c r="G188" s="414"/>
      <c r="H188" s="414"/>
      <c r="I188" s="414"/>
      <c r="J188" s="451">
        <f>SUM(J186:J187)</f>
        <v>0</v>
      </c>
      <c r="K188" s="414"/>
      <c r="L188" s="451">
        <f>SUM(L186:L187)</f>
        <v>0</v>
      </c>
      <c r="M188" s="414"/>
      <c r="N188" s="452">
        <f>SUM(N186:N187)</f>
        <v>0</v>
      </c>
      <c r="O188" s="414"/>
      <c r="P188" s="451">
        <f>J188+L188+N188</f>
        <v>0</v>
      </c>
      <c r="Q188" s="414"/>
      <c r="R188" s="451">
        <f>SUM(R186:R187)</f>
        <v>0</v>
      </c>
      <c r="S188" s="451">
        <f>SUM(S186:S187)</f>
        <v>0</v>
      </c>
      <c r="T188" s="451">
        <f>SUM(T186:T187)</f>
        <v>0</v>
      </c>
      <c r="U188" s="414"/>
      <c r="V188" s="452">
        <f>SUM(V186:V187)</f>
        <v>0</v>
      </c>
      <c r="W188" s="414"/>
      <c r="X188" s="414"/>
      <c r="Y188" s="414"/>
    </row>
    <row r="189" spans="1:25" s="421" customFormat="1" outlineLevel="1">
      <c r="A189" s="414"/>
      <c r="B189" s="415" t="s">
        <v>803</v>
      </c>
      <c r="C189" s="416"/>
      <c r="D189" s="417"/>
      <c r="E189" s="417"/>
      <c r="F189" s="418"/>
      <c r="G189" s="418"/>
      <c r="H189" s="414"/>
      <c r="I189" s="414"/>
      <c r="J189" s="419"/>
      <c r="K189" s="414"/>
      <c r="L189" s="419"/>
      <c r="M189" s="414"/>
      <c r="N189" s="420"/>
      <c r="O189" s="414"/>
      <c r="P189" s="419">
        <f>J189+L189+N189</f>
        <v>0</v>
      </c>
      <c r="Q189" s="414"/>
      <c r="R189" s="419"/>
      <c r="S189" s="419"/>
      <c r="T189" s="419">
        <f>P189</f>
        <v>0</v>
      </c>
      <c r="U189" s="414"/>
      <c r="V189" s="420">
        <f>T189-S189</f>
        <v>0</v>
      </c>
      <c r="W189" s="414"/>
      <c r="X189" s="414"/>
    </row>
    <row r="190" spans="1:25" s="421" customFormat="1" ht="5.0999999999999996" customHeight="1" outlineLevel="1">
      <c r="A190" s="449" t="s">
        <v>194</v>
      </c>
      <c r="B190" s="449" t="s">
        <v>194</v>
      </c>
      <c r="C190" s="449"/>
      <c r="D190" s="418"/>
      <c r="E190" s="418"/>
      <c r="F190" s="418"/>
      <c r="G190" s="418"/>
      <c r="H190" s="414"/>
      <c r="I190" s="414"/>
      <c r="J190" s="453"/>
      <c r="K190" s="414"/>
      <c r="L190" s="453"/>
      <c r="M190" s="414"/>
      <c r="N190" s="454"/>
      <c r="O190" s="414"/>
      <c r="P190" s="453"/>
      <c r="Q190" s="414"/>
      <c r="R190" s="453"/>
      <c r="S190" s="453"/>
      <c r="T190" s="453"/>
      <c r="U190" s="414"/>
      <c r="V190" s="454"/>
      <c r="W190" s="414"/>
      <c r="X190" s="414"/>
      <c r="Y190" s="414"/>
    </row>
    <row r="191" spans="1:25" s="421" customFormat="1">
      <c r="A191" s="416" t="s">
        <v>803</v>
      </c>
      <c r="B191" s="416" t="s">
        <v>194</v>
      </c>
      <c r="C191" s="416"/>
      <c r="D191" s="414"/>
      <c r="E191" s="414"/>
      <c r="F191" s="417" t="s">
        <v>804</v>
      </c>
      <c r="G191" s="414"/>
      <c r="H191" s="414"/>
      <c r="I191" s="414"/>
      <c r="J191" s="451">
        <f>SUM(J189:J190)</f>
        <v>0</v>
      </c>
      <c r="K191" s="414"/>
      <c r="L191" s="451">
        <f>SUM(L189:L190)</f>
        <v>0</v>
      </c>
      <c r="M191" s="414"/>
      <c r="N191" s="452">
        <f>SUM(N189:N190)</f>
        <v>0</v>
      </c>
      <c r="O191" s="414"/>
      <c r="P191" s="451">
        <f>J191+L191+N191</f>
        <v>0</v>
      </c>
      <c r="Q191" s="414"/>
      <c r="R191" s="451">
        <f>SUM(R189:R190)</f>
        <v>0</v>
      </c>
      <c r="S191" s="451">
        <f>SUM(S189:S190)</f>
        <v>0</v>
      </c>
      <c r="T191" s="451">
        <f>SUM(T189:T190)</f>
        <v>0</v>
      </c>
      <c r="U191" s="414"/>
      <c r="V191" s="452">
        <f>SUM(V189:V190)</f>
        <v>0</v>
      </c>
      <c r="W191" s="414"/>
      <c r="X191" s="414"/>
      <c r="Y191" s="414"/>
    </row>
    <row r="192" spans="1:25" s="421" customFormat="1" ht="7.5" customHeight="1">
      <c r="A192" s="416" t="s">
        <v>194</v>
      </c>
      <c r="B192" s="416" t="s">
        <v>194</v>
      </c>
      <c r="C192" s="416"/>
      <c r="D192" s="414"/>
      <c r="E192" s="414"/>
      <c r="F192" s="414"/>
      <c r="G192" s="414"/>
      <c r="H192" s="414"/>
      <c r="I192" s="414"/>
      <c r="J192" s="456"/>
      <c r="K192" s="414"/>
      <c r="L192" s="456"/>
      <c r="M192" s="414"/>
      <c r="N192" s="420"/>
      <c r="O192" s="414"/>
      <c r="P192" s="456"/>
      <c r="Q192" s="414"/>
      <c r="R192" s="456"/>
      <c r="S192" s="456"/>
      <c r="T192" s="456"/>
      <c r="U192" s="414"/>
      <c r="V192" s="420"/>
      <c r="W192" s="414"/>
      <c r="X192" s="414"/>
      <c r="Y192" s="414"/>
    </row>
    <row r="193" spans="1:25" s="421" customFormat="1">
      <c r="A193" s="416" t="s">
        <v>194</v>
      </c>
      <c r="B193" s="416" t="s">
        <v>194</v>
      </c>
      <c r="C193" s="416"/>
      <c r="D193" s="414"/>
      <c r="E193" s="457" t="s">
        <v>805</v>
      </c>
      <c r="F193" s="414"/>
      <c r="G193" s="414"/>
      <c r="H193" s="414"/>
      <c r="I193" s="414"/>
      <c r="J193" s="406">
        <f>SUM(J171,J179,J188,J166,J174,J185,J182)</f>
        <v>2682429.1100000003</v>
      </c>
      <c r="K193" s="414"/>
      <c r="L193" s="406">
        <f>SUM(L171,L179,L188,L166,L174,L185,L182)</f>
        <v>0</v>
      </c>
      <c r="M193" s="414"/>
      <c r="N193" s="405">
        <f>SUM(N171,N179,N188,N166,N174,N185,N182)</f>
        <v>0</v>
      </c>
      <c r="O193" s="414"/>
      <c r="P193" s="406">
        <f>SUM(P171,P179,P188,P166,P174,P185,P182)</f>
        <v>2682429.1100000003</v>
      </c>
      <c r="Q193" s="414"/>
      <c r="R193" s="406">
        <f>SUM(R171,R179,R188,R166,R174,R185,R182)</f>
        <v>2674921.3600000003</v>
      </c>
      <c r="S193" s="406">
        <f>SUM(S171,S179,S188,S166,S174,S185,S182)</f>
        <v>2879936.78</v>
      </c>
      <c r="T193" s="406">
        <f>SUM(T171,T179,T188,T166,T174,T185,T182)</f>
        <v>2682429.1100000003</v>
      </c>
      <c r="U193" s="414"/>
      <c r="V193" s="405">
        <f>SUM(V171,V179,V188,V166,V174,V185,V182)</f>
        <v>-197507.66999999995</v>
      </c>
      <c r="W193" s="414"/>
      <c r="X193" s="414"/>
      <c r="Y193" s="414"/>
    </row>
    <row r="194" spans="1:25" s="421" customFormat="1" ht="7.5" customHeight="1">
      <c r="A194" s="416" t="s">
        <v>194</v>
      </c>
      <c r="B194" s="416" t="s">
        <v>194</v>
      </c>
      <c r="C194" s="416"/>
      <c r="D194" s="414"/>
      <c r="E194" s="414"/>
      <c r="F194" s="414"/>
      <c r="G194" s="414"/>
      <c r="H194" s="414"/>
      <c r="I194" s="414"/>
      <c r="J194" s="456"/>
      <c r="K194" s="414"/>
      <c r="L194" s="456"/>
      <c r="M194" s="414"/>
      <c r="N194" s="420"/>
      <c r="O194" s="414"/>
      <c r="P194" s="456"/>
      <c r="Q194" s="414"/>
      <c r="R194" s="456"/>
      <c r="S194" s="456"/>
      <c r="T194" s="456"/>
      <c r="U194" s="414"/>
      <c r="V194" s="420"/>
      <c r="W194" s="414"/>
      <c r="X194" s="414"/>
      <c r="Y194" s="414"/>
    </row>
    <row r="195" spans="1:25" s="421" customFormat="1" outlineLevel="1">
      <c r="A195" s="414"/>
      <c r="B195" s="415" t="s">
        <v>806</v>
      </c>
      <c r="C195" s="416"/>
      <c r="D195" s="417"/>
      <c r="E195" s="417"/>
      <c r="F195" s="418"/>
      <c r="G195" s="418"/>
      <c r="H195" s="414"/>
      <c r="I195" s="414"/>
      <c r="J195" s="419"/>
      <c r="K195" s="414"/>
      <c r="L195" s="419"/>
      <c r="M195" s="414"/>
      <c r="N195" s="420"/>
      <c r="O195" s="414"/>
      <c r="P195" s="419">
        <f>J195+L195+N195</f>
        <v>0</v>
      </c>
      <c r="Q195" s="414"/>
      <c r="R195" s="419"/>
      <c r="S195" s="419"/>
      <c r="T195" s="419">
        <f>P195</f>
        <v>0</v>
      </c>
      <c r="U195" s="414"/>
      <c r="V195" s="420">
        <f>T195-S195</f>
        <v>0</v>
      </c>
      <c r="W195" s="414"/>
      <c r="X195" s="414"/>
    </row>
    <row r="196" spans="1:25" s="421" customFormat="1" ht="5.0999999999999996" customHeight="1" outlineLevel="1">
      <c r="A196" s="416" t="s">
        <v>194</v>
      </c>
      <c r="B196" s="416" t="s">
        <v>194</v>
      </c>
      <c r="C196" s="416"/>
      <c r="D196" s="418"/>
      <c r="E196" s="418"/>
      <c r="F196" s="418"/>
      <c r="G196" s="418"/>
      <c r="H196" s="414"/>
      <c r="I196" s="414"/>
      <c r="J196" s="453"/>
      <c r="K196" s="414"/>
      <c r="L196" s="453"/>
      <c r="M196" s="414"/>
      <c r="N196" s="454"/>
      <c r="O196" s="414"/>
      <c r="P196" s="453"/>
      <c r="Q196" s="414"/>
      <c r="R196" s="453"/>
      <c r="S196" s="453"/>
      <c r="T196" s="453"/>
      <c r="U196" s="414"/>
      <c r="V196" s="454"/>
      <c r="W196" s="414"/>
      <c r="X196" s="414"/>
      <c r="Y196" s="414"/>
    </row>
    <row r="197" spans="1:25" s="421" customFormat="1">
      <c r="A197" s="416" t="s">
        <v>806</v>
      </c>
      <c r="B197" s="416" t="s">
        <v>194</v>
      </c>
      <c r="C197" s="416"/>
      <c r="D197" s="414"/>
      <c r="E197" s="414"/>
      <c r="F197" s="417" t="s">
        <v>807</v>
      </c>
      <c r="G197" s="414"/>
      <c r="H197" s="414"/>
      <c r="I197" s="414"/>
      <c r="J197" s="451">
        <f>SUM(J195:J196)</f>
        <v>0</v>
      </c>
      <c r="K197" s="414"/>
      <c r="L197" s="451">
        <f>SUM(L195:L196)</f>
        <v>0</v>
      </c>
      <c r="M197" s="414"/>
      <c r="N197" s="452">
        <f>SUM(N195:N196)</f>
        <v>0</v>
      </c>
      <c r="O197" s="414"/>
      <c r="P197" s="451">
        <f>J197+L197+N197</f>
        <v>0</v>
      </c>
      <c r="Q197" s="414"/>
      <c r="R197" s="451">
        <f>SUM(R195:R196)</f>
        <v>0</v>
      </c>
      <c r="S197" s="451">
        <f>SUM(S195:S196)</f>
        <v>0</v>
      </c>
      <c r="T197" s="451">
        <f>SUM(T195:T196)</f>
        <v>0</v>
      </c>
      <c r="U197" s="414"/>
      <c r="V197" s="452">
        <f>SUM(V195:V196)</f>
        <v>0</v>
      </c>
      <c r="W197" s="414"/>
      <c r="X197" s="414"/>
      <c r="Y197" s="414"/>
    </row>
    <row r="198" spans="1:25" s="421" customFormat="1" outlineLevel="1">
      <c r="A198" s="414"/>
      <c r="B198" s="415" t="s">
        <v>808</v>
      </c>
      <c r="C198" s="416"/>
      <c r="D198" s="417"/>
      <c r="E198" s="417"/>
      <c r="F198" s="418"/>
      <c r="G198" s="418"/>
      <c r="H198" s="414"/>
      <c r="I198" s="414"/>
      <c r="J198" s="419"/>
      <c r="K198" s="414"/>
      <c r="L198" s="419"/>
      <c r="M198" s="414"/>
      <c r="N198" s="420"/>
      <c r="O198" s="414"/>
      <c r="P198" s="419">
        <f>J198+L198+N198</f>
        <v>0</v>
      </c>
      <c r="Q198" s="414"/>
      <c r="R198" s="419"/>
      <c r="S198" s="419"/>
      <c r="T198" s="419">
        <f>P198</f>
        <v>0</v>
      </c>
      <c r="U198" s="414"/>
      <c r="V198" s="420">
        <f>T198-S198</f>
        <v>0</v>
      </c>
      <c r="W198" s="414"/>
      <c r="X198" s="414"/>
    </row>
    <row r="199" spans="1:25" s="421" customFormat="1" ht="5.0999999999999996" customHeight="1" outlineLevel="1">
      <c r="A199" s="416" t="s">
        <v>194</v>
      </c>
      <c r="B199" s="416" t="s">
        <v>194</v>
      </c>
      <c r="C199" s="416"/>
      <c r="D199" s="418"/>
      <c r="E199" s="418"/>
      <c r="F199" s="418"/>
      <c r="G199" s="418"/>
      <c r="H199" s="414"/>
      <c r="I199" s="414"/>
      <c r="J199" s="453"/>
      <c r="K199" s="414"/>
      <c r="L199" s="453"/>
      <c r="M199" s="414"/>
      <c r="N199" s="454"/>
      <c r="O199" s="414"/>
      <c r="P199" s="453"/>
      <c r="Q199" s="414"/>
      <c r="R199" s="453"/>
      <c r="S199" s="453"/>
      <c r="T199" s="453"/>
      <c r="U199" s="414"/>
      <c r="V199" s="454"/>
      <c r="W199" s="414"/>
      <c r="X199" s="414"/>
      <c r="Y199" s="414"/>
    </row>
    <row r="200" spans="1:25" s="421" customFormat="1">
      <c r="A200" s="463" t="s">
        <v>808</v>
      </c>
      <c r="B200" s="416" t="s">
        <v>194</v>
      </c>
      <c r="C200" s="416"/>
      <c r="D200" s="414"/>
      <c r="E200" s="414"/>
      <c r="F200" s="417" t="s">
        <v>809</v>
      </c>
      <c r="G200" s="414"/>
      <c r="H200" s="414"/>
      <c r="I200" s="414"/>
      <c r="J200" s="451">
        <f>SUM(J198:J199)</f>
        <v>0</v>
      </c>
      <c r="K200" s="414"/>
      <c r="L200" s="451">
        <f>SUM(L198:L199)</f>
        <v>0</v>
      </c>
      <c r="M200" s="414"/>
      <c r="N200" s="452">
        <f>SUM(N198:N199)</f>
        <v>0</v>
      </c>
      <c r="O200" s="414"/>
      <c r="P200" s="451">
        <f>J200+L200+N200</f>
        <v>0</v>
      </c>
      <c r="Q200" s="414"/>
      <c r="R200" s="451">
        <f>SUM(R198:R199)</f>
        <v>0</v>
      </c>
      <c r="S200" s="451">
        <f>SUM(S198:S199)</f>
        <v>0</v>
      </c>
      <c r="T200" s="451">
        <f>SUM(T198:T199)</f>
        <v>0</v>
      </c>
      <c r="U200" s="414"/>
      <c r="V200" s="452">
        <f>SUM(V198:V199)</f>
        <v>0</v>
      </c>
      <c r="W200" s="414"/>
      <c r="X200" s="414"/>
      <c r="Y200" s="414"/>
    </row>
    <row r="201" spans="1:25" s="421" customFormat="1" outlineLevel="1">
      <c r="A201" s="414"/>
      <c r="B201" s="415" t="s">
        <v>810</v>
      </c>
      <c r="C201" s="416"/>
      <c r="D201" s="417"/>
      <c r="E201" s="417"/>
      <c r="F201" s="418"/>
      <c r="G201" s="418"/>
      <c r="H201" s="414"/>
      <c r="I201" s="414"/>
      <c r="J201" s="419"/>
      <c r="K201" s="414"/>
      <c r="L201" s="419"/>
      <c r="M201" s="414"/>
      <c r="N201" s="420"/>
      <c r="O201" s="414"/>
      <c r="P201" s="419">
        <f>J201+L201+N201</f>
        <v>0</v>
      </c>
      <c r="Q201" s="414"/>
      <c r="R201" s="419"/>
      <c r="S201" s="419"/>
      <c r="T201" s="419">
        <f>P201</f>
        <v>0</v>
      </c>
      <c r="U201" s="414"/>
      <c r="V201" s="420">
        <f>T201-S201</f>
        <v>0</v>
      </c>
      <c r="W201" s="414"/>
      <c r="X201" s="414"/>
    </row>
    <row r="202" spans="1:25" s="421" customFormat="1" ht="5.0999999999999996" customHeight="1" outlineLevel="1">
      <c r="A202" s="416" t="s">
        <v>194</v>
      </c>
      <c r="B202" s="416" t="s">
        <v>194</v>
      </c>
      <c r="C202" s="416"/>
      <c r="D202" s="418"/>
      <c r="E202" s="418"/>
      <c r="F202" s="418"/>
      <c r="G202" s="418"/>
      <c r="H202" s="414"/>
      <c r="I202" s="414"/>
      <c r="J202" s="453"/>
      <c r="K202" s="414"/>
      <c r="L202" s="453"/>
      <c r="M202" s="414"/>
      <c r="N202" s="454"/>
      <c r="O202" s="414"/>
      <c r="P202" s="453"/>
      <c r="Q202" s="414"/>
      <c r="R202" s="453"/>
      <c r="S202" s="453"/>
      <c r="T202" s="453"/>
      <c r="U202" s="414"/>
      <c r="V202" s="454"/>
      <c r="W202" s="414"/>
      <c r="X202" s="414"/>
      <c r="Y202" s="414"/>
    </row>
    <row r="203" spans="1:25" s="421" customFormat="1">
      <c r="A203" s="463" t="s">
        <v>810</v>
      </c>
      <c r="B203" s="416" t="s">
        <v>194</v>
      </c>
      <c r="C203" s="416"/>
      <c r="D203" s="414"/>
      <c r="E203" s="414"/>
      <c r="F203" s="417" t="s">
        <v>811</v>
      </c>
      <c r="G203" s="414"/>
      <c r="H203" s="414"/>
      <c r="I203" s="414"/>
      <c r="J203" s="451">
        <f>SUM(J201:J202)</f>
        <v>0</v>
      </c>
      <c r="K203" s="414"/>
      <c r="L203" s="451">
        <f>SUM(L201:L202)</f>
        <v>0</v>
      </c>
      <c r="M203" s="414"/>
      <c r="N203" s="452">
        <f>SUM(N201:N202)</f>
        <v>0</v>
      </c>
      <c r="O203" s="414"/>
      <c r="P203" s="451">
        <f>J203+L203+N203</f>
        <v>0</v>
      </c>
      <c r="Q203" s="414"/>
      <c r="R203" s="451">
        <f>SUM(R201:R202)</f>
        <v>0</v>
      </c>
      <c r="S203" s="451">
        <f>SUM(S201:S202)</f>
        <v>0</v>
      </c>
      <c r="T203" s="451">
        <f>SUM(T201:T202)</f>
        <v>0</v>
      </c>
      <c r="U203" s="414"/>
      <c r="V203" s="452">
        <f>SUM(V201:V202)</f>
        <v>0</v>
      </c>
      <c r="W203" s="414"/>
      <c r="X203" s="414"/>
      <c r="Y203" s="414"/>
    </row>
    <row r="204" spans="1:25" s="421" customFormat="1" outlineLevel="1">
      <c r="A204" s="414"/>
      <c r="B204" s="415" t="s">
        <v>812</v>
      </c>
      <c r="C204" s="416"/>
      <c r="D204" s="417"/>
      <c r="E204" s="417"/>
      <c r="F204" s="418"/>
      <c r="G204" s="418"/>
      <c r="H204" s="414"/>
      <c r="I204" s="414"/>
      <c r="J204" s="419"/>
      <c r="K204" s="414"/>
      <c r="L204" s="419"/>
      <c r="M204" s="414"/>
      <c r="N204" s="420"/>
      <c r="O204" s="414"/>
      <c r="P204" s="419">
        <f>J204+L204+N204</f>
        <v>0</v>
      </c>
      <c r="Q204" s="414"/>
      <c r="R204" s="419"/>
      <c r="S204" s="419"/>
      <c r="T204" s="419">
        <f>P204</f>
        <v>0</v>
      </c>
      <c r="U204" s="414"/>
      <c r="V204" s="420">
        <f>T204-S204</f>
        <v>0</v>
      </c>
      <c r="W204" s="414"/>
      <c r="X204" s="414"/>
    </row>
    <row r="205" spans="1:25" s="421" customFormat="1" ht="5.0999999999999996" customHeight="1" outlineLevel="1">
      <c r="A205" s="416" t="s">
        <v>194</v>
      </c>
      <c r="B205" s="416" t="s">
        <v>194</v>
      </c>
      <c r="C205" s="416"/>
      <c r="D205" s="418"/>
      <c r="E205" s="418"/>
      <c r="F205" s="418"/>
      <c r="G205" s="418"/>
      <c r="H205" s="414"/>
      <c r="I205" s="414"/>
      <c r="J205" s="453"/>
      <c r="K205" s="414"/>
      <c r="L205" s="453"/>
      <c r="M205" s="414"/>
      <c r="N205" s="454"/>
      <c r="O205" s="414"/>
      <c r="P205" s="453"/>
      <c r="Q205" s="414"/>
      <c r="R205" s="453"/>
      <c r="S205" s="453"/>
      <c r="T205" s="453"/>
      <c r="U205" s="414"/>
      <c r="V205" s="454"/>
      <c r="W205" s="414"/>
      <c r="X205" s="414"/>
      <c r="Y205" s="414"/>
    </row>
    <row r="206" spans="1:25" s="421" customFormat="1">
      <c r="A206" s="416" t="s">
        <v>812</v>
      </c>
      <c r="B206" s="416" t="s">
        <v>194</v>
      </c>
      <c r="C206" s="416"/>
      <c r="D206" s="414"/>
      <c r="E206" s="414"/>
      <c r="F206" s="417" t="s">
        <v>813</v>
      </c>
      <c r="G206" s="414"/>
      <c r="H206" s="414"/>
      <c r="I206" s="414"/>
      <c r="J206" s="451">
        <f>SUM(J204:J205)</f>
        <v>0</v>
      </c>
      <c r="K206" s="414"/>
      <c r="L206" s="451">
        <f>SUM(L204:L205)</f>
        <v>0</v>
      </c>
      <c r="M206" s="414"/>
      <c r="N206" s="452">
        <f>SUM(N204:N205)</f>
        <v>0</v>
      </c>
      <c r="O206" s="414"/>
      <c r="P206" s="451">
        <f>J206+L206+N206</f>
        <v>0</v>
      </c>
      <c r="Q206" s="414"/>
      <c r="R206" s="451">
        <f>SUM(R204:R205)</f>
        <v>0</v>
      </c>
      <c r="S206" s="451">
        <f>SUM(S204:S205)</f>
        <v>0</v>
      </c>
      <c r="T206" s="451">
        <f>SUM(T204:T205)</f>
        <v>0</v>
      </c>
      <c r="U206" s="414"/>
      <c r="V206" s="452">
        <f>SUM(V204:V205)</f>
        <v>0</v>
      </c>
      <c r="W206" s="414"/>
      <c r="X206" s="414"/>
      <c r="Y206" s="414"/>
    </row>
    <row r="207" spans="1:25" s="421" customFormat="1" outlineLevel="1">
      <c r="A207" s="414"/>
      <c r="B207" s="415" t="s">
        <v>814</v>
      </c>
      <c r="C207" s="416"/>
      <c r="D207" s="417"/>
      <c r="E207" s="417"/>
      <c r="F207" s="418"/>
      <c r="G207" s="418"/>
      <c r="H207" s="414"/>
      <c r="I207" s="414"/>
      <c r="J207" s="419"/>
      <c r="K207" s="414"/>
      <c r="L207" s="419"/>
      <c r="M207" s="414"/>
      <c r="N207" s="420"/>
      <c r="O207" s="414"/>
      <c r="P207" s="419">
        <f>J207+L207+N207</f>
        <v>0</v>
      </c>
      <c r="Q207" s="414"/>
      <c r="R207" s="419"/>
      <c r="S207" s="419"/>
      <c r="T207" s="419">
        <f>P207</f>
        <v>0</v>
      </c>
      <c r="U207" s="414"/>
      <c r="V207" s="420">
        <f>T207-S207</f>
        <v>0</v>
      </c>
      <c r="W207" s="414"/>
      <c r="X207" s="414"/>
    </row>
    <row r="208" spans="1:25" s="421" customFormat="1" ht="5.0999999999999996" customHeight="1" outlineLevel="1">
      <c r="A208" s="416" t="s">
        <v>194</v>
      </c>
      <c r="B208" s="416" t="s">
        <v>194</v>
      </c>
      <c r="C208" s="416"/>
      <c r="D208" s="418"/>
      <c r="E208" s="418"/>
      <c r="F208" s="418"/>
      <c r="G208" s="418"/>
      <c r="H208" s="414"/>
      <c r="I208" s="414"/>
      <c r="J208" s="453"/>
      <c r="K208" s="414"/>
      <c r="L208" s="453"/>
      <c r="M208" s="414"/>
      <c r="N208" s="454"/>
      <c r="O208" s="414"/>
      <c r="P208" s="453"/>
      <c r="Q208" s="414"/>
      <c r="R208" s="453"/>
      <c r="S208" s="453"/>
      <c r="T208" s="453"/>
      <c r="U208" s="414"/>
      <c r="V208" s="454"/>
      <c r="W208" s="414"/>
      <c r="X208" s="414"/>
      <c r="Y208" s="414"/>
    </row>
    <row r="209" spans="1:25" s="421" customFormat="1">
      <c r="A209" s="416" t="s">
        <v>814</v>
      </c>
      <c r="B209" s="416" t="s">
        <v>194</v>
      </c>
      <c r="C209" s="416"/>
      <c r="D209" s="414"/>
      <c r="E209" s="414"/>
      <c r="F209" s="417" t="s">
        <v>815</v>
      </c>
      <c r="G209" s="414"/>
      <c r="H209" s="414"/>
      <c r="I209" s="414"/>
      <c r="J209" s="451">
        <f>SUM(J207:J208)</f>
        <v>0</v>
      </c>
      <c r="K209" s="414"/>
      <c r="L209" s="451">
        <f>SUM(L207:L208)</f>
        <v>0</v>
      </c>
      <c r="M209" s="414"/>
      <c r="N209" s="452">
        <f>SUM(N207:N208)</f>
        <v>0</v>
      </c>
      <c r="O209" s="414"/>
      <c r="P209" s="451">
        <f>J209+L209+N209</f>
        <v>0</v>
      </c>
      <c r="Q209" s="414"/>
      <c r="R209" s="451">
        <f>SUM(R207:R208)</f>
        <v>0</v>
      </c>
      <c r="S209" s="451">
        <f>SUM(S207:S208)</f>
        <v>0</v>
      </c>
      <c r="T209" s="451">
        <f>SUM(T207:T208)</f>
        <v>0</v>
      </c>
      <c r="U209" s="414"/>
      <c r="V209" s="452">
        <f>SUM(V207:V208)</f>
        <v>0</v>
      </c>
      <c r="W209" s="414"/>
      <c r="X209" s="414"/>
      <c r="Y209" s="414"/>
    </row>
    <row r="210" spans="1:25" s="421" customFormat="1" outlineLevel="1">
      <c r="A210" s="414"/>
      <c r="B210" s="415" t="s">
        <v>816</v>
      </c>
      <c r="C210" s="416"/>
      <c r="D210" s="417"/>
      <c r="E210" s="417"/>
      <c r="F210" s="418"/>
      <c r="G210" s="418"/>
      <c r="H210" s="414"/>
      <c r="I210" s="414"/>
      <c r="J210" s="419"/>
      <c r="K210" s="414"/>
      <c r="L210" s="419"/>
      <c r="M210" s="414"/>
      <c r="N210" s="420"/>
      <c r="O210" s="414"/>
      <c r="P210" s="419">
        <f>J210+L210+N210</f>
        <v>0</v>
      </c>
      <c r="Q210" s="414"/>
      <c r="R210" s="419"/>
      <c r="S210" s="419"/>
      <c r="T210" s="419">
        <f>P210</f>
        <v>0</v>
      </c>
      <c r="U210" s="414"/>
      <c r="V210" s="420">
        <f>T210-S210</f>
        <v>0</v>
      </c>
      <c r="W210" s="414"/>
      <c r="X210" s="414"/>
    </row>
    <row r="211" spans="1:25" s="421" customFormat="1" ht="5.0999999999999996" customHeight="1" outlineLevel="1">
      <c r="A211" s="416" t="s">
        <v>194</v>
      </c>
      <c r="B211" s="416" t="s">
        <v>194</v>
      </c>
      <c r="C211" s="416"/>
      <c r="D211" s="418"/>
      <c r="E211" s="418"/>
      <c r="F211" s="418"/>
      <c r="G211" s="418"/>
      <c r="H211" s="414"/>
      <c r="I211" s="414"/>
      <c r="J211" s="453"/>
      <c r="K211" s="414"/>
      <c r="L211" s="453"/>
      <c r="M211" s="414"/>
      <c r="N211" s="454"/>
      <c r="O211" s="414"/>
      <c r="P211" s="453"/>
      <c r="Q211" s="414"/>
      <c r="R211" s="453"/>
      <c r="S211" s="453"/>
      <c r="T211" s="453"/>
      <c r="U211" s="414"/>
      <c r="V211" s="454"/>
      <c r="W211" s="414"/>
      <c r="X211" s="414"/>
      <c r="Y211" s="414"/>
    </row>
    <row r="212" spans="1:25" s="421" customFormat="1">
      <c r="A212" s="416" t="s">
        <v>816</v>
      </c>
      <c r="B212" s="416" t="s">
        <v>194</v>
      </c>
      <c r="C212" s="416"/>
      <c r="D212" s="414"/>
      <c r="E212" s="414"/>
      <c r="F212" s="417" t="s">
        <v>817</v>
      </c>
      <c r="G212" s="414"/>
      <c r="H212" s="414"/>
      <c r="I212" s="414"/>
      <c r="J212" s="451">
        <f>SUM(J210:J211)</f>
        <v>0</v>
      </c>
      <c r="K212" s="414"/>
      <c r="L212" s="451">
        <f>SUM(L210:L211)</f>
        <v>0</v>
      </c>
      <c r="M212" s="414"/>
      <c r="N212" s="452">
        <f>SUM(N210:N211)</f>
        <v>0</v>
      </c>
      <c r="O212" s="414"/>
      <c r="P212" s="451">
        <f>J212+L212+N212</f>
        <v>0</v>
      </c>
      <c r="Q212" s="414"/>
      <c r="R212" s="451">
        <f>SUM(R210:R211)</f>
        <v>0</v>
      </c>
      <c r="S212" s="451">
        <f>SUM(S210:S211)</f>
        <v>0</v>
      </c>
      <c r="T212" s="451">
        <f>SUM(T210:T211)</f>
        <v>0</v>
      </c>
      <c r="U212" s="414"/>
      <c r="V212" s="452">
        <f>SUM(V210:V211)</f>
        <v>0</v>
      </c>
      <c r="W212" s="414"/>
      <c r="X212" s="414"/>
      <c r="Y212" s="414"/>
    </row>
    <row r="213" spans="1:25" s="421" customFormat="1" outlineLevel="1">
      <c r="A213" s="414"/>
      <c r="B213" s="415" t="s">
        <v>818</v>
      </c>
      <c r="C213" s="416"/>
      <c r="D213" s="417"/>
      <c r="E213" s="417"/>
      <c r="F213" s="418"/>
      <c r="G213" s="418"/>
      <c r="H213" s="414"/>
      <c r="I213" s="414"/>
      <c r="J213" s="419"/>
      <c r="K213" s="414"/>
      <c r="L213" s="419"/>
      <c r="M213" s="414"/>
      <c r="N213" s="420"/>
      <c r="O213" s="414"/>
      <c r="P213" s="419">
        <f>J213+L213+N213</f>
        <v>0</v>
      </c>
      <c r="Q213" s="414"/>
      <c r="R213" s="419"/>
      <c r="S213" s="419"/>
      <c r="T213" s="419">
        <f>P213</f>
        <v>0</v>
      </c>
      <c r="U213" s="414"/>
      <c r="V213" s="420">
        <f>T213-S213</f>
        <v>0</v>
      </c>
      <c r="W213" s="414"/>
      <c r="X213" s="414"/>
    </row>
    <row r="214" spans="1:25" s="421" customFormat="1" ht="5.0999999999999996" customHeight="1" outlineLevel="1">
      <c r="A214" s="416" t="s">
        <v>194</v>
      </c>
      <c r="B214" s="449"/>
      <c r="C214" s="449"/>
      <c r="D214" s="418"/>
      <c r="E214" s="418"/>
      <c r="F214" s="418"/>
      <c r="G214" s="418"/>
      <c r="H214" s="414"/>
      <c r="I214" s="414"/>
      <c r="J214" s="453"/>
      <c r="K214" s="414"/>
      <c r="L214" s="453"/>
      <c r="M214" s="414"/>
      <c r="N214" s="454"/>
      <c r="O214" s="414"/>
      <c r="P214" s="453"/>
      <c r="Q214" s="414"/>
      <c r="R214" s="453"/>
      <c r="S214" s="453"/>
      <c r="T214" s="453"/>
      <c r="U214" s="414"/>
      <c r="V214" s="454"/>
      <c r="W214" s="414"/>
      <c r="X214" s="414"/>
      <c r="Y214" s="414"/>
    </row>
    <row r="215" spans="1:25" s="421" customFormat="1">
      <c r="A215" s="416" t="s">
        <v>818</v>
      </c>
      <c r="B215" s="449"/>
      <c r="C215" s="449"/>
      <c r="D215" s="414"/>
      <c r="E215" s="414"/>
      <c r="F215" s="417" t="s">
        <v>819</v>
      </c>
      <c r="G215" s="414"/>
      <c r="H215" s="414"/>
      <c r="I215" s="414"/>
      <c r="J215" s="451">
        <f>SUM(J213:J214)</f>
        <v>0</v>
      </c>
      <c r="K215" s="414"/>
      <c r="L215" s="451">
        <f>SUM(L213:L214)</f>
        <v>0</v>
      </c>
      <c r="M215" s="414"/>
      <c r="N215" s="452">
        <f>SUM(N213:N214)</f>
        <v>0</v>
      </c>
      <c r="O215" s="414"/>
      <c r="P215" s="451">
        <f>J215+L215+N215</f>
        <v>0</v>
      </c>
      <c r="Q215" s="414"/>
      <c r="R215" s="451">
        <f>SUM(R213:R214)</f>
        <v>0</v>
      </c>
      <c r="S215" s="451">
        <f>SUM(S213:S214)</f>
        <v>0</v>
      </c>
      <c r="T215" s="451">
        <f>SUM(T213:T214)</f>
        <v>0</v>
      </c>
      <c r="U215" s="414"/>
      <c r="V215" s="452">
        <f>SUM(V213:V214)</f>
        <v>0</v>
      </c>
      <c r="W215" s="414"/>
      <c r="X215" s="414"/>
      <c r="Y215" s="414"/>
    </row>
    <row r="216" spans="1:25" s="421" customFormat="1" ht="7.5" hidden="1" customHeight="1">
      <c r="A216" s="449"/>
      <c r="B216" s="416"/>
      <c r="C216" s="416"/>
      <c r="D216" s="414"/>
      <c r="E216" s="414"/>
      <c r="F216" s="414"/>
      <c r="G216" s="414"/>
      <c r="H216" s="414"/>
      <c r="I216" s="414"/>
      <c r="J216" s="456"/>
      <c r="K216" s="414"/>
      <c r="L216" s="456"/>
      <c r="M216" s="414"/>
      <c r="N216" s="420"/>
      <c r="O216" s="414"/>
      <c r="P216" s="456"/>
      <c r="Q216" s="414"/>
      <c r="R216" s="456"/>
      <c r="S216" s="456"/>
      <c r="T216" s="456"/>
      <c r="U216" s="414"/>
      <c r="V216" s="420"/>
      <c r="W216" s="414"/>
      <c r="X216" s="414"/>
      <c r="Y216" s="414"/>
    </row>
    <row r="217" spans="1:25" s="421" customFormat="1" outlineLevel="1">
      <c r="A217" s="414"/>
      <c r="B217" s="415" t="s">
        <v>820</v>
      </c>
      <c r="C217" s="416"/>
      <c r="D217" s="417">
        <v>29100</v>
      </c>
      <c r="E217" s="417" t="s">
        <v>821</v>
      </c>
      <c r="F217" s="418"/>
      <c r="G217" s="418"/>
      <c r="H217" s="414"/>
      <c r="I217" s="414"/>
      <c r="J217" s="419">
        <v>37974512.850000001</v>
      </c>
      <c r="K217" s="414"/>
      <c r="L217" s="419">
        <v>0</v>
      </c>
      <c r="M217" s="414"/>
      <c r="N217" s="420">
        <v>0</v>
      </c>
      <c r="O217" s="414"/>
      <c r="P217" s="419">
        <f>J217+L217+N217</f>
        <v>37974512.850000001</v>
      </c>
      <c r="Q217" s="414"/>
      <c r="R217" s="419">
        <v>37282330.380000003</v>
      </c>
      <c r="S217" s="419">
        <v>37695781.329999998</v>
      </c>
      <c r="T217" s="419">
        <f>P217</f>
        <v>37974512.850000001</v>
      </c>
      <c r="U217" s="414"/>
      <c r="V217" s="420">
        <f>T217-S217</f>
        <v>278731.52000000328</v>
      </c>
      <c r="W217" s="414"/>
      <c r="X217" s="414"/>
    </row>
    <row r="218" spans="1:25" s="421" customFormat="1" ht="5.0999999999999996" customHeight="1" outlineLevel="1">
      <c r="A218" s="416" t="s">
        <v>194</v>
      </c>
      <c r="B218" s="449"/>
      <c r="C218" s="449"/>
      <c r="D218" s="418"/>
      <c r="E218" s="418"/>
      <c r="F218" s="418"/>
      <c r="G218" s="418"/>
      <c r="H218" s="414"/>
      <c r="I218" s="414"/>
      <c r="J218" s="453"/>
      <c r="K218" s="414"/>
      <c r="L218" s="453"/>
      <c r="M218" s="414"/>
      <c r="N218" s="454"/>
      <c r="O218" s="414"/>
      <c r="P218" s="453"/>
      <c r="Q218" s="414"/>
      <c r="R218" s="453"/>
      <c r="S218" s="453"/>
      <c r="T218" s="453"/>
      <c r="U218" s="414"/>
      <c r="V218" s="454"/>
      <c r="W218" s="414"/>
      <c r="X218" s="414"/>
      <c r="Y218" s="414"/>
    </row>
    <row r="219" spans="1:25" s="421" customFormat="1">
      <c r="A219" s="416" t="s">
        <v>820</v>
      </c>
      <c r="B219" s="449"/>
      <c r="C219" s="449"/>
      <c r="D219" s="414"/>
      <c r="E219" s="414"/>
      <c r="F219" s="417" t="s">
        <v>821</v>
      </c>
      <c r="G219" s="414"/>
      <c r="H219" s="414"/>
      <c r="I219" s="414"/>
      <c r="J219" s="451">
        <f>SUM(J217:J218)</f>
        <v>37974512.850000001</v>
      </c>
      <c r="K219" s="414"/>
      <c r="L219" s="451">
        <f>SUM(L217:L218)</f>
        <v>0</v>
      </c>
      <c r="M219" s="414"/>
      <c r="N219" s="452">
        <f>SUM(N217:N218)</f>
        <v>0</v>
      </c>
      <c r="O219" s="414"/>
      <c r="P219" s="451">
        <f>J219+L219+N219</f>
        <v>37974512.850000001</v>
      </c>
      <c r="Q219" s="414"/>
      <c r="R219" s="451">
        <f>SUM(R217:R218)</f>
        <v>37282330.380000003</v>
      </c>
      <c r="S219" s="451">
        <f>SUM(S217:S218)</f>
        <v>37695781.329999998</v>
      </c>
      <c r="T219" s="451">
        <f>SUM(T217:T218)</f>
        <v>37974512.850000001</v>
      </c>
      <c r="U219" s="414"/>
      <c r="V219" s="452">
        <f>SUM(V217:V218)</f>
        <v>278731.52000000328</v>
      </c>
      <c r="W219" s="414"/>
      <c r="X219" s="414"/>
      <c r="Y219" s="414"/>
    </row>
    <row r="220" spans="1:25" s="421" customFormat="1" ht="7.5" customHeight="1">
      <c r="A220" s="449"/>
      <c r="B220" s="416"/>
      <c r="C220" s="416"/>
      <c r="D220" s="414"/>
      <c r="E220" s="414"/>
      <c r="F220" s="414"/>
      <c r="G220" s="414"/>
      <c r="H220" s="414"/>
      <c r="I220" s="414"/>
      <c r="J220" s="456"/>
      <c r="K220" s="414"/>
      <c r="L220" s="456"/>
      <c r="M220" s="414"/>
      <c r="N220" s="420"/>
      <c r="O220" s="414"/>
      <c r="P220" s="456"/>
      <c r="Q220" s="414"/>
      <c r="R220" s="456"/>
      <c r="S220" s="456"/>
      <c r="T220" s="456"/>
      <c r="U220" s="414"/>
      <c r="V220" s="420"/>
      <c r="W220" s="414"/>
      <c r="X220" s="414"/>
      <c r="Y220" s="414"/>
    </row>
    <row r="221" spans="1:25" s="421" customFormat="1">
      <c r="A221" s="449"/>
      <c r="B221" s="416"/>
      <c r="C221" s="416"/>
      <c r="D221" s="414"/>
      <c r="E221" s="457" t="s">
        <v>821</v>
      </c>
      <c r="F221" s="414"/>
      <c r="G221" s="414"/>
      <c r="H221" s="414"/>
      <c r="I221" s="414"/>
      <c r="J221" s="406">
        <f>SUM(J197,J203,J209,J215,J206,J200,J212,J219)</f>
        <v>37974512.850000001</v>
      </c>
      <c r="K221" s="414"/>
      <c r="L221" s="406">
        <f>SUM(L197,L203,L209,L215,L206,L200,L212,L219)</f>
        <v>0</v>
      </c>
      <c r="M221" s="414"/>
      <c r="N221" s="405">
        <f>SUM(N197,N203,N209,N215,N206,N200,N212,N219)</f>
        <v>0</v>
      </c>
      <c r="O221" s="414"/>
      <c r="P221" s="406">
        <f>SUM(P197,P203,P209,P215,P206,P200,P212,P219)</f>
        <v>37974512.850000001</v>
      </c>
      <c r="Q221" s="414"/>
      <c r="R221" s="406">
        <f>SUM(R197,R203,R209,R215,R206,R200,R212,R219)</f>
        <v>37282330.380000003</v>
      </c>
      <c r="S221" s="406">
        <f>SUM(S197,S203,S209,S215,S206,S200,S212,S219)</f>
        <v>37695781.329999998</v>
      </c>
      <c r="T221" s="406">
        <f>SUM(T197,T203,T209,T215,T206,T200,T212,T219)</f>
        <v>37974512.850000001</v>
      </c>
      <c r="U221" s="414"/>
      <c r="V221" s="405">
        <f>SUM(V197,V203,V209,V215,V206,V200,V212,V219)</f>
        <v>278731.52000000328</v>
      </c>
      <c r="W221" s="414"/>
      <c r="X221" s="414"/>
      <c r="Y221" s="414"/>
    </row>
    <row r="222" spans="1:25" s="421" customFormat="1" ht="7.5" customHeight="1">
      <c r="A222" s="416"/>
      <c r="B222" s="416"/>
      <c r="C222" s="416"/>
      <c r="D222" s="414"/>
      <c r="E222" s="414"/>
      <c r="F222" s="414"/>
      <c r="G222" s="414"/>
      <c r="H222" s="414"/>
      <c r="I222" s="414"/>
      <c r="J222" s="456"/>
      <c r="K222" s="414"/>
      <c r="L222" s="456"/>
      <c r="M222" s="414"/>
      <c r="N222" s="420"/>
      <c r="O222" s="414"/>
      <c r="P222" s="456"/>
      <c r="Q222" s="414"/>
      <c r="R222" s="456"/>
      <c r="S222" s="456"/>
      <c r="T222" s="456"/>
      <c r="U222" s="414"/>
      <c r="V222" s="420"/>
      <c r="W222" s="414"/>
      <c r="X222" s="414"/>
      <c r="Y222" s="414"/>
    </row>
    <row r="223" spans="1:25" s="421" customFormat="1" ht="13.5" thickBot="1">
      <c r="A223" s="416"/>
      <c r="B223" s="416"/>
      <c r="C223" s="416"/>
      <c r="D223" s="414"/>
      <c r="E223" s="457" t="s">
        <v>822</v>
      </c>
      <c r="F223" s="414"/>
      <c r="G223" s="414"/>
      <c r="H223" s="414"/>
      <c r="I223" s="414"/>
      <c r="J223" s="461">
        <f>+J193+J221</f>
        <v>40656941.960000001</v>
      </c>
      <c r="K223" s="414"/>
      <c r="L223" s="461">
        <f>+L193+L221</f>
        <v>0</v>
      </c>
      <c r="M223" s="414"/>
      <c r="N223" s="462">
        <f>+N193+N221</f>
        <v>0</v>
      </c>
      <c r="O223" s="414"/>
      <c r="P223" s="461">
        <f>+P193+P221</f>
        <v>40656941.960000001</v>
      </c>
      <c r="Q223" s="414"/>
      <c r="R223" s="461">
        <f>+R193+R221</f>
        <v>39957251.740000002</v>
      </c>
      <c r="S223" s="461">
        <f>+S193+S221</f>
        <v>40575718.109999999</v>
      </c>
      <c r="T223" s="461">
        <f>+T193+T221</f>
        <v>40656941.960000001</v>
      </c>
      <c r="U223" s="414"/>
      <c r="V223" s="462">
        <f>+V193+V221</f>
        <v>81223.850000003324</v>
      </c>
      <c r="W223" s="414"/>
      <c r="X223" s="414"/>
      <c r="Y223" s="414"/>
    </row>
    <row r="224" spans="1:25" s="421" customFormat="1" ht="7.5" customHeight="1" thickTop="1">
      <c r="A224" s="416"/>
      <c r="B224" s="416"/>
      <c r="C224" s="416"/>
      <c r="D224" s="414"/>
      <c r="E224" s="414"/>
      <c r="F224" s="414"/>
      <c r="G224" s="414"/>
      <c r="H224" s="414"/>
      <c r="I224" s="414"/>
      <c r="J224" s="456"/>
      <c r="K224" s="414"/>
      <c r="L224" s="456"/>
      <c r="M224" s="414"/>
      <c r="N224" s="420"/>
      <c r="O224" s="414"/>
      <c r="P224" s="456"/>
      <c r="Q224" s="414"/>
      <c r="R224" s="456"/>
      <c r="S224" s="456"/>
      <c r="T224" s="456"/>
      <c r="U224" s="414"/>
      <c r="V224" s="420"/>
      <c r="W224" s="414"/>
      <c r="X224" s="414"/>
      <c r="Y224" s="414"/>
    </row>
    <row r="225" spans="1:25" s="464" customFormat="1" ht="12">
      <c r="A225" s="416"/>
      <c r="B225" s="416"/>
      <c r="C225" s="416"/>
      <c r="D225" s="414"/>
      <c r="E225" s="414"/>
      <c r="F225" s="414" t="s">
        <v>823</v>
      </c>
      <c r="G225" s="414"/>
      <c r="H225" s="414"/>
      <c r="I225" s="414"/>
      <c r="J225" s="456">
        <f>J129-J223</f>
        <v>-21999.929999999702</v>
      </c>
      <c r="K225" s="414"/>
      <c r="L225" s="456">
        <f>L129-L223</f>
        <v>0</v>
      </c>
      <c r="M225" s="414"/>
      <c r="N225" s="456">
        <f>N129-N223</f>
        <v>0</v>
      </c>
      <c r="O225" s="414"/>
      <c r="P225" s="456">
        <f>P129-P223</f>
        <v>-21999.929999999702</v>
      </c>
      <c r="Q225" s="414"/>
      <c r="R225" s="456">
        <f>R129-R223</f>
        <v>-24128.30000000447</v>
      </c>
      <c r="S225" s="456">
        <f>S129-S223</f>
        <v>-23065.710000000894</v>
      </c>
      <c r="T225" s="456">
        <f>T129-T223</f>
        <v>-21999.929999999702</v>
      </c>
      <c r="U225" s="414"/>
      <c r="V225" s="456">
        <f>V129-V223</f>
        <v>1065.7799999972631</v>
      </c>
      <c r="W225" s="414"/>
      <c r="X225" s="414"/>
      <c r="Y225" s="414"/>
    </row>
    <row r="226" spans="1:25" s="466" customFormat="1" ht="9.75" customHeight="1">
      <c r="A226" s="416"/>
      <c r="B226" s="449"/>
      <c r="C226" s="449"/>
      <c r="D226" s="414"/>
      <c r="E226" s="414"/>
      <c r="F226" s="417"/>
      <c r="G226" s="414"/>
      <c r="H226" s="416"/>
      <c r="I226" s="416"/>
      <c r="J226" s="465"/>
      <c r="K226" s="416"/>
      <c r="L226" s="416"/>
      <c r="M226" s="416"/>
      <c r="N226" s="416"/>
      <c r="O226" s="416"/>
      <c r="P226" s="416"/>
      <c r="Q226" s="416"/>
      <c r="R226" s="416"/>
      <c r="S226" s="416"/>
      <c r="T226" s="416"/>
      <c r="U226" s="416"/>
      <c r="V226" s="416"/>
      <c r="W226" s="416"/>
      <c r="X226" s="416"/>
      <c r="Y226" s="416"/>
    </row>
    <row r="227" spans="1:25" s="421" customFormat="1" outlineLevel="1">
      <c r="A227" s="414"/>
      <c r="B227" s="415" t="s">
        <v>430</v>
      </c>
      <c r="C227" s="416"/>
      <c r="D227" s="417">
        <v>14301</v>
      </c>
      <c r="E227" s="417" t="s">
        <v>837</v>
      </c>
      <c r="F227" s="418"/>
      <c r="G227" s="418"/>
      <c r="H227" s="414"/>
      <c r="I227" s="414"/>
      <c r="J227" s="419">
        <v>26243.95</v>
      </c>
      <c r="K227" s="414"/>
      <c r="L227" s="419">
        <v>0</v>
      </c>
      <c r="M227" s="414"/>
      <c r="N227" s="420">
        <v>0</v>
      </c>
      <c r="O227" s="414"/>
      <c r="P227" s="419">
        <f>J227+L227+N227</f>
        <v>26243.95</v>
      </c>
      <c r="Q227" s="414"/>
      <c r="R227" s="419">
        <v>26243.95</v>
      </c>
      <c r="S227" s="419">
        <v>26243.95</v>
      </c>
      <c r="T227" s="419">
        <f t="shared" ref="T227:T228" si="29">P227</f>
        <v>26243.95</v>
      </c>
      <c r="U227" s="414"/>
      <c r="V227" s="420">
        <f t="shared" ref="V227:V228" si="30">T227-S227</f>
        <v>0</v>
      </c>
      <c r="W227" s="414"/>
      <c r="X227" s="414"/>
    </row>
    <row r="228" spans="1:25" s="421" customFormat="1" outlineLevel="1">
      <c r="A228" s="414"/>
      <c r="B228" s="415" t="s">
        <v>397</v>
      </c>
      <c r="C228" s="416"/>
      <c r="D228" s="417">
        <v>14305</v>
      </c>
      <c r="E228" s="417" t="s">
        <v>838</v>
      </c>
      <c r="F228" s="418"/>
      <c r="G228" s="418"/>
      <c r="H228" s="414"/>
      <c r="I228" s="414"/>
      <c r="J228" s="419">
        <v>-4244.0200000000004</v>
      </c>
      <c r="K228" s="414"/>
      <c r="L228" s="419">
        <v>0</v>
      </c>
      <c r="M228" s="414"/>
      <c r="N228" s="420">
        <v>0</v>
      </c>
      <c r="O228" s="414"/>
      <c r="P228" s="419">
        <f>J228+L228+N228</f>
        <v>-4244.0200000000004</v>
      </c>
      <c r="Q228" s="414"/>
      <c r="R228" s="419">
        <v>-2115.65</v>
      </c>
      <c r="S228" s="419">
        <v>-3178.24</v>
      </c>
      <c r="T228" s="419">
        <f t="shared" si="29"/>
        <v>-4244.0200000000004</v>
      </c>
      <c r="U228" s="414"/>
      <c r="V228" s="420">
        <f t="shared" si="30"/>
        <v>-1065.7800000000007</v>
      </c>
      <c r="W228" s="414"/>
      <c r="X228" s="414"/>
    </row>
    <row r="229" spans="1:25" ht="6" customHeight="1" outlineLevel="1">
      <c r="A229" s="449"/>
      <c r="B229" s="416"/>
      <c r="C229" s="416"/>
      <c r="D229" s="416"/>
      <c r="E229" s="416"/>
      <c r="F229" s="416"/>
      <c r="G229" s="416"/>
      <c r="H229" s="416"/>
      <c r="I229" s="416"/>
      <c r="J229" s="453"/>
      <c r="K229" s="456"/>
      <c r="L229" s="453"/>
      <c r="M229" s="416"/>
      <c r="N229" s="453"/>
      <c r="O229" s="416"/>
      <c r="P229" s="453"/>
      <c r="Q229" s="416"/>
      <c r="R229" s="453"/>
      <c r="S229" s="453"/>
      <c r="T229" s="453"/>
      <c r="U229" s="416"/>
      <c r="V229" s="453"/>
      <c r="W229" s="416"/>
      <c r="X229" s="416"/>
      <c r="Y229" s="416"/>
    </row>
    <row r="230" spans="1:25" s="410" customFormat="1">
      <c r="A230" s="416" t="s">
        <v>430</v>
      </c>
      <c r="B230" s="467"/>
      <c r="C230" s="467"/>
      <c r="D230" s="467"/>
      <c r="E230" s="467" t="s">
        <v>287</v>
      </c>
      <c r="F230" s="467"/>
      <c r="G230" s="467"/>
      <c r="H230" s="467"/>
      <c r="I230" s="467"/>
      <c r="J230" s="468">
        <f>SUM(J227:J229)</f>
        <v>21999.93</v>
      </c>
      <c r="K230" s="469"/>
      <c r="L230" s="468">
        <f>SUM(L227:L229)</f>
        <v>0</v>
      </c>
      <c r="M230" s="469"/>
      <c r="N230" s="468">
        <f>SUM(N227:N229)</f>
        <v>0</v>
      </c>
      <c r="O230" s="469"/>
      <c r="P230" s="468">
        <f>SUM(P227:P229)</f>
        <v>21999.93</v>
      </c>
      <c r="Q230" s="469"/>
      <c r="R230" s="468">
        <f>SUM(R227:R229)</f>
        <v>24128.3</v>
      </c>
      <c r="S230" s="468">
        <f>SUM(S227:S229)</f>
        <v>23065.71</v>
      </c>
      <c r="T230" s="468">
        <f>SUM(T227:T229)</f>
        <v>21999.93</v>
      </c>
      <c r="U230" s="469"/>
      <c r="V230" s="468">
        <f>SUM(V227:V229)</f>
        <v>-1065.7800000000007</v>
      </c>
      <c r="W230" s="416"/>
      <c r="X230" s="416"/>
      <c r="Y230" s="416"/>
    </row>
    <row r="231" spans="1:25">
      <c r="A231" s="470"/>
      <c r="B231" s="416"/>
      <c r="C231" s="416"/>
      <c r="D231" s="416"/>
      <c r="E231" s="416"/>
      <c r="F231" s="416"/>
      <c r="G231" s="416"/>
      <c r="H231" s="416"/>
      <c r="I231" s="416"/>
      <c r="J231" s="471"/>
      <c r="K231" s="471"/>
      <c r="L231" s="472"/>
      <c r="M231" s="472"/>
      <c r="N231" s="472"/>
      <c r="O231" s="472"/>
      <c r="P231" s="472"/>
      <c r="Q231" s="472"/>
      <c r="R231" s="472"/>
      <c r="S231" s="472"/>
      <c r="T231" s="472"/>
      <c r="U231" s="472"/>
      <c r="V231" s="472"/>
      <c r="W231" s="416"/>
      <c r="X231" s="416"/>
      <c r="Y231" s="416"/>
    </row>
    <row r="232" spans="1:25">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row>
    <row r="233" spans="1:25">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row>
  </sheetData>
  <dataValidations count="1">
    <dataValidation type="list" allowBlank="1" showInputMessage="1" showErrorMessage="1" sqref="N8">
      <formula1>"TRUE,FALSE"</formula1>
    </dataValidation>
  </dataValidations>
  <pageMargins left="0.5" right="0.5" top="0.39" bottom="0.4" header="0.25" footer="0.25"/>
  <pageSetup scale="58" fitToHeight="0" orientation="landscape" errors="blank" r:id="rId1"/>
  <headerFooter alignWithMargins="0">
    <oddHeader>&amp;R&amp;D - &amp;T</oddHeader>
    <oddFooter>&amp;L&amp;F - &amp;A&amp;RPage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O15"/>
  <sheetViews>
    <sheetView tabSelected="1" view="pageBreakPreview" zoomScale="60" zoomScaleNormal="100" workbookViewId="0">
      <selection activeCell="AR41" sqref="AR41"/>
    </sheetView>
  </sheetViews>
  <sheetFormatPr defaultRowHeight="15"/>
  <sheetData>
    <row r="15" spans="15:15">
      <c r="O15" t="s">
        <v>147</v>
      </c>
    </row>
  </sheetData>
  <pageMargins left="0.7" right="0.7" top="0.75" bottom="0.75" header="0.3" footer="0.3"/>
  <pageSetup scale="70" orientation="portrait"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34998626667073579"/>
    <pageSetUpPr fitToPage="1"/>
  </sheetPr>
  <dimension ref="A1:AJ510"/>
  <sheetViews>
    <sheetView showGridLines="0" tabSelected="1" view="pageBreakPreview" topLeftCell="D6" zoomScale="60" zoomScaleNormal="85" workbookViewId="0">
      <selection activeCell="AR41" sqref="AR41"/>
    </sheetView>
  </sheetViews>
  <sheetFormatPr defaultColWidth="13.85546875" defaultRowHeight="12.75" outlineLevelRow="1"/>
  <cols>
    <col min="1" max="3" width="0" style="2" hidden="1" customWidth="1"/>
    <col min="4" max="4" width="7.85546875" style="2" customWidth="1"/>
    <col min="5" max="6" width="2.28515625" style="2" customWidth="1"/>
    <col min="7" max="7" width="31.42578125" style="2" customWidth="1"/>
    <col min="8" max="8" width="2.28515625" style="2" customWidth="1"/>
    <col min="9" max="9" width="2.140625" style="2" customWidth="1"/>
    <col min="10" max="10" width="12.28515625" style="20" customWidth="1"/>
    <col min="11" max="11" width="1.5703125" style="2" customWidth="1"/>
    <col min="12" max="12" width="12.28515625" style="20" customWidth="1"/>
    <col min="13" max="13" width="1.5703125" style="2" customWidth="1"/>
    <col min="14" max="14" width="12.28515625" style="20" customWidth="1"/>
    <col min="15" max="15" width="1.5703125" style="2" customWidth="1"/>
    <col min="16" max="16" width="13.5703125" style="20" customWidth="1"/>
    <col min="17" max="17" width="0.85546875" style="2" customWidth="1"/>
    <col min="18" max="18" width="12.28515625" style="20" customWidth="1"/>
    <col min="19" max="19" width="1.5703125" style="2" customWidth="1"/>
    <col min="20" max="20" width="12.28515625" style="20" customWidth="1"/>
    <col min="21" max="21" width="1.5703125" style="2" customWidth="1"/>
    <col min="22" max="22" width="12.28515625" style="20" customWidth="1"/>
    <col min="23" max="23" width="0.85546875" style="2" customWidth="1"/>
    <col min="24" max="24" width="12.28515625" style="20" customWidth="1"/>
    <col min="25" max="25" width="1.5703125" style="2" customWidth="1"/>
    <col min="26" max="26" width="12.28515625" style="20" customWidth="1"/>
    <col min="27" max="27" width="1.5703125" style="2" customWidth="1"/>
    <col min="28" max="28" width="12.28515625" style="20" customWidth="1"/>
    <col min="29" max="29" width="0.85546875" style="2" customWidth="1"/>
    <col min="30" max="30" width="12.28515625" style="20" customWidth="1"/>
    <col min="31" max="31" width="1.5703125" style="2" customWidth="1"/>
    <col min="32" max="32" width="12.28515625" style="20" customWidth="1"/>
    <col min="33" max="33" width="1.5703125" style="2" customWidth="1"/>
    <col min="34" max="34" width="12.28515625" style="20" customWidth="1"/>
    <col min="35" max="35" width="4.5703125" style="2" customWidth="1"/>
    <col min="36" max="36" width="1.42578125" style="2" customWidth="1"/>
    <col min="37" max="259" width="13.85546875" style="2"/>
    <col min="260" max="260" width="7.85546875" style="2" customWidth="1"/>
    <col min="261" max="262" width="2.28515625" style="2" customWidth="1"/>
    <col min="263" max="263" width="31.42578125" style="2" customWidth="1"/>
    <col min="264" max="264" width="2.28515625" style="2" customWidth="1"/>
    <col min="265" max="265" width="2.140625" style="2" customWidth="1"/>
    <col min="266" max="266" width="12.28515625" style="2" customWidth="1"/>
    <col min="267" max="267" width="1.5703125" style="2" customWidth="1"/>
    <col min="268" max="268" width="12.28515625" style="2" customWidth="1"/>
    <col min="269" max="269" width="1.5703125" style="2" customWidth="1"/>
    <col min="270" max="270" width="12.28515625" style="2" customWidth="1"/>
    <col min="271" max="271" width="1.5703125" style="2" customWidth="1"/>
    <col min="272" max="272" width="13.5703125" style="2" customWidth="1"/>
    <col min="273" max="273" width="0.85546875" style="2" customWidth="1"/>
    <col min="274" max="274" width="12.28515625" style="2" customWidth="1"/>
    <col min="275" max="275" width="1.5703125" style="2" customWidth="1"/>
    <col min="276" max="276" width="12.28515625" style="2" customWidth="1"/>
    <col min="277" max="277" width="1.5703125" style="2" customWidth="1"/>
    <col min="278" max="278" width="12.28515625" style="2" customWidth="1"/>
    <col min="279" max="279" width="0.85546875" style="2" customWidth="1"/>
    <col min="280" max="280" width="12.28515625" style="2" customWidth="1"/>
    <col min="281" max="281" width="1.5703125" style="2" customWidth="1"/>
    <col min="282" max="282" width="12.28515625" style="2" customWidth="1"/>
    <col min="283" max="283" width="1.5703125" style="2" customWidth="1"/>
    <col min="284" max="284" width="12.28515625" style="2" customWidth="1"/>
    <col min="285" max="285" width="0.85546875" style="2" customWidth="1"/>
    <col min="286" max="286" width="12.28515625" style="2" customWidth="1"/>
    <col min="287" max="287" width="1.5703125" style="2" customWidth="1"/>
    <col min="288" max="288" width="12.28515625" style="2" customWidth="1"/>
    <col min="289" max="289" width="1.5703125" style="2" customWidth="1"/>
    <col min="290" max="290" width="12.28515625" style="2" customWidth="1"/>
    <col min="291" max="291" width="4.5703125" style="2" customWidth="1"/>
    <col min="292" max="292" width="1.42578125" style="2" customWidth="1"/>
    <col min="293" max="515" width="13.85546875" style="2"/>
    <col min="516" max="516" width="7.85546875" style="2" customWidth="1"/>
    <col min="517" max="518" width="2.28515625" style="2" customWidth="1"/>
    <col min="519" max="519" width="31.42578125" style="2" customWidth="1"/>
    <col min="520" max="520" width="2.28515625" style="2" customWidth="1"/>
    <col min="521" max="521" width="2.140625" style="2" customWidth="1"/>
    <col min="522" max="522" width="12.28515625" style="2" customWidth="1"/>
    <col min="523" max="523" width="1.5703125" style="2" customWidth="1"/>
    <col min="524" max="524" width="12.28515625" style="2" customWidth="1"/>
    <col min="525" max="525" width="1.5703125" style="2" customWidth="1"/>
    <col min="526" max="526" width="12.28515625" style="2" customWidth="1"/>
    <col min="527" max="527" width="1.5703125" style="2" customWidth="1"/>
    <col min="528" max="528" width="13.5703125" style="2" customWidth="1"/>
    <col min="529" max="529" width="0.85546875" style="2" customWidth="1"/>
    <col min="530" max="530" width="12.28515625" style="2" customWidth="1"/>
    <col min="531" max="531" width="1.5703125" style="2" customWidth="1"/>
    <col min="532" max="532" width="12.28515625" style="2" customWidth="1"/>
    <col min="533" max="533" width="1.5703125" style="2" customWidth="1"/>
    <col min="534" max="534" width="12.28515625" style="2" customWidth="1"/>
    <col min="535" max="535" width="0.85546875" style="2" customWidth="1"/>
    <col min="536" max="536" width="12.28515625" style="2" customWidth="1"/>
    <col min="537" max="537" width="1.5703125" style="2" customWidth="1"/>
    <col min="538" max="538" width="12.28515625" style="2" customWidth="1"/>
    <col min="539" max="539" width="1.5703125" style="2" customWidth="1"/>
    <col min="540" max="540" width="12.28515625" style="2" customWidth="1"/>
    <col min="541" max="541" width="0.85546875" style="2" customWidth="1"/>
    <col min="542" max="542" width="12.28515625" style="2" customWidth="1"/>
    <col min="543" max="543" width="1.5703125" style="2" customWidth="1"/>
    <col min="544" max="544" width="12.28515625" style="2" customWidth="1"/>
    <col min="545" max="545" width="1.5703125" style="2" customWidth="1"/>
    <col min="546" max="546" width="12.28515625" style="2" customWidth="1"/>
    <col min="547" max="547" width="4.5703125" style="2" customWidth="1"/>
    <col min="548" max="548" width="1.42578125" style="2" customWidth="1"/>
    <col min="549" max="771" width="13.85546875" style="2"/>
    <col min="772" max="772" width="7.85546875" style="2" customWidth="1"/>
    <col min="773" max="774" width="2.28515625" style="2" customWidth="1"/>
    <col min="775" max="775" width="31.42578125" style="2" customWidth="1"/>
    <col min="776" max="776" width="2.28515625" style="2" customWidth="1"/>
    <col min="777" max="777" width="2.140625" style="2" customWidth="1"/>
    <col min="778" max="778" width="12.28515625" style="2" customWidth="1"/>
    <col min="779" max="779" width="1.5703125" style="2" customWidth="1"/>
    <col min="780" max="780" width="12.28515625" style="2" customWidth="1"/>
    <col min="781" max="781" width="1.5703125" style="2" customWidth="1"/>
    <col min="782" max="782" width="12.28515625" style="2" customWidth="1"/>
    <col min="783" max="783" width="1.5703125" style="2" customWidth="1"/>
    <col min="784" max="784" width="13.5703125" style="2" customWidth="1"/>
    <col min="785" max="785" width="0.85546875" style="2" customWidth="1"/>
    <col min="786" max="786" width="12.28515625" style="2" customWidth="1"/>
    <col min="787" max="787" width="1.5703125" style="2" customWidth="1"/>
    <col min="788" max="788" width="12.28515625" style="2" customWidth="1"/>
    <col min="789" max="789" width="1.5703125" style="2" customWidth="1"/>
    <col min="790" max="790" width="12.28515625" style="2" customWidth="1"/>
    <col min="791" max="791" width="0.85546875" style="2" customWidth="1"/>
    <col min="792" max="792" width="12.28515625" style="2" customWidth="1"/>
    <col min="793" max="793" width="1.5703125" style="2" customWidth="1"/>
    <col min="794" max="794" width="12.28515625" style="2" customWidth="1"/>
    <col min="795" max="795" width="1.5703125" style="2" customWidth="1"/>
    <col min="796" max="796" width="12.28515625" style="2" customWidth="1"/>
    <col min="797" max="797" width="0.85546875" style="2" customWidth="1"/>
    <col min="798" max="798" width="12.28515625" style="2" customWidth="1"/>
    <col min="799" max="799" width="1.5703125" style="2" customWidth="1"/>
    <col min="800" max="800" width="12.28515625" style="2" customWidth="1"/>
    <col min="801" max="801" width="1.5703125" style="2" customWidth="1"/>
    <col min="802" max="802" width="12.28515625" style="2" customWidth="1"/>
    <col min="803" max="803" width="4.5703125" style="2" customWidth="1"/>
    <col min="804" max="804" width="1.42578125" style="2" customWidth="1"/>
    <col min="805" max="1027" width="13.85546875" style="2"/>
    <col min="1028" max="1028" width="7.85546875" style="2" customWidth="1"/>
    <col min="1029" max="1030" width="2.28515625" style="2" customWidth="1"/>
    <col min="1031" max="1031" width="31.42578125" style="2" customWidth="1"/>
    <col min="1032" max="1032" width="2.28515625" style="2" customWidth="1"/>
    <col min="1033" max="1033" width="2.140625" style="2" customWidth="1"/>
    <col min="1034" max="1034" width="12.28515625" style="2" customWidth="1"/>
    <col min="1035" max="1035" width="1.5703125" style="2" customWidth="1"/>
    <col min="1036" max="1036" width="12.28515625" style="2" customWidth="1"/>
    <col min="1037" max="1037" width="1.5703125" style="2" customWidth="1"/>
    <col min="1038" max="1038" width="12.28515625" style="2" customWidth="1"/>
    <col min="1039" max="1039" width="1.5703125" style="2" customWidth="1"/>
    <col min="1040" max="1040" width="13.5703125" style="2" customWidth="1"/>
    <col min="1041" max="1041" width="0.85546875" style="2" customWidth="1"/>
    <col min="1042" max="1042" width="12.28515625" style="2" customWidth="1"/>
    <col min="1043" max="1043" width="1.5703125" style="2" customWidth="1"/>
    <col min="1044" max="1044" width="12.28515625" style="2" customWidth="1"/>
    <col min="1045" max="1045" width="1.5703125" style="2" customWidth="1"/>
    <col min="1046" max="1046" width="12.28515625" style="2" customWidth="1"/>
    <col min="1047" max="1047" width="0.85546875" style="2" customWidth="1"/>
    <col min="1048" max="1048" width="12.28515625" style="2" customWidth="1"/>
    <col min="1049" max="1049" width="1.5703125" style="2" customWidth="1"/>
    <col min="1050" max="1050" width="12.28515625" style="2" customWidth="1"/>
    <col min="1051" max="1051" width="1.5703125" style="2" customWidth="1"/>
    <col min="1052" max="1052" width="12.28515625" style="2" customWidth="1"/>
    <col min="1053" max="1053" width="0.85546875" style="2" customWidth="1"/>
    <col min="1054" max="1054" width="12.28515625" style="2" customWidth="1"/>
    <col min="1055" max="1055" width="1.5703125" style="2" customWidth="1"/>
    <col min="1056" max="1056" width="12.28515625" style="2" customWidth="1"/>
    <col min="1057" max="1057" width="1.5703125" style="2" customWidth="1"/>
    <col min="1058" max="1058" width="12.28515625" style="2" customWidth="1"/>
    <col min="1059" max="1059" width="4.5703125" style="2" customWidth="1"/>
    <col min="1060" max="1060" width="1.42578125" style="2" customWidth="1"/>
    <col min="1061" max="1283" width="13.85546875" style="2"/>
    <col min="1284" max="1284" width="7.85546875" style="2" customWidth="1"/>
    <col min="1285" max="1286" width="2.28515625" style="2" customWidth="1"/>
    <col min="1287" max="1287" width="31.42578125" style="2" customWidth="1"/>
    <col min="1288" max="1288" width="2.28515625" style="2" customWidth="1"/>
    <col min="1289" max="1289" width="2.140625" style="2" customWidth="1"/>
    <col min="1290" max="1290" width="12.28515625" style="2" customWidth="1"/>
    <col min="1291" max="1291" width="1.5703125" style="2" customWidth="1"/>
    <col min="1292" max="1292" width="12.28515625" style="2" customWidth="1"/>
    <col min="1293" max="1293" width="1.5703125" style="2" customWidth="1"/>
    <col min="1294" max="1294" width="12.28515625" style="2" customWidth="1"/>
    <col min="1295" max="1295" width="1.5703125" style="2" customWidth="1"/>
    <col min="1296" max="1296" width="13.5703125" style="2" customWidth="1"/>
    <col min="1297" max="1297" width="0.85546875" style="2" customWidth="1"/>
    <col min="1298" max="1298" width="12.28515625" style="2" customWidth="1"/>
    <col min="1299" max="1299" width="1.5703125" style="2" customWidth="1"/>
    <col min="1300" max="1300" width="12.28515625" style="2" customWidth="1"/>
    <col min="1301" max="1301" width="1.5703125" style="2" customWidth="1"/>
    <col min="1302" max="1302" width="12.28515625" style="2" customWidth="1"/>
    <col min="1303" max="1303" width="0.85546875" style="2" customWidth="1"/>
    <col min="1304" max="1304" width="12.28515625" style="2" customWidth="1"/>
    <col min="1305" max="1305" width="1.5703125" style="2" customWidth="1"/>
    <col min="1306" max="1306" width="12.28515625" style="2" customWidth="1"/>
    <col min="1307" max="1307" width="1.5703125" style="2" customWidth="1"/>
    <col min="1308" max="1308" width="12.28515625" style="2" customWidth="1"/>
    <col min="1309" max="1309" width="0.85546875" style="2" customWidth="1"/>
    <col min="1310" max="1310" width="12.28515625" style="2" customWidth="1"/>
    <col min="1311" max="1311" width="1.5703125" style="2" customWidth="1"/>
    <col min="1312" max="1312" width="12.28515625" style="2" customWidth="1"/>
    <col min="1313" max="1313" width="1.5703125" style="2" customWidth="1"/>
    <col min="1314" max="1314" width="12.28515625" style="2" customWidth="1"/>
    <col min="1315" max="1315" width="4.5703125" style="2" customWidth="1"/>
    <col min="1316" max="1316" width="1.42578125" style="2" customWidth="1"/>
    <col min="1317" max="1539" width="13.85546875" style="2"/>
    <col min="1540" max="1540" width="7.85546875" style="2" customWidth="1"/>
    <col min="1541" max="1542" width="2.28515625" style="2" customWidth="1"/>
    <col min="1543" max="1543" width="31.42578125" style="2" customWidth="1"/>
    <col min="1544" max="1544" width="2.28515625" style="2" customWidth="1"/>
    <col min="1545" max="1545" width="2.140625" style="2" customWidth="1"/>
    <col min="1546" max="1546" width="12.28515625" style="2" customWidth="1"/>
    <col min="1547" max="1547" width="1.5703125" style="2" customWidth="1"/>
    <col min="1548" max="1548" width="12.28515625" style="2" customWidth="1"/>
    <col min="1549" max="1549" width="1.5703125" style="2" customWidth="1"/>
    <col min="1550" max="1550" width="12.28515625" style="2" customWidth="1"/>
    <col min="1551" max="1551" width="1.5703125" style="2" customWidth="1"/>
    <col min="1552" max="1552" width="13.5703125" style="2" customWidth="1"/>
    <col min="1553" max="1553" width="0.85546875" style="2" customWidth="1"/>
    <col min="1554" max="1554" width="12.28515625" style="2" customWidth="1"/>
    <col min="1555" max="1555" width="1.5703125" style="2" customWidth="1"/>
    <col min="1556" max="1556" width="12.28515625" style="2" customWidth="1"/>
    <col min="1557" max="1557" width="1.5703125" style="2" customWidth="1"/>
    <col min="1558" max="1558" width="12.28515625" style="2" customWidth="1"/>
    <col min="1559" max="1559" width="0.85546875" style="2" customWidth="1"/>
    <col min="1560" max="1560" width="12.28515625" style="2" customWidth="1"/>
    <col min="1561" max="1561" width="1.5703125" style="2" customWidth="1"/>
    <col min="1562" max="1562" width="12.28515625" style="2" customWidth="1"/>
    <col min="1563" max="1563" width="1.5703125" style="2" customWidth="1"/>
    <col min="1564" max="1564" width="12.28515625" style="2" customWidth="1"/>
    <col min="1565" max="1565" width="0.85546875" style="2" customWidth="1"/>
    <col min="1566" max="1566" width="12.28515625" style="2" customWidth="1"/>
    <col min="1567" max="1567" width="1.5703125" style="2" customWidth="1"/>
    <col min="1568" max="1568" width="12.28515625" style="2" customWidth="1"/>
    <col min="1569" max="1569" width="1.5703125" style="2" customWidth="1"/>
    <col min="1570" max="1570" width="12.28515625" style="2" customWidth="1"/>
    <col min="1571" max="1571" width="4.5703125" style="2" customWidth="1"/>
    <col min="1572" max="1572" width="1.42578125" style="2" customWidth="1"/>
    <col min="1573" max="1795" width="13.85546875" style="2"/>
    <col min="1796" max="1796" width="7.85546875" style="2" customWidth="1"/>
    <col min="1797" max="1798" width="2.28515625" style="2" customWidth="1"/>
    <col min="1799" max="1799" width="31.42578125" style="2" customWidth="1"/>
    <col min="1800" max="1800" width="2.28515625" style="2" customWidth="1"/>
    <col min="1801" max="1801" width="2.140625" style="2" customWidth="1"/>
    <col min="1802" max="1802" width="12.28515625" style="2" customWidth="1"/>
    <col min="1803" max="1803" width="1.5703125" style="2" customWidth="1"/>
    <col min="1804" max="1804" width="12.28515625" style="2" customWidth="1"/>
    <col min="1805" max="1805" width="1.5703125" style="2" customWidth="1"/>
    <col min="1806" max="1806" width="12.28515625" style="2" customWidth="1"/>
    <col min="1807" max="1807" width="1.5703125" style="2" customWidth="1"/>
    <col min="1808" max="1808" width="13.5703125" style="2" customWidth="1"/>
    <col min="1809" max="1809" width="0.85546875" style="2" customWidth="1"/>
    <col min="1810" max="1810" width="12.28515625" style="2" customWidth="1"/>
    <col min="1811" max="1811" width="1.5703125" style="2" customWidth="1"/>
    <col min="1812" max="1812" width="12.28515625" style="2" customWidth="1"/>
    <col min="1813" max="1813" width="1.5703125" style="2" customWidth="1"/>
    <col min="1814" max="1814" width="12.28515625" style="2" customWidth="1"/>
    <col min="1815" max="1815" width="0.85546875" style="2" customWidth="1"/>
    <col min="1816" max="1816" width="12.28515625" style="2" customWidth="1"/>
    <col min="1817" max="1817" width="1.5703125" style="2" customWidth="1"/>
    <col min="1818" max="1818" width="12.28515625" style="2" customWidth="1"/>
    <col min="1819" max="1819" width="1.5703125" style="2" customWidth="1"/>
    <col min="1820" max="1820" width="12.28515625" style="2" customWidth="1"/>
    <col min="1821" max="1821" width="0.85546875" style="2" customWidth="1"/>
    <col min="1822" max="1822" width="12.28515625" style="2" customWidth="1"/>
    <col min="1823" max="1823" width="1.5703125" style="2" customWidth="1"/>
    <col min="1824" max="1824" width="12.28515625" style="2" customWidth="1"/>
    <col min="1825" max="1825" width="1.5703125" style="2" customWidth="1"/>
    <col min="1826" max="1826" width="12.28515625" style="2" customWidth="1"/>
    <col min="1827" max="1827" width="4.5703125" style="2" customWidth="1"/>
    <col min="1828" max="1828" width="1.42578125" style="2" customWidth="1"/>
    <col min="1829" max="2051" width="13.85546875" style="2"/>
    <col min="2052" max="2052" width="7.85546875" style="2" customWidth="1"/>
    <col min="2053" max="2054" width="2.28515625" style="2" customWidth="1"/>
    <col min="2055" max="2055" width="31.42578125" style="2" customWidth="1"/>
    <col min="2056" max="2056" width="2.28515625" style="2" customWidth="1"/>
    <col min="2057" max="2057" width="2.140625" style="2" customWidth="1"/>
    <col min="2058" max="2058" width="12.28515625" style="2" customWidth="1"/>
    <col min="2059" max="2059" width="1.5703125" style="2" customWidth="1"/>
    <col min="2060" max="2060" width="12.28515625" style="2" customWidth="1"/>
    <col min="2061" max="2061" width="1.5703125" style="2" customWidth="1"/>
    <col min="2062" max="2062" width="12.28515625" style="2" customWidth="1"/>
    <col min="2063" max="2063" width="1.5703125" style="2" customWidth="1"/>
    <col min="2064" max="2064" width="13.5703125" style="2" customWidth="1"/>
    <col min="2065" max="2065" width="0.85546875" style="2" customWidth="1"/>
    <col min="2066" max="2066" width="12.28515625" style="2" customWidth="1"/>
    <col min="2067" max="2067" width="1.5703125" style="2" customWidth="1"/>
    <col min="2068" max="2068" width="12.28515625" style="2" customWidth="1"/>
    <col min="2069" max="2069" width="1.5703125" style="2" customWidth="1"/>
    <col min="2070" max="2070" width="12.28515625" style="2" customWidth="1"/>
    <col min="2071" max="2071" width="0.85546875" style="2" customWidth="1"/>
    <col min="2072" max="2072" width="12.28515625" style="2" customWidth="1"/>
    <col min="2073" max="2073" width="1.5703125" style="2" customWidth="1"/>
    <col min="2074" max="2074" width="12.28515625" style="2" customWidth="1"/>
    <col min="2075" max="2075" width="1.5703125" style="2" customWidth="1"/>
    <col min="2076" max="2076" width="12.28515625" style="2" customWidth="1"/>
    <col min="2077" max="2077" width="0.85546875" style="2" customWidth="1"/>
    <col min="2078" max="2078" width="12.28515625" style="2" customWidth="1"/>
    <col min="2079" max="2079" width="1.5703125" style="2" customWidth="1"/>
    <col min="2080" max="2080" width="12.28515625" style="2" customWidth="1"/>
    <col min="2081" max="2081" width="1.5703125" style="2" customWidth="1"/>
    <col min="2082" max="2082" width="12.28515625" style="2" customWidth="1"/>
    <col min="2083" max="2083" width="4.5703125" style="2" customWidth="1"/>
    <col min="2084" max="2084" width="1.42578125" style="2" customWidth="1"/>
    <col min="2085" max="2307" width="13.85546875" style="2"/>
    <col min="2308" max="2308" width="7.85546875" style="2" customWidth="1"/>
    <col min="2309" max="2310" width="2.28515625" style="2" customWidth="1"/>
    <col min="2311" max="2311" width="31.42578125" style="2" customWidth="1"/>
    <col min="2312" max="2312" width="2.28515625" style="2" customWidth="1"/>
    <col min="2313" max="2313" width="2.140625" style="2" customWidth="1"/>
    <col min="2314" max="2314" width="12.28515625" style="2" customWidth="1"/>
    <col min="2315" max="2315" width="1.5703125" style="2" customWidth="1"/>
    <col min="2316" max="2316" width="12.28515625" style="2" customWidth="1"/>
    <col min="2317" max="2317" width="1.5703125" style="2" customWidth="1"/>
    <col min="2318" max="2318" width="12.28515625" style="2" customWidth="1"/>
    <col min="2319" max="2319" width="1.5703125" style="2" customWidth="1"/>
    <col min="2320" max="2320" width="13.5703125" style="2" customWidth="1"/>
    <col min="2321" max="2321" width="0.85546875" style="2" customWidth="1"/>
    <col min="2322" max="2322" width="12.28515625" style="2" customWidth="1"/>
    <col min="2323" max="2323" width="1.5703125" style="2" customWidth="1"/>
    <col min="2324" max="2324" width="12.28515625" style="2" customWidth="1"/>
    <col min="2325" max="2325" width="1.5703125" style="2" customWidth="1"/>
    <col min="2326" max="2326" width="12.28515625" style="2" customWidth="1"/>
    <col min="2327" max="2327" width="0.85546875" style="2" customWidth="1"/>
    <col min="2328" max="2328" width="12.28515625" style="2" customWidth="1"/>
    <col min="2329" max="2329" width="1.5703125" style="2" customWidth="1"/>
    <col min="2330" max="2330" width="12.28515625" style="2" customWidth="1"/>
    <col min="2331" max="2331" width="1.5703125" style="2" customWidth="1"/>
    <col min="2332" max="2332" width="12.28515625" style="2" customWidth="1"/>
    <col min="2333" max="2333" width="0.85546875" style="2" customWidth="1"/>
    <col min="2334" max="2334" width="12.28515625" style="2" customWidth="1"/>
    <col min="2335" max="2335" width="1.5703125" style="2" customWidth="1"/>
    <col min="2336" max="2336" width="12.28515625" style="2" customWidth="1"/>
    <col min="2337" max="2337" width="1.5703125" style="2" customWidth="1"/>
    <col min="2338" max="2338" width="12.28515625" style="2" customWidth="1"/>
    <col min="2339" max="2339" width="4.5703125" style="2" customWidth="1"/>
    <col min="2340" max="2340" width="1.42578125" style="2" customWidth="1"/>
    <col min="2341" max="2563" width="13.85546875" style="2"/>
    <col min="2564" max="2564" width="7.85546875" style="2" customWidth="1"/>
    <col min="2565" max="2566" width="2.28515625" style="2" customWidth="1"/>
    <col min="2567" max="2567" width="31.42578125" style="2" customWidth="1"/>
    <col min="2568" max="2568" width="2.28515625" style="2" customWidth="1"/>
    <col min="2569" max="2569" width="2.140625" style="2" customWidth="1"/>
    <col min="2570" max="2570" width="12.28515625" style="2" customWidth="1"/>
    <col min="2571" max="2571" width="1.5703125" style="2" customWidth="1"/>
    <col min="2572" max="2572" width="12.28515625" style="2" customWidth="1"/>
    <col min="2573" max="2573" width="1.5703125" style="2" customWidth="1"/>
    <col min="2574" max="2574" width="12.28515625" style="2" customWidth="1"/>
    <col min="2575" max="2575" width="1.5703125" style="2" customWidth="1"/>
    <col min="2576" max="2576" width="13.5703125" style="2" customWidth="1"/>
    <col min="2577" max="2577" width="0.85546875" style="2" customWidth="1"/>
    <col min="2578" max="2578" width="12.28515625" style="2" customWidth="1"/>
    <col min="2579" max="2579" width="1.5703125" style="2" customWidth="1"/>
    <col min="2580" max="2580" width="12.28515625" style="2" customWidth="1"/>
    <col min="2581" max="2581" width="1.5703125" style="2" customWidth="1"/>
    <col min="2582" max="2582" width="12.28515625" style="2" customWidth="1"/>
    <col min="2583" max="2583" width="0.85546875" style="2" customWidth="1"/>
    <col min="2584" max="2584" width="12.28515625" style="2" customWidth="1"/>
    <col min="2585" max="2585" width="1.5703125" style="2" customWidth="1"/>
    <col min="2586" max="2586" width="12.28515625" style="2" customWidth="1"/>
    <col min="2587" max="2587" width="1.5703125" style="2" customWidth="1"/>
    <col min="2588" max="2588" width="12.28515625" style="2" customWidth="1"/>
    <col min="2589" max="2589" width="0.85546875" style="2" customWidth="1"/>
    <col min="2590" max="2590" width="12.28515625" style="2" customWidth="1"/>
    <col min="2591" max="2591" width="1.5703125" style="2" customWidth="1"/>
    <col min="2592" max="2592" width="12.28515625" style="2" customWidth="1"/>
    <col min="2593" max="2593" width="1.5703125" style="2" customWidth="1"/>
    <col min="2594" max="2594" width="12.28515625" style="2" customWidth="1"/>
    <col min="2595" max="2595" width="4.5703125" style="2" customWidth="1"/>
    <col min="2596" max="2596" width="1.42578125" style="2" customWidth="1"/>
    <col min="2597" max="2819" width="13.85546875" style="2"/>
    <col min="2820" max="2820" width="7.85546875" style="2" customWidth="1"/>
    <col min="2821" max="2822" width="2.28515625" style="2" customWidth="1"/>
    <col min="2823" max="2823" width="31.42578125" style="2" customWidth="1"/>
    <col min="2824" max="2824" width="2.28515625" style="2" customWidth="1"/>
    <col min="2825" max="2825" width="2.140625" style="2" customWidth="1"/>
    <col min="2826" max="2826" width="12.28515625" style="2" customWidth="1"/>
    <col min="2827" max="2827" width="1.5703125" style="2" customWidth="1"/>
    <col min="2828" max="2828" width="12.28515625" style="2" customWidth="1"/>
    <col min="2829" max="2829" width="1.5703125" style="2" customWidth="1"/>
    <col min="2830" max="2830" width="12.28515625" style="2" customWidth="1"/>
    <col min="2831" max="2831" width="1.5703125" style="2" customWidth="1"/>
    <col min="2832" max="2832" width="13.5703125" style="2" customWidth="1"/>
    <col min="2833" max="2833" width="0.85546875" style="2" customWidth="1"/>
    <col min="2834" max="2834" width="12.28515625" style="2" customWidth="1"/>
    <col min="2835" max="2835" width="1.5703125" style="2" customWidth="1"/>
    <col min="2836" max="2836" width="12.28515625" style="2" customWidth="1"/>
    <col min="2837" max="2837" width="1.5703125" style="2" customWidth="1"/>
    <col min="2838" max="2838" width="12.28515625" style="2" customWidth="1"/>
    <col min="2839" max="2839" width="0.85546875" style="2" customWidth="1"/>
    <col min="2840" max="2840" width="12.28515625" style="2" customWidth="1"/>
    <col min="2841" max="2841" width="1.5703125" style="2" customWidth="1"/>
    <col min="2842" max="2842" width="12.28515625" style="2" customWidth="1"/>
    <col min="2843" max="2843" width="1.5703125" style="2" customWidth="1"/>
    <col min="2844" max="2844" width="12.28515625" style="2" customWidth="1"/>
    <col min="2845" max="2845" width="0.85546875" style="2" customWidth="1"/>
    <col min="2846" max="2846" width="12.28515625" style="2" customWidth="1"/>
    <col min="2847" max="2847" width="1.5703125" style="2" customWidth="1"/>
    <col min="2848" max="2848" width="12.28515625" style="2" customWidth="1"/>
    <col min="2849" max="2849" width="1.5703125" style="2" customWidth="1"/>
    <col min="2850" max="2850" width="12.28515625" style="2" customWidth="1"/>
    <col min="2851" max="2851" width="4.5703125" style="2" customWidth="1"/>
    <col min="2852" max="2852" width="1.42578125" style="2" customWidth="1"/>
    <col min="2853" max="3075" width="13.85546875" style="2"/>
    <col min="3076" max="3076" width="7.85546875" style="2" customWidth="1"/>
    <col min="3077" max="3078" width="2.28515625" style="2" customWidth="1"/>
    <col min="3079" max="3079" width="31.42578125" style="2" customWidth="1"/>
    <col min="3080" max="3080" width="2.28515625" style="2" customWidth="1"/>
    <col min="3081" max="3081" width="2.140625" style="2" customWidth="1"/>
    <col min="3082" max="3082" width="12.28515625" style="2" customWidth="1"/>
    <col min="3083" max="3083" width="1.5703125" style="2" customWidth="1"/>
    <col min="3084" max="3084" width="12.28515625" style="2" customWidth="1"/>
    <col min="3085" max="3085" width="1.5703125" style="2" customWidth="1"/>
    <col min="3086" max="3086" width="12.28515625" style="2" customWidth="1"/>
    <col min="3087" max="3087" width="1.5703125" style="2" customWidth="1"/>
    <col min="3088" max="3088" width="13.5703125" style="2" customWidth="1"/>
    <col min="3089" max="3089" width="0.85546875" style="2" customWidth="1"/>
    <col min="3090" max="3090" width="12.28515625" style="2" customWidth="1"/>
    <col min="3091" max="3091" width="1.5703125" style="2" customWidth="1"/>
    <col min="3092" max="3092" width="12.28515625" style="2" customWidth="1"/>
    <col min="3093" max="3093" width="1.5703125" style="2" customWidth="1"/>
    <col min="3094" max="3094" width="12.28515625" style="2" customWidth="1"/>
    <col min="3095" max="3095" width="0.85546875" style="2" customWidth="1"/>
    <col min="3096" max="3096" width="12.28515625" style="2" customWidth="1"/>
    <col min="3097" max="3097" width="1.5703125" style="2" customWidth="1"/>
    <col min="3098" max="3098" width="12.28515625" style="2" customWidth="1"/>
    <col min="3099" max="3099" width="1.5703125" style="2" customWidth="1"/>
    <col min="3100" max="3100" width="12.28515625" style="2" customWidth="1"/>
    <col min="3101" max="3101" width="0.85546875" style="2" customWidth="1"/>
    <col min="3102" max="3102" width="12.28515625" style="2" customWidth="1"/>
    <col min="3103" max="3103" width="1.5703125" style="2" customWidth="1"/>
    <col min="3104" max="3104" width="12.28515625" style="2" customWidth="1"/>
    <col min="3105" max="3105" width="1.5703125" style="2" customWidth="1"/>
    <col min="3106" max="3106" width="12.28515625" style="2" customWidth="1"/>
    <col min="3107" max="3107" width="4.5703125" style="2" customWidth="1"/>
    <col min="3108" max="3108" width="1.42578125" style="2" customWidth="1"/>
    <col min="3109" max="3331" width="13.85546875" style="2"/>
    <col min="3332" max="3332" width="7.85546875" style="2" customWidth="1"/>
    <col min="3333" max="3334" width="2.28515625" style="2" customWidth="1"/>
    <col min="3335" max="3335" width="31.42578125" style="2" customWidth="1"/>
    <col min="3336" max="3336" width="2.28515625" style="2" customWidth="1"/>
    <col min="3337" max="3337" width="2.140625" style="2" customWidth="1"/>
    <col min="3338" max="3338" width="12.28515625" style="2" customWidth="1"/>
    <col min="3339" max="3339" width="1.5703125" style="2" customWidth="1"/>
    <col min="3340" max="3340" width="12.28515625" style="2" customWidth="1"/>
    <col min="3341" max="3341" width="1.5703125" style="2" customWidth="1"/>
    <col min="3342" max="3342" width="12.28515625" style="2" customWidth="1"/>
    <col min="3343" max="3343" width="1.5703125" style="2" customWidth="1"/>
    <col min="3344" max="3344" width="13.5703125" style="2" customWidth="1"/>
    <col min="3345" max="3345" width="0.85546875" style="2" customWidth="1"/>
    <col min="3346" max="3346" width="12.28515625" style="2" customWidth="1"/>
    <col min="3347" max="3347" width="1.5703125" style="2" customWidth="1"/>
    <col min="3348" max="3348" width="12.28515625" style="2" customWidth="1"/>
    <col min="3349" max="3349" width="1.5703125" style="2" customWidth="1"/>
    <col min="3350" max="3350" width="12.28515625" style="2" customWidth="1"/>
    <col min="3351" max="3351" width="0.85546875" style="2" customWidth="1"/>
    <col min="3352" max="3352" width="12.28515625" style="2" customWidth="1"/>
    <col min="3353" max="3353" width="1.5703125" style="2" customWidth="1"/>
    <col min="3354" max="3354" width="12.28515625" style="2" customWidth="1"/>
    <col min="3355" max="3355" width="1.5703125" style="2" customWidth="1"/>
    <col min="3356" max="3356" width="12.28515625" style="2" customWidth="1"/>
    <col min="3357" max="3357" width="0.85546875" style="2" customWidth="1"/>
    <col min="3358" max="3358" width="12.28515625" style="2" customWidth="1"/>
    <col min="3359" max="3359" width="1.5703125" style="2" customWidth="1"/>
    <col min="3360" max="3360" width="12.28515625" style="2" customWidth="1"/>
    <col min="3361" max="3361" width="1.5703125" style="2" customWidth="1"/>
    <col min="3362" max="3362" width="12.28515625" style="2" customWidth="1"/>
    <col min="3363" max="3363" width="4.5703125" style="2" customWidth="1"/>
    <col min="3364" max="3364" width="1.42578125" style="2" customWidth="1"/>
    <col min="3365" max="3587" width="13.85546875" style="2"/>
    <col min="3588" max="3588" width="7.85546875" style="2" customWidth="1"/>
    <col min="3589" max="3590" width="2.28515625" style="2" customWidth="1"/>
    <col min="3591" max="3591" width="31.42578125" style="2" customWidth="1"/>
    <col min="3592" max="3592" width="2.28515625" style="2" customWidth="1"/>
    <col min="3593" max="3593" width="2.140625" style="2" customWidth="1"/>
    <col min="3594" max="3594" width="12.28515625" style="2" customWidth="1"/>
    <col min="3595" max="3595" width="1.5703125" style="2" customWidth="1"/>
    <col min="3596" max="3596" width="12.28515625" style="2" customWidth="1"/>
    <col min="3597" max="3597" width="1.5703125" style="2" customWidth="1"/>
    <col min="3598" max="3598" width="12.28515625" style="2" customWidth="1"/>
    <col min="3599" max="3599" width="1.5703125" style="2" customWidth="1"/>
    <col min="3600" max="3600" width="13.5703125" style="2" customWidth="1"/>
    <col min="3601" max="3601" width="0.85546875" style="2" customWidth="1"/>
    <col min="3602" max="3602" width="12.28515625" style="2" customWidth="1"/>
    <col min="3603" max="3603" width="1.5703125" style="2" customWidth="1"/>
    <col min="3604" max="3604" width="12.28515625" style="2" customWidth="1"/>
    <col min="3605" max="3605" width="1.5703125" style="2" customWidth="1"/>
    <col min="3606" max="3606" width="12.28515625" style="2" customWidth="1"/>
    <col min="3607" max="3607" width="0.85546875" style="2" customWidth="1"/>
    <col min="3608" max="3608" width="12.28515625" style="2" customWidth="1"/>
    <col min="3609" max="3609" width="1.5703125" style="2" customWidth="1"/>
    <col min="3610" max="3610" width="12.28515625" style="2" customWidth="1"/>
    <col min="3611" max="3611" width="1.5703125" style="2" customWidth="1"/>
    <col min="3612" max="3612" width="12.28515625" style="2" customWidth="1"/>
    <col min="3613" max="3613" width="0.85546875" style="2" customWidth="1"/>
    <col min="3614" max="3614" width="12.28515625" style="2" customWidth="1"/>
    <col min="3615" max="3615" width="1.5703125" style="2" customWidth="1"/>
    <col min="3616" max="3616" width="12.28515625" style="2" customWidth="1"/>
    <col min="3617" max="3617" width="1.5703125" style="2" customWidth="1"/>
    <col min="3618" max="3618" width="12.28515625" style="2" customWidth="1"/>
    <col min="3619" max="3619" width="4.5703125" style="2" customWidth="1"/>
    <col min="3620" max="3620" width="1.42578125" style="2" customWidth="1"/>
    <col min="3621" max="3843" width="13.85546875" style="2"/>
    <col min="3844" max="3844" width="7.85546875" style="2" customWidth="1"/>
    <col min="3845" max="3846" width="2.28515625" style="2" customWidth="1"/>
    <col min="3847" max="3847" width="31.42578125" style="2" customWidth="1"/>
    <col min="3848" max="3848" width="2.28515625" style="2" customWidth="1"/>
    <col min="3849" max="3849" width="2.140625" style="2" customWidth="1"/>
    <col min="3850" max="3850" width="12.28515625" style="2" customWidth="1"/>
    <col min="3851" max="3851" width="1.5703125" style="2" customWidth="1"/>
    <col min="3852" max="3852" width="12.28515625" style="2" customWidth="1"/>
    <col min="3853" max="3853" width="1.5703125" style="2" customWidth="1"/>
    <col min="3854" max="3854" width="12.28515625" style="2" customWidth="1"/>
    <col min="3855" max="3855" width="1.5703125" style="2" customWidth="1"/>
    <col min="3856" max="3856" width="13.5703125" style="2" customWidth="1"/>
    <col min="3857" max="3857" width="0.85546875" style="2" customWidth="1"/>
    <col min="3858" max="3858" width="12.28515625" style="2" customWidth="1"/>
    <col min="3859" max="3859" width="1.5703125" style="2" customWidth="1"/>
    <col min="3860" max="3860" width="12.28515625" style="2" customWidth="1"/>
    <col min="3861" max="3861" width="1.5703125" style="2" customWidth="1"/>
    <col min="3862" max="3862" width="12.28515625" style="2" customWidth="1"/>
    <col min="3863" max="3863" width="0.85546875" style="2" customWidth="1"/>
    <col min="3864" max="3864" width="12.28515625" style="2" customWidth="1"/>
    <col min="3865" max="3865" width="1.5703125" style="2" customWidth="1"/>
    <col min="3866" max="3866" width="12.28515625" style="2" customWidth="1"/>
    <col min="3867" max="3867" width="1.5703125" style="2" customWidth="1"/>
    <col min="3868" max="3868" width="12.28515625" style="2" customWidth="1"/>
    <col min="3869" max="3869" width="0.85546875" style="2" customWidth="1"/>
    <col min="3870" max="3870" width="12.28515625" style="2" customWidth="1"/>
    <col min="3871" max="3871" width="1.5703125" style="2" customWidth="1"/>
    <col min="3872" max="3872" width="12.28515625" style="2" customWidth="1"/>
    <col min="3873" max="3873" width="1.5703125" style="2" customWidth="1"/>
    <col min="3874" max="3874" width="12.28515625" style="2" customWidth="1"/>
    <col min="3875" max="3875" width="4.5703125" style="2" customWidth="1"/>
    <col min="3876" max="3876" width="1.42578125" style="2" customWidth="1"/>
    <col min="3877" max="4099" width="13.85546875" style="2"/>
    <col min="4100" max="4100" width="7.85546875" style="2" customWidth="1"/>
    <col min="4101" max="4102" width="2.28515625" style="2" customWidth="1"/>
    <col min="4103" max="4103" width="31.42578125" style="2" customWidth="1"/>
    <col min="4104" max="4104" width="2.28515625" style="2" customWidth="1"/>
    <col min="4105" max="4105" width="2.140625" style="2" customWidth="1"/>
    <col min="4106" max="4106" width="12.28515625" style="2" customWidth="1"/>
    <col min="4107" max="4107" width="1.5703125" style="2" customWidth="1"/>
    <col min="4108" max="4108" width="12.28515625" style="2" customWidth="1"/>
    <col min="4109" max="4109" width="1.5703125" style="2" customWidth="1"/>
    <col min="4110" max="4110" width="12.28515625" style="2" customWidth="1"/>
    <col min="4111" max="4111" width="1.5703125" style="2" customWidth="1"/>
    <col min="4112" max="4112" width="13.5703125" style="2" customWidth="1"/>
    <col min="4113" max="4113" width="0.85546875" style="2" customWidth="1"/>
    <col min="4114" max="4114" width="12.28515625" style="2" customWidth="1"/>
    <col min="4115" max="4115" width="1.5703125" style="2" customWidth="1"/>
    <col min="4116" max="4116" width="12.28515625" style="2" customWidth="1"/>
    <col min="4117" max="4117" width="1.5703125" style="2" customWidth="1"/>
    <col min="4118" max="4118" width="12.28515625" style="2" customWidth="1"/>
    <col min="4119" max="4119" width="0.85546875" style="2" customWidth="1"/>
    <col min="4120" max="4120" width="12.28515625" style="2" customWidth="1"/>
    <col min="4121" max="4121" width="1.5703125" style="2" customWidth="1"/>
    <col min="4122" max="4122" width="12.28515625" style="2" customWidth="1"/>
    <col min="4123" max="4123" width="1.5703125" style="2" customWidth="1"/>
    <col min="4124" max="4124" width="12.28515625" style="2" customWidth="1"/>
    <col min="4125" max="4125" width="0.85546875" style="2" customWidth="1"/>
    <col min="4126" max="4126" width="12.28515625" style="2" customWidth="1"/>
    <col min="4127" max="4127" width="1.5703125" style="2" customWidth="1"/>
    <col min="4128" max="4128" width="12.28515625" style="2" customWidth="1"/>
    <col min="4129" max="4129" width="1.5703125" style="2" customWidth="1"/>
    <col min="4130" max="4130" width="12.28515625" style="2" customWidth="1"/>
    <col min="4131" max="4131" width="4.5703125" style="2" customWidth="1"/>
    <col min="4132" max="4132" width="1.42578125" style="2" customWidth="1"/>
    <col min="4133" max="4355" width="13.85546875" style="2"/>
    <col min="4356" max="4356" width="7.85546875" style="2" customWidth="1"/>
    <col min="4357" max="4358" width="2.28515625" style="2" customWidth="1"/>
    <col min="4359" max="4359" width="31.42578125" style="2" customWidth="1"/>
    <col min="4360" max="4360" width="2.28515625" style="2" customWidth="1"/>
    <col min="4361" max="4361" width="2.140625" style="2" customWidth="1"/>
    <col min="4362" max="4362" width="12.28515625" style="2" customWidth="1"/>
    <col min="4363" max="4363" width="1.5703125" style="2" customWidth="1"/>
    <col min="4364" max="4364" width="12.28515625" style="2" customWidth="1"/>
    <col min="4365" max="4365" width="1.5703125" style="2" customWidth="1"/>
    <col min="4366" max="4366" width="12.28515625" style="2" customWidth="1"/>
    <col min="4367" max="4367" width="1.5703125" style="2" customWidth="1"/>
    <col min="4368" max="4368" width="13.5703125" style="2" customWidth="1"/>
    <col min="4369" max="4369" width="0.85546875" style="2" customWidth="1"/>
    <col min="4370" max="4370" width="12.28515625" style="2" customWidth="1"/>
    <col min="4371" max="4371" width="1.5703125" style="2" customWidth="1"/>
    <col min="4372" max="4372" width="12.28515625" style="2" customWidth="1"/>
    <col min="4373" max="4373" width="1.5703125" style="2" customWidth="1"/>
    <col min="4374" max="4374" width="12.28515625" style="2" customWidth="1"/>
    <col min="4375" max="4375" width="0.85546875" style="2" customWidth="1"/>
    <col min="4376" max="4376" width="12.28515625" style="2" customWidth="1"/>
    <col min="4377" max="4377" width="1.5703125" style="2" customWidth="1"/>
    <col min="4378" max="4378" width="12.28515625" style="2" customWidth="1"/>
    <col min="4379" max="4379" width="1.5703125" style="2" customWidth="1"/>
    <col min="4380" max="4380" width="12.28515625" style="2" customWidth="1"/>
    <col min="4381" max="4381" width="0.85546875" style="2" customWidth="1"/>
    <col min="4382" max="4382" width="12.28515625" style="2" customWidth="1"/>
    <col min="4383" max="4383" width="1.5703125" style="2" customWidth="1"/>
    <col min="4384" max="4384" width="12.28515625" style="2" customWidth="1"/>
    <col min="4385" max="4385" width="1.5703125" style="2" customWidth="1"/>
    <col min="4386" max="4386" width="12.28515625" style="2" customWidth="1"/>
    <col min="4387" max="4387" width="4.5703125" style="2" customWidth="1"/>
    <col min="4388" max="4388" width="1.42578125" style="2" customWidth="1"/>
    <col min="4389" max="4611" width="13.85546875" style="2"/>
    <col min="4612" max="4612" width="7.85546875" style="2" customWidth="1"/>
    <col min="4613" max="4614" width="2.28515625" style="2" customWidth="1"/>
    <col min="4615" max="4615" width="31.42578125" style="2" customWidth="1"/>
    <col min="4616" max="4616" width="2.28515625" style="2" customWidth="1"/>
    <col min="4617" max="4617" width="2.140625" style="2" customWidth="1"/>
    <col min="4618" max="4618" width="12.28515625" style="2" customWidth="1"/>
    <col min="4619" max="4619" width="1.5703125" style="2" customWidth="1"/>
    <col min="4620" max="4620" width="12.28515625" style="2" customWidth="1"/>
    <col min="4621" max="4621" width="1.5703125" style="2" customWidth="1"/>
    <col min="4622" max="4622" width="12.28515625" style="2" customWidth="1"/>
    <col min="4623" max="4623" width="1.5703125" style="2" customWidth="1"/>
    <col min="4624" max="4624" width="13.5703125" style="2" customWidth="1"/>
    <col min="4625" max="4625" width="0.85546875" style="2" customWidth="1"/>
    <col min="4626" max="4626" width="12.28515625" style="2" customWidth="1"/>
    <col min="4627" max="4627" width="1.5703125" style="2" customWidth="1"/>
    <col min="4628" max="4628" width="12.28515625" style="2" customWidth="1"/>
    <col min="4629" max="4629" width="1.5703125" style="2" customWidth="1"/>
    <col min="4630" max="4630" width="12.28515625" style="2" customWidth="1"/>
    <col min="4631" max="4631" width="0.85546875" style="2" customWidth="1"/>
    <col min="4632" max="4632" width="12.28515625" style="2" customWidth="1"/>
    <col min="4633" max="4633" width="1.5703125" style="2" customWidth="1"/>
    <col min="4634" max="4634" width="12.28515625" style="2" customWidth="1"/>
    <col min="4635" max="4635" width="1.5703125" style="2" customWidth="1"/>
    <col min="4636" max="4636" width="12.28515625" style="2" customWidth="1"/>
    <col min="4637" max="4637" width="0.85546875" style="2" customWidth="1"/>
    <col min="4638" max="4638" width="12.28515625" style="2" customWidth="1"/>
    <col min="4639" max="4639" width="1.5703125" style="2" customWidth="1"/>
    <col min="4640" max="4640" width="12.28515625" style="2" customWidth="1"/>
    <col min="4641" max="4641" width="1.5703125" style="2" customWidth="1"/>
    <col min="4642" max="4642" width="12.28515625" style="2" customWidth="1"/>
    <col min="4643" max="4643" width="4.5703125" style="2" customWidth="1"/>
    <col min="4644" max="4644" width="1.42578125" style="2" customWidth="1"/>
    <col min="4645" max="4867" width="13.85546875" style="2"/>
    <col min="4868" max="4868" width="7.85546875" style="2" customWidth="1"/>
    <col min="4869" max="4870" width="2.28515625" style="2" customWidth="1"/>
    <col min="4871" max="4871" width="31.42578125" style="2" customWidth="1"/>
    <col min="4872" max="4872" width="2.28515625" style="2" customWidth="1"/>
    <col min="4873" max="4873" width="2.140625" style="2" customWidth="1"/>
    <col min="4874" max="4874" width="12.28515625" style="2" customWidth="1"/>
    <col min="4875" max="4875" width="1.5703125" style="2" customWidth="1"/>
    <col min="4876" max="4876" width="12.28515625" style="2" customWidth="1"/>
    <col min="4877" max="4877" width="1.5703125" style="2" customWidth="1"/>
    <col min="4878" max="4878" width="12.28515625" style="2" customWidth="1"/>
    <col min="4879" max="4879" width="1.5703125" style="2" customWidth="1"/>
    <col min="4880" max="4880" width="13.5703125" style="2" customWidth="1"/>
    <col min="4881" max="4881" width="0.85546875" style="2" customWidth="1"/>
    <col min="4882" max="4882" width="12.28515625" style="2" customWidth="1"/>
    <col min="4883" max="4883" width="1.5703125" style="2" customWidth="1"/>
    <col min="4884" max="4884" width="12.28515625" style="2" customWidth="1"/>
    <col min="4885" max="4885" width="1.5703125" style="2" customWidth="1"/>
    <col min="4886" max="4886" width="12.28515625" style="2" customWidth="1"/>
    <col min="4887" max="4887" width="0.85546875" style="2" customWidth="1"/>
    <col min="4888" max="4888" width="12.28515625" style="2" customWidth="1"/>
    <col min="4889" max="4889" width="1.5703125" style="2" customWidth="1"/>
    <col min="4890" max="4890" width="12.28515625" style="2" customWidth="1"/>
    <col min="4891" max="4891" width="1.5703125" style="2" customWidth="1"/>
    <col min="4892" max="4892" width="12.28515625" style="2" customWidth="1"/>
    <col min="4893" max="4893" width="0.85546875" style="2" customWidth="1"/>
    <col min="4894" max="4894" width="12.28515625" style="2" customWidth="1"/>
    <col min="4895" max="4895" width="1.5703125" style="2" customWidth="1"/>
    <col min="4896" max="4896" width="12.28515625" style="2" customWidth="1"/>
    <col min="4897" max="4897" width="1.5703125" style="2" customWidth="1"/>
    <col min="4898" max="4898" width="12.28515625" style="2" customWidth="1"/>
    <col min="4899" max="4899" width="4.5703125" style="2" customWidth="1"/>
    <col min="4900" max="4900" width="1.42578125" style="2" customWidth="1"/>
    <col min="4901" max="5123" width="13.85546875" style="2"/>
    <col min="5124" max="5124" width="7.85546875" style="2" customWidth="1"/>
    <col min="5125" max="5126" width="2.28515625" style="2" customWidth="1"/>
    <col min="5127" max="5127" width="31.42578125" style="2" customWidth="1"/>
    <col min="5128" max="5128" width="2.28515625" style="2" customWidth="1"/>
    <col min="5129" max="5129" width="2.140625" style="2" customWidth="1"/>
    <col min="5130" max="5130" width="12.28515625" style="2" customWidth="1"/>
    <col min="5131" max="5131" width="1.5703125" style="2" customWidth="1"/>
    <col min="5132" max="5132" width="12.28515625" style="2" customWidth="1"/>
    <col min="5133" max="5133" width="1.5703125" style="2" customWidth="1"/>
    <col min="5134" max="5134" width="12.28515625" style="2" customWidth="1"/>
    <col min="5135" max="5135" width="1.5703125" style="2" customWidth="1"/>
    <col min="5136" max="5136" width="13.5703125" style="2" customWidth="1"/>
    <col min="5137" max="5137" width="0.85546875" style="2" customWidth="1"/>
    <col min="5138" max="5138" width="12.28515625" style="2" customWidth="1"/>
    <col min="5139" max="5139" width="1.5703125" style="2" customWidth="1"/>
    <col min="5140" max="5140" width="12.28515625" style="2" customWidth="1"/>
    <col min="5141" max="5141" width="1.5703125" style="2" customWidth="1"/>
    <col min="5142" max="5142" width="12.28515625" style="2" customWidth="1"/>
    <col min="5143" max="5143" width="0.85546875" style="2" customWidth="1"/>
    <col min="5144" max="5144" width="12.28515625" style="2" customWidth="1"/>
    <col min="5145" max="5145" width="1.5703125" style="2" customWidth="1"/>
    <col min="5146" max="5146" width="12.28515625" style="2" customWidth="1"/>
    <col min="5147" max="5147" width="1.5703125" style="2" customWidth="1"/>
    <col min="5148" max="5148" width="12.28515625" style="2" customWidth="1"/>
    <col min="5149" max="5149" width="0.85546875" style="2" customWidth="1"/>
    <col min="5150" max="5150" width="12.28515625" style="2" customWidth="1"/>
    <col min="5151" max="5151" width="1.5703125" style="2" customWidth="1"/>
    <col min="5152" max="5152" width="12.28515625" style="2" customWidth="1"/>
    <col min="5153" max="5153" width="1.5703125" style="2" customWidth="1"/>
    <col min="5154" max="5154" width="12.28515625" style="2" customWidth="1"/>
    <col min="5155" max="5155" width="4.5703125" style="2" customWidth="1"/>
    <col min="5156" max="5156" width="1.42578125" style="2" customWidth="1"/>
    <col min="5157" max="5379" width="13.85546875" style="2"/>
    <col min="5380" max="5380" width="7.85546875" style="2" customWidth="1"/>
    <col min="5381" max="5382" width="2.28515625" style="2" customWidth="1"/>
    <col min="5383" max="5383" width="31.42578125" style="2" customWidth="1"/>
    <col min="5384" max="5384" width="2.28515625" style="2" customWidth="1"/>
    <col min="5385" max="5385" width="2.140625" style="2" customWidth="1"/>
    <col min="5386" max="5386" width="12.28515625" style="2" customWidth="1"/>
    <col min="5387" max="5387" width="1.5703125" style="2" customWidth="1"/>
    <col min="5388" max="5388" width="12.28515625" style="2" customWidth="1"/>
    <col min="5389" max="5389" width="1.5703125" style="2" customWidth="1"/>
    <col min="5390" max="5390" width="12.28515625" style="2" customWidth="1"/>
    <col min="5391" max="5391" width="1.5703125" style="2" customWidth="1"/>
    <col min="5392" max="5392" width="13.5703125" style="2" customWidth="1"/>
    <col min="5393" max="5393" width="0.85546875" style="2" customWidth="1"/>
    <col min="5394" max="5394" width="12.28515625" style="2" customWidth="1"/>
    <col min="5395" max="5395" width="1.5703125" style="2" customWidth="1"/>
    <col min="5396" max="5396" width="12.28515625" style="2" customWidth="1"/>
    <col min="5397" max="5397" width="1.5703125" style="2" customWidth="1"/>
    <col min="5398" max="5398" width="12.28515625" style="2" customWidth="1"/>
    <col min="5399" max="5399" width="0.85546875" style="2" customWidth="1"/>
    <col min="5400" max="5400" width="12.28515625" style="2" customWidth="1"/>
    <col min="5401" max="5401" width="1.5703125" style="2" customWidth="1"/>
    <col min="5402" max="5402" width="12.28515625" style="2" customWidth="1"/>
    <col min="5403" max="5403" width="1.5703125" style="2" customWidth="1"/>
    <col min="5404" max="5404" width="12.28515625" style="2" customWidth="1"/>
    <col min="5405" max="5405" width="0.85546875" style="2" customWidth="1"/>
    <col min="5406" max="5406" width="12.28515625" style="2" customWidth="1"/>
    <col min="5407" max="5407" width="1.5703125" style="2" customWidth="1"/>
    <col min="5408" max="5408" width="12.28515625" style="2" customWidth="1"/>
    <col min="5409" max="5409" width="1.5703125" style="2" customWidth="1"/>
    <col min="5410" max="5410" width="12.28515625" style="2" customWidth="1"/>
    <col min="5411" max="5411" width="4.5703125" style="2" customWidth="1"/>
    <col min="5412" max="5412" width="1.42578125" style="2" customWidth="1"/>
    <col min="5413" max="5635" width="13.85546875" style="2"/>
    <col min="5636" max="5636" width="7.85546875" style="2" customWidth="1"/>
    <col min="5637" max="5638" width="2.28515625" style="2" customWidth="1"/>
    <col min="5639" max="5639" width="31.42578125" style="2" customWidth="1"/>
    <col min="5640" max="5640" width="2.28515625" style="2" customWidth="1"/>
    <col min="5641" max="5641" width="2.140625" style="2" customWidth="1"/>
    <col min="5642" max="5642" width="12.28515625" style="2" customWidth="1"/>
    <col min="5643" max="5643" width="1.5703125" style="2" customWidth="1"/>
    <col min="5644" max="5644" width="12.28515625" style="2" customWidth="1"/>
    <col min="5645" max="5645" width="1.5703125" style="2" customWidth="1"/>
    <col min="5646" max="5646" width="12.28515625" style="2" customWidth="1"/>
    <col min="5647" max="5647" width="1.5703125" style="2" customWidth="1"/>
    <col min="5648" max="5648" width="13.5703125" style="2" customWidth="1"/>
    <col min="5649" max="5649" width="0.85546875" style="2" customWidth="1"/>
    <col min="5650" max="5650" width="12.28515625" style="2" customWidth="1"/>
    <col min="5651" max="5651" width="1.5703125" style="2" customWidth="1"/>
    <col min="5652" max="5652" width="12.28515625" style="2" customWidth="1"/>
    <col min="5653" max="5653" width="1.5703125" style="2" customWidth="1"/>
    <col min="5654" max="5654" width="12.28515625" style="2" customWidth="1"/>
    <col min="5655" max="5655" width="0.85546875" style="2" customWidth="1"/>
    <col min="5656" max="5656" width="12.28515625" style="2" customWidth="1"/>
    <col min="5657" max="5657" width="1.5703125" style="2" customWidth="1"/>
    <col min="5658" max="5658" width="12.28515625" style="2" customWidth="1"/>
    <col min="5659" max="5659" width="1.5703125" style="2" customWidth="1"/>
    <col min="5660" max="5660" width="12.28515625" style="2" customWidth="1"/>
    <col min="5661" max="5661" width="0.85546875" style="2" customWidth="1"/>
    <col min="5662" max="5662" width="12.28515625" style="2" customWidth="1"/>
    <col min="5663" max="5663" width="1.5703125" style="2" customWidth="1"/>
    <col min="5664" max="5664" width="12.28515625" style="2" customWidth="1"/>
    <col min="5665" max="5665" width="1.5703125" style="2" customWidth="1"/>
    <col min="5666" max="5666" width="12.28515625" style="2" customWidth="1"/>
    <col min="5667" max="5667" width="4.5703125" style="2" customWidth="1"/>
    <col min="5668" max="5668" width="1.42578125" style="2" customWidth="1"/>
    <col min="5669" max="5891" width="13.85546875" style="2"/>
    <col min="5892" max="5892" width="7.85546875" style="2" customWidth="1"/>
    <col min="5893" max="5894" width="2.28515625" style="2" customWidth="1"/>
    <col min="5895" max="5895" width="31.42578125" style="2" customWidth="1"/>
    <col min="5896" max="5896" width="2.28515625" style="2" customWidth="1"/>
    <col min="5897" max="5897" width="2.140625" style="2" customWidth="1"/>
    <col min="5898" max="5898" width="12.28515625" style="2" customWidth="1"/>
    <col min="5899" max="5899" width="1.5703125" style="2" customWidth="1"/>
    <col min="5900" max="5900" width="12.28515625" style="2" customWidth="1"/>
    <col min="5901" max="5901" width="1.5703125" style="2" customWidth="1"/>
    <col min="5902" max="5902" width="12.28515625" style="2" customWidth="1"/>
    <col min="5903" max="5903" width="1.5703125" style="2" customWidth="1"/>
    <col min="5904" max="5904" width="13.5703125" style="2" customWidth="1"/>
    <col min="5905" max="5905" width="0.85546875" style="2" customWidth="1"/>
    <col min="5906" max="5906" width="12.28515625" style="2" customWidth="1"/>
    <col min="5907" max="5907" width="1.5703125" style="2" customWidth="1"/>
    <col min="5908" max="5908" width="12.28515625" style="2" customWidth="1"/>
    <col min="5909" max="5909" width="1.5703125" style="2" customWidth="1"/>
    <col min="5910" max="5910" width="12.28515625" style="2" customWidth="1"/>
    <col min="5911" max="5911" width="0.85546875" style="2" customWidth="1"/>
    <col min="5912" max="5912" width="12.28515625" style="2" customWidth="1"/>
    <col min="5913" max="5913" width="1.5703125" style="2" customWidth="1"/>
    <col min="5914" max="5914" width="12.28515625" style="2" customWidth="1"/>
    <col min="5915" max="5915" width="1.5703125" style="2" customWidth="1"/>
    <col min="5916" max="5916" width="12.28515625" style="2" customWidth="1"/>
    <col min="5917" max="5917" width="0.85546875" style="2" customWidth="1"/>
    <col min="5918" max="5918" width="12.28515625" style="2" customWidth="1"/>
    <col min="5919" max="5919" width="1.5703125" style="2" customWidth="1"/>
    <col min="5920" max="5920" width="12.28515625" style="2" customWidth="1"/>
    <col min="5921" max="5921" width="1.5703125" style="2" customWidth="1"/>
    <col min="5922" max="5922" width="12.28515625" style="2" customWidth="1"/>
    <col min="5923" max="5923" width="4.5703125" style="2" customWidth="1"/>
    <col min="5924" max="5924" width="1.42578125" style="2" customWidth="1"/>
    <col min="5925" max="6147" width="13.85546875" style="2"/>
    <col min="6148" max="6148" width="7.85546875" style="2" customWidth="1"/>
    <col min="6149" max="6150" width="2.28515625" style="2" customWidth="1"/>
    <col min="6151" max="6151" width="31.42578125" style="2" customWidth="1"/>
    <col min="6152" max="6152" width="2.28515625" style="2" customWidth="1"/>
    <col min="6153" max="6153" width="2.140625" style="2" customWidth="1"/>
    <col min="6154" max="6154" width="12.28515625" style="2" customWidth="1"/>
    <col min="6155" max="6155" width="1.5703125" style="2" customWidth="1"/>
    <col min="6156" max="6156" width="12.28515625" style="2" customWidth="1"/>
    <col min="6157" max="6157" width="1.5703125" style="2" customWidth="1"/>
    <col min="6158" max="6158" width="12.28515625" style="2" customWidth="1"/>
    <col min="6159" max="6159" width="1.5703125" style="2" customWidth="1"/>
    <col min="6160" max="6160" width="13.5703125" style="2" customWidth="1"/>
    <col min="6161" max="6161" width="0.85546875" style="2" customWidth="1"/>
    <col min="6162" max="6162" width="12.28515625" style="2" customWidth="1"/>
    <col min="6163" max="6163" width="1.5703125" style="2" customWidth="1"/>
    <col min="6164" max="6164" width="12.28515625" style="2" customWidth="1"/>
    <col min="6165" max="6165" width="1.5703125" style="2" customWidth="1"/>
    <col min="6166" max="6166" width="12.28515625" style="2" customWidth="1"/>
    <col min="6167" max="6167" width="0.85546875" style="2" customWidth="1"/>
    <col min="6168" max="6168" width="12.28515625" style="2" customWidth="1"/>
    <col min="6169" max="6169" width="1.5703125" style="2" customWidth="1"/>
    <col min="6170" max="6170" width="12.28515625" style="2" customWidth="1"/>
    <col min="6171" max="6171" width="1.5703125" style="2" customWidth="1"/>
    <col min="6172" max="6172" width="12.28515625" style="2" customWidth="1"/>
    <col min="6173" max="6173" width="0.85546875" style="2" customWidth="1"/>
    <col min="6174" max="6174" width="12.28515625" style="2" customWidth="1"/>
    <col min="6175" max="6175" width="1.5703125" style="2" customWidth="1"/>
    <col min="6176" max="6176" width="12.28515625" style="2" customWidth="1"/>
    <col min="6177" max="6177" width="1.5703125" style="2" customWidth="1"/>
    <col min="6178" max="6178" width="12.28515625" style="2" customWidth="1"/>
    <col min="6179" max="6179" width="4.5703125" style="2" customWidth="1"/>
    <col min="6180" max="6180" width="1.42578125" style="2" customWidth="1"/>
    <col min="6181" max="6403" width="13.85546875" style="2"/>
    <col min="6404" max="6404" width="7.85546875" style="2" customWidth="1"/>
    <col min="6405" max="6406" width="2.28515625" style="2" customWidth="1"/>
    <col min="6407" max="6407" width="31.42578125" style="2" customWidth="1"/>
    <col min="6408" max="6408" width="2.28515625" style="2" customWidth="1"/>
    <col min="6409" max="6409" width="2.140625" style="2" customWidth="1"/>
    <col min="6410" max="6410" width="12.28515625" style="2" customWidth="1"/>
    <col min="6411" max="6411" width="1.5703125" style="2" customWidth="1"/>
    <col min="6412" max="6412" width="12.28515625" style="2" customWidth="1"/>
    <col min="6413" max="6413" width="1.5703125" style="2" customWidth="1"/>
    <col min="6414" max="6414" width="12.28515625" style="2" customWidth="1"/>
    <col min="6415" max="6415" width="1.5703125" style="2" customWidth="1"/>
    <col min="6416" max="6416" width="13.5703125" style="2" customWidth="1"/>
    <col min="6417" max="6417" width="0.85546875" style="2" customWidth="1"/>
    <col min="6418" max="6418" width="12.28515625" style="2" customWidth="1"/>
    <col min="6419" max="6419" width="1.5703125" style="2" customWidth="1"/>
    <col min="6420" max="6420" width="12.28515625" style="2" customWidth="1"/>
    <col min="6421" max="6421" width="1.5703125" style="2" customWidth="1"/>
    <col min="6422" max="6422" width="12.28515625" style="2" customWidth="1"/>
    <col min="6423" max="6423" width="0.85546875" style="2" customWidth="1"/>
    <col min="6424" max="6424" width="12.28515625" style="2" customWidth="1"/>
    <col min="6425" max="6425" width="1.5703125" style="2" customWidth="1"/>
    <col min="6426" max="6426" width="12.28515625" style="2" customWidth="1"/>
    <col min="6427" max="6427" width="1.5703125" style="2" customWidth="1"/>
    <col min="6428" max="6428" width="12.28515625" style="2" customWidth="1"/>
    <col min="6429" max="6429" width="0.85546875" style="2" customWidth="1"/>
    <col min="6430" max="6430" width="12.28515625" style="2" customWidth="1"/>
    <col min="6431" max="6431" width="1.5703125" style="2" customWidth="1"/>
    <col min="6432" max="6432" width="12.28515625" style="2" customWidth="1"/>
    <col min="6433" max="6433" width="1.5703125" style="2" customWidth="1"/>
    <col min="6434" max="6434" width="12.28515625" style="2" customWidth="1"/>
    <col min="6435" max="6435" width="4.5703125" style="2" customWidth="1"/>
    <col min="6436" max="6436" width="1.42578125" style="2" customWidth="1"/>
    <col min="6437" max="6659" width="13.85546875" style="2"/>
    <col min="6660" max="6660" width="7.85546875" style="2" customWidth="1"/>
    <col min="6661" max="6662" width="2.28515625" style="2" customWidth="1"/>
    <col min="6663" max="6663" width="31.42578125" style="2" customWidth="1"/>
    <col min="6664" max="6664" width="2.28515625" style="2" customWidth="1"/>
    <col min="6665" max="6665" width="2.140625" style="2" customWidth="1"/>
    <col min="6666" max="6666" width="12.28515625" style="2" customWidth="1"/>
    <col min="6667" max="6667" width="1.5703125" style="2" customWidth="1"/>
    <col min="6668" max="6668" width="12.28515625" style="2" customWidth="1"/>
    <col min="6669" max="6669" width="1.5703125" style="2" customWidth="1"/>
    <col min="6670" max="6670" width="12.28515625" style="2" customWidth="1"/>
    <col min="6671" max="6671" width="1.5703125" style="2" customWidth="1"/>
    <col min="6672" max="6672" width="13.5703125" style="2" customWidth="1"/>
    <col min="6673" max="6673" width="0.85546875" style="2" customWidth="1"/>
    <col min="6674" max="6674" width="12.28515625" style="2" customWidth="1"/>
    <col min="6675" max="6675" width="1.5703125" style="2" customWidth="1"/>
    <col min="6676" max="6676" width="12.28515625" style="2" customWidth="1"/>
    <col min="6677" max="6677" width="1.5703125" style="2" customWidth="1"/>
    <col min="6678" max="6678" width="12.28515625" style="2" customWidth="1"/>
    <col min="6679" max="6679" width="0.85546875" style="2" customWidth="1"/>
    <col min="6680" max="6680" width="12.28515625" style="2" customWidth="1"/>
    <col min="6681" max="6681" width="1.5703125" style="2" customWidth="1"/>
    <col min="6682" max="6682" width="12.28515625" style="2" customWidth="1"/>
    <col min="6683" max="6683" width="1.5703125" style="2" customWidth="1"/>
    <col min="6684" max="6684" width="12.28515625" style="2" customWidth="1"/>
    <col min="6685" max="6685" width="0.85546875" style="2" customWidth="1"/>
    <col min="6686" max="6686" width="12.28515625" style="2" customWidth="1"/>
    <col min="6687" max="6687" width="1.5703125" style="2" customWidth="1"/>
    <col min="6688" max="6688" width="12.28515625" style="2" customWidth="1"/>
    <col min="6689" max="6689" width="1.5703125" style="2" customWidth="1"/>
    <col min="6690" max="6690" width="12.28515625" style="2" customWidth="1"/>
    <col min="6691" max="6691" width="4.5703125" style="2" customWidth="1"/>
    <col min="6692" max="6692" width="1.42578125" style="2" customWidth="1"/>
    <col min="6693" max="6915" width="13.85546875" style="2"/>
    <col min="6916" max="6916" width="7.85546875" style="2" customWidth="1"/>
    <col min="6917" max="6918" width="2.28515625" style="2" customWidth="1"/>
    <col min="6919" max="6919" width="31.42578125" style="2" customWidth="1"/>
    <col min="6920" max="6920" width="2.28515625" style="2" customWidth="1"/>
    <col min="6921" max="6921" width="2.140625" style="2" customWidth="1"/>
    <col min="6922" max="6922" width="12.28515625" style="2" customWidth="1"/>
    <col min="6923" max="6923" width="1.5703125" style="2" customWidth="1"/>
    <col min="6924" max="6924" width="12.28515625" style="2" customWidth="1"/>
    <col min="6925" max="6925" width="1.5703125" style="2" customWidth="1"/>
    <col min="6926" max="6926" width="12.28515625" style="2" customWidth="1"/>
    <col min="6927" max="6927" width="1.5703125" style="2" customWidth="1"/>
    <col min="6928" max="6928" width="13.5703125" style="2" customWidth="1"/>
    <col min="6929" max="6929" width="0.85546875" style="2" customWidth="1"/>
    <col min="6930" max="6930" width="12.28515625" style="2" customWidth="1"/>
    <col min="6931" max="6931" width="1.5703125" style="2" customWidth="1"/>
    <col min="6932" max="6932" width="12.28515625" style="2" customWidth="1"/>
    <col min="6933" max="6933" width="1.5703125" style="2" customWidth="1"/>
    <col min="6934" max="6934" width="12.28515625" style="2" customWidth="1"/>
    <col min="6935" max="6935" width="0.85546875" style="2" customWidth="1"/>
    <col min="6936" max="6936" width="12.28515625" style="2" customWidth="1"/>
    <col min="6937" max="6937" width="1.5703125" style="2" customWidth="1"/>
    <col min="6938" max="6938" width="12.28515625" style="2" customWidth="1"/>
    <col min="6939" max="6939" width="1.5703125" style="2" customWidth="1"/>
    <col min="6940" max="6940" width="12.28515625" style="2" customWidth="1"/>
    <col min="6941" max="6941" width="0.85546875" style="2" customWidth="1"/>
    <col min="6942" max="6942" width="12.28515625" style="2" customWidth="1"/>
    <col min="6943" max="6943" width="1.5703125" style="2" customWidth="1"/>
    <col min="6944" max="6944" width="12.28515625" style="2" customWidth="1"/>
    <col min="6945" max="6945" width="1.5703125" style="2" customWidth="1"/>
    <col min="6946" max="6946" width="12.28515625" style="2" customWidth="1"/>
    <col min="6947" max="6947" width="4.5703125" style="2" customWidth="1"/>
    <col min="6948" max="6948" width="1.42578125" style="2" customWidth="1"/>
    <col min="6949" max="7171" width="13.85546875" style="2"/>
    <col min="7172" max="7172" width="7.85546875" style="2" customWidth="1"/>
    <col min="7173" max="7174" width="2.28515625" style="2" customWidth="1"/>
    <col min="7175" max="7175" width="31.42578125" style="2" customWidth="1"/>
    <col min="7176" max="7176" width="2.28515625" style="2" customWidth="1"/>
    <col min="7177" max="7177" width="2.140625" style="2" customWidth="1"/>
    <col min="7178" max="7178" width="12.28515625" style="2" customWidth="1"/>
    <col min="7179" max="7179" width="1.5703125" style="2" customWidth="1"/>
    <col min="7180" max="7180" width="12.28515625" style="2" customWidth="1"/>
    <col min="7181" max="7181" width="1.5703125" style="2" customWidth="1"/>
    <col min="7182" max="7182" width="12.28515625" style="2" customWidth="1"/>
    <col min="7183" max="7183" width="1.5703125" style="2" customWidth="1"/>
    <col min="7184" max="7184" width="13.5703125" style="2" customWidth="1"/>
    <col min="7185" max="7185" width="0.85546875" style="2" customWidth="1"/>
    <col min="7186" max="7186" width="12.28515625" style="2" customWidth="1"/>
    <col min="7187" max="7187" width="1.5703125" style="2" customWidth="1"/>
    <col min="7188" max="7188" width="12.28515625" style="2" customWidth="1"/>
    <col min="7189" max="7189" width="1.5703125" style="2" customWidth="1"/>
    <col min="7190" max="7190" width="12.28515625" style="2" customWidth="1"/>
    <col min="7191" max="7191" width="0.85546875" style="2" customWidth="1"/>
    <col min="7192" max="7192" width="12.28515625" style="2" customWidth="1"/>
    <col min="7193" max="7193" width="1.5703125" style="2" customWidth="1"/>
    <col min="7194" max="7194" width="12.28515625" style="2" customWidth="1"/>
    <col min="7195" max="7195" width="1.5703125" style="2" customWidth="1"/>
    <col min="7196" max="7196" width="12.28515625" style="2" customWidth="1"/>
    <col min="7197" max="7197" width="0.85546875" style="2" customWidth="1"/>
    <col min="7198" max="7198" width="12.28515625" style="2" customWidth="1"/>
    <col min="7199" max="7199" width="1.5703125" style="2" customWidth="1"/>
    <col min="7200" max="7200" width="12.28515625" style="2" customWidth="1"/>
    <col min="7201" max="7201" width="1.5703125" style="2" customWidth="1"/>
    <col min="7202" max="7202" width="12.28515625" style="2" customWidth="1"/>
    <col min="7203" max="7203" width="4.5703125" style="2" customWidth="1"/>
    <col min="7204" max="7204" width="1.42578125" style="2" customWidth="1"/>
    <col min="7205" max="7427" width="13.85546875" style="2"/>
    <col min="7428" max="7428" width="7.85546875" style="2" customWidth="1"/>
    <col min="7429" max="7430" width="2.28515625" style="2" customWidth="1"/>
    <col min="7431" max="7431" width="31.42578125" style="2" customWidth="1"/>
    <col min="7432" max="7432" width="2.28515625" style="2" customWidth="1"/>
    <col min="7433" max="7433" width="2.140625" style="2" customWidth="1"/>
    <col min="7434" max="7434" width="12.28515625" style="2" customWidth="1"/>
    <col min="7435" max="7435" width="1.5703125" style="2" customWidth="1"/>
    <col min="7436" max="7436" width="12.28515625" style="2" customWidth="1"/>
    <col min="7437" max="7437" width="1.5703125" style="2" customWidth="1"/>
    <col min="7438" max="7438" width="12.28515625" style="2" customWidth="1"/>
    <col min="7439" max="7439" width="1.5703125" style="2" customWidth="1"/>
    <col min="7440" max="7440" width="13.5703125" style="2" customWidth="1"/>
    <col min="7441" max="7441" width="0.85546875" style="2" customWidth="1"/>
    <col min="7442" max="7442" width="12.28515625" style="2" customWidth="1"/>
    <col min="7443" max="7443" width="1.5703125" style="2" customWidth="1"/>
    <col min="7444" max="7444" width="12.28515625" style="2" customWidth="1"/>
    <col min="7445" max="7445" width="1.5703125" style="2" customWidth="1"/>
    <col min="7446" max="7446" width="12.28515625" style="2" customWidth="1"/>
    <col min="7447" max="7447" width="0.85546875" style="2" customWidth="1"/>
    <col min="7448" max="7448" width="12.28515625" style="2" customWidth="1"/>
    <col min="7449" max="7449" width="1.5703125" style="2" customWidth="1"/>
    <col min="7450" max="7450" width="12.28515625" style="2" customWidth="1"/>
    <col min="7451" max="7451" width="1.5703125" style="2" customWidth="1"/>
    <col min="7452" max="7452" width="12.28515625" style="2" customWidth="1"/>
    <col min="7453" max="7453" width="0.85546875" style="2" customWidth="1"/>
    <col min="7454" max="7454" width="12.28515625" style="2" customWidth="1"/>
    <col min="7455" max="7455" width="1.5703125" style="2" customWidth="1"/>
    <col min="7456" max="7456" width="12.28515625" style="2" customWidth="1"/>
    <col min="7457" max="7457" width="1.5703125" style="2" customWidth="1"/>
    <col min="7458" max="7458" width="12.28515625" style="2" customWidth="1"/>
    <col min="7459" max="7459" width="4.5703125" style="2" customWidth="1"/>
    <col min="7460" max="7460" width="1.42578125" style="2" customWidth="1"/>
    <col min="7461" max="7683" width="13.85546875" style="2"/>
    <col min="7684" max="7684" width="7.85546875" style="2" customWidth="1"/>
    <col min="7685" max="7686" width="2.28515625" style="2" customWidth="1"/>
    <col min="7687" max="7687" width="31.42578125" style="2" customWidth="1"/>
    <col min="7688" max="7688" width="2.28515625" style="2" customWidth="1"/>
    <col min="7689" max="7689" width="2.140625" style="2" customWidth="1"/>
    <col min="7690" max="7690" width="12.28515625" style="2" customWidth="1"/>
    <col min="7691" max="7691" width="1.5703125" style="2" customWidth="1"/>
    <col min="7692" max="7692" width="12.28515625" style="2" customWidth="1"/>
    <col min="7693" max="7693" width="1.5703125" style="2" customWidth="1"/>
    <col min="7694" max="7694" width="12.28515625" style="2" customWidth="1"/>
    <col min="7695" max="7695" width="1.5703125" style="2" customWidth="1"/>
    <col min="7696" max="7696" width="13.5703125" style="2" customWidth="1"/>
    <col min="7697" max="7697" width="0.85546875" style="2" customWidth="1"/>
    <col min="7698" max="7698" width="12.28515625" style="2" customWidth="1"/>
    <col min="7699" max="7699" width="1.5703125" style="2" customWidth="1"/>
    <col min="7700" max="7700" width="12.28515625" style="2" customWidth="1"/>
    <col min="7701" max="7701" width="1.5703125" style="2" customWidth="1"/>
    <col min="7702" max="7702" width="12.28515625" style="2" customWidth="1"/>
    <col min="7703" max="7703" width="0.85546875" style="2" customWidth="1"/>
    <col min="7704" max="7704" width="12.28515625" style="2" customWidth="1"/>
    <col min="7705" max="7705" width="1.5703125" style="2" customWidth="1"/>
    <col min="7706" max="7706" width="12.28515625" style="2" customWidth="1"/>
    <col min="7707" max="7707" width="1.5703125" style="2" customWidth="1"/>
    <col min="7708" max="7708" width="12.28515625" style="2" customWidth="1"/>
    <col min="7709" max="7709" width="0.85546875" style="2" customWidth="1"/>
    <col min="7710" max="7710" width="12.28515625" style="2" customWidth="1"/>
    <col min="7711" max="7711" width="1.5703125" style="2" customWidth="1"/>
    <col min="7712" max="7712" width="12.28515625" style="2" customWidth="1"/>
    <col min="7713" max="7713" width="1.5703125" style="2" customWidth="1"/>
    <col min="7714" max="7714" width="12.28515625" style="2" customWidth="1"/>
    <col min="7715" max="7715" width="4.5703125" style="2" customWidth="1"/>
    <col min="7716" max="7716" width="1.42578125" style="2" customWidth="1"/>
    <col min="7717" max="7939" width="13.85546875" style="2"/>
    <col min="7940" max="7940" width="7.85546875" style="2" customWidth="1"/>
    <col min="7941" max="7942" width="2.28515625" style="2" customWidth="1"/>
    <col min="7943" max="7943" width="31.42578125" style="2" customWidth="1"/>
    <col min="7944" max="7944" width="2.28515625" style="2" customWidth="1"/>
    <col min="7945" max="7945" width="2.140625" style="2" customWidth="1"/>
    <col min="7946" max="7946" width="12.28515625" style="2" customWidth="1"/>
    <col min="7947" max="7947" width="1.5703125" style="2" customWidth="1"/>
    <col min="7948" max="7948" width="12.28515625" style="2" customWidth="1"/>
    <col min="7949" max="7949" width="1.5703125" style="2" customWidth="1"/>
    <col min="7950" max="7950" width="12.28515625" style="2" customWidth="1"/>
    <col min="7951" max="7951" width="1.5703125" style="2" customWidth="1"/>
    <col min="7952" max="7952" width="13.5703125" style="2" customWidth="1"/>
    <col min="7953" max="7953" width="0.85546875" style="2" customWidth="1"/>
    <col min="7954" max="7954" width="12.28515625" style="2" customWidth="1"/>
    <col min="7955" max="7955" width="1.5703125" style="2" customWidth="1"/>
    <col min="7956" max="7956" width="12.28515625" style="2" customWidth="1"/>
    <col min="7957" max="7957" width="1.5703125" style="2" customWidth="1"/>
    <col min="7958" max="7958" width="12.28515625" style="2" customWidth="1"/>
    <col min="7959" max="7959" width="0.85546875" style="2" customWidth="1"/>
    <col min="7960" max="7960" width="12.28515625" style="2" customWidth="1"/>
    <col min="7961" max="7961" width="1.5703125" style="2" customWidth="1"/>
    <col min="7962" max="7962" width="12.28515625" style="2" customWidth="1"/>
    <col min="7963" max="7963" width="1.5703125" style="2" customWidth="1"/>
    <col min="7964" max="7964" width="12.28515625" style="2" customWidth="1"/>
    <col min="7965" max="7965" width="0.85546875" style="2" customWidth="1"/>
    <col min="7966" max="7966" width="12.28515625" style="2" customWidth="1"/>
    <col min="7967" max="7967" width="1.5703125" style="2" customWidth="1"/>
    <col min="7968" max="7968" width="12.28515625" style="2" customWidth="1"/>
    <col min="7969" max="7969" width="1.5703125" style="2" customWidth="1"/>
    <col min="7970" max="7970" width="12.28515625" style="2" customWidth="1"/>
    <col min="7971" max="7971" width="4.5703125" style="2" customWidth="1"/>
    <col min="7972" max="7972" width="1.42578125" style="2" customWidth="1"/>
    <col min="7973" max="8195" width="13.85546875" style="2"/>
    <col min="8196" max="8196" width="7.85546875" style="2" customWidth="1"/>
    <col min="8197" max="8198" width="2.28515625" style="2" customWidth="1"/>
    <col min="8199" max="8199" width="31.42578125" style="2" customWidth="1"/>
    <col min="8200" max="8200" width="2.28515625" style="2" customWidth="1"/>
    <col min="8201" max="8201" width="2.140625" style="2" customWidth="1"/>
    <col min="8202" max="8202" width="12.28515625" style="2" customWidth="1"/>
    <col min="8203" max="8203" width="1.5703125" style="2" customWidth="1"/>
    <col min="8204" max="8204" width="12.28515625" style="2" customWidth="1"/>
    <col min="8205" max="8205" width="1.5703125" style="2" customWidth="1"/>
    <col min="8206" max="8206" width="12.28515625" style="2" customWidth="1"/>
    <col min="8207" max="8207" width="1.5703125" style="2" customWidth="1"/>
    <col min="8208" max="8208" width="13.5703125" style="2" customWidth="1"/>
    <col min="8209" max="8209" width="0.85546875" style="2" customWidth="1"/>
    <col min="8210" max="8210" width="12.28515625" style="2" customWidth="1"/>
    <col min="8211" max="8211" width="1.5703125" style="2" customWidth="1"/>
    <col min="8212" max="8212" width="12.28515625" style="2" customWidth="1"/>
    <col min="8213" max="8213" width="1.5703125" style="2" customWidth="1"/>
    <col min="8214" max="8214" width="12.28515625" style="2" customWidth="1"/>
    <col min="8215" max="8215" width="0.85546875" style="2" customWidth="1"/>
    <col min="8216" max="8216" width="12.28515625" style="2" customWidth="1"/>
    <col min="8217" max="8217" width="1.5703125" style="2" customWidth="1"/>
    <col min="8218" max="8218" width="12.28515625" style="2" customWidth="1"/>
    <col min="8219" max="8219" width="1.5703125" style="2" customWidth="1"/>
    <col min="8220" max="8220" width="12.28515625" style="2" customWidth="1"/>
    <col min="8221" max="8221" width="0.85546875" style="2" customWidth="1"/>
    <col min="8222" max="8222" width="12.28515625" style="2" customWidth="1"/>
    <col min="8223" max="8223" width="1.5703125" style="2" customWidth="1"/>
    <col min="8224" max="8224" width="12.28515625" style="2" customWidth="1"/>
    <col min="8225" max="8225" width="1.5703125" style="2" customWidth="1"/>
    <col min="8226" max="8226" width="12.28515625" style="2" customWidth="1"/>
    <col min="8227" max="8227" width="4.5703125" style="2" customWidth="1"/>
    <col min="8228" max="8228" width="1.42578125" style="2" customWidth="1"/>
    <col min="8229" max="8451" width="13.85546875" style="2"/>
    <col min="8452" max="8452" width="7.85546875" style="2" customWidth="1"/>
    <col min="8453" max="8454" width="2.28515625" style="2" customWidth="1"/>
    <col min="8455" max="8455" width="31.42578125" style="2" customWidth="1"/>
    <col min="8456" max="8456" width="2.28515625" style="2" customWidth="1"/>
    <col min="8457" max="8457" width="2.140625" style="2" customWidth="1"/>
    <col min="8458" max="8458" width="12.28515625" style="2" customWidth="1"/>
    <col min="8459" max="8459" width="1.5703125" style="2" customWidth="1"/>
    <col min="8460" max="8460" width="12.28515625" style="2" customWidth="1"/>
    <col min="8461" max="8461" width="1.5703125" style="2" customWidth="1"/>
    <col min="8462" max="8462" width="12.28515625" style="2" customWidth="1"/>
    <col min="8463" max="8463" width="1.5703125" style="2" customWidth="1"/>
    <col min="8464" max="8464" width="13.5703125" style="2" customWidth="1"/>
    <col min="8465" max="8465" width="0.85546875" style="2" customWidth="1"/>
    <col min="8466" max="8466" width="12.28515625" style="2" customWidth="1"/>
    <col min="8467" max="8467" width="1.5703125" style="2" customWidth="1"/>
    <col min="8468" max="8468" width="12.28515625" style="2" customWidth="1"/>
    <col min="8469" max="8469" width="1.5703125" style="2" customWidth="1"/>
    <col min="8470" max="8470" width="12.28515625" style="2" customWidth="1"/>
    <col min="8471" max="8471" width="0.85546875" style="2" customWidth="1"/>
    <col min="8472" max="8472" width="12.28515625" style="2" customWidth="1"/>
    <col min="8473" max="8473" width="1.5703125" style="2" customWidth="1"/>
    <col min="8474" max="8474" width="12.28515625" style="2" customWidth="1"/>
    <col min="8475" max="8475" width="1.5703125" style="2" customWidth="1"/>
    <col min="8476" max="8476" width="12.28515625" style="2" customWidth="1"/>
    <col min="8477" max="8477" width="0.85546875" style="2" customWidth="1"/>
    <col min="8478" max="8478" width="12.28515625" style="2" customWidth="1"/>
    <col min="8479" max="8479" width="1.5703125" style="2" customWidth="1"/>
    <col min="8480" max="8480" width="12.28515625" style="2" customWidth="1"/>
    <col min="8481" max="8481" width="1.5703125" style="2" customWidth="1"/>
    <col min="8482" max="8482" width="12.28515625" style="2" customWidth="1"/>
    <col min="8483" max="8483" width="4.5703125" style="2" customWidth="1"/>
    <col min="8484" max="8484" width="1.42578125" style="2" customWidth="1"/>
    <col min="8485" max="8707" width="13.85546875" style="2"/>
    <col min="8708" max="8708" width="7.85546875" style="2" customWidth="1"/>
    <col min="8709" max="8710" width="2.28515625" style="2" customWidth="1"/>
    <col min="8711" max="8711" width="31.42578125" style="2" customWidth="1"/>
    <col min="8712" max="8712" width="2.28515625" style="2" customWidth="1"/>
    <col min="8713" max="8713" width="2.140625" style="2" customWidth="1"/>
    <col min="8714" max="8714" width="12.28515625" style="2" customWidth="1"/>
    <col min="8715" max="8715" width="1.5703125" style="2" customWidth="1"/>
    <col min="8716" max="8716" width="12.28515625" style="2" customWidth="1"/>
    <col min="8717" max="8717" width="1.5703125" style="2" customWidth="1"/>
    <col min="8718" max="8718" width="12.28515625" style="2" customWidth="1"/>
    <col min="8719" max="8719" width="1.5703125" style="2" customWidth="1"/>
    <col min="8720" max="8720" width="13.5703125" style="2" customWidth="1"/>
    <col min="8721" max="8721" width="0.85546875" style="2" customWidth="1"/>
    <col min="8722" max="8722" width="12.28515625" style="2" customWidth="1"/>
    <col min="8723" max="8723" width="1.5703125" style="2" customWidth="1"/>
    <col min="8724" max="8724" width="12.28515625" style="2" customWidth="1"/>
    <col min="8725" max="8725" width="1.5703125" style="2" customWidth="1"/>
    <col min="8726" max="8726" width="12.28515625" style="2" customWidth="1"/>
    <col min="8727" max="8727" width="0.85546875" style="2" customWidth="1"/>
    <col min="8728" max="8728" width="12.28515625" style="2" customWidth="1"/>
    <col min="8729" max="8729" width="1.5703125" style="2" customWidth="1"/>
    <col min="8730" max="8730" width="12.28515625" style="2" customWidth="1"/>
    <col min="8731" max="8731" width="1.5703125" style="2" customWidth="1"/>
    <col min="8732" max="8732" width="12.28515625" style="2" customWidth="1"/>
    <col min="8733" max="8733" width="0.85546875" style="2" customWidth="1"/>
    <col min="8734" max="8734" width="12.28515625" style="2" customWidth="1"/>
    <col min="8735" max="8735" width="1.5703125" style="2" customWidth="1"/>
    <col min="8736" max="8736" width="12.28515625" style="2" customWidth="1"/>
    <col min="8737" max="8737" width="1.5703125" style="2" customWidth="1"/>
    <col min="8738" max="8738" width="12.28515625" style="2" customWidth="1"/>
    <col min="8739" max="8739" width="4.5703125" style="2" customWidth="1"/>
    <col min="8740" max="8740" width="1.42578125" style="2" customWidth="1"/>
    <col min="8741" max="8963" width="13.85546875" style="2"/>
    <col min="8964" max="8964" width="7.85546875" style="2" customWidth="1"/>
    <col min="8965" max="8966" width="2.28515625" style="2" customWidth="1"/>
    <col min="8967" max="8967" width="31.42578125" style="2" customWidth="1"/>
    <col min="8968" max="8968" width="2.28515625" style="2" customWidth="1"/>
    <col min="8969" max="8969" width="2.140625" style="2" customWidth="1"/>
    <col min="8970" max="8970" width="12.28515625" style="2" customWidth="1"/>
    <col min="8971" max="8971" width="1.5703125" style="2" customWidth="1"/>
    <col min="8972" max="8972" width="12.28515625" style="2" customWidth="1"/>
    <col min="8973" max="8973" width="1.5703125" style="2" customWidth="1"/>
    <col min="8974" max="8974" width="12.28515625" style="2" customWidth="1"/>
    <col min="8975" max="8975" width="1.5703125" style="2" customWidth="1"/>
    <col min="8976" max="8976" width="13.5703125" style="2" customWidth="1"/>
    <col min="8977" max="8977" width="0.85546875" style="2" customWidth="1"/>
    <col min="8978" max="8978" width="12.28515625" style="2" customWidth="1"/>
    <col min="8979" max="8979" width="1.5703125" style="2" customWidth="1"/>
    <col min="8980" max="8980" width="12.28515625" style="2" customWidth="1"/>
    <col min="8981" max="8981" width="1.5703125" style="2" customWidth="1"/>
    <col min="8982" max="8982" width="12.28515625" style="2" customWidth="1"/>
    <col min="8983" max="8983" width="0.85546875" style="2" customWidth="1"/>
    <col min="8984" max="8984" width="12.28515625" style="2" customWidth="1"/>
    <col min="8985" max="8985" width="1.5703125" style="2" customWidth="1"/>
    <col min="8986" max="8986" width="12.28515625" style="2" customWidth="1"/>
    <col min="8987" max="8987" width="1.5703125" style="2" customWidth="1"/>
    <col min="8988" max="8988" width="12.28515625" style="2" customWidth="1"/>
    <col min="8989" max="8989" width="0.85546875" style="2" customWidth="1"/>
    <col min="8990" max="8990" width="12.28515625" style="2" customWidth="1"/>
    <col min="8991" max="8991" width="1.5703125" style="2" customWidth="1"/>
    <col min="8992" max="8992" width="12.28515625" style="2" customWidth="1"/>
    <col min="8993" max="8993" width="1.5703125" style="2" customWidth="1"/>
    <col min="8994" max="8994" width="12.28515625" style="2" customWidth="1"/>
    <col min="8995" max="8995" width="4.5703125" style="2" customWidth="1"/>
    <col min="8996" max="8996" width="1.42578125" style="2" customWidth="1"/>
    <col min="8997" max="9219" width="13.85546875" style="2"/>
    <col min="9220" max="9220" width="7.85546875" style="2" customWidth="1"/>
    <col min="9221" max="9222" width="2.28515625" style="2" customWidth="1"/>
    <col min="9223" max="9223" width="31.42578125" style="2" customWidth="1"/>
    <col min="9224" max="9224" width="2.28515625" style="2" customWidth="1"/>
    <col min="9225" max="9225" width="2.140625" style="2" customWidth="1"/>
    <col min="9226" max="9226" width="12.28515625" style="2" customWidth="1"/>
    <col min="9227" max="9227" width="1.5703125" style="2" customWidth="1"/>
    <col min="9228" max="9228" width="12.28515625" style="2" customWidth="1"/>
    <col min="9229" max="9229" width="1.5703125" style="2" customWidth="1"/>
    <col min="9230" max="9230" width="12.28515625" style="2" customWidth="1"/>
    <col min="9231" max="9231" width="1.5703125" style="2" customWidth="1"/>
    <col min="9232" max="9232" width="13.5703125" style="2" customWidth="1"/>
    <col min="9233" max="9233" width="0.85546875" style="2" customWidth="1"/>
    <col min="9234" max="9234" width="12.28515625" style="2" customWidth="1"/>
    <col min="9235" max="9235" width="1.5703125" style="2" customWidth="1"/>
    <col min="9236" max="9236" width="12.28515625" style="2" customWidth="1"/>
    <col min="9237" max="9237" width="1.5703125" style="2" customWidth="1"/>
    <col min="9238" max="9238" width="12.28515625" style="2" customWidth="1"/>
    <col min="9239" max="9239" width="0.85546875" style="2" customWidth="1"/>
    <col min="9240" max="9240" width="12.28515625" style="2" customWidth="1"/>
    <col min="9241" max="9241" width="1.5703125" style="2" customWidth="1"/>
    <col min="9242" max="9242" width="12.28515625" style="2" customWidth="1"/>
    <col min="9243" max="9243" width="1.5703125" style="2" customWidth="1"/>
    <col min="9244" max="9244" width="12.28515625" style="2" customWidth="1"/>
    <col min="9245" max="9245" width="0.85546875" style="2" customWidth="1"/>
    <col min="9246" max="9246" width="12.28515625" style="2" customWidth="1"/>
    <col min="9247" max="9247" width="1.5703125" style="2" customWidth="1"/>
    <col min="9248" max="9248" width="12.28515625" style="2" customWidth="1"/>
    <col min="9249" max="9249" width="1.5703125" style="2" customWidth="1"/>
    <col min="9250" max="9250" width="12.28515625" style="2" customWidth="1"/>
    <col min="9251" max="9251" width="4.5703125" style="2" customWidth="1"/>
    <col min="9252" max="9252" width="1.42578125" style="2" customWidth="1"/>
    <col min="9253" max="9475" width="13.85546875" style="2"/>
    <col min="9476" max="9476" width="7.85546875" style="2" customWidth="1"/>
    <col min="9477" max="9478" width="2.28515625" style="2" customWidth="1"/>
    <col min="9479" max="9479" width="31.42578125" style="2" customWidth="1"/>
    <col min="9480" max="9480" width="2.28515625" style="2" customWidth="1"/>
    <col min="9481" max="9481" width="2.140625" style="2" customWidth="1"/>
    <col min="9482" max="9482" width="12.28515625" style="2" customWidth="1"/>
    <col min="9483" max="9483" width="1.5703125" style="2" customWidth="1"/>
    <col min="9484" max="9484" width="12.28515625" style="2" customWidth="1"/>
    <col min="9485" max="9485" width="1.5703125" style="2" customWidth="1"/>
    <col min="9486" max="9486" width="12.28515625" style="2" customWidth="1"/>
    <col min="9487" max="9487" width="1.5703125" style="2" customWidth="1"/>
    <col min="9488" max="9488" width="13.5703125" style="2" customWidth="1"/>
    <col min="9489" max="9489" width="0.85546875" style="2" customWidth="1"/>
    <col min="9490" max="9490" width="12.28515625" style="2" customWidth="1"/>
    <col min="9491" max="9491" width="1.5703125" style="2" customWidth="1"/>
    <col min="9492" max="9492" width="12.28515625" style="2" customWidth="1"/>
    <col min="9493" max="9493" width="1.5703125" style="2" customWidth="1"/>
    <col min="9494" max="9494" width="12.28515625" style="2" customWidth="1"/>
    <col min="9495" max="9495" width="0.85546875" style="2" customWidth="1"/>
    <col min="9496" max="9496" width="12.28515625" style="2" customWidth="1"/>
    <col min="9497" max="9497" width="1.5703125" style="2" customWidth="1"/>
    <col min="9498" max="9498" width="12.28515625" style="2" customWidth="1"/>
    <col min="9499" max="9499" width="1.5703125" style="2" customWidth="1"/>
    <col min="9500" max="9500" width="12.28515625" style="2" customWidth="1"/>
    <col min="9501" max="9501" width="0.85546875" style="2" customWidth="1"/>
    <col min="9502" max="9502" width="12.28515625" style="2" customWidth="1"/>
    <col min="9503" max="9503" width="1.5703125" style="2" customWidth="1"/>
    <col min="9504" max="9504" width="12.28515625" style="2" customWidth="1"/>
    <col min="9505" max="9505" width="1.5703125" style="2" customWidth="1"/>
    <col min="9506" max="9506" width="12.28515625" style="2" customWidth="1"/>
    <col min="9507" max="9507" width="4.5703125" style="2" customWidth="1"/>
    <col min="9508" max="9508" width="1.42578125" style="2" customWidth="1"/>
    <col min="9509" max="9731" width="13.85546875" style="2"/>
    <col min="9732" max="9732" width="7.85546875" style="2" customWidth="1"/>
    <col min="9733" max="9734" width="2.28515625" style="2" customWidth="1"/>
    <col min="9735" max="9735" width="31.42578125" style="2" customWidth="1"/>
    <col min="9736" max="9736" width="2.28515625" style="2" customWidth="1"/>
    <col min="9737" max="9737" width="2.140625" style="2" customWidth="1"/>
    <col min="9738" max="9738" width="12.28515625" style="2" customWidth="1"/>
    <col min="9739" max="9739" width="1.5703125" style="2" customWidth="1"/>
    <col min="9740" max="9740" width="12.28515625" style="2" customWidth="1"/>
    <col min="9741" max="9741" width="1.5703125" style="2" customWidth="1"/>
    <col min="9742" max="9742" width="12.28515625" style="2" customWidth="1"/>
    <col min="9743" max="9743" width="1.5703125" style="2" customWidth="1"/>
    <col min="9744" max="9744" width="13.5703125" style="2" customWidth="1"/>
    <col min="9745" max="9745" width="0.85546875" style="2" customWidth="1"/>
    <col min="9746" max="9746" width="12.28515625" style="2" customWidth="1"/>
    <col min="9747" max="9747" width="1.5703125" style="2" customWidth="1"/>
    <col min="9748" max="9748" width="12.28515625" style="2" customWidth="1"/>
    <col min="9749" max="9749" width="1.5703125" style="2" customWidth="1"/>
    <col min="9750" max="9750" width="12.28515625" style="2" customWidth="1"/>
    <col min="9751" max="9751" width="0.85546875" style="2" customWidth="1"/>
    <col min="9752" max="9752" width="12.28515625" style="2" customWidth="1"/>
    <col min="9753" max="9753" width="1.5703125" style="2" customWidth="1"/>
    <col min="9754" max="9754" width="12.28515625" style="2" customWidth="1"/>
    <col min="9755" max="9755" width="1.5703125" style="2" customWidth="1"/>
    <col min="9756" max="9756" width="12.28515625" style="2" customWidth="1"/>
    <col min="9757" max="9757" width="0.85546875" style="2" customWidth="1"/>
    <col min="9758" max="9758" width="12.28515625" style="2" customWidth="1"/>
    <col min="9759" max="9759" width="1.5703125" style="2" customWidth="1"/>
    <col min="9760" max="9760" width="12.28515625" style="2" customWidth="1"/>
    <col min="9761" max="9761" width="1.5703125" style="2" customWidth="1"/>
    <col min="9762" max="9762" width="12.28515625" style="2" customWidth="1"/>
    <col min="9763" max="9763" width="4.5703125" style="2" customWidth="1"/>
    <col min="9764" max="9764" width="1.42578125" style="2" customWidth="1"/>
    <col min="9765" max="9987" width="13.85546875" style="2"/>
    <col min="9988" max="9988" width="7.85546875" style="2" customWidth="1"/>
    <col min="9989" max="9990" width="2.28515625" style="2" customWidth="1"/>
    <col min="9991" max="9991" width="31.42578125" style="2" customWidth="1"/>
    <col min="9992" max="9992" width="2.28515625" style="2" customWidth="1"/>
    <col min="9993" max="9993" width="2.140625" style="2" customWidth="1"/>
    <col min="9994" max="9994" width="12.28515625" style="2" customWidth="1"/>
    <col min="9995" max="9995" width="1.5703125" style="2" customWidth="1"/>
    <col min="9996" max="9996" width="12.28515625" style="2" customWidth="1"/>
    <col min="9997" max="9997" width="1.5703125" style="2" customWidth="1"/>
    <col min="9998" max="9998" width="12.28515625" style="2" customWidth="1"/>
    <col min="9999" max="9999" width="1.5703125" style="2" customWidth="1"/>
    <col min="10000" max="10000" width="13.5703125" style="2" customWidth="1"/>
    <col min="10001" max="10001" width="0.85546875" style="2" customWidth="1"/>
    <col min="10002" max="10002" width="12.28515625" style="2" customWidth="1"/>
    <col min="10003" max="10003" width="1.5703125" style="2" customWidth="1"/>
    <col min="10004" max="10004" width="12.28515625" style="2" customWidth="1"/>
    <col min="10005" max="10005" width="1.5703125" style="2" customWidth="1"/>
    <col min="10006" max="10006" width="12.28515625" style="2" customWidth="1"/>
    <col min="10007" max="10007" width="0.85546875" style="2" customWidth="1"/>
    <col min="10008" max="10008" width="12.28515625" style="2" customWidth="1"/>
    <col min="10009" max="10009" width="1.5703125" style="2" customWidth="1"/>
    <col min="10010" max="10010" width="12.28515625" style="2" customWidth="1"/>
    <col min="10011" max="10011" width="1.5703125" style="2" customWidth="1"/>
    <col min="10012" max="10012" width="12.28515625" style="2" customWidth="1"/>
    <col min="10013" max="10013" width="0.85546875" style="2" customWidth="1"/>
    <col min="10014" max="10014" width="12.28515625" style="2" customWidth="1"/>
    <col min="10015" max="10015" width="1.5703125" style="2" customWidth="1"/>
    <col min="10016" max="10016" width="12.28515625" style="2" customWidth="1"/>
    <col min="10017" max="10017" width="1.5703125" style="2" customWidth="1"/>
    <col min="10018" max="10018" width="12.28515625" style="2" customWidth="1"/>
    <col min="10019" max="10019" width="4.5703125" style="2" customWidth="1"/>
    <col min="10020" max="10020" width="1.42578125" style="2" customWidth="1"/>
    <col min="10021" max="10243" width="13.85546875" style="2"/>
    <col min="10244" max="10244" width="7.85546875" style="2" customWidth="1"/>
    <col min="10245" max="10246" width="2.28515625" style="2" customWidth="1"/>
    <col min="10247" max="10247" width="31.42578125" style="2" customWidth="1"/>
    <col min="10248" max="10248" width="2.28515625" style="2" customWidth="1"/>
    <col min="10249" max="10249" width="2.140625" style="2" customWidth="1"/>
    <col min="10250" max="10250" width="12.28515625" style="2" customWidth="1"/>
    <col min="10251" max="10251" width="1.5703125" style="2" customWidth="1"/>
    <col min="10252" max="10252" width="12.28515625" style="2" customWidth="1"/>
    <col min="10253" max="10253" width="1.5703125" style="2" customWidth="1"/>
    <col min="10254" max="10254" width="12.28515625" style="2" customWidth="1"/>
    <col min="10255" max="10255" width="1.5703125" style="2" customWidth="1"/>
    <col min="10256" max="10256" width="13.5703125" style="2" customWidth="1"/>
    <col min="10257" max="10257" width="0.85546875" style="2" customWidth="1"/>
    <col min="10258" max="10258" width="12.28515625" style="2" customWidth="1"/>
    <col min="10259" max="10259" width="1.5703125" style="2" customWidth="1"/>
    <col min="10260" max="10260" width="12.28515625" style="2" customWidth="1"/>
    <col min="10261" max="10261" width="1.5703125" style="2" customWidth="1"/>
    <col min="10262" max="10262" width="12.28515625" style="2" customWidth="1"/>
    <col min="10263" max="10263" width="0.85546875" style="2" customWidth="1"/>
    <col min="10264" max="10264" width="12.28515625" style="2" customWidth="1"/>
    <col min="10265" max="10265" width="1.5703125" style="2" customWidth="1"/>
    <col min="10266" max="10266" width="12.28515625" style="2" customWidth="1"/>
    <col min="10267" max="10267" width="1.5703125" style="2" customWidth="1"/>
    <col min="10268" max="10268" width="12.28515625" style="2" customWidth="1"/>
    <col min="10269" max="10269" width="0.85546875" style="2" customWidth="1"/>
    <col min="10270" max="10270" width="12.28515625" style="2" customWidth="1"/>
    <col min="10271" max="10271" width="1.5703125" style="2" customWidth="1"/>
    <col min="10272" max="10272" width="12.28515625" style="2" customWidth="1"/>
    <col min="10273" max="10273" width="1.5703125" style="2" customWidth="1"/>
    <col min="10274" max="10274" width="12.28515625" style="2" customWidth="1"/>
    <col min="10275" max="10275" width="4.5703125" style="2" customWidth="1"/>
    <col min="10276" max="10276" width="1.42578125" style="2" customWidth="1"/>
    <col min="10277" max="10499" width="13.85546875" style="2"/>
    <col min="10500" max="10500" width="7.85546875" style="2" customWidth="1"/>
    <col min="10501" max="10502" width="2.28515625" style="2" customWidth="1"/>
    <col min="10503" max="10503" width="31.42578125" style="2" customWidth="1"/>
    <col min="10504" max="10504" width="2.28515625" style="2" customWidth="1"/>
    <col min="10505" max="10505" width="2.140625" style="2" customWidth="1"/>
    <col min="10506" max="10506" width="12.28515625" style="2" customWidth="1"/>
    <col min="10507" max="10507" width="1.5703125" style="2" customWidth="1"/>
    <col min="10508" max="10508" width="12.28515625" style="2" customWidth="1"/>
    <col min="10509" max="10509" width="1.5703125" style="2" customWidth="1"/>
    <col min="10510" max="10510" width="12.28515625" style="2" customWidth="1"/>
    <col min="10511" max="10511" width="1.5703125" style="2" customWidth="1"/>
    <col min="10512" max="10512" width="13.5703125" style="2" customWidth="1"/>
    <col min="10513" max="10513" width="0.85546875" style="2" customWidth="1"/>
    <col min="10514" max="10514" width="12.28515625" style="2" customWidth="1"/>
    <col min="10515" max="10515" width="1.5703125" style="2" customWidth="1"/>
    <col min="10516" max="10516" width="12.28515625" style="2" customWidth="1"/>
    <col min="10517" max="10517" width="1.5703125" style="2" customWidth="1"/>
    <col min="10518" max="10518" width="12.28515625" style="2" customWidth="1"/>
    <col min="10519" max="10519" width="0.85546875" style="2" customWidth="1"/>
    <col min="10520" max="10520" width="12.28515625" style="2" customWidth="1"/>
    <col min="10521" max="10521" width="1.5703125" style="2" customWidth="1"/>
    <col min="10522" max="10522" width="12.28515625" style="2" customWidth="1"/>
    <col min="10523" max="10523" width="1.5703125" style="2" customWidth="1"/>
    <col min="10524" max="10524" width="12.28515625" style="2" customWidth="1"/>
    <col min="10525" max="10525" width="0.85546875" style="2" customWidth="1"/>
    <col min="10526" max="10526" width="12.28515625" style="2" customWidth="1"/>
    <col min="10527" max="10527" width="1.5703125" style="2" customWidth="1"/>
    <col min="10528" max="10528" width="12.28515625" style="2" customWidth="1"/>
    <col min="10529" max="10529" width="1.5703125" style="2" customWidth="1"/>
    <col min="10530" max="10530" width="12.28515625" style="2" customWidth="1"/>
    <col min="10531" max="10531" width="4.5703125" style="2" customWidth="1"/>
    <col min="10532" max="10532" width="1.42578125" style="2" customWidth="1"/>
    <col min="10533" max="10755" width="13.85546875" style="2"/>
    <col min="10756" max="10756" width="7.85546875" style="2" customWidth="1"/>
    <col min="10757" max="10758" width="2.28515625" style="2" customWidth="1"/>
    <col min="10759" max="10759" width="31.42578125" style="2" customWidth="1"/>
    <col min="10760" max="10760" width="2.28515625" style="2" customWidth="1"/>
    <col min="10761" max="10761" width="2.140625" style="2" customWidth="1"/>
    <col min="10762" max="10762" width="12.28515625" style="2" customWidth="1"/>
    <col min="10763" max="10763" width="1.5703125" style="2" customWidth="1"/>
    <col min="10764" max="10764" width="12.28515625" style="2" customWidth="1"/>
    <col min="10765" max="10765" width="1.5703125" style="2" customWidth="1"/>
    <col min="10766" max="10766" width="12.28515625" style="2" customWidth="1"/>
    <col min="10767" max="10767" width="1.5703125" style="2" customWidth="1"/>
    <col min="10768" max="10768" width="13.5703125" style="2" customWidth="1"/>
    <col min="10769" max="10769" width="0.85546875" style="2" customWidth="1"/>
    <col min="10770" max="10770" width="12.28515625" style="2" customWidth="1"/>
    <col min="10771" max="10771" width="1.5703125" style="2" customWidth="1"/>
    <col min="10772" max="10772" width="12.28515625" style="2" customWidth="1"/>
    <col min="10773" max="10773" width="1.5703125" style="2" customWidth="1"/>
    <col min="10774" max="10774" width="12.28515625" style="2" customWidth="1"/>
    <col min="10775" max="10775" width="0.85546875" style="2" customWidth="1"/>
    <col min="10776" max="10776" width="12.28515625" style="2" customWidth="1"/>
    <col min="10777" max="10777" width="1.5703125" style="2" customWidth="1"/>
    <col min="10778" max="10778" width="12.28515625" style="2" customWidth="1"/>
    <col min="10779" max="10779" width="1.5703125" style="2" customWidth="1"/>
    <col min="10780" max="10780" width="12.28515625" style="2" customWidth="1"/>
    <col min="10781" max="10781" width="0.85546875" style="2" customWidth="1"/>
    <col min="10782" max="10782" width="12.28515625" style="2" customWidth="1"/>
    <col min="10783" max="10783" width="1.5703125" style="2" customWidth="1"/>
    <col min="10784" max="10784" width="12.28515625" style="2" customWidth="1"/>
    <col min="10785" max="10785" width="1.5703125" style="2" customWidth="1"/>
    <col min="10786" max="10786" width="12.28515625" style="2" customWidth="1"/>
    <col min="10787" max="10787" width="4.5703125" style="2" customWidth="1"/>
    <col min="10788" max="10788" width="1.42578125" style="2" customWidth="1"/>
    <col min="10789" max="11011" width="13.85546875" style="2"/>
    <col min="11012" max="11012" width="7.85546875" style="2" customWidth="1"/>
    <col min="11013" max="11014" width="2.28515625" style="2" customWidth="1"/>
    <col min="11015" max="11015" width="31.42578125" style="2" customWidth="1"/>
    <col min="11016" max="11016" width="2.28515625" style="2" customWidth="1"/>
    <col min="11017" max="11017" width="2.140625" style="2" customWidth="1"/>
    <col min="11018" max="11018" width="12.28515625" style="2" customWidth="1"/>
    <col min="11019" max="11019" width="1.5703125" style="2" customWidth="1"/>
    <col min="11020" max="11020" width="12.28515625" style="2" customWidth="1"/>
    <col min="11021" max="11021" width="1.5703125" style="2" customWidth="1"/>
    <col min="11022" max="11022" width="12.28515625" style="2" customWidth="1"/>
    <col min="11023" max="11023" width="1.5703125" style="2" customWidth="1"/>
    <col min="11024" max="11024" width="13.5703125" style="2" customWidth="1"/>
    <col min="11025" max="11025" width="0.85546875" style="2" customWidth="1"/>
    <col min="11026" max="11026" width="12.28515625" style="2" customWidth="1"/>
    <col min="11027" max="11027" width="1.5703125" style="2" customWidth="1"/>
    <col min="11028" max="11028" width="12.28515625" style="2" customWidth="1"/>
    <col min="11029" max="11029" width="1.5703125" style="2" customWidth="1"/>
    <col min="11030" max="11030" width="12.28515625" style="2" customWidth="1"/>
    <col min="11031" max="11031" width="0.85546875" style="2" customWidth="1"/>
    <col min="11032" max="11032" width="12.28515625" style="2" customWidth="1"/>
    <col min="11033" max="11033" width="1.5703125" style="2" customWidth="1"/>
    <col min="11034" max="11034" width="12.28515625" style="2" customWidth="1"/>
    <col min="11035" max="11035" width="1.5703125" style="2" customWidth="1"/>
    <col min="11036" max="11036" width="12.28515625" style="2" customWidth="1"/>
    <col min="11037" max="11037" width="0.85546875" style="2" customWidth="1"/>
    <col min="11038" max="11038" width="12.28515625" style="2" customWidth="1"/>
    <col min="11039" max="11039" width="1.5703125" style="2" customWidth="1"/>
    <col min="11040" max="11040" width="12.28515625" style="2" customWidth="1"/>
    <col min="11041" max="11041" width="1.5703125" style="2" customWidth="1"/>
    <col min="11042" max="11042" width="12.28515625" style="2" customWidth="1"/>
    <col min="11043" max="11043" width="4.5703125" style="2" customWidth="1"/>
    <col min="11044" max="11044" width="1.42578125" style="2" customWidth="1"/>
    <col min="11045" max="11267" width="13.85546875" style="2"/>
    <col min="11268" max="11268" width="7.85546875" style="2" customWidth="1"/>
    <col min="11269" max="11270" width="2.28515625" style="2" customWidth="1"/>
    <col min="11271" max="11271" width="31.42578125" style="2" customWidth="1"/>
    <col min="11272" max="11272" width="2.28515625" style="2" customWidth="1"/>
    <col min="11273" max="11273" width="2.140625" style="2" customWidth="1"/>
    <col min="11274" max="11274" width="12.28515625" style="2" customWidth="1"/>
    <col min="11275" max="11275" width="1.5703125" style="2" customWidth="1"/>
    <col min="11276" max="11276" width="12.28515625" style="2" customWidth="1"/>
    <col min="11277" max="11277" width="1.5703125" style="2" customWidth="1"/>
    <col min="11278" max="11278" width="12.28515625" style="2" customWidth="1"/>
    <col min="11279" max="11279" width="1.5703125" style="2" customWidth="1"/>
    <col min="11280" max="11280" width="13.5703125" style="2" customWidth="1"/>
    <col min="11281" max="11281" width="0.85546875" style="2" customWidth="1"/>
    <col min="11282" max="11282" width="12.28515625" style="2" customWidth="1"/>
    <col min="11283" max="11283" width="1.5703125" style="2" customWidth="1"/>
    <col min="11284" max="11284" width="12.28515625" style="2" customWidth="1"/>
    <col min="11285" max="11285" width="1.5703125" style="2" customWidth="1"/>
    <col min="11286" max="11286" width="12.28515625" style="2" customWidth="1"/>
    <col min="11287" max="11287" width="0.85546875" style="2" customWidth="1"/>
    <col min="11288" max="11288" width="12.28515625" style="2" customWidth="1"/>
    <col min="11289" max="11289" width="1.5703125" style="2" customWidth="1"/>
    <col min="11290" max="11290" width="12.28515625" style="2" customWidth="1"/>
    <col min="11291" max="11291" width="1.5703125" style="2" customWidth="1"/>
    <col min="11292" max="11292" width="12.28515625" style="2" customWidth="1"/>
    <col min="11293" max="11293" width="0.85546875" style="2" customWidth="1"/>
    <col min="11294" max="11294" width="12.28515625" style="2" customWidth="1"/>
    <col min="11295" max="11295" width="1.5703125" style="2" customWidth="1"/>
    <col min="11296" max="11296" width="12.28515625" style="2" customWidth="1"/>
    <col min="11297" max="11297" width="1.5703125" style="2" customWidth="1"/>
    <col min="11298" max="11298" width="12.28515625" style="2" customWidth="1"/>
    <col min="11299" max="11299" width="4.5703125" style="2" customWidth="1"/>
    <col min="11300" max="11300" width="1.42578125" style="2" customWidth="1"/>
    <col min="11301" max="11523" width="13.85546875" style="2"/>
    <col min="11524" max="11524" width="7.85546875" style="2" customWidth="1"/>
    <col min="11525" max="11526" width="2.28515625" style="2" customWidth="1"/>
    <col min="11527" max="11527" width="31.42578125" style="2" customWidth="1"/>
    <col min="11528" max="11528" width="2.28515625" style="2" customWidth="1"/>
    <col min="11529" max="11529" width="2.140625" style="2" customWidth="1"/>
    <col min="11530" max="11530" width="12.28515625" style="2" customWidth="1"/>
    <col min="11531" max="11531" width="1.5703125" style="2" customWidth="1"/>
    <col min="11532" max="11532" width="12.28515625" style="2" customWidth="1"/>
    <col min="11533" max="11533" width="1.5703125" style="2" customWidth="1"/>
    <col min="11534" max="11534" width="12.28515625" style="2" customWidth="1"/>
    <col min="11535" max="11535" width="1.5703125" style="2" customWidth="1"/>
    <col min="11536" max="11536" width="13.5703125" style="2" customWidth="1"/>
    <col min="11537" max="11537" width="0.85546875" style="2" customWidth="1"/>
    <col min="11538" max="11538" width="12.28515625" style="2" customWidth="1"/>
    <col min="11539" max="11539" width="1.5703125" style="2" customWidth="1"/>
    <col min="11540" max="11540" width="12.28515625" style="2" customWidth="1"/>
    <col min="11541" max="11541" width="1.5703125" style="2" customWidth="1"/>
    <col min="11542" max="11542" width="12.28515625" style="2" customWidth="1"/>
    <col min="11543" max="11543" width="0.85546875" style="2" customWidth="1"/>
    <col min="11544" max="11544" width="12.28515625" style="2" customWidth="1"/>
    <col min="11545" max="11545" width="1.5703125" style="2" customWidth="1"/>
    <col min="11546" max="11546" width="12.28515625" style="2" customWidth="1"/>
    <col min="11547" max="11547" width="1.5703125" style="2" customWidth="1"/>
    <col min="11548" max="11548" width="12.28515625" style="2" customWidth="1"/>
    <col min="11549" max="11549" width="0.85546875" style="2" customWidth="1"/>
    <col min="11550" max="11550" width="12.28515625" style="2" customWidth="1"/>
    <col min="11551" max="11551" width="1.5703125" style="2" customWidth="1"/>
    <col min="11552" max="11552" width="12.28515625" style="2" customWidth="1"/>
    <col min="11553" max="11553" width="1.5703125" style="2" customWidth="1"/>
    <col min="11554" max="11554" width="12.28515625" style="2" customWidth="1"/>
    <col min="11555" max="11555" width="4.5703125" style="2" customWidth="1"/>
    <col min="11556" max="11556" width="1.42578125" style="2" customWidth="1"/>
    <col min="11557" max="11779" width="13.85546875" style="2"/>
    <col min="11780" max="11780" width="7.85546875" style="2" customWidth="1"/>
    <col min="11781" max="11782" width="2.28515625" style="2" customWidth="1"/>
    <col min="11783" max="11783" width="31.42578125" style="2" customWidth="1"/>
    <col min="11784" max="11784" width="2.28515625" style="2" customWidth="1"/>
    <col min="11785" max="11785" width="2.140625" style="2" customWidth="1"/>
    <col min="11786" max="11786" width="12.28515625" style="2" customWidth="1"/>
    <col min="11787" max="11787" width="1.5703125" style="2" customWidth="1"/>
    <col min="11788" max="11788" width="12.28515625" style="2" customWidth="1"/>
    <col min="11789" max="11789" width="1.5703125" style="2" customWidth="1"/>
    <col min="11790" max="11790" width="12.28515625" style="2" customWidth="1"/>
    <col min="11791" max="11791" width="1.5703125" style="2" customWidth="1"/>
    <col min="11792" max="11792" width="13.5703125" style="2" customWidth="1"/>
    <col min="11793" max="11793" width="0.85546875" style="2" customWidth="1"/>
    <col min="11794" max="11794" width="12.28515625" style="2" customWidth="1"/>
    <col min="11795" max="11795" width="1.5703125" style="2" customWidth="1"/>
    <col min="11796" max="11796" width="12.28515625" style="2" customWidth="1"/>
    <col min="11797" max="11797" width="1.5703125" style="2" customWidth="1"/>
    <col min="11798" max="11798" width="12.28515625" style="2" customWidth="1"/>
    <col min="11799" max="11799" width="0.85546875" style="2" customWidth="1"/>
    <col min="11800" max="11800" width="12.28515625" style="2" customWidth="1"/>
    <col min="11801" max="11801" width="1.5703125" style="2" customWidth="1"/>
    <col min="11802" max="11802" width="12.28515625" style="2" customWidth="1"/>
    <col min="11803" max="11803" width="1.5703125" style="2" customWidth="1"/>
    <col min="11804" max="11804" width="12.28515625" style="2" customWidth="1"/>
    <col min="11805" max="11805" width="0.85546875" style="2" customWidth="1"/>
    <col min="11806" max="11806" width="12.28515625" style="2" customWidth="1"/>
    <col min="11807" max="11807" width="1.5703125" style="2" customWidth="1"/>
    <col min="11808" max="11808" width="12.28515625" style="2" customWidth="1"/>
    <col min="11809" max="11809" width="1.5703125" style="2" customWidth="1"/>
    <col min="11810" max="11810" width="12.28515625" style="2" customWidth="1"/>
    <col min="11811" max="11811" width="4.5703125" style="2" customWidth="1"/>
    <col min="11812" max="11812" width="1.42578125" style="2" customWidth="1"/>
    <col min="11813" max="12035" width="13.85546875" style="2"/>
    <col min="12036" max="12036" width="7.85546875" style="2" customWidth="1"/>
    <col min="12037" max="12038" width="2.28515625" style="2" customWidth="1"/>
    <col min="12039" max="12039" width="31.42578125" style="2" customWidth="1"/>
    <col min="12040" max="12040" width="2.28515625" style="2" customWidth="1"/>
    <col min="12041" max="12041" width="2.140625" style="2" customWidth="1"/>
    <col min="12042" max="12042" width="12.28515625" style="2" customWidth="1"/>
    <col min="12043" max="12043" width="1.5703125" style="2" customWidth="1"/>
    <col min="12044" max="12044" width="12.28515625" style="2" customWidth="1"/>
    <col min="12045" max="12045" width="1.5703125" style="2" customWidth="1"/>
    <col min="12046" max="12046" width="12.28515625" style="2" customWidth="1"/>
    <col min="12047" max="12047" width="1.5703125" style="2" customWidth="1"/>
    <col min="12048" max="12048" width="13.5703125" style="2" customWidth="1"/>
    <col min="12049" max="12049" width="0.85546875" style="2" customWidth="1"/>
    <col min="12050" max="12050" width="12.28515625" style="2" customWidth="1"/>
    <col min="12051" max="12051" width="1.5703125" style="2" customWidth="1"/>
    <col min="12052" max="12052" width="12.28515625" style="2" customWidth="1"/>
    <col min="12053" max="12053" width="1.5703125" style="2" customWidth="1"/>
    <col min="12054" max="12054" width="12.28515625" style="2" customWidth="1"/>
    <col min="12055" max="12055" width="0.85546875" style="2" customWidth="1"/>
    <col min="12056" max="12056" width="12.28515625" style="2" customWidth="1"/>
    <col min="12057" max="12057" width="1.5703125" style="2" customWidth="1"/>
    <col min="12058" max="12058" width="12.28515625" style="2" customWidth="1"/>
    <col min="12059" max="12059" width="1.5703125" style="2" customWidth="1"/>
    <col min="12060" max="12060" width="12.28515625" style="2" customWidth="1"/>
    <col min="12061" max="12061" width="0.85546875" style="2" customWidth="1"/>
    <col min="12062" max="12062" width="12.28515625" style="2" customWidth="1"/>
    <col min="12063" max="12063" width="1.5703125" style="2" customWidth="1"/>
    <col min="12064" max="12064" width="12.28515625" style="2" customWidth="1"/>
    <col min="12065" max="12065" width="1.5703125" style="2" customWidth="1"/>
    <col min="12066" max="12066" width="12.28515625" style="2" customWidth="1"/>
    <col min="12067" max="12067" width="4.5703125" style="2" customWidth="1"/>
    <col min="12068" max="12068" width="1.42578125" style="2" customWidth="1"/>
    <col min="12069" max="12291" width="13.85546875" style="2"/>
    <col min="12292" max="12292" width="7.85546875" style="2" customWidth="1"/>
    <col min="12293" max="12294" width="2.28515625" style="2" customWidth="1"/>
    <col min="12295" max="12295" width="31.42578125" style="2" customWidth="1"/>
    <col min="12296" max="12296" width="2.28515625" style="2" customWidth="1"/>
    <col min="12297" max="12297" width="2.140625" style="2" customWidth="1"/>
    <col min="12298" max="12298" width="12.28515625" style="2" customWidth="1"/>
    <col min="12299" max="12299" width="1.5703125" style="2" customWidth="1"/>
    <col min="12300" max="12300" width="12.28515625" style="2" customWidth="1"/>
    <col min="12301" max="12301" width="1.5703125" style="2" customWidth="1"/>
    <col min="12302" max="12302" width="12.28515625" style="2" customWidth="1"/>
    <col min="12303" max="12303" width="1.5703125" style="2" customWidth="1"/>
    <col min="12304" max="12304" width="13.5703125" style="2" customWidth="1"/>
    <col min="12305" max="12305" width="0.85546875" style="2" customWidth="1"/>
    <col min="12306" max="12306" width="12.28515625" style="2" customWidth="1"/>
    <col min="12307" max="12307" width="1.5703125" style="2" customWidth="1"/>
    <col min="12308" max="12308" width="12.28515625" style="2" customWidth="1"/>
    <col min="12309" max="12309" width="1.5703125" style="2" customWidth="1"/>
    <col min="12310" max="12310" width="12.28515625" style="2" customWidth="1"/>
    <col min="12311" max="12311" width="0.85546875" style="2" customWidth="1"/>
    <col min="12312" max="12312" width="12.28515625" style="2" customWidth="1"/>
    <col min="12313" max="12313" width="1.5703125" style="2" customWidth="1"/>
    <col min="12314" max="12314" width="12.28515625" style="2" customWidth="1"/>
    <col min="12315" max="12315" width="1.5703125" style="2" customWidth="1"/>
    <col min="12316" max="12316" width="12.28515625" style="2" customWidth="1"/>
    <col min="12317" max="12317" width="0.85546875" style="2" customWidth="1"/>
    <col min="12318" max="12318" width="12.28515625" style="2" customWidth="1"/>
    <col min="12319" max="12319" width="1.5703125" style="2" customWidth="1"/>
    <col min="12320" max="12320" width="12.28515625" style="2" customWidth="1"/>
    <col min="12321" max="12321" width="1.5703125" style="2" customWidth="1"/>
    <col min="12322" max="12322" width="12.28515625" style="2" customWidth="1"/>
    <col min="12323" max="12323" width="4.5703125" style="2" customWidth="1"/>
    <col min="12324" max="12324" width="1.42578125" style="2" customWidth="1"/>
    <col min="12325" max="12547" width="13.85546875" style="2"/>
    <col min="12548" max="12548" width="7.85546875" style="2" customWidth="1"/>
    <col min="12549" max="12550" width="2.28515625" style="2" customWidth="1"/>
    <col min="12551" max="12551" width="31.42578125" style="2" customWidth="1"/>
    <col min="12552" max="12552" width="2.28515625" style="2" customWidth="1"/>
    <col min="12553" max="12553" width="2.140625" style="2" customWidth="1"/>
    <col min="12554" max="12554" width="12.28515625" style="2" customWidth="1"/>
    <col min="12555" max="12555" width="1.5703125" style="2" customWidth="1"/>
    <col min="12556" max="12556" width="12.28515625" style="2" customWidth="1"/>
    <col min="12557" max="12557" width="1.5703125" style="2" customWidth="1"/>
    <col min="12558" max="12558" width="12.28515625" style="2" customWidth="1"/>
    <col min="12559" max="12559" width="1.5703125" style="2" customWidth="1"/>
    <col min="12560" max="12560" width="13.5703125" style="2" customWidth="1"/>
    <col min="12561" max="12561" width="0.85546875" style="2" customWidth="1"/>
    <col min="12562" max="12562" width="12.28515625" style="2" customWidth="1"/>
    <col min="12563" max="12563" width="1.5703125" style="2" customWidth="1"/>
    <col min="12564" max="12564" width="12.28515625" style="2" customWidth="1"/>
    <col min="12565" max="12565" width="1.5703125" style="2" customWidth="1"/>
    <col min="12566" max="12566" width="12.28515625" style="2" customWidth="1"/>
    <col min="12567" max="12567" width="0.85546875" style="2" customWidth="1"/>
    <col min="12568" max="12568" width="12.28515625" style="2" customWidth="1"/>
    <col min="12569" max="12569" width="1.5703125" style="2" customWidth="1"/>
    <col min="12570" max="12570" width="12.28515625" style="2" customWidth="1"/>
    <col min="12571" max="12571" width="1.5703125" style="2" customWidth="1"/>
    <col min="12572" max="12572" width="12.28515625" style="2" customWidth="1"/>
    <col min="12573" max="12573" width="0.85546875" style="2" customWidth="1"/>
    <col min="12574" max="12574" width="12.28515625" style="2" customWidth="1"/>
    <col min="12575" max="12575" width="1.5703125" style="2" customWidth="1"/>
    <col min="12576" max="12576" width="12.28515625" style="2" customWidth="1"/>
    <col min="12577" max="12577" width="1.5703125" style="2" customWidth="1"/>
    <col min="12578" max="12578" width="12.28515625" style="2" customWidth="1"/>
    <col min="12579" max="12579" width="4.5703125" style="2" customWidth="1"/>
    <col min="12580" max="12580" width="1.42578125" style="2" customWidth="1"/>
    <col min="12581" max="12803" width="13.85546875" style="2"/>
    <col min="12804" max="12804" width="7.85546875" style="2" customWidth="1"/>
    <col min="12805" max="12806" width="2.28515625" style="2" customWidth="1"/>
    <col min="12807" max="12807" width="31.42578125" style="2" customWidth="1"/>
    <col min="12808" max="12808" width="2.28515625" style="2" customWidth="1"/>
    <col min="12809" max="12809" width="2.140625" style="2" customWidth="1"/>
    <col min="12810" max="12810" width="12.28515625" style="2" customWidth="1"/>
    <col min="12811" max="12811" width="1.5703125" style="2" customWidth="1"/>
    <col min="12812" max="12812" width="12.28515625" style="2" customWidth="1"/>
    <col min="12813" max="12813" width="1.5703125" style="2" customWidth="1"/>
    <col min="12814" max="12814" width="12.28515625" style="2" customWidth="1"/>
    <col min="12815" max="12815" width="1.5703125" style="2" customWidth="1"/>
    <col min="12816" max="12816" width="13.5703125" style="2" customWidth="1"/>
    <col min="12817" max="12817" width="0.85546875" style="2" customWidth="1"/>
    <col min="12818" max="12818" width="12.28515625" style="2" customWidth="1"/>
    <col min="12819" max="12819" width="1.5703125" style="2" customWidth="1"/>
    <col min="12820" max="12820" width="12.28515625" style="2" customWidth="1"/>
    <col min="12821" max="12821" width="1.5703125" style="2" customWidth="1"/>
    <col min="12822" max="12822" width="12.28515625" style="2" customWidth="1"/>
    <col min="12823" max="12823" width="0.85546875" style="2" customWidth="1"/>
    <col min="12824" max="12824" width="12.28515625" style="2" customWidth="1"/>
    <col min="12825" max="12825" width="1.5703125" style="2" customWidth="1"/>
    <col min="12826" max="12826" width="12.28515625" style="2" customWidth="1"/>
    <col min="12827" max="12827" width="1.5703125" style="2" customWidth="1"/>
    <col min="12828" max="12828" width="12.28515625" style="2" customWidth="1"/>
    <col min="12829" max="12829" width="0.85546875" style="2" customWidth="1"/>
    <col min="12830" max="12830" width="12.28515625" style="2" customWidth="1"/>
    <col min="12831" max="12831" width="1.5703125" style="2" customWidth="1"/>
    <col min="12832" max="12832" width="12.28515625" style="2" customWidth="1"/>
    <col min="12833" max="12833" width="1.5703125" style="2" customWidth="1"/>
    <col min="12834" max="12834" width="12.28515625" style="2" customWidth="1"/>
    <col min="12835" max="12835" width="4.5703125" style="2" customWidth="1"/>
    <col min="12836" max="12836" width="1.42578125" style="2" customWidth="1"/>
    <col min="12837" max="13059" width="13.85546875" style="2"/>
    <col min="13060" max="13060" width="7.85546875" style="2" customWidth="1"/>
    <col min="13061" max="13062" width="2.28515625" style="2" customWidth="1"/>
    <col min="13063" max="13063" width="31.42578125" style="2" customWidth="1"/>
    <col min="13064" max="13064" width="2.28515625" style="2" customWidth="1"/>
    <col min="13065" max="13065" width="2.140625" style="2" customWidth="1"/>
    <col min="13066" max="13066" width="12.28515625" style="2" customWidth="1"/>
    <col min="13067" max="13067" width="1.5703125" style="2" customWidth="1"/>
    <col min="13068" max="13068" width="12.28515625" style="2" customWidth="1"/>
    <col min="13069" max="13069" width="1.5703125" style="2" customWidth="1"/>
    <col min="13070" max="13070" width="12.28515625" style="2" customWidth="1"/>
    <col min="13071" max="13071" width="1.5703125" style="2" customWidth="1"/>
    <col min="13072" max="13072" width="13.5703125" style="2" customWidth="1"/>
    <col min="13073" max="13073" width="0.85546875" style="2" customWidth="1"/>
    <col min="13074" max="13074" width="12.28515625" style="2" customWidth="1"/>
    <col min="13075" max="13075" width="1.5703125" style="2" customWidth="1"/>
    <col min="13076" max="13076" width="12.28515625" style="2" customWidth="1"/>
    <col min="13077" max="13077" width="1.5703125" style="2" customWidth="1"/>
    <col min="13078" max="13078" width="12.28515625" style="2" customWidth="1"/>
    <col min="13079" max="13079" width="0.85546875" style="2" customWidth="1"/>
    <col min="13080" max="13080" width="12.28515625" style="2" customWidth="1"/>
    <col min="13081" max="13081" width="1.5703125" style="2" customWidth="1"/>
    <col min="13082" max="13082" width="12.28515625" style="2" customWidth="1"/>
    <col min="13083" max="13083" width="1.5703125" style="2" customWidth="1"/>
    <col min="13084" max="13084" width="12.28515625" style="2" customWidth="1"/>
    <col min="13085" max="13085" width="0.85546875" style="2" customWidth="1"/>
    <col min="13086" max="13086" width="12.28515625" style="2" customWidth="1"/>
    <col min="13087" max="13087" width="1.5703125" style="2" customWidth="1"/>
    <col min="13088" max="13088" width="12.28515625" style="2" customWidth="1"/>
    <col min="13089" max="13089" width="1.5703125" style="2" customWidth="1"/>
    <col min="13090" max="13090" width="12.28515625" style="2" customWidth="1"/>
    <col min="13091" max="13091" width="4.5703125" style="2" customWidth="1"/>
    <col min="13092" max="13092" width="1.42578125" style="2" customWidth="1"/>
    <col min="13093" max="13315" width="13.85546875" style="2"/>
    <col min="13316" max="13316" width="7.85546875" style="2" customWidth="1"/>
    <col min="13317" max="13318" width="2.28515625" style="2" customWidth="1"/>
    <col min="13319" max="13319" width="31.42578125" style="2" customWidth="1"/>
    <col min="13320" max="13320" width="2.28515625" style="2" customWidth="1"/>
    <col min="13321" max="13321" width="2.140625" style="2" customWidth="1"/>
    <col min="13322" max="13322" width="12.28515625" style="2" customWidth="1"/>
    <col min="13323" max="13323" width="1.5703125" style="2" customWidth="1"/>
    <col min="13324" max="13324" width="12.28515625" style="2" customWidth="1"/>
    <col min="13325" max="13325" width="1.5703125" style="2" customWidth="1"/>
    <col min="13326" max="13326" width="12.28515625" style="2" customWidth="1"/>
    <col min="13327" max="13327" width="1.5703125" style="2" customWidth="1"/>
    <col min="13328" max="13328" width="13.5703125" style="2" customWidth="1"/>
    <col min="13329" max="13329" width="0.85546875" style="2" customWidth="1"/>
    <col min="13330" max="13330" width="12.28515625" style="2" customWidth="1"/>
    <col min="13331" max="13331" width="1.5703125" style="2" customWidth="1"/>
    <col min="13332" max="13332" width="12.28515625" style="2" customWidth="1"/>
    <col min="13333" max="13333" width="1.5703125" style="2" customWidth="1"/>
    <col min="13334" max="13334" width="12.28515625" style="2" customWidth="1"/>
    <col min="13335" max="13335" width="0.85546875" style="2" customWidth="1"/>
    <col min="13336" max="13336" width="12.28515625" style="2" customWidth="1"/>
    <col min="13337" max="13337" width="1.5703125" style="2" customWidth="1"/>
    <col min="13338" max="13338" width="12.28515625" style="2" customWidth="1"/>
    <col min="13339" max="13339" width="1.5703125" style="2" customWidth="1"/>
    <col min="13340" max="13340" width="12.28515625" style="2" customWidth="1"/>
    <col min="13341" max="13341" width="0.85546875" style="2" customWidth="1"/>
    <col min="13342" max="13342" width="12.28515625" style="2" customWidth="1"/>
    <col min="13343" max="13343" width="1.5703125" style="2" customWidth="1"/>
    <col min="13344" max="13344" width="12.28515625" style="2" customWidth="1"/>
    <col min="13345" max="13345" width="1.5703125" style="2" customWidth="1"/>
    <col min="13346" max="13346" width="12.28515625" style="2" customWidth="1"/>
    <col min="13347" max="13347" width="4.5703125" style="2" customWidth="1"/>
    <col min="13348" max="13348" width="1.42578125" style="2" customWidth="1"/>
    <col min="13349" max="13571" width="13.85546875" style="2"/>
    <col min="13572" max="13572" width="7.85546875" style="2" customWidth="1"/>
    <col min="13573" max="13574" width="2.28515625" style="2" customWidth="1"/>
    <col min="13575" max="13575" width="31.42578125" style="2" customWidth="1"/>
    <col min="13576" max="13576" width="2.28515625" style="2" customWidth="1"/>
    <col min="13577" max="13577" width="2.140625" style="2" customWidth="1"/>
    <col min="13578" max="13578" width="12.28515625" style="2" customWidth="1"/>
    <col min="13579" max="13579" width="1.5703125" style="2" customWidth="1"/>
    <col min="13580" max="13580" width="12.28515625" style="2" customWidth="1"/>
    <col min="13581" max="13581" width="1.5703125" style="2" customWidth="1"/>
    <col min="13582" max="13582" width="12.28515625" style="2" customWidth="1"/>
    <col min="13583" max="13583" width="1.5703125" style="2" customWidth="1"/>
    <col min="13584" max="13584" width="13.5703125" style="2" customWidth="1"/>
    <col min="13585" max="13585" width="0.85546875" style="2" customWidth="1"/>
    <col min="13586" max="13586" width="12.28515625" style="2" customWidth="1"/>
    <col min="13587" max="13587" width="1.5703125" style="2" customWidth="1"/>
    <col min="13588" max="13588" width="12.28515625" style="2" customWidth="1"/>
    <col min="13589" max="13589" width="1.5703125" style="2" customWidth="1"/>
    <col min="13590" max="13590" width="12.28515625" style="2" customWidth="1"/>
    <col min="13591" max="13591" width="0.85546875" style="2" customWidth="1"/>
    <col min="13592" max="13592" width="12.28515625" style="2" customWidth="1"/>
    <col min="13593" max="13593" width="1.5703125" style="2" customWidth="1"/>
    <col min="13594" max="13594" width="12.28515625" style="2" customWidth="1"/>
    <col min="13595" max="13595" width="1.5703125" style="2" customWidth="1"/>
    <col min="13596" max="13596" width="12.28515625" style="2" customWidth="1"/>
    <col min="13597" max="13597" width="0.85546875" style="2" customWidth="1"/>
    <col min="13598" max="13598" width="12.28515625" style="2" customWidth="1"/>
    <col min="13599" max="13599" width="1.5703125" style="2" customWidth="1"/>
    <col min="13600" max="13600" width="12.28515625" style="2" customWidth="1"/>
    <col min="13601" max="13601" width="1.5703125" style="2" customWidth="1"/>
    <col min="13602" max="13602" width="12.28515625" style="2" customWidth="1"/>
    <col min="13603" max="13603" width="4.5703125" style="2" customWidth="1"/>
    <col min="13604" max="13604" width="1.42578125" style="2" customWidth="1"/>
    <col min="13605" max="13827" width="13.85546875" style="2"/>
    <col min="13828" max="13828" width="7.85546875" style="2" customWidth="1"/>
    <col min="13829" max="13830" width="2.28515625" style="2" customWidth="1"/>
    <col min="13831" max="13831" width="31.42578125" style="2" customWidth="1"/>
    <col min="13832" max="13832" width="2.28515625" style="2" customWidth="1"/>
    <col min="13833" max="13833" width="2.140625" style="2" customWidth="1"/>
    <col min="13834" max="13834" width="12.28515625" style="2" customWidth="1"/>
    <col min="13835" max="13835" width="1.5703125" style="2" customWidth="1"/>
    <col min="13836" max="13836" width="12.28515625" style="2" customWidth="1"/>
    <col min="13837" max="13837" width="1.5703125" style="2" customWidth="1"/>
    <col min="13838" max="13838" width="12.28515625" style="2" customWidth="1"/>
    <col min="13839" max="13839" width="1.5703125" style="2" customWidth="1"/>
    <col min="13840" max="13840" width="13.5703125" style="2" customWidth="1"/>
    <col min="13841" max="13841" width="0.85546875" style="2" customWidth="1"/>
    <col min="13842" max="13842" width="12.28515625" style="2" customWidth="1"/>
    <col min="13843" max="13843" width="1.5703125" style="2" customWidth="1"/>
    <col min="13844" max="13844" width="12.28515625" style="2" customWidth="1"/>
    <col min="13845" max="13845" width="1.5703125" style="2" customWidth="1"/>
    <col min="13846" max="13846" width="12.28515625" style="2" customWidth="1"/>
    <col min="13847" max="13847" width="0.85546875" style="2" customWidth="1"/>
    <col min="13848" max="13848" width="12.28515625" style="2" customWidth="1"/>
    <col min="13849" max="13849" width="1.5703125" style="2" customWidth="1"/>
    <col min="13850" max="13850" width="12.28515625" style="2" customWidth="1"/>
    <col min="13851" max="13851" width="1.5703125" style="2" customWidth="1"/>
    <col min="13852" max="13852" width="12.28515625" style="2" customWidth="1"/>
    <col min="13853" max="13853" width="0.85546875" style="2" customWidth="1"/>
    <col min="13854" max="13854" width="12.28515625" style="2" customWidth="1"/>
    <col min="13855" max="13855" width="1.5703125" style="2" customWidth="1"/>
    <col min="13856" max="13856" width="12.28515625" style="2" customWidth="1"/>
    <col min="13857" max="13857" width="1.5703125" style="2" customWidth="1"/>
    <col min="13858" max="13858" width="12.28515625" style="2" customWidth="1"/>
    <col min="13859" max="13859" width="4.5703125" style="2" customWidth="1"/>
    <col min="13860" max="13860" width="1.42578125" style="2" customWidth="1"/>
    <col min="13861" max="14083" width="13.85546875" style="2"/>
    <col min="14084" max="14084" width="7.85546875" style="2" customWidth="1"/>
    <col min="14085" max="14086" width="2.28515625" style="2" customWidth="1"/>
    <col min="14087" max="14087" width="31.42578125" style="2" customWidth="1"/>
    <col min="14088" max="14088" width="2.28515625" style="2" customWidth="1"/>
    <col min="14089" max="14089" width="2.140625" style="2" customWidth="1"/>
    <col min="14090" max="14090" width="12.28515625" style="2" customWidth="1"/>
    <col min="14091" max="14091" width="1.5703125" style="2" customWidth="1"/>
    <col min="14092" max="14092" width="12.28515625" style="2" customWidth="1"/>
    <col min="14093" max="14093" width="1.5703125" style="2" customWidth="1"/>
    <col min="14094" max="14094" width="12.28515625" style="2" customWidth="1"/>
    <col min="14095" max="14095" width="1.5703125" style="2" customWidth="1"/>
    <col min="14096" max="14096" width="13.5703125" style="2" customWidth="1"/>
    <col min="14097" max="14097" width="0.85546875" style="2" customWidth="1"/>
    <col min="14098" max="14098" width="12.28515625" style="2" customWidth="1"/>
    <col min="14099" max="14099" width="1.5703125" style="2" customWidth="1"/>
    <col min="14100" max="14100" width="12.28515625" style="2" customWidth="1"/>
    <col min="14101" max="14101" width="1.5703125" style="2" customWidth="1"/>
    <col min="14102" max="14102" width="12.28515625" style="2" customWidth="1"/>
    <col min="14103" max="14103" width="0.85546875" style="2" customWidth="1"/>
    <col min="14104" max="14104" width="12.28515625" style="2" customWidth="1"/>
    <col min="14105" max="14105" width="1.5703125" style="2" customWidth="1"/>
    <col min="14106" max="14106" width="12.28515625" style="2" customWidth="1"/>
    <col min="14107" max="14107" width="1.5703125" style="2" customWidth="1"/>
    <col min="14108" max="14108" width="12.28515625" style="2" customWidth="1"/>
    <col min="14109" max="14109" width="0.85546875" style="2" customWidth="1"/>
    <col min="14110" max="14110" width="12.28515625" style="2" customWidth="1"/>
    <col min="14111" max="14111" width="1.5703125" style="2" customWidth="1"/>
    <col min="14112" max="14112" width="12.28515625" style="2" customWidth="1"/>
    <col min="14113" max="14113" width="1.5703125" style="2" customWidth="1"/>
    <col min="14114" max="14114" width="12.28515625" style="2" customWidth="1"/>
    <col min="14115" max="14115" width="4.5703125" style="2" customWidth="1"/>
    <col min="14116" max="14116" width="1.42578125" style="2" customWidth="1"/>
    <col min="14117" max="14339" width="13.85546875" style="2"/>
    <col min="14340" max="14340" width="7.85546875" style="2" customWidth="1"/>
    <col min="14341" max="14342" width="2.28515625" style="2" customWidth="1"/>
    <col min="14343" max="14343" width="31.42578125" style="2" customWidth="1"/>
    <col min="14344" max="14344" width="2.28515625" style="2" customWidth="1"/>
    <col min="14345" max="14345" width="2.140625" style="2" customWidth="1"/>
    <col min="14346" max="14346" width="12.28515625" style="2" customWidth="1"/>
    <col min="14347" max="14347" width="1.5703125" style="2" customWidth="1"/>
    <col min="14348" max="14348" width="12.28515625" style="2" customWidth="1"/>
    <col min="14349" max="14349" width="1.5703125" style="2" customWidth="1"/>
    <col min="14350" max="14350" width="12.28515625" style="2" customWidth="1"/>
    <col min="14351" max="14351" width="1.5703125" style="2" customWidth="1"/>
    <col min="14352" max="14352" width="13.5703125" style="2" customWidth="1"/>
    <col min="14353" max="14353" width="0.85546875" style="2" customWidth="1"/>
    <col min="14354" max="14354" width="12.28515625" style="2" customWidth="1"/>
    <col min="14355" max="14355" width="1.5703125" style="2" customWidth="1"/>
    <col min="14356" max="14356" width="12.28515625" style="2" customWidth="1"/>
    <col min="14357" max="14357" width="1.5703125" style="2" customWidth="1"/>
    <col min="14358" max="14358" width="12.28515625" style="2" customWidth="1"/>
    <col min="14359" max="14359" width="0.85546875" style="2" customWidth="1"/>
    <col min="14360" max="14360" width="12.28515625" style="2" customWidth="1"/>
    <col min="14361" max="14361" width="1.5703125" style="2" customWidth="1"/>
    <col min="14362" max="14362" width="12.28515625" style="2" customWidth="1"/>
    <col min="14363" max="14363" width="1.5703125" style="2" customWidth="1"/>
    <col min="14364" max="14364" width="12.28515625" style="2" customWidth="1"/>
    <col min="14365" max="14365" width="0.85546875" style="2" customWidth="1"/>
    <col min="14366" max="14366" width="12.28515625" style="2" customWidth="1"/>
    <col min="14367" max="14367" width="1.5703125" style="2" customWidth="1"/>
    <col min="14368" max="14368" width="12.28515625" style="2" customWidth="1"/>
    <col min="14369" max="14369" width="1.5703125" style="2" customWidth="1"/>
    <col min="14370" max="14370" width="12.28515625" style="2" customWidth="1"/>
    <col min="14371" max="14371" width="4.5703125" style="2" customWidth="1"/>
    <col min="14372" max="14372" width="1.42578125" style="2" customWidth="1"/>
    <col min="14373" max="14595" width="13.85546875" style="2"/>
    <col min="14596" max="14596" width="7.85546875" style="2" customWidth="1"/>
    <col min="14597" max="14598" width="2.28515625" style="2" customWidth="1"/>
    <col min="14599" max="14599" width="31.42578125" style="2" customWidth="1"/>
    <col min="14600" max="14600" width="2.28515625" style="2" customWidth="1"/>
    <col min="14601" max="14601" width="2.140625" style="2" customWidth="1"/>
    <col min="14602" max="14602" width="12.28515625" style="2" customWidth="1"/>
    <col min="14603" max="14603" width="1.5703125" style="2" customWidth="1"/>
    <col min="14604" max="14604" width="12.28515625" style="2" customWidth="1"/>
    <col min="14605" max="14605" width="1.5703125" style="2" customWidth="1"/>
    <col min="14606" max="14606" width="12.28515625" style="2" customWidth="1"/>
    <col min="14607" max="14607" width="1.5703125" style="2" customWidth="1"/>
    <col min="14608" max="14608" width="13.5703125" style="2" customWidth="1"/>
    <col min="14609" max="14609" width="0.85546875" style="2" customWidth="1"/>
    <col min="14610" max="14610" width="12.28515625" style="2" customWidth="1"/>
    <col min="14611" max="14611" width="1.5703125" style="2" customWidth="1"/>
    <col min="14612" max="14612" width="12.28515625" style="2" customWidth="1"/>
    <col min="14613" max="14613" width="1.5703125" style="2" customWidth="1"/>
    <col min="14614" max="14614" width="12.28515625" style="2" customWidth="1"/>
    <col min="14615" max="14615" width="0.85546875" style="2" customWidth="1"/>
    <col min="14616" max="14616" width="12.28515625" style="2" customWidth="1"/>
    <col min="14617" max="14617" width="1.5703125" style="2" customWidth="1"/>
    <col min="14618" max="14618" width="12.28515625" style="2" customWidth="1"/>
    <col min="14619" max="14619" width="1.5703125" style="2" customWidth="1"/>
    <col min="14620" max="14620" width="12.28515625" style="2" customWidth="1"/>
    <col min="14621" max="14621" width="0.85546875" style="2" customWidth="1"/>
    <col min="14622" max="14622" width="12.28515625" style="2" customWidth="1"/>
    <col min="14623" max="14623" width="1.5703125" style="2" customWidth="1"/>
    <col min="14624" max="14624" width="12.28515625" style="2" customWidth="1"/>
    <col min="14625" max="14625" width="1.5703125" style="2" customWidth="1"/>
    <col min="14626" max="14626" width="12.28515625" style="2" customWidth="1"/>
    <col min="14627" max="14627" width="4.5703125" style="2" customWidth="1"/>
    <col min="14628" max="14628" width="1.42578125" style="2" customWidth="1"/>
    <col min="14629" max="14851" width="13.85546875" style="2"/>
    <col min="14852" max="14852" width="7.85546875" style="2" customWidth="1"/>
    <col min="14853" max="14854" width="2.28515625" style="2" customWidth="1"/>
    <col min="14855" max="14855" width="31.42578125" style="2" customWidth="1"/>
    <col min="14856" max="14856" width="2.28515625" style="2" customWidth="1"/>
    <col min="14857" max="14857" width="2.140625" style="2" customWidth="1"/>
    <col min="14858" max="14858" width="12.28515625" style="2" customWidth="1"/>
    <col min="14859" max="14859" width="1.5703125" style="2" customWidth="1"/>
    <col min="14860" max="14860" width="12.28515625" style="2" customWidth="1"/>
    <col min="14861" max="14861" width="1.5703125" style="2" customWidth="1"/>
    <col min="14862" max="14862" width="12.28515625" style="2" customWidth="1"/>
    <col min="14863" max="14863" width="1.5703125" style="2" customWidth="1"/>
    <col min="14864" max="14864" width="13.5703125" style="2" customWidth="1"/>
    <col min="14865" max="14865" width="0.85546875" style="2" customWidth="1"/>
    <col min="14866" max="14866" width="12.28515625" style="2" customWidth="1"/>
    <col min="14867" max="14867" width="1.5703125" style="2" customWidth="1"/>
    <col min="14868" max="14868" width="12.28515625" style="2" customWidth="1"/>
    <col min="14869" max="14869" width="1.5703125" style="2" customWidth="1"/>
    <col min="14870" max="14870" width="12.28515625" style="2" customWidth="1"/>
    <col min="14871" max="14871" width="0.85546875" style="2" customWidth="1"/>
    <col min="14872" max="14872" width="12.28515625" style="2" customWidth="1"/>
    <col min="14873" max="14873" width="1.5703125" style="2" customWidth="1"/>
    <col min="14874" max="14874" width="12.28515625" style="2" customWidth="1"/>
    <col min="14875" max="14875" width="1.5703125" style="2" customWidth="1"/>
    <col min="14876" max="14876" width="12.28515625" style="2" customWidth="1"/>
    <col min="14877" max="14877" width="0.85546875" style="2" customWidth="1"/>
    <col min="14878" max="14878" width="12.28515625" style="2" customWidth="1"/>
    <col min="14879" max="14879" width="1.5703125" style="2" customWidth="1"/>
    <col min="14880" max="14880" width="12.28515625" style="2" customWidth="1"/>
    <col min="14881" max="14881" width="1.5703125" style="2" customWidth="1"/>
    <col min="14882" max="14882" width="12.28515625" style="2" customWidth="1"/>
    <col min="14883" max="14883" width="4.5703125" style="2" customWidth="1"/>
    <col min="14884" max="14884" width="1.42578125" style="2" customWidth="1"/>
    <col min="14885" max="15107" width="13.85546875" style="2"/>
    <col min="15108" max="15108" width="7.85546875" style="2" customWidth="1"/>
    <col min="15109" max="15110" width="2.28515625" style="2" customWidth="1"/>
    <col min="15111" max="15111" width="31.42578125" style="2" customWidth="1"/>
    <col min="15112" max="15112" width="2.28515625" style="2" customWidth="1"/>
    <col min="15113" max="15113" width="2.140625" style="2" customWidth="1"/>
    <col min="15114" max="15114" width="12.28515625" style="2" customWidth="1"/>
    <col min="15115" max="15115" width="1.5703125" style="2" customWidth="1"/>
    <col min="15116" max="15116" width="12.28515625" style="2" customWidth="1"/>
    <col min="15117" max="15117" width="1.5703125" style="2" customWidth="1"/>
    <col min="15118" max="15118" width="12.28515625" style="2" customWidth="1"/>
    <col min="15119" max="15119" width="1.5703125" style="2" customWidth="1"/>
    <col min="15120" max="15120" width="13.5703125" style="2" customWidth="1"/>
    <col min="15121" max="15121" width="0.85546875" style="2" customWidth="1"/>
    <col min="15122" max="15122" width="12.28515625" style="2" customWidth="1"/>
    <col min="15123" max="15123" width="1.5703125" style="2" customWidth="1"/>
    <col min="15124" max="15124" width="12.28515625" style="2" customWidth="1"/>
    <col min="15125" max="15125" width="1.5703125" style="2" customWidth="1"/>
    <col min="15126" max="15126" width="12.28515625" style="2" customWidth="1"/>
    <col min="15127" max="15127" width="0.85546875" style="2" customWidth="1"/>
    <col min="15128" max="15128" width="12.28515625" style="2" customWidth="1"/>
    <col min="15129" max="15129" width="1.5703125" style="2" customWidth="1"/>
    <col min="15130" max="15130" width="12.28515625" style="2" customWidth="1"/>
    <col min="15131" max="15131" width="1.5703125" style="2" customWidth="1"/>
    <col min="15132" max="15132" width="12.28515625" style="2" customWidth="1"/>
    <col min="15133" max="15133" width="0.85546875" style="2" customWidth="1"/>
    <col min="15134" max="15134" width="12.28515625" style="2" customWidth="1"/>
    <col min="15135" max="15135" width="1.5703125" style="2" customWidth="1"/>
    <col min="15136" max="15136" width="12.28515625" style="2" customWidth="1"/>
    <col min="15137" max="15137" width="1.5703125" style="2" customWidth="1"/>
    <col min="15138" max="15138" width="12.28515625" style="2" customWidth="1"/>
    <col min="15139" max="15139" width="4.5703125" style="2" customWidth="1"/>
    <col min="15140" max="15140" width="1.42578125" style="2" customWidth="1"/>
    <col min="15141" max="15363" width="13.85546875" style="2"/>
    <col min="15364" max="15364" width="7.85546875" style="2" customWidth="1"/>
    <col min="15365" max="15366" width="2.28515625" style="2" customWidth="1"/>
    <col min="15367" max="15367" width="31.42578125" style="2" customWidth="1"/>
    <col min="15368" max="15368" width="2.28515625" style="2" customWidth="1"/>
    <col min="15369" max="15369" width="2.140625" style="2" customWidth="1"/>
    <col min="15370" max="15370" width="12.28515625" style="2" customWidth="1"/>
    <col min="15371" max="15371" width="1.5703125" style="2" customWidth="1"/>
    <col min="15372" max="15372" width="12.28515625" style="2" customWidth="1"/>
    <col min="15373" max="15373" width="1.5703125" style="2" customWidth="1"/>
    <col min="15374" max="15374" width="12.28515625" style="2" customWidth="1"/>
    <col min="15375" max="15375" width="1.5703125" style="2" customWidth="1"/>
    <col min="15376" max="15376" width="13.5703125" style="2" customWidth="1"/>
    <col min="15377" max="15377" width="0.85546875" style="2" customWidth="1"/>
    <col min="15378" max="15378" width="12.28515625" style="2" customWidth="1"/>
    <col min="15379" max="15379" width="1.5703125" style="2" customWidth="1"/>
    <col min="15380" max="15380" width="12.28515625" style="2" customWidth="1"/>
    <col min="15381" max="15381" width="1.5703125" style="2" customWidth="1"/>
    <col min="15382" max="15382" width="12.28515625" style="2" customWidth="1"/>
    <col min="15383" max="15383" width="0.85546875" style="2" customWidth="1"/>
    <col min="15384" max="15384" width="12.28515625" style="2" customWidth="1"/>
    <col min="15385" max="15385" width="1.5703125" style="2" customWidth="1"/>
    <col min="15386" max="15386" width="12.28515625" style="2" customWidth="1"/>
    <col min="15387" max="15387" width="1.5703125" style="2" customWidth="1"/>
    <col min="15388" max="15388" width="12.28515625" style="2" customWidth="1"/>
    <col min="15389" max="15389" width="0.85546875" style="2" customWidth="1"/>
    <col min="15390" max="15390" width="12.28515625" style="2" customWidth="1"/>
    <col min="15391" max="15391" width="1.5703125" style="2" customWidth="1"/>
    <col min="15392" max="15392" width="12.28515625" style="2" customWidth="1"/>
    <col min="15393" max="15393" width="1.5703125" style="2" customWidth="1"/>
    <col min="15394" max="15394" width="12.28515625" style="2" customWidth="1"/>
    <col min="15395" max="15395" width="4.5703125" style="2" customWidth="1"/>
    <col min="15396" max="15396" width="1.42578125" style="2" customWidth="1"/>
    <col min="15397" max="15619" width="13.85546875" style="2"/>
    <col min="15620" max="15620" width="7.85546875" style="2" customWidth="1"/>
    <col min="15621" max="15622" width="2.28515625" style="2" customWidth="1"/>
    <col min="15623" max="15623" width="31.42578125" style="2" customWidth="1"/>
    <col min="15624" max="15624" width="2.28515625" style="2" customWidth="1"/>
    <col min="15625" max="15625" width="2.140625" style="2" customWidth="1"/>
    <col min="15626" max="15626" width="12.28515625" style="2" customWidth="1"/>
    <col min="15627" max="15627" width="1.5703125" style="2" customWidth="1"/>
    <col min="15628" max="15628" width="12.28515625" style="2" customWidth="1"/>
    <col min="15629" max="15629" width="1.5703125" style="2" customWidth="1"/>
    <col min="15630" max="15630" width="12.28515625" style="2" customWidth="1"/>
    <col min="15631" max="15631" width="1.5703125" style="2" customWidth="1"/>
    <col min="15632" max="15632" width="13.5703125" style="2" customWidth="1"/>
    <col min="15633" max="15633" width="0.85546875" style="2" customWidth="1"/>
    <col min="15634" max="15634" width="12.28515625" style="2" customWidth="1"/>
    <col min="15635" max="15635" width="1.5703125" style="2" customWidth="1"/>
    <col min="15636" max="15636" width="12.28515625" style="2" customWidth="1"/>
    <col min="15637" max="15637" width="1.5703125" style="2" customWidth="1"/>
    <col min="15638" max="15638" width="12.28515625" style="2" customWidth="1"/>
    <col min="15639" max="15639" width="0.85546875" style="2" customWidth="1"/>
    <col min="15640" max="15640" width="12.28515625" style="2" customWidth="1"/>
    <col min="15641" max="15641" width="1.5703125" style="2" customWidth="1"/>
    <col min="15642" max="15642" width="12.28515625" style="2" customWidth="1"/>
    <col min="15643" max="15643" width="1.5703125" style="2" customWidth="1"/>
    <col min="15644" max="15644" width="12.28515625" style="2" customWidth="1"/>
    <col min="15645" max="15645" width="0.85546875" style="2" customWidth="1"/>
    <col min="15646" max="15646" width="12.28515625" style="2" customWidth="1"/>
    <col min="15647" max="15647" width="1.5703125" style="2" customWidth="1"/>
    <col min="15648" max="15648" width="12.28515625" style="2" customWidth="1"/>
    <col min="15649" max="15649" width="1.5703125" style="2" customWidth="1"/>
    <col min="15650" max="15650" width="12.28515625" style="2" customWidth="1"/>
    <col min="15651" max="15651" width="4.5703125" style="2" customWidth="1"/>
    <col min="15652" max="15652" width="1.42578125" style="2" customWidth="1"/>
    <col min="15653" max="15875" width="13.85546875" style="2"/>
    <col min="15876" max="15876" width="7.85546875" style="2" customWidth="1"/>
    <col min="15877" max="15878" width="2.28515625" style="2" customWidth="1"/>
    <col min="15879" max="15879" width="31.42578125" style="2" customWidth="1"/>
    <col min="15880" max="15880" width="2.28515625" style="2" customWidth="1"/>
    <col min="15881" max="15881" width="2.140625" style="2" customWidth="1"/>
    <col min="15882" max="15882" width="12.28515625" style="2" customWidth="1"/>
    <col min="15883" max="15883" width="1.5703125" style="2" customWidth="1"/>
    <col min="15884" max="15884" width="12.28515625" style="2" customWidth="1"/>
    <col min="15885" max="15885" width="1.5703125" style="2" customWidth="1"/>
    <col min="15886" max="15886" width="12.28515625" style="2" customWidth="1"/>
    <col min="15887" max="15887" width="1.5703125" style="2" customWidth="1"/>
    <col min="15888" max="15888" width="13.5703125" style="2" customWidth="1"/>
    <col min="15889" max="15889" width="0.85546875" style="2" customWidth="1"/>
    <col min="15890" max="15890" width="12.28515625" style="2" customWidth="1"/>
    <col min="15891" max="15891" width="1.5703125" style="2" customWidth="1"/>
    <col min="15892" max="15892" width="12.28515625" style="2" customWidth="1"/>
    <col min="15893" max="15893" width="1.5703125" style="2" customWidth="1"/>
    <col min="15894" max="15894" width="12.28515625" style="2" customWidth="1"/>
    <col min="15895" max="15895" width="0.85546875" style="2" customWidth="1"/>
    <col min="15896" max="15896" width="12.28515625" style="2" customWidth="1"/>
    <col min="15897" max="15897" width="1.5703125" style="2" customWidth="1"/>
    <col min="15898" max="15898" width="12.28515625" style="2" customWidth="1"/>
    <col min="15899" max="15899" width="1.5703125" style="2" customWidth="1"/>
    <col min="15900" max="15900" width="12.28515625" style="2" customWidth="1"/>
    <col min="15901" max="15901" width="0.85546875" style="2" customWidth="1"/>
    <col min="15902" max="15902" width="12.28515625" style="2" customWidth="1"/>
    <col min="15903" max="15903" width="1.5703125" style="2" customWidth="1"/>
    <col min="15904" max="15904" width="12.28515625" style="2" customWidth="1"/>
    <col min="15905" max="15905" width="1.5703125" style="2" customWidth="1"/>
    <col min="15906" max="15906" width="12.28515625" style="2" customWidth="1"/>
    <col min="15907" max="15907" width="4.5703125" style="2" customWidth="1"/>
    <col min="15908" max="15908" width="1.42578125" style="2" customWidth="1"/>
    <col min="15909" max="16131" width="13.85546875" style="2"/>
    <col min="16132" max="16132" width="7.85546875" style="2" customWidth="1"/>
    <col min="16133" max="16134" width="2.28515625" style="2" customWidth="1"/>
    <col min="16135" max="16135" width="31.42578125" style="2" customWidth="1"/>
    <col min="16136" max="16136" width="2.28515625" style="2" customWidth="1"/>
    <col min="16137" max="16137" width="2.140625" style="2" customWidth="1"/>
    <col min="16138" max="16138" width="12.28515625" style="2" customWidth="1"/>
    <col min="16139" max="16139" width="1.5703125" style="2" customWidth="1"/>
    <col min="16140" max="16140" width="12.28515625" style="2" customWidth="1"/>
    <col min="16141" max="16141" width="1.5703125" style="2" customWidth="1"/>
    <col min="16142" max="16142" width="12.28515625" style="2" customWidth="1"/>
    <col min="16143" max="16143" width="1.5703125" style="2" customWidth="1"/>
    <col min="16144" max="16144" width="13.5703125" style="2" customWidth="1"/>
    <col min="16145" max="16145" width="0.85546875" style="2" customWidth="1"/>
    <col min="16146" max="16146" width="12.28515625" style="2" customWidth="1"/>
    <col min="16147" max="16147" width="1.5703125" style="2" customWidth="1"/>
    <col min="16148" max="16148" width="12.28515625" style="2" customWidth="1"/>
    <col min="16149" max="16149" width="1.5703125" style="2" customWidth="1"/>
    <col min="16150" max="16150" width="12.28515625" style="2" customWidth="1"/>
    <col min="16151" max="16151" width="0.85546875" style="2" customWidth="1"/>
    <col min="16152" max="16152" width="12.28515625" style="2" customWidth="1"/>
    <col min="16153" max="16153" width="1.5703125" style="2" customWidth="1"/>
    <col min="16154" max="16154" width="12.28515625" style="2" customWidth="1"/>
    <col min="16155" max="16155" width="1.5703125" style="2" customWidth="1"/>
    <col min="16156" max="16156" width="12.28515625" style="2" customWidth="1"/>
    <col min="16157" max="16157" width="0.85546875" style="2" customWidth="1"/>
    <col min="16158" max="16158" width="12.28515625" style="2" customWidth="1"/>
    <col min="16159" max="16159" width="1.5703125" style="2" customWidth="1"/>
    <col min="16160" max="16160" width="12.28515625" style="2" customWidth="1"/>
    <col min="16161" max="16161" width="1.5703125" style="2" customWidth="1"/>
    <col min="16162" max="16162" width="12.28515625" style="2" customWidth="1"/>
    <col min="16163" max="16163" width="4.5703125" style="2" customWidth="1"/>
    <col min="16164" max="16164" width="1.42578125" style="2" customWidth="1"/>
    <col min="16165" max="16384" width="13.85546875" style="2"/>
  </cols>
  <sheetData>
    <row r="1" spans="1:36" hidden="1">
      <c r="D1" s="2" t="s">
        <v>175</v>
      </c>
      <c r="E1" s="2" t="s">
        <v>176</v>
      </c>
      <c r="F1" s="3"/>
      <c r="G1" s="4"/>
      <c r="J1" s="2" t="s">
        <v>177</v>
      </c>
      <c r="L1" s="2" t="s">
        <v>178</v>
      </c>
      <c r="N1" s="2" t="s">
        <v>179</v>
      </c>
      <c r="P1" s="2" t="s">
        <v>180</v>
      </c>
      <c r="R1" s="2" t="s">
        <v>181</v>
      </c>
      <c r="T1" s="2" t="s">
        <v>182</v>
      </c>
      <c r="V1" s="2" t="s">
        <v>183</v>
      </c>
      <c r="X1" s="2" t="s">
        <v>184</v>
      </c>
      <c r="Z1" s="2" t="s">
        <v>185</v>
      </c>
      <c r="AB1" s="2" t="s">
        <v>186</v>
      </c>
      <c r="AD1" s="2" t="s">
        <v>187</v>
      </c>
      <c r="AF1" s="2" t="s">
        <v>188</v>
      </c>
      <c r="AH1" s="5"/>
    </row>
    <row r="2" spans="1:36" hidden="1" outlineLevel="1">
      <c r="B2" s="24"/>
      <c r="D2" s="6"/>
      <c r="E2" s="6"/>
      <c r="F2" s="7"/>
      <c r="G2" s="4"/>
      <c r="H2" s="8"/>
      <c r="I2" s="9"/>
      <c r="J2" s="10">
        <v>0</v>
      </c>
      <c r="K2" s="9"/>
      <c r="L2" s="10">
        <v>0</v>
      </c>
      <c r="M2" s="9"/>
      <c r="N2" s="10">
        <v>0</v>
      </c>
      <c r="O2" s="9"/>
      <c r="P2" s="10">
        <v>0</v>
      </c>
      <c r="Q2" s="9"/>
      <c r="R2" s="10">
        <v>0</v>
      </c>
      <c r="S2" s="9"/>
      <c r="T2" s="10">
        <v>0</v>
      </c>
      <c r="U2" s="9"/>
      <c r="V2" s="10">
        <v>0</v>
      </c>
      <c r="W2" s="9"/>
      <c r="X2" s="10">
        <v>0</v>
      </c>
      <c r="Y2" s="9"/>
      <c r="Z2" s="10">
        <v>0</v>
      </c>
      <c r="AA2" s="9"/>
      <c r="AB2" s="10">
        <v>0</v>
      </c>
      <c r="AC2" s="9"/>
      <c r="AD2" s="10">
        <v>0</v>
      </c>
      <c r="AE2" s="9"/>
      <c r="AF2" s="10">
        <v>0</v>
      </c>
      <c r="AG2" s="9"/>
      <c r="AH2" s="10">
        <f>AF2+AD2+AB2+Z2+X2+V2+T2+R2+P2+N2+L2+J2</f>
        <v>0</v>
      </c>
      <c r="AI2" s="11">
        <f>IF(AH$59=0,0,AH2/AH$59)</f>
        <v>0</v>
      </c>
      <c r="AJ2" s="12"/>
    </row>
    <row r="3" spans="1:36" hidden="1" collapsed="1">
      <c r="D3" s="13"/>
      <c r="E3" s="13"/>
      <c r="F3" s="13"/>
      <c r="G3" s="13"/>
      <c r="H3" s="13"/>
      <c r="I3" s="13"/>
      <c r="J3" s="2" t="str">
        <f>TEXT(EDATE(DATEVALUE(RIGHT($D$8,2)&amp;"/1/"&amp;LEFT($D$8,4)),-11),"yyyy-mm")</f>
        <v>2018-05</v>
      </c>
      <c r="L3" s="2" t="str">
        <f>TEXT(EDATE(DATEVALUE(RIGHT($D$8,2)&amp;"/1/"&amp;LEFT($D$8,4)),-10),"yyyy-mm")</f>
        <v>2018-06</v>
      </c>
      <c r="N3" s="2" t="str">
        <f>TEXT(EDATE(DATEVALUE(RIGHT($D$8,2)&amp;"/1/"&amp;LEFT($D$8,4)),-9),"yyyy-mm")</f>
        <v>2018-07</v>
      </c>
      <c r="P3" s="2" t="str">
        <f>TEXT(EDATE(DATEVALUE(RIGHT($D$8,2)&amp;"/1/"&amp;LEFT($D$8,4)),-8),"yyyy-mm")</f>
        <v>2018-08</v>
      </c>
      <c r="R3" s="2" t="str">
        <f>TEXT(EDATE(DATEVALUE(RIGHT($D$8,2)&amp;"/1/"&amp;LEFT($D$8,4)),-7),"yyyy-mm")</f>
        <v>2018-09</v>
      </c>
      <c r="T3" s="2" t="str">
        <f>TEXT(EDATE(DATEVALUE(RIGHT($D$8,2)&amp;"/1/"&amp;LEFT($D$8,4)),-6),"yyyy-mm")</f>
        <v>2018-10</v>
      </c>
      <c r="V3" s="2" t="str">
        <f>TEXT(EDATE(DATEVALUE(RIGHT($D$8,2)&amp;"/1/"&amp;LEFT($D$8,4)),-5),"yyyy-mm")</f>
        <v>2018-11</v>
      </c>
      <c r="X3" s="2" t="str">
        <f>TEXT(EDATE(DATEVALUE(RIGHT($D$8,2)&amp;"/1/"&amp;LEFT($D$8,4)),-4),"yyyy-mm")</f>
        <v>2018-12</v>
      </c>
      <c r="Z3" s="2" t="str">
        <f>TEXT(EDATE(DATEVALUE(RIGHT($D$8,2)&amp;"/1/"&amp;LEFT($D$8,4)),-3),"yyyy-mm")</f>
        <v>2019-01</v>
      </c>
      <c r="AB3" s="2" t="str">
        <f>TEXT(EDATE(DATEVALUE(RIGHT($D$8,2)&amp;"/1/"&amp;LEFT($D$8,4)),-2),"yyyy-mm")</f>
        <v>2019-02</v>
      </c>
      <c r="AD3" s="2" t="str">
        <f>TEXT(EDATE(DATEVALUE(RIGHT($D$8,2)&amp;"/1/"&amp;LEFT($D$8,4)),-1),"yyyy-mm")</f>
        <v>2019-03</v>
      </c>
      <c r="AF3" s="2" t="str">
        <f>YearMonth</f>
        <v>2019-04</v>
      </c>
      <c r="AH3" s="2"/>
    </row>
    <row r="4" spans="1:36" ht="15" hidden="1">
      <c r="B4" s="25" t="str">
        <f ca="1">_xll.ReportVariable("WCN1",B13:B382,1:1,2:2,_xll.Param(D8,N6,"PL,98501",R7,"PL",R6,"AcctGrp1","ConsolSum","",""))</f>
        <v>OK!: ReportVariable Formula OK [jAction{}]</v>
      </c>
      <c r="G4" s="14"/>
      <c r="J4" s="2"/>
      <c r="L4" s="2"/>
      <c r="N4" s="2"/>
      <c r="P4" s="2"/>
      <c r="R4" s="2"/>
      <c r="T4" s="2"/>
      <c r="V4" s="2"/>
      <c r="X4" s="2"/>
      <c r="Z4" s="2"/>
      <c r="AB4" s="2"/>
      <c r="AD4" s="2"/>
      <c r="AF4" s="2"/>
      <c r="AH4" s="2"/>
    </row>
    <row r="5" spans="1:36" hidden="1">
      <c r="B5" s="25" t="e">
        <f ca="1">_xll.ReportDrill(,"JEQuery",D12:D280,J3:AJ3,"K7","G6",,,_xll.Param("","",N6))</f>
        <v>#VALUE!</v>
      </c>
      <c r="J5" s="2"/>
      <c r="L5" s="2"/>
      <c r="N5" s="2"/>
      <c r="P5" s="2"/>
      <c r="R5" s="2"/>
      <c r="T5" s="2"/>
      <c r="V5" s="2"/>
      <c r="X5" s="2"/>
      <c r="Z5" s="2"/>
      <c r="AB5" s="2"/>
      <c r="AD5" s="2"/>
      <c r="AF5" s="2"/>
      <c r="AH5" s="2"/>
    </row>
    <row r="6" spans="1:36" s="15" customFormat="1" ht="15.75">
      <c r="A6" s="2"/>
      <c r="B6" s="2"/>
      <c r="C6" s="2"/>
      <c r="D6" s="1280" t="s">
        <v>189</v>
      </c>
      <c r="E6" s="1281"/>
      <c r="F6" s="1281"/>
      <c r="G6" s="1281"/>
      <c r="H6" s="1281"/>
      <c r="I6" s="1281"/>
      <c r="J6" s="1281"/>
      <c r="K6" s="1281"/>
      <c r="L6" s="1281"/>
      <c r="M6" s="1282" t="s">
        <v>190</v>
      </c>
      <c r="N6" s="1283" t="s">
        <v>289</v>
      </c>
      <c r="O6" s="1281"/>
      <c r="P6" s="1281"/>
      <c r="Q6" s="1282" t="s">
        <v>192</v>
      </c>
      <c r="R6" s="1284"/>
      <c r="S6" s="1282"/>
      <c r="T6" s="1283"/>
      <c r="U6" s="1281"/>
      <c r="V6" s="1281"/>
      <c r="W6" s="1281"/>
      <c r="X6" s="1281"/>
      <c r="Y6" s="1282"/>
      <c r="Z6" s="1283"/>
      <c r="AA6" s="1281"/>
      <c r="AB6" s="1281"/>
      <c r="AC6" s="1281"/>
      <c r="AD6" s="1281"/>
      <c r="AE6" s="1282"/>
      <c r="AF6" s="1283"/>
      <c r="AG6" s="1281"/>
      <c r="AH6" s="1285"/>
      <c r="AI6" s="1281"/>
    </row>
    <row r="7" spans="1:36" s="15" customFormat="1" ht="15.75">
      <c r="A7" s="2"/>
      <c r="D7" s="1280" t="s">
        <v>193</v>
      </c>
      <c r="E7" s="1281"/>
      <c r="F7" s="1281"/>
      <c r="G7" s="1281"/>
      <c r="H7" s="1281"/>
      <c r="I7" s="1281"/>
      <c r="J7" s="1281"/>
      <c r="K7" s="1281"/>
      <c r="L7" s="1281"/>
      <c r="M7" s="1281"/>
      <c r="N7" s="1286" t="s">
        <v>194</v>
      </c>
      <c r="O7" s="1281"/>
      <c r="P7" s="1281"/>
      <c r="Q7" s="1282" t="s">
        <v>195</v>
      </c>
      <c r="R7" s="1286" t="s">
        <v>194</v>
      </c>
      <c r="S7" s="1281"/>
      <c r="T7" s="1286" t="s">
        <v>194</v>
      </c>
      <c r="U7" s="1281"/>
      <c r="V7" s="1281"/>
      <c r="W7" s="1281"/>
      <c r="X7" s="1281"/>
      <c r="Y7" s="1281"/>
      <c r="Z7" s="1286" t="s">
        <v>194</v>
      </c>
      <c r="AA7" s="1281"/>
      <c r="AB7" s="1281"/>
      <c r="AC7" s="1281"/>
      <c r="AD7" s="1281"/>
      <c r="AE7" s="1281"/>
      <c r="AF7" s="1286" t="s">
        <v>194</v>
      </c>
      <c r="AG7" s="1281"/>
      <c r="AH7" s="1281"/>
      <c r="AI7" s="1281"/>
    </row>
    <row r="8" spans="1:36" s="15" customFormat="1" ht="15.75">
      <c r="A8" s="2"/>
      <c r="D8" s="1287" t="s">
        <v>824</v>
      </c>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row>
    <row r="9" spans="1:36" s="15" customFormat="1" ht="15.75">
      <c r="A9" s="2"/>
      <c r="D9" s="1288"/>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row>
    <row r="10" spans="1:36" s="15" customFormat="1" ht="15">
      <c r="A10" s="2"/>
      <c r="D10" s="1289"/>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row>
    <row r="11" spans="1:36" s="15" customFormat="1" ht="15">
      <c r="A11" s="2"/>
      <c r="D11" s="1290"/>
      <c r="E11" s="1290"/>
      <c r="F11" s="1290"/>
      <c r="G11" s="1290"/>
      <c r="H11" s="1290"/>
      <c r="I11" s="1290"/>
      <c r="J11" s="1291"/>
      <c r="K11" s="1292"/>
      <c r="L11" s="1291"/>
      <c r="M11" s="1292"/>
      <c r="N11" s="1293"/>
      <c r="O11" s="1292"/>
      <c r="P11" s="1291"/>
      <c r="Q11" s="1292"/>
      <c r="R11" s="1291"/>
      <c r="S11" s="1292"/>
      <c r="T11" s="1293"/>
      <c r="U11" s="1292"/>
      <c r="V11" s="1291"/>
      <c r="W11" s="1292"/>
      <c r="X11" s="1291"/>
      <c r="Y11" s="1292"/>
      <c r="Z11" s="1293"/>
      <c r="AA11" s="1292"/>
      <c r="AB11" s="1291"/>
      <c r="AC11" s="1292"/>
      <c r="AD11" s="1291"/>
      <c r="AE11" s="1292"/>
      <c r="AF11" s="1293"/>
      <c r="AG11" s="1292"/>
      <c r="AH11" s="1291"/>
      <c r="AI11" s="1291"/>
    </row>
    <row r="12" spans="1:36" s="15" customFormat="1" ht="15.75" thickBot="1">
      <c r="A12" s="2"/>
      <c r="B12" s="26" t="s">
        <v>394</v>
      </c>
      <c r="D12" s="1290"/>
      <c r="E12" s="1290"/>
      <c r="F12" s="1290"/>
      <c r="G12" s="1290"/>
      <c r="H12" s="1290"/>
      <c r="I12" s="1290"/>
      <c r="J12" s="1294">
        <f>DATE(MID(J3,1,4), MID(J3,6,2), MID(J3,6,2))</f>
        <v>43225</v>
      </c>
      <c r="K12" s="1295"/>
      <c r="L12" s="1294">
        <f>DATE(MID(L3,1,4), MID(L3,6,2), MID(L3,6,2))</f>
        <v>43257</v>
      </c>
      <c r="M12" s="1295"/>
      <c r="N12" s="1294">
        <f>DATE(MID(N3,1,4), MID(N3,6,2), MID(N3,6,2))</f>
        <v>43288</v>
      </c>
      <c r="O12" s="1296"/>
      <c r="P12" s="1294">
        <f>DATE(MID(P3,1,4), MID(P3,6,2), MID(P3,6,2))</f>
        <v>43320</v>
      </c>
      <c r="Q12" s="1295"/>
      <c r="R12" s="1294">
        <f>DATE(MID(R3,1,4), MID(R3,6,2), MID(R3,6,2))</f>
        <v>43352</v>
      </c>
      <c r="S12" s="1295"/>
      <c r="T12" s="1294">
        <f>DATE(MID(T3,1,4), MID(T3,6,2), MID(T3,6,2))</f>
        <v>43383</v>
      </c>
      <c r="U12" s="1296"/>
      <c r="V12" s="1294">
        <f>DATE(MID(V3,1,4), MID(V3,6,2), MID(V3,6,2))</f>
        <v>43415</v>
      </c>
      <c r="W12" s="1295"/>
      <c r="X12" s="1294">
        <f>DATE(MID(X3,1,4), MID(X3,6,2), MID(X3,6,2))</f>
        <v>43446</v>
      </c>
      <c r="Y12" s="1295"/>
      <c r="Z12" s="1294">
        <f>DATE(MID(Z3,1,4), MID(Z3,6,2), MID(Z3,6,2))</f>
        <v>43466</v>
      </c>
      <c r="AA12" s="1296"/>
      <c r="AB12" s="1294">
        <f>DATE(MID(AB3,1,4), MID(AB3,6,2), MID(AB3,6,2))</f>
        <v>43498</v>
      </c>
      <c r="AC12" s="1295"/>
      <c r="AD12" s="1294">
        <f>DATE(MID(AD3,1,4), MID(AD3,6,2), MID(AD3,6,2))</f>
        <v>43527</v>
      </c>
      <c r="AE12" s="1295"/>
      <c r="AF12" s="1294">
        <f>DATE(MID(AF3,1,4), MID(AF3,6,2), MID(AF3,6,2))</f>
        <v>43559</v>
      </c>
      <c r="AG12" s="1296"/>
      <c r="AH12" s="1294" t="s">
        <v>13</v>
      </c>
      <c r="AI12" s="1297"/>
    </row>
    <row r="13" spans="1:36" s="407" customFormat="1" outlineLevel="1">
      <c r="B13" s="24" t="s">
        <v>395</v>
      </c>
      <c r="D13" s="1298">
        <v>98501</v>
      </c>
      <c r="E13" s="1298" t="s">
        <v>436</v>
      </c>
      <c r="F13" s="1299"/>
      <c r="G13" s="1300"/>
      <c r="H13" s="1301"/>
      <c r="I13" s="1302"/>
      <c r="J13" s="1303">
        <v>23</v>
      </c>
      <c r="K13" s="1302"/>
      <c r="L13" s="1303">
        <v>21</v>
      </c>
      <c r="M13" s="1302"/>
      <c r="N13" s="1303">
        <v>22</v>
      </c>
      <c r="O13" s="1302"/>
      <c r="P13" s="1303">
        <v>23</v>
      </c>
      <c r="Q13" s="1302"/>
      <c r="R13" s="1303">
        <v>20</v>
      </c>
      <c r="S13" s="1302"/>
      <c r="T13" s="1303">
        <v>23</v>
      </c>
      <c r="U13" s="1302"/>
      <c r="V13" s="1303">
        <v>22</v>
      </c>
      <c r="W13" s="1302"/>
      <c r="X13" s="1303">
        <v>21</v>
      </c>
      <c r="Y13" s="1302"/>
      <c r="Z13" s="1303">
        <v>23</v>
      </c>
      <c r="AA13" s="1302"/>
      <c r="AB13" s="1303">
        <v>20</v>
      </c>
      <c r="AC13" s="1302"/>
      <c r="AD13" s="1303">
        <v>21</v>
      </c>
      <c r="AE13" s="1302"/>
      <c r="AF13" s="1303">
        <v>22</v>
      </c>
      <c r="AG13" s="1302"/>
      <c r="AH13" s="1303">
        <f>AF13+AD13+AB13+Z13+X13+V13+T13+R13+P13+N13+L13+J13</f>
        <v>261</v>
      </c>
      <c r="AI13" s="1304">
        <f>IF(AH$59=0,0,AH13/AH$59)</f>
        <v>3.9316290550887977E-5</v>
      </c>
      <c r="AJ13" s="12"/>
    </row>
    <row r="14" spans="1:36" s="8" customFormat="1" ht="4.5" customHeight="1">
      <c r="D14" s="1301"/>
      <c r="E14" s="1301"/>
      <c r="F14" s="1301"/>
      <c r="G14" s="1301"/>
      <c r="H14" s="1301"/>
      <c r="I14" s="1301"/>
      <c r="J14" s="1302"/>
      <c r="K14" s="1281"/>
      <c r="L14" s="1302"/>
      <c r="M14" s="1281"/>
      <c r="N14" s="1302"/>
      <c r="O14" s="1281"/>
      <c r="P14" s="1302"/>
      <c r="Q14" s="1281"/>
      <c r="R14" s="1302"/>
      <c r="S14" s="1281"/>
      <c r="T14" s="1302"/>
      <c r="U14" s="1281"/>
      <c r="V14" s="1302"/>
      <c r="W14" s="1281"/>
      <c r="X14" s="1302"/>
      <c r="Y14" s="1281"/>
      <c r="Z14" s="1302"/>
      <c r="AA14" s="1281"/>
      <c r="AB14" s="1302"/>
      <c r="AC14" s="1281"/>
      <c r="AD14" s="1302"/>
      <c r="AE14" s="1281"/>
      <c r="AF14" s="1302"/>
      <c r="AG14" s="1281"/>
      <c r="AH14" s="1302"/>
      <c r="AI14" s="1305"/>
      <c r="AJ14" s="15"/>
    </row>
    <row r="15" spans="1:36" s="8" customFormat="1" ht="15" outlineLevel="1">
      <c r="D15" s="1301"/>
      <c r="E15" s="1301"/>
      <c r="F15" s="1301"/>
      <c r="G15" s="1301"/>
      <c r="H15" s="1301"/>
      <c r="I15" s="1301"/>
      <c r="J15" s="1302"/>
      <c r="K15" s="1281"/>
      <c r="L15" s="1302"/>
      <c r="M15" s="1281"/>
      <c r="N15" s="1302"/>
      <c r="O15" s="1281"/>
      <c r="P15" s="1302"/>
      <c r="Q15" s="1281"/>
      <c r="R15" s="1302"/>
      <c r="S15" s="1281"/>
      <c r="T15" s="1302"/>
      <c r="U15" s="1281"/>
      <c r="V15" s="1302"/>
      <c r="W15" s="1281"/>
      <c r="X15" s="1302"/>
      <c r="Y15" s="1281"/>
      <c r="Z15" s="1302"/>
      <c r="AA15" s="1281"/>
      <c r="AB15" s="1302"/>
      <c r="AC15" s="1281"/>
      <c r="AD15" s="1302"/>
      <c r="AE15" s="1281"/>
      <c r="AF15" s="1302"/>
      <c r="AG15" s="1281"/>
      <c r="AH15" s="1302"/>
      <c r="AI15" s="1306"/>
      <c r="AJ15" s="15"/>
    </row>
    <row r="16" spans="1:36" s="407" customFormat="1" outlineLevel="1">
      <c r="B16" s="24" t="s">
        <v>396</v>
      </c>
      <c r="D16" s="1298"/>
      <c r="E16" s="1298"/>
      <c r="F16" s="1299"/>
      <c r="G16" s="1300"/>
      <c r="H16" s="1301"/>
      <c r="I16" s="1302"/>
      <c r="J16" s="1303"/>
      <c r="K16" s="1302"/>
      <c r="L16" s="1303"/>
      <c r="M16" s="1302"/>
      <c r="N16" s="1303"/>
      <c r="O16" s="1302"/>
      <c r="P16" s="1303"/>
      <c r="Q16" s="1302"/>
      <c r="R16" s="1303"/>
      <c r="S16" s="1302"/>
      <c r="T16" s="1303"/>
      <c r="U16" s="1302"/>
      <c r="V16" s="1303"/>
      <c r="W16" s="1302"/>
      <c r="X16" s="1303"/>
      <c r="Y16" s="1302"/>
      <c r="Z16" s="1303"/>
      <c r="AA16" s="1302"/>
      <c r="AB16" s="1303"/>
      <c r="AC16" s="1302"/>
      <c r="AD16" s="1303"/>
      <c r="AE16" s="1302"/>
      <c r="AF16" s="1303"/>
      <c r="AG16" s="1302"/>
      <c r="AH16" s="1303">
        <f>AF16+AD16+AB16+Z16+X16+V16+T16+R16+P16+N16+L16+J16</f>
        <v>0</v>
      </c>
      <c r="AI16" s="1304">
        <f>IF(AH$59=0,0,AH16/AH$59)</f>
        <v>0</v>
      </c>
      <c r="AJ16" s="12"/>
    </row>
    <row r="17" spans="2:36" s="8" customFormat="1" ht="4.5" customHeight="1" outlineLevel="1">
      <c r="B17" s="16" t="s">
        <v>194</v>
      </c>
      <c r="D17" s="1301"/>
      <c r="E17" s="1301"/>
      <c r="F17" s="1301"/>
      <c r="G17" s="1301"/>
      <c r="H17" s="1301"/>
      <c r="I17" s="1301"/>
      <c r="J17" s="1307"/>
      <c r="K17" s="1281"/>
      <c r="L17" s="1307"/>
      <c r="M17" s="1281"/>
      <c r="N17" s="1307"/>
      <c r="O17" s="1281"/>
      <c r="P17" s="1307"/>
      <c r="Q17" s="1281"/>
      <c r="R17" s="1307"/>
      <c r="S17" s="1281"/>
      <c r="T17" s="1307"/>
      <c r="U17" s="1281"/>
      <c r="V17" s="1307"/>
      <c r="W17" s="1281"/>
      <c r="X17" s="1307"/>
      <c r="Y17" s="1281"/>
      <c r="Z17" s="1307"/>
      <c r="AA17" s="1281"/>
      <c r="AB17" s="1307"/>
      <c r="AC17" s="1281"/>
      <c r="AD17" s="1307"/>
      <c r="AE17" s="1281"/>
      <c r="AF17" s="1307"/>
      <c r="AG17" s="1281"/>
      <c r="AH17" s="1307"/>
      <c r="AI17" s="1306"/>
      <c r="AJ17" s="15"/>
    </row>
    <row r="18" spans="2:36" s="8" customFormat="1" ht="15">
      <c r="B18" s="2" t="s">
        <v>194</v>
      </c>
      <c r="D18" s="1301"/>
      <c r="E18" s="1301"/>
      <c r="F18" s="1301" t="s">
        <v>208</v>
      </c>
      <c r="G18" s="1301"/>
      <c r="H18" s="1301"/>
      <c r="I18" s="1301"/>
      <c r="J18" s="1308">
        <f>SUM(J15:J17)</f>
        <v>0</v>
      </c>
      <c r="K18" s="1309"/>
      <c r="L18" s="1308">
        <f>SUM(L15:L17)</f>
        <v>0</v>
      </c>
      <c r="M18" s="1309"/>
      <c r="N18" s="1308">
        <f>SUM(N15:N17)</f>
        <v>0</v>
      </c>
      <c r="O18" s="1309"/>
      <c r="P18" s="1308">
        <f>SUM(P15:P17)</f>
        <v>0</v>
      </c>
      <c r="Q18" s="1309"/>
      <c r="R18" s="1308">
        <f>SUM(R15:R17)</f>
        <v>0</v>
      </c>
      <c r="S18" s="1309"/>
      <c r="T18" s="1308">
        <f>SUM(T15:T17)</f>
        <v>0</v>
      </c>
      <c r="U18" s="1309"/>
      <c r="V18" s="1308">
        <f>SUM(V15:V17)</f>
        <v>0</v>
      </c>
      <c r="W18" s="1309"/>
      <c r="X18" s="1308">
        <f>SUM(X15:X17)</f>
        <v>0</v>
      </c>
      <c r="Y18" s="1309"/>
      <c r="Z18" s="1308">
        <f>SUM(Z15:Z17)</f>
        <v>0</v>
      </c>
      <c r="AA18" s="1309"/>
      <c r="AB18" s="1308">
        <f>SUM(AB15:AB17)</f>
        <v>0</v>
      </c>
      <c r="AC18" s="1309"/>
      <c r="AD18" s="1308">
        <f>SUM(AD15:AD17)</f>
        <v>0</v>
      </c>
      <c r="AE18" s="1309"/>
      <c r="AF18" s="1308">
        <f>SUM(AF15:AF17)</f>
        <v>0</v>
      </c>
      <c r="AG18" s="1309"/>
      <c r="AH18" s="1308">
        <f>SUM(AH15:AH17)</f>
        <v>0</v>
      </c>
      <c r="AI18" s="1304">
        <f>IF(AH$59=0,0,AH18/AH$59)</f>
        <v>0</v>
      </c>
      <c r="AJ18" s="15"/>
    </row>
    <row r="19" spans="2:36" s="8" customFormat="1" ht="15" outlineLevel="1">
      <c r="B19" s="16" t="s">
        <v>194</v>
      </c>
      <c r="D19" s="1301"/>
      <c r="E19" s="1301"/>
      <c r="F19" s="1301"/>
      <c r="G19" s="1301"/>
      <c r="H19" s="1301"/>
      <c r="I19" s="1301"/>
      <c r="J19" s="1310"/>
      <c r="K19" s="1309"/>
      <c r="L19" s="1310"/>
      <c r="M19" s="1309"/>
      <c r="N19" s="1310"/>
      <c r="O19" s="1309"/>
      <c r="P19" s="1310"/>
      <c r="Q19" s="1309"/>
      <c r="R19" s="1310"/>
      <c r="S19" s="1309"/>
      <c r="T19" s="1310"/>
      <c r="U19" s="1309"/>
      <c r="V19" s="1310"/>
      <c r="W19" s="1309"/>
      <c r="X19" s="1310"/>
      <c r="Y19" s="1309"/>
      <c r="Z19" s="1310"/>
      <c r="AA19" s="1309"/>
      <c r="AB19" s="1310"/>
      <c r="AC19" s="1309"/>
      <c r="AD19" s="1310"/>
      <c r="AE19" s="1309"/>
      <c r="AF19" s="1310"/>
      <c r="AG19" s="1309"/>
      <c r="AH19" s="1310"/>
      <c r="AI19" s="1306"/>
      <c r="AJ19" s="15"/>
    </row>
    <row r="20" spans="2:36" s="407" customFormat="1" outlineLevel="1">
      <c r="B20" s="24" t="s">
        <v>399</v>
      </c>
      <c r="D20" s="1298">
        <v>35000</v>
      </c>
      <c r="E20" s="1298" t="s">
        <v>290</v>
      </c>
      <c r="F20" s="1299"/>
      <c r="G20" s="1300"/>
      <c r="H20" s="1301"/>
      <c r="I20" s="1302"/>
      <c r="J20" s="1303">
        <v>523490.74</v>
      </c>
      <c r="K20" s="1302"/>
      <c r="L20" s="1303">
        <v>447336.87</v>
      </c>
      <c r="M20" s="1302"/>
      <c r="N20" s="1303">
        <v>443518.91</v>
      </c>
      <c r="O20" s="1302"/>
      <c r="P20" s="1303">
        <v>425557.53</v>
      </c>
      <c r="Q20" s="1302"/>
      <c r="R20" s="1303">
        <v>417274.67</v>
      </c>
      <c r="S20" s="1302"/>
      <c r="T20" s="1303">
        <v>444048.03</v>
      </c>
      <c r="U20" s="1302"/>
      <c r="V20" s="1303">
        <v>457569.46</v>
      </c>
      <c r="W20" s="1302"/>
      <c r="X20" s="1303">
        <v>385330.39</v>
      </c>
      <c r="Y20" s="1302"/>
      <c r="Z20" s="1303">
        <v>415770.09</v>
      </c>
      <c r="AA20" s="1302"/>
      <c r="AB20" s="1303">
        <v>340588.95</v>
      </c>
      <c r="AC20" s="1302"/>
      <c r="AD20" s="1303">
        <v>474821.1</v>
      </c>
      <c r="AE20" s="1302"/>
      <c r="AF20" s="1303">
        <v>517702.76</v>
      </c>
      <c r="AG20" s="1302"/>
      <c r="AH20" s="1303">
        <f t="shared" ref="AH20:AH22" si="0">AF20+AD20+AB20+Z20+X20+V20+T20+R20+P20+N20+L20+J20</f>
        <v>5293009.5000000009</v>
      </c>
      <c r="AI20" s="1304">
        <f t="shared" ref="AI20:AI22" si="1">IF(AH$59=0,0,AH20/AH$59)</f>
        <v>0.79732375245444564</v>
      </c>
      <c r="AJ20" s="12"/>
    </row>
    <row r="21" spans="2:36" s="407" customFormat="1" outlineLevel="1">
      <c r="B21" s="24" t="s">
        <v>397</v>
      </c>
      <c r="D21" s="1298">
        <v>35500</v>
      </c>
      <c r="E21" s="1298" t="s">
        <v>291</v>
      </c>
      <c r="F21" s="1299"/>
      <c r="G21" s="1300"/>
      <c r="H21" s="1301"/>
      <c r="I21" s="1302"/>
      <c r="J21" s="1303">
        <v>63573.86</v>
      </c>
      <c r="K21" s="1302"/>
      <c r="L21" s="1303">
        <v>58484.639999999999</v>
      </c>
      <c r="M21" s="1302"/>
      <c r="N21" s="1303">
        <v>60728.53</v>
      </c>
      <c r="O21" s="1302"/>
      <c r="P21" s="1303">
        <v>68145.38</v>
      </c>
      <c r="Q21" s="1302"/>
      <c r="R21" s="1303">
        <v>56608.04</v>
      </c>
      <c r="S21" s="1302"/>
      <c r="T21" s="1303">
        <v>61106.75</v>
      </c>
      <c r="U21" s="1302"/>
      <c r="V21" s="1303">
        <v>63280.2</v>
      </c>
      <c r="W21" s="1302"/>
      <c r="X21" s="1303">
        <v>72689.52</v>
      </c>
      <c r="Y21" s="1302"/>
      <c r="Z21" s="1303">
        <v>88152</v>
      </c>
      <c r="AA21" s="1302"/>
      <c r="AB21" s="1303">
        <v>61749.94</v>
      </c>
      <c r="AC21" s="1302"/>
      <c r="AD21" s="1303">
        <v>68973.52</v>
      </c>
      <c r="AE21" s="1302"/>
      <c r="AF21" s="1303">
        <v>70296.62</v>
      </c>
      <c r="AG21" s="1302"/>
      <c r="AH21" s="1303">
        <f t="shared" si="0"/>
        <v>793789.00000000012</v>
      </c>
      <c r="AI21" s="1304">
        <f t="shared" si="1"/>
        <v>0.11957409563256254</v>
      </c>
      <c r="AJ21" s="12"/>
    </row>
    <row r="22" spans="2:36" s="407" customFormat="1" outlineLevel="1">
      <c r="B22" s="24" t="s">
        <v>397</v>
      </c>
      <c r="D22" s="1298">
        <v>35509</v>
      </c>
      <c r="E22" s="1298" t="s">
        <v>209</v>
      </c>
      <c r="F22" s="1299"/>
      <c r="G22" s="1300"/>
      <c r="H22" s="1301"/>
      <c r="I22" s="1302"/>
      <c r="J22" s="1303">
        <v>14403.6</v>
      </c>
      <c r="K22" s="1302"/>
      <c r="L22" s="1303">
        <v>13801.5</v>
      </c>
      <c r="M22" s="1302"/>
      <c r="N22" s="1303">
        <v>13274.1</v>
      </c>
      <c r="O22" s="1302"/>
      <c r="P22" s="1303">
        <v>14758.2</v>
      </c>
      <c r="Q22" s="1302"/>
      <c r="R22" s="1303">
        <v>11911.2</v>
      </c>
      <c r="S22" s="1302"/>
      <c r="T22" s="1303">
        <v>13113.3</v>
      </c>
      <c r="U22" s="1302"/>
      <c r="V22" s="1303">
        <v>10953.6</v>
      </c>
      <c r="W22" s="1302"/>
      <c r="X22" s="1303">
        <v>11692.8</v>
      </c>
      <c r="Y22" s="1302"/>
      <c r="Z22" s="1303">
        <v>14006.7</v>
      </c>
      <c r="AA22" s="1302"/>
      <c r="AB22" s="1303">
        <v>11756.7</v>
      </c>
      <c r="AC22" s="1302"/>
      <c r="AD22" s="1303">
        <v>14306.1</v>
      </c>
      <c r="AE22" s="1302"/>
      <c r="AF22" s="1303">
        <v>15835.5</v>
      </c>
      <c r="AG22" s="1302"/>
      <c r="AH22" s="1303">
        <f t="shared" si="0"/>
        <v>159813.30000000002</v>
      </c>
      <c r="AI22" s="1304">
        <f t="shared" si="1"/>
        <v>2.4073816615694351E-2</v>
      </c>
      <c r="AJ22" s="12"/>
    </row>
    <row r="23" spans="2:36" s="8" customFormat="1" ht="5.0999999999999996" customHeight="1" outlineLevel="1">
      <c r="B23" s="16" t="s">
        <v>194</v>
      </c>
      <c r="D23" s="1299"/>
      <c r="E23" s="1299"/>
      <c r="F23" s="1299"/>
      <c r="G23" s="1299"/>
      <c r="H23" s="1301"/>
      <c r="I23" s="1301"/>
      <c r="J23" s="1311"/>
      <c r="K23" s="1309"/>
      <c r="L23" s="1311"/>
      <c r="M23" s="1309"/>
      <c r="N23" s="1311"/>
      <c r="O23" s="1309"/>
      <c r="P23" s="1311"/>
      <c r="Q23" s="1309"/>
      <c r="R23" s="1311"/>
      <c r="S23" s="1309"/>
      <c r="T23" s="1311"/>
      <c r="U23" s="1309"/>
      <c r="V23" s="1311"/>
      <c r="W23" s="1309"/>
      <c r="X23" s="1311"/>
      <c r="Y23" s="1309"/>
      <c r="Z23" s="1311"/>
      <c r="AA23" s="1309"/>
      <c r="AB23" s="1311"/>
      <c r="AC23" s="1309"/>
      <c r="AD23" s="1311"/>
      <c r="AE23" s="1309"/>
      <c r="AF23" s="1311"/>
      <c r="AG23" s="1309"/>
      <c r="AH23" s="1311"/>
      <c r="AI23" s="1306"/>
      <c r="AJ23" s="15"/>
    </row>
    <row r="24" spans="2:36" s="8" customFormat="1" ht="15">
      <c r="B24" s="2" t="s">
        <v>194</v>
      </c>
      <c r="D24" s="1301"/>
      <c r="E24" s="1301"/>
      <c r="F24" s="1299" t="s">
        <v>210</v>
      </c>
      <c r="G24" s="1301"/>
      <c r="H24" s="1301"/>
      <c r="I24" s="1301"/>
      <c r="J24" s="1308">
        <f>SUM(J20:J23)</f>
        <v>601468.19999999995</v>
      </c>
      <c r="K24" s="1309"/>
      <c r="L24" s="1308">
        <f>SUM(L20:L23)</f>
        <v>519623.01</v>
      </c>
      <c r="M24" s="1309"/>
      <c r="N24" s="1308">
        <f>SUM(N20:N23)</f>
        <v>517521.53999999992</v>
      </c>
      <c r="O24" s="1309"/>
      <c r="P24" s="1308">
        <f>SUM(P20:P23)</f>
        <v>508461.11000000004</v>
      </c>
      <c r="Q24" s="1309"/>
      <c r="R24" s="1308">
        <f>SUM(R20:R23)</f>
        <v>485793.91</v>
      </c>
      <c r="S24" s="1309"/>
      <c r="T24" s="1308">
        <f>SUM(T20:T23)</f>
        <v>518268.08</v>
      </c>
      <c r="U24" s="1309"/>
      <c r="V24" s="1308">
        <f>SUM(V20:V23)</f>
        <v>531803.26</v>
      </c>
      <c r="W24" s="1309"/>
      <c r="X24" s="1308">
        <f>SUM(X20:X23)</f>
        <v>469712.71</v>
      </c>
      <c r="Y24" s="1309"/>
      <c r="Z24" s="1308">
        <f>SUM(Z20:Z23)</f>
        <v>517928.79000000004</v>
      </c>
      <c r="AA24" s="1309"/>
      <c r="AB24" s="1308">
        <f>SUM(AB20:AB23)</f>
        <v>414095.59</v>
      </c>
      <c r="AC24" s="1309"/>
      <c r="AD24" s="1308">
        <f>SUM(AD20:AD23)</f>
        <v>558100.72</v>
      </c>
      <c r="AE24" s="1309"/>
      <c r="AF24" s="1308">
        <f>SUM(AF20:AF23)</f>
        <v>603834.88</v>
      </c>
      <c r="AG24" s="1309"/>
      <c r="AH24" s="1308">
        <f>SUM(AH20:AH23)</f>
        <v>6246611.8000000007</v>
      </c>
      <c r="AI24" s="1304">
        <f>IF(AH$59=0,0,AH24/AH$59)</f>
        <v>0.94097166470270255</v>
      </c>
      <c r="AJ24" s="15"/>
    </row>
    <row r="25" spans="2:36" s="8" customFormat="1" ht="15" outlineLevel="1">
      <c r="B25" s="2"/>
      <c r="D25" s="1301"/>
      <c r="E25" s="1301"/>
      <c r="F25" s="1301"/>
      <c r="G25" s="1301"/>
      <c r="H25" s="1301"/>
      <c r="I25" s="1301"/>
      <c r="J25" s="1310"/>
      <c r="K25" s="1309"/>
      <c r="L25" s="1310"/>
      <c r="M25" s="1309"/>
      <c r="N25" s="1310"/>
      <c r="O25" s="1309"/>
      <c r="P25" s="1310"/>
      <c r="Q25" s="1309"/>
      <c r="R25" s="1310"/>
      <c r="S25" s="1309"/>
      <c r="T25" s="1310"/>
      <c r="U25" s="1309"/>
      <c r="V25" s="1310"/>
      <c r="W25" s="1309"/>
      <c r="X25" s="1310"/>
      <c r="Y25" s="1309"/>
      <c r="Z25" s="1310"/>
      <c r="AA25" s="1309"/>
      <c r="AB25" s="1310"/>
      <c r="AC25" s="1309"/>
      <c r="AD25" s="1310"/>
      <c r="AE25" s="1309"/>
      <c r="AF25" s="1310"/>
      <c r="AG25" s="1309"/>
      <c r="AH25" s="1310"/>
      <c r="AI25" s="1306"/>
      <c r="AJ25" s="15"/>
    </row>
    <row r="26" spans="2:36" s="8" customFormat="1" ht="15" outlineLevel="1">
      <c r="B26" s="2" t="s">
        <v>194</v>
      </c>
      <c r="D26" s="1301"/>
      <c r="E26" s="1301"/>
      <c r="F26" s="1301"/>
      <c r="G26" s="1301"/>
      <c r="H26" s="1301"/>
      <c r="I26" s="1301"/>
      <c r="J26" s="1310"/>
      <c r="K26" s="1309"/>
      <c r="L26" s="1310"/>
      <c r="M26" s="1309"/>
      <c r="N26" s="1310"/>
      <c r="O26" s="1309"/>
      <c r="P26" s="1310"/>
      <c r="Q26" s="1309"/>
      <c r="R26" s="1310"/>
      <c r="S26" s="1309"/>
      <c r="T26" s="1310"/>
      <c r="U26" s="1309"/>
      <c r="V26" s="1310"/>
      <c r="W26" s="1309"/>
      <c r="X26" s="1310"/>
      <c r="Y26" s="1309"/>
      <c r="Z26" s="1310"/>
      <c r="AA26" s="1309"/>
      <c r="AB26" s="1310"/>
      <c r="AC26" s="1309"/>
      <c r="AD26" s="1310"/>
      <c r="AE26" s="1309"/>
      <c r="AF26" s="1310"/>
      <c r="AG26" s="1309"/>
      <c r="AH26" s="1310"/>
      <c r="AI26" s="1306"/>
      <c r="AJ26" s="15"/>
    </row>
    <row r="27" spans="2:36" s="407" customFormat="1" outlineLevel="1">
      <c r="B27" s="24" t="s">
        <v>400</v>
      </c>
      <c r="D27" s="1298">
        <v>35510</v>
      </c>
      <c r="E27" s="1298" t="s">
        <v>292</v>
      </c>
      <c r="F27" s="1299"/>
      <c r="G27" s="1300"/>
      <c r="H27" s="1301"/>
      <c r="I27" s="1302"/>
      <c r="J27" s="1303">
        <v>17252.22</v>
      </c>
      <c r="K27" s="1302"/>
      <c r="L27" s="1303">
        <v>8277.0300000000007</v>
      </c>
      <c r="M27" s="1302"/>
      <c r="N27" s="1303">
        <v>12999.37</v>
      </c>
      <c r="O27" s="1302"/>
      <c r="P27" s="1303">
        <v>5619.52</v>
      </c>
      <c r="Q27" s="1302"/>
      <c r="R27" s="1303">
        <v>11091.53</v>
      </c>
      <c r="S27" s="1302"/>
      <c r="T27" s="1303">
        <v>1084.1099999999999</v>
      </c>
      <c r="U27" s="1302"/>
      <c r="V27" s="1303">
        <v>3468.79</v>
      </c>
      <c r="W27" s="1302"/>
      <c r="X27" s="1303">
        <v>5163.1400000000003</v>
      </c>
      <c r="Y27" s="1302"/>
      <c r="Z27" s="1303">
        <v>8361.0400000000009</v>
      </c>
      <c r="AA27" s="1302"/>
      <c r="AB27" s="1303">
        <v>-4607.46</v>
      </c>
      <c r="AC27" s="1302"/>
      <c r="AD27" s="1303">
        <v>-2479.6999999999998</v>
      </c>
      <c r="AE27" s="1302"/>
      <c r="AF27" s="1303">
        <v>8859.2900000000009</v>
      </c>
      <c r="AG27" s="1302"/>
      <c r="AH27" s="1303">
        <f t="shared" ref="AH27:AH40" si="2">AF27+AD27+AB27+Z27+X27+V27+T27+R27+P27+N27+L27+J27</f>
        <v>75088.88</v>
      </c>
      <c r="AI27" s="1304">
        <f t="shared" ref="AI27:AI40" si="3">IF(AH$59=0,0,AH27/AH$59)</f>
        <v>1.1311173269045063E-2</v>
      </c>
      <c r="AJ27" s="12"/>
    </row>
    <row r="28" spans="2:36" s="407" customFormat="1" outlineLevel="1">
      <c r="B28" s="24" t="s">
        <v>397</v>
      </c>
      <c r="D28" s="1298">
        <v>35511</v>
      </c>
      <c r="E28" s="1298" t="s">
        <v>293</v>
      </c>
      <c r="F28" s="1299"/>
      <c r="G28" s="1300"/>
      <c r="H28" s="1301"/>
      <c r="I28" s="1302"/>
      <c r="J28" s="1303">
        <v>1881.65</v>
      </c>
      <c r="K28" s="1302"/>
      <c r="L28" s="1303">
        <v>37.049999999999997</v>
      </c>
      <c r="M28" s="1302"/>
      <c r="N28" s="1303">
        <v>899.6</v>
      </c>
      <c r="O28" s="1302"/>
      <c r="P28" s="1303">
        <v>1424.8</v>
      </c>
      <c r="Q28" s="1302"/>
      <c r="R28" s="1303">
        <v>-923</v>
      </c>
      <c r="S28" s="1302"/>
      <c r="T28" s="1303">
        <v>-748.15</v>
      </c>
      <c r="U28" s="1302"/>
      <c r="V28" s="1303">
        <v>1249.3</v>
      </c>
      <c r="W28" s="1302"/>
      <c r="X28" s="1303">
        <v>-1760.2</v>
      </c>
      <c r="Y28" s="1302"/>
      <c r="Z28" s="1303">
        <v>1606.8</v>
      </c>
      <c r="AA28" s="1302"/>
      <c r="AB28" s="1303">
        <v>1370.95</v>
      </c>
      <c r="AC28" s="1302"/>
      <c r="AD28" s="1303">
        <v>-2977.75</v>
      </c>
      <c r="AE28" s="1302"/>
      <c r="AF28" s="1303">
        <v>0</v>
      </c>
      <c r="AG28" s="1302"/>
      <c r="AH28" s="1303">
        <f t="shared" si="2"/>
        <v>2061.0499999999997</v>
      </c>
      <c r="AI28" s="1304">
        <f t="shared" si="3"/>
        <v>3.1047065379274962E-4</v>
      </c>
      <c r="AJ28" s="12"/>
    </row>
    <row r="29" spans="2:36" s="407" customFormat="1" outlineLevel="1">
      <c r="B29" s="24" t="s">
        <v>397</v>
      </c>
      <c r="D29" s="1298">
        <v>35512</v>
      </c>
      <c r="E29" s="1298" t="s">
        <v>826</v>
      </c>
      <c r="F29" s="1299"/>
      <c r="G29" s="1300"/>
      <c r="H29" s="1301"/>
      <c r="I29" s="1302"/>
      <c r="J29" s="1303">
        <v>42946.86</v>
      </c>
      <c r="K29" s="1302"/>
      <c r="L29" s="1303">
        <v>21867.95</v>
      </c>
      <c r="M29" s="1302"/>
      <c r="N29" s="1303">
        <v>12325.75</v>
      </c>
      <c r="O29" s="1302"/>
      <c r="P29" s="1303">
        <v>16972.400000000001</v>
      </c>
      <c r="Q29" s="1302"/>
      <c r="R29" s="1303">
        <v>3732.14</v>
      </c>
      <c r="S29" s="1302"/>
      <c r="T29" s="1303">
        <v>27826.87</v>
      </c>
      <c r="U29" s="1302"/>
      <c r="V29" s="1303">
        <v>20801.91</v>
      </c>
      <c r="W29" s="1302"/>
      <c r="X29" s="1303">
        <v>8150.09</v>
      </c>
      <c r="Y29" s="1302"/>
      <c r="Z29" s="1303">
        <v>17285.43</v>
      </c>
      <c r="AA29" s="1302"/>
      <c r="AB29" s="1303">
        <v>15676.89</v>
      </c>
      <c r="AC29" s="1302"/>
      <c r="AD29" s="1303">
        <v>-30355.82</v>
      </c>
      <c r="AE29" s="1302"/>
      <c r="AF29" s="1303">
        <v>-606.6</v>
      </c>
      <c r="AG29" s="1302"/>
      <c r="AH29" s="1303">
        <f t="shared" si="2"/>
        <v>156623.87</v>
      </c>
      <c r="AI29" s="1304">
        <f t="shared" si="3"/>
        <v>2.3593370038791212E-2</v>
      </c>
      <c r="AJ29" s="12"/>
    </row>
    <row r="30" spans="2:36" s="407" customFormat="1" outlineLevel="1">
      <c r="B30" s="24" t="s">
        <v>397</v>
      </c>
      <c r="D30" s="1298">
        <v>35513</v>
      </c>
      <c r="E30" s="1298" t="s">
        <v>827</v>
      </c>
      <c r="F30" s="1299"/>
      <c r="G30" s="1300"/>
      <c r="H30" s="1301"/>
      <c r="I30" s="1302"/>
      <c r="J30" s="1303">
        <v>451.4</v>
      </c>
      <c r="K30" s="1302"/>
      <c r="L30" s="1303">
        <v>6637.4</v>
      </c>
      <c r="M30" s="1302"/>
      <c r="N30" s="1303">
        <v>2092.5</v>
      </c>
      <c r="O30" s="1302"/>
      <c r="P30" s="1303">
        <v>1358.25</v>
      </c>
      <c r="Q30" s="1302"/>
      <c r="R30" s="1303">
        <v>1395</v>
      </c>
      <c r="S30" s="1302"/>
      <c r="T30" s="1303">
        <v>1162.5</v>
      </c>
      <c r="U30" s="1302"/>
      <c r="V30" s="1303">
        <v>-176.25</v>
      </c>
      <c r="W30" s="1302"/>
      <c r="X30" s="1303">
        <v>0</v>
      </c>
      <c r="Y30" s="1302"/>
      <c r="Z30" s="1303">
        <v>0</v>
      </c>
      <c r="AA30" s="1302"/>
      <c r="AB30" s="1303">
        <v>930</v>
      </c>
      <c r="AC30" s="1302"/>
      <c r="AD30" s="1303">
        <v>3819</v>
      </c>
      <c r="AE30" s="1302"/>
      <c r="AF30" s="1303">
        <v>1004.6</v>
      </c>
      <c r="AG30" s="1302"/>
      <c r="AH30" s="1303">
        <f t="shared" si="2"/>
        <v>18674.400000000001</v>
      </c>
      <c r="AI30" s="1304">
        <f t="shared" si="3"/>
        <v>2.8130579933467528E-3</v>
      </c>
      <c r="AJ30" s="12"/>
    </row>
    <row r="31" spans="2:36" s="407" customFormat="1" outlineLevel="1">
      <c r="B31" s="24" t="s">
        <v>397</v>
      </c>
      <c r="D31" s="1298">
        <v>35514</v>
      </c>
      <c r="E31" s="1298" t="s">
        <v>828</v>
      </c>
      <c r="F31" s="1299"/>
      <c r="G31" s="1300"/>
      <c r="H31" s="1301"/>
      <c r="I31" s="1302"/>
      <c r="J31" s="1303">
        <v>7175.5</v>
      </c>
      <c r="K31" s="1302"/>
      <c r="L31" s="1303">
        <v>7757.8</v>
      </c>
      <c r="M31" s="1302"/>
      <c r="N31" s="1303">
        <v>8455.2999999999993</v>
      </c>
      <c r="O31" s="1302"/>
      <c r="P31" s="1303">
        <v>6758.3</v>
      </c>
      <c r="Q31" s="1302"/>
      <c r="R31" s="1303">
        <v>5304.7</v>
      </c>
      <c r="S31" s="1302"/>
      <c r="T31" s="1303">
        <v>5266.4</v>
      </c>
      <c r="U31" s="1302"/>
      <c r="V31" s="1303">
        <v>6053.6</v>
      </c>
      <c r="W31" s="1302"/>
      <c r="X31" s="1303">
        <v>3168</v>
      </c>
      <c r="Y31" s="1302"/>
      <c r="Z31" s="1303">
        <v>4595.7</v>
      </c>
      <c r="AA31" s="1302"/>
      <c r="AB31" s="1303">
        <v>2718.8</v>
      </c>
      <c r="AC31" s="1302"/>
      <c r="AD31" s="1303">
        <v>-7314.5</v>
      </c>
      <c r="AE31" s="1302"/>
      <c r="AF31" s="1303">
        <v>0</v>
      </c>
      <c r="AG31" s="1302"/>
      <c r="AH31" s="1303">
        <f t="shared" si="2"/>
        <v>49939.600000000006</v>
      </c>
      <c r="AI31" s="1304">
        <f t="shared" si="3"/>
        <v>7.5227579448089096E-3</v>
      </c>
      <c r="AJ31" s="12"/>
    </row>
    <row r="32" spans="2:36" s="407" customFormat="1" outlineLevel="1">
      <c r="B32" s="24" t="s">
        <v>397</v>
      </c>
      <c r="D32" s="1298">
        <v>35515</v>
      </c>
      <c r="E32" s="1298" t="s">
        <v>294</v>
      </c>
      <c r="F32" s="1299"/>
      <c r="G32" s="1300"/>
      <c r="H32" s="1301"/>
      <c r="I32" s="1302"/>
      <c r="J32" s="1303">
        <v>1124.55</v>
      </c>
      <c r="K32" s="1302"/>
      <c r="L32" s="1303">
        <v>-143.85</v>
      </c>
      <c r="M32" s="1302"/>
      <c r="N32" s="1303">
        <v>-992.1</v>
      </c>
      <c r="O32" s="1302"/>
      <c r="P32" s="1303">
        <v>0</v>
      </c>
      <c r="Q32" s="1302"/>
      <c r="R32" s="1303">
        <v>0</v>
      </c>
      <c r="S32" s="1302"/>
      <c r="T32" s="1303">
        <v>0</v>
      </c>
      <c r="U32" s="1302"/>
      <c r="V32" s="1303">
        <v>0</v>
      </c>
      <c r="W32" s="1302"/>
      <c r="X32" s="1303">
        <v>0</v>
      </c>
      <c r="Y32" s="1302"/>
      <c r="Z32" s="1303">
        <v>0</v>
      </c>
      <c r="AA32" s="1302"/>
      <c r="AB32" s="1303">
        <v>0</v>
      </c>
      <c r="AC32" s="1302"/>
      <c r="AD32" s="1303">
        <v>0</v>
      </c>
      <c r="AE32" s="1302"/>
      <c r="AF32" s="1303">
        <v>0</v>
      </c>
      <c r="AG32" s="1302"/>
      <c r="AH32" s="1303">
        <f t="shared" si="2"/>
        <v>-11.400000000000091</v>
      </c>
      <c r="AI32" s="1304">
        <f t="shared" si="3"/>
        <v>-1.7172632654410978E-6</v>
      </c>
      <c r="AJ32" s="12"/>
    </row>
    <row r="33" spans="2:36" s="407" customFormat="1" outlineLevel="1">
      <c r="B33" s="24" t="s">
        <v>397</v>
      </c>
      <c r="D33" s="1298">
        <v>35516</v>
      </c>
      <c r="E33" s="1298" t="s">
        <v>831</v>
      </c>
      <c r="F33" s="1299"/>
      <c r="G33" s="1300"/>
      <c r="H33" s="1301"/>
      <c r="I33" s="1302"/>
      <c r="J33" s="1303">
        <v>0</v>
      </c>
      <c r="K33" s="1302"/>
      <c r="L33" s="1303">
        <v>0</v>
      </c>
      <c r="M33" s="1302"/>
      <c r="N33" s="1303">
        <v>0</v>
      </c>
      <c r="O33" s="1302"/>
      <c r="P33" s="1303">
        <v>0</v>
      </c>
      <c r="Q33" s="1302"/>
      <c r="R33" s="1303">
        <v>0</v>
      </c>
      <c r="S33" s="1302"/>
      <c r="T33" s="1303">
        <v>0</v>
      </c>
      <c r="U33" s="1302"/>
      <c r="V33" s="1303">
        <v>3307.2</v>
      </c>
      <c r="W33" s="1302"/>
      <c r="X33" s="1303">
        <v>-649</v>
      </c>
      <c r="Y33" s="1302"/>
      <c r="Z33" s="1303">
        <v>0</v>
      </c>
      <c r="AA33" s="1302"/>
      <c r="AB33" s="1303">
        <v>0</v>
      </c>
      <c r="AC33" s="1302"/>
      <c r="AD33" s="1303">
        <v>0</v>
      </c>
      <c r="AE33" s="1302"/>
      <c r="AF33" s="1303">
        <v>0</v>
      </c>
      <c r="AG33" s="1302"/>
      <c r="AH33" s="1303">
        <f t="shared" si="2"/>
        <v>2658.2</v>
      </c>
      <c r="AI33" s="1304">
        <f t="shared" si="3"/>
        <v>4.004236151048675E-4</v>
      </c>
      <c r="AJ33" s="12"/>
    </row>
    <row r="34" spans="2:36" s="407" customFormat="1" outlineLevel="1">
      <c r="B34" s="24" t="s">
        <v>397</v>
      </c>
      <c r="D34" s="1298">
        <v>35517</v>
      </c>
      <c r="E34" s="1298" t="s">
        <v>829</v>
      </c>
      <c r="F34" s="1299"/>
      <c r="G34" s="1300"/>
      <c r="H34" s="1301"/>
      <c r="I34" s="1302"/>
      <c r="J34" s="1303">
        <v>0</v>
      </c>
      <c r="K34" s="1302"/>
      <c r="L34" s="1303">
        <v>0</v>
      </c>
      <c r="M34" s="1302"/>
      <c r="N34" s="1303">
        <v>0</v>
      </c>
      <c r="O34" s="1302"/>
      <c r="P34" s="1303">
        <v>0</v>
      </c>
      <c r="Q34" s="1302"/>
      <c r="R34" s="1303">
        <v>0</v>
      </c>
      <c r="S34" s="1302"/>
      <c r="T34" s="1303">
        <v>0</v>
      </c>
      <c r="U34" s="1302"/>
      <c r="V34" s="1303">
        <v>0</v>
      </c>
      <c r="W34" s="1302"/>
      <c r="X34" s="1303">
        <v>0</v>
      </c>
      <c r="Y34" s="1302"/>
      <c r="Z34" s="1303">
        <v>0</v>
      </c>
      <c r="AA34" s="1302"/>
      <c r="AB34" s="1303">
        <v>0</v>
      </c>
      <c r="AC34" s="1302"/>
      <c r="AD34" s="1303">
        <v>12379</v>
      </c>
      <c r="AE34" s="1302"/>
      <c r="AF34" s="1303">
        <v>5493</v>
      </c>
      <c r="AG34" s="1302"/>
      <c r="AH34" s="1303">
        <f t="shared" si="2"/>
        <v>17872</v>
      </c>
      <c r="AI34" s="1304">
        <f t="shared" si="3"/>
        <v>2.692186761400268E-3</v>
      </c>
      <c r="AJ34" s="12"/>
    </row>
    <row r="35" spans="2:36" s="407" customFormat="1" outlineLevel="1">
      <c r="B35" s="24" t="s">
        <v>397</v>
      </c>
      <c r="D35" s="1298">
        <v>35519</v>
      </c>
      <c r="E35" s="1298" t="s">
        <v>548</v>
      </c>
      <c r="F35" s="1299"/>
      <c r="G35" s="1300"/>
      <c r="H35" s="1301"/>
      <c r="I35" s="1302"/>
      <c r="J35" s="1303">
        <v>0</v>
      </c>
      <c r="K35" s="1302"/>
      <c r="L35" s="1303">
        <v>0</v>
      </c>
      <c r="M35" s="1302"/>
      <c r="N35" s="1303">
        <v>0</v>
      </c>
      <c r="O35" s="1302"/>
      <c r="P35" s="1303">
        <v>0</v>
      </c>
      <c r="Q35" s="1302"/>
      <c r="R35" s="1303">
        <v>0</v>
      </c>
      <c r="S35" s="1302"/>
      <c r="T35" s="1303">
        <v>2598.09</v>
      </c>
      <c r="U35" s="1302"/>
      <c r="V35" s="1303">
        <v>2781.74</v>
      </c>
      <c r="W35" s="1302"/>
      <c r="X35" s="1303">
        <v>1194.3800000000001</v>
      </c>
      <c r="Y35" s="1302"/>
      <c r="Z35" s="1303">
        <v>9058.7199999999993</v>
      </c>
      <c r="AA35" s="1302"/>
      <c r="AB35" s="1303">
        <v>836.23</v>
      </c>
      <c r="AC35" s="1302"/>
      <c r="AD35" s="1303">
        <v>3361.39</v>
      </c>
      <c r="AE35" s="1302"/>
      <c r="AF35" s="1303">
        <v>3583.27</v>
      </c>
      <c r="AG35" s="1302"/>
      <c r="AH35" s="1303">
        <f t="shared" si="2"/>
        <v>23413.820000000003</v>
      </c>
      <c r="AI35" s="1304">
        <f t="shared" si="3"/>
        <v>3.5269906131271725E-3</v>
      </c>
      <c r="AJ35" s="12"/>
    </row>
    <row r="36" spans="2:36" s="407" customFormat="1" outlineLevel="1">
      <c r="B36" s="24" t="s">
        <v>397</v>
      </c>
      <c r="D36" s="1298">
        <v>35520</v>
      </c>
      <c r="E36" s="1298" t="s">
        <v>440</v>
      </c>
      <c r="F36" s="1299"/>
      <c r="G36" s="1300"/>
      <c r="H36" s="1301"/>
      <c r="I36" s="1302"/>
      <c r="J36" s="1303">
        <v>-178.2</v>
      </c>
      <c r="K36" s="1302"/>
      <c r="L36" s="1303">
        <v>0</v>
      </c>
      <c r="M36" s="1302"/>
      <c r="N36" s="1303">
        <v>0</v>
      </c>
      <c r="O36" s="1302"/>
      <c r="P36" s="1303">
        <v>0</v>
      </c>
      <c r="Q36" s="1302"/>
      <c r="R36" s="1303">
        <v>0</v>
      </c>
      <c r="S36" s="1302"/>
      <c r="T36" s="1303">
        <v>0</v>
      </c>
      <c r="U36" s="1302"/>
      <c r="V36" s="1303">
        <v>0</v>
      </c>
      <c r="W36" s="1302"/>
      <c r="X36" s="1303">
        <v>-75</v>
      </c>
      <c r="Y36" s="1302"/>
      <c r="Z36" s="1303">
        <v>-117.15</v>
      </c>
      <c r="AA36" s="1302"/>
      <c r="AB36" s="1303">
        <v>-130.6</v>
      </c>
      <c r="AC36" s="1302"/>
      <c r="AD36" s="1303">
        <v>-37.35</v>
      </c>
      <c r="AE36" s="1302"/>
      <c r="AF36" s="1303">
        <v>0</v>
      </c>
      <c r="AG36" s="1302"/>
      <c r="AH36" s="1303">
        <f t="shared" si="2"/>
        <v>-538.29999999999995</v>
      </c>
      <c r="AI36" s="1304">
        <f t="shared" si="3"/>
        <v>-8.1087966297099605E-5</v>
      </c>
      <c r="AJ36" s="12"/>
    </row>
    <row r="37" spans="2:36" s="407" customFormat="1" outlineLevel="1">
      <c r="B37" s="24" t="s">
        <v>397</v>
      </c>
      <c r="D37" s="1298">
        <v>35522</v>
      </c>
      <c r="E37" s="1298" t="s">
        <v>832</v>
      </c>
      <c r="F37" s="1299"/>
      <c r="G37" s="1300"/>
      <c r="H37" s="1301"/>
      <c r="I37" s="1302"/>
      <c r="J37" s="1303">
        <v>0</v>
      </c>
      <c r="K37" s="1302"/>
      <c r="L37" s="1303">
        <v>-1099.9000000000001</v>
      </c>
      <c r="M37" s="1302"/>
      <c r="N37" s="1303">
        <v>0</v>
      </c>
      <c r="O37" s="1302"/>
      <c r="P37" s="1303">
        <v>-616.25</v>
      </c>
      <c r="Q37" s="1302"/>
      <c r="R37" s="1303">
        <v>-359.6</v>
      </c>
      <c r="S37" s="1302"/>
      <c r="T37" s="1303">
        <v>-636.54999999999995</v>
      </c>
      <c r="U37" s="1302"/>
      <c r="V37" s="1303">
        <v>-345.1</v>
      </c>
      <c r="W37" s="1302"/>
      <c r="X37" s="1303">
        <v>-529.25</v>
      </c>
      <c r="Y37" s="1302"/>
      <c r="Z37" s="1303">
        <v>-514.75</v>
      </c>
      <c r="AA37" s="1302"/>
      <c r="AB37" s="1303">
        <v>-868.55</v>
      </c>
      <c r="AC37" s="1302"/>
      <c r="AD37" s="1303">
        <v>739.1</v>
      </c>
      <c r="AE37" s="1302"/>
      <c r="AF37" s="1303">
        <v>-590.17999999999995</v>
      </c>
      <c r="AG37" s="1302"/>
      <c r="AH37" s="1303">
        <f t="shared" si="2"/>
        <v>-4821.03</v>
      </c>
      <c r="AI37" s="1304">
        <f t="shared" si="3"/>
        <v>-7.2622611584117797E-4</v>
      </c>
      <c r="AJ37" s="12"/>
    </row>
    <row r="38" spans="2:36" s="407" customFormat="1" outlineLevel="1">
      <c r="B38" s="24" t="s">
        <v>397</v>
      </c>
      <c r="D38" s="1298">
        <v>35523</v>
      </c>
      <c r="E38" s="1298" t="s">
        <v>833</v>
      </c>
      <c r="F38" s="1299"/>
      <c r="G38" s="1300"/>
      <c r="H38" s="1301"/>
      <c r="I38" s="1302"/>
      <c r="J38" s="1303">
        <v>0</v>
      </c>
      <c r="K38" s="1302"/>
      <c r="L38" s="1303">
        <v>0</v>
      </c>
      <c r="M38" s="1302"/>
      <c r="N38" s="1303">
        <v>0</v>
      </c>
      <c r="O38" s="1302"/>
      <c r="P38" s="1303">
        <v>0</v>
      </c>
      <c r="Q38" s="1302"/>
      <c r="R38" s="1303">
        <v>0</v>
      </c>
      <c r="S38" s="1302"/>
      <c r="T38" s="1303">
        <v>0</v>
      </c>
      <c r="U38" s="1302"/>
      <c r="V38" s="1303">
        <v>0</v>
      </c>
      <c r="W38" s="1302"/>
      <c r="X38" s="1303">
        <v>1162.5</v>
      </c>
      <c r="Y38" s="1302"/>
      <c r="Z38" s="1303">
        <v>-203.75</v>
      </c>
      <c r="AA38" s="1302"/>
      <c r="AB38" s="1303">
        <v>0</v>
      </c>
      <c r="AC38" s="1302"/>
      <c r="AD38" s="1303">
        <v>0</v>
      </c>
      <c r="AE38" s="1302"/>
      <c r="AF38" s="1303">
        <v>0</v>
      </c>
      <c r="AG38" s="1302"/>
      <c r="AH38" s="1303">
        <f t="shared" si="2"/>
        <v>958.75</v>
      </c>
      <c r="AI38" s="1304">
        <f t="shared" si="3"/>
        <v>1.4442334699488063E-4</v>
      </c>
      <c r="AJ38" s="12"/>
    </row>
    <row r="39" spans="2:36" s="407" customFormat="1" outlineLevel="1">
      <c r="B39" s="24" t="s">
        <v>397</v>
      </c>
      <c r="D39" s="1298">
        <v>35536</v>
      </c>
      <c r="E39" s="1298" t="s">
        <v>834</v>
      </c>
      <c r="F39" s="1299"/>
      <c r="G39" s="1300"/>
      <c r="H39" s="1301"/>
      <c r="I39" s="1302"/>
      <c r="J39" s="1303">
        <v>0</v>
      </c>
      <c r="K39" s="1302"/>
      <c r="L39" s="1303">
        <v>0</v>
      </c>
      <c r="M39" s="1302"/>
      <c r="N39" s="1303">
        <v>0</v>
      </c>
      <c r="O39" s="1302"/>
      <c r="P39" s="1303">
        <v>0</v>
      </c>
      <c r="Q39" s="1302"/>
      <c r="R39" s="1303">
        <v>0</v>
      </c>
      <c r="S39" s="1302"/>
      <c r="T39" s="1303">
        <v>0</v>
      </c>
      <c r="U39" s="1302"/>
      <c r="V39" s="1303">
        <v>0</v>
      </c>
      <c r="W39" s="1302"/>
      <c r="X39" s="1303">
        <v>0</v>
      </c>
      <c r="Y39" s="1302"/>
      <c r="Z39" s="1303">
        <v>0</v>
      </c>
      <c r="AA39" s="1302"/>
      <c r="AB39" s="1303">
        <v>0</v>
      </c>
      <c r="AC39" s="1302"/>
      <c r="AD39" s="1303">
        <v>-1383.3</v>
      </c>
      <c r="AE39" s="1302"/>
      <c r="AF39" s="1303">
        <v>0</v>
      </c>
      <c r="AG39" s="1302"/>
      <c r="AH39" s="1303">
        <f t="shared" si="2"/>
        <v>-1383.3</v>
      </c>
      <c r="AI39" s="1304">
        <f t="shared" si="3"/>
        <v>-2.0837633991970626E-4</v>
      </c>
      <c r="AJ39" s="12"/>
    </row>
    <row r="40" spans="2:36" s="407" customFormat="1" outlineLevel="1">
      <c r="B40" s="24" t="s">
        <v>397</v>
      </c>
      <c r="D40" s="1298">
        <v>35566</v>
      </c>
      <c r="E40" s="1298" t="s">
        <v>835</v>
      </c>
      <c r="F40" s="1299"/>
      <c r="G40" s="1300"/>
      <c r="H40" s="1301"/>
      <c r="I40" s="1302"/>
      <c r="J40" s="1303">
        <v>0</v>
      </c>
      <c r="K40" s="1302"/>
      <c r="L40" s="1303">
        <v>0</v>
      </c>
      <c r="M40" s="1302"/>
      <c r="N40" s="1303">
        <v>0</v>
      </c>
      <c r="O40" s="1302"/>
      <c r="P40" s="1303">
        <v>0</v>
      </c>
      <c r="Q40" s="1302"/>
      <c r="R40" s="1303">
        <v>0</v>
      </c>
      <c r="S40" s="1302"/>
      <c r="T40" s="1303">
        <v>0</v>
      </c>
      <c r="U40" s="1302"/>
      <c r="V40" s="1303">
        <v>0</v>
      </c>
      <c r="W40" s="1302"/>
      <c r="X40" s="1303">
        <v>0</v>
      </c>
      <c r="Y40" s="1302"/>
      <c r="Z40" s="1303">
        <v>0</v>
      </c>
      <c r="AA40" s="1302"/>
      <c r="AB40" s="1303">
        <v>0</v>
      </c>
      <c r="AC40" s="1302"/>
      <c r="AD40" s="1303">
        <v>37451.74</v>
      </c>
      <c r="AE40" s="1302"/>
      <c r="AF40" s="1303">
        <v>-3131.4</v>
      </c>
      <c r="AG40" s="1302"/>
      <c r="AH40" s="1303">
        <f t="shared" si="2"/>
        <v>34320.339999999997</v>
      </c>
      <c r="AI40" s="1304">
        <f t="shared" si="3"/>
        <v>5.1699174683726536E-3</v>
      </c>
      <c r="AJ40" s="12"/>
    </row>
    <row r="41" spans="2:36" s="8" customFormat="1" ht="5.0999999999999996" customHeight="1" outlineLevel="1">
      <c r="B41" s="16" t="s">
        <v>194</v>
      </c>
      <c r="D41" s="1299"/>
      <c r="E41" s="1299"/>
      <c r="F41" s="1299"/>
      <c r="G41" s="1299"/>
      <c r="H41" s="1301"/>
      <c r="I41" s="1301"/>
      <c r="J41" s="1311"/>
      <c r="K41" s="1309"/>
      <c r="L41" s="1311"/>
      <c r="M41" s="1309"/>
      <c r="N41" s="1311"/>
      <c r="O41" s="1309"/>
      <c r="P41" s="1311"/>
      <c r="Q41" s="1309"/>
      <c r="R41" s="1311"/>
      <c r="S41" s="1309"/>
      <c r="T41" s="1311"/>
      <c r="U41" s="1309"/>
      <c r="V41" s="1311"/>
      <c r="W41" s="1309"/>
      <c r="X41" s="1311"/>
      <c r="Y41" s="1309"/>
      <c r="Z41" s="1311"/>
      <c r="AA41" s="1309"/>
      <c r="AB41" s="1311"/>
      <c r="AC41" s="1309"/>
      <c r="AD41" s="1311"/>
      <c r="AE41" s="1309"/>
      <c r="AF41" s="1311"/>
      <c r="AG41" s="1309"/>
      <c r="AH41" s="1311"/>
      <c r="AI41" s="1306"/>
      <c r="AJ41" s="15"/>
    </row>
    <row r="42" spans="2:36" s="8" customFormat="1" ht="15">
      <c r="B42" s="2" t="s">
        <v>194</v>
      </c>
      <c r="D42" s="1301"/>
      <c r="E42" s="1301"/>
      <c r="F42" s="1299" t="s">
        <v>211</v>
      </c>
      <c r="G42" s="1301"/>
      <c r="H42" s="1301"/>
      <c r="I42" s="1301"/>
      <c r="J42" s="1308">
        <f>SUM(J26:J41)</f>
        <v>70653.98000000001</v>
      </c>
      <c r="K42" s="1309"/>
      <c r="L42" s="1308">
        <f>SUM(L26:L41)</f>
        <v>43333.48</v>
      </c>
      <c r="M42" s="1309"/>
      <c r="N42" s="1308">
        <f>SUM(N26:N41)</f>
        <v>35780.420000000006</v>
      </c>
      <c r="O42" s="1309"/>
      <c r="P42" s="1308">
        <f>SUM(P26:P41)</f>
        <v>31517.02</v>
      </c>
      <c r="Q42" s="1309"/>
      <c r="R42" s="1308">
        <f>SUM(R26:R41)</f>
        <v>20240.77</v>
      </c>
      <c r="S42" s="1309"/>
      <c r="T42" s="1308">
        <f>SUM(T26:T41)</f>
        <v>36553.26999999999</v>
      </c>
      <c r="U42" s="1309"/>
      <c r="V42" s="1308">
        <f>SUM(V26:V41)</f>
        <v>37141.189999999995</v>
      </c>
      <c r="W42" s="1309"/>
      <c r="X42" s="1308">
        <f>SUM(X26:X41)</f>
        <v>15824.66</v>
      </c>
      <c r="Y42" s="1309"/>
      <c r="Z42" s="1308">
        <f>SUM(Z26:Z41)</f>
        <v>40072.04</v>
      </c>
      <c r="AA42" s="1309"/>
      <c r="AB42" s="1308">
        <f>SUM(AB26:AB41)</f>
        <v>15926.260000000002</v>
      </c>
      <c r="AC42" s="1309"/>
      <c r="AD42" s="1308">
        <f>SUM(AD26:AD41)</f>
        <v>13201.810000000001</v>
      </c>
      <c r="AE42" s="1309"/>
      <c r="AF42" s="1308">
        <f>SUM(AF26:AF41)</f>
        <v>14611.980000000001</v>
      </c>
      <c r="AG42" s="1309"/>
      <c r="AH42" s="1308">
        <f>SUM(AH26:AH41)</f>
        <v>374856.88</v>
      </c>
      <c r="AI42" s="1304">
        <f>IF(AH$59=0,0,AH42/AH$59)</f>
        <v>5.6467364019461105E-2</v>
      </c>
      <c r="AJ42" s="15"/>
    </row>
    <row r="43" spans="2:36" s="8" customFormat="1" ht="15" outlineLevel="1">
      <c r="B43" s="2"/>
      <c r="D43" s="1299"/>
      <c r="E43" s="1299"/>
      <c r="F43" s="1299"/>
      <c r="G43" s="1299"/>
      <c r="H43" s="1301"/>
      <c r="I43" s="1301"/>
      <c r="J43" s="1310"/>
      <c r="K43" s="1309"/>
      <c r="L43" s="1310"/>
      <c r="M43" s="1309"/>
      <c r="N43" s="1310"/>
      <c r="O43" s="1309"/>
      <c r="P43" s="1310"/>
      <c r="Q43" s="1309"/>
      <c r="R43" s="1310"/>
      <c r="S43" s="1309"/>
      <c r="T43" s="1310"/>
      <c r="U43" s="1309"/>
      <c r="V43" s="1310"/>
      <c r="W43" s="1309"/>
      <c r="X43" s="1310"/>
      <c r="Y43" s="1309"/>
      <c r="Z43" s="1310"/>
      <c r="AA43" s="1309"/>
      <c r="AB43" s="1310"/>
      <c r="AC43" s="1309"/>
      <c r="AD43" s="1310"/>
      <c r="AE43" s="1309"/>
      <c r="AF43" s="1310"/>
      <c r="AG43" s="1309"/>
      <c r="AH43" s="1310"/>
      <c r="AI43" s="1306"/>
      <c r="AJ43" s="15"/>
    </row>
    <row r="44" spans="2:36" s="8" customFormat="1" ht="15" outlineLevel="1">
      <c r="B44" s="2" t="s">
        <v>194</v>
      </c>
      <c r="D44" s="1301"/>
      <c r="E44" s="1301"/>
      <c r="F44" s="1301"/>
      <c r="G44" s="1301"/>
      <c r="H44" s="1301"/>
      <c r="I44" s="1301"/>
      <c r="J44" s="1310"/>
      <c r="K44" s="1309"/>
      <c r="L44" s="1310"/>
      <c r="M44" s="1309"/>
      <c r="N44" s="1310"/>
      <c r="O44" s="1309"/>
      <c r="P44" s="1310"/>
      <c r="Q44" s="1309"/>
      <c r="R44" s="1310"/>
      <c r="S44" s="1309"/>
      <c r="T44" s="1310"/>
      <c r="U44" s="1309"/>
      <c r="V44" s="1310"/>
      <c r="W44" s="1309"/>
      <c r="X44" s="1310"/>
      <c r="Y44" s="1309"/>
      <c r="Z44" s="1310"/>
      <c r="AA44" s="1309"/>
      <c r="AB44" s="1310"/>
      <c r="AC44" s="1309"/>
      <c r="AD44" s="1310"/>
      <c r="AE44" s="1309"/>
      <c r="AF44" s="1310"/>
      <c r="AG44" s="1309"/>
      <c r="AH44" s="1310"/>
      <c r="AI44" s="1306"/>
      <c r="AJ44" s="15"/>
    </row>
    <row r="45" spans="2:36" s="407" customFormat="1" outlineLevel="1">
      <c r="B45" s="24" t="s">
        <v>401</v>
      </c>
      <c r="D45" s="1298"/>
      <c r="E45" s="1298"/>
      <c r="F45" s="1299"/>
      <c r="G45" s="1300"/>
      <c r="H45" s="1301"/>
      <c r="I45" s="1302"/>
      <c r="J45" s="1303"/>
      <c r="K45" s="1302"/>
      <c r="L45" s="1303"/>
      <c r="M45" s="1302"/>
      <c r="N45" s="1303"/>
      <c r="O45" s="1302"/>
      <c r="P45" s="1303"/>
      <c r="Q45" s="1302"/>
      <c r="R45" s="1303"/>
      <c r="S45" s="1302"/>
      <c r="T45" s="1303"/>
      <c r="U45" s="1302"/>
      <c r="V45" s="1303"/>
      <c r="W45" s="1302"/>
      <c r="X45" s="1303"/>
      <c r="Y45" s="1302"/>
      <c r="Z45" s="1303"/>
      <c r="AA45" s="1302"/>
      <c r="AB45" s="1303"/>
      <c r="AC45" s="1302"/>
      <c r="AD45" s="1303"/>
      <c r="AE45" s="1302"/>
      <c r="AF45" s="1303"/>
      <c r="AG45" s="1302"/>
      <c r="AH45" s="1303">
        <f>AF45+AD45+AB45+Z45+X45+V45+T45+R45+P45+N45+L45+J45</f>
        <v>0</v>
      </c>
      <c r="AI45" s="1304">
        <f>IF(AH$59=0,0,AH45/AH$59)</f>
        <v>0</v>
      </c>
      <c r="AJ45" s="12"/>
    </row>
    <row r="46" spans="2:36" s="8" customFormat="1" ht="3.75" customHeight="1" outlineLevel="1">
      <c r="B46" s="16" t="s">
        <v>194</v>
      </c>
      <c r="D46" s="1299"/>
      <c r="E46" s="1299"/>
      <c r="F46" s="1299"/>
      <c r="G46" s="1299"/>
      <c r="H46" s="1301"/>
      <c r="I46" s="1301"/>
      <c r="J46" s="1311"/>
      <c r="K46" s="1309"/>
      <c r="L46" s="1311"/>
      <c r="M46" s="1309"/>
      <c r="N46" s="1311"/>
      <c r="O46" s="1309"/>
      <c r="P46" s="1311"/>
      <c r="Q46" s="1309"/>
      <c r="R46" s="1311"/>
      <c r="S46" s="1309"/>
      <c r="T46" s="1311"/>
      <c r="U46" s="1309"/>
      <c r="V46" s="1311"/>
      <c r="W46" s="1309"/>
      <c r="X46" s="1311"/>
      <c r="Y46" s="1309"/>
      <c r="Z46" s="1311"/>
      <c r="AA46" s="1309"/>
      <c r="AB46" s="1311"/>
      <c r="AC46" s="1309"/>
      <c r="AD46" s="1311"/>
      <c r="AE46" s="1309"/>
      <c r="AF46" s="1311"/>
      <c r="AG46" s="1309"/>
      <c r="AH46" s="1311"/>
      <c r="AI46" s="1306"/>
      <c r="AJ46" s="15"/>
    </row>
    <row r="47" spans="2:36" s="8" customFormat="1" ht="15">
      <c r="B47" s="2" t="s">
        <v>194</v>
      </c>
      <c r="D47" s="1301"/>
      <c r="E47" s="1301"/>
      <c r="F47" s="1299" t="s">
        <v>212</v>
      </c>
      <c r="G47" s="1301"/>
      <c r="H47" s="1301"/>
      <c r="I47" s="1301"/>
      <c r="J47" s="1308">
        <f>SUM(J44:J46)</f>
        <v>0</v>
      </c>
      <c r="K47" s="1309"/>
      <c r="L47" s="1308">
        <f>SUM(L44:L46)</f>
        <v>0</v>
      </c>
      <c r="M47" s="1309"/>
      <c r="N47" s="1308">
        <f>SUM(N44:N46)</f>
        <v>0</v>
      </c>
      <c r="O47" s="1309"/>
      <c r="P47" s="1308">
        <f>SUM(P44:P46)</f>
        <v>0</v>
      </c>
      <c r="Q47" s="1309"/>
      <c r="R47" s="1308">
        <f>SUM(R44:R46)</f>
        <v>0</v>
      </c>
      <c r="S47" s="1309"/>
      <c r="T47" s="1308">
        <f>SUM(T44:T46)</f>
        <v>0</v>
      </c>
      <c r="U47" s="1309"/>
      <c r="V47" s="1308">
        <f>SUM(V44:V46)</f>
        <v>0</v>
      </c>
      <c r="W47" s="1309"/>
      <c r="X47" s="1308">
        <f>SUM(X44:X46)</f>
        <v>0</v>
      </c>
      <c r="Y47" s="1309"/>
      <c r="Z47" s="1308">
        <f>SUM(Z44:Z46)</f>
        <v>0</v>
      </c>
      <c r="AA47" s="1309"/>
      <c r="AB47" s="1308">
        <f>SUM(AB44:AB46)</f>
        <v>0</v>
      </c>
      <c r="AC47" s="1309"/>
      <c r="AD47" s="1308">
        <f>SUM(AD44:AD46)</f>
        <v>0</v>
      </c>
      <c r="AE47" s="1309"/>
      <c r="AF47" s="1308">
        <f>SUM(AF44:AF46)</f>
        <v>0</v>
      </c>
      <c r="AG47" s="1309"/>
      <c r="AH47" s="1308">
        <f>SUM(AH44:AH46)</f>
        <v>0</v>
      </c>
      <c r="AI47" s="1304">
        <f>IF(AH$59=0,0,AH47/AH$59)</f>
        <v>0</v>
      </c>
      <c r="AJ47" s="15"/>
    </row>
    <row r="48" spans="2:36" s="8" customFormat="1" ht="15" outlineLevel="1">
      <c r="B48" s="16" t="s">
        <v>194</v>
      </c>
      <c r="D48" s="1301"/>
      <c r="E48" s="1301"/>
      <c r="F48" s="1301"/>
      <c r="G48" s="1301"/>
      <c r="H48" s="1301"/>
      <c r="I48" s="1301"/>
      <c r="J48" s="1310"/>
      <c r="K48" s="1309"/>
      <c r="L48" s="1310"/>
      <c r="M48" s="1309"/>
      <c r="N48" s="1310"/>
      <c r="O48" s="1309"/>
      <c r="P48" s="1310"/>
      <c r="Q48" s="1309"/>
      <c r="R48" s="1310"/>
      <c r="S48" s="1309"/>
      <c r="T48" s="1310"/>
      <c r="U48" s="1309"/>
      <c r="V48" s="1310"/>
      <c r="W48" s="1309"/>
      <c r="X48" s="1310"/>
      <c r="Y48" s="1309"/>
      <c r="Z48" s="1310"/>
      <c r="AA48" s="1309"/>
      <c r="AB48" s="1310"/>
      <c r="AC48" s="1309"/>
      <c r="AD48" s="1310"/>
      <c r="AE48" s="1309"/>
      <c r="AF48" s="1310"/>
      <c r="AG48" s="1309"/>
      <c r="AH48" s="1310"/>
      <c r="AI48" s="1306"/>
      <c r="AJ48" s="15"/>
    </row>
    <row r="49" spans="2:36" s="407" customFormat="1" outlineLevel="1">
      <c r="B49" s="24" t="s">
        <v>402</v>
      </c>
      <c r="D49" s="1298"/>
      <c r="E49" s="1298"/>
      <c r="F49" s="1299"/>
      <c r="G49" s="1300"/>
      <c r="H49" s="1301"/>
      <c r="I49" s="1302"/>
      <c r="J49" s="1303"/>
      <c r="K49" s="1302"/>
      <c r="L49" s="1303"/>
      <c r="M49" s="1302"/>
      <c r="N49" s="1303"/>
      <c r="O49" s="1302"/>
      <c r="P49" s="1303"/>
      <c r="Q49" s="1302"/>
      <c r="R49" s="1303"/>
      <c r="S49" s="1302"/>
      <c r="T49" s="1303"/>
      <c r="U49" s="1302"/>
      <c r="V49" s="1303"/>
      <c r="W49" s="1302"/>
      <c r="X49" s="1303"/>
      <c r="Y49" s="1302"/>
      <c r="Z49" s="1303"/>
      <c r="AA49" s="1302"/>
      <c r="AB49" s="1303"/>
      <c r="AC49" s="1302"/>
      <c r="AD49" s="1303"/>
      <c r="AE49" s="1302"/>
      <c r="AF49" s="1303"/>
      <c r="AG49" s="1302"/>
      <c r="AH49" s="1303">
        <f>AF49+AD49+AB49+Z49+X49+V49+T49+R49+P49+N49+L49+J49</f>
        <v>0</v>
      </c>
      <c r="AI49" s="1304">
        <f>IF(AH$59=0,0,AH49/AH$59)</f>
        <v>0</v>
      </c>
      <c r="AJ49" s="12"/>
    </row>
    <row r="50" spans="2:36" s="8" customFormat="1" ht="3.75" customHeight="1" outlineLevel="1">
      <c r="B50" s="16" t="s">
        <v>194</v>
      </c>
      <c r="D50" s="1299"/>
      <c r="E50" s="1299"/>
      <c r="F50" s="1299"/>
      <c r="G50" s="1299"/>
      <c r="H50" s="1301"/>
      <c r="I50" s="1301"/>
      <c r="J50" s="1311"/>
      <c r="K50" s="1309"/>
      <c r="L50" s="1311"/>
      <c r="M50" s="1309"/>
      <c r="N50" s="1311"/>
      <c r="O50" s="1309"/>
      <c r="P50" s="1311"/>
      <c r="Q50" s="1309"/>
      <c r="R50" s="1311"/>
      <c r="S50" s="1309"/>
      <c r="T50" s="1311"/>
      <c r="U50" s="1309"/>
      <c r="V50" s="1311"/>
      <c r="W50" s="1309"/>
      <c r="X50" s="1311"/>
      <c r="Y50" s="1309"/>
      <c r="Z50" s="1311"/>
      <c r="AA50" s="1309"/>
      <c r="AB50" s="1311"/>
      <c r="AC50" s="1309"/>
      <c r="AD50" s="1311"/>
      <c r="AE50" s="1309"/>
      <c r="AF50" s="1311"/>
      <c r="AG50" s="1309"/>
      <c r="AH50" s="1311"/>
      <c r="AI50" s="1306"/>
      <c r="AJ50" s="15"/>
    </row>
    <row r="51" spans="2:36" s="8" customFormat="1" ht="15">
      <c r="B51" s="16"/>
      <c r="D51" s="1301"/>
      <c r="E51" s="1301"/>
      <c r="F51" s="1299" t="s">
        <v>213</v>
      </c>
      <c r="G51" s="1301"/>
      <c r="H51" s="1301"/>
      <c r="I51" s="1301"/>
      <c r="J51" s="1308">
        <f>SUM(J49:J50)</f>
        <v>0</v>
      </c>
      <c r="K51" s="1309"/>
      <c r="L51" s="1308">
        <f>SUM(L49:L50)</f>
        <v>0</v>
      </c>
      <c r="M51" s="1309"/>
      <c r="N51" s="1308">
        <f>SUM(N49:N50)</f>
        <v>0</v>
      </c>
      <c r="O51" s="1309"/>
      <c r="P51" s="1308">
        <f>SUM(P49:P50)</f>
        <v>0</v>
      </c>
      <c r="Q51" s="1309"/>
      <c r="R51" s="1308">
        <f>SUM(R49:R50)</f>
        <v>0</v>
      </c>
      <c r="S51" s="1309"/>
      <c r="T51" s="1308">
        <f>SUM(T49:T50)</f>
        <v>0</v>
      </c>
      <c r="U51" s="1309"/>
      <c r="V51" s="1308">
        <f>SUM(V49:V50)</f>
        <v>0</v>
      </c>
      <c r="W51" s="1309"/>
      <c r="X51" s="1308">
        <f>SUM(X49:X50)</f>
        <v>0</v>
      </c>
      <c r="Y51" s="1309"/>
      <c r="Z51" s="1308">
        <f>SUM(Z49:Z50)</f>
        <v>0</v>
      </c>
      <c r="AA51" s="1309"/>
      <c r="AB51" s="1308">
        <f>SUM(AB49:AB50)</f>
        <v>0</v>
      </c>
      <c r="AC51" s="1309"/>
      <c r="AD51" s="1308">
        <f>SUM(AD49:AD50)</f>
        <v>0</v>
      </c>
      <c r="AE51" s="1309"/>
      <c r="AF51" s="1308">
        <f>SUM(AF49:AF50)</f>
        <v>0</v>
      </c>
      <c r="AG51" s="1309"/>
      <c r="AH51" s="1308">
        <f>SUM(AH49:AH50)</f>
        <v>0</v>
      </c>
      <c r="AI51" s="1304">
        <f>IF(AH$59=0,0,AH51/AH$59)</f>
        <v>0</v>
      </c>
      <c r="AJ51" s="15"/>
    </row>
    <row r="52" spans="2:36" s="8" customFormat="1" ht="15" outlineLevel="1">
      <c r="B52" s="16"/>
      <c r="D52" s="1301"/>
      <c r="E52" s="1301"/>
      <c r="F52" s="1301"/>
      <c r="G52" s="1301"/>
      <c r="H52" s="1301"/>
      <c r="I52" s="1301"/>
      <c r="J52" s="1310"/>
      <c r="K52" s="1309"/>
      <c r="L52" s="1310"/>
      <c r="M52" s="1309"/>
      <c r="N52" s="1310"/>
      <c r="O52" s="1309"/>
      <c r="P52" s="1310"/>
      <c r="Q52" s="1309"/>
      <c r="R52" s="1310"/>
      <c r="S52" s="1309"/>
      <c r="T52" s="1310"/>
      <c r="U52" s="1309"/>
      <c r="V52" s="1310"/>
      <c r="W52" s="1309"/>
      <c r="X52" s="1310"/>
      <c r="Y52" s="1309"/>
      <c r="Z52" s="1310"/>
      <c r="AA52" s="1309"/>
      <c r="AB52" s="1310"/>
      <c r="AC52" s="1309"/>
      <c r="AD52" s="1310"/>
      <c r="AE52" s="1309"/>
      <c r="AF52" s="1310"/>
      <c r="AG52" s="1309"/>
      <c r="AH52" s="1310"/>
      <c r="AI52" s="1306"/>
      <c r="AJ52" s="15"/>
    </row>
    <row r="53" spans="2:36" s="8" customFormat="1" ht="15" outlineLevel="1">
      <c r="B53" s="16" t="s">
        <v>194</v>
      </c>
      <c r="D53" s="1301"/>
      <c r="E53" s="1301"/>
      <c r="F53" s="1301"/>
      <c r="G53" s="1301"/>
      <c r="H53" s="1301"/>
      <c r="I53" s="1301"/>
      <c r="J53" s="1310"/>
      <c r="K53" s="1309"/>
      <c r="L53" s="1310"/>
      <c r="M53" s="1309"/>
      <c r="N53" s="1310"/>
      <c r="O53" s="1309"/>
      <c r="P53" s="1310"/>
      <c r="Q53" s="1309"/>
      <c r="R53" s="1310"/>
      <c r="S53" s="1309"/>
      <c r="T53" s="1310"/>
      <c r="U53" s="1309"/>
      <c r="V53" s="1310"/>
      <c r="W53" s="1309"/>
      <c r="X53" s="1310"/>
      <c r="Y53" s="1309"/>
      <c r="Z53" s="1310"/>
      <c r="AA53" s="1309"/>
      <c r="AB53" s="1310"/>
      <c r="AC53" s="1309"/>
      <c r="AD53" s="1310"/>
      <c r="AE53" s="1309"/>
      <c r="AF53" s="1310"/>
      <c r="AG53" s="1309"/>
      <c r="AH53" s="1310"/>
      <c r="AI53" s="1306"/>
      <c r="AJ53" s="15"/>
    </row>
    <row r="54" spans="2:36" s="407" customFormat="1" outlineLevel="1">
      <c r="B54" s="24" t="s">
        <v>403</v>
      </c>
      <c r="D54" s="1298">
        <v>38000</v>
      </c>
      <c r="E54" s="1298" t="s">
        <v>214</v>
      </c>
      <c r="F54" s="1299"/>
      <c r="G54" s="1300"/>
      <c r="H54" s="1301"/>
      <c r="I54" s="1302"/>
      <c r="J54" s="1303">
        <v>830</v>
      </c>
      <c r="K54" s="1302"/>
      <c r="L54" s="1303">
        <v>1450</v>
      </c>
      <c r="M54" s="1302"/>
      <c r="N54" s="1303">
        <v>1590</v>
      </c>
      <c r="O54" s="1302"/>
      <c r="P54" s="1303">
        <v>1280</v>
      </c>
      <c r="Q54" s="1302"/>
      <c r="R54" s="1303">
        <v>740</v>
      </c>
      <c r="S54" s="1302"/>
      <c r="T54" s="1303">
        <v>1150</v>
      </c>
      <c r="U54" s="1302"/>
      <c r="V54" s="1303">
        <v>350</v>
      </c>
      <c r="W54" s="1302"/>
      <c r="X54" s="1303">
        <v>520</v>
      </c>
      <c r="Y54" s="1302"/>
      <c r="Z54" s="1303">
        <v>370</v>
      </c>
      <c r="AA54" s="1302"/>
      <c r="AB54" s="1303">
        <v>320</v>
      </c>
      <c r="AC54" s="1302"/>
      <c r="AD54" s="1303">
        <v>570</v>
      </c>
      <c r="AE54" s="1302"/>
      <c r="AF54" s="1303">
        <v>640</v>
      </c>
      <c r="AG54" s="1302"/>
      <c r="AH54" s="1303">
        <f t="shared" ref="AH54:AH55" si="4">AF54+AD54+AB54+Z54+X54+V54+T54+R54+P54+N54+L54+J54</f>
        <v>9810</v>
      </c>
      <c r="AI54" s="1304">
        <f t="shared" ref="AI54:AI55" si="5">IF(AH$59=0,0,AH54/AH$59)</f>
        <v>1.4777502310506171E-3</v>
      </c>
      <c r="AJ54" s="12"/>
    </row>
    <row r="55" spans="2:36" s="407" customFormat="1" outlineLevel="1">
      <c r="B55" s="24" t="s">
        <v>397</v>
      </c>
      <c r="D55" s="1298">
        <v>38001</v>
      </c>
      <c r="E55" s="1298" t="s">
        <v>435</v>
      </c>
      <c r="F55" s="1299"/>
      <c r="G55" s="1300"/>
      <c r="H55" s="1301"/>
      <c r="I55" s="1302"/>
      <c r="J55" s="1303">
        <v>692.24</v>
      </c>
      <c r="K55" s="1302"/>
      <c r="L55" s="1303">
        <v>667.2</v>
      </c>
      <c r="M55" s="1302"/>
      <c r="N55" s="1303">
        <v>498.39</v>
      </c>
      <c r="O55" s="1302"/>
      <c r="P55" s="1303">
        <v>297.91000000000003</v>
      </c>
      <c r="Q55" s="1302"/>
      <c r="R55" s="1303">
        <v>968.54</v>
      </c>
      <c r="S55" s="1302"/>
      <c r="T55" s="1303">
        <v>825.43</v>
      </c>
      <c r="U55" s="1302"/>
      <c r="V55" s="1303">
        <v>539.57000000000005</v>
      </c>
      <c r="W55" s="1302"/>
      <c r="X55" s="1303">
        <v>542.67999999999995</v>
      </c>
      <c r="Y55" s="1302"/>
      <c r="Z55" s="1303">
        <v>478.98</v>
      </c>
      <c r="AA55" s="1302"/>
      <c r="AB55" s="1303">
        <v>523.24</v>
      </c>
      <c r="AC55" s="1302"/>
      <c r="AD55" s="1303">
        <v>521.33000000000004</v>
      </c>
      <c r="AE55" s="1302"/>
      <c r="AF55" s="1303">
        <v>635.41999999999996</v>
      </c>
      <c r="AG55" s="1302"/>
      <c r="AH55" s="1303">
        <f t="shared" si="4"/>
        <v>7190.93</v>
      </c>
      <c r="AI55" s="1304">
        <f t="shared" si="5"/>
        <v>1.0832210467858119E-3</v>
      </c>
      <c r="AJ55" s="12"/>
    </row>
    <row r="56" spans="2:36" s="8" customFormat="1" ht="4.5" customHeight="1" outlineLevel="1">
      <c r="B56" s="16" t="s">
        <v>194</v>
      </c>
      <c r="D56" s="1312"/>
      <c r="E56" s="1301"/>
      <c r="F56" s="1301"/>
      <c r="G56" s="1301"/>
      <c r="H56" s="1301"/>
      <c r="I56" s="1301"/>
      <c r="J56" s="1311"/>
      <c r="K56" s="1309"/>
      <c r="L56" s="1311"/>
      <c r="M56" s="1309"/>
      <c r="N56" s="1311"/>
      <c r="O56" s="1309"/>
      <c r="P56" s="1311"/>
      <c r="Q56" s="1309"/>
      <c r="R56" s="1311"/>
      <c r="S56" s="1309"/>
      <c r="T56" s="1311"/>
      <c r="U56" s="1309"/>
      <c r="V56" s="1311"/>
      <c r="W56" s="1309"/>
      <c r="X56" s="1311"/>
      <c r="Y56" s="1309"/>
      <c r="Z56" s="1311"/>
      <c r="AA56" s="1309"/>
      <c r="AB56" s="1311"/>
      <c r="AC56" s="1309"/>
      <c r="AD56" s="1311"/>
      <c r="AE56" s="1309"/>
      <c r="AF56" s="1311"/>
      <c r="AG56" s="1309"/>
      <c r="AH56" s="1311"/>
      <c r="AI56" s="1306"/>
      <c r="AJ56" s="15"/>
    </row>
    <row r="57" spans="2:36" s="8" customFormat="1" ht="15">
      <c r="B57" s="16" t="s">
        <v>194</v>
      </c>
      <c r="D57" s="1301"/>
      <c r="E57" s="1301"/>
      <c r="F57" s="1301" t="s">
        <v>214</v>
      </c>
      <c r="G57" s="1301"/>
      <c r="H57" s="1301"/>
      <c r="I57" s="1301"/>
      <c r="J57" s="1308">
        <f>SUM(J53:J56)</f>
        <v>1522.24</v>
      </c>
      <c r="K57" s="1309"/>
      <c r="L57" s="1308">
        <f>SUM(L53:L56)</f>
        <v>2117.1999999999998</v>
      </c>
      <c r="M57" s="1309"/>
      <c r="N57" s="1308">
        <f>SUM(N53:N56)</f>
        <v>2088.39</v>
      </c>
      <c r="O57" s="1309"/>
      <c r="P57" s="1308">
        <f>SUM(P53:P56)</f>
        <v>1577.91</v>
      </c>
      <c r="Q57" s="1309"/>
      <c r="R57" s="1308">
        <f>SUM(R53:R56)</f>
        <v>1708.54</v>
      </c>
      <c r="S57" s="1309"/>
      <c r="T57" s="1308">
        <f>SUM(T53:T56)</f>
        <v>1975.4299999999998</v>
      </c>
      <c r="U57" s="1309"/>
      <c r="V57" s="1308">
        <f>SUM(V53:V56)</f>
        <v>889.57</v>
      </c>
      <c r="W57" s="1309"/>
      <c r="X57" s="1308">
        <f>SUM(X53:X56)</f>
        <v>1062.6799999999998</v>
      </c>
      <c r="Y57" s="1309"/>
      <c r="Z57" s="1308">
        <f>SUM(Z53:Z56)</f>
        <v>848.98</v>
      </c>
      <c r="AA57" s="1309"/>
      <c r="AB57" s="1308">
        <f>SUM(AB53:AB56)</f>
        <v>843.24</v>
      </c>
      <c r="AC57" s="1309"/>
      <c r="AD57" s="1308">
        <f>SUM(AD53:AD56)</f>
        <v>1091.33</v>
      </c>
      <c r="AE57" s="1309"/>
      <c r="AF57" s="1308">
        <f>SUM(AF53:AF56)</f>
        <v>1275.42</v>
      </c>
      <c r="AG57" s="1309"/>
      <c r="AH57" s="1308">
        <f>SUM(AH53:AH56)</f>
        <v>17000.93</v>
      </c>
      <c r="AI57" s="1304">
        <f>IF(AH$59=0,0,AH57/AH$59)</f>
        <v>2.5609712778364288E-3</v>
      </c>
      <c r="AJ57" s="15"/>
    </row>
    <row r="58" spans="2:36" s="8" customFormat="1" ht="7.5" customHeight="1">
      <c r="B58" s="16" t="s">
        <v>194</v>
      </c>
      <c r="D58" s="1301"/>
      <c r="E58" s="1301"/>
      <c r="F58" s="1301"/>
      <c r="G58" s="1301"/>
      <c r="H58" s="1301"/>
      <c r="I58" s="1301"/>
      <c r="J58" s="1310"/>
      <c r="K58" s="1309"/>
      <c r="L58" s="1310"/>
      <c r="M58" s="1309"/>
      <c r="N58" s="1310"/>
      <c r="O58" s="1309"/>
      <c r="P58" s="1310"/>
      <c r="Q58" s="1309"/>
      <c r="R58" s="1310"/>
      <c r="S58" s="1309"/>
      <c r="T58" s="1310"/>
      <c r="U58" s="1309"/>
      <c r="V58" s="1310"/>
      <c r="W58" s="1309"/>
      <c r="X58" s="1310"/>
      <c r="Y58" s="1309"/>
      <c r="Z58" s="1310"/>
      <c r="AA58" s="1309"/>
      <c r="AB58" s="1310"/>
      <c r="AC58" s="1309"/>
      <c r="AD58" s="1310"/>
      <c r="AE58" s="1309"/>
      <c r="AF58" s="1310"/>
      <c r="AG58" s="1309"/>
      <c r="AH58" s="1310"/>
      <c r="AI58" s="1306"/>
      <c r="AJ58" s="15"/>
    </row>
    <row r="59" spans="2:36" s="8" customFormat="1" ht="15">
      <c r="B59" s="16" t="s">
        <v>194</v>
      </c>
      <c r="D59" s="1301"/>
      <c r="E59" s="1313" t="s">
        <v>174</v>
      </c>
      <c r="F59" s="1301"/>
      <c r="G59" s="1301"/>
      <c r="H59" s="1301"/>
      <c r="I59" s="1301"/>
      <c r="J59" s="1314">
        <f>+J24+J42+J47+J57+J18+J51</f>
        <v>673644.41999999993</v>
      </c>
      <c r="K59" s="1309"/>
      <c r="L59" s="1314">
        <f>+L24+L42+L47+L57+L18+L51</f>
        <v>565073.68999999994</v>
      </c>
      <c r="M59" s="1309"/>
      <c r="N59" s="1314">
        <f>+N24+N42+N47+N57+N18+N51</f>
        <v>555390.35</v>
      </c>
      <c r="O59" s="1309"/>
      <c r="P59" s="1314">
        <f>+P24+P42+P47+P57+P18+P51</f>
        <v>541556.04</v>
      </c>
      <c r="Q59" s="1309"/>
      <c r="R59" s="1314">
        <f>+R24+R42+R47+R57+R18+R51</f>
        <v>507743.22</v>
      </c>
      <c r="S59" s="1309"/>
      <c r="T59" s="1314">
        <f>+T24+T42+T47+T57+T18+T51</f>
        <v>556796.78</v>
      </c>
      <c r="U59" s="1309"/>
      <c r="V59" s="1314">
        <f>+V24+V42+V47+V57+V18+V51</f>
        <v>569834.0199999999</v>
      </c>
      <c r="W59" s="1309"/>
      <c r="X59" s="1314">
        <f>+X24+X42+X47+X57+X18+X51</f>
        <v>486600.05</v>
      </c>
      <c r="Y59" s="1309"/>
      <c r="Z59" s="1314">
        <f>+Z24+Z42+Z47+Z57+Z18+Z51</f>
        <v>558849.81000000006</v>
      </c>
      <c r="AA59" s="1309"/>
      <c r="AB59" s="1314">
        <f>+AB24+AB42+AB47+AB57+AB18+AB51</f>
        <v>430865.09</v>
      </c>
      <c r="AC59" s="1309"/>
      <c r="AD59" s="1314">
        <f>+AD24+AD42+AD47+AD57+AD18+AD51</f>
        <v>572393.86</v>
      </c>
      <c r="AE59" s="1309"/>
      <c r="AF59" s="1314">
        <f>+AF24+AF42+AF47+AF57+AF18+AF51</f>
        <v>619722.28</v>
      </c>
      <c r="AG59" s="1309"/>
      <c r="AH59" s="1314">
        <f>+AH24+AH42+AH47+AH57+AH18+AH51</f>
        <v>6638469.6100000003</v>
      </c>
      <c r="AI59" s="1304">
        <f>IF(AH$59=0,0,AH59/AH$59)</f>
        <v>1</v>
      </c>
      <c r="AJ59" s="15"/>
    </row>
    <row r="60" spans="2:36" s="8" customFormat="1" ht="7.5" customHeight="1">
      <c r="B60" s="16" t="s">
        <v>194</v>
      </c>
      <c r="D60" s="1301"/>
      <c r="E60" s="1301"/>
      <c r="F60" s="1301"/>
      <c r="G60" s="1301"/>
      <c r="H60" s="1301"/>
      <c r="I60" s="1301"/>
      <c r="J60" s="1310"/>
      <c r="K60" s="1309"/>
      <c r="L60" s="1310"/>
      <c r="M60" s="1309"/>
      <c r="N60" s="1310"/>
      <c r="O60" s="1309"/>
      <c r="P60" s="1310"/>
      <c r="Q60" s="1309"/>
      <c r="R60" s="1310"/>
      <c r="S60" s="1309"/>
      <c r="T60" s="1310"/>
      <c r="U60" s="1309"/>
      <c r="V60" s="1310"/>
      <c r="W60" s="1309"/>
      <c r="X60" s="1310"/>
      <c r="Y60" s="1309"/>
      <c r="Z60" s="1310"/>
      <c r="AA60" s="1309"/>
      <c r="AB60" s="1310"/>
      <c r="AC60" s="1309"/>
      <c r="AD60" s="1310"/>
      <c r="AE60" s="1309"/>
      <c r="AF60" s="1310"/>
      <c r="AG60" s="1309"/>
      <c r="AH60" s="1310"/>
      <c r="AI60" s="1306"/>
      <c r="AJ60" s="15"/>
    </row>
    <row r="61" spans="2:36" s="8" customFormat="1" ht="15" outlineLevel="1">
      <c r="B61" s="16"/>
      <c r="D61" s="1301"/>
      <c r="E61" s="1301"/>
      <c r="F61" s="1301"/>
      <c r="G61" s="1301"/>
      <c r="H61" s="1301"/>
      <c r="I61" s="1301"/>
      <c r="J61" s="1310"/>
      <c r="K61" s="1309"/>
      <c r="L61" s="1310"/>
      <c r="M61" s="1309"/>
      <c r="N61" s="1310"/>
      <c r="O61" s="1309"/>
      <c r="P61" s="1310"/>
      <c r="Q61" s="1309"/>
      <c r="R61" s="1310"/>
      <c r="S61" s="1309"/>
      <c r="T61" s="1310"/>
      <c r="U61" s="1309"/>
      <c r="V61" s="1310"/>
      <c r="W61" s="1309"/>
      <c r="X61" s="1310"/>
      <c r="Y61" s="1309"/>
      <c r="Z61" s="1310"/>
      <c r="AA61" s="1309"/>
      <c r="AB61" s="1310"/>
      <c r="AC61" s="1309"/>
      <c r="AD61" s="1310"/>
      <c r="AE61" s="1309"/>
      <c r="AF61" s="1310"/>
      <c r="AG61" s="1309"/>
      <c r="AH61" s="1310"/>
      <c r="AI61" s="1306"/>
      <c r="AJ61" s="15"/>
    </row>
    <row r="62" spans="2:36" s="407" customFormat="1" outlineLevel="1">
      <c r="B62" s="24" t="s">
        <v>404</v>
      </c>
      <c r="D62" s="1298">
        <v>40109</v>
      </c>
      <c r="E62" s="1298" t="s">
        <v>68</v>
      </c>
      <c r="F62" s="1299"/>
      <c r="G62" s="1300"/>
      <c r="H62" s="1301"/>
      <c r="I62" s="1302"/>
      <c r="J62" s="1303">
        <v>0</v>
      </c>
      <c r="K62" s="1302"/>
      <c r="L62" s="1303">
        <v>0</v>
      </c>
      <c r="M62" s="1302"/>
      <c r="N62" s="1303">
        <v>0</v>
      </c>
      <c r="O62" s="1302"/>
      <c r="P62" s="1303">
        <v>0</v>
      </c>
      <c r="Q62" s="1302"/>
      <c r="R62" s="1303">
        <v>0</v>
      </c>
      <c r="S62" s="1302"/>
      <c r="T62" s="1303">
        <v>0</v>
      </c>
      <c r="U62" s="1302"/>
      <c r="V62" s="1303">
        <v>0</v>
      </c>
      <c r="W62" s="1302"/>
      <c r="X62" s="1303">
        <v>0</v>
      </c>
      <c r="Y62" s="1302"/>
      <c r="Z62" s="1303">
        <v>0</v>
      </c>
      <c r="AA62" s="1302"/>
      <c r="AB62" s="1303">
        <v>0</v>
      </c>
      <c r="AC62" s="1302"/>
      <c r="AD62" s="1303">
        <v>1352.57</v>
      </c>
      <c r="AE62" s="1302"/>
      <c r="AF62" s="1303">
        <v>6494.23</v>
      </c>
      <c r="AG62" s="1302"/>
      <c r="AH62" s="1303">
        <f t="shared" ref="AH62:AH64" si="6">AF62+AD62+AB62+Z62+X62+V62+T62+R62+P62+N62+L62+J62</f>
        <v>7846.7999999999993</v>
      </c>
      <c r="AI62" s="1304">
        <f t="shared" ref="AI62:AI64" si="7">IF(AH$59=0,0,AH62/AH$59)</f>
        <v>1.1820194202862365E-3</v>
      </c>
      <c r="AJ62" s="12"/>
    </row>
    <row r="63" spans="2:36" s="407" customFormat="1" outlineLevel="1">
      <c r="B63" s="24" t="s">
        <v>397</v>
      </c>
      <c r="D63" s="1298">
        <v>40122</v>
      </c>
      <c r="E63" s="1298" t="s">
        <v>215</v>
      </c>
      <c r="F63" s="1299"/>
      <c r="G63" s="1300"/>
      <c r="H63" s="1301"/>
      <c r="I63" s="1302"/>
      <c r="J63" s="1303">
        <v>6321.99</v>
      </c>
      <c r="K63" s="1302"/>
      <c r="L63" s="1303">
        <v>12298.57</v>
      </c>
      <c r="M63" s="1302"/>
      <c r="N63" s="1303">
        <v>9527.7099999999991</v>
      </c>
      <c r="O63" s="1302"/>
      <c r="P63" s="1303">
        <v>9944.85</v>
      </c>
      <c r="Q63" s="1302"/>
      <c r="R63" s="1303">
        <v>6001.66</v>
      </c>
      <c r="S63" s="1302"/>
      <c r="T63" s="1303">
        <v>6921.23</v>
      </c>
      <c r="U63" s="1302"/>
      <c r="V63" s="1303">
        <v>11054.1</v>
      </c>
      <c r="W63" s="1302"/>
      <c r="X63" s="1303">
        <v>4877.28</v>
      </c>
      <c r="Y63" s="1302"/>
      <c r="Z63" s="1303">
        <v>7560.32</v>
      </c>
      <c r="AA63" s="1302"/>
      <c r="AB63" s="1303">
        <v>4221.18</v>
      </c>
      <c r="AC63" s="1302"/>
      <c r="AD63" s="1303">
        <v>7526.12</v>
      </c>
      <c r="AE63" s="1302"/>
      <c r="AF63" s="1303">
        <v>17974.95</v>
      </c>
      <c r="AG63" s="1302"/>
      <c r="AH63" s="1303">
        <f t="shared" si="6"/>
        <v>104229.96</v>
      </c>
      <c r="AI63" s="1304">
        <f t="shared" si="7"/>
        <v>1.5700901883016982E-2</v>
      </c>
      <c r="AJ63" s="12"/>
    </row>
    <row r="64" spans="2:36" s="407" customFormat="1" outlineLevel="1">
      <c r="B64" s="24" t="s">
        <v>397</v>
      </c>
      <c r="D64" s="1298">
        <v>40139</v>
      </c>
      <c r="E64" s="1298" t="s">
        <v>434</v>
      </c>
      <c r="F64" s="1299"/>
      <c r="G64" s="1300"/>
      <c r="H64" s="1301"/>
      <c r="I64" s="1302"/>
      <c r="J64" s="1303">
        <v>168720.44</v>
      </c>
      <c r="K64" s="1302"/>
      <c r="L64" s="1303">
        <v>113576.32000000001</v>
      </c>
      <c r="M64" s="1302"/>
      <c r="N64" s="1303">
        <v>133253.76999999999</v>
      </c>
      <c r="O64" s="1302"/>
      <c r="P64" s="1303">
        <v>101366.48</v>
      </c>
      <c r="Q64" s="1302"/>
      <c r="R64" s="1303">
        <v>97364.79</v>
      </c>
      <c r="S64" s="1302"/>
      <c r="T64" s="1303">
        <v>116987.16</v>
      </c>
      <c r="U64" s="1302"/>
      <c r="V64" s="1303">
        <v>47200.12</v>
      </c>
      <c r="W64" s="1302"/>
      <c r="X64" s="1303">
        <v>33607.339999999997</v>
      </c>
      <c r="Y64" s="1302"/>
      <c r="Z64" s="1303">
        <v>84778.21</v>
      </c>
      <c r="AA64" s="1302"/>
      <c r="AB64" s="1303">
        <v>38714.800000000003</v>
      </c>
      <c r="AC64" s="1302"/>
      <c r="AD64" s="1303">
        <v>45531</v>
      </c>
      <c r="AE64" s="1302"/>
      <c r="AF64" s="1303">
        <v>55154.51</v>
      </c>
      <c r="AG64" s="1302"/>
      <c r="AH64" s="1303">
        <f t="shared" si="6"/>
        <v>1036254.94</v>
      </c>
      <c r="AI64" s="1304">
        <f t="shared" si="7"/>
        <v>0.15609846860472407</v>
      </c>
      <c r="AJ64" s="12"/>
    </row>
    <row r="65" spans="2:36" s="8" customFormat="1" ht="5.0999999999999996" customHeight="1" outlineLevel="1">
      <c r="B65" s="16" t="s">
        <v>194</v>
      </c>
      <c r="D65" s="1299"/>
      <c r="E65" s="1299"/>
      <c r="F65" s="1299"/>
      <c r="G65" s="1299"/>
      <c r="H65" s="1301"/>
      <c r="I65" s="1301"/>
      <c r="J65" s="1311"/>
      <c r="K65" s="1309"/>
      <c r="L65" s="1311"/>
      <c r="M65" s="1309"/>
      <c r="N65" s="1311"/>
      <c r="O65" s="1309"/>
      <c r="P65" s="1311"/>
      <c r="Q65" s="1309"/>
      <c r="R65" s="1311"/>
      <c r="S65" s="1309"/>
      <c r="T65" s="1311"/>
      <c r="U65" s="1309"/>
      <c r="V65" s="1311"/>
      <c r="W65" s="1309"/>
      <c r="X65" s="1311"/>
      <c r="Y65" s="1309"/>
      <c r="Z65" s="1311"/>
      <c r="AA65" s="1309"/>
      <c r="AB65" s="1311"/>
      <c r="AC65" s="1309"/>
      <c r="AD65" s="1311"/>
      <c r="AE65" s="1309"/>
      <c r="AF65" s="1311"/>
      <c r="AG65" s="1309"/>
      <c r="AH65" s="1311"/>
      <c r="AI65" s="1306"/>
      <c r="AJ65" s="15"/>
    </row>
    <row r="66" spans="2:36" s="8" customFormat="1" ht="15">
      <c r="B66" s="16" t="s">
        <v>194</v>
      </c>
      <c r="D66" s="1301"/>
      <c r="E66" s="1301"/>
      <c r="F66" s="1299" t="s">
        <v>216</v>
      </c>
      <c r="G66" s="1301"/>
      <c r="H66" s="1301"/>
      <c r="I66" s="1301"/>
      <c r="J66" s="1308">
        <f>SUM(J61:J65)</f>
        <v>175042.43</v>
      </c>
      <c r="K66" s="1309"/>
      <c r="L66" s="1308">
        <f>SUM(L61:L65)</f>
        <v>125874.89000000001</v>
      </c>
      <c r="M66" s="1309"/>
      <c r="N66" s="1308">
        <f>SUM(N61:N65)</f>
        <v>142781.47999999998</v>
      </c>
      <c r="O66" s="1309"/>
      <c r="P66" s="1308">
        <f>SUM(P61:P65)</f>
        <v>111311.33</v>
      </c>
      <c r="Q66" s="1309"/>
      <c r="R66" s="1308">
        <f>SUM(R61:R65)</f>
        <v>103366.45</v>
      </c>
      <c r="S66" s="1309"/>
      <c r="T66" s="1308">
        <f>SUM(T61:T65)</f>
        <v>123908.39</v>
      </c>
      <c r="U66" s="1309"/>
      <c r="V66" s="1308">
        <f>SUM(V61:V65)</f>
        <v>58254.22</v>
      </c>
      <c r="W66" s="1309"/>
      <c r="X66" s="1308">
        <f>SUM(X61:X65)</f>
        <v>38484.619999999995</v>
      </c>
      <c r="Y66" s="1309"/>
      <c r="Z66" s="1308">
        <f>SUM(Z61:Z65)</f>
        <v>92338.53</v>
      </c>
      <c r="AA66" s="1309"/>
      <c r="AB66" s="1308">
        <f>SUM(AB61:AB65)</f>
        <v>42935.98</v>
      </c>
      <c r="AC66" s="1309"/>
      <c r="AD66" s="1308">
        <f>SUM(AD61:AD65)</f>
        <v>54409.69</v>
      </c>
      <c r="AE66" s="1309"/>
      <c r="AF66" s="1308">
        <f>SUM(AF61:AF65)</f>
        <v>79623.69</v>
      </c>
      <c r="AG66" s="1309"/>
      <c r="AH66" s="1308">
        <f>SUM(AH61:AH65)</f>
        <v>1148331.7</v>
      </c>
      <c r="AI66" s="1304">
        <f>IF(AH$59=0,0,AH66/AH$59)</f>
        <v>0.17298138990802731</v>
      </c>
      <c r="AJ66" s="15"/>
    </row>
    <row r="67" spans="2:36" s="8" customFormat="1" ht="15" outlineLevel="1">
      <c r="B67" s="16"/>
      <c r="D67" s="1301"/>
      <c r="E67" s="1301"/>
      <c r="F67" s="1301"/>
      <c r="G67" s="1301"/>
      <c r="H67" s="1301"/>
      <c r="I67" s="1301"/>
      <c r="J67" s="1310"/>
      <c r="K67" s="1309"/>
      <c r="L67" s="1310"/>
      <c r="M67" s="1309"/>
      <c r="N67" s="1310"/>
      <c r="O67" s="1309"/>
      <c r="P67" s="1310"/>
      <c r="Q67" s="1309"/>
      <c r="R67" s="1310"/>
      <c r="S67" s="1309"/>
      <c r="T67" s="1310"/>
      <c r="U67" s="1309"/>
      <c r="V67" s="1310"/>
      <c r="W67" s="1309"/>
      <c r="X67" s="1310"/>
      <c r="Y67" s="1309"/>
      <c r="Z67" s="1310"/>
      <c r="AA67" s="1309"/>
      <c r="AB67" s="1310"/>
      <c r="AC67" s="1309"/>
      <c r="AD67" s="1310"/>
      <c r="AE67" s="1309"/>
      <c r="AF67" s="1310"/>
      <c r="AG67" s="1309"/>
      <c r="AH67" s="1310"/>
      <c r="AI67" s="1306"/>
      <c r="AJ67" s="15"/>
    </row>
    <row r="68" spans="2:36" s="407" customFormat="1" outlineLevel="1">
      <c r="B68" s="24" t="s">
        <v>405</v>
      </c>
      <c r="D68" s="1298"/>
      <c r="E68" s="1298"/>
      <c r="F68" s="1299"/>
      <c r="G68" s="1300"/>
      <c r="H68" s="1301"/>
      <c r="I68" s="1302"/>
      <c r="J68" s="1303"/>
      <c r="K68" s="1302"/>
      <c r="L68" s="1303"/>
      <c r="M68" s="1302"/>
      <c r="N68" s="1303"/>
      <c r="O68" s="1302"/>
      <c r="P68" s="1303"/>
      <c r="Q68" s="1302"/>
      <c r="R68" s="1303"/>
      <c r="S68" s="1302"/>
      <c r="T68" s="1303"/>
      <c r="U68" s="1302"/>
      <c r="V68" s="1303"/>
      <c r="W68" s="1302"/>
      <c r="X68" s="1303"/>
      <c r="Y68" s="1302"/>
      <c r="Z68" s="1303"/>
      <c r="AA68" s="1302"/>
      <c r="AB68" s="1303"/>
      <c r="AC68" s="1302"/>
      <c r="AD68" s="1303"/>
      <c r="AE68" s="1302"/>
      <c r="AF68" s="1303"/>
      <c r="AG68" s="1302"/>
      <c r="AH68" s="1303">
        <f>AF68+AD68+AB68+Z68+X68+V68+T68+R68+P68+N68+L68+J68</f>
        <v>0</v>
      </c>
      <c r="AI68" s="1304">
        <f>IF(AH$59=0,0,AH68/AH$59)</f>
        <v>0</v>
      </c>
      <c r="AJ68" s="12"/>
    </row>
    <row r="69" spans="2:36" s="8" customFormat="1" ht="4.5" customHeight="1" outlineLevel="1">
      <c r="B69" s="8" t="s">
        <v>194</v>
      </c>
      <c r="D69" s="1312"/>
      <c r="E69" s="1301"/>
      <c r="F69" s="1301"/>
      <c r="G69" s="1301"/>
      <c r="H69" s="1301"/>
      <c r="I69" s="1301"/>
      <c r="J69" s="1311"/>
      <c r="K69" s="1309"/>
      <c r="L69" s="1311"/>
      <c r="M69" s="1309"/>
      <c r="N69" s="1311"/>
      <c r="O69" s="1309"/>
      <c r="P69" s="1311"/>
      <c r="Q69" s="1309"/>
      <c r="R69" s="1311"/>
      <c r="S69" s="1309"/>
      <c r="T69" s="1311"/>
      <c r="U69" s="1309"/>
      <c r="V69" s="1311"/>
      <c r="W69" s="1309"/>
      <c r="X69" s="1311"/>
      <c r="Y69" s="1309"/>
      <c r="Z69" s="1311"/>
      <c r="AA69" s="1309"/>
      <c r="AB69" s="1311"/>
      <c r="AC69" s="1309"/>
      <c r="AD69" s="1311"/>
      <c r="AE69" s="1309"/>
      <c r="AF69" s="1311"/>
      <c r="AG69" s="1309"/>
      <c r="AH69" s="1311"/>
      <c r="AI69" s="1306"/>
      <c r="AJ69" s="15"/>
    </row>
    <row r="70" spans="2:36" s="8" customFormat="1" ht="15">
      <c r="B70" s="16" t="s">
        <v>194</v>
      </c>
      <c r="D70" s="1301"/>
      <c r="E70" s="1301"/>
      <c r="F70" s="1301" t="s">
        <v>218</v>
      </c>
      <c r="G70" s="1301"/>
      <c r="H70" s="1301"/>
      <c r="I70" s="1301"/>
      <c r="J70" s="1308">
        <f>SUM(J68:J69)</f>
        <v>0</v>
      </c>
      <c r="K70" s="1309"/>
      <c r="L70" s="1308">
        <f>SUM(L68:L69)</f>
        <v>0</v>
      </c>
      <c r="M70" s="1309"/>
      <c r="N70" s="1308">
        <f>SUM(N68:N69)</f>
        <v>0</v>
      </c>
      <c r="O70" s="1309"/>
      <c r="P70" s="1308">
        <f>SUM(P68:P69)</f>
        <v>0</v>
      </c>
      <c r="Q70" s="1309"/>
      <c r="R70" s="1308">
        <f>SUM(R68:R69)</f>
        <v>0</v>
      </c>
      <c r="S70" s="1309"/>
      <c r="T70" s="1308">
        <f>SUM(T68:T69)</f>
        <v>0</v>
      </c>
      <c r="U70" s="1309"/>
      <c r="V70" s="1308">
        <f>SUM(V68:V69)</f>
        <v>0</v>
      </c>
      <c r="W70" s="1309"/>
      <c r="X70" s="1308">
        <f>SUM(X68:X69)</f>
        <v>0</v>
      </c>
      <c r="Y70" s="1309"/>
      <c r="Z70" s="1308">
        <f>SUM(Z68:Z69)</f>
        <v>0</v>
      </c>
      <c r="AA70" s="1309"/>
      <c r="AB70" s="1308">
        <f>SUM(AB68:AB69)</f>
        <v>0</v>
      </c>
      <c r="AC70" s="1309"/>
      <c r="AD70" s="1308">
        <f>SUM(AD68:AD69)</f>
        <v>0</v>
      </c>
      <c r="AE70" s="1309"/>
      <c r="AF70" s="1308">
        <f>SUM(AF68:AF69)</f>
        <v>0</v>
      </c>
      <c r="AG70" s="1309"/>
      <c r="AH70" s="1308">
        <f>SUM(AH68:AH69)</f>
        <v>0</v>
      </c>
      <c r="AI70" s="1304">
        <f>IF(AH$59=0,0,AH70/AH$59)</f>
        <v>0</v>
      </c>
      <c r="AJ70" s="15"/>
    </row>
    <row r="71" spans="2:36" s="8" customFormat="1" ht="15" outlineLevel="1">
      <c r="B71" s="16"/>
      <c r="D71" s="1301"/>
      <c r="E71" s="1301"/>
      <c r="F71" s="1301"/>
      <c r="G71" s="1301"/>
      <c r="H71" s="1301"/>
      <c r="I71" s="1301"/>
      <c r="J71" s="1310"/>
      <c r="K71" s="1309"/>
      <c r="L71" s="1310"/>
      <c r="M71" s="1309"/>
      <c r="N71" s="1310"/>
      <c r="O71" s="1309"/>
      <c r="P71" s="1310"/>
      <c r="Q71" s="1309"/>
      <c r="R71" s="1310"/>
      <c r="S71" s="1309"/>
      <c r="T71" s="1310"/>
      <c r="U71" s="1309"/>
      <c r="V71" s="1310"/>
      <c r="W71" s="1309"/>
      <c r="X71" s="1310"/>
      <c r="Y71" s="1309"/>
      <c r="Z71" s="1310"/>
      <c r="AA71" s="1309"/>
      <c r="AB71" s="1310"/>
      <c r="AC71" s="1309"/>
      <c r="AD71" s="1310"/>
      <c r="AE71" s="1309"/>
      <c r="AF71" s="1310"/>
      <c r="AG71" s="1309"/>
      <c r="AH71" s="1310"/>
      <c r="AI71" s="1306"/>
      <c r="AJ71" s="15"/>
    </row>
    <row r="72" spans="2:36" s="8" customFormat="1" ht="15" outlineLevel="1">
      <c r="B72" s="16" t="s">
        <v>194</v>
      </c>
      <c r="D72" s="1301"/>
      <c r="E72" s="1301"/>
      <c r="F72" s="1301"/>
      <c r="G72" s="1301"/>
      <c r="H72" s="1301"/>
      <c r="I72" s="1301"/>
      <c r="J72" s="1310"/>
      <c r="K72" s="1309"/>
      <c r="L72" s="1310"/>
      <c r="M72" s="1309"/>
      <c r="N72" s="1310"/>
      <c r="O72" s="1309"/>
      <c r="P72" s="1310"/>
      <c r="Q72" s="1309"/>
      <c r="R72" s="1310"/>
      <c r="S72" s="1309"/>
      <c r="T72" s="1310"/>
      <c r="U72" s="1309"/>
      <c r="V72" s="1310"/>
      <c r="W72" s="1309"/>
      <c r="X72" s="1310"/>
      <c r="Y72" s="1309"/>
      <c r="Z72" s="1310"/>
      <c r="AA72" s="1309"/>
      <c r="AB72" s="1310"/>
      <c r="AC72" s="1309"/>
      <c r="AD72" s="1310"/>
      <c r="AE72" s="1309"/>
      <c r="AF72" s="1310"/>
      <c r="AG72" s="1309"/>
      <c r="AH72" s="1310"/>
      <c r="AI72" s="1306"/>
      <c r="AJ72" s="15"/>
    </row>
    <row r="73" spans="2:36" s="407" customFormat="1" outlineLevel="1">
      <c r="B73" s="24" t="s">
        <v>406</v>
      </c>
      <c r="D73" s="1298">
        <v>41121</v>
      </c>
      <c r="E73" s="1298" t="s">
        <v>55</v>
      </c>
      <c r="F73" s="1299"/>
      <c r="G73" s="1300"/>
      <c r="H73" s="1301"/>
      <c r="I73" s="1302"/>
      <c r="J73" s="1303">
        <v>20812.5</v>
      </c>
      <c r="K73" s="1302"/>
      <c r="L73" s="1303">
        <v>4885</v>
      </c>
      <c r="M73" s="1302"/>
      <c r="N73" s="1303">
        <v>18537.5</v>
      </c>
      <c r="O73" s="1302"/>
      <c r="P73" s="1303">
        <v>13917.5</v>
      </c>
      <c r="Q73" s="1302"/>
      <c r="R73" s="1303">
        <v>13902.5</v>
      </c>
      <c r="S73" s="1302"/>
      <c r="T73" s="1303">
        <v>16800</v>
      </c>
      <c r="U73" s="1302"/>
      <c r="V73" s="1303">
        <v>4147.5</v>
      </c>
      <c r="W73" s="1302"/>
      <c r="X73" s="1303">
        <v>0</v>
      </c>
      <c r="Y73" s="1302"/>
      <c r="Z73" s="1303">
        <v>0</v>
      </c>
      <c r="AA73" s="1302"/>
      <c r="AB73" s="1303">
        <v>0</v>
      </c>
      <c r="AC73" s="1302"/>
      <c r="AD73" s="1303">
        <v>0</v>
      </c>
      <c r="AE73" s="1302"/>
      <c r="AF73" s="1303">
        <v>54600</v>
      </c>
      <c r="AG73" s="1302"/>
      <c r="AH73" s="1303">
        <f t="shared" ref="AH73:AH75" si="8">AF73+AD73+AB73+Z73+X73+V73+T73+R73+P73+N73+L73+J73</f>
        <v>147602.5</v>
      </c>
      <c r="AI73" s="1304">
        <f t="shared" ref="AI73:AI75" si="9">IF(AH$59=0,0,AH73/AH$59)</f>
        <v>2.2234416766426984E-2</v>
      </c>
      <c r="AJ73" s="12"/>
    </row>
    <row r="74" spans="2:36" s="407" customFormat="1" outlineLevel="1">
      <c r="B74" s="24" t="s">
        <v>397</v>
      </c>
      <c r="D74" s="1298">
        <v>41129</v>
      </c>
      <c r="E74" s="1298" t="s">
        <v>295</v>
      </c>
      <c r="F74" s="1299"/>
      <c r="G74" s="1300"/>
      <c r="H74" s="1301"/>
      <c r="I74" s="1302"/>
      <c r="J74" s="1303">
        <v>17875</v>
      </c>
      <c r="K74" s="1302"/>
      <c r="L74" s="1303">
        <v>13975</v>
      </c>
      <c r="M74" s="1302"/>
      <c r="N74" s="1303">
        <v>14950</v>
      </c>
      <c r="O74" s="1302"/>
      <c r="P74" s="1303">
        <v>19500</v>
      </c>
      <c r="Q74" s="1302"/>
      <c r="R74" s="1303">
        <v>14300</v>
      </c>
      <c r="S74" s="1302"/>
      <c r="T74" s="1303">
        <v>13975</v>
      </c>
      <c r="U74" s="1302"/>
      <c r="V74" s="1303">
        <v>13650</v>
      </c>
      <c r="W74" s="1302"/>
      <c r="X74" s="1303">
        <v>13000</v>
      </c>
      <c r="Y74" s="1302"/>
      <c r="Z74" s="1303">
        <v>18525</v>
      </c>
      <c r="AA74" s="1302"/>
      <c r="AB74" s="1303">
        <v>11375</v>
      </c>
      <c r="AC74" s="1302"/>
      <c r="AD74" s="1303">
        <v>14950</v>
      </c>
      <c r="AE74" s="1302"/>
      <c r="AF74" s="1303">
        <v>14300</v>
      </c>
      <c r="AG74" s="1302"/>
      <c r="AH74" s="1303">
        <f t="shared" si="8"/>
        <v>180375</v>
      </c>
      <c r="AI74" s="1304">
        <f t="shared" si="9"/>
        <v>2.7171172061748732E-2</v>
      </c>
      <c r="AJ74" s="12"/>
    </row>
    <row r="75" spans="2:36" s="407" customFormat="1" outlineLevel="1">
      <c r="B75" s="24" t="s">
        <v>397</v>
      </c>
      <c r="D75" s="1298">
        <v>43001</v>
      </c>
      <c r="E75" s="1298" t="s">
        <v>220</v>
      </c>
      <c r="F75" s="1299"/>
      <c r="G75" s="1300"/>
      <c r="H75" s="1301"/>
      <c r="I75" s="1302"/>
      <c r="J75" s="1303">
        <v>8369.39</v>
      </c>
      <c r="K75" s="1302"/>
      <c r="L75" s="1303">
        <v>7812.58</v>
      </c>
      <c r="M75" s="1302"/>
      <c r="N75" s="1303">
        <v>7767.51</v>
      </c>
      <c r="O75" s="1302"/>
      <c r="P75" s="1303">
        <v>7537.5</v>
      </c>
      <c r="Q75" s="1302"/>
      <c r="R75" s="1303">
        <v>7202.12</v>
      </c>
      <c r="S75" s="1302"/>
      <c r="T75" s="1303">
        <v>7813.83</v>
      </c>
      <c r="U75" s="1302"/>
      <c r="V75" s="1303">
        <v>8451.32</v>
      </c>
      <c r="W75" s="1302"/>
      <c r="X75" s="1303">
        <v>6962.74</v>
      </c>
      <c r="Y75" s="1302"/>
      <c r="Z75" s="1303">
        <v>7751.27</v>
      </c>
      <c r="AA75" s="1302"/>
      <c r="AB75" s="1303">
        <v>6129.78</v>
      </c>
      <c r="AC75" s="1302"/>
      <c r="AD75" s="1303">
        <v>8242.48</v>
      </c>
      <c r="AE75" s="1302"/>
      <c r="AF75" s="1303">
        <v>8862.7800000000007</v>
      </c>
      <c r="AG75" s="1302"/>
      <c r="AH75" s="1303">
        <f t="shared" si="8"/>
        <v>92903.3</v>
      </c>
      <c r="AI75" s="1304">
        <f t="shared" si="9"/>
        <v>1.3994686344583568E-2</v>
      </c>
      <c r="AJ75" s="12"/>
    </row>
    <row r="76" spans="2:36" s="8" customFormat="1" ht="5.0999999999999996" customHeight="1" outlineLevel="1">
      <c r="B76" s="2" t="s">
        <v>194</v>
      </c>
      <c r="D76" s="1299"/>
      <c r="E76" s="1299"/>
      <c r="F76" s="1299"/>
      <c r="G76" s="1299"/>
      <c r="H76" s="1301"/>
      <c r="I76" s="1301"/>
      <c r="J76" s="1311"/>
      <c r="K76" s="1309"/>
      <c r="L76" s="1311"/>
      <c r="M76" s="1309"/>
      <c r="N76" s="1311"/>
      <c r="O76" s="1309"/>
      <c r="P76" s="1311"/>
      <c r="Q76" s="1309"/>
      <c r="R76" s="1311"/>
      <c r="S76" s="1309"/>
      <c r="T76" s="1311"/>
      <c r="U76" s="1309"/>
      <c r="V76" s="1311"/>
      <c r="W76" s="1309"/>
      <c r="X76" s="1311"/>
      <c r="Y76" s="1309"/>
      <c r="Z76" s="1311"/>
      <c r="AA76" s="1309"/>
      <c r="AB76" s="1311"/>
      <c r="AC76" s="1309"/>
      <c r="AD76" s="1311"/>
      <c r="AE76" s="1309"/>
      <c r="AF76" s="1311"/>
      <c r="AG76" s="1309"/>
      <c r="AH76" s="1311"/>
      <c r="AI76" s="1306"/>
      <c r="AJ76" s="15"/>
    </row>
    <row r="77" spans="2:36" s="8" customFormat="1" ht="15">
      <c r="B77" s="16" t="s">
        <v>194</v>
      </c>
      <c r="D77" s="1301"/>
      <c r="E77" s="1301"/>
      <c r="F77" s="1299" t="s">
        <v>222</v>
      </c>
      <c r="G77" s="1315"/>
      <c r="H77" s="1315"/>
      <c r="I77" s="1315"/>
      <c r="J77" s="1308">
        <f>SUM(J72:J76)</f>
        <v>47056.89</v>
      </c>
      <c r="K77" s="1309"/>
      <c r="L77" s="1308">
        <f>SUM(L72:L76)</f>
        <v>26672.58</v>
      </c>
      <c r="M77" s="1309"/>
      <c r="N77" s="1308">
        <f>SUM(N72:N76)</f>
        <v>41255.01</v>
      </c>
      <c r="O77" s="1309"/>
      <c r="P77" s="1308">
        <f>SUM(P72:P76)</f>
        <v>40955</v>
      </c>
      <c r="Q77" s="1309"/>
      <c r="R77" s="1308">
        <f>SUM(R72:R76)</f>
        <v>35404.620000000003</v>
      </c>
      <c r="S77" s="1309"/>
      <c r="T77" s="1308">
        <f>SUM(T72:T76)</f>
        <v>38588.83</v>
      </c>
      <c r="U77" s="1309"/>
      <c r="V77" s="1308">
        <f>SUM(V72:V76)</f>
        <v>26248.82</v>
      </c>
      <c r="W77" s="1309"/>
      <c r="X77" s="1308">
        <f>SUM(X72:X76)</f>
        <v>19962.739999999998</v>
      </c>
      <c r="Y77" s="1309"/>
      <c r="Z77" s="1308">
        <f>SUM(Z72:Z76)</f>
        <v>26276.27</v>
      </c>
      <c r="AA77" s="1309"/>
      <c r="AB77" s="1308">
        <f>SUM(AB72:AB76)</f>
        <v>17504.78</v>
      </c>
      <c r="AC77" s="1309"/>
      <c r="AD77" s="1308">
        <f>SUM(AD72:AD76)</f>
        <v>23192.48</v>
      </c>
      <c r="AE77" s="1309"/>
      <c r="AF77" s="1308">
        <f>SUM(AF72:AF76)</f>
        <v>77762.78</v>
      </c>
      <c r="AG77" s="1309"/>
      <c r="AH77" s="1308">
        <f>SUM(AH72:AH76)</f>
        <v>420880.8</v>
      </c>
      <c r="AI77" s="1304">
        <f>IF(AH$59=0,0,AH77/AH$59)</f>
        <v>6.3400275172759271E-2</v>
      </c>
      <c r="AJ77" s="15"/>
    </row>
    <row r="78" spans="2:36" s="8" customFormat="1" ht="15" outlineLevel="1">
      <c r="B78" s="16"/>
      <c r="D78" s="1301"/>
      <c r="E78" s="1301"/>
      <c r="F78" s="1301"/>
      <c r="G78" s="1301"/>
      <c r="H78" s="1301"/>
      <c r="I78" s="1301"/>
      <c r="J78" s="1310"/>
      <c r="K78" s="1309"/>
      <c r="L78" s="1310"/>
      <c r="M78" s="1309"/>
      <c r="N78" s="1310"/>
      <c r="O78" s="1309"/>
      <c r="P78" s="1310"/>
      <c r="Q78" s="1309"/>
      <c r="R78" s="1310"/>
      <c r="S78" s="1309"/>
      <c r="T78" s="1310"/>
      <c r="U78" s="1309"/>
      <c r="V78" s="1310"/>
      <c r="W78" s="1309"/>
      <c r="X78" s="1310"/>
      <c r="Y78" s="1309"/>
      <c r="Z78" s="1310"/>
      <c r="AA78" s="1309"/>
      <c r="AB78" s="1310"/>
      <c r="AC78" s="1309"/>
      <c r="AD78" s="1310"/>
      <c r="AE78" s="1309"/>
      <c r="AF78" s="1310"/>
      <c r="AG78" s="1309"/>
      <c r="AH78" s="1310"/>
      <c r="AI78" s="1306"/>
      <c r="AJ78" s="15"/>
    </row>
    <row r="79" spans="2:36" s="8" customFormat="1" ht="15" outlineLevel="1">
      <c r="B79" s="16" t="s">
        <v>194</v>
      </c>
      <c r="D79" s="1301"/>
      <c r="E79" s="1301"/>
      <c r="F79" s="1301"/>
      <c r="G79" s="1301"/>
      <c r="H79" s="1301"/>
      <c r="I79" s="1301"/>
      <c r="J79" s="1310"/>
      <c r="K79" s="1309"/>
      <c r="L79" s="1310"/>
      <c r="M79" s="1309"/>
      <c r="N79" s="1310"/>
      <c r="O79" s="1309"/>
      <c r="P79" s="1310"/>
      <c r="Q79" s="1309"/>
      <c r="R79" s="1310"/>
      <c r="S79" s="1309"/>
      <c r="T79" s="1310"/>
      <c r="U79" s="1309"/>
      <c r="V79" s="1310"/>
      <c r="W79" s="1309"/>
      <c r="X79" s="1310"/>
      <c r="Y79" s="1309"/>
      <c r="Z79" s="1310"/>
      <c r="AA79" s="1309"/>
      <c r="AB79" s="1310"/>
      <c r="AC79" s="1309"/>
      <c r="AD79" s="1310"/>
      <c r="AE79" s="1309"/>
      <c r="AF79" s="1310"/>
      <c r="AG79" s="1309"/>
      <c r="AH79" s="1310"/>
      <c r="AI79" s="1306"/>
      <c r="AJ79" s="15"/>
    </row>
    <row r="80" spans="2:36" s="407" customFormat="1" outlineLevel="1">
      <c r="B80" s="24" t="s">
        <v>407</v>
      </c>
      <c r="D80" s="1298">
        <v>44168</v>
      </c>
      <c r="E80" s="1298" t="s">
        <v>223</v>
      </c>
      <c r="F80" s="1299"/>
      <c r="G80" s="1300"/>
      <c r="H80" s="1301"/>
      <c r="I80" s="1302"/>
      <c r="J80" s="1303">
        <v>14106.37</v>
      </c>
      <c r="K80" s="1302"/>
      <c r="L80" s="1303">
        <v>10328.42</v>
      </c>
      <c r="M80" s="1302"/>
      <c r="N80" s="1303">
        <v>4919.24</v>
      </c>
      <c r="O80" s="1302"/>
      <c r="P80" s="1303">
        <v>9211.1</v>
      </c>
      <c r="Q80" s="1302"/>
      <c r="R80" s="1303">
        <v>-96188.23</v>
      </c>
      <c r="S80" s="1302"/>
      <c r="T80" s="1303">
        <v>9580.44</v>
      </c>
      <c r="U80" s="1302"/>
      <c r="V80" s="1303">
        <v>-11694.13</v>
      </c>
      <c r="W80" s="1302"/>
      <c r="X80" s="1303">
        <v>-12861.66</v>
      </c>
      <c r="Y80" s="1302"/>
      <c r="Z80" s="1303">
        <v>-29692.01</v>
      </c>
      <c r="AA80" s="1302"/>
      <c r="AB80" s="1303">
        <v>6605.07</v>
      </c>
      <c r="AC80" s="1302"/>
      <c r="AD80" s="1303">
        <v>12168.62</v>
      </c>
      <c r="AE80" s="1302"/>
      <c r="AF80" s="1303">
        <v>12111.43</v>
      </c>
      <c r="AG80" s="1302"/>
      <c r="AH80" s="1303">
        <f t="shared" ref="AH80:AH81" si="10">AF80+AD80+AB80+Z80+X80+V80+T80+R80+P80+N80+L80+J80</f>
        <v>-71405.339999999982</v>
      </c>
      <c r="AI80" s="1304">
        <f t="shared" ref="AI80:AI81" si="11">IF(AH$59=0,0,AH80/AH$59)</f>
        <v>-1.0756295380555335E-2</v>
      </c>
      <c r="AJ80" s="12"/>
    </row>
    <row r="81" spans="2:36" s="407" customFormat="1" outlineLevel="1">
      <c r="B81" s="24" t="s">
        <v>397</v>
      </c>
      <c r="D81" s="1298">
        <v>44169</v>
      </c>
      <c r="E81" s="1298" t="s">
        <v>296</v>
      </c>
      <c r="F81" s="1299"/>
      <c r="G81" s="1300"/>
      <c r="H81" s="1301"/>
      <c r="I81" s="1302"/>
      <c r="J81" s="1303">
        <v>-5530.28</v>
      </c>
      <c r="K81" s="1302"/>
      <c r="L81" s="1303">
        <v>-4352.12</v>
      </c>
      <c r="M81" s="1302"/>
      <c r="N81" s="1303">
        <v>-2905</v>
      </c>
      <c r="O81" s="1302"/>
      <c r="P81" s="1303">
        <v>-3651.84</v>
      </c>
      <c r="Q81" s="1302"/>
      <c r="R81" s="1303">
        <v>-3500.55</v>
      </c>
      <c r="S81" s="1302"/>
      <c r="T81" s="1303">
        <v>0</v>
      </c>
      <c r="U81" s="1302"/>
      <c r="V81" s="1303">
        <v>0</v>
      </c>
      <c r="W81" s="1302"/>
      <c r="X81" s="1303">
        <v>0</v>
      </c>
      <c r="Y81" s="1302"/>
      <c r="Z81" s="1303">
        <v>0</v>
      </c>
      <c r="AA81" s="1302"/>
      <c r="AB81" s="1303">
        <v>0</v>
      </c>
      <c r="AC81" s="1302"/>
      <c r="AD81" s="1303">
        <v>0</v>
      </c>
      <c r="AE81" s="1302"/>
      <c r="AF81" s="1303">
        <v>0</v>
      </c>
      <c r="AG81" s="1302"/>
      <c r="AH81" s="1303">
        <f t="shared" si="10"/>
        <v>-19939.789999999997</v>
      </c>
      <c r="AI81" s="1304">
        <f t="shared" si="11"/>
        <v>-3.0036727094394271E-3</v>
      </c>
      <c r="AJ81" s="12"/>
    </row>
    <row r="82" spans="2:36" s="8" customFormat="1" ht="5.0999999999999996" customHeight="1" outlineLevel="1">
      <c r="B82" s="2" t="s">
        <v>194</v>
      </c>
      <c r="D82" s="1299"/>
      <c r="E82" s="1299"/>
      <c r="F82" s="1299"/>
      <c r="G82" s="1299"/>
      <c r="H82" s="1301"/>
      <c r="I82" s="1301"/>
      <c r="J82" s="1311"/>
      <c r="K82" s="1309"/>
      <c r="L82" s="1311"/>
      <c r="M82" s="1309"/>
      <c r="N82" s="1311"/>
      <c r="O82" s="1309"/>
      <c r="P82" s="1311"/>
      <c r="Q82" s="1309"/>
      <c r="R82" s="1311"/>
      <c r="S82" s="1309"/>
      <c r="T82" s="1311"/>
      <c r="U82" s="1309"/>
      <c r="V82" s="1311"/>
      <c r="W82" s="1309"/>
      <c r="X82" s="1311"/>
      <c r="Y82" s="1309"/>
      <c r="Z82" s="1311"/>
      <c r="AA82" s="1309"/>
      <c r="AB82" s="1311"/>
      <c r="AC82" s="1309"/>
      <c r="AD82" s="1311"/>
      <c r="AE82" s="1309"/>
      <c r="AF82" s="1311"/>
      <c r="AG82" s="1309"/>
      <c r="AH82" s="1311"/>
      <c r="AI82" s="1306"/>
      <c r="AJ82" s="15"/>
    </row>
    <row r="83" spans="2:36" s="8" customFormat="1" ht="15">
      <c r="B83" s="2" t="s">
        <v>194</v>
      </c>
      <c r="D83" s="1301"/>
      <c r="E83" s="1301"/>
      <c r="F83" s="1299" t="s">
        <v>224</v>
      </c>
      <c r="G83" s="1315"/>
      <c r="H83" s="1315"/>
      <c r="I83" s="1315"/>
      <c r="J83" s="1308">
        <f>SUM(J79:J82)</f>
        <v>8576.09</v>
      </c>
      <c r="K83" s="1309"/>
      <c r="L83" s="1308">
        <f>SUM(L79:L82)</f>
        <v>5976.3</v>
      </c>
      <c r="M83" s="1309"/>
      <c r="N83" s="1308">
        <f>SUM(N79:N82)</f>
        <v>2014.2399999999998</v>
      </c>
      <c r="O83" s="1309"/>
      <c r="P83" s="1308">
        <f>SUM(P79:P82)</f>
        <v>5559.26</v>
      </c>
      <c r="Q83" s="1309"/>
      <c r="R83" s="1308">
        <f>SUM(R79:R82)</f>
        <v>-99688.78</v>
      </c>
      <c r="S83" s="1309"/>
      <c r="T83" s="1308">
        <f>SUM(T79:T82)</f>
        <v>9580.44</v>
      </c>
      <c r="U83" s="1309"/>
      <c r="V83" s="1308">
        <f>SUM(V79:V82)</f>
        <v>-11694.13</v>
      </c>
      <c r="W83" s="1309"/>
      <c r="X83" s="1308">
        <f>SUM(X79:X82)</f>
        <v>-12861.66</v>
      </c>
      <c r="Y83" s="1309"/>
      <c r="Z83" s="1308">
        <f>SUM(Z79:Z82)</f>
        <v>-29692.01</v>
      </c>
      <c r="AA83" s="1309"/>
      <c r="AB83" s="1308">
        <f>SUM(AB79:AB82)</f>
        <v>6605.07</v>
      </c>
      <c r="AC83" s="1309"/>
      <c r="AD83" s="1308">
        <f>SUM(AD79:AD82)</f>
        <v>12168.62</v>
      </c>
      <c r="AE83" s="1309"/>
      <c r="AF83" s="1308">
        <f>SUM(AF79:AF82)</f>
        <v>12111.43</v>
      </c>
      <c r="AG83" s="1309"/>
      <c r="AH83" s="1308">
        <f>SUM(AH79:AH82)</f>
        <v>-91345.129999999976</v>
      </c>
      <c r="AI83" s="1304">
        <f>IF(AH$59=0,0,AH83/AH$59)</f>
        <v>-1.3759968089994763E-2</v>
      </c>
      <c r="AJ83" s="15"/>
    </row>
    <row r="84" spans="2:36" s="8" customFormat="1" ht="15" outlineLevel="1">
      <c r="B84" s="16" t="s">
        <v>194</v>
      </c>
      <c r="D84" s="1301"/>
      <c r="E84" s="1301"/>
      <c r="F84" s="1301"/>
      <c r="G84" s="1301"/>
      <c r="H84" s="1301"/>
      <c r="I84" s="1301"/>
      <c r="J84" s="1310"/>
      <c r="K84" s="1309"/>
      <c r="L84" s="1310"/>
      <c r="M84" s="1309"/>
      <c r="N84" s="1310"/>
      <c r="O84" s="1309"/>
      <c r="P84" s="1310"/>
      <c r="Q84" s="1309"/>
      <c r="R84" s="1310"/>
      <c r="S84" s="1309"/>
      <c r="T84" s="1310"/>
      <c r="U84" s="1309"/>
      <c r="V84" s="1310"/>
      <c r="W84" s="1309"/>
      <c r="X84" s="1310"/>
      <c r="Y84" s="1309"/>
      <c r="Z84" s="1310"/>
      <c r="AA84" s="1309"/>
      <c r="AB84" s="1310"/>
      <c r="AC84" s="1309"/>
      <c r="AD84" s="1310"/>
      <c r="AE84" s="1309"/>
      <c r="AF84" s="1310"/>
      <c r="AG84" s="1309"/>
      <c r="AH84" s="1310"/>
      <c r="AI84" s="1306"/>
      <c r="AJ84" s="15"/>
    </row>
    <row r="85" spans="2:36" s="407" customFormat="1" outlineLevel="1">
      <c r="B85" s="24" t="s">
        <v>408</v>
      </c>
      <c r="D85" s="1298"/>
      <c r="E85" s="1298"/>
      <c r="F85" s="1299"/>
      <c r="G85" s="1300"/>
      <c r="H85" s="1301"/>
      <c r="I85" s="1302"/>
      <c r="J85" s="1303"/>
      <c r="K85" s="1302"/>
      <c r="L85" s="1303"/>
      <c r="M85" s="1302"/>
      <c r="N85" s="1303"/>
      <c r="O85" s="1302"/>
      <c r="P85" s="1303"/>
      <c r="Q85" s="1302"/>
      <c r="R85" s="1303"/>
      <c r="S85" s="1302"/>
      <c r="T85" s="1303"/>
      <c r="U85" s="1302"/>
      <c r="V85" s="1303"/>
      <c r="W85" s="1302"/>
      <c r="X85" s="1303"/>
      <c r="Y85" s="1302"/>
      <c r="Z85" s="1303"/>
      <c r="AA85" s="1302"/>
      <c r="AB85" s="1303"/>
      <c r="AC85" s="1302"/>
      <c r="AD85" s="1303"/>
      <c r="AE85" s="1302"/>
      <c r="AF85" s="1303"/>
      <c r="AG85" s="1302"/>
      <c r="AH85" s="1303">
        <f>AF85+AD85+AB85+Z85+X85+V85+T85+R85+P85+N85+L85+J85</f>
        <v>0</v>
      </c>
      <c r="AI85" s="1304">
        <f>IF(AH$59=0,0,AH85/AH$59)</f>
        <v>0</v>
      </c>
      <c r="AJ85" s="12"/>
    </row>
    <row r="86" spans="2:36" s="8" customFormat="1" ht="4.5" customHeight="1" outlineLevel="1">
      <c r="B86" s="8" t="s">
        <v>194</v>
      </c>
      <c r="D86" s="1312"/>
      <c r="E86" s="1301"/>
      <c r="F86" s="1301"/>
      <c r="G86" s="1301"/>
      <c r="H86" s="1301"/>
      <c r="I86" s="1301"/>
      <c r="J86" s="1311"/>
      <c r="K86" s="1309"/>
      <c r="L86" s="1311"/>
      <c r="M86" s="1309"/>
      <c r="N86" s="1311"/>
      <c r="O86" s="1309"/>
      <c r="P86" s="1311"/>
      <c r="Q86" s="1309"/>
      <c r="R86" s="1311"/>
      <c r="S86" s="1309"/>
      <c r="T86" s="1311"/>
      <c r="U86" s="1309"/>
      <c r="V86" s="1311"/>
      <c r="W86" s="1309"/>
      <c r="X86" s="1311"/>
      <c r="Y86" s="1309"/>
      <c r="Z86" s="1311"/>
      <c r="AA86" s="1309"/>
      <c r="AB86" s="1311"/>
      <c r="AC86" s="1309"/>
      <c r="AD86" s="1311"/>
      <c r="AE86" s="1309"/>
      <c r="AF86" s="1311"/>
      <c r="AG86" s="1309"/>
      <c r="AH86" s="1311"/>
      <c r="AI86" s="1306"/>
      <c r="AJ86" s="15"/>
    </row>
    <row r="87" spans="2:36" s="8" customFormat="1" ht="15">
      <c r="B87" s="16" t="s">
        <v>194</v>
      </c>
      <c r="D87" s="1301"/>
      <c r="E87" s="1301"/>
      <c r="F87" s="1301" t="s">
        <v>225</v>
      </c>
      <c r="G87" s="1301"/>
      <c r="H87" s="1301"/>
      <c r="I87" s="1301"/>
      <c r="J87" s="1308">
        <f>SUM(J85:J86)</f>
        <v>0</v>
      </c>
      <c r="K87" s="1309"/>
      <c r="L87" s="1308">
        <f>SUM(L85:L86)</f>
        <v>0</v>
      </c>
      <c r="M87" s="1309"/>
      <c r="N87" s="1308">
        <f>SUM(N85:N86)</f>
        <v>0</v>
      </c>
      <c r="O87" s="1309"/>
      <c r="P87" s="1308">
        <f>SUM(P85:P86)</f>
        <v>0</v>
      </c>
      <c r="Q87" s="1309"/>
      <c r="R87" s="1308">
        <f>SUM(R85:R86)</f>
        <v>0</v>
      </c>
      <c r="S87" s="1309"/>
      <c r="T87" s="1308">
        <f>SUM(T85:T86)</f>
        <v>0</v>
      </c>
      <c r="U87" s="1309"/>
      <c r="V87" s="1308">
        <f>SUM(V85:V86)</f>
        <v>0</v>
      </c>
      <c r="W87" s="1309"/>
      <c r="X87" s="1308">
        <f>SUM(X85:X86)</f>
        <v>0</v>
      </c>
      <c r="Y87" s="1309"/>
      <c r="Z87" s="1308">
        <f>SUM(Z85:Z86)</f>
        <v>0</v>
      </c>
      <c r="AA87" s="1309"/>
      <c r="AB87" s="1308">
        <f>SUM(AB85:AB86)</f>
        <v>0</v>
      </c>
      <c r="AC87" s="1309"/>
      <c r="AD87" s="1308">
        <f>SUM(AD85:AD86)</f>
        <v>0</v>
      </c>
      <c r="AE87" s="1309"/>
      <c r="AF87" s="1308">
        <f>SUM(AF85:AF86)</f>
        <v>0</v>
      </c>
      <c r="AG87" s="1309"/>
      <c r="AH87" s="1308">
        <f>SUM(AH85:AH86)</f>
        <v>0</v>
      </c>
      <c r="AI87" s="1304">
        <f>IF(AH$59=0,0,AH87/AH$59)</f>
        <v>0</v>
      </c>
      <c r="AJ87" s="15"/>
    </row>
    <row r="88" spans="2:36" s="8" customFormat="1" ht="7.5" customHeight="1">
      <c r="B88" s="2" t="s">
        <v>194</v>
      </c>
      <c r="D88" s="1301"/>
      <c r="E88" s="1301"/>
      <c r="F88" s="1301"/>
      <c r="G88" s="1301"/>
      <c r="H88" s="1301"/>
      <c r="I88" s="1301"/>
      <c r="J88" s="1310"/>
      <c r="K88" s="1309"/>
      <c r="L88" s="1310"/>
      <c r="M88" s="1309"/>
      <c r="N88" s="1310"/>
      <c r="O88" s="1309"/>
      <c r="P88" s="1310"/>
      <c r="Q88" s="1309"/>
      <c r="R88" s="1310"/>
      <c r="S88" s="1309"/>
      <c r="T88" s="1310"/>
      <c r="U88" s="1309"/>
      <c r="V88" s="1310"/>
      <c r="W88" s="1309"/>
      <c r="X88" s="1310"/>
      <c r="Y88" s="1309"/>
      <c r="Z88" s="1310"/>
      <c r="AA88" s="1309"/>
      <c r="AB88" s="1310"/>
      <c r="AC88" s="1309"/>
      <c r="AD88" s="1310"/>
      <c r="AE88" s="1309"/>
      <c r="AF88" s="1310"/>
      <c r="AG88" s="1309"/>
      <c r="AH88" s="1310"/>
      <c r="AI88" s="1306"/>
      <c r="AJ88" s="15"/>
    </row>
    <row r="89" spans="2:36" s="8" customFormat="1" ht="15">
      <c r="B89" s="2" t="s">
        <v>194</v>
      </c>
      <c r="D89" s="1301"/>
      <c r="E89" s="1313" t="s">
        <v>226</v>
      </c>
      <c r="F89" s="1301"/>
      <c r="G89" s="1301"/>
      <c r="H89" s="1301"/>
      <c r="I89" s="1301"/>
      <c r="J89" s="1314">
        <f>+J66+J77+J83+J70+J87</f>
        <v>230675.41</v>
      </c>
      <c r="K89" s="1309"/>
      <c r="L89" s="1314">
        <f>+L66+L77+L83+L70+L87</f>
        <v>158523.77000000002</v>
      </c>
      <c r="M89" s="1309"/>
      <c r="N89" s="1314">
        <f>+N66+N77+N83+N70+N87</f>
        <v>186050.72999999998</v>
      </c>
      <c r="O89" s="1309"/>
      <c r="P89" s="1314">
        <f>+P66+P77+P83+P70+P87</f>
        <v>157825.59000000003</v>
      </c>
      <c r="Q89" s="1309"/>
      <c r="R89" s="1314">
        <f>+R66+R77+R83+R70+R87</f>
        <v>39082.290000000008</v>
      </c>
      <c r="S89" s="1309"/>
      <c r="T89" s="1314">
        <f>+T66+T77+T83+T70+T87</f>
        <v>172077.66</v>
      </c>
      <c r="U89" s="1309"/>
      <c r="V89" s="1314">
        <f>+V66+V77+V83+V70+V87</f>
        <v>72808.91</v>
      </c>
      <c r="W89" s="1309"/>
      <c r="X89" s="1314">
        <f>+X66+X77+X83+X70+X87</f>
        <v>45585.7</v>
      </c>
      <c r="Y89" s="1309"/>
      <c r="Z89" s="1314">
        <f>+Z66+Z77+Z83+Z70+Z87</f>
        <v>88922.790000000008</v>
      </c>
      <c r="AA89" s="1309"/>
      <c r="AB89" s="1314">
        <f>+AB66+AB77+AB83+AB70+AB87</f>
        <v>67045.83</v>
      </c>
      <c r="AC89" s="1309"/>
      <c r="AD89" s="1314">
        <f>+AD66+AD77+AD83+AD70+AD87</f>
        <v>89770.79</v>
      </c>
      <c r="AE89" s="1309"/>
      <c r="AF89" s="1314">
        <f>+AF66+AF77+AF83+AF70+AF87</f>
        <v>169497.9</v>
      </c>
      <c r="AG89" s="1309"/>
      <c r="AH89" s="1314">
        <f>+AH66+AH77+AH83+AH70+AH87</f>
        <v>1477867.37</v>
      </c>
      <c r="AI89" s="1304">
        <f>IF(AH$59=0,0,AH89/AH$59)</f>
        <v>0.22262169699079185</v>
      </c>
      <c r="AJ89" s="15"/>
    </row>
    <row r="90" spans="2:36" s="8" customFormat="1" ht="7.5" customHeight="1">
      <c r="B90" s="2" t="s">
        <v>194</v>
      </c>
      <c r="D90" s="1301"/>
      <c r="E90" s="1301"/>
      <c r="F90" s="1301"/>
      <c r="G90" s="1301"/>
      <c r="H90" s="1301"/>
      <c r="I90" s="1301"/>
      <c r="J90" s="1310"/>
      <c r="K90" s="1309"/>
      <c r="L90" s="1310"/>
      <c r="M90" s="1309"/>
      <c r="N90" s="1310"/>
      <c r="O90" s="1309"/>
      <c r="P90" s="1310"/>
      <c r="Q90" s="1309"/>
      <c r="R90" s="1310"/>
      <c r="S90" s="1309"/>
      <c r="T90" s="1310"/>
      <c r="U90" s="1309"/>
      <c r="V90" s="1310"/>
      <c r="W90" s="1309"/>
      <c r="X90" s="1310"/>
      <c r="Y90" s="1309"/>
      <c r="Z90" s="1310"/>
      <c r="AA90" s="1309"/>
      <c r="AB90" s="1310"/>
      <c r="AC90" s="1309"/>
      <c r="AD90" s="1310"/>
      <c r="AE90" s="1309"/>
      <c r="AF90" s="1310"/>
      <c r="AG90" s="1309"/>
      <c r="AH90" s="1310"/>
      <c r="AI90" s="1306"/>
      <c r="AJ90" s="15"/>
    </row>
    <row r="91" spans="2:36" s="8" customFormat="1" ht="15">
      <c r="B91" s="2" t="s">
        <v>194</v>
      </c>
      <c r="D91" s="1301"/>
      <c r="E91" s="1316" t="s">
        <v>227</v>
      </c>
      <c r="F91" s="1301"/>
      <c r="G91" s="1301"/>
      <c r="H91" s="1301"/>
      <c r="I91" s="1301"/>
      <c r="J91" s="1314">
        <f>J59-J89</f>
        <v>442969.00999999989</v>
      </c>
      <c r="K91" s="1309"/>
      <c r="L91" s="1314">
        <f>L59-L89</f>
        <v>406549.91999999993</v>
      </c>
      <c r="M91" s="1309"/>
      <c r="N91" s="1314">
        <f>N59-N89</f>
        <v>369339.62</v>
      </c>
      <c r="O91" s="1309"/>
      <c r="P91" s="1314">
        <f>P59-P89</f>
        <v>383730.45</v>
      </c>
      <c r="Q91" s="1309"/>
      <c r="R91" s="1314">
        <f>R59-R89</f>
        <v>468660.92999999993</v>
      </c>
      <c r="S91" s="1309"/>
      <c r="T91" s="1314">
        <f>T59-T89</f>
        <v>384719.12</v>
      </c>
      <c r="U91" s="1309"/>
      <c r="V91" s="1314">
        <f>V59-V89</f>
        <v>497025.10999999987</v>
      </c>
      <c r="W91" s="1309"/>
      <c r="X91" s="1314">
        <f>X59-X89</f>
        <v>441014.35</v>
      </c>
      <c r="Y91" s="1309"/>
      <c r="Z91" s="1314">
        <f>Z59-Z89</f>
        <v>469927.02</v>
      </c>
      <c r="AA91" s="1309"/>
      <c r="AB91" s="1314">
        <f>AB59-AB89</f>
        <v>363819.26</v>
      </c>
      <c r="AC91" s="1309"/>
      <c r="AD91" s="1314">
        <f>AD59-AD89</f>
        <v>482623.07</v>
      </c>
      <c r="AE91" s="1309"/>
      <c r="AF91" s="1314">
        <f>AF59-AF89</f>
        <v>450224.38</v>
      </c>
      <c r="AG91" s="1309"/>
      <c r="AH91" s="1314">
        <f>AH59-AH89</f>
        <v>5160602.24</v>
      </c>
      <c r="AI91" s="1304">
        <f>IF(AH$59=0,0,AH91/AH$59)</f>
        <v>0.77737830300920818</v>
      </c>
      <c r="AJ91" s="15"/>
    </row>
    <row r="92" spans="2:36" s="8" customFormat="1" ht="7.5" customHeight="1">
      <c r="B92" s="2" t="s">
        <v>194</v>
      </c>
      <c r="D92" s="1301"/>
      <c r="E92" s="1301"/>
      <c r="F92" s="1301"/>
      <c r="G92" s="1301"/>
      <c r="H92" s="1301"/>
      <c r="I92" s="1301"/>
      <c r="J92" s="1310"/>
      <c r="K92" s="1309"/>
      <c r="L92" s="1310"/>
      <c r="M92" s="1309"/>
      <c r="N92" s="1310"/>
      <c r="O92" s="1309"/>
      <c r="P92" s="1310"/>
      <c r="Q92" s="1309"/>
      <c r="R92" s="1310"/>
      <c r="S92" s="1309"/>
      <c r="T92" s="1310"/>
      <c r="U92" s="1309"/>
      <c r="V92" s="1310"/>
      <c r="W92" s="1309"/>
      <c r="X92" s="1310"/>
      <c r="Y92" s="1309"/>
      <c r="Z92" s="1310"/>
      <c r="AA92" s="1309"/>
      <c r="AB92" s="1310"/>
      <c r="AC92" s="1309"/>
      <c r="AD92" s="1310"/>
      <c r="AE92" s="1309"/>
      <c r="AF92" s="1310"/>
      <c r="AG92" s="1309"/>
      <c r="AH92" s="1310"/>
      <c r="AI92" s="1306"/>
      <c r="AJ92" s="15"/>
    </row>
    <row r="93" spans="2:36" s="8" customFormat="1" ht="15" outlineLevel="1">
      <c r="B93" s="2"/>
      <c r="D93" s="1301"/>
      <c r="E93" s="1301"/>
      <c r="F93" s="1301"/>
      <c r="G93" s="1301"/>
      <c r="H93" s="1301"/>
      <c r="I93" s="1301"/>
      <c r="J93" s="1310"/>
      <c r="K93" s="1309"/>
      <c r="L93" s="1310"/>
      <c r="M93" s="1309"/>
      <c r="N93" s="1310"/>
      <c r="O93" s="1309"/>
      <c r="P93" s="1310"/>
      <c r="Q93" s="1309"/>
      <c r="R93" s="1310"/>
      <c r="S93" s="1309"/>
      <c r="T93" s="1310"/>
      <c r="U93" s="1309"/>
      <c r="V93" s="1310"/>
      <c r="W93" s="1309"/>
      <c r="X93" s="1310"/>
      <c r="Y93" s="1309"/>
      <c r="Z93" s="1310"/>
      <c r="AA93" s="1309"/>
      <c r="AB93" s="1310"/>
      <c r="AC93" s="1309"/>
      <c r="AD93" s="1310"/>
      <c r="AE93" s="1309"/>
      <c r="AF93" s="1310"/>
      <c r="AG93" s="1309"/>
      <c r="AH93" s="1310"/>
      <c r="AI93" s="1306"/>
      <c r="AJ93" s="15"/>
    </row>
    <row r="94" spans="2:36" s="407" customFormat="1" outlineLevel="1">
      <c r="B94" s="24" t="s">
        <v>409</v>
      </c>
      <c r="D94" s="1298">
        <v>50020</v>
      </c>
      <c r="E94" s="1298" t="s">
        <v>24</v>
      </c>
      <c r="F94" s="1299"/>
      <c r="G94" s="1300"/>
      <c r="H94" s="1301"/>
      <c r="I94" s="1302"/>
      <c r="J94" s="1303">
        <v>83083.83</v>
      </c>
      <c r="K94" s="1302"/>
      <c r="L94" s="1303">
        <v>78238.7</v>
      </c>
      <c r="M94" s="1302"/>
      <c r="N94" s="1303">
        <v>87367.18</v>
      </c>
      <c r="O94" s="1302"/>
      <c r="P94" s="1303">
        <v>85909.97</v>
      </c>
      <c r="Q94" s="1302"/>
      <c r="R94" s="1303">
        <v>79555.509999999995</v>
      </c>
      <c r="S94" s="1302"/>
      <c r="T94" s="1303">
        <v>95780.69</v>
      </c>
      <c r="U94" s="1302"/>
      <c r="V94" s="1303">
        <v>89653.03</v>
      </c>
      <c r="W94" s="1302"/>
      <c r="X94" s="1303">
        <v>86117.84</v>
      </c>
      <c r="Y94" s="1302"/>
      <c r="Z94" s="1303">
        <v>99218.73</v>
      </c>
      <c r="AA94" s="1302"/>
      <c r="AB94" s="1303">
        <v>81594.149999999994</v>
      </c>
      <c r="AC94" s="1302"/>
      <c r="AD94" s="1303">
        <v>93526.31</v>
      </c>
      <c r="AE94" s="1302"/>
      <c r="AF94" s="1303">
        <v>97296.960000000006</v>
      </c>
      <c r="AG94" s="1302"/>
      <c r="AH94" s="1303">
        <f t="shared" ref="AH94:AH104" si="12">AF94+AD94+AB94+Z94+X94+V94+T94+R94+P94+N94+L94+J94</f>
        <v>1057342.8999999999</v>
      </c>
      <c r="AI94" s="1304">
        <f t="shared" ref="AI94:AI104" si="13">IF(AH$59=0,0,AH94/AH$59)</f>
        <v>0.15927509834604783</v>
      </c>
      <c r="AJ94" s="12"/>
    </row>
    <row r="95" spans="2:36" s="407" customFormat="1" outlineLevel="1">
      <c r="B95" s="24" t="s">
        <v>397</v>
      </c>
      <c r="D95" s="1298">
        <v>50025</v>
      </c>
      <c r="E95" s="1298" t="s">
        <v>25</v>
      </c>
      <c r="F95" s="1299"/>
      <c r="G95" s="1300"/>
      <c r="H95" s="1301"/>
      <c r="I95" s="1302"/>
      <c r="J95" s="1303">
        <v>14735.45</v>
      </c>
      <c r="K95" s="1302"/>
      <c r="L95" s="1303">
        <v>9760.4599999999991</v>
      </c>
      <c r="M95" s="1302"/>
      <c r="N95" s="1303">
        <v>15246.15</v>
      </c>
      <c r="O95" s="1302"/>
      <c r="P95" s="1303">
        <v>12838.31</v>
      </c>
      <c r="Q95" s="1302"/>
      <c r="R95" s="1303">
        <v>15518.7</v>
      </c>
      <c r="S95" s="1302"/>
      <c r="T95" s="1303">
        <v>8042.29</v>
      </c>
      <c r="U95" s="1302"/>
      <c r="V95" s="1303">
        <v>14624.87</v>
      </c>
      <c r="W95" s="1302"/>
      <c r="X95" s="1303">
        <v>10241.92</v>
      </c>
      <c r="Y95" s="1302"/>
      <c r="Z95" s="1303">
        <v>6686.35</v>
      </c>
      <c r="AA95" s="1302"/>
      <c r="AB95" s="1303">
        <v>6715.41</v>
      </c>
      <c r="AC95" s="1302"/>
      <c r="AD95" s="1303">
        <v>18311.349999999999</v>
      </c>
      <c r="AE95" s="1302"/>
      <c r="AF95" s="1303">
        <v>22935.93</v>
      </c>
      <c r="AG95" s="1302"/>
      <c r="AH95" s="1303">
        <f t="shared" si="12"/>
        <v>155657.19</v>
      </c>
      <c r="AI95" s="1304">
        <f t="shared" si="13"/>
        <v>2.3447752139366951E-2</v>
      </c>
      <c r="AJ95" s="12"/>
    </row>
    <row r="96" spans="2:36" s="407" customFormat="1" outlineLevel="1">
      <c r="B96" s="24" t="s">
        <v>397</v>
      </c>
      <c r="D96" s="1298">
        <v>50035</v>
      </c>
      <c r="E96" s="1298" t="s">
        <v>26</v>
      </c>
      <c r="F96" s="1299"/>
      <c r="G96" s="1300"/>
      <c r="H96" s="1301"/>
      <c r="I96" s="1302"/>
      <c r="J96" s="1303">
        <v>1848.92</v>
      </c>
      <c r="K96" s="1302"/>
      <c r="L96" s="1303">
        <v>1848.93</v>
      </c>
      <c r="M96" s="1302"/>
      <c r="N96" s="1303">
        <v>1848.93</v>
      </c>
      <c r="O96" s="1302"/>
      <c r="P96" s="1303">
        <v>7317.51</v>
      </c>
      <c r="Q96" s="1302"/>
      <c r="R96" s="1303">
        <v>2372.69</v>
      </c>
      <c r="S96" s="1302"/>
      <c r="T96" s="1303">
        <v>2459.19</v>
      </c>
      <c r="U96" s="1302"/>
      <c r="V96" s="1303">
        <v>2459.1799999999998</v>
      </c>
      <c r="W96" s="1302"/>
      <c r="X96" s="1303">
        <v>234.19</v>
      </c>
      <c r="Y96" s="1302"/>
      <c r="Z96" s="1303">
        <v>1084.6199999999999</v>
      </c>
      <c r="AA96" s="1302"/>
      <c r="AB96" s="1303">
        <v>-11310.22</v>
      </c>
      <c r="AC96" s="1302"/>
      <c r="AD96" s="1303">
        <v>1084.6099999999999</v>
      </c>
      <c r="AE96" s="1302"/>
      <c r="AF96" s="1303">
        <v>1084.6199999999999</v>
      </c>
      <c r="AG96" s="1302"/>
      <c r="AH96" s="1303">
        <f t="shared" si="12"/>
        <v>12333.17</v>
      </c>
      <c r="AI96" s="1304">
        <f t="shared" si="13"/>
        <v>1.8578333146877205E-3</v>
      </c>
      <c r="AJ96" s="12"/>
    </row>
    <row r="97" spans="2:36" s="407" customFormat="1" outlineLevel="1">
      <c r="B97" s="24" t="s">
        <v>397</v>
      </c>
      <c r="D97" s="1298">
        <v>50045</v>
      </c>
      <c r="E97" s="1298" t="s">
        <v>27</v>
      </c>
      <c r="F97" s="1299"/>
      <c r="G97" s="1300"/>
      <c r="H97" s="1301"/>
      <c r="I97" s="1302"/>
      <c r="J97" s="1303">
        <v>602.80999999999995</v>
      </c>
      <c r="K97" s="1302"/>
      <c r="L97" s="1303">
        <v>-36.26</v>
      </c>
      <c r="M97" s="1302"/>
      <c r="N97" s="1303">
        <v>0</v>
      </c>
      <c r="O97" s="1302"/>
      <c r="P97" s="1303">
        <v>0</v>
      </c>
      <c r="Q97" s="1302"/>
      <c r="R97" s="1303">
        <v>0</v>
      </c>
      <c r="S97" s="1302"/>
      <c r="T97" s="1303">
        <v>0</v>
      </c>
      <c r="U97" s="1302"/>
      <c r="V97" s="1303">
        <v>0</v>
      </c>
      <c r="W97" s="1302"/>
      <c r="X97" s="1303">
        <v>0</v>
      </c>
      <c r="Y97" s="1302"/>
      <c r="Z97" s="1303">
        <v>0</v>
      </c>
      <c r="AA97" s="1302"/>
      <c r="AB97" s="1303">
        <v>0</v>
      </c>
      <c r="AC97" s="1302"/>
      <c r="AD97" s="1303">
        <v>0</v>
      </c>
      <c r="AE97" s="1302"/>
      <c r="AF97" s="1303">
        <v>0</v>
      </c>
      <c r="AG97" s="1302"/>
      <c r="AH97" s="1303">
        <f t="shared" si="12"/>
        <v>566.54999999999995</v>
      </c>
      <c r="AI97" s="1304">
        <f t="shared" si="13"/>
        <v>8.5343465178565439E-5</v>
      </c>
      <c r="AJ97" s="12"/>
    </row>
    <row r="98" spans="2:36" s="407" customFormat="1" outlineLevel="1">
      <c r="B98" s="24" t="s">
        <v>397</v>
      </c>
      <c r="D98" s="1298">
        <v>50050</v>
      </c>
      <c r="E98" s="1298" t="s">
        <v>166</v>
      </c>
      <c r="F98" s="1299"/>
      <c r="G98" s="1300"/>
      <c r="H98" s="1301"/>
      <c r="I98" s="1302"/>
      <c r="J98" s="1303">
        <v>9397.7000000000007</v>
      </c>
      <c r="K98" s="1302"/>
      <c r="L98" s="1303">
        <v>7107.37</v>
      </c>
      <c r="M98" s="1302"/>
      <c r="N98" s="1303">
        <v>8986.32</v>
      </c>
      <c r="O98" s="1302"/>
      <c r="P98" s="1303">
        <v>8645.7999999999993</v>
      </c>
      <c r="Q98" s="1302"/>
      <c r="R98" s="1303">
        <v>8032.1</v>
      </c>
      <c r="S98" s="1302"/>
      <c r="T98" s="1303">
        <v>8922.51</v>
      </c>
      <c r="U98" s="1302"/>
      <c r="V98" s="1303">
        <v>8327.02</v>
      </c>
      <c r="W98" s="1302"/>
      <c r="X98" s="1303">
        <v>8698.43</v>
      </c>
      <c r="Y98" s="1302"/>
      <c r="Z98" s="1303">
        <v>10836.21</v>
      </c>
      <c r="AA98" s="1302"/>
      <c r="AB98" s="1303">
        <v>7840.67</v>
      </c>
      <c r="AC98" s="1302"/>
      <c r="AD98" s="1303">
        <v>10029.36</v>
      </c>
      <c r="AE98" s="1302"/>
      <c r="AF98" s="1303">
        <v>10322.969999999999</v>
      </c>
      <c r="AG98" s="1302"/>
      <c r="AH98" s="1303">
        <f t="shared" si="12"/>
        <v>107146.46</v>
      </c>
      <c r="AI98" s="1304">
        <f t="shared" si="13"/>
        <v>1.6140235068425657E-2</v>
      </c>
      <c r="AJ98" s="12"/>
    </row>
    <row r="99" spans="2:36" s="407" customFormat="1" outlineLevel="1">
      <c r="B99" s="24" t="s">
        <v>397</v>
      </c>
      <c r="D99" s="1298">
        <v>50060</v>
      </c>
      <c r="E99" s="1298" t="s">
        <v>75</v>
      </c>
      <c r="F99" s="1299"/>
      <c r="G99" s="1300"/>
      <c r="H99" s="1301"/>
      <c r="I99" s="1302"/>
      <c r="J99" s="1303">
        <v>25728.32</v>
      </c>
      <c r="K99" s="1302"/>
      <c r="L99" s="1303">
        <v>25809.48</v>
      </c>
      <c r="M99" s="1302"/>
      <c r="N99" s="1303">
        <v>26783.279999999999</v>
      </c>
      <c r="O99" s="1302"/>
      <c r="P99" s="1303">
        <v>26783.72</v>
      </c>
      <c r="Q99" s="1302"/>
      <c r="R99" s="1303">
        <v>26987.79</v>
      </c>
      <c r="S99" s="1302"/>
      <c r="T99" s="1303">
        <v>25054.51</v>
      </c>
      <c r="U99" s="1302"/>
      <c r="V99" s="1303">
        <v>25727.66</v>
      </c>
      <c r="W99" s="1302"/>
      <c r="X99" s="1303">
        <v>27045.74</v>
      </c>
      <c r="Y99" s="1302"/>
      <c r="Z99" s="1303">
        <v>26850.71</v>
      </c>
      <c r="AA99" s="1302"/>
      <c r="AB99" s="1303">
        <v>28019.26</v>
      </c>
      <c r="AC99" s="1302"/>
      <c r="AD99" s="1303">
        <v>28151.05</v>
      </c>
      <c r="AE99" s="1302"/>
      <c r="AF99" s="1303">
        <v>27906.49</v>
      </c>
      <c r="AG99" s="1302"/>
      <c r="AH99" s="1303">
        <f t="shared" si="12"/>
        <v>320848.01</v>
      </c>
      <c r="AI99" s="1304">
        <f t="shared" si="13"/>
        <v>4.8331622926567862E-2</v>
      </c>
      <c r="AJ99" s="12"/>
    </row>
    <row r="100" spans="2:36" s="407" customFormat="1" outlineLevel="1">
      <c r="B100" s="24" t="s">
        <v>397</v>
      </c>
      <c r="D100" s="1298">
        <v>50065</v>
      </c>
      <c r="E100" s="1298" t="s">
        <v>21</v>
      </c>
      <c r="F100" s="1299"/>
      <c r="G100" s="1300"/>
      <c r="H100" s="1301"/>
      <c r="I100" s="1302"/>
      <c r="J100" s="1303">
        <v>12735.28</v>
      </c>
      <c r="K100" s="1302"/>
      <c r="L100" s="1303">
        <v>5618.51</v>
      </c>
      <c r="M100" s="1302"/>
      <c r="N100" s="1303">
        <v>6141.25</v>
      </c>
      <c r="O100" s="1302"/>
      <c r="P100" s="1303">
        <v>3676.89</v>
      </c>
      <c r="Q100" s="1302"/>
      <c r="R100" s="1303">
        <v>3772.37</v>
      </c>
      <c r="S100" s="1302"/>
      <c r="T100" s="1303">
        <v>4202.8999999999996</v>
      </c>
      <c r="U100" s="1302"/>
      <c r="V100" s="1303">
        <v>62.13</v>
      </c>
      <c r="W100" s="1302"/>
      <c r="X100" s="1303">
        <v>7356.6</v>
      </c>
      <c r="Y100" s="1302"/>
      <c r="Z100" s="1303">
        <v>8277.6200000000008</v>
      </c>
      <c r="AA100" s="1302"/>
      <c r="AB100" s="1303">
        <v>3519.89</v>
      </c>
      <c r="AC100" s="1302"/>
      <c r="AD100" s="1303">
        <v>8300.94</v>
      </c>
      <c r="AE100" s="1302"/>
      <c r="AF100" s="1303">
        <v>4925.1000000000004</v>
      </c>
      <c r="AG100" s="1302"/>
      <c r="AH100" s="1303">
        <f t="shared" si="12"/>
        <v>68589.48000000001</v>
      </c>
      <c r="AI100" s="1304">
        <f t="shared" si="13"/>
        <v>1.0332122315763678E-2</v>
      </c>
      <c r="AJ100" s="12"/>
    </row>
    <row r="101" spans="2:36" s="407" customFormat="1" outlineLevel="1">
      <c r="B101" s="24" t="s">
        <v>397</v>
      </c>
      <c r="D101" s="1298">
        <v>50070</v>
      </c>
      <c r="E101" s="1298" t="s">
        <v>22</v>
      </c>
      <c r="F101" s="1299"/>
      <c r="G101" s="1300"/>
      <c r="H101" s="1301"/>
      <c r="I101" s="1302"/>
      <c r="J101" s="1303">
        <v>1900.2</v>
      </c>
      <c r="K101" s="1302"/>
      <c r="L101" s="1303">
        <v>3496.84</v>
      </c>
      <c r="M101" s="1302"/>
      <c r="N101" s="1303">
        <v>4162.87</v>
      </c>
      <c r="O101" s="1302"/>
      <c r="P101" s="1303">
        <v>3559.18</v>
      </c>
      <c r="Q101" s="1302"/>
      <c r="R101" s="1303">
        <v>4265.75</v>
      </c>
      <c r="S101" s="1302"/>
      <c r="T101" s="1303">
        <v>4443.45</v>
      </c>
      <c r="U101" s="1302"/>
      <c r="V101" s="1303">
        <v>4520.78</v>
      </c>
      <c r="W101" s="1302"/>
      <c r="X101" s="1303">
        <v>3978.15</v>
      </c>
      <c r="Y101" s="1302"/>
      <c r="Z101" s="1303">
        <v>3725.66</v>
      </c>
      <c r="AA101" s="1302"/>
      <c r="AB101" s="1303">
        <v>5870.59</v>
      </c>
      <c r="AC101" s="1302"/>
      <c r="AD101" s="1303">
        <v>6959.39</v>
      </c>
      <c r="AE101" s="1302"/>
      <c r="AF101" s="1303">
        <v>4211.05</v>
      </c>
      <c r="AG101" s="1302"/>
      <c r="AH101" s="1303">
        <f t="shared" si="12"/>
        <v>51093.91</v>
      </c>
      <c r="AI101" s="1304">
        <f t="shared" si="13"/>
        <v>7.6966398886625315E-3</v>
      </c>
      <c r="AJ101" s="12"/>
    </row>
    <row r="102" spans="2:36" s="407" customFormat="1" outlineLevel="1">
      <c r="B102" s="24" t="s">
        <v>397</v>
      </c>
      <c r="D102" s="1298">
        <v>50086</v>
      </c>
      <c r="E102" s="1298" t="s">
        <v>60</v>
      </c>
      <c r="F102" s="1299"/>
      <c r="G102" s="1300"/>
      <c r="H102" s="1301"/>
      <c r="I102" s="1302"/>
      <c r="J102" s="1303">
        <v>687.42</v>
      </c>
      <c r="K102" s="1302"/>
      <c r="L102" s="1303">
        <v>1181.3800000000001</v>
      </c>
      <c r="M102" s="1302"/>
      <c r="N102" s="1303">
        <v>799.82</v>
      </c>
      <c r="O102" s="1302"/>
      <c r="P102" s="1303">
        <v>1744.99</v>
      </c>
      <c r="Q102" s="1302"/>
      <c r="R102" s="1303">
        <v>1131.8800000000001</v>
      </c>
      <c r="S102" s="1302"/>
      <c r="T102" s="1303">
        <v>1756.07</v>
      </c>
      <c r="U102" s="1302"/>
      <c r="V102" s="1303">
        <v>1869.98</v>
      </c>
      <c r="W102" s="1302"/>
      <c r="X102" s="1303">
        <v>1810.67</v>
      </c>
      <c r="Y102" s="1302"/>
      <c r="Z102" s="1303">
        <v>4678.67</v>
      </c>
      <c r="AA102" s="1302"/>
      <c r="AB102" s="1303">
        <v>905.7</v>
      </c>
      <c r="AC102" s="1302"/>
      <c r="AD102" s="1303">
        <v>1379.66</v>
      </c>
      <c r="AE102" s="1302"/>
      <c r="AF102" s="1303">
        <v>603.33000000000004</v>
      </c>
      <c r="AG102" s="1302"/>
      <c r="AH102" s="1303">
        <f t="shared" si="12"/>
        <v>18549.57</v>
      </c>
      <c r="AI102" s="1304">
        <f t="shared" si="13"/>
        <v>2.7942539605901725E-3</v>
      </c>
      <c r="AJ102" s="12"/>
    </row>
    <row r="103" spans="2:36" s="407" customFormat="1" outlineLevel="1">
      <c r="B103" s="24" t="s">
        <v>397</v>
      </c>
      <c r="D103" s="1298">
        <v>50090</v>
      </c>
      <c r="E103" s="1298" t="s">
        <v>39</v>
      </c>
      <c r="F103" s="1299"/>
      <c r="G103" s="1300"/>
      <c r="H103" s="1301"/>
      <c r="I103" s="1302"/>
      <c r="J103" s="1303">
        <v>1460.32</v>
      </c>
      <c r="K103" s="1302"/>
      <c r="L103" s="1303">
        <v>1133.4000000000001</v>
      </c>
      <c r="M103" s="1302"/>
      <c r="N103" s="1303">
        <v>1088.6400000000001</v>
      </c>
      <c r="O103" s="1302"/>
      <c r="P103" s="1303">
        <v>2155.5100000000002</v>
      </c>
      <c r="Q103" s="1302"/>
      <c r="R103" s="1303">
        <v>1318.18</v>
      </c>
      <c r="S103" s="1302"/>
      <c r="T103" s="1303">
        <v>1695.08</v>
      </c>
      <c r="U103" s="1302"/>
      <c r="V103" s="1303">
        <v>1165.74</v>
      </c>
      <c r="W103" s="1302"/>
      <c r="X103" s="1303">
        <v>1101.26</v>
      </c>
      <c r="Y103" s="1302"/>
      <c r="Z103" s="1303">
        <v>1443.72</v>
      </c>
      <c r="AA103" s="1302"/>
      <c r="AB103" s="1303">
        <v>1181.82</v>
      </c>
      <c r="AC103" s="1302"/>
      <c r="AD103" s="1303">
        <v>1468.38</v>
      </c>
      <c r="AE103" s="1302"/>
      <c r="AF103" s="1303">
        <v>1166.4000000000001</v>
      </c>
      <c r="AG103" s="1302"/>
      <c r="AH103" s="1303">
        <f t="shared" si="12"/>
        <v>16378.45</v>
      </c>
      <c r="AI103" s="1304">
        <f t="shared" si="13"/>
        <v>2.4672026780582037E-3</v>
      </c>
      <c r="AJ103" s="12"/>
    </row>
    <row r="104" spans="2:36" s="407" customFormat="1" outlineLevel="1">
      <c r="B104" s="24" t="s">
        <v>397</v>
      </c>
      <c r="D104" s="1298">
        <v>50115</v>
      </c>
      <c r="E104" s="1298" t="s">
        <v>120</v>
      </c>
      <c r="F104" s="1299"/>
      <c r="G104" s="1300"/>
      <c r="H104" s="1301"/>
      <c r="I104" s="1302"/>
      <c r="J104" s="1303">
        <v>2172.84</v>
      </c>
      <c r="K104" s="1302"/>
      <c r="L104" s="1303">
        <v>1602.16</v>
      </c>
      <c r="M104" s="1302"/>
      <c r="N104" s="1303">
        <v>2299.58</v>
      </c>
      <c r="O104" s="1302"/>
      <c r="P104" s="1303">
        <v>1606.13</v>
      </c>
      <c r="Q104" s="1302"/>
      <c r="R104" s="1303">
        <v>1700.46</v>
      </c>
      <c r="S104" s="1302"/>
      <c r="T104" s="1303">
        <v>1691.7</v>
      </c>
      <c r="U104" s="1302"/>
      <c r="V104" s="1303">
        <v>1840.36</v>
      </c>
      <c r="W104" s="1302"/>
      <c r="X104" s="1303">
        <v>2189.36</v>
      </c>
      <c r="Y104" s="1302"/>
      <c r="Z104" s="1303">
        <v>3958.74</v>
      </c>
      <c r="AA104" s="1302"/>
      <c r="AB104" s="1303">
        <v>3261.53</v>
      </c>
      <c r="AC104" s="1302"/>
      <c r="AD104" s="1303">
        <v>3775.8</v>
      </c>
      <c r="AE104" s="1302"/>
      <c r="AF104" s="1303">
        <v>4095.17</v>
      </c>
      <c r="AG104" s="1302"/>
      <c r="AH104" s="1303">
        <f t="shared" si="12"/>
        <v>30193.83</v>
      </c>
      <c r="AI104" s="1304">
        <f t="shared" si="13"/>
        <v>4.54831185105026E-3</v>
      </c>
      <c r="AJ104" s="12"/>
    </row>
    <row r="105" spans="2:36" s="8" customFormat="1" ht="5.0999999999999996" customHeight="1" outlineLevel="1">
      <c r="B105" s="16" t="s">
        <v>194</v>
      </c>
      <c r="D105" s="1299"/>
      <c r="E105" s="1299"/>
      <c r="F105" s="1299"/>
      <c r="G105" s="1299"/>
      <c r="H105" s="1301"/>
      <c r="I105" s="1301"/>
      <c r="J105" s="1311"/>
      <c r="K105" s="1309"/>
      <c r="L105" s="1311"/>
      <c r="M105" s="1309"/>
      <c r="N105" s="1311"/>
      <c r="O105" s="1309"/>
      <c r="P105" s="1311"/>
      <c r="Q105" s="1309"/>
      <c r="R105" s="1311"/>
      <c r="S105" s="1309"/>
      <c r="T105" s="1311"/>
      <c r="U105" s="1309"/>
      <c r="V105" s="1311"/>
      <c r="W105" s="1309"/>
      <c r="X105" s="1311"/>
      <c r="Y105" s="1309"/>
      <c r="Z105" s="1311"/>
      <c r="AA105" s="1309"/>
      <c r="AB105" s="1311"/>
      <c r="AC105" s="1309"/>
      <c r="AD105" s="1311"/>
      <c r="AE105" s="1309"/>
      <c r="AF105" s="1311"/>
      <c r="AG105" s="1309"/>
      <c r="AH105" s="1311"/>
      <c r="AI105" s="1306"/>
      <c r="AJ105" s="15"/>
    </row>
    <row r="106" spans="2:36" s="8" customFormat="1" ht="15">
      <c r="B106" s="16" t="s">
        <v>194</v>
      </c>
      <c r="D106" s="1301"/>
      <c r="E106" s="1301"/>
      <c r="F106" s="1299" t="s">
        <v>229</v>
      </c>
      <c r="G106" s="1301"/>
      <c r="H106" s="1301"/>
      <c r="I106" s="1301"/>
      <c r="J106" s="1308">
        <f>SUM(J93:J105)</f>
        <v>154353.09000000003</v>
      </c>
      <c r="K106" s="1309"/>
      <c r="L106" s="1308">
        <f>SUM(L93:L105)</f>
        <v>135760.97</v>
      </c>
      <c r="M106" s="1309"/>
      <c r="N106" s="1308">
        <f>SUM(N93:N105)</f>
        <v>154724.01999999999</v>
      </c>
      <c r="O106" s="1309"/>
      <c r="P106" s="1308">
        <f>SUM(P93:P105)</f>
        <v>154238.01</v>
      </c>
      <c r="Q106" s="1309"/>
      <c r="R106" s="1308">
        <f>SUM(R93:R105)</f>
        <v>144655.43</v>
      </c>
      <c r="S106" s="1309"/>
      <c r="T106" s="1308">
        <f>SUM(T93:T105)</f>
        <v>154048.39000000001</v>
      </c>
      <c r="U106" s="1309"/>
      <c r="V106" s="1308">
        <f>SUM(V93:V105)</f>
        <v>150250.74999999997</v>
      </c>
      <c r="W106" s="1309"/>
      <c r="X106" s="1308">
        <f>SUM(X93:X105)</f>
        <v>148774.16</v>
      </c>
      <c r="Y106" s="1309"/>
      <c r="Z106" s="1308">
        <f>SUM(Z93:Z105)</f>
        <v>166761.03</v>
      </c>
      <c r="AA106" s="1309"/>
      <c r="AB106" s="1308">
        <f>SUM(AB93:AB105)</f>
        <v>127598.79999999999</v>
      </c>
      <c r="AC106" s="1309"/>
      <c r="AD106" s="1308">
        <f>SUM(AD93:AD105)</f>
        <v>172986.85</v>
      </c>
      <c r="AE106" s="1309"/>
      <c r="AF106" s="1308">
        <f>SUM(AF93:AF105)</f>
        <v>174548.02</v>
      </c>
      <c r="AG106" s="1309"/>
      <c r="AH106" s="1308">
        <f>SUM(AH93:AH105)</f>
        <v>1838699.5199999998</v>
      </c>
      <c r="AI106" s="1304">
        <f>IF(AH$59=0,0,AH106/AH$59)</f>
        <v>0.27697641595439942</v>
      </c>
      <c r="AJ106" s="15"/>
    </row>
    <row r="107" spans="2:36" s="8" customFormat="1" ht="15" outlineLevel="1">
      <c r="D107" s="1301"/>
      <c r="E107" s="1301"/>
      <c r="F107" s="1301"/>
      <c r="G107" s="1301"/>
      <c r="H107" s="1301"/>
      <c r="I107" s="1301"/>
      <c r="J107" s="1310"/>
      <c r="K107" s="1309"/>
      <c r="L107" s="1310"/>
      <c r="M107" s="1309"/>
      <c r="N107" s="1310"/>
      <c r="O107" s="1309"/>
      <c r="P107" s="1310"/>
      <c r="Q107" s="1309"/>
      <c r="R107" s="1310"/>
      <c r="S107" s="1309"/>
      <c r="T107" s="1310"/>
      <c r="U107" s="1309"/>
      <c r="V107" s="1310"/>
      <c r="W107" s="1309"/>
      <c r="X107" s="1310"/>
      <c r="Y107" s="1309"/>
      <c r="Z107" s="1310"/>
      <c r="AA107" s="1309"/>
      <c r="AB107" s="1310"/>
      <c r="AC107" s="1309"/>
      <c r="AD107" s="1310"/>
      <c r="AE107" s="1309"/>
      <c r="AF107" s="1310"/>
      <c r="AG107" s="1309"/>
      <c r="AH107" s="1310"/>
      <c r="AI107" s="1306"/>
      <c r="AJ107" s="15"/>
    </row>
    <row r="108" spans="2:36" s="407" customFormat="1" outlineLevel="1">
      <c r="B108" s="24" t="s">
        <v>410</v>
      </c>
      <c r="D108" s="1298">
        <v>51295</v>
      </c>
      <c r="E108" s="1298" t="s">
        <v>163</v>
      </c>
      <c r="F108" s="1299"/>
      <c r="G108" s="1300"/>
      <c r="H108" s="1301"/>
      <c r="I108" s="1302"/>
      <c r="J108" s="1303">
        <v>4188.33</v>
      </c>
      <c r="K108" s="1302"/>
      <c r="L108" s="1303">
        <v>4188.33</v>
      </c>
      <c r="M108" s="1302"/>
      <c r="N108" s="1303">
        <v>4142.5</v>
      </c>
      <c r="O108" s="1302"/>
      <c r="P108" s="1303">
        <v>4142.49</v>
      </c>
      <c r="Q108" s="1302"/>
      <c r="R108" s="1303">
        <v>4142.5</v>
      </c>
      <c r="S108" s="1302"/>
      <c r="T108" s="1303">
        <v>4142.5</v>
      </c>
      <c r="U108" s="1302"/>
      <c r="V108" s="1303">
        <v>4142.49</v>
      </c>
      <c r="W108" s="1302"/>
      <c r="X108" s="1303">
        <v>4142.54</v>
      </c>
      <c r="Y108" s="1302"/>
      <c r="Z108" s="1303">
        <v>3758.09</v>
      </c>
      <c r="AA108" s="1302"/>
      <c r="AB108" s="1303">
        <v>3758.08</v>
      </c>
      <c r="AC108" s="1302"/>
      <c r="AD108" s="1303">
        <v>4007.23</v>
      </c>
      <c r="AE108" s="1302"/>
      <c r="AF108" s="1303">
        <v>3941.23</v>
      </c>
      <c r="AG108" s="1302"/>
      <c r="AH108" s="1303">
        <f>AF108+AD108+AB108+Z108+X108+V108+T108+R108+P108+N108+L108+J108</f>
        <v>48696.310000000005</v>
      </c>
      <c r="AI108" s="1304">
        <f>IF(AH$59=0,0,AH108/AH$59)</f>
        <v>7.3354723092571338E-3</v>
      </c>
      <c r="AJ108" s="12"/>
    </row>
    <row r="109" spans="2:36" s="8" customFormat="1" ht="5.0999999999999996" customHeight="1" outlineLevel="1">
      <c r="B109" s="2" t="s">
        <v>194</v>
      </c>
      <c r="D109" s="1299"/>
      <c r="E109" s="1299"/>
      <c r="F109" s="1299"/>
      <c r="G109" s="1299"/>
      <c r="H109" s="1301"/>
      <c r="I109" s="1301"/>
      <c r="J109" s="1311"/>
      <c r="K109" s="1309"/>
      <c r="L109" s="1311"/>
      <c r="M109" s="1309"/>
      <c r="N109" s="1311"/>
      <c r="O109" s="1309"/>
      <c r="P109" s="1311"/>
      <c r="Q109" s="1309"/>
      <c r="R109" s="1311"/>
      <c r="S109" s="1309"/>
      <c r="T109" s="1311"/>
      <c r="U109" s="1309"/>
      <c r="V109" s="1311"/>
      <c r="W109" s="1309"/>
      <c r="X109" s="1311"/>
      <c r="Y109" s="1309"/>
      <c r="Z109" s="1311"/>
      <c r="AA109" s="1309"/>
      <c r="AB109" s="1311"/>
      <c r="AC109" s="1309"/>
      <c r="AD109" s="1311"/>
      <c r="AE109" s="1309"/>
      <c r="AF109" s="1311"/>
      <c r="AG109" s="1309"/>
      <c r="AH109" s="1311"/>
      <c r="AI109" s="1306"/>
      <c r="AJ109" s="15"/>
    </row>
    <row r="110" spans="2:36" s="8" customFormat="1" ht="15">
      <c r="B110" s="2"/>
      <c r="D110" s="1301"/>
      <c r="E110" s="1301"/>
      <c r="F110" s="1299" t="s">
        <v>230</v>
      </c>
      <c r="G110" s="1301"/>
      <c r="H110" s="1301"/>
      <c r="I110" s="1301"/>
      <c r="J110" s="1308">
        <f>SUM(J108:J109)</f>
        <v>4188.33</v>
      </c>
      <c r="K110" s="1309"/>
      <c r="L110" s="1308">
        <f>SUM(L108:L109)</f>
        <v>4188.33</v>
      </c>
      <c r="M110" s="1309"/>
      <c r="N110" s="1308">
        <f>SUM(N108:N109)</f>
        <v>4142.5</v>
      </c>
      <c r="O110" s="1309"/>
      <c r="P110" s="1308">
        <f>SUM(P108:P109)</f>
        <v>4142.49</v>
      </c>
      <c r="Q110" s="1309"/>
      <c r="R110" s="1308">
        <f>SUM(R108:R109)</f>
        <v>4142.5</v>
      </c>
      <c r="S110" s="1309"/>
      <c r="T110" s="1308">
        <f>SUM(T108:T109)</f>
        <v>4142.5</v>
      </c>
      <c r="U110" s="1309"/>
      <c r="V110" s="1308">
        <f>SUM(V108:V109)</f>
        <v>4142.49</v>
      </c>
      <c r="W110" s="1309"/>
      <c r="X110" s="1308">
        <f>SUM(X108:X109)</f>
        <v>4142.54</v>
      </c>
      <c r="Y110" s="1309"/>
      <c r="Z110" s="1308">
        <f>SUM(Z108:Z109)</f>
        <v>3758.09</v>
      </c>
      <c r="AA110" s="1309"/>
      <c r="AB110" s="1308">
        <f>SUM(AB108:AB109)</f>
        <v>3758.08</v>
      </c>
      <c r="AC110" s="1309"/>
      <c r="AD110" s="1308">
        <f>SUM(AD108:AD109)</f>
        <v>4007.23</v>
      </c>
      <c r="AE110" s="1309"/>
      <c r="AF110" s="1308">
        <f>SUM(AF108:AF109)</f>
        <v>3941.23</v>
      </c>
      <c r="AG110" s="1309"/>
      <c r="AH110" s="1308">
        <f>SUM(AH108:AH109)</f>
        <v>48696.310000000005</v>
      </c>
      <c r="AI110" s="1304">
        <f>IF(AH$59=0,0,AH110/AH$59)</f>
        <v>7.3354723092571338E-3</v>
      </c>
      <c r="AJ110" s="15"/>
    </row>
    <row r="111" spans="2:36" s="8" customFormat="1" ht="15" outlineLevel="1">
      <c r="B111" s="2"/>
      <c r="D111" s="1301"/>
      <c r="E111" s="1301"/>
      <c r="F111" s="1301"/>
      <c r="G111" s="1301"/>
      <c r="H111" s="1301"/>
      <c r="I111" s="1301"/>
      <c r="J111" s="1310"/>
      <c r="K111" s="1309"/>
      <c r="L111" s="1310"/>
      <c r="M111" s="1309"/>
      <c r="N111" s="1310"/>
      <c r="O111" s="1309"/>
      <c r="P111" s="1310"/>
      <c r="Q111" s="1309"/>
      <c r="R111" s="1310"/>
      <c r="S111" s="1309"/>
      <c r="T111" s="1310"/>
      <c r="U111" s="1309"/>
      <c r="V111" s="1310"/>
      <c r="W111" s="1309"/>
      <c r="X111" s="1310"/>
      <c r="Y111" s="1309"/>
      <c r="Z111" s="1310"/>
      <c r="AA111" s="1309"/>
      <c r="AB111" s="1310"/>
      <c r="AC111" s="1309"/>
      <c r="AD111" s="1310"/>
      <c r="AE111" s="1309"/>
      <c r="AF111" s="1310"/>
      <c r="AG111" s="1309"/>
      <c r="AH111" s="1310"/>
      <c r="AI111" s="1306"/>
      <c r="AJ111" s="15"/>
    </row>
    <row r="112" spans="2:36" s="8" customFormat="1" ht="15" outlineLevel="1">
      <c r="B112" s="2"/>
      <c r="D112" s="1301"/>
      <c r="E112" s="1301"/>
      <c r="F112" s="1301"/>
      <c r="G112" s="1301"/>
      <c r="H112" s="1301"/>
      <c r="I112" s="1301"/>
      <c r="J112" s="1310"/>
      <c r="K112" s="1309"/>
      <c r="L112" s="1310"/>
      <c r="M112" s="1309"/>
      <c r="N112" s="1310"/>
      <c r="O112" s="1309"/>
      <c r="P112" s="1310"/>
      <c r="Q112" s="1309"/>
      <c r="R112" s="1310"/>
      <c r="S112" s="1309"/>
      <c r="T112" s="1310"/>
      <c r="U112" s="1309"/>
      <c r="V112" s="1310"/>
      <c r="W112" s="1309"/>
      <c r="X112" s="1310"/>
      <c r="Y112" s="1309"/>
      <c r="Z112" s="1310"/>
      <c r="AA112" s="1309"/>
      <c r="AB112" s="1310"/>
      <c r="AC112" s="1309"/>
      <c r="AD112" s="1310"/>
      <c r="AE112" s="1309"/>
      <c r="AF112" s="1310"/>
      <c r="AG112" s="1309"/>
      <c r="AH112" s="1310"/>
      <c r="AI112" s="1306"/>
      <c r="AJ112" s="15"/>
    </row>
    <row r="113" spans="2:36" s="407" customFormat="1" outlineLevel="1">
      <c r="B113" s="24" t="s">
        <v>411</v>
      </c>
      <c r="D113" s="1298">
        <v>52020</v>
      </c>
      <c r="E113" s="1298" t="s">
        <v>24</v>
      </c>
      <c r="F113" s="1299"/>
      <c r="G113" s="1300"/>
      <c r="H113" s="1301"/>
      <c r="I113" s="1302"/>
      <c r="J113" s="1303">
        <v>9628.7000000000007</v>
      </c>
      <c r="K113" s="1302"/>
      <c r="L113" s="1303">
        <v>8721.4500000000007</v>
      </c>
      <c r="M113" s="1302"/>
      <c r="N113" s="1303">
        <v>8846.5499999999993</v>
      </c>
      <c r="O113" s="1302"/>
      <c r="P113" s="1303">
        <v>7276.19</v>
      </c>
      <c r="Q113" s="1302"/>
      <c r="R113" s="1303">
        <v>8247.94</v>
      </c>
      <c r="S113" s="1302"/>
      <c r="T113" s="1303">
        <v>8979.24</v>
      </c>
      <c r="U113" s="1302"/>
      <c r="V113" s="1303">
        <v>8611.5</v>
      </c>
      <c r="W113" s="1302"/>
      <c r="X113" s="1303">
        <v>8682.8799999999992</v>
      </c>
      <c r="Y113" s="1302"/>
      <c r="Z113" s="1303">
        <v>9175.09</v>
      </c>
      <c r="AA113" s="1302"/>
      <c r="AB113" s="1303">
        <v>6806.97</v>
      </c>
      <c r="AC113" s="1302"/>
      <c r="AD113" s="1303">
        <v>7789.9</v>
      </c>
      <c r="AE113" s="1302"/>
      <c r="AF113" s="1303">
        <v>8853.7800000000007</v>
      </c>
      <c r="AG113" s="1302"/>
      <c r="AH113" s="1303">
        <f t="shared" ref="AH113:AH131" si="14">AF113+AD113+AB113+Z113+X113+V113+T113+R113+P113+N113+L113+J113</f>
        <v>101620.19</v>
      </c>
      <c r="AI113" s="1304">
        <f t="shared" ref="AI113:AI131" si="15">IF(AH$59=0,0,AH113/AH$59)</f>
        <v>1.5307773624047666E-2</v>
      </c>
      <c r="AJ113" s="12"/>
    </row>
    <row r="114" spans="2:36" s="407" customFormat="1" outlineLevel="1">
      <c r="B114" s="24" t="s">
        <v>397</v>
      </c>
      <c r="D114" s="1298">
        <v>52025</v>
      </c>
      <c r="E114" s="1298" t="s">
        <v>25</v>
      </c>
      <c r="F114" s="1299"/>
      <c r="G114" s="1300"/>
      <c r="H114" s="1301"/>
      <c r="I114" s="1302"/>
      <c r="J114" s="1303">
        <v>1573.67</v>
      </c>
      <c r="K114" s="1302"/>
      <c r="L114" s="1303">
        <v>1966.71</v>
      </c>
      <c r="M114" s="1302"/>
      <c r="N114" s="1303">
        <v>892.57</v>
      </c>
      <c r="O114" s="1302"/>
      <c r="P114" s="1303">
        <v>923.03</v>
      </c>
      <c r="Q114" s="1302"/>
      <c r="R114" s="1303">
        <v>703.63</v>
      </c>
      <c r="S114" s="1302"/>
      <c r="T114" s="1303">
        <v>591.59</v>
      </c>
      <c r="U114" s="1302"/>
      <c r="V114" s="1303">
        <v>1150.81</v>
      </c>
      <c r="W114" s="1302"/>
      <c r="X114" s="1303">
        <v>977.6</v>
      </c>
      <c r="Y114" s="1302"/>
      <c r="Z114" s="1303">
        <v>239.88</v>
      </c>
      <c r="AA114" s="1302"/>
      <c r="AB114" s="1303">
        <v>604.75</v>
      </c>
      <c r="AC114" s="1302"/>
      <c r="AD114" s="1303">
        <v>501.35</v>
      </c>
      <c r="AE114" s="1302"/>
      <c r="AF114" s="1303">
        <v>559.19000000000005</v>
      </c>
      <c r="AG114" s="1302"/>
      <c r="AH114" s="1303">
        <f t="shared" si="14"/>
        <v>10684.78</v>
      </c>
      <c r="AI114" s="1304">
        <f t="shared" si="15"/>
        <v>1.6095245783613672E-3</v>
      </c>
      <c r="AJ114" s="12"/>
    </row>
    <row r="115" spans="2:36" s="407" customFormat="1" outlineLevel="1">
      <c r="B115" s="24" t="s">
        <v>397</v>
      </c>
      <c r="D115" s="1298">
        <v>52035</v>
      </c>
      <c r="E115" s="1298" t="s">
        <v>26</v>
      </c>
      <c r="F115" s="1299"/>
      <c r="G115" s="1300"/>
      <c r="H115" s="1301"/>
      <c r="I115" s="1302"/>
      <c r="J115" s="1303">
        <v>0</v>
      </c>
      <c r="K115" s="1302"/>
      <c r="L115" s="1303">
        <v>0</v>
      </c>
      <c r="M115" s="1302"/>
      <c r="N115" s="1303">
        <v>0</v>
      </c>
      <c r="O115" s="1302"/>
      <c r="P115" s="1303">
        <v>0</v>
      </c>
      <c r="Q115" s="1302"/>
      <c r="R115" s="1303">
        <v>0</v>
      </c>
      <c r="S115" s="1302"/>
      <c r="T115" s="1303">
        <v>0</v>
      </c>
      <c r="U115" s="1302"/>
      <c r="V115" s="1303">
        <v>0</v>
      </c>
      <c r="W115" s="1302"/>
      <c r="X115" s="1303">
        <v>0</v>
      </c>
      <c r="Y115" s="1302"/>
      <c r="Z115" s="1303">
        <v>156.25</v>
      </c>
      <c r="AA115" s="1302"/>
      <c r="AB115" s="1303">
        <v>156.25</v>
      </c>
      <c r="AC115" s="1302"/>
      <c r="AD115" s="1303">
        <v>156.25</v>
      </c>
      <c r="AE115" s="1302"/>
      <c r="AF115" s="1303">
        <v>156.25</v>
      </c>
      <c r="AG115" s="1302"/>
      <c r="AH115" s="1303">
        <f t="shared" si="14"/>
        <v>625</v>
      </c>
      <c r="AI115" s="1304">
        <f t="shared" si="15"/>
        <v>9.4148205342164693E-5</v>
      </c>
      <c r="AJ115" s="12"/>
    </row>
    <row r="116" spans="2:36" s="407" customFormat="1" outlineLevel="1">
      <c r="B116" s="24" t="s">
        <v>397</v>
      </c>
      <c r="D116" s="1298">
        <v>52050</v>
      </c>
      <c r="E116" s="1298" t="s">
        <v>166</v>
      </c>
      <c r="F116" s="1299"/>
      <c r="G116" s="1300"/>
      <c r="H116" s="1301"/>
      <c r="I116" s="1302"/>
      <c r="J116" s="1303">
        <v>1298.82</v>
      </c>
      <c r="K116" s="1302"/>
      <c r="L116" s="1303">
        <v>820.12</v>
      </c>
      <c r="M116" s="1302"/>
      <c r="N116" s="1303">
        <v>848.39</v>
      </c>
      <c r="O116" s="1302"/>
      <c r="P116" s="1303">
        <v>701.32</v>
      </c>
      <c r="Q116" s="1302"/>
      <c r="R116" s="1303">
        <v>724.06</v>
      </c>
      <c r="S116" s="1302"/>
      <c r="T116" s="1303">
        <v>779.62</v>
      </c>
      <c r="U116" s="1302"/>
      <c r="V116" s="1303">
        <v>791.24</v>
      </c>
      <c r="W116" s="1302"/>
      <c r="X116" s="1303">
        <v>807.49</v>
      </c>
      <c r="Y116" s="1302"/>
      <c r="Z116" s="1303">
        <v>1052.1199999999999</v>
      </c>
      <c r="AA116" s="1302"/>
      <c r="AB116" s="1303">
        <v>714.55</v>
      </c>
      <c r="AC116" s="1302"/>
      <c r="AD116" s="1303">
        <v>714.65</v>
      </c>
      <c r="AE116" s="1302"/>
      <c r="AF116" s="1303">
        <v>891.86</v>
      </c>
      <c r="AG116" s="1302"/>
      <c r="AH116" s="1303">
        <f t="shared" si="14"/>
        <v>10144.24</v>
      </c>
      <c r="AI116" s="1304">
        <f t="shared" si="15"/>
        <v>1.5280991848963211E-3</v>
      </c>
      <c r="AJ116" s="12"/>
    </row>
    <row r="117" spans="2:36" s="407" customFormat="1" outlineLevel="1">
      <c r="B117" s="24" t="s">
        <v>397</v>
      </c>
      <c r="D117" s="1298">
        <v>52060</v>
      </c>
      <c r="E117" s="1298" t="s">
        <v>75</v>
      </c>
      <c r="F117" s="1299"/>
      <c r="G117" s="1300"/>
      <c r="H117" s="1301"/>
      <c r="I117" s="1302"/>
      <c r="J117" s="1303">
        <v>2052.44</v>
      </c>
      <c r="K117" s="1302"/>
      <c r="L117" s="1303">
        <v>2080.5</v>
      </c>
      <c r="M117" s="1302"/>
      <c r="N117" s="1303">
        <v>2080.5</v>
      </c>
      <c r="O117" s="1302"/>
      <c r="P117" s="1303">
        <v>2080.5</v>
      </c>
      <c r="Q117" s="1302"/>
      <c r="R117" s="1303">
        <v>2099.0500000000002</v>
      </c>
      <c r="S117" s="1302"/>
      <c r="T117" s="1303">
        <v>1952.2</v>
      </c>
      <c r="U117" s="1302"/>
      <c r="V117" s="1303">
        <v>2081.02</v>
      </c>
      <c r="W117" s="1302"/>
      <c r="X117" s="1303">
        <v>2081.54</v>
      </c>
      <c r="Y117" s="1302"/>
      <c r="Z117" s="1303">
        <v>2181.54</v>
      </c>
      <c r="AA117" s="1302"/>
      <c r="AB117" s="1303">
        <v>2153.4899999999998</v>
      </c>
      <c r="AC117" s="1302"/>
      <c r="AD117" s="1303">
        <v>2178.1799999999998</v>
      </c>
      <c r="AE117" s="1302"/>
      <c r="AF117" s="1303">
        <v>2181.02</v>
      </c>
      <c r="AG117" s="1302"/>
      <c r="AH117" s="1303">
        <f t="shared" si="14"/>
        <v>25201.98</v>
      </c>
      <c r="AI117" s="1304">
        <f t="shared" si="15"/>
        <v>3.7963539009106045E-3</v>
      </c>
      <c r="AJ117" s="12"/>
    </row>
    <row r="118" spans="2:36" s="407" customFormat="1" outlineLevel="1">
      <c r="B118" s="24" t="s">
        <v>397</v>
      </c>
      <c r="D118" s="1298">
        <v>52065</v>
      </c>
      <c r="E118" s="1298" t="s">
        <v>21</v>
      </c>
      <c r="F118" s="1299"/>
      <c r="G118" s="1300"/>
      <c r="H118" s="1301"/>
      <c r="I118" s="1302"/>
      <c r="J118" s="1303">
        <v>4368</v>
      </c>
      <c r="K118" s="1302"/>
      <c r="L118" s="1303">
        <v>0</v>
      </c>
      <c r="M118" s="1302"/>
      <c r="N118" s="1303">
        <v>0</v>
      </c>
      <c r="O118" s="1302"/>
      <c r="P118" s="1303">
        <v>0</v>
      </c>
      <c r="Q118" s="1302"/>
      <c r="R118" s="1303">
        <v>0</v>
      </c>
      <c r="S118" s="1302"/>
      <c r="T118" s="1303">
        <v>0</v>
      </c>
      <c r="U118" s="1302"/>
      <c r="V118" s="1303">
        <v>1060</v>
      </c>
      <c r="W118" s="1302"/>
      <c r="X118" s="1303">
        <v>0</v>
      </c>
      <c r="Y118" s="1302"/>
      <c r="Z118" s="1303">
        <v>974.26</v>
      </c>
      <c r="AA118" s="1302"/>
      <c r="AB118" s="1303">
        <v>253.82</v>
      </c>
      <c r="AC118" s="1302"/>
      <c r="AD118" s="1303">
        <v>761.46</v>
      </c>
      <c r="AE118" s="1302"/>
      <c r="AF118" s="1303">
        <v>507.64</v>
      </c>
      <c r="AG118" s="1302"/>
      <c r="AH118" s="1303">
        <f t="shared" si="14"/>
        <v>7925.18</v>
      </c>
      <c r="AI118" s="1304">
        <f t="shared" si="15"/>
        <v>1.1938263584217869E-3</v>
      </c>
      <c r="AJ118" s="12"/>
    </row>
    <row r="119" spans="2:36" s="407" customFormat="1" outlineLevel="1">
      <c r="B119" s="24" t="s">
        <v>397</v>
      </c>
      <c r="D119" s="1298">
        <v>52070</v>
      </c>
      <c r="E119" s="1298" t="s">
        <v>22</v>
      </c>
      <c r="F119" s="1299"/>
      <c r="G119" s="1300"/>
      <c r="H119" s="1301"/>
      <c r="I119" s="1302"/>
      <c r="J119" s="1303">
        <v>118.48</v>
      </c>
      <c r="K119" s="1302"/>
      <c r="L119" s="1303">
        <v>342.92</v>
      </c>
      <c r="M119" s="1302"/>
      <c r="N119" s="1303">
        <v>675.15</v>
      </c>
      <c r="O119" s="1302"/>
      <c r="P119" s="1303">
        <v>369.77</v>
      </c>
      <c r="Q119" s="1302"/>
      <c r="R119" s="1303">
        <v>374.26</v>
      </c>
      <c r="S119" s="1302"/>
      <c r="T119" s="1303">
        <v>218.33</v>
      </c>
      <c r="U119" s="1302"/>
      <c r="V119" s="1303">
        <v>198.56</v>
      </c>
      <c r="W119" s="1302"/>
      <c r="X119" s="1303">
        <v>236.24</v>
      </c>
      <c r="Y119" s="1302"/>
      <c r="Z119" s="1303">
        <v>556.26</v>
      </c>
      <c r="AA119" s="1302"/>
      <c r="AB119" s="1303">
        <v>1006.2</v>
      </c>
      <c r="AC119" s="1302"/>
      <c r="AD119" s="1303">
        <v>119.44</v>
      </c>
      <c r="AE119" s="1302"/>
      <c r="AF119" s="1303">
        <v>608.70000000000005</v>
      </c>
      <c r="AG119" s="1302"/>
      <c r="AH119" s="1303">
        <f t="shared" si="14"/>
        <v>4824.3099999999995</v>
      </c>
      <c r="AI119" s="1304">
        <f t="shared" si="15"/>
        <v>7.2672020562281362E-4</v>
      </c>
      <c r="AJ119" s="12"/>
    </row>
    <row r="120" spans="2:36" s="407" customFormat="1" outlineLevel="1">
      <c r="B120" s="24" t="s">
        <v>397</v>
      </c>
      <c r="D120" s="1298">
        <v>52086</v>
      </c>
      <c r="E120" s="1298" t="s">
        <v>60</v>
      </c>
      <c r="F120" s="1299"/>
      <c r="G120" s="1300"/>
      <c r="H120" s="1301"/>
      <c r="I120" s="1302"/>
      <c r="J120" s="1303">
        <v>0</v>
      </c>
      <c r="K120" s="1302"/>
      <c r="L120" s="1303">
        <v>0</v>
      </c>
      <c r="M120" s="1302"/>
      <c r="N120" s="1303">
        <v>0</v>
      </c>
      <c r="O120" s="1302"/>
      <c r="P120" s="1303">
        <v>0</v>
      </c>
      <c r="Q120" s="1302"/>
      <c r="R120" s="1303">
        <v>0</v>
      </c>
      <c r="S120" s="1302"/>
      <c r="T120" s="1303">
        <v>0</v>
      </c>
      <c r="U120" s="1302"/>
      <c r="V120" s="1303">
        <v>0</v>
      </c>
      <c r="W120" s="1302"/>
      <c r="X120" s="1303">
        <v>0</v>
      </c>
      <c r="Y120" s="1302"/>
      <c r="Z120" s="1303">
        <v>0</v>
      </c>
      <c r="AA120" s="1302"/>
      <c r="AB120" s="1303">
        <v>0</v>
      </c>
      <c r="AC120" s="1302"/>
      <c r="AD120" s="1303">
        <v>0</v>
      </c>
      <c r="AE120" s="1302"/>
      <c r="AF120" s="1303">
        <v>438.37</v>
      </c>
      <c r="AG120" s="1302"/>
      <c r="AH120" s="1303">
        <f t="shared" si="14"/>
        <v>438.37</v>
      </c>
      <c r="AI120" s="1304">
        <f t="shared" si="15"/>
        <v>6.6034798041351574E-5</v>
      </c>
      <c r="AJ120" s="12"/>
    </row>
    <row r="121" spans="2:36" s="407" customFormat="1" outlineLevel="1">
      <c r="B121" s="24" t="s">
        <v>397</v>
      </c>
      <c r="D121" s="1298">
        <v>52115</v>
      </c>
      <c r="E121" s="1298" t="s">
        <v>120</v>
      </c>
      <c r="F121" s="1299"/>
      <c r="G121" s="1300"/>
      <c r="H121" s="1301"/>
      <c r="I121" s="1302"/>
      <c r="J121" s="1303">
        <v>230.5</v>
      </c>
      <c r="K121" s="1302"/>
      <c r="L121" s="1303">
        <v>179.4</v>
      </c>
      <c r="M121" s="1302"/>
      <c r="N121" s="1303">
        <v>203.78</v>
      </c>
      <c r="O121" s="1302"/>
      <c r="P121" s="1303">
        <v>162.26</v>
      </c>
      <c r="Q121" s="1302"/>
      <c r="R121" s="1303">
        <v>149.66</v>
      </c>
      <c r="S121" s="1302"/>
      <c r="T121" s="1303">
        <v>173.25</v>
      </c>
      <c r="U121" s="1302"/>
      <c r="V121" s="1303">
        <v>157.44</v>
      </c>
      <c r="W121" s="1302"/>
      <c r="X121" s="1303">
        <v>196.28</v>
      </c>
      <c r="Y121" s="1302"/>
      <c r="Z121" s="1303">
        <v>345.05</v>
      </c>
      <c r="AA121" s="1302"/>
      <c r="AB121" s="1303">
        <v>251.72</v>
      </c>
      <c r="AC121" s="1302"/>
      <c r="AD121" s="1303">
        <v>231.19</v>
      </c>
      <c r="AE121" s="1302"/>
      <c r="AF121" s="1303">
        <v>296.89999999999998</v>
      </c>
      <c r="AG121" s="1302"/>
      <c r="AH121" s="1303">
        <f t="shared" si="14"/>
        <v>2577.4300000000003</v>
      </c>
      <c r="AI121" s="1304">
        <f t="shared" si="15"/>
        <v>3.8825665423208893E-4</v>
      </c>
      <c r="AJ121" s="12"/>
    </row>
    <row r="122" spans="2:36" s="407" customFormat="1" outlineLevel="1">
      <c r="B122" s="24" t="s">
        <v>397</v>
      </c>
      <c r="D122" s="1298">
        <v>52120</v>
      </c>
      <c r="E122" s="1298" t="s">
        <v>231</v>
      </c>
      <c r="F122" s="1299"/>
      <c r="G122" s="1300"/>
      <c r="H122" s="1301"/>
      <c r="I122" s="1302"/>
      <c r="J122" s="1303">
        <v>2178.7399999999998</v>
      </c>
      <c r="K122" s="1302"/>
      <c r="L122" s="1303">
        <v>2536.65</v>
      </c>
      <c r="M122" s="1302"/>
      <c r="N122" s="1303">
        <v>4144.74</v>
      </c>
      <c r="O122" s="1302"/>
      <c r="P122" s="1303">
        <v>1160.42</v>
      </c>
      <c r="Q122" s="1302"/>
      <c r="R122" s="1303">
        <v>1643.96</v>
      </c>
      <c r="S122" s="1302"/>
      <c r="T122" s="1303">
        <v>1202.1099999999999</v>
      </c>
      <c r="U122" s="1302"/>
      <c r="V122" s="1303">
        <v>45.65</v>
      </c>
      <c r="W122" s="1302"/>
      <c r="X122" s="1303">
        <v>0</v>
      </c>
      <c r="Y122" s="1302"/>
      <c r="Z122" s="1303">
        <v>0</v>
      </c>
      <c r="AA122" s="1302"/>
      <c r="AB122" s="1303">
        <v>41.2</v>
      </c>
      <c r="AC122" s="1302"/>
      <c r="AD122" s="1303">
        <v>6.59</v>
      </c>
      <c r="AE122" s="1302"/>
      <c r="AF122" s="1303">
        <v>2277.94</v>
      </c>
      <c r="AG122" s="1302"/>
      <c r="AH122" s="1303">
        <f t="shared" si="14"/>
        <v>15238</v>
      </c>
      <c r="AI122" s="1304">
        <f t="shared" si="15"/>
        <v>2.2954085648062492E-3</v>
      </c>
      <c r="AJ122" s="12"/>
    </row>
    <row r="123" spans="2:36" s="407" customFormat="1" outlineLevel="1">
      <c r="B123" s="24" t="s">
        <v>397</v>
      </c>
      <c r="D123" s="1298">
        <v>52125</v>
      </c>
      <c r="E123" s="1298" t="s">
        <v>62</v>
      </c>
      <c r="F123" s="1299"/>
      <c r="G123" s="1300"/>
      <c r="H123" s="1301"/>
      <c r="I123" s="1302"/>
      <c r="J123" s="1303">
        <v>320.52999999999997</v>
      </c>
      <c r="K123" s="1302"/>
      <c r="L123" s="1303">
        <v>51.77</v>
      </c>
      <c r="M123" s="1302"/>
      <c r="N123" s="1303">
        <v>0</v>
      </c>
      <c r="O123" s="1302"/>
      <c r="P123" s="1303">
        <v>37.47</v>
      </c>
      <c r="Q123" s="1302"/>
      <c r="R123" s="1303">
        <v>0</v>
      </c>
      <c r="S123" s="1302"/>
      <c r="T123" s="1303">
        <v>97.63</v>
      </c>
      <c r="U123" s="1302"/>
      <c r="V123" s="1303">
        <v>114.25</v>
      </c>
      <c r="W123" s="1302"/>
      <c r="X123" s="1303">
        <v>0</v>
      </c>
      <c r="Y123" s="1302"/>
      <c r="Z123" s="1303">
        <v>0</v>
      </c>
      <c r="AA123" s="1302"/>
      <c r="AB123" s="1303">
        <v>427.36</v>
      </c>
      <c r="AC123" s="1302"/>
      <c r="AD123" s="1303">
        <v>252.87</v>
      </c>
      <c r="AE123" s="1302"/>
      <c r="AF123" s="1303">
        <v>140.74</v>
      </c>
      <c r="AG123" s="1302"/>
      <c r="AH123" s="1303">
        <f t="shared" si="14"/>
        <v>1442.62</v>
      </c>
      <c r="AI123" s="1304">
        <f t="shared" si="15"/>
        <v>2.1731213438514179E-4</v>
      </c>
      <c r="AJ123" s="12"/>
    </row>
    <row r="124" spans="2:36" s="407" customFormat="1" outlineLevel="1">
      <c r="B124" s="24" t="s">
        <v>397</v>
      </c>
      <c r="D124" s="1298">
        <v>52135</v>
      </c>
      <c r="E124" s="1298" t="s">
        <v>232</v>
      </c>
      <c r="F124" s="1299"/>
      <c r="G124" s="1300"/>
      <c r="H124" s="1301"/>
      <c r="I124" s="1302"/>
      <c r="J124" s="1303">
        <v>10598.64</v>
      </c>
      <c r="K124" s="1302"/>
      <c r="L124" s="1303">
        <v>4151.82</v>
      </c>
      <c r="M124" s="1302"/>
      <c r="N124" s="1303">
        <v>7932.05</v>
      </c>
      <c r="O124" s="1302"/>
      <c r="P124" s="1303">
        <v>6254.45</v>
      </c>
      <c r="Q124" s="1302"/>
      <c r="R124" s="1303">
        <v>8275.91</v>
      </c>
      <c r="S124" s="1302"/>
      <c r="T124" s="1303">
        <v>15324.94</v>
      </c>
      <c r="U124" s="1302"/>
      <c r="V124" s="1303">
        <v>9910.9599999999991</v>
      </c>
      <c r="W124" s="1302"/>
      <c r="X124" s="1303">
        <v>7253.88</v>
      </c>
      <c r="Y124" s="1302"/>
      <c r="Z124" s="1303">
        <v>10290.64</v>
      </c>
      <c r="AA124" s="1302"/>
      <c r="AB124" s="1303">
        <v>8493.02</v>
      </c>
      <c r="AC124" s="1302"/>
      <c r="AD124" s="1303">
        <v>5128.3500000000004</v>
      </c>
      <c r="AE124" s="1302"/>
      <c r="AF124" s="1303">
        <v>22140.720000000001</v>
      </c>
      <c r="AG124" s="1302"/>
      <c r="AH124" s="1303">
        <f t="shared" si="14"/>
        <v>115755.37999999999</v>
      </c>
      <c r="AI124" s="1304">
        <f t="shared" si="15"/>
        <v>1.7437058057120484E-2</v>
      </c>
      <c r="AJ124" s="12"/>
    </row>
    <row r="125" spans="2:36" s="407" customFormat="1" outlineLevel="1">
      <c r="B125" s="24" t="s">
        <v>397</v>
      </c>
      <c r="D125" s="1298">
        <v>52140</v>
      </c>
      <c r="E125" s="1298" t="s">
        <v>233</v>
      </c>
      <c r="F125" s="1299"/>
      <c r="G125" s="1300"/>
      <c r="H125" s="1301"/>
      <c r="I125" s="1302"/>
      <c r="J125" s="1303">
        <v>268.82</v>
      </c>
      <c r="K125" s="1302"/>
      <c r="L125" s="1303">
        <v>0</v>
      </c>
      <c r="M125" s="1302"/>
      <c r="N125" s="1303">
        <v>0</v>
      </c>
      <c r="O125" s="1302"/>
      <c r="P125" s="1303">
        <v>844.4</v>
      </c>
      <c r="Q125" s="1302"/>
      <c r="R125" s="1303">
        <v>309.49</v>
      </c>
      <c r="S125" s="1302"/>
      <c r="T125" s="1303">
        <v>0</v>
      </c>
      <c r="U125" s="1302"/>
      <c r="V125" s="1303">
        <v>0</v>
      </c>
      <c r="W125" s="1302"/>
      <c r="X125" s="1303">
        <v>0</v>
      </c>
      <c r="Y125" s="1302"/>
      <c r="Z125" s="1303">
        <v>513.96</v>
      </c>
      <c r="AA125" s="1302"/>
      <c r="AB125" s="1303">
        <v>0</v>
      </c>
      <c r="AC125" s="1302"/>
      <c r="AD125" s="1303">
        <v>0</v>
      </c>
      <c r="AE125" s="1302"/>
      <c r="AF125" s="1303">
        <v>759.87</v>
      </c>
      <c r="AG125" s="1302"/>
      <c r="AH125" s="1303">
        <f t="shared" si="14"/>
        <v>2696.54</v>
      </c>
      <c r="AI125" s="1304">
        <f t="shared" si="15"/>
        <v>4.0619904261337723E-4</v>
      </c>
      <c r="AJ125" s="12"/>
    </row>
    <row r="126" spans="2:36" s="407" customFormat="1" outlineLevel="1">
      <c r="B126" s="24" t="s">
        <v>397</v>
      </c>
      <c r="D126" s="1298">
        <v>52142</v>
      </c>
      <c r="E126" s="1298" t="s">
        <v>51</v>
      </c>
      <c r="F126" s="1299"/>
      <c r="G126" s="1300"/>
      <c r="H126" s="1301"/>
      <c r="I126" s="1302"/>
      <c r="J126" s="1303">
        <v>9076.89</v>
      </c>
      <c r="K126" s="1302"/>
      <c r="L126" s="1303">
        <v>10648.61</v>
      </c>
      <c r="M126" s="1302"/>
      <c r="N126" s="1303">
        <v>9086.44</v>
      </c>
      <c r="O126" s="1302"/>
      <c r="P126" s="1303">
        <v>7443.89</v>
      </c>
      <c r="Q126" s="1302"/>
      <c r="R126" s="1303">
        <v>8814.49</v>
      </c>
      <c r="S126" s="1302"/>
      <c r="T126" s="1303">
        <v>7940.93</v>
      </c>
      <c r="U126" s="1302"/>
      <c r="V126" s="1303">
        <v>9425.2900000000009</v>
      </c>
      <c r="W126" s="1302"/>
      <c r="X126" s="1303">
        <v>5359.34</v>
      </c>
      <c r="Y126" s="1302"/>
      <c r="Z126" s="1303">
        <v>7074.15</v>
      </c>
      <c r="AA126" s="1302"/>
      <c r="AB126" s="1303">
        <v>5202.96</v>
      </c>
      <c r="AC126" s="1302"/>
      <c r="AD126" s="1303">
        <v>11299.5</v>
      </c>
      <c r="AE126" s="1302"/>
      <c r="AF126" s="1303">
        <v>14805.53</v>
      </c>
      <c r="AG126" s="1302"/>
      <c r="AH126" s="1303">
        <f t="shared" si="14"/>
        <v>106178.02</v>
      </c>
      <c r="AI126" s="1304">
        <f t="shared" si="15"/>
        <v>1.5994352047655151E-2</v>
      </c>
      <c r="AJ126" s="12"/>
    </row>
    <row r="127" spans="2:36" s="407" customFormat="1" outlineLevel="1">
      <c r="B127" s="24" t="s">
        <v>397</v>
      </c>
      <c r="D127" s="1298">
        <v>52144</v>
      </c>
      <c r="E127" s="1298" t="s">
        <v>52</v>
      </c>
      <c r="F127" s="1299"/>
      <c r="G127" s="1300"/>
      <c r="H127" s="1301"/>
      <c r="I127" s="1302"/>
      <c r="J127" s="1303">
        <v>0</v>
      </c>
      <c r="K127" s="1302"/>
      <c r="L127" s="1303">
        <v>0</v>
      </c>
      <c r="M127" s="1302"/>
      <c r="N127" s="1303">
        <v>0</v>
      </c>
      <c r="O127" s="1302"/>
      <c r="P127" s="1303">
        <v>0</v>
      </c>
      <c r="Q127" s="1302"/>
      <c r="R127" s="1303">
        <v>0</v>
      </c>
      <c r="S127" s="1302"/>
      <c r="T127" s="1303">
        <v>0</v>
      </c>
      <c r="U127" s="1302"/>
      <c r="V127" s="1303">
        <v>0</v>
      </c>
      <c r="W127" s="1302"/>
      <c r="X127" s="1303">
        <v>0</v>
      </c>
      <c r="Y127" s="1302"/>
      <c r="Z127" s="1303">
        <v>0</v>
      </c>
      <c r="AA127" s="1302"/>
      <c r="AB127" s="1303">
        <v>0</v>
      </c>
      <c r="AC127" s="1302"/>
      <c r="AD127" s="1303">
        <v>508.36</v>
      </c>
      <c r="AE127" s="1302"/>
      <c r="AF127" s="1303">
        <v>0</v>
      </c>
      <c r="AG127" s="1302"/>
      <c r="AH127" s="1303">
        <f t="shared" si="14"/>
        <v>508.36</v>
      </c>
      <c r="AI127" s="1304">
        <f t="shared" si="15"/>
        <v>7.6577890668388552E-5</v>
      </c>
      <c r="AJ127" s="12"/>
    </row>
    <row r="128" spans="2:36" s="407" customFormat="1" outlineLevel="1">
      <c r="B128" s="24" t="s">
        <v>397</v>
      </c>
      <c r="D128" s="1298">
        <v>52146</v>
      </c>
      <c r="E128" s="1298" t="s">
        <v>53</v>
      </c>
      <c r="F128" s="1299"/>
      <c r="G128" s="1300"/>
      <c r="H128" s="1301"/>
      <c r="I128" s="1302"/>
      <c r="J128" s="1303">
        <v>746.19</v>
      </c>
      <c r="K128" s="1302"/>
      <c r="L128" s="1303">
        <v>1371.09</v>
      </c>
      <c r="M128" s="1302"/>
      <c r="N128" s="1303">
        <v>323.8</v>
      </c>
      <c r="O128" s="1302"/>
      <c r="P128" s="1303">
        <v>0</v>
      </c>
      <c r="Q128" s="1302"/>
      <c r="R128" s="1303">
        <v>445.23</v>
      </c>
      <c r="S128" s="1302"/>
      <c r="T128" s="1303">
        <v>600</v>
      </c>
      <c r="U128" s="1302"/>
      <c r="V128" s="1303">
        <v>-50.32</v>
      </c>
      <c r="W128" s="1302"/>
      <c r="X128" s="1303">
        <v>2290.42</v>
      </c>
      <c r="Y128" s="1302"/>
      <c r="Z128" s="1303">
        <v>433.14</v>
      </c>
      <c r="AA128" s="1302"/>
      <c r="AB128" s="1303">
        <v>283.33</v>
      </c>
      <c r="AC128" s="1302"/>
      <c r="AD128" s="1303">
        <v>904.76</v>
      </c>
      <c r="AE128" s="1302"/>
      <c r="AF128" s="1303">
        <v>-43.32</v>
      </c>
      <c r="AG128" s="1302"/>
      <c r="AH128" s="1303">
        <f t="shared" si="14"/>
        <v>7304.32</v>
      </c>
      <c r="AI128" s="1304">
        <f t="shared" si="15"/>
        <v>1.1003017907918087E-3</v>
      </c>
      <c r="AJ128" s="12"/>
    </row>
    <row r="129" spans="2:36" s="407" customFormat="1" outlineLevel="1">
      <c r="B129" s="24" t="s">
        <v>397</v>
      </c>
      <c r="D129" s="1298">
        <v>52147</v>
      </c>
      <c r="E129" s="1298" t="s">
        <v>234</v>
      </c>
      <c r="F129" s="1299"/>
      <c r="G129" s="1300"/>
      <c r="H129" s="1301"/>
      <c r="I129" s="1302"/>
      <c r="J129" s="1303">
        <v>2461.6999999999998</v>
      </c>
      <c r="K129" s="1302"/>
      <c r="L129" s="1303">
        <v>4990.1899999999996</v>
      </c>
      <c r="M129" s="1302"/>
      <c r="N129" s="1303">
        <v>10653.42</v>
      </c>
      <c r="O129" s="1302"/>
      <c r="P129" s="1303">
        <v>1686.63</v>
      </c>
      <c r="Q129" s="1302"/>
      <c r="R129" s="1303">
        <v>495.78</v>
      </c>
      <c r="S129" s="1302"/>
      <c r="T129" s="1303">
        <v>2367.2399999999998</v>
      </c>
      <c r="U129" s="1302"/>
      <c r="V129" s="1303">
        <v>1863.12</v>
      </c>
      <c r="W129" s="1302"/>
      <c r="X129" s="1303">
        <v>884.34</v>
      </c>
      <c r="Y129" s="1302"/>
      <c r="Z129" s="1303">
        <v>1974.03</v>
      </c>
      <c r="AA129" s="1302"/>
      <c r="AB129" s="1303">
        <v>1000.02</v>
      </c>
      <c r="AC129" s="1302"/>
      <c r="AD129" s="1303">
        <v>223.79</v>
      </c>
      <c r="AE129" s="1302"/>
      <c r="AF129" s="1303">
        <v>527.12</v>
      </c>
      <c r="AG129" s="1302"/>
      <c r="AH129" s="1303">
        <f t="shared" si="14"/>
        <v>29127.379999999997</v>
      </c>
      <c r="AI129" s="1304">
        <f t="shared" si="15"/>
        <v>4.3876648853108172E-3</v>
      </c>
      <c r="AJ129" s="12"/>
    </row>
    <row r="130" spans="2:36" s="407" customFormat="1" outlineLevel="1">
      <c r="B130" s="24" t="s">
        <v>397</v>
      </c>
      <c r="D130" s="1298">
        <v>52165</v>
      </c>
      <c r="E130" s="1298" t="s">
        <v>235</v>
      </c>
      <c r="F130" s="1299"/>
      <c r="G130" s="1300"/>
      <c r="H130" s="1301"/>
      <c r="I130" s="1302"/>
      <c r="J130" s="1303">
        <v>1622.61</v>
      </c>
      <c r="K130" s="1302"/>
      <c r="L130" s="1303">
        <v>0</v>
      </c>
      <c r="M130" s="1302"/>
      <c r="N130" s="1303">
        <v>0</v>
      </c>
      <c r="O130" s="1302"/>
      <c r="P130" s="1303">
        <v>0</v>
      </c>
      <c r="Q130" s="1302"/>
      <c r="R130" s="1303">
        <v>0</v>
      </c>
      <c r="S130" s="1302"/>
      <c r="T130" s="1303">
        <v>0</v>
      </c>
      <c r="U130" s="1302"/>
      <c r="V130" s="1303">
        <v>0</v>
      </c>
      <c r="W130" s="1302"/>
      <c r="X130" s="1303">
        <v>0</v>
      </c>
      <c r="Y130" s="1302"/>
      <c r="Z130" s="1303">
        <v>0</v>
      </c>
      <c r="AA130" s="1302"/>
      <c r="AB130" s="1303">
        <v>0</v>
      </c>
      <c r="AC130" s="1302"/>
      <c r="AD130" s="1303">
        <v>0</v>
      </c>
      <c r="AE130" s="1302"/>
      <c r="AF130" s="1303">
        <v>0</v>
      </c>
      <c r="AG130" s="1302"/>
      <c r="AH130" s="1303">
        <f t="shared" si="14"/>
        <v>1622.61</v>
      </c>
      <c r="AI130" s="1304">
        <f t="shared" si="15"/>
        <v>2.4442531115239974E-4</v>
      </c>
      <c r="AJ130" s="12"/>
    </row>
    <row r="131" spans="2:36" s="407" customFormat="1" outlineLevel="1">
      <c r="B131" s="24" t="s">
        <v>397</v>
      </c>
      <c r="D131" s="1298">
        <v>52182</v>
      </c>
      <c r="E131" s="1298" t="s">
        <v>236</v>
      </c>
      <c r="F131" s="1299"/>
      <c r="G131" s="1300"/>
      <c r="H131" s="1301"/>
      <c r="I131" s="1302"/>
      <c r="J131" s="1303">
        <v>431.6</v>
      </c>
      <c r="K131" s="1302"/>
      <c r="L131" s="1303">
        <v>431.6</v>
      </c>
      <c r="M131" s="1302"/>
      <c r="N131" s="1303">
        <v>431.6</v>
      </c>
      <c r="O131" s="1302"/>
      <c r="P131" s="1303">
        <v>0</v>
      </c>
      <c r="Q131" s="1302"/>
      <c r="R131" s="1303">
        <v>0</v>
      </c>
      <c r="S131" s="1302"/>
      <c r="T131" s="1303">
        <v>0</v>
      </c>
      <c r="U131" s="1302"/>
      <c r="V131" s="1303">
        <v>0</v>
      </c>
      <c r="W131" s="1302"/>
      <c r="X131" s="1303">
        <v>0</v>
      </c>
      <c r="Y131" s="1302"/>
      <c r="Z131" s="1303">
        <v>0</v>
      </c>
      <c r="AA131" s="1302"/>
      <c r="AB131" s="1303">
        <v>0</v>
      </c>
      <c r="AC131" s="1302"/>
      <c r="AD131" s="1303">
        <v>0</v>
      </c>
      <c r="AE131" s="1302"/>
      <c r="AF131" s="1303">
        <v>0</v>
      </c>
      <c r="AG131" s="1302"/>
      <c r="AH131" s="1303">
        <f t="shared" si="14"/>
        <v>1294.8000000000002</v>
      </c>
      <c r="AI131" s="1304">
        <f t="shared" si="15"/>
        <v>1.9504495404325579E-4</v>
      </c>
      <c r="AJ131" s="12"/>
    </row>
    <row r="132" spans="2:36" s="8" customFormat="1" ht="5.0999999999999996" customHeight="1" outlineLevel="1">
      <c r="B132" s="2" t="s">
        <v>194</v>
      </c>
      <c r="D132" s="1299"/>
      <c r="E132" s="1299"/>
      <c r="F132" s="1299"/>
      <c r="G132" s="1299"/>
      <c r="H132" s="1301"/>
      <c r="I132" s="1301"/>
      <c r="J132" s="1311"/>
      <c r="K132" s="1309"/>
      <c r="L132" s="1311"/>
      <c r="M132" s="1309"/>
      <c r="N132" s="1311"/>
      <c r="O132" s="1309"/>
      <c r="P132" s="1311"/>
      <c r="Q132" s="1309"/>
      <c r="R132" s="1311"/>
      <c r="S132" s="1309"/>
      <c r="T132" s="1311"/>
      <c r="U132" s="1309"/>
      <c r="V132" s="1311"/>
      <c r="W132" s="1309"/>
      <c r="X132" s="1311"/>
      <c r="Y132" s="1309"/>
      <c r="Z132" s="1311"/>
      <c r="AA132" s="1309"/>
      <c r="AB132" s="1311"/>
      <c r="AC132" s="1309"/>
      <c r="AD132" s="1311"/>
      <c r="AE132" s="1309"/>
      <c r="AF132" s="1311"/>
      <c r="AG132" s="1309"/>
      <c r="AH132" s="1311"/>
      <c r="AI132" s="1306"/>
      <c r="AJ132" s="15"/>
    </row>
    <row r="133" spans="2:36" s="8" customFormat="1" ht="15">
      <c r="B133" s="2" t="s">
        <v>194</v>
      </c>
      <c r="D133" s="1301"/>
      <c r="E133" s="1301"/>
      <c r="F133" s="1299" t="s">
        <v>238</v>
      </c>
      <c r="G133" s="1301"/>
      <c r="H133" s="1301"/>
      <c r="I133" s="1301"/>
      <c r="J133" s="1308">
        <f>SUM(J112:J132)</f>
        <v>46976.329999999994</v>
      </c>
      <c r="K133" s="1309"/>
      <c r="L133" s="1308">
        <f>SUM(L112:L132)</f>
        <v>38292.83</v>
      </c>
      <c r="M133" s="1309"/>
      <c r="N133" s="1308">
        <f>SUM(N112:N132)</f>
        <v>46118.99</v>
      </c>
      <c r="O133" s="1309"/>
      <c r="P133" s="1308">
        <f>SUM(P112:P132)</f>
        <v>28940.33</v>
      </c>
      <c r="Q133" s="1309"/>
      <c r="R133" s="1308">
        <f>SUM(R112:R132)</f>
        <v>32283.460000000003</v>
      </c>
      <c r="S133" s="1309"/>
      <c r="T133" s="1308">
        <f>SUM(T112:T132)</f>
        <v>40227.08</v>
      </c>
      <c r="U133" s="1309"/>
      <c r="V133" s="1308">
        <f>SUM(V112:V132)</f>
        <v>35359.520000000004</v>
      </c>
      <c r="W133" s="1309"/>
      <c r="X133" s="1308">
        <f>SUM(X112:X132)</f>
        <v>28770.01</v>
      </c>
      <c r="Y133" s="1309"/>
      <c r="Z133" s="1308">
        <f>SUM(Z112:Z132)</f>
        <v>34966.369999999995</v>
      </c>
      <c r="AA133" s="1309"/>
      <c r="AB133" s="1308">
        <f>SUM(AB112:AB132)</f>
        <v>27395.640000000003</v>
      </c>
      <c r="AC133" s="1309"/>
      <c r="AD133" s="1308">
        <f>SUM(AD112:AD132)</f>
        <v>30776.640000000003</v>
      </c>
      <c r="AE133" s="1309"/>
      <c r="AF133" s="1308">
        <f>SUM(AF112:AF132)</f>
        <v>55102.310000000005</v>
      </c>
      <c r="AG133" s="1309"/>
      <c r="AH133" s="1308">
        <f>SUM(AH112:AH132)</f>
        <v>445209.50999999995</v>
      </c>
      <c r="AI133" s="1304">
        <f>IF(AH$59=0,0,AH133/AH$59)</f>
        <v>6.7065082188423233E-2</v>
      </c>
      <c r="AJ133" s="15"/>
    </row>
    <row r="134" spans="2:36" s="8" customFormat="1" ht="15" outlineLevel="1">
      <c r="B134" s="2" t="s">
        <v>194</v>
      </c>
      <c r="D134" s="1301"/>
      <c r="E134" s="1301"/>
      <c r="F134" s="1301"/>
      <c r="G134" s="1301"/>
      <c r="H134" s="1301"/>
      <c r="I134" s="1301"/>
      <c r="J134" s="1310"/>
      <c r="K134" s="1309"/>
      <c r="L134" s="1310"/>
      <c r="M134" s="1309"/>
      <c r="N134" s="1310"/>
      <c r="O134" s="1309"/>
      <c r="P134" s="1310"/>
      <c r="Q134" s="1309"/>
      <c r="R134" s="1310"/>
      <c r="S134" s="1309"/>
      <c r="T134" s="1310"/>
      <c r="U134" s="1309"/>
      <c r="V134" s="1310"/>
      <c r="W134" s="1309"/>
      <c r="X134" s="1310"/>
      <c r="Y134" s="1309"/>
      <c r="Z134" s="1310"/>
      <c r="AA134" s="1309"/>
      <c r="AB134" s="1310"/>
      <c r="AC134" s="1309"/>
      <c r="AD134" s="1310"/>
      <c r="AE134" s="1309"/>
      <c r="AF134" s="1310"/>
      <c r="AG134" s="1309"/>
      <c r="AH134" s="1310"/>
      <c r="AI134" s="1306"/>
      <c r="AJ134" s="15"/>
    </row>
    <row r="135" spans="2:36" s="8" customFormat="1" ht="15" outlineLevel="1">
      <c r="D135" s="1301"/>
      <c r="E135" s="1301"/>
      <c r="F135" s="1301"/>
      <c r="G135" s="1301"/>
      <c r="H135" s="1301"/>
      <c r="I135" s="1301"/>
      <c r="J135" s="1310"/>
      <c r="K135" s="1309"/>
      <c r="L135" s="1310"/>
      <c r="M135" s="1309"/>
      <c r="N135" s="1310"/>
      <c r="O135" s="1309"/>
      <c r="P135" s="1310"/>
      <c r="Q135" s="1309"/>
      <c r="R135" s="1310"/>
      <c r="S135" s="1309"/>
      <c r="T135" s="1310"/>
      <c r="U135" s="1309"/>
      <c r="V135" s="1310"/>
      <c r="W135" s="1309"/>
      <c r="X135" s="1310"/>
      <c r="Y135" s="1309"/>
      <c r="Z135" s="1310"/>
      <c r="AA135" s="1309"/>
      <c r="AB135" s="1310"/>
      <c r="AC135" s="1309"/>
      <c r="AD135" s="1310"/>
      <c r="AE135" s="1309"/>
      <c r="AF135" s="1310"/>
      <c r="AG135" s="1309"/>
      <c r="AH135" s="1310"/>
      <c r="AI135" s="1306"/>
      <c r="AJ135" s="15"/>
    </row>
    <row r="136" spans="2:36" s="407" customFormat="1" outlineLevel="1">
      <c r="B136" s="24" t="s">
        <v>412</v>
      </c>
      <c r="D136" s="1298">
        <v>55120</v>
      </c>
      <c r="E136" s="1298" t="s">
        <v>231</v>
      </c>
      <c r="F136" s="1299"/>
      <c r="G136" s="1300"/>
      <c r="H136" s="1301"/>
      <c r="I136" s="1302"/>
      <c r="J136" s="1303">
        <v>3234</v>
      </c>
      <c r="K136" s="1302"/>
      <c r="L136" s="1303">
        <v>0</v>
      </c>
      <c r="M136" s="1302"/>
      <c r="N136" s="1303">
        <v>0</v>
      </c>
      <c r="O136" s="1302"/>
      <c r="P136" s="1303">
        <v>0</v>
      </c>
      <c r="Q136" s="1302"/>
      <c r="R136" s="1303">
        <v>0</v>
      </c>
      <c r="S136" s="1302"/>
      <c r="T136" s="1303">
        <v>0</v>
      </c>
      <c r="U136" s="1302"/>
      <c r="V136" s="1303">
        <v>0</v>
      </c>
      <c r="W136" s="1302"/>
      <c r="X136" s="1303">
        <v>0</v>
      </c>
      <c r="Y136" s="1302"/>
      <c r="Z136" s="1303">
        <v>0</v>
      </c>
      <c r="AA136" s="1302"/>
      <c r="AB136" s="1303">
        <v>0</v>
      </c>
      <c r="AC136" s="1302"/>
      <c r="AD136" s="1303">
        <v>0</v>
      </c>
      <c r="AE136" s="1302"/>
      <c r="AF136" s="1303">
        <v>0</v>
      </c>
      <c r="AG136" s="1302"/>
      <c r="AH136" s="1303">
        <f t="shared" ref="AH136:AH137" si="16">AF136+AD136+AB136+Z136+X136+V136+T136+R136+P136+N136+L136+J136</f>
        <v>3234</v>
      </c>
      <c r="AI136" s="1304">
        <f t="shared" ref="AI136:AI137" si="17">IF(AH$59=0,0,AH136/AH$59)</f>
        <v>4.8716047372249698E-4</v>
      </c>
      <c r="AJ136" s="12"/>
    </row>
    <row r="137" spans="2:36" s="407" customFormat="1" outlineLevel="1">
      <c r="B137" s="24" t="s">
        <v>397</v>
      </c>
      <c r="D137" s="1298">
        <v>55125</v>
      </c>
      <c r="E137" s="1298" t="s">
        <v>62</v>
      </c>
      <c r="F137" s="1299"/>
      <c r="G137" s="1300"/>
      <c r="H137" s="1301"/>
      <c r="I137" s="1302"/>
      <c r="J137" s="1303">
        <v>0</v>
      </c>
      <c r="K137" s="1302"/>
      <c r="L137" s="1303">
        <v>248.25</v>
      </c>
      <c r="M137" s="1302"/>
      <c r="N137" s="1303">
        <v>287.5</v>
      </c>
      <c r="O137" s="1302"/>
      <c r="P137" s="1303">
        <v>0</v>
      </c>
      <c r="Q137" s="1302"/>
      <c r="R137" s="1303">
        <v>0</v>
      </c>
      <c r="S137" s="1302"/>
      <c r="T137" s="1303">
        <v>0</v>
      </c>
      <c r="U137" s="1302"/>
      <c r="V137" s="1303">
        <v>0</v>
      </c>
      <c r="W137" s="1302"/>
      <c r="X137" s="1303">
        <v>0</v>
      </c>
      <c r="Y137" s="1302"/>
      <c r="Z137" s="1303">
        <v>0</v>
      </c>
      <c r="AA137" s="1302"/>
      <c r="AB137" s="1303">
        <v>0</v>
      </c>
      <c r="AC137" s="1302"/>
      <c r="AD137" s="1303">
        <v>0</v>
      </c>
      <c r="AE137" s="1302"/>
      <c r="AF137" s="1303">
        <v>0</v>
      </c>
      <c r="AG137" s="1302"/>
      <c r="AH137" s="1303">
        <f t="shared" si="16"/>
        <v>535.75</v>
      </c>
      <c r="AI137" s="1304">
        <f t="shared" si="17"/>
        <v>8.0703841619303576E-5</v>
      </c>
      <c r="AJ137" s="12"/>
    </row>
    <row r="138" spans="2:36" s="8" customFormat="1" ht="5.0999999999999996" customHeight="1" outlineLevel="1">
      <c r="B138" s="2" t="s">
        <v>194</v>
      </c>
      <c r="D138" s="1299"/>
      <c r="E138" s="1299"/>
      <c r="F138" s="1299"/>
      <c r="G138" s="1299"/>
      <c r="H138" s="1301"/>
      <c r="I138" s="1301"/>
      <c r="J138" s="1311"/>
      <c r="K138" s="1309"/>
      <c r="L138" s="1311"/>
      <c r="M138" s="1309"/>
      <c r="N138" s="1311"/>
      <c r="O138" s="1309"/>
      <c r="P138" s="1311"/>
      <c r="Q138" s="1309"/>
      <c r="R138" s="1311"/>
      <c r="S138" s="1309"/>
      <c r="T138" s="1311"/>
      <c r="U138" s="1309"/>
      <c r="V138" s="1311"/>
      <c r="W138" s="1309"/>
      <c r="X138" s="1311"/>
      <c r="Y138" s="1309"/>
      <c r="Z138" s="1311"/>
      <c r="AA138" s="1309"/>
      <c r="AB138" s="1311"/>
      <c r="AC138" s="1309"/>
      <c r="AD138" s="1311"/>
      <c r="AE138" s="1309"/>
      <c r="AF138" s="1311"/>
      <c r="AG138" s="1309"/>
      <c r="AH138" s="1311"/>
      <c r="AI138" s="1306"/>
      <c r="AJ138" s="15"/>
    </row>
    <row r="139" spans="2:36" s="8" customFormat="1" ht="15">
      <c r="B139" s="2"/>
      <c r="D139" s="1301"/>
      <c r="E139" s="1301"/>
      <c r="F139" s="1299" t="s">
        <v>239</v>
      </c>
      <c r="G139" s="1301"/>
      <c r="H139" s="1301"/>
      <c r="I139" s="1301"/>
      <c r="J139" s="1308">
        <f>SUM(J135:J138)</f>
        <v>3234</v>
      </c>
      <c r="K139" s="1309"/>
      <c r="L139" s="1308">
        <f>SUM(L135:L138)</f>
        <v>248.25</v>
      </c>
      <c r="M139" s="1309"/>
      <c r="N139" s="1308">
        <f>SUM(N135:N138)</f>
        <v>287.5</v>
      </c>
      <c r="O139" s="1309"/>
      <c r="P139" s="1308">
        <f>SUM(P135:P138)</f>
        <v>0</v>
      </c>
      <c r="Q139" s="1309"/>
      <c r="R139" s="1308">
        <f>SUM(R135:R138)</f>
        <v>0</v>
      </c>
      <c r="S139" s="1309"/>
      <c r="T139" s="1308">
        <f>SUM(T135:T138)</f>
        <v>0</v>
      </c>
      <c r="U139" s="1309"/>
      <c r="V139" s="1308">
        <f>SUM(V135:V138)</f>
        <v>0</v>
      </c>
      <c r="W139" s="1309"/>
      <c r="X139" s="1308">
        <f>SUM(X135:X138)</f>
        <v>0</v>
      </c>
      <c r="Y139" s="1309"/>
      <c r="Z139" s="1308">
        <f>SUM(Z135:Z138)</f>
        <v>0</v>
      </c>
      <c r="AA139" s="1309"/>
      <c r="AB139" s="1308">
        <f>SUM(AB135:AB138)</f>
        <v>0</v>
      </c>
      <c r="AC139" s="1309"/>
      <c r="AD139" s="1308">
        <f>SUM(AD135:AD138)</f>
        <v>0</v>
      </c>
      <c r="AE139" s="1309"/>
      <c r="AF139" s="1308">
        <f>SUM(AF135:AF138)</f>
        <v>0</v>
      </c>
      <c r="AG139" s="1309"/>
      <c r="AH139" s="1308">
        <f>SUM(AH135:AH138)</f>
        <v>3769.75</v>
      </c>
      <c r="AI139" s="1304">
        <f>IF(AH$59=0,0,AH139/AH$59)</f>
        <v>5.6786431534180059E-4</v>
      </c>
      <c r="AJ139" s="15"/>
    </row>
    <row r="140" spans="2:36" s="8" customFormat="1" ht="15" outlineLevel="1">
      <c r="B140" s="2"/>
      <c r="D140" s="1301"/>
      <c r="E140" s="1301"/>
      <c r="F140" s="1301"/>
      <c r="G140" s="1301"/>
      <c r="H140" s="1301"/>
      <c r="I140" s="1301"/>
      <c r="J140" s="1310"/>
      <c r="K140" s="1309"/>
      <c r="L140" s="1310"/>
      <c r="M140" s="1309"/>
      <c r="N140" s="1310"/>
      <c r="O140" s="1309"/>
      <c r="P140" s="1310"/>
      <c r="Q140" s="1309"/>
      <c r="R140" s="1310"/>
      <c r="S140" s="1309"/>
      <c r="T140" s="1310"/>
      <c r="U140" s="1309"/>
      <c r="V140" s="1310"/>
      <c r="W140" s="1309"/>
      <c r="X140" s="1310"/>
      <c r="Y140" s="1309"/>
      <c r="Z140" s="1310"/>
      <c r="AA140" s="1309"/>
      <c r="AB140" s="1310"/>
      <c r="AC140" s="1309"/>
      <c r="AD140" s="1310"/>
      <c r="AE140" s="1309"/>
      <c r="AF140" s="1310"/>
      <c r="AG140" s="1309"/>
      <c r="AH140" s="1310"/>
      <c r="AI140" s="1306"/>
      <c r="AJ140" s="15"/>
    </row>
    <row r="141" spans="2:36" s="8" customFormat="1" ht="15" outlineLevel="1">
      <c r="B141" s="2" t="s">
        <v>194</v>
      </c>
      <c r="D141" s="1301"/>
      <c r="E141" s="1301"/>
      <c r="F141" s="1301"/>
      <c r="G141" s="1301"/>
      <c r="H141" s="1301"/>
      <c r="I141" s="1301"/>
      <c r="J141" s="1310"/>
      <c r="K141" s="1309"/>
      <c r="L141" s="1310"/>
      <c r="M141" s="1309"/>
      <c r="N141" s="1310"/>
      <c r="O141" s="1309"/>
      <c r="P141" s="1310"/>
      <c r="Q141" s="1309"/>
      <c r="R141" s="1310"/>
      <c r="S141" s="1309"/>
      <c r="T141" s="1310"/>
      <c r="U141" s="1309"/>
      <c r="V141" s="1310"/>
      <c r="W141" s="1309"/>
      <c r="X141" s="1310"/>
      <c r="Y141" s="1309"/>
      <c r="Z141" s="1310"/>
      <c r="AA141" s="1309"/>
      <c r="AB141" s="1310"/>
      <c r="AC141" s="1309"/>
      <c r="AD141" s="1310"/>
      <c r="AE141" s="1309"/>
      <c r="AF141" s="1310"/>
      <c r="AG141" s="1309"/>
      <c r="AH141" s="1310"/>
      <c r="AI141" s="1306"/>
      <c r="AJ141" s="15"/>
    </row>
    <row r="142" spans="2:36" s="407" customFormat="1" outlineLevel="1">
      <c r="B142" s="24" t="s">
        <v>413</v>
      </c>
      <c r="D142" s="1298"/>
      <c r="E142" s="1298"/>
      <c r="F142" s="1299"/>
      <c r="G142" s="1300"/>
      <c r="H142" s="1301"/>
      <c r="I142" s="1302"/>
      <c r="J142" s="1303"/>
      <c r="K142" s="1302"/>
      <c r="L142" s="1303"/>
      <c r="M142" s="1302"/>
      <c r="N142" s="1303"/>
      <c r="O142" s="1302"/>
      <c r="P142" s="1303"/>
      <c r="Q142" s="1302"/>
      <c r="R142" s="1303"/>
      <c r="S142" s="1302"/>
      <c r="T142" s="1303"/>
      <c r="U142" s="1302"/>
      <c r="V142" s="1303"/>
      <c r="W142" s="1302"/>
      <c r="X142" s="1303"/>
      <c r="Y142" s="1302"/>
      <c r="Z142" s="1303"/>
      <c r="AA142" s="1302"/>
      <c r="AB142" s="1303"/>
      <c r="AC142" s="1302"/>
      <c r="AD142" s="1303"/>
      <c r="AE142" s="1302"/>
      <c r="AF142" s="1303"/>
      <c r="AG142" s="1302"/>
      <c r="AH142" s="1303">
        <f>AF142+AD142+AB142+Z142+X142+V142+T142+R142+P142+N142+L142+J142</f>
        <v>0</v>
      </c>
      <c r="AI142" s="1304">
        <f>IF(AH$59=0,0,AH142/AH$59)</f>
        <v>0</v>
      </c>
      <c r="AJ142" s="12"/>
    </row>
    <row r="143" spans="2:36" s="8" customFormat="1" ht="5.0999999999999996" customHeight="1" outlineLevel="1">
      <c r="B143" s="2" t="s">
        <v>194</v>
      </c>
      <c r="D143" s="1299"/>
      <c r="E143" s="1299"/>
      <c r="F143" s="1299"/>
      <c r="G143" s="1299"/>
      <c r="H143" s="1301"/>
      <c r="I143" s="1301"/>
      <c r="J143" s="1311"/>
      <c r="K143" s="1309"/>
      <c r="L143" s="1311"/>
      <c r="M143" s="1309"/>
      <c r="N143" s="1311"/>
      <c r="O143" s="1309"/>
      <c r="P143" s="1311"/>
      <c r="Q143" s="1309"/>
      <c r="R143" s="1311"/>
      <c r="S143" s="1309"/>
      <c r="T143" s="1311"/>
      <c r="U143" s="1309"/>
      <c r="V143" s="1311"/>
      <c r="W143" s="1309"/>
      <c r="X143" s="1311"/>
      <c r="Y143" s="1309"/>
      <c r="Z143" s="1311"/>
      <c r="AA143" s="1309"/>
      <c r="AB143" s="1311"/>
      <c r="AC143" s="1309"/>
      <c r="AD143" s="1311"/>
      <c r="AE143" s="1309"/>
      <c r="AF143" s="1311"/>
      <c r="AG143" s="1309"/>
      <c r="AH143" s="1311"/>
      <c r="AI143" s="1306"/>
      <c r="AJ143" s="15"/>
    </row>
    <row r="144" spans="2:36" s="8" customFormat="1" ht="15">
      <c r="B144" s="2" t="s">
        <v>194</v>
      </c>
      <c r="D144" s="1301"/>
      <c r="E144" s="1301"/>
      <c r="F144" s="1299" t="s">
        <v>241</v>
      </c>
      <c r="G144" s="1301"/>
      <c r="H144" s="1301"/>
      <c r="I144" s="1301"/>
      <c r="J144" s="1308">
        <f>SUM(J141:J143)</f>
        <v>0</v>
      </c>
      <c r="K144" s="1309"/>
      <c r="L144" s="1308">
        <f>SUM(L141:L143)</f>
        <v>0</v>
      </c>
      <c r="M144" s="1309"/>
      <c r="N144" s="1308">
        <f>SUM(N141:N143)</f>
        <v>0</v>
      </c>
      <c r="O144" s="1309"/>
      <c r="P144" s="1308">
        <f>SUM(P141:P143)</f>
        <v>0</v>
      </c>
      <c r="Q144" s="1309"/>
      <c r="R144" s="1308">
        <f>SUM(R141:R143)</f>
        <v>0</v>
      </c>
      <c r="S144" s="1309"/>
      <c r="T144" s="1308">
        <f>SUM(T141:T143)</f>
        <v>0</v>
      </c>
      <c r="U144" s="1309"/>
      <c r="V144" s="1308">
        <f>SUM(V141:V143)</f>
        <v>0</v>
      </c>
      <c r="W144" s="1309"/>
      <c r="X144" s="1308">
        <f>SUM(X141:X143)</f>
        <v>0</v>
      </c>
      <c r="Y144" s="1309"/>
      <c r="Z144" s="1308">
        <f>SUM(Z141:Z143)</f>
        <v>0</v>
      </c>
      <c r="AA144" s="1309"/>
      <c r="AB144" s="1308">
        <f>SUM(AB141:AB143)</f>
        <v>0</v>
      </c>
      <c r="AC144" s="1309"/>
      <c r="AD144" s="1308">
        <f>SUM(AD141:AD143)</f>
        <v>0</v>
      </c>
      <c r="AE144" s="1309"/>
      <c r="AF144" s="1308">
        <f>SUM(AF141:AF143)</f>
        <v>0</v>
      </c>
      <c r="AG144" s="1309"/>
      <c r="AH144" s="1308">
        <f>SUM(AH141:AH143)</f>
        <v>0</v>
      </c>
      <c r="AI144" s="1304">
        <f>IF(AH$59=0,0,AH144/AH$59)</f>
        <v>0</v>
      </c>
      <c r="AJ144" s="15"/>
    </row>
    <row r="145" spans="2:36" s="8" customFormat="1" ht="15" outlineLevel="1">
      <c r="B145" s="2"/>
      <c r="D145" s="1301"/>
      <c r="E145" s="1301"/>
      <c r="F145" s="1301"/>
      <c r="G145" s="1301"/>
      <c r="H145" s="1301"/>
      <c r="I145" s="1301"/>
      <c r="J145" s="1310"/>
      <c r="K145" s="1309"/>
      <c r="L145" s="1310"/>
      <c r="M145" s="1309"/>
      <c r="N145" s="1310"/>
      <c r="O145" s="1309"/>
      <c r="P145" s="1310"/>
      <c r="Q145" s="1309"/>
      <c r="R145" s="1310"/>
      <c r="S145" s="1309"/>
      <c r="T145" s="1310"/>
      <c r="U145" s="1309"/>
      <c r="V145" s="1310"/>
      <c r="W145" s="1309"/>
      <c r="X145" s="1310"/>
      <c r="Y145" s="1309"/>
      <c r="Z145" s="1310"/>
      <c r="AA145" s="1309"/>
      <c r="AB145" s="1310"/>
      <c r="AC145" s="1309"/>
      <c r="AD145" s="1310"/>
      <c r="AE145" s="1309"/>
      <c r="AF145" s="1310"/>
      <c r="AG145" s="1309"/>
      <c r="AH145" s="1310"/>
      <c r="AI145" s="1306"/>
      <c r="AJ145" s="15"/>
    </row>
    <row r="146" spans="2:36" s="8" customFormat="1" ht="15" outlineLevel="1">
      <c r="B146" s="2" t="s">
        <v>194</v>
      </c>
      <c r="D146" s="1301"/>
      <c r="E146" s="1301"/>
      <c r="F146" s="1301"/>
      <c r="G146" s="1301"/>
      <c r="H146" s="1301"/>
      <c r="I146" s="1301"/>
      <c r="J146" s="1310"/>
      <c r="K146" s="1309"/>
      <c r="L146" s="1310"/>
      <c r="M146" s="1309"/>
      <c r="N146" s="1310"/>
      <c r="O146" s="1309"/>
      <c r="P146" s="1310"/>
      <c r="Q146" s="1309"/>
      <c r="R146" s="1310"/>
      <c r="S146" s="1309"/>
      <c r="T146" s="1310"/>
      <c r="U146" s="1309"/>
      <c r="V146" s="1310"/>
      <c r="W146" s="1309"/>
      <c r="X146" s="1310"/>
      <c r="Y146" s="1309"/>
      <c r="Z146" s="1310"/>
      <c r="AA146" s="1309"/>
      <c r="AB146" s="1310"/>
      <c r="AC146" s="1309"/>
      <c r="AD146" s="1310"/>
      <c r="AE146" s="1309"/>
      <c r="AF146" s="1310"/>
      <c r="AG146" s="1309"/>
      <c r="AH146" s="1310"/>
      <c r="AI146" s="1306"/>
      <c r="AJ146" s="15"/>
    </row>
    <row r="147" spans="2:36" s="407" customFormat="1" outlineLevel="1">
      <c r="B147" s="24" t="s">
        <v>414</v>
      </c>
      <c r="D147" s="1298">
        <v>57125</v>
      </c>
      <c r="E147" s="1298" t="s">
        <v>62</v>
      </c>
      <c r="F147" s="1299"/>
      <c r="G147" s="1300"/>
      <c r="H147" s="1301"/>
      <c r="I147" s="1302"/>
      <c r="J147" s="1303">
        <v>0</v>
      </c>
      <c r="K147" s="1302"/>
      <c r="L147" s="1303">
        <v>0</v>
      </c>
      <c r="M147" s="1302"/>
      <c r="N147" s="1303">
        <v>0</v>
      </c>
      <c r="O147" s="1302"/>
      <c r="P147" s="1303">
        <v>525.54999999999995</v>
      </c>
      <c r="Q147" s="1302"/>
      <c r="R147" s="1303">
        <v>134.16</v>
      </c>
      <c r="S147" s="1302"/>
      <c r="T147" s="1303">
        <v>0</v>
      </c>
      <c r="U147" s="1302"/>
      <c r="V147" s="1303">
        <v>0</v>
      </c>
      <c r="W147" s="1302"/>
      <c r="X147" s="1303">
        <v>0</v>
      </c>
      <c r="Y147" s="1302"/>
      <c r="Z147" s="1303">
        <v>0</v>
      </c>
      <c r="AA147" s="1302"/>
      <c r="AB147" s="1303">
        <v>0</v>
      </c>
      <c r="AC147" s="1302"/>
      <c r="AD147" s="1303">
        <v>418.41</v>
      </c>
      <c r="AE147" s="1302"/>
      <c r="AF147" s="1303">
        <v>0</v>
      </c>
      <c r="AG147" s="1302"/>
      <c r="AH147" s="1303">
        <f t="shared" ref="AH147:AH158" si="18">AF147+AD147+AB147+Z147+X147+V147+T147+R147+P147+N147+L147+J147</f>
        <v>1078.1199999999999</v>
      </c>
      <c r="AI147" s="1304">
        <f t="shared" ref="AI147:AI158" si="19">IF(AH$59=0,0,AH147/AH$59)</f>
        <v>1.6240490102959135E-4</v>
      </c>
      <c r="AJ147" s="12"/>
    </row>
    <row r="148" spans="2:36" s="407" customFormat="1" outlineLevel="1">
      <c r="B148" s="24" t="s">
        <v>397</v>
      </c>
      <c r="D148" s="1298">
        <v>57147</v>
      </c>
      <c r="E148" s="1298" t="s">
        <v>242</v>
      </c>
      <c r="F148" s="1299"/>
      <c r="G148" s="1300"/>
      <c r="H148" s="1301"/>
      <c r="I148" s="1302"/>
      <c r="J148" s="1303">
        <v>3861.53</v>
      </c>
      <c r="K148" s="1302"/>
      <c r="L148" s="1303">
        <v>15955.81</v>
      </c>
      <c r="M148" s="1302"/>
      <c r="N148" s="1303">
        <v>7016.75</v>
      </c>
      <c r="O148" s="1302"/>
      <c r="P148" s="1303">
        <v>2298.2600000000002</v>
      </c>
      <c r="Q148" s="1302"/>
      <c r="R148" s="1303">
        <v>4924.51</v>
      </c>
      <c r="S148" s="1302"/>
      <c r="T148" s="1303">
        <v>20012.7</v>
      </c>
      <c r="U148" s="1302"/>
      <c r="V148" s="1303">
        <v>1978.3</v>
      </c>
      <c r="W148" s="1302"/>
      <c r="X148" s="1303">
        <v>3869.56</v>
      </c>
      <c r="Y148" s="1302"/>
      <c r="Z148" s="1303">
        <v>10109.6</v>
      </c>
      <c r="AA148" s="1302"/>
      <c r="AB148" s="1303">
        <v>8684.49</v>
      </c>
      <c r="AC148" s="1302"/>
      <c r="AD148" s="1303">
        <v>4430.07</v>
      </c>
      <c r="AE148" s="1302"/>
      <c r="AF148" s="1303">
        <v>4413.5</v>
      </c>
      <c r="AG148" s="1302"/>
      <c r="AH148" s="1303">
        <f t="shared" si="18"/>
        <v>87555.08</v>
      </c>
      <c r="AI148" s="1304">
        <f t="shared" si="19"/>
        <v>1.3189045840943452E-2</v>
      </c>
      <c r="AJ148" s="12"/>
    </row>
    <row r="149" spans="2:36" s="407" customFormat="1" outlineLevel="1">
      <c r="B149" s="24" t="s">
        <v>397</v>
      </c>
      <c r="D149" s="1298">
        <v>57150</v>
      </c>
      <c r="E149" s="1298" t="s">
        <v>44</v>
      </c>
      <c r="F149" s="1299"/>
      <c r="G149" s="1300"/>
      <c r="H149" s="1301"/>
      <c r="I149" s="1302"/>
      <c r="J149" s="1303">
        <v>8258.81</v>
      </c>
      <c r="K149" s="1302"/>
      <c r="L149" s="1303">
        <v>8337.65</v>
      </c>
      <c r="M149" s="1302"/>
      <c r="N149" s="1303">
        <v>8208.35</v>
      </c>
      <c r="O149" s="1302"/>
      <c r="P149" s="1303">
        <v>8057.13</v>
      </c>
      <c r="Q149" s="1302"/>
      <c r="R149" s="1303">
        <v>8553.5</v>
      </c>
      <c r="S149" s="1302"/>
      <c r="T149" s="1303">
        <v>9782.35</v>
      </c>
      <c r="U149" s="1302"/>
      <c r="V149" s="1303">
        <v>9974.3700000000008</v>
      </c>
      <c r="W149" s="1302"/>
      <c r="X149" s="1303">
        <v>10659.93</v>
      </c>
      <c r="Y149" s="1302"/>
      <c r="Z149" s="1303">
        <v>10745.63</v>
      </c>
      <c r="AA149" s="1302"/>
      <c r="AB149" s="1303">
        <v>10458.82</v>
      </c>
      <c r="AC149" s="1302"/>
      <c r="AD149" s="1303">
        <v>10314.6</v>
      </c>
      <c r="AE149" s="1302"/>
      <c r="AF149" s="1303">
        <v>8732.69</v>
      </c>
      <c r="AG149" s="1302"/>
      <c r="AH149" s="1303">
        <f t="shared" si="18"/>
        <v>112083.83</v>
      </c>
      <c r="AI149" s="1304">
        <f t="shared" si="19"/>
        <v>1.6883986307802048E-2</v>
      </c>
      <c r="AJ149" s="12"/>
    </row>
    <row r="150" spans="2:36" s="407" customFormat="1" outlineLevel="1">
      <c r="B150" s="24" t="s">
        <v>397</v>
      </c>
      <c r="D150" s="1298">
        <v>57170</v>
      </c>
      <c r="E150" s="1298" t="s">
        <v>637</v>
      </c>
      <c r="F150" s="1299"/>
      <c r="G150" s="1300"/>
      <c r="H150" s="1301"/>
      <c r="I150" s="1302"/>
      <c r="J150" s="1303">
        <v>0</v>
      </c>
      <c r="K150" s="1302"/>
      <c r="L150" s="1303">
        <v>0</v>
      </c>
      <c r="M150" s="1302"/>
      <c r="N150" s="1303">
        <v>0</v>
      </c>
      <c r="O150" s="1302"/>
      <c r="P150" s="1303">
        <v>0</v>
      </c>
      <c r="Q150" s="1302"/>
      <c r="R150" s="1303">
        <v>0</v>
      </c>
      <c r="S150" s="1302"/>
      <c r="T150" s="1303">
        <v>0</v>
      </c>
      <c r="U150" s="1302"/>
      <c r="V150" s="1303">
        <v>0</v>
      </c>
      <c r="W150" s="1302"/>
      <c r="X150" s="1303">
        <v>0</v>
      </c>
      <c r="Y150" s="1302"/>
      <c r="Z150" s="1303">
        <v>375.19</v>
      </c>
      <c r="AA150" s="1302"/>
      <c r="AB150" s="1303">
        <v>375.19</v>
      </c>
      <c r="AC150" s="1302"/>
      <c r="AD150" s="1303">
        <v>375.19</v>
      </c>
      <c r="AE150" s="1302"/>
      <c r="AF150" s="1303">
        <v>375.19</v>
      </c>
      <c r="AG150" s="1302"/>
      <c r="AH150" s="1303">
        <f t="shared" si="18"/>
        <v>1500.76</v>
      </c>
      <c r="AI150" s="1304">
        <f t="shared" si="19"/>
        <v>2.2607017703889134E-4</v>
      </c>
      <c r="AJ150" s="12"/>
    </row>
    <row r="151" spans="2:36" s="407" customFormat="1" outlineLevel="1">
      <c r="B151" s="24" t="s">
        <v>397</v>
      </c>
      <c r="D151" s="1298">
        <v>57175</v>
      </c>
      <c r="E151" s="1298" t="s">
        <v>550</v>
      </c>
      <c r="F151" s="1299"/>
      <c r="G151" s="1300"/>
      <c r="H151" s="1301"/>
      <c r="I151" s="1302"/>
      <c r="J151" s="1303">
        <v>696.95</v>
      </c>
      <c r="K151" s="1302"/>
      <c r="L151" s="1303">
        <v>1586.6</v>
      </c>
      <c r="M151" s="1302"/>
      <c r="N151" s="1303">
        <v>665.75</v>
      </c>
      <c r="O151" s="1302"/>
      <c r="P151" s="1303">
        <v>2046.36</v>
      </c>
      <c r="Q151" s="1302"/>
      <c r="R151" s="1303">
        <v>2179.39</v>
      </c>
      <c r="S151" s="1302"/>
      <c r="T151" s="1303">
        <v>1305.95</v>
      </c>
      <c r="U151" s="1302"/>
      <c r="V151" s="1303">
        <v>1800</v>
      </c>
      <c r="W151" s="1302"/>
      <c r="X151" s="1303">
        <v>991.06</v>
      </c>
      <c r="Y151" s="1302"/>
      <c r="Z151" s="1303">
        <v>1799.99</v>
      </c>
      <c r="AA151" s="1302"/>
      <c r="AB151" s="1303">
        <v>1564.28</v>
      </c>
      <c r="AC151" s="1302"/>
      <c r="AD151" s="1303">
        <v>-211.68</v>
      </c>
      <c r="AE151" s="1302"/>
      <c r="AF151" s="1303">
        <v>1589.7</v>
      </c>
      <c r="AG151" s="1302"/>
      <c r="AH151" s="1303">
        <f t="shared" si="18"/>
        <v>16014.350000000002</v>
      </c>
      <c r="AI151" s="1304">
        <f t="shared" si="19"/>
        <v>2.4123556995540724E-3</v>
      </c>
      <c r="AJ151" s="12"/>
    </row>
    <row r="152" spans="2:36" s="407" customFormat="1" outlineLevel="1">
      <c r="B152" s="24" t="s">
        <v>397</v>
      </c>
      <c r="D152" s="1298">
        <v>57254</v>
      </c>
      <c r="E152" s="1298" t="s">
        <v>432</v>
      </c>
      <c r="F152" s="1299"/>
      <c r="G152" s="1300"/>
      <c r="H152" s="1301"/>
      <c r="I152" s="1302"/>
      <c r="J152" s="1303">
        <v>390</v>
      </c>
      <c r="K152" s="1302"/>
      <c r="L152" s="1303">
        <v>390</v>
      </c>
      <c r="M152" s="1302"/>
      <c r="N152" s="1303">
        <v>934.5</v>
      </c>
      <c r="O152" s="1302"/>
      <c r="P152" s="1303">
        <v>390</v>
      </c>
      <c r="Q152" s="1302"/>
      <c r="R152" s="1303">
        <v>390</v>
      </c>
      <c r="S152" s="1302"/>
      <c r="T152" s="1303">
        <v>934.5</v>
      </c>
      <c r="U152" s="1302"/>
      <c r="V152" s="1303">
        <v>390</v>
      </c>
      <c r="W152" s="1302"/>
      <c r="X152" s="1303">
        <v>390</v>
      </c>
      <c r="Y152" s="1302"/>
      <c r="Z152" s="1303">
        <v>808.5</v>
      </c>
      <c r="AA152" s="1302"/>
      <c r="AB152" s="1303">
        <v>264</v>
      </c>
      <c r="AC152" s="1302"/>
      <c r="AD152" s="1303">
        <v>264</v>
      </c>
      <c r="AE152" s="1302"/>
      <c r="AF152" s="1303">
        <v>810.5</v>
      </c>
      <c r="AG152" s="1302"/>
      <c r="AH152" s="1303">
        <f t="shared" si="18"/>
        <v>6356</v>
      </c>
      <c r="AI152" s="1304">
        <f t="shared" si="19"/>
        <v>9.5744958904767801E-4</v>
      </c>
      <c r="AJ152" s="12"/>
    </row>
    <row r="153" spans="2:36" s="407" customFormat="1" outlineLevel="1">
      <c r="B153" s="24" t="s">
        <v>397</v>
      </c>
      <c r="D153" s="1298">
        <v>57255</v>
      </c>
      <c r="E153" s="1298" t="s">
        <v>63</v>
      </c>
      <c r="F153" s="1299"/>
      <c r="G153" s="1300"/>
      <c r="H153" s="1301"/>
      <c r="I153" s="1302"/>
      <c r="J153" s="1303">
        <v>0</v>
      </c>
      <c r="K153" s="1302"/>
      <c r="L153" s="1303">
        <v>0</v>
      </c>
      <c r="M153" s="1302"/>
      <c r="N153" s="1303">
        <v>0</v>
      </c>
      <c r="O153" s="1302"/>
      <c r="P153" s="1303">
        <v>0</v>
      </c>
      <c r="Q153" s="1302"/>
      <c r="R153" s="1303">
        <v>0</v>
      </c>
      <c r="S153" s="1302"/>
      <c r="T153" s="1303">
        <v>0</v>
      </c>
      <c r="U153" s="1302"/>
      <c r="V153" s="1303">
        <v>0</v>
      </c>
      <c r="W153" s="1302"/>
      <c r="X153" s="1303">
        <v>0</v>
      </c>
      <c r="Y153" s="1302"/>
      <c r="Z153" s="1303">
        <v>0</v>
      </c>
      <c r="AA153" s="1302"/>
      <c r="AB153" s="1303">
        <v>0</v>
      </c>
      <c r="AC153" s="1302"/>
      <c r="AD153" s="1303">
        <v>0</v>
      </c>
      <c r="AE153" s="1302"/>
      <c r="AF153" s="1303">
        <v>47</v>
      </c>
      <c r="AG153" s="1302"/>
      <c r="AH153" s="1303">
        <f t="shared" si="18"/>
        <v>47</v>
      </c>
      <c r="AI153" s="1304">
        <f t="shared" si="19"/>
        <v>7.0799450417307853E-6</v>
      </c>
      <c r="AJ153" s="12"/>
    </row>
    <row r="154" spans="2:36" s="407" customFormat="1" outlineLevel="1">
      <c r="B154" s="24" t="s">
        <v>397</v>
      </c>
      <c r="D154" s="1298">
        <v>57324</v>
      </c>
      <c r="E154" s="1298" t="s">
        <v>144</v>
      </c>
      <c r="F154" s="1299"/>
      <c r="G154" s="1300"/>
      <c r="H154" s="1301"/>
      <c r="I154" s="1302"/>
      <c r="J154" s="1303">
        <v>0</v>
      </c>
      <c r="K154" s="1302"/>
      <c r="L154" s="1303">
        <v>0</v>
      </c>
      <c r="M154" s="1302"/>
      <c r="N154" s="1303">
        <v>0</v>
      </c>
      <c r="O154" s="1302"/>
      <c r="P154" s="1303">
        <v>0</v>
      </c>
      <c r="Q154" s="1302"/>
      <c r="R154" s="1303">
        <v>0</v>
      </c>
      <c r="S154" s="1302"/>
      <c r="T154" s="1303">
        <v>0</v>
      </c>
      <c r="U154" s="1302"/>
      <c r="V154" s="1303">
        <v>0</v>
      </c>
      <c r="W154" s="1302"/>
      <c r="X154" s="1303">
        <v>0</v>
      </c>
      <c r="Y154" s="1302"/>
      <c r="Z154" s="1303">
        <v>0</v>
      </c>
      <c r="AA154" s="1302"/>
      <c r="AB154" s="1303">
        <v>0</v>
      </c>
      <c r="AC154" s="1302"/>
      <c r="AD154" s="1303">
        <v>0</v>
      </c>
      <c r="AE154" s="1302"/>
      <c r="AF154" s="1303">
        <v>208</v>
      </c>
      <c r="AG154" s="1302"/>
      <c r="AH154" s="1303">
        <f t="shared" si="18"/>
        <v>208</v>
      </c>
      <c r="AI154" s="1304">
        <f t="shared" si="19"/>
        <v>3.1332522737872408E-5</v>
      </c>
      <c r="AJ154" s="12"/>
    </row>
    <row r="155" spans="2:36" s="407" customFormat="1" outlineLevel="1">
      <c r="B155" s="24" t="s">
        <v>397</v>
      </c>
      <c r="D155" s="1298">
        <v>57345</v>
      </c>
      <c r="E155" s="1298" t="s">
        <v>103</v>
      </c>
      <c r="F155" s="1299"/>
      <c r="G155" s="1300"/>
      <c r="H155" s="1301"/>
      <c r="I155" s="1302"/>
      <c r="J155" s="1303">
        <v>300</v>
      </c>
      <c r="K155" s="1302"/>
      <c r="L155" s="1303">
        <v>0</v>
      </c>
      <c r="M155" s="1302"/>
      <c r="N155" s="1303">
        <v>600</v>
      </c>
      <c r="O155" s="1302"/>
      <c r="P155" s="1303">
        <v>300</v>
      </c>
      <c r="Q155" s="1302"/>
      <c r="R155" s="1303">
        <v>300</v>
      </c>
      <c r="S155" s="1302"/>
      <c r="T155" s="1303">
        <v>300</v>
      </c>
      <c r="U155" s="1302"/>
      <c r="V155" s="1303">
        <v>300</v>
      </c>
      <c r="W155" s="1302"/>
      <c r="X155" s="1303">
        <v>300</v>
      </c>
      <c r="Y155" s="1302"/>
      <c r="Z155" s="1303">
        <v>0</v>
      </c>
      <c r="AA155" s="1302"/>
      <c r="AB155" s="1303">
        <v>1200</v>
      </c>
      <c r="AC155" s="1302"/>
      <c r="AD155" s="1303">
        <v>-300</v>
      </c>
      <c r="AE155" s="1302"/>
      <c r="AF155" s="1303">
        <v>600</v>
      </c>
      <c r="AG155" s="1302"/>
      <c r="AH155" s="1303">
        <f t="shared" si="18"/>
        <v>3900</v>
      </c>
      <c r="AI155" s="1304">
        <f t="shared" si="19"/>
        <v>5.8748480133510763E-4</v>
      </c>
      <c r="AJ155" s="12"/>
    </row>
    <row r="156" spans="2:36" s="407" customFormat="1" outlineLevel="1">
      <c r="B156" s="24" t="s">
        <v>397</v>
      </c>
      <c r="D156" s="1298">
        <v>57353</v>
      </c>
      <c r="E156" s="1298" t="s">
        <v>297</v>
      </c>
      <c r="F156" s="1299"/>
      <c r="G156" s="1300"/>
      <c r="H156" s="1301"/>
      <c r="I156" s="1302"/>
      <c r="J156" s="1303">
        <v>0</v>
      </c>
      <c r="K156" s="1302"/>
      <c r="L156" s="1303">
        <v>899.24</v>
      </c>
      <c r="M156" s="1302"/>
      <c r="N156" s="1303">
        <v>-815.99</v>
      </c>
      <c r="O156" s="1302"/>
      <c r="P156" s="1303">
        <v>0</v>
      </c>
      <c r="Q156" s="1302"/>
      <c r="R156" s="1303">
        <v>83.25</v>
      </c>
      <c r="S156" s="1302"/>
      <c r="T156" s="1303">
        <v>0</v>
      </c>
      <c r="U156" s="1302"/>
      <c r="V156" s="1303">
        <v>0</v>
      </c>
      <c r="W156" s="1302"/>
      <c r="X156" s="1303">
        <v>83.25</v>
      </c>
      <c r="Y156" s="1302"/>
      <c r="Z156" s="1303">
        <v>0</v>
      </c>
      <c r="AA156" s="1302"/>
      <c r="AB156" s="1303">
        <v>0</v>
      </c>
      <c r="AC156" s="1302"/>
      <c r="AD156" s="1303">
        <v>83.25</v>
      </c>
      <c r="AE156" s="1302"/>
      <c r="AF156" s="1303">
        <v>0</v>
      </c>
      <c r="AG156" s="1302"/>
      <c r="AH156" s="1303">
        <f t="shared" si="18"/>
        <v>333</v>
      </c>
      <c r="AI156" s="1304">
        <f t="shared" si="19"/>
        <v>5.0162163806305351E-5</v>
      </c>
      <c r="AJ156" s="12"/>
    </row>
    <row r="157" spans="2:36" s="407" customFormat="1" outlineLevel="1">
      <c r="B157" s="24" t="s">
        <v>397</v>
      </c>
      <c r="D157" s="1298">
        <v>57357</v>
      </c>
      <c r="E157" s="1298" t="s">
        <v>146</v>
      </c>
      <c r="F157" s="1299"/>
      <c r="G157" s="1300"/>
      <c r="H157" s="1301"/>
      <c r="I157" s="1302"/>
      <c r="J157" s="1303">
        <v>0</v>
      </c>
      <c r="K157" s="1302"/>
      <c r="L157" s="1303">
        <v>0</v>
      </c>
      <c r="M157" s="1302"/>
      <c r="N157" s="1303">
        <v>270</v>
      </c>
      <c r="O157" s="1302"/>
      <c r="P157" s="1303">
        <v>662</v>
      </c>
      <c r="Q157" s="1302"/>
      <c r="R157" s="1303">
        <v>0</v>
      </c>
      <c r="S157" s="1302"/>
      <c r="T157" s="1303">
        <v>0</v>
      </c>
      <c r="U157" s="1302"/>
      <c r="V157" s="1303">
        <v>0</v>
      </c>
      <c r="W157" s="1302"/>
      <c r="X157" s="1303">
        <v>0</v>
      </c>
      <c r="Y157" s="1302"/>
      <c r="Z157" s="1303">
        <v>1801.36</v>
      </c>
      <c r="AA157" s="1302"/>
      <c r="AB157" s="1303">
        <v>0</v>
      </c>
      <c r="AC157" s="1302"/>
      <c r="AD157" s="1303">
        <v>350.23</v>
      </c>
      <c r="AE157" s="1302"/>
      <c r="AF157" s="1303">
        <v>0</v>
      </c>
      <c r="AG157" s="1302"/>
      <c r="AH157" s="1303">
        <f t="shared" si="18"/>
        <v>3083.59</v>
      </c>
      <c r="AI157" s="1304">
        <f t="shared" si="19"/>
        <v>4.6450314321767303E-4</v>
      </c>
      <c r="AJ157" s="12"/>
    </row>
    <row r="158" spans="2:36" s="407" customFormat="1" outlineLevel="1">
      <c r="B158" s="24" t="s">
        <v>397</v>
      </c>
      <c r="D158" s="1298">
        <v>57370</v>
      </c>
      <c r="E158" s="1298" t="s">
        <v>244</v>
      </c>
      <c r="F158" s="1299"/>
      <c r="G158" s="1300"/>
      <c r="H158" s="1301"/>
      <c r="I158" s="1302"/>
      <c r="J158" s="1303">
        <v>16.97</v>
      </c>
      <c r="K158" s="1302"/>
      <c r="L158" s="1303">
        <v>16.97</v>
      </c>
      <c r="M158" s="1302"/>
      <c r="N158" s="1303">
        <v>21.97</v>
      </c>
      <c r="O158" s="1302"/>
      <c r="P158" s="1303">
        <v>21.97</v>
      </c>
      <c r="Q158" s="1302"/>
      <c r="R158" s="1303">
        <v>21.97</v>
      </c>
      <c r="S158" s="1302"/>
      <c r="T158" s="1303">
        <v>21.97</v>
      </c>
      <c r="U158" s="1302"/>
      <c r="V158" s="1303">
        <v>21.97</v>
      </c>
      <c r="W158" s="1302"/>
      <c r="X158" s="1303">
        <v>21.97</v>
      </c>
      <c r="Y158" s="1302"/>
      <c r="Z158" s="1303">
        <v>20.54</v>
      </c>
      <c r="AA158" s="1302"/>
      <c r="AB158" s="1303">
        <v>20.54</v>
      </c>
      <c r="AC158" s="1302"/>
      <c r="AD158" s="1303">
        <v>20.54</v>
      </c>
      <c r="AE158" s="1302"/>
      <c r="AF158" s="1303">
        <v>20.54</v>
      </c>
      <c r="AG158" s="1302"/>
      <c r="AH158" s="1303">
        <f t="shared" si="18"/>
        <v>247.92</v>
      </c>
      <c r="AI158" s="1304">
        <f t="shared" si="19"/>
        <v>3.734595690948715E-5</v>
      </c>
      <c r="AJ158" s="12"/>
    </row>
    <row r="159" spans="2:36" s="8" customFormat="1" ht="5.0999999999999996" customHeight="1" outlineLevel="1">
      <c r="B159" s="16" t="s">
        <v>194</v>
      </c>
      <c r="D159" s="1299"/>
      <c r="E159" s="1299"/>
      <c r="F159" s="1299"/>
      <c r="G159" s="1299"/>
      <c r="H159" s="1301"/>
      <c r="I159" s="1301"/>
      <c r="J159" s="1311"/>
      <c r="K159" s="1309"/>
      <c r="L159" s="1311"/>
      <c r="M159" s="1309"/>
      <c r="N159" s="1311"/>
      <c r="O159" s="1309"/>
      <c r="P159" s="1311"/>
      <c r="Q159" s="1309"/>
      <c r="R159" s="1311"/>
      <c r="S159" s="1309"/>
      <c r="T159" s="1311"/>
      <c r="U159" s="1309"/>
      <c r="V159" s="1311"/>
      <c r="W159" s="1309"/>
      <c r="X159" s="1311"/>
      <c r="Y159" s="1309"/>
      <c r="Z159" s="1311"/>
      <c r="AA159" s="1309"/>
      <c r="AB159" s="1311"/>
      <c r="AC159" s="1309"/>
      <c r="AD159" s="1311"/>
      <c r="AE159" s="1309"/>
      <c r="AF159" s="1311"/>
      <c r="AG159" s="1309"/>
      <c r="AH159" s="1311"/>
      <c r="AI159" s="1306"/>
      <c r="AJ159" s="15"/>
    </row>
    <row r="160" spans="2:36" s="8" customFormat="1" ht="15">
      <c r="B160" s="16" t="s">
        <v>194</v>
      </c>
      <c r="D160" s="1301"/>
      <c r="E160" s="1301"/>
      <c r="F160" s="1299" t="s">
        <v>245</v>
      </c>
      <c r="G160" s="1301"/>
      <c r="H160" s="1301"/>
      <c r="I160" s="1301"/>
      <c r="J160" s="1308">
        <f>SUM(J146:J159)</f>
        <v>13524.26</v>
      </c>
      <c r="K160" s="1309"/>
      <c r="L160" s="1308">
        <f>SUM(L146:L159)</f>
        <v>27186.27</v>
      </c>
      <c r="M160" s="1309"/>
      <c r="N160" s="1308">
        <f>SUM(N146:N159)</f>
        <v>16901.329999999998</v>
      </c>
      <c r="O160" s="1309"/>
      <c r="P160" s="1308">
        <f>SUM(P146:P159)</f>
        <v>14301.27</v>
      </c>
      <c r="Q160" s="1309"/>
      <c r="R160" s="1308">
        <f>SUM(R146:R159)</f>
        <v>16586.78</v>
      </c>
      <c r="S160" s="1309"/>
      <c r="T160" s="1308">
        <f>SUM(T146:T159)</f>
        <v>32357.470000000005</v>
      </c>
      <c r="U160" s="1309"/>
      <c r="V160" s="1308">
        <f>SUM(V146:V159)</f>
        <v>14464.64</v>
      </c>
      <c r="W160" s="1309"/>
      <c r="X160" s="1308">
        <f>SUM(X146:X159)</f>
        <v>16315.769999999999</v>
      </c>
      <c r="Y160" s="1309"/>
      <c r="Z160" s="1308">
        <f>SUM(Z146:Z159)</f>
        <v>25660.81</v>
      </c>
      <c r="AA160" s="1309"/>
      <c r="AB160" s="1308">
        <f>SUM(AB146:AB159)</f>
        <v>22567.319999999996</v>
      </c>
      <c r="AC160" s="1309"/>
      <c r="AD160" s="1308">
        <f>SUM(AD146:AD159)</f>
        <v>15744.61</v>
      </c>
      <c r="AE160" s="1309"/>
      <c r="AF160" s="1308">
        <f>SUM(AF146:AF159)</f>
        <v>16797.120000000003</v>
      </c>
      <c r="AG160" s="1309"/>
      <c r="AH160" s="1308">
        <f>SUM(AH146:AH159)</f>
        <v>232407.65000000002</v>
      </c>
      <c r="AI160" s="1304">
        <f>IF(AH$59=0,0,AH160/AH$59)</f>
        <v>3.5009221048463914E-2</v>
      </c>
      <c r="AJ160" s="15"/>
    </row>
    <row r="161" spans="2:36" s="8" customFormat="1" ht="15" outlineLevel="1">
      <c r="B161" s="16"/>
      <c r="D161" s="1301"/>
      <c r="E161" s="1301"/>
      <c r="F161" s="1301"/>
      <c r="G161" s="1301"/>
      <c r="H161" s="1301"/>
      <c r="I161" s="1301"/>
      <c r="J161" s="1310"/>
      <c r="K161" s="1309"/>
      <c r="L161" s="1310"/>
      <c r="M161" s="1309"/>
      <c r="N161" s="1310"/>
      <c r="O161" s="1309"/>
      <c r="P161" s="1310"/>
      <c r="Q161" s="1309"/>
      <c r="R161" s="1310"/>
      <c r="S161" s="1309"/>
      <c r="T161" s="1310"/>
      <c r="U161" s="1309"/>
      <c r="V161" s="1310"/>
      <c r="W161" s="1309"/>
      <c r="X161" s="1310"/>
      <c r="Y161" s="1309"/>
      <c r="Z161" s="1310"/>
      <c r="AA161" s="1309"/>
      <c r="AB161" s="1310"/>
      <c r="AC161" s="1309"/>
      <c r="AD161" s="1310"/>
      <c r="AE161" s="1309"/>
      <c r="AF161" s="1310"/>
      <c r="AG161" s="1309"/>
      <c r="AH161" s="1310"/>
      <c r="AI161" s="1306"/>
      <c r="AJ161" s="15"/>
    </row>
    <row r="162" spans="2:36" s="8" customFormat="1" ht="15" outlineLevel="1">
      <c r="B162" s="16"/>
      <c r="D162" s="1317"/>
      <c r="E162" s="1317"/>
      <c r="F162" s="1317"/>
      <c r="G162" s="1317"/>
      <c r="H162" s="1317"/>
      <c r="I162" s="1317"/>
      <c r="J162" s="1318"/>
      <c r="K162" s="1319"/>
      <c r="L162" s="1318"/>
      <c r="M162" s="1319"/>
      <c r="N162" s="1318"/>
      <c r="O162" s="1319"/>
      <c r="P162" s="1318"/>
      <c r="Q162" s="1319"/>
      <c r="R162" s="1318"/>
      <c r="S162" s="1319"/>
      <c r="T162" s="1318"/>
      <c r="U162" s="1319"/>
      <c r="V162" s="1318"/>
      <c r="W162" s="1319"/>
      <c r="X162" s="1318"/>
      <c r="Y162" s="1319"/>
      <c r="Z162" s="1318"/>
      <c r="AA162" s="1319"/>
      <c r="AB162" s="1318"/>
      <c r="AC162" s="1319"/>
      <c r="AD162" s="1318"/>
      <c r="AE162" s="1319"/>
      <c r="AF162" s="1318"/>
      <c r="AG162" s="1319"/>
      <c r="AH162" s="1318"/>
      <c r="AI162" s="1317"/>
      <c r="AJ162" s="18"/>
    </row>
    <row r="163" spans="2:36" s="8" customFormat="1" ht="4.5" customHeight="1" outlineLevel="1">
      <c r="B163" s="16"/>
      <c r="D163" s="1312"/>
      <c r="E163" s="1301"/>
      <c r="F163" s="1301"/>
      <c r="G163" s="1301"/>
      <c r="H163" s="1301"/>
      <c r="I163" s="1301"/>
      <c r="J163" s="1311"/>
      <c r="K163" s="1309"/>
      <c r="L163" s="1311"/>
      <c r="M163" s="1309"/>
      <c r="N163" s="1311"/>
      <c r="O163" s="1309"/>
      <c r="P163" s="1311"/>
      <c r="Q163" s="1309"/>
      <c r="R163" s="1311"/>
      <c r="S163" s="1309"/>
      <c r="T163" s="1311"/>
      <c r="U163" s="1309"/>
      <c r="V163" s="1311"/>
      <c r="W163" s="1309"/>
      <c r="X163" s="1311"/>
      <c r="Y163" s="1309"/>
      <c r="Z163" s="1311"/>
      <c r="AA163" s="1309"/>
      <c r="AB163" s="1311"/>
      <c r="AC163" s="1309"/>
      <c r="AD163" s="1311"/>
      <c r="AE163" s="1309"/>
      <c r="AF163" s="1311"/>
      <c r="AG163" s="1309"/>
      <c r="AH163" s="1311"/>
      <c r="AI163" s="1306"/>
      <c r="AJ163" s="15"/>
    </row>
    <row r="164" spans="2:36" s="8" customFormat="1" ht="15">
      <c r="B164" s="16"/>
      <c r="D164" s="1301"/>
      <c r="E164" s="1301"/>
      <c r="F164" s="1301" t="s">
        <v>246</v>
      </c>
      <c r="G164" s="1301"/>
      <c r="H164" s="1301"/>
      <c r="I164" s="1301"/>
      <c r="J164" s="1308">
        <f>SUM(J162:J163)</f>
        <v>0</v>
      </c>
      <c r="K164" s="1309"/>
      <c r="L164" s="1308">
        <f>SUM(L162:L163)</f>
        <v>0</v>
      </c>
      <c r="M164" s="1309"/>
      <c r="N164" s="1308">
        <f>SUM(N162:N163)</f>
        <v>0</v>
      </c>
      <c r="O164" s="1309"/>
      <c r="P164" s="1308">
        <f>SUM(P162:P163)</f>
        <v>0</v>
      </c>
      <c r="Q164" s="1309"/>
      <c r="R164" s="1308">
        <f>SUM(R162:R163)</f>
        <v>0</v>
      </c>
      <c r="S164" s="1309"/>
      <c r="T164" s="1308">
        <f>SUM(T162:T163)</f>
        <v>0</v>
      </c>
      <c r="U164" s="1309"/>
      <c r="V164" s="1308">
        <f>SUM(V162:V163)</f>
        <v>0</v>
      </c>
      <c r="W164" s="1309"/>
      <c r="X164" s="1308">
        <f>SUM(X162:X163)</f>
        <v>0</v>
      </c>
      <c r="Y164" s="1309"/>
      <c r="Z164" s="1308">
        <f>SUM(Z162:Z163)</f>
        <v>0</v>
      </c>
      <c r="AA164" s="1309"/>
      <c r="AB164" s="1308">
        <f>SUM(AB162:AB163)</f>
        <v>0</v>
      </c>
      <c r="AC164" s="1309"/>
      <c r="AD164" s="1308">
        <f>SUM(AD162:AD163)</f>
        <v>0</v>
      </c>
      <c r="AE164" s="1309"/>
      <c r="AF164" s="1308">
        <f>SUM(AF162:AF163)</f>
        <v>0</v>
      </c>
      <c r="AG164" s="1309"/>
      <c r="AH164" s="1308">
        <f>SUM(AH162:AH163)</f>
        <v>0</v>
      </c>
      <c r="AI164" s="1304">
        <f>IF(AH$59=0,0,AH164/AH$59)</f>
        <v>0</v>
      </c>
      <c r="AJ164" s="15"/>
    </row>
    <row r="165" spans="2:36" s="8" customFormat="1" ht="15" outlineLevel="1">
      <c r="B165" s="16"/>
      <c r="D165" s="1301"/>
      <c r="E165" s="1301"/>
      <c r="F165" s="1301"/>
      <c r="G165" s="1301"/>
      <c r="H165" s="1301"/>
      <c r="I165" s="1301"/>
      <c r="J165" s="1310"/>
      <c r="K165" s="1309"/>
      <c r="L165" s="1310"/>
      <c r="M165" s="1309"/>
      <c r="N165" s="1310"/>
      <c r="O165" s="1309"/>
      <c r="P165" s="1310"/>
      <c r="Q165" s="1309"/>
      <c r="R165" s="1310"/>
      <c r="S165" s="1309"/>
      <c r="T165" s="1310"/>
      <c r="U165" s="1309"/>
      <c r="V165" s="1310"/>
      <c r="W165" s="1309"/>
      <c r="X165" s="1310"/>
      <c r="Y165" s="1309"/>
      <c r="Z165" s="1310"/>
      <c r="AA165" s="1309"/>
      <c r="AB165" s="1310"/>
      <c r="AC165" s="1309"/>
      <c r="AD165" s="1310"/>
      <c r="AE165" s="1309"/>
      <c r="AF165" s="1310"/>
      <c r="AG165" s="1309"/>
      <c r="AH165" s="1310"/>
      <c r="AI165" s="1306"/>
      <c r="AJ165" s="15"/>
    </row>
    <row r="166" spans="2:36" s="8" customFormat="1" ht="15" outlineLevel="1">
      <c r="B166" s="16"/>
      <c r="D166" s="1301"/>
      <c r="E166" s="1301"/>
      <c r="F166" s="1301"/>
      <c r="G166" s="1301"/>
      <c r="H166" s="1301"/>
      <c r="I166" s="1301"/>
      <c r="J166" s="1310"/>
      <c r="K166" s="1309"/>
      <c r="L166" s="1310"/>
      <c r="M166" s="1309"/>
      <c r="N166" s="1310"/>
      <c r="O166" s="1309"/>
      <c r="P166" s="1310"/>
      <c r="Q166" s="1309"/>
      <c r="R166" s="1310"/>
      <c r="S166" s="1309"/>
      <c r="T166" s="1310"/>
      <c r="U166" s="1309"/>
      <c r="V166" s="1310"/>
      <c r="W166" s="1309"/>
      <c r="X166" s="1310"/>
      <c r="Y166" s="1309"/>
      <c r="Z166" s="1310"/>
      <c r="AA166" s="1309"/>
      <c r="AB166" s="1310"/>
      <c r="AC166" s="1309"/>
      <c r="AD166" s="1310"/>
      <c r="AE166" s="1309"/>
      <c r="AF166" s="1310"/>
      <c r="AG166" s="1309"/>
      <c r="AH166" s="1310"/>
      <c r="AI166" s="1306"/>
      <c r="AJ166" s="15"/>
    </row>
    <row r="167" spans="2:36" s="407" customFormat="1" outlineLevel="1">
      <c r="B167" s="24" t="s">
        <v>415</v>
      </c>
      <c r="D167" s="1298">
        <v>59340</v>
      </c>
      <c r="E167" s="1298" t="s">
        <v>85</v>
      </c>
      <c r="F167" s="1299"/>
      <c r="G167" s="1300"/>
      <c r="H167" s="1301"/>
      <c r="I167" s="1302"/>
      <c r="J167" s="1303">
        <v>1791.39</v>
      </c>
      <c r="K167" s="1302"/>
      <c r="L167" s="1303">
        <v>1791.39</v>
      </c>
      <c r="M167" s="1302"/>
      <c r="N167" s="1303">
        <v>1791.39</v>
      </c>
      <c r="O167" s="1302"/>
      <c r="P167" s="1303">
        <v>1791.39</v>
      </c>
      <c r="Q167" s="1302"/>
      <c r="R167" s="1303">
        <v>1791.39</v>
      </c>
      <c r="S167" s="1302"/>
      <c r="T167" s="1303">
        <v>1791.39</v>
      </c>
      <c r="U167" s="1302"/>
      <c r="V167" s="1303">
        <v>1791.39</v>
      </c>
      <c r="W167" s="1302"/>
      <c r="X167" s="1303">
        <v>1791.39</v>
      </c>
      <c r="Y167" s="1302"/>
      <c r="Z167" s="1303">
        <v>2506.39</v>
      </c>
      <c r="AA167" s="1302"/>
      <c r="AB167" s="1303">
        <v>2506.39</v>
      </c>
      <c r="AC167" s="1302"/>
      <c r="AD167" s="1303">
        <v>2506.39</v>
      </c>
      <c r="AE167" s="1302"/>
      <c r="AF167" s="1303">
        <v>2699.53</v>
      </c>
      <c r="AG167" s="1302"/>
      <c r="AH167" s="1303">
        <f t="shared" ref="AH167:AH169" si="20">AF167+AD167+AB167+Z167+X167+V167+T167+R167+P167+N167+L167+J167</f>
        <v>24549.819999999996</v>
      </c>
      <c r="AI167" s="1304">
        <f t="shared" ref="AI167:AI169" si="21">IF(AH$59=0,0,AH167/AH$59)</f>
        <v>3.69811439115709E-3</v>
      </c>
      <c r="AJ167" s="12"/>
    </row>
    <row r="168" spans="2:36" s="407" customFormat="1" outlineLevel="1">
      <c r="B168" s="24" t="s">
        <v>397</v>
      </c>
      <c r="D168" s="1298">
        <v>59341</v>
      </c>
      <c r="E168" s="1298" t="s">
        <v>247</v>
      </c>
      <c r="F168" s="1299"/>
      <c r="G168" s="1300"/>
      <c r="H168" s="1301"/>
      <c r="I168" s="1302"/>
      <c r="J168" s="1303">
        <v>0</v>
      </c>
      <c r="K168" s="1302"/>
      <c r="L168" s="1303">
        <v>-1250</v>
      </c>
      <c r="M168" s="1302"/>
      <c r="N168" s="1303">
        <v>0</v>
      </c>
      <c r="O168" s="1302"/>
      <c r="P168" s="1303">
        <v>17620</v>
      </c>
      <c r="Q168" s="1302"/>
      <c r="R168" s="1303">
        <v>0</v>
      </c>
      <c r="S168" s="1302"/>
      <c r="T168" s="1303">
        <v>0</v>
      </c>
      <c r="U168" s="1302"/>
      <c r="V168" s="1303">
        <v>500</v>
      </c>
      <c r="W168" s="1302"/>
      <c r="X168" s="1303">
        <v>0</v>
      </c>
      <c r="Y168" s="1302"/>
      <c r="Z168" s="1303">
        <v>0</v>
      </c>
      <c r="AA168" s="1302"/>
      <c r="AB168" s="1303">
        <v>0</v>
      </c>
      <c r="AC168" s="1302"/>
      <c r="AD168" s="1303">
        <v>0</v>
      </c>
      <c r="AE168" s="1302"/>
      <c r="AF168" s="1303">
        <v>0</v>
      </c>
      <c r="AG168" s="1302"/>
      <c r="AH168" s="1303">
        <f t="shared" si="20"/>
        <v>16870</v>
      </c>
      <c r="AI168" s="1304">
        <f t="shared" si="21"/>
        <v>2.5412483585957094E-3</v>
      </c>
      <c r="AJ168" s="12"/>
    </row>
    <row r="169" spans="2:36" s="407" customFormat="1" outlineLevel="1">
      <c r="B169" s="24" t="s">
        <v>397</v>
      </c>
      <c r="D169" s="1298">
        <v>59500</v>
      </c>
      <c r="E169" s="1298" t="s">
        <v>252</v>
      </c>
      <c r="F169" s="1299"/>
      <c r="G169" s="1300"/>
      <c r="H169" s="1301"/>
      <c r="I169" s="1302"/>
      <c r="J169" s="1303">
        <v>-92.17</v>
      </c>
      <c r="K169" s="1302"/>
      <c r="L169" s="1303">
        <v>262.2</v>
      </c>
      <c r="M169" s="1302"/>
      <c r="N169" s="1303">
        <v>249.85</v>
      </c>
      <c r="O169" s="1302"/>
      <c r="P169" s="1303">
        <v>664.71</v>
      </c>
      <c r="Q169" s="1302"/>
      <c r="R169" s="1303">
        <v>166.54</v>
      </c>
      <c r="S169" s="1302"/>
      <c r="T169" s="1303">
        <v>255.84</v>
      </c>
      <c r="U169" s="1302"/>
      <c r="V169" s="1303">
        <v>544.74</v>
      </c>
      <c r="W169" s="1302"/>
      <c r="X169" s="1303">
        <v>298.85000000000002</v>
      </c>
      <c r="Y169" s="1302"/>
      <c r="Z169" s="1303">
        <v>296.07</v>
      </c>
      <c r="AA169" s="1302"/>
      <c r="AB169" s="1303">
        <v>122.25</v>
      </c>
      <c r="AC169" s="1302"/>
      <c r="AD169" s="1303">
        <v>102.92</v>
      </c>
      <c r="AE169" s="1302"/>
      <c r="AF169" s="1303">
        <v>220.58</v>
      </c>
      <c r="AG169" s="1302"/>
      <c r="AH169" s="1303">
        <f t="shared" si="20"/>
        <v>3092.3799999999997</v>
      </c>
      <c r="AI169" s="1304">
        <f t="shared" si="21"/>
        <v>4.6582724357760517E-4</v>
      </c>
      <c r="AJ169" s="12"/>
    </row>
    <row r="170" spans="2:36" s="8" customFormat="1" ht="5.0999999999999996" customHeight="1" outlineLevel="1">
      <c r="B170" s="16" t="s">
        <v>194</v>
      </c>
      <c r="D170" s="1299"/>
      <c r="E170" s="1299"/>
      <c r="F170" s="1299"/>
      <c r="G170" s="1299"/>
      <c r="H170" s="1301"/>
      <c r="I170" s="1301"/>
      <c r="J170" s="1311"/>
      <c r="K170" s="1309"/>
      <c r="L170" s="1311"/>
      <c r="M170" s="1309"/>
      <c r="N170" s="1311"/>
      <c r="O170" s="1309"/>
      <c r="P170" s="1311"/>
      <c r="Q170" s="1309"/>
      <c r="R170" s="1311"/>
      <c r="S170" s="1309"/>
      <c r="T170" s="1311"/>
      <c r="U170" s="1309"/>
      <c r="V170" s="1311"/>
      <c r="W170" s="1309"/>
      <c r="X170" s="1311"/>
      <c r="Y170" s="1309"/>
      <c r="Z170" s="1311"/>
      <c r="AA170" s="1309"/>
      <c r="AB170" s="1311"/>
      <c r="AC170" s="1309"/>
      <c r="AD170" s="1311"/>
      <c r="AE170" s="1309"/>
      <c r="AF170" s="1311"/>
      <c r="AG170" s="1309"/>
      <c r="AH170" s="1311"/>
      <c r="AI170" s="1306"/>
      <c r="AJ170" s="15"/>
    </row>
    <row r="171" spans="2:36" s="8" customFormat="1" ht="15">
      <c r="D171" s="1301"/>
      <c r="E171" s="1301"/>
      <c r="F171" s="1299" t="s">
        <v>253</v>
      </c>
      <c r="G171" s="1301"/>
      <c r="H171" s="1301"/>
      <c r="I171" s="1301"/>
      <c r="J171" s="1308">
        <f>SUM(J166:J170)</f>
        <v>1699.22</v>
      </c>
      <c r="K171" s="1309"/>
      <c r="L171" s="1308">
        <f>SUM(L166:L170)</f>
        <v>803.59000000000015</v>
      </c>
      <c r="M171" s="1309"/>
      <c r="N171" s="1308">
        <f>SUM(N166:N170)</f>
        <v>2041.24</v>
      </c>
      <c r="O171" s="1309"/>
      <c r="P171" s="1308">
        <f>SUM(P166:P170)</f>
        <v>20076.099999999999</v>
      </c>
      <c r="Q171" s="1309"/>
      <c r="R171" s="1308">
        <f>SUM(R166:R170)</f>
        <v>1957.93</v>
      </c>
      <c r="S171" s="1309"/>
      <c r="T171" s="1308">
        <f>SUM(T166:T170)</f>
        <v>2047.23</v>
      </c>
      <c r="U171" s="1309"/>
      <c r="V171" s="1308">
        <f>SUM(V166:V170)</f>
        <v>2836.13</v>
      </c>
      <c r="W171" s="1309"/>
      <c r="X171" s="1308">
        <f>SUM(X166:X170)</f>
        <v>2090.2400000000002</v>
      </c>
      <c r="Y171" s="1309"/>
      <c r="Z171" s="1308">
        <f>SUM(Z166:Z170)</f>
        <v>2802.46</v>
      </c>
      <c r="AA171" s="1309"/>
      <c r="AB171" s="1308">
        <f>SUM(AB166:AB170)</f>
        <v>2628.64</v>
      </c>
      <c r="AC171" s="1309"/>
      <c r="AD171" s="1308">
        <f>SUM(AD166:AD170)</f>
        <v>2609.31</v>
      </c>
      <c r="AE171" s="1309"/>
      <c r="AF171" s="1308">
        <f>SUM(AF166:AF170)</f>
        <v>2920.11</v>
      </c>
      <c r="AG171" s="1309"/>
      <c r="AH171" s="1308">
        <f>SUM(AH166:AH170)</f>
        <v>44512.19999999999</v>
      </c>
      <c r="AI171" s="1304">
        <f>IF(AH$59=0,0,AH171/AH$59)</f>
        <v>6.7051899933304035E-3</v>
      </c>
      <c r="AJ171" s="15"/>
    </row>
    <row r="172" spans="2:36" s="8" customFormat="1" ht="15" outlineLevel="1">
      <c r="B172" s="16" t="s">
        <v>194</v>
      </c>
      <c r="D172" s="1301"/>
      <c r="E172" s="1301"/>
      <c r="F172" s="1301"/>
      <c r="G172" s="1301"/>
      <c r="H172" s="1301"/>
      <c r="I172" s="1301"/>
      <c r="J172" s="1310"/>
      <c r="K172" s="1309"/>
      <c r="L172" s="1310"/>
      <c r="M172" s="1309"/>
      <c r="N172" s="1310"/>
      <c r="O172" s="1309"/>
      <c r="P172" s="1310"/>
      <c r="Q172" s="1309"/>
      <c r="R172" s="1310"/>
      <c r="S172" s="1309"/>
      <c r="T172" s="1310"/>
      <c r="U172" s="1309"/>
      <c r="V172" s="1310"/>
      <c r="W172" s="1309"/>
      <c r="X172" s="1310"/>
      <c r="Y172" s="1309"/>
      <c r="Z172" s="1310"/>
      <c r="AA172" s="1309"/>
      <c r="AB172" s="1310"/>
      <c r="AC172" s="1309"/>
      <c r="AD172" s="1310"/>
      <c r="AE172" s="1309"/>
      <c r="AF172" s="1310"/>
      <c r="AG172" s="1309"/>
      <c r="AH172" s="1310"/>
      <c r="AI172" s="1306"/>
      <c r="AJ172" s="15"/>
    </row>
    <row r="173" spans="2:36" s="407" customFormat="1" outlineLevel="1">
      <c r="B173" s="24" t="s">
        <v>416</v>
      </c>
      <c r="D173" s="1298"/>
      <c r="E173" s="1298"/>
      <c r="F173" s="1299"/>
      <c r="G173" s="1300"/>
      <c r="H173" s="1301"/>
      <c r="I173" s="1302"/>
      <c r="J173" s="1303"/>
      <c r="K173" s="1302"/>
      <c r="L173" s="1303"/>
      <c r="M173" s="1302"/>
      <c r="N173" s="1303"/>
      <c r="O173" s="1302"/>
      <c r="P173" s="1303"/>
      <c r="Q173" s="1302"/>
      <c r="R173" s="1303"/>
      <c r="S173" s="1302"/>
      <c r="T173" s="1303"/>
      <c r="U173" s="1302"/>
      <c r="V173" s="1303"/>
      <c r="W173" s="1302"/>
      <c r="X173" s="1303"/>
      <c r="Y173" s="1302"/>
      <c r="Z173" s="1303"/>
      <c r="AA173" s="1302"/>
      <c r="AB173" s="1303"/>
      <c r="AC173" s="1302"/>
      <c r="AD173" s="1303"/>
      <c r="AE173" s="1302"/>
      <c r="AF173" s="1303"/>
      <c r="AG173" s="1302"/>
      <c r="AH173" s="1303">
        <f>AF173+AD173+AB173+Z173+X173+V173+T173+R173+P173+N173+L173+J173</f>
        <v>0</v>
      </c>
      <c r="AI173" s="1304">
        <f>IF(AH$59=0,0,AH173/AH$59)</f>
        <v>0</v>
      </c>
      <c r="AJ173" s="12"/>
    </row>
    <row r="174" spans="2:36" s="8" customFormat="1" ht="5.0999999999999996" customHeight="1" outlineLevel="1">
      <c r="B174" s="2" t="s">
        <v>194</v>
      </c>
      <c r="D174" s="1299"/>
      <c r="E174" s="1299"/>
      <c r="F174" s="1299"/>
      <c r="G174" s="1299"/>
      <c r="H174" s="1301"/>
      <c r="I174" s="1301"/>
      <c r="J174" s="1311"/>
      <c r="K174" s="1309"/>
      <c r="L174" s="1311"/>
      <c r="M174" s="1309"/>
      <c r="N174" s="1311"/>
      <c r="O174" s="1309"/>
      <c r="P174" s="1311"/>
      <c r="Q174" s="1309"/>
      <c r="R174" s="1311"/>
      <c r="S174" s="1309"/>
      <c r="T174" s="1311"/>
      <c r="U174" s="1309"/>
      <c r="V174" s="1311"/>
      <c r="W174" s="1309"/>
      <c r="X174" s="1311"/>
      <c r="Y174" s="1309"/>
      <c r="Z174" s="1311"/>
      <c r="AA174" s="1309"/>
      <c r="AB174" s="1311"/>
      <c r="AC174" s="1309"/>
      <c r="AD174" s="1311"/>
      <c r="AE174" s="1309"/>
      <c r="AF174" s="1311"/>
      <c r="AG174" s="1309"/>
      <c r="AH174" s="1311"/>
      <c r="AI174" s="1306"/>
      <c r="AJ174" s="15"/>
    </row>
    <row r="175" spans="2:36" s="8" customFormat="1" ht="15">
      <c r="B175" s="2" t="s">
        <v>194</v>
      </c>
      <c r="D175" s="1301"/>
      <c r="E175" s="1301"/>
      <c r="F175" s="1298" t="s">
        <v>255</v>
      </c>
      <c r="G175" s="1301"/>
      <c r="H175" s="1301"/>
      <c r="I175" s="1301"/>
      <c r="J175" s="1308">
        <f>SUM(J173:J174)</f>
        <v>0</v>
      </c>
      <c r="K175" s="1309"/>
      <c r="L175" s="1308">
        <f>SUM(L173:L174)</f>
        <v>0</v>
      </c>
      <c r="M175" s="1309"/>
      <c r="N175" s="1308">
        <f>SUM(N173:N174)</f>
        <v>0</v>
      </c>
      <c r="O175" s="1309"/>
      <c r="P175" s="1308">
        <f>SUM(P173:P174)</f>
        <v>0</v>
      </c>
      <c r="Q175" s="1309"/>
      <c r="R175" s="1308">
        <f>SUM(R173:R174)</f>
        <v>0</v>
      </c>
      <c r="S175" s="1309"/>
      <c r="T175" s="1308">
        <f>SUM(T173:T174)</f>
        <v>0</v>
      </c>
      <c r="U175" s="1309"/>
      <c r="V175" s="1308">
        <f>SUM(V173:V174)</f>
        <v>0</v>
      </c>
      <c r="W175" s="1309"/>
      <c r="X175" s="1308">
        <f>SUM(X173:X174)</f>
        <v>0</v>
      </c>
      <c r="Y175" s="1309"/>
      <c r="Z175" s="1308">
        <f>SUM(Z173:Z174)</f>
        <v>0</v>
      </c>
      <c r="AA175" s="1309"/>
      <c r="AB175" s="1308">
        <f>SUM(AB173:AB174)</f>
        <v>0</v>
      </c>
      <c r="AC175" s="1309"/>
      <c r="AD175" s="1308">
        <f>SUM(AD173:AD174)</f>
        <v>0</v>
      </c>
      <c r="AE175" s="1309"/>
      <c r="AF175" s="1308">
        <f>SUM(AF173:AF174)</f>
        <v>0</v>
      </c>
      <c r="AG175" s="1309"/>
      <c r="AH175" s="1308">
        <f>SUM(AH173:AH174)</f>
        <v>0</v>
      </c>
      <c r="AI175" s="1304">
        <f>IF(AH$59=0,0,AH175/AH$59)</f>
        <v>0</v>
      </c>
      <c r="AJ175" s="15"/>
    </row>
    <row r="176" spans="2:36" s="8" customFormat="1" ht="7.5" customHeight="1">
      <c r="B176" s="2"/>
      <c r="D176" s="1301"/>
      <c r="E176" s="1301"/>
      <c r="F176" s="1301"/>
      <c r="G176" s="1301"/>
      <c r="H176" s="1301"/>
      <c r="I176" s="1301"/>
      <c r="J176" s="1310"/>
      <c r="K176" s="1309"/>
      <c r="L176" s="1310"/>
      <c r="M176" s="1309"/>
      <c r="N176" s="1310"/>
      <c r="O176" s="1309"/>
      <c r="P176" s="1310"/>
      <c r="Q176" s="1309"/>
      <c r="R176" s="1310"/>
      <c r="S176" s="1309"/>
      <c r="T176" s="1310"/>
      <c r="U176" s="1309"/>
      <c r="V176" s="1310"/>
      <c r="W176" s="1309"/>
      <c r="X176" s="1310"/>
      <c r="Y176" s="1309"/>
      <c r="Z176" s="1310"/>
      <c r="AA176" s="1309"/>
      <c r="AB176" s="1310"/>
      <c r="AC176" s="1309"/>
      <c r="AD176" s="1310"/>
      <c r="AE176" s="1309"/>
      <c r="AF176" s="1310"/>
      <c r="AG176" s="1309"/>
      <c r="AH176" s="1310"/>
      <c r="AI176" s="1306"/>
      <c r="AJ176" s="15"/>
    </row>
    <row r="177" spans="2:36" s="8" customFormat="1" ht="15">
      <c r="B177" s="2"/>
      <c r="D177" s="1301"/>
      <c r="E177" s="1316" t="s">
        <v>256</v>
      </c>
      <c r="F177" s="1301"/>
      <c r="G177" s="1301"/>
      <c r="H177" s="1301"/>
      <c r="I177" s="1301"/>
      <c r="J177" s="1314">
        <f>+J106+J110+J133+J139+J144+J160+J171+J164+J175</f>
        <v>223975.23</v>
      </c>
      <c r="K177" s="1309"/>
      <c r="L177" s="1314">
        <f>+L106+L110+L133+L139+L144+L160+L171+L164+L175</f>
        <v>206480.24</v>
      </c>
      <c r="M177" s="1309"/>
      <c r="N177" s="1314">
        <f>+N106+N110+N133+N139+N144+N160+N171+N164+N175</f>
        <v>224215.57999999996</v>
      </c>
      <c r="O177" s="1309"/>
      <c r="P177" s="1314">
        <f>+P106+P110+P133+P139+P144+P160+P171+P164+P175</f>
        <v>221698.2</v>
      </c>
      <c r="Q177" s="1309"/>
      <c r="R177" s="1314">
        <f>+R106+R110+R133+R139+R144+R160+R171+R164+R175</f>
        <v>199626.09999999998</v>
      </c>
      <c r="S177" s="1309"/>
      <c r="T177" s="1314">
        <f>+T106+T110+T133+T139+T144+T160+T171+T164+T175</f>
        <v>232822.67000000004</v>
      </c>
      <c r="U177" s="1309"/>
      <c r="V177" s="1314">
        <f>+V106+V110+V133+V139+V144+V160+V171+V164+V175</f>
        <v>207053.52999999997</v>
      </c>
      <c r="W177" s="1309"/>
      <c r="X177" s="1314">
        <f>+X106+X110+X133+X139+X144+X160+X171+X164+X175</f>
        <v>200092.72</v>
      </c>
      <c r="Y177" s="1309"/>
      <c r="Z177" s="1314">
        <f>+Z106+Z110+Z133+Z139+Z144+Z160+Z171+Z164+Z175</f>
        <v>233948.75999999998</v>
      </c>
      <c r="AA177" s="1309"/>
      <c r="AB177" s="1314">
        <f>+AB106+AB110+AB133+AB139+AB144+AB160+AB171+AB164+AB175</f>
        <v>183948.48</v>
      </c>
      <c r="AC177" s="1309"/>
      <c r="AD177" s="1314">
        <f>+AD106+AD110+AD133+AD139+AD144+AD160+AD171+AD164+AD175</f>
        <v>226124.64</v>
      </c>
      <c r="AE177" s="1309"/>
      <c r="AF177" s="1314">
        <f>+AF106+AF110+AF133+AF139+AF144+AF160+AF171+AF164+AF175</f>
        <v>253308.78999999998</v>
      </c>
      <c r="AG177" s="1309"/>
      <c r="AH177" s="1314">
        <f>+AH106+AH110+AH133+AH139+AH144+AH160+AH171+AH164+AH175</f>
        <v>2613294.94</v>
      </c>
      <c r="AI177" s="1304">
        <f>IF(AH$59=0,0,AH177/AH$59)</f>
        <v>0.39365924580921591</v>
      </c>
      <c r="AJ177" s="15"/>
    </row>
    <row r="178" spans="2:36" s="8" customFormat="1" ht="7.5" customHeight="1">
      <c r="B178" s="2"/>
      <c r="D178" s="1301"/>
      <c r="E178" s="1301"/>
      <c r="F178" s="1301"/>
      <c r="G178" s="1301"/>
      <c r="H178" s="1301"/>
      <c r="I178" s="1301"/>
      <c r="J178" s="1310"/>
      <c r="K178" s="1309"/>
      <c r="L178" s="1310"/>
      <c r="M178" s="1309"/>
      <c r="N178" s="1310"/>
      <c r="O178" s="1309"/>
      <c r="P178" s="1310"/>
      <c r="Q178" s="1309"/>
      <c r="R178" s="1310"/>
      <c r="S178" s="1309"/>
      <c r="T178" s="1310"/>
      <c r="U178" s="1309"/>
      <c r="V178" s="1310"/>
      <c r="W178" s="1309"/>
      <c r="X178" s="1310"/>
      <c r="Y178" s="1309"/>
      <c r="Z178" s="1310"/>
      <c r="AA178" s="1309"/>
      <c r="AB178" s="1310"/>
      <c r="AC178" s="1309"/>
      <c r="AD178" s="1310"/>
      <c r="AE178" s="1309"/>
      <c r="AF178" s="1310"/>
      <c r="AG178" s="1309"/>
      <c r="AH178" s="1310"/>
      <c r="AI178" s="1306"/>
      <c r="AJ178" s="15"/>
    </row>
    <row r="179" spans="2:36" s="8" customFormat="1" ht="15">
      <c r="B179" s="16" t="s">
        <v>194</v>
      </c>
      <c r="D179" s="1301"/>
      <c r="E179" s="1316" t="s">
        <v>257</v>
      </c>
      <c r="F179" s="1301"/>
      <c r="G179" s="1301"/>
      <c r="H179" s="1301"/>
      <c r="I179" s="1301"/>
      <c r="J179" s="1314">
        <f>J91-J177</f>
        <v>218993.77999999988</v>
      </c>
      <c r="K179" s="1309"/>
      <c r="L179" s="1314">
        <f>L91-L177</f>
        <v>200069.67999999993</v>
      </c>
      <c r="M179" s="1309"/>
      <c r="N179" s="1314">
        <f>N91-N177</f>
        <v>145124.04000000004</v>
      </c>
      <c r="O179" s="1309"/>
      <c r="P179" s="1314">
        <f>P91-P177</f>
        <v>162032.25</v>
      </c>
      <c r="Q179" s="1309"/>
      <c r="R179" s="1314">
        <f>R91-R177</f>
        <v>269034.82999999996</v>
      </c>
      <c r="S179" s="1309"/>
      <c r="T179" s="1314">
        <f>T91-T177</f>
        <v>151896.44999999995</v>
      </c>
      <c r="U179" s="1309"/>
      <c r="V179" s="1314">
        <f>V91-V177</f>
        <v>289971.5799999999</v>
      </c>
      <c r="W179" s="1309"/>
      <c r="X179" s="1314">
        <f>X91-X177</f>
        <v>240921.62999999998</v>
      </c>
      <c r="Y179" s="1309"/>
      <c r="Z179" s="1314">
        <f>Z91-Z177</f>
        <v>235978.26000000004</v>
      </c>
      <c r="AA179" s="1309"/>
      <c r="AB179" s="1314">
        <f>AB91-AB177</f>
        <v>179870.78</v>
      </c>
      <c r="AC179" s="1309"/>
      <c r="AD179" s="1314">
        <f>AD91-AD177</f>
        <v>256498.43</v>
      </c>
      <c r="AE179" s="1309"/>
      <c r="AF179" s="1314">
        <f>AF91-AF177</f>
        <v>196915.59000000003</v>
      </c>
      <c r="AG179" s="1309"/>
      <c r="AH179" s="1314">
        <f>AH91-AH177</f>
        <v>2547307.3000000003</v>
      </c>
      <c r="AI179" s="1304">
        <f>IF(AH$59=0,0,AH179/AH$59)</f>
        <v>0.38371905719999222</v>
      </c>
      <c r="AJ179" s="15"/>
    </row>
    <row r="180" spans="2:36" s="8" customFormat="1" ht="7.5" customHeight="1">
      <c r="B180" s="16" t="s">
        <v>194</v>
      </c>
      <c r="D180" s="1301"/>
      <c r="E180" s="1301"/>
      <c r="F180" s="1301"/>
      <c r="G180" s="1301"/>
      <c r="H180" s="1301"/>
      <c r="I180" s="1301"/>
      <c r="J180" s="1310"/>
      <c r="K180" s="1309"/>
      <c r="L180" s="1310"/>
      <c r="M180" s="1309"/>
      <c r="N180" s="1310"/>
      <c r="O180" s="1309"/>
      <c r="P180" s="1310"/>
      <c r="Q180" s="1309"/>
      <c r="R180" s="1310"/>
      <c r="S180" s="1309"/>
      <c r="T180" s="1310"/>
      <c r="U180" s="1309"/>
      <c r="V180" s="1310"/>
      <c r="W180" s="1309"/>
      <c r="X180" s="1310"/>
      <c r="Y180" s="1309"/>
      <c r="Z180" s="1310"/>
      <c r="AA180" s="1309"/>
      <c r="AB180" s="1310"/>
      <c r="AC180" s="1309"/>
      <c r="AD180" s="1310"/>
      <c r="AE180" s="1309"/>
      <c r="AF180" s="1310"/>
      <c r="AG180" s="1309"/>
      <c r="AH180" s="1310"/>
      <c r="AI180" s="1306"/>
      <c r="AJ180" s="15"/>
    </row>
    <row r="181" spans="2:36" s="8" customFormat="1" ht="15" outlineLevel="1">
      <c r="B181" s="16" t="s">
        <v>194</v>
      </c>
      <c r="D181" s="1301"/>
      <c r="E181" s="1301"/>
      <c r="F181" s="1301"/>
      <c r="G181" s="1301"/>
      <c r="H181" s="1301"/>
      <c r="I181" s="1301"/>
      <c r="J181" s="1310"/>
      <c r="K181" s="1309"/>
      <c r="L181" s="1310"/>
      <c r="M181" s="1309"/>
      <c r="N181" s="1310"/>
      <c r="O181" s="1309"/>
      <c r="P181" s="1310"/>
      <c r="Q181" s="1309"/>
      <c r="R181" s="1310"/>
      <c r="S181" s="1309"/>
      <c r="T181" s="1310"/>
      <c r="U181" s="1309"/>
      <c r="V181" s="1310"/>
      <c r="W181" s="1309"/>
      <c r="X181" s="1310"/>
      <c r="Y181" s="1309"/>
      <c r="Z181" s="1310"/>
      <c r="AA181" s="1309"/>
      <c r="AB181" s="1310"/>
      <c r="AC181" s="1309"/>
      <c r="AD181" s="1310"/>
      <c r="AE181" s="1309"/>
      <c r="AF181" s="1310"/>
      <c r="AG181" s="1309"/>
      <c r="AH181" s="1310"/>
      <c r="AI181" s="1306"/>
      <c r="AJ181" s="15"/>
    </row>
    <row r="182" spans="2:36" s="407" customFormat="1" outlineLevel="1">
      <c r="B182" s="24" t="s">
        <v>417</v>
      </c>
      <c r="D182" s="1298"/>
      <c r="E182" s="1298"/>
      <c r="F182" s="1299"/>
      <c r="G182" s="1300"/>
      <c r="H182" s="1301"/>
      <c r="I182" s="1302"/>
      <c r="J182" s="1303"/>
      <c r="K182" s="1302"/>
      <c r="L182" s="1303"/>
      <c r="M182" s="1302"/>
      <c r="N182" s="1303"/>
      <c r="O182" s="1302"/>
      <c r="P182" s="1303"/>
      <c r="Q182" s="1302"/>
      <c r="R182" s="1303"/>
      <c r="S182" s="1302"/>
      <c r="T182" s="1303"/>
      <c r="U182" s="1302"/>
      <c r="V182" s="1303"/>
      <c r="W182" s="1302"/>
      <c r="X182" s="1303"/>
      <c r="Y182" s="1302"/>
      <c r="Z182" s="1303"/>
      <c r="AA182" s="1302"/>
      <c r="AB182" s="1303"/>
      <c r="AC182" s="1302"/>
      <c r="AD182" s="1303"/>
      <c r="AE182" s="1302"/>
      <c r="AF182" s="1303"/>
      <c r="AG182" s="1302"/>
      <c r="AH182" s="1303">
        <f>AF182+AD182+AB182+Z182+X182+V182+T182+R182+P182+N182+L182+J182</f>
        <v>0</v>
      </c>
      <c r="AI182" s="1304">
        <f>IF(AH$59=0,0,AH182/AH$59)</f>
        <v>0</v>
      </c>
      <c r="AJ182" s="12"/>
    </row>
    <row r="183" spans="2:36" s="8" customFormat="1" ht="5.0999999999999996" customHeight="1" outlineLevel="1">
      <c r="B183" s="2" t="s">
        <v>194</v>
      </c>
      <c r="D183" s="1299"/>
      <c r="E183" s="1299"/>
      <c r="F183" s="1299"/>
      <c r="G183" s="1299"/>
      <c r="H183" s="1301"/>
      <c r="I183" s="1301"/>
      <c r="J183" s="1311"/>
      <c r="K183" s="1309"/>
      <c r="L183" s="1311"/>
      <c r="M183" s="1309"/>
      <c r="N183" s="1311"/>
      <c r="O183" s="1309"/>
      <c r="P183" s="1311"/>
      <c r="Q183" s="1309"/>
      <c r="R183" s="1311"/>
      <c r="S183" s="1309"/>
      <c r="T183" s="1311"/>
      <c r="U183" s="1309"/>
      <c r="V183" s="1311"/>
      <c r="W183" s="1309"/>
      <c r="X183" s="1311"/>
      <c r="Y183" s="1309"/>
      <c r="Z183" s="1311"/>
      <c r="AA183" s="1309"/>
      <c r="AB183" s="1311"/>
      <c r="AC183" s="1309"/>
      <c r="AD183" s="1311"/>
      <c r="AE183" s="1309"/>
      <c r="AF183" s="1311"/>
      <c r="AG183" s="1309"/>
      <c r="AH183" s="1311"/>
      <c r="AI183" s="1306"/>
      <c r="AJ183" s="15"/>
    </row>
    <row r="184" spans="2:36" s="8" customFormat="1" ht="15">
      <c r="B184" s="2" t="s">
        <v>194</v>
      </c>
      <c r="D184" s="1301"/>
      <c r="E184" s="1301"/>
      <c r="F184" s="1299" t="s">
        <v>259</v>
      </c>
      <c r="G184" s="1301"/>
      <c r="H184" s="1301"/>
      <c r="I184" s="1301"/>
      <c r="J184" s="1308">
        <f>SUM(J181:J183)</f>
        <v>0</v>
      </c>
      <c r="K184" s="1309"/>
      <c r="L184" s="1308">
        <f>SUM(L181:L183)</f>
        <v>0</v>
      </c>
      <c r="M184" s="1309"/>
      <c r="N184" s="1308">
        <f>SUM(N181:N183)</f>
        <v>0</v>
      </c>
      <c r="O184" s="1309"/>
      <c r="P184" s="1308">
        <f>SUM(P181:P183)</f>
        <v>0</v>
      </c>
      <c r="Q184" s="1309"/>
      <c r="R184" s="1308">
        <f>SUM(R181:R183)</f>
        <v>0</v>
      </c>
      <c r="S184" s="1309"/>
      <c r="T184" s="1308">
        <f>SUM(T181:T183)</f>
        <v>0</v>
      </c>
      <c r="U184" s="1309"/>
      <c r="V184" s="1308">
        <f>SUM(V181:V183)</f>
        <v>0</v>
      </c>
      <c r="W184" s="1309"/>
      <c r="X184" s="1308">
        <f>SUM(X181:X183)</f>
        <v>0</v>
      </c>
      <c r="Y184" s="1309"/>
      <c r="Z184" s="1308">
        <f>SUM(Z181:Z183)</f>
        <v>0</v>
      </c>
      <c r="AA184" s="1309"/>
      <c r="AB184" s="1308">
        <f>SUM(AB181:AB183)</f>
        <v>0</v>
      </c>
      <c r="AC184" s="1309"/>
      <c r="AD184" s="1308">
        <f>SUM(AD181:AD183)</f>
        <v>0</v>
      </c>
      <c r="AE184" s="1309"/>
      <c r="AF184" s="1308">
        <f>SUM(AF181:AF183)</f>
        <v>0</v>
      </c>
      <c r="AG184" s="1309"/>
      <c r="AH184" s="1308">
        <f>SUM(AH181:AH183)</f>
        <v>0</v>
      </c>
      <c r="AI184" s="1304">
        <f>IF(AH$59=0,0,AH184/AH$59)</f>
        <v>0</v>
      </c>
      <c r="AJ184" s="15"/>
    </row>
    <row r="185" spans="2:36" s="8" customFormat="1" ht="15" outlineLevel="1">
      <c r="B185" s="2"/>
      <c r="D185" s="1301"/>
      <c r="E185" s="1301"/>
      <c r="F185" s="1301"/>
      <c r="G185" s="1301"/>
      <c r="H185" s="1301"/>
      <c r="I185" s="1301"/>
      <c r="J185" s="1310"/>
      <c r="K185" s="1309"/>
      <c r="L185" s="1310"/>
      <c r="M185" s="1309"/>
      <c r="N185" s="1310"/>
      <c r="O185" s="1309"/>
      <c r="P185" s="1310"/>
      <c r="Q185" s="1309"/>
      <c r="R185" s="1310"/>
      <c r="S185" s="1309"/>
      <c r="T185" s="1310"/>
      <c r="U185" s="1309"/>
      <c r="V185" s="1310"/>
      <c r="W185" s="1309"/>
      <c r="X185" s="1310"/>
      <c r="Y185" s="1309"/>
      <c r="Z185" s="1310"/>
      <c r="AA185" s="1309"/>
      <c r="AB185" s="1310"/>
      <c r="AC185" s="1309"/>
      <c r="AD185" s="1310"/>
      <c r="AE185" s="1309"/>
      <c r="AF185" s="1310"/>
      <c r="AG185" s="1309"/>
      <c r="AH185" s="1310"/>
      <c r="AI185" s="1306"/>
      <c r="AJ185" s="15"/>
    </row>
    <row r="186" spans="2:36" s="8" customFormat="1" ht="15" outlineLevel="1">
      <c r="B186" s="2" t="s">
        <v>194</v>
      </c>
      <c r="D186" s="1301"/>
      <c r="E186" s="1301"/>
      <c r="F186" s="1301"/>
      <c r="G186" s="1301"/>
      <c r="H186" s="1301"/>
      <c r="I186" s="1301"/>
      <c r="J186" s="1310"/>
      <c r="K186" s="1309"/>
      <c r="L186" s="1310"/>
      <c r="M186" s="1309"/>
      <c r="N186" s="1310"/>
      <c r="O186" s="1309"/>
      <c r="P186" s="1310"/>
      <c r="Q186" s="1309"/>
      <c r="R186" s="1310"/>
      <c r="S186" s="1309"/>
      <c r="T186" s="1310"/>
      <c r="U186" s="1309"/>
      <c r="V186" s="1310"/>
      <c r="W186" s="1309"/>
      <c r="X186" s="1310"/>
      <c r="Y186" s="1309"/>
      <c r="Z186" s="1310"/>
      <c r="AA186" s="1309"/>
      <c r="AB186" s="1310"/>
      <c r="AC186" s="1309"/>
      <c r="AD186" s="1310"/>
      <c r="AE186" s="1309"/>
      <c r="AF186" s="1310"/>
      <c r="AG186" s="1309"/>
      <c r="AH186" s="1310"/>
      <c r="AI186" s="1306"/>
      <c r="AJ186" s="15"/>
    </row>
    <row r="187" spans="2:36" s="407" customFormat="1" outlineLevel="1">
      <c r="B187" s="24" t="s">
        <v>418</v>
      </c>
      <c r="D187" s="1298">
        <v>70010</v>
      </c>
      <c r="E187" s="1298" t="s">
        <v>17</v>
      </c>
      <c r="F187" s="1299"/>
      <c r="G187" s="1300"/>
      <c r="H187" s="1301"/>
      <c r="I187" s="1302"/>
      <c r="J187" s="1303">
        <v>10412.129999999999</v>
      </c>
      <c r="K187" s="1302"/>
      <c r="L187" s="1303">
        <v>9684.4599999999991</v>
      </c>
      <c r="M187" s="1302"/>
      <c r="N187" s="1303">
        <v>10053.65</v>
      </c>
      <c r="O187" s="1302"/>
      <c r="P187" s="1303">
        <v>10417.74</v>
      </c>
      <c r="Q187" s="1302"/>
      <c r="R187" s="1303">
        <v>9325.5</v>
      </c>
      <c r="S187" s="1302"/>
      <c r="T187" s="1303">
        <v>10417.719999999999</v>
      </c>
      <c r="U187" s="1302"/>
      <c r="V187" s="1303">
        <v>10053.65</v>
      </c>
      <c r="W187" s="1302"/>
      <c r="X187" s="1303">
        <v>9689.57</v>
      </c>
      <c r="Y187" s="1302"/>
      <c r="Z187" s="1303">
        <v>8393.5400000000009</v>
      </c>
      <c r="AA187" s="1302"/>
      <c r="AB187" s="1303">
        <v>7387.57</v>
      </c>
      <c r="AC187" s="1302"/>
      <c r="AD187" s="1303">
        <v>7734.17</v>
      </c>
      <c r="AE187" s="1302"/>
      <c r="AF187" s="1303">
        <v>8080.77</v>
      </c>
      <c r="AG187" s="1302"/>
      <c r="AH187" s="1303">
        <f t="shared" ref="AH187:AH213" si="22">AF187+AD187+AB187+Z187+X187+V187+T187+R187+P187+N187+L187+J187</f>
        <v>111650.47</v>
      </c>
      <c r="AI187" s="1304">
        <f t="shared" ref="AI187:AI213" si="23">IF(AH$59=0,0,AH187/AH$59)</f>
        <v>1.6818706201774718E-2</v>
      </c>
      <c r="AJ187" s="12"/>
    </row>
    <row r="188" spans="2:36" s="407" customFormat="1" outlineLevel="1">
      <c r="B188" s="24" t="s">
        <v>397</v>
      </c>
      <c r="D188" s="1298">
        <v>70020</v>
      </c>
      <c r="E188" s="1298" t="s">
        <v>24</v>
      </c>
      <c r="F188" s="1299"/>
      <c r="G188" s="1300"/>
      <c r="H188" s="1301"/>
      <c r="I188" s="1302"/>
      <c r="J188" s="1303">
        <v>3577.34</v>
      </c>
      <c r="K188" s="1302"/>
      <c r="L188" s="1303">
        <v>2961.84</v>
      </c>
      <c r="M188" s="1302"/>
      <c r="N188" s="1303">
        <v>2617.1</v>
      </c>
      <c r="O188" s="1302"/>
      <c r="P188" s="1303">
        <v>3578.61</v>
      </c>
      <c r="Q188" s="1302"/>
      <c r="R188" s="1303">
        <v>2976.22</v>
      </c>
      <c r="S188" s="1302"/>
      <c r="T188" s="1303">
        <v>3447.95</v>
      </c>
      <c r="U188" s="1302"/>
      <c r="V188" s="1303">
        <v>3436.56</v>
      </c>
      <c r="W188" s="1302"/>
      <c r="X188" s="1303">
        <v>3186.35</v>
      </c>
      <c r="Y188" s="1302"/>
      <c r="Z188" s="1303">
        <v>3651.47</v>
      </c>
      <c r="AA188" s="1302"/>
      <c r="AB188" s="1303">
        <v>2808.92</v>
      </c>
      <c r="AC188" s="1302"/>
      <c r="AD188" s="1303">
        <v>3009.63</v>
      </c>
      <c r="AE188" s="1302"/>
      <c r="AF188" s="1303">
        <v>3481.33</v>
      </c>
      <c r="AG188" s="1302"/>
      <c r="AH188" s="1303">
        <f t="shared" si="22"/>
        <v>38733.320000000007</v>
      </c>
      <c r="AI188" s="1304">
        <f t="shared" si="23"/>
        <v>5.8346761039100407E-3</v>
      </c>
      <c r="AJ188" s="12"/>
    </row>
    <row r="189" spans="2:36" s="407" customFormat="1" outlineLevel="1">
      <c r="B189" s="24" t="s">
        <v>397</v>
      </c>
      <c r="D189" s="1298">
        <v>70025</v>
      </c>
      <c r="E189" s="1298" t="s">
        <v>25</v>
      </c>
      <c r="F189" s="1299"/>
      <c r="G189" s="1300"/>
      <c r="H189" s="1301"/>
      <c r="I189" s="1302"/>
      <c r="J189" s="1303">
        <v>17.61</v>
      </c>
      <c r="K189" s="1302"/>
      <c r="L189" s="1303">
        <v>12.71</v>
      </c>
      <c r="M189" s="1302"/>
      <c r="N189" s="1303">
        <v>5.4</v>
      </c>
      <c r="O189" s="1302"/>
      <c r="P189" s="1303">
        <v>18.09</v>
      </c>
      <c r="Q189" s="1302"/>
      <c r="R189" s="1303">
        <v>111.46</v>
      </c>
      <c r="S189" s="1302"/>
      <c r="T189" s="1303">
        <v>44</v>
      </c>
      <c r="U189" s="1302"/>
      <c r="V189" s="1303">
        <v>34.71</v>
      </c>
      <c r="W189" s="1302"/>
      <c r="X189" s="1303">
        <v>0.01</v>
      </c>
      <c r="Y189" s="1302"/>
      <c r="Z189" s="1303">
        <v>82.7</v>
      </c>
      <c r="AA189" s="1302"/>
      <c r="AB189" s="1303">
        <v>80.56</v>
      </c>
      <c r="AC189" s="1302"/>
      <c r="AD189" s="1303">
        <v>372.88</v>
      </c>
      <c r="AE189" s="1302"/>
      <c r="AF189" s="1303">
        <v>262.83</v>
      </c>
      <c r="AG189" s="1302"/>
      <c r="AH189" s="1303">
        <f t="shared" si="22"/>
        <v>1042.96</v>
      </c>
      <c r="AI189" s="1304">
        <f t="shared" si="23"/>
        <v>1.5710849958986255E-4</v>
      </c>
      <c r="AJ189" s="12"/>
    </row>
    <row r="190" spans="2:36" s="407" customFormat="1" outlineLevel="1">
      <c r="B190" s="24" t="s">
        <v>397</v>
      </c>
      <c r="D190" s="1298">
        <v>70036</v>
      </c>
      <c r="E190" s="1298" t="s">
        <v>228</v>
      </c>
      <c r="F190" s="1299"/>
      <c r="G190" s="1300"/>
      <c r="H190" s="1301"/>
      <c r="I190" s="1302"/>
      <c r="J190" s="1303">
        <v>0</v>
      </c>
      <c r="K190" s="1302"/>
      <c r="L190" s="1303">
        <v>0</v>
      </c>
      <c r="M190" s="1302"/>
      <c r="N190" s="1303">
        <v>0</v>
      </c>
      <c r="O190" s="1302"/>
      <c r="P190" s="1303">
        <v>0</v>
      </c>
      <c r="Q190" s="1302"/>
      <c r="R190" s="1303">
        <v>0</v>
      </c>
      <c r="S190" s="1302"/>
      <c r="T190" s="1303">
        <v>0</v>
      </c>
      <c r="U190" s="1302"/>
      <c r="V190" s="1303">
        <v>0</v>
      </c>
      <c r="W190" s="1302"/>
      <c r="X190" s="1303">
        <v>0</v>
      </c>
      <c r="Y190" s="1302"/>
      <c r="Z190" s="1303">
        <v>0</v>
      </c>
      <c r="AA190" s="1302"/>
      <c r="AB190" s="1303">
        <v>0</v>
      </c>
      <c r="AC190" s="1302"/>
      <c r="AD190" s="1303">
        <v>0</v>
      </c>
      <c r="AE190" s="1302"/>
      <c r="AF190" s="1303">
        <v>42.66</v>
      </c>
      <c r="AG190" s="1302"/>
      <c r="AH190" s="1303">
        <f t="shared" si="22"/>
        <v>42.66</v>
      </c>
      <c r="AI190" s="1304">
        <f t="shared" si="23"/>
        <v>6.4261799038347925E-6</v>
      </c>
      <c r="AJ190" s="12"/>
    </row>
    <row r="191" spans="2:36" s="407" customFormat="1" outlineLevel="1">
      <c r="B191" s="24" t="s">
        <v>397</v>
      </c>
      <c r="D191" s="1298">
        <v>70050</v>
      </c>
      <c r="E191" s="1298" t="s">
        <v>166</v>
      </c>
      <c r="F191" s="1299"/>
      <c r="G191" s="1300"/>
      <c r="H191" s="1301"/>
      <c r="I191" s="1302"/>
      <c r="J191" s="1303">
        <v>882.21</v>
      </c>
      <c r="K191" s="1302"/>
      <c r="L191" s="1303">
        <v>638.85</v>
      </c>
      <c r="M191" s="1302"/>
      <c r="N191" s="1303">
        <v>753.83</v>
      </c>
      <c r="O191" s="1302"/>
      <c r="P191" s="1303">
        <v>1371.42</v>
      </c>
      <c r="Q191" s="1302"/>
      <c r="R191" s="1303">
        <v>725.09</v>
      </c>
      <c r="S191" s="1302"/>
      <c r="T191" s="1303">
        <v>923.44</v>
      </c>
      <c r="U191" s="1302"/>
      <c r="V191" s="1303">
        <v>837.47</v>
      </c>
      <c r="W191" s="1302"/>
      <c r="X191" s="1303">
        <v>752.88</v>
      </c>
      <c r="Y191" s="1302"/>
      <c r="Z191" s="1303">
        <v>1140.0899999999999</v>
      </c>
      <c r="AA191" s="1302"/>
      <c r="AB191" s="1303">
        <v>932.82</v>
      </c>
      <c r="AC191" s="1302"/>
      <c r="AD191" s="1303">
        <v>962.75</v>
      </c>
      <c r="AE191" s="1302"/>
      <c r="AF191" s="1303">
        <v>995.32</v>
      </c>
      <c r="AG191" s="1302"/>
      <c r="AH191" s="1303">
        <f t="shared" si="22"/>
        <v>10916.170000000002</v>
      </c>
      <c r="AI191" s="1304">
        <f t="shared" si="23"/>
        <v>1.6443805035359651E-3</v>
      </c>
      <c r="AJ191" s="12"/>
    </row>
    <row r="192" spans="2:36" s="407" customFormat="1" outlineLevel="1">
      <c r="B192" s="24" t="s">
        <v>397</v>
      </c>
      <c r="D192" s="1298">
        <v>70060</v>
      </c>
      <c r="E192" s="1298" t="s">
        <v>75</v>
      </c>
      <c r="F192" s="1299"/>
      <c r="G192" s="1300"/>
      <c r="H192" s="1301"/>
      <c r="I192" s="1302"/>
      <c r="J192" s="1303">
        <v>1937.66</v>
      </c>
      <c r="K192" s="1302"/>
      <c r="L192" s="1303">
        <v>2033.53</v>
      </c>
      <c r="M192" s="1302"/>
      <c r="N192" s="1303">
        <v>2033.53</v>
      </c>
      <c r="O192" s="1302"/>
      <c r="P192" s="1303">
        <v>2033.53</v>
      </c>
      <c r="Q192" s="1302"/>
      <c r="R192" s="1303">
        <v>2051.21</v>
      </c>
      <c r="S192" s="1302"/>
      <c r="T192" s="1303">
        <v>1882.59</v>
      </c>
      <c r="U192" s="1302"/>
      <c r="V192" s="1303">
        <v>2033.53</v>
      </c>
      <c r="W192" s="1302"/>
      <c r="X192" s="1303">
        <v>2063.0700000000002</v>
      </c>
      <c r="Y192" s="1302"/>
      <c r="Z192" s="1303">
        <v>2163.0700000000002</v>
      </c>
      <c r="AA192" s="1302"/>
      <c r="AB192" s="1303">
        <v>2134.17</v>
      </c>
      <c r="AC192" s="1302"/>
      <c r="AD192" s="1303">
        <v>2154.8200000000002</v>
      </c>
      <c r="AE192" s="1302"/>
      <c r="AF192" s="1303">
        <v>2136.71</v>
      </c>
      <c r="AG192" s="1302"/>
      <c r="AH192" s="1303">
        <f t="shared" si="22"/>
        <v>24657.42</v>
      </c>
      <c r="AI192" s="1304">
        <f t="shared" si="23"/>
        <v>3.7143229461887974E-3</v>
      </c>
      <c r="AJ192" s="12"/>
    </row>
    <row r="193" spans="2:36" s="407" customFormat="1" outlineLevel="1">
      <c r="B193" s="24" t="s">
        <v>397</v>
      </c>
      <c r="D193" s="1298">
        <v>70065</v>
      </c>
      <c r="E193" s="1298" t="s">
        <v>21</v>
      </c>
      <c r="F193" s="1299"/>
      <c r="G193" s="1300"/>
      <c r="H193" s="1301"/>
      <c r="I193" s="1302"/>
      <c r="J193" s="1303">
        <v>0</v>
      </c>
      <c r="K193" s="1302"/>
      <c r="L193" s="1303">
        <v>-2028.63</v>
      </c>
      <c r="M193" s="1302"/>
      <c r="N193" s="1303">
        <v>-676.46</v>
      </c>
      <c r="O193" s="1302"/>
      <c r="P193" s="1303">
        <v>5748.26</v>
      </c>
      <c r="Q193" s="1302"/>
      <c r="R193" s="1303">
        <v>-1014.4</v>
      </c>
      <c r="S193" s="1302"/>
      <c r="T193" s="1303">
        <v>0</v>
      </c>
      <c r="U193" s="1302"/>
      <c r="V193" s="1303">
        <v>-2028.82</v>
      </c>
      <c r="W193" s="1302"/>
      <c r="X193" s="1303">
        <v>-1690.73</v>
      </c>
      <c r="Y193" s="1302"/>
      <c r="Z193" s="1303">
        <v>306.02</v>
      </c>
      <c r="AA193" s="1302"/>
      <c r="AB193" s="1303">
        <v>92.86</v>
      </c>
      <c r="AC193" s="1302"/>
      <c r="AD193" s="1303">
        <v>278.58999999999997</v>
      </c>
      <c r="AE193" s="1302"/>
      <c r="AF193" s="1303">
        <v>185.72</v>
      </c>
      <c r="AG193" s="1302"/>
      <c r="AH193" s="1303">
        <f t="shared" si="22"/>
        <v>-827.59000000000015</v>
      </c>
      <c r="AI193" s="1304">
        <f t="shared" si="23"/>
        <v>-1.2466578121459536E-4</v>
      </c>
      <c r="AJ193" s="12"/>
    </row>
    <row r="194" spans="2:36" s="407" customFormat="1" outlineLevel="1">
      <c r="B194" s="24" t="s">
        <v>397</v>
      </c>
      <c r="D194" s="1298">
        <v>70070</v>
      </c>
      <c r="E194" s="1298" t="s">
        <v>22</v>
      </c>
      <c r="F194" s="1299"/>
      <c r="G194" s="1300"/>
      <c r="H194" s="1301"/>
      <c r="I194" s="1302"/>
      <c r="J194" s="1303">
        <v>-338.13</v>
      </c>
      <c r="K194" s="1302"/>
      <c r="L194" s="1303">
        <v>39.1</v>
      </c>
      <c r="M194" s="1302"/>
      <c r="N194" s="1303">
        <v>0</v>
      </c>
      <c r="O194" s="1302"/>
      <c r="P194" s="1303">
        <v>156.4</v>
      </c>
      <c r="Q194" s="1302"/>
      <c r="R194" s="1303">
        <v>97.75</v>
      </c>
      <c r="S194" s="1302"/>
      <c r="T194" s="1303">
        <v>175.95</v>
      </c>
      <c r="U194" s="1302"/>
      <c r="V194" s="1303">
        <v>0</v>
      </c>
      <c r="W194" s="1302"/>
      <c r="X194" s="1303">
        <v>78.2</v>
      </c>
      <c r="Y194" s="1302"/>
      <c r="Z194" s="1303">
        <v>71.48</v>
      </c>
      <c r="AA194" s="1302"/>
      <c r="AB194" s="1303">
        <v>469.88</v>
      </c>
      <c r="AC194" s="1302"/>
      <c r="AD194" s="1303">
        <v>13.4</v>
      </c>
      <c r="AE194" s="1302"/>
      <c r="AF194" s="1303">
        <v>144.05000000000001</v>
      </c>
      <c r="AG194" s="1302"/>
      <c r="AH194" s="1303">
        <f t="shared" si="22"/>
        <v>908.08</v>
      </c>
      <c r="AI194" s="1304">
        <f t="shared" si="23"/>
        <v>1.3679056369138068E-4</v>
      </c>
      <c r="AJ194" s="12"/>
    </row>
    <row r="195" spans="2:36" s="407" customFormat="1" outlineLevel="1">
      <c r="B195" s="24" t="s">
        <v>397</v>
      </c>
      <c r="D195" s="1298">
        <v>70086</v>
      </c>
      <c r="E195" s="1298" t="s">
        <v>60</v>
      </c>
      <c r="F195" s="1299"/>
      <c r="G195" s="1300"/>
      <c r="H195" s="1301"/>
      <c r="I195" s="1302"/>
      <c r="J195" s="1303">
        <v>0</v>
      </c>
      <c r="K195" s="1302"/>
      <c r="L195" s="1303">
        <v>0</v>
      </c>
      <c r="M195" s="1302"/>
      <c r="N195" s="1303">
        <v>0</v>
      </c>
      <c r="O195" s="1302"/>
      <c r="P195" s="1303">
        <v>0</v>
      </c>
      <c r="Q195" s="1302"/>
      <c r="R195" s="1303">
        <v>0</v>
      </c>
      <c r="S195" s="1302"/>
      <c r="T195" s="1303">
        <v>0</v>
      </c>
      <c r="U195" s="1302"/>
      <c r="V195" s="1303">
        <v>0</v>
      </c>
      <c r="W195" s="1302"/>
      <c r="X195" s="1303">
        <v>0</v>
      </c>
      <c r="Y195" s="1302"/>
      <c r="Z195" s="1303">
        <v>0</v>
      </c>
      <c r="AA195" s="1302"/>
      <c r="AB195" s="1303">
        <v>89.52</v>
      </c>
      <c r="AC195" s="1302"/>
      <c r="AD195" s="1303">
        <v>94.06</v>
      </c>
      <c r="AE195" s="1302"/>
      <c r="AF195" s="1303">
        <v>5.14</v>
      </c>
      <c r="AG195" s="1302"/>
      <c r="AH195" s="1303">
        <f t="shared" si="22"/>
        <v>188.72</v>
      </c>
      <c r="AI195" s="1304">
        <f t="shared" si="23"/>
        <v>2.8428238899477315E-5</v>
      </c>
      <c r="AJ195" s="12"/>
    </row>
    <row r="196" spans="2:36" s="407" customFormat="1" outlineLevel="1">
      <c r="B196" s="24" t="s">
        <v>397</v>
      </c>
      <c r="D196" s="1298">
        <v>70090</v>
      </c>
      <c r="E196" s="1298" t="s">
        <v>126</v>
      </c>
      <c r="F196" s="1299"/>
      <c r="G196" s="1300"/>
      <c r="H196" s="1301"/>
      <c r="I196" s="1302"/>
      <c r="J196" s="1303">
        <v>0</v>
      </c>
      <c r="K196" s="1302"/>
      <c r="L196" s="1303">
        <v>0</v>
      </c>
      <c r="M196" s="1302"/>
      <c r="N196" s="1303">
        <v>0</v>
      </c>
      <c r="O196" s="1302"/>
      <c r="P196" s="1303">
        <v>0</v>
      </c>
      <c r="Q196" s="1302"/>
      <c r="R196" s="1303">
        <v>0</v>
      </c>
      <c r="S196" s="1302"/>
      <c r="T196" s="1303">
        <v>0</v>
      </c>
      <c r="U196" s="1302"/>
      <c r="V196" s="1303">
        <v>0</v>
      </c>
      <c r="W196" s="1302"/>
      <c r="X196" s="1303">
        <v>0</v>
      </c>
      <c r="Y196" s="1302"/>
      <c r="Z196" s="1303">
        <v>0</v>
      </c>
      <c r="AA196" s="1302"/>
      <c r="AB196" s="1303">
        <v>167.95</v>
      </c>
      <c r="AC196" s="1302"/>
      <c r="AD196" s="1303">
        <v>-25.59</v>
      </c>
      <c r="AE196" s="1302"/>
      <c r="AF196" s="1303">
        <v>0</v>
      </c>
      <c r="AG196" s="1302"/>
      <c r="AH196" s="1303">
        <f t="shared" si="22"/>
        <v>142.35999999999999</v>
      </c>
      <c r="AI196" s="1304">
        <f t="shared" si="23"/>
        <v>2.1444701620016904E-5</v>
      </c>
      <c r="AJ196" s="12"/>
    </row>
    <row r="197" spans="2:36" s="407" customFormat="1" outlineLevel="1">
      <c r="B197" s="24" t="s">
        <v>397</v>
      </c>
      <c r="D197" s="1298">
        <v>70095</v>
      </c>
      <c r="E197" s="1298" t="s">
        <v>240</v>
      </c>
      <c r="F197" s="1299"/>
      <c r="G197" s="1300"/>
      <c r="H197" s="1301"/>
      <c r="I197" s="1302"/>
      <c r="J197" s="1303">
        <v>373.62</v>
      </c>
      <c r="K197" s="1302"/>
      <c r="L197" s="1303">
        <v>345.1</v>
      </c>
      <c r="M197" s="1302"/>
      <c r="N197" s="1303">
        <v>0</v>
      </c>
      <c r="O197" s="1302"/>
      <c r="P197" s="1303">
        <v>-228.01</v>
      </c>
      <c r="Q197" s="1302"/>
      <c r="R197" s="1303">
        <v>6001.43</v>
      </c>
      <c r="S197" s="1302"/>
      <c r="T197" s="1303">
        <v>0</v>
      </c>
      <c r="U197" s="1302"/>
      <c r="V197" s="1303">
        <v>209</v>
      </c>
      <c r="W197" s="1302"/>
      <c r="X197" s="1303">
        <v>113.42</v>
      </c>
      <c r="Y197" s="1302"/>
      <c r="Z197" s="1303">
        <v>116.96</v>
      </c>
      <c r="AA197" s="1302"/>
      <c r="AB197" s="1303">
        <v>552.66</v>
      </c>
      <c r="AC197" s="1302"/>
      <c r="AD197" s="1303">
        <v>536.29</v>
      </c>
      <c r="AE197" s="1302"/>
      <c r="AF197" s="1303">
        <v>44.95</v>
      </c>
      <c r="AG197" s="1302"/>
      <c r="AH197" s="1303">
        <f t="shared" si="22"/>
        <v>8065.420000000001</v>
      </c>
      <c r="AI197" s="1304">
        <f t="shared" si="23"/>
        <v>1.2149517093292834E-3</v>
      </c>
      <c r="AJ197" s="12"/>
    </row>
    <row r="198" spans="2:36" s="407" customFormat="1" outlineLevel="1">
      <c r="B198" s="24" t="s">
        <v>397</v>
      </c>
      <c r="D198" s="1298">
        <v>70116</v>
      </c>
      <c r="E198" s="1298" t="s">
        <v>120</v>
      </c>
      <c r="F198" s="1299"/>
      <c r="G198" s="1300"/>
      <c r="H198" s="1301"/>
      <c r="I198" s="1302"/>
      <c r="J198" s="1303">
        <v>423.03</v>
      </c>
      <c r="K198" s="1302"/>
      <c r="L198" s="1303">
        <v>281.97000000000003</v>
      </c>
      <c r="M198" s="1302"/>
      <c r="N198" s="1303">
        <v>265.76</v>
      </c>
      <c r="O198" s="1302"/>
      <c r="P198" s="1303">
        <v>259.20999999999998</v>
      </c>
      <c r="Q198" s="1302"/>
      <c r="R198" s="1303">
        <v>352.15</v>
      </c>
      <c r="S198" s="1302"/>
      <c r="T198" s="1303">
        <v>255.56</v>
      </c>
      <c r="U198" s="1302"/>
      <c r="V198" s="1303">
        <v>257.35000000000002</v>
      </c>
      <c r="W198" s="1302"/>
      <c r="X198" s="1303">
        <v>270.62</v>
      </c>
      <c r="Y198" s="1302"/>
      <c r="Z198" s="1303">
        <v>450.66</v>
      </c>
      <c r="AA198" s="1302"/>
      <c r="AB198" s="1303">
        <v>512.26</v>
      </c>
      <c r="AC198" s="1302"/>
      <c r="AD198" s="1303">
        <v>735.73</v>
      </c>
      <c r="AE198" s="1302"/>
      <c r="AF198" s="1303">
        <v>540.36</v>
      </c>
      <c r="AG198" s="1302"/>
      <c r="AH198" s="1303">
        <f t="shared" si="22"/>
        <v>4604.66</v>
      </c>
      <c r="AI198" s="1304">
        <f t="shared" si="23"/>
        <v>6.9363276033736329E-4</v>
      </c>
      <c r="AJ198" s="12"/>
    </row>
    <row r="199" spans="2:36" s="407" customFormat="1" outlineLevel="1">
      <c r="B199" s="24" t="s">
        <v>397</v>
      </c>
      <c r="D199" s="1298">
        <v>70148</v>
      </c>
      <c r="E199" s="1298" t="s">
        <v>40</v>
      </c>
      <c r="F199" s="1299"/>
      <c r="G199" s="1300"/>
      <c r="H199" s="1301"/>
      <c r="I199" s="1302"/>
      <c r="J199" s="1303">
        <v>0.19</v>
      </c>
      <c r="K199" s="1302"/>
      <c r="L199" s="1303">
        <v>0.19</v>
      </c>
      <c r="M199" s="1302"/>
      <c r="N199" s="1303">
        <v>7.0000000000000007E-2</v>
      </c>
      <c r="O199" s="1302"/>
      <c r="P199" s="1303">
        <v>0.1</v>
      </c>
      <c r="Q199" s="1302"/>
      <c r="R199" s="1303">
        <v>0.14000000000000001</v>
      </c>
      <c r="S199" s="1302"/>
      <c r="T199" s="1303">
        <v>0.09</v>
      </c>
      <c r="U199" s="1302"/>
      <c r="V199" s="1303">
        <v>0.11</v>
      </c>
      <c r="W199" s="1302"/>
      <c r="X199" s="1303">
        <v>0.1</v>
      </c>
      <c r="Y199" s="1302"/>
      <c r="Z199" s="1303">
        <v>0.16</v>
      </c>
      <c r="AA199" s="1302"/>
      <c r="AB199" s="1303">
        <v>0.12</v>
      </c>
      <c r="AC199" s="1302"/>
      <c r="AD199" s="1303">
        <v>0.19</v>
      </c>
      <c r="AE199" s="1302"/>
      <c r="AF199" s="1303">
        <v>0.28000000000000003</v>
      </c>
      <c r="AG199" s="1302"/>
      <c r="AH199" s="1303">
        <f t="shared" si="22"/>
        <v>1.74</v>
      </c>
      <c r="AI199" s="1304">
        <f t="shared" si="23"/>
        <v>2.6210860367258648E-7</v>
      </c>
      <c r="AJ199" s="12"/>
    </row>
    <row r="200" spans="2:36" s="407" customFormat="1" outlineLevel="1">
      <c r="B200" s="24" t="s">
        <v>397</v>
      </c>
      <c r="D200" s="1298">
        <v>70150</v>
      </c>
      <c r="E200" s="1298" t="s">
        <v>44</v>
      </c>
      <c r="F200" s="1299"/>
      <c r="G200" s="1300"/>
      <c r="H200" s="1301"/>
      <c r="I200" s="1302"/>
      <c r="J200" s="1303">
        <v>141.22</v>
      </c>
      <c r="K200" s="1302"/>
      <c r="L200" s="1303">
        <v>170.22</v>
      </c>
      <c r="M200" s="1302"/>
      <c r="N200" s="1303">
        <v>245.06</v>
      </c>
      <c r="O200" s="1302"/>
      <c r="P200" s="1303">
        <v>201.02</v>
      </c>
      <c r="Q200" s="1302"/>
      <c r="R200" s="1303">
        <v>203.9</v>
      </c>
      <c r="S200" s="1302"/>
      <c r="T200" s="1303">
        <v>140.94</v>
      </c>
      <c r="U200" s="1302"/>
      <c r="V200" s="1303">
        <v>146.29</v>
      </c>
      <c r="W200" s="1302"/>
      <c r="X200" s="1303">
        <v>188.68</v>
      </c>
      <c r="Y200" s="1302"/>
      <c r="Z200" s="1303">
        <v>144.75</v>
      </c>
      <c r="AA200" s="1302"/>
      <c r="AB200" s="1303">
        <v>121.86</v>
      </c>
      <c r="AC200" s="1302"/>
      <c r="AD200" s="1303">
        <v>118.91</v>
      </c>
      <c r="AE200" s="1302"/>
      <c r="AF200" s="1303">
        <v>164.26</v>
      </c>
      <c r="AG200" s="1302"/>
      <c r="AH200" s="1303">
        <f t="shared" si="22"/>
        <v>1987.1100000000001</v>
      </c>
      <c r="AI200" s="1304">
        <f t="shared" si="23"/>
        <v>2.9933254450795026E-4</v>
      </c>
      <c r="AJ200" s="12"/>
    </row>
    <row r="201" spans="2:36" s="407" customFormat="1" outlineLevel="1">
      <c r="B201" s="24" t="s">
        <v>397</v>
      </c>
      <c r="D201" s="1298">
        <v>70165</v>
      </c>
      <c r="E201" s="1298" t="s">
        <v>235</v>
      </c>
      <c r="F201" s="1299"/>
      <c r="G201" s="1300"/>
      <c r="H201" s="1301"/>
      <c r="I201" s="1302"/>
      <c r="J201" s="1303">
        <v>427.69</v>
      </c>
      <c r="K201" s="1302"/>
      <c r="L201" s="1303">
        <v>424.51</v>
      </c>
      <c r="M201" s="1302"/>
      <c r="N201" s="1303">
        <v>425</v>
      </c>
      <c r="O201" s="1302"/>
      <c r="P201" s="1303">
        <v>587.52</v>
      </c>
      <c r="Q201" s="1302"/>
      <c r="R201" s="1303">
        <v>425</v>
      </c>
      <c r="S201" s="1302"/>
      <c r="T201" s="1303">
        <v>426.73</v>
      </c>
      <c r="U201" s="1302"/>
      <c r="V201" s="1303">
        <v>427.77</v>
      </c>
      <c r="W201" s="1302"/>
      <c r="X201" s="1303">
        <v>426.41</v>
      </c>
      <c r="Y201" s="1302"/>
      <c r="Z201" s="1303">
        <v>426.79</v>
      </c>
      <c r="AA201" s="1302"/>
      <c r="AB201" s="1303">
        <v>727.28</v>
      </c>
      <c r="AC201" s="1302"/>
      <c r="AD201" s="1303">
        <v>426.91</v>
      </c>
      <c r="AE201" s="1302"/>
      <c r="AF201" s="1303">
        <v>430.02</v>
      </c>
      <c r="AG201" s="1302"/>
      <c r="AH201" s="1303">
        <f t="shared" si="22"/>
        <v>5581.63</v>
      </c>
      <c r="AI201" s="1304">
        <f t="shared" si="23"/>
        <v>8.4080071581437875E-4</v>
      </c>
      <c r="AJ201" s="12"/>
    </row>
    <row r="202" spans="2:36" s="407" customFormat="1" outlineLevel="1">
      <c r="B202" s="24" t="s">
        <v>397</v>
      </c>
      <c r="D202" s="1298">
        <v>70167</v>
      </c>
      <c r="E202" s="1298" t="s">
        <v>260</v>
      </c>
      <c r="F202" s="1299"/>
      <c r="G202" s="1300"/>
      <c r="H202" s="1301"/>
      <c r="I202" s="1302"/>
      <c r="J202" s="1303">
        <v>727.46</v>
      </c>
      <c r="K202" s="1302"/>
      <c r="L202" s="1303">
        <v>-393.24</v>
      </c>
      <c r="M202" s="1302"/>
      <c r="N202" s="1303">
        <v>166.21</v>
      </c>
      <c r="O202" s="1302"/>
      <c r="P202" s="1303">
        <v>166.3</v>
      </c>
      <c r="Q202" s="1302"/>
      <c r="R202" s="1303">
        <v>166.2</v>
      </c>
      <c r="S202" s="1302"/>
      <c r="T202" s="1303">
        <v>721.23</v>
      </c>
      <c r="U202" s="1302"/>
      <c r="V202" s="1303">
        <v>168.82</v>
      </c>
      <c r="W202" s="1302"/>
      <c r="X202" s="1303">
        <v>-384.08</v>
      </c>
      <c r="Y202" s="1302"/>
      <c r="Z202" s="1303">
        <v>170.01</v>
      </c>
      <c r="AA202" s="1302"/>
      <c r="AB202" s="1303">
        <v>170.33</v>
      </c>
      <c r="AC202" s="1302"/>
      <c r="AD202" s="1303">
        <v>169.55</v>
      </c>
      <c r="AE202" s="1302"/>
      <c r="AF202" s="1303">
        <v>55.23</v>
      </c>
      <c r="AG202" s="1302"/>
      <c r="AH202" s="1303">
        <f t="shared" si="22"/>
        <v>1904.0200000000002</v>
      </c>
      <c r="AI202" s="1304">
        <f t="shared" si="23"/>
        <v>2.8681610549694149E-4</v>
      </c>
      <c r="AJ202" s="12"/>
    </row>
    <row r="203" spans="2:36" s="407" customFormat="1" outlineLevel="1">
      <c r="B203" s="24" t="s">
        <v>397</v>
      </c>
      <c r="D203" s="1298">
        <v>70185</v>
      </c>
      <c r="E203" s="1298" t="s">
        <v>76</v>
      </c>
      <c r="F203" s="1299"/>
      <c r="G203" s="1300"/>
      <c r="H203" s="1301"/>
      <c r="I203" s="1302"/>
      <c r="J203" s="1303">
        <v>0</v>
      </c>
      <c r="K203" s="1302"/>
      <c r="L203" s="1303">
        <v>0</v>
      </c>
      <c r="M203" s="1302"/>
      <c r="N203" s="1303">
        <v>0</v>
      </c>
      <c r="O203" s="1302"/>
      <c r="P203" s="1303">
        <v>17.54</v>
      </c>
      <c r="Q203" s="1302"/>
      <c r="R203" s="1303">
        <v>0</v>
      </c>
      <c r="S203" s="1302"/>
      <c r="T203" s="1303">
        <v>98.44</v>
      </c>
      <c r="U203" s="1302"/>
      <c r="V203" s="1303">
        <v>133.88</v>
      </c>
      <c r="W203" s="1302"/>
      <c r="X203" s="1303">
        <v>90.09</v>
      </c>
      <c r="Y203" s="1302"/>
      <c r="Z203" s="1303">
        <v>128.59</v>
      </c>
      <c r="AA203" s="1302"/>
      <c r="AB203" s="1303">
        <v>100.39</v>
      </c>
      <c r="AC203" s="1302"/>
      <c r="AD203" s="1303">
        <v>165.52</v>
      </c>
      <c r="AE203" s="1302"/>
      <c r="AF203" s="1303">
        <v>70.709999999999994</v>
      </c>
      <c r="AG203" s="1302"/>
      <c r="AH203" s="1303">
        <f t="shared" si="22"/>
        <v>805.16000000000008</v>
      </c>
      <c r="AI203" s="1304">
        <f t="shared" si="23"/>
        <v>1.2128699042127573E-4</v>
      </c>
      <c r="AJ203" s="12"/>
    </row>
    <row r="204" spans="2:36" s="407" customFormat="1" outlineLevel="1">
      <c r="B204" s="24" t="s">
        <v>397</v>
      </c>
      <c r="D204" s="1298">
        <v>70200</v>
      </c>
      <c r="E204" s="1298" t="s">
        <v>59</v>
      </c>
      <c r="F204" s="1299"/>
      <c r="G204" s="1300"/>
      <c r="H204" s="1301"/>
      <c r="I204" s="1302"/>
      <c r="J204" s="1303">
        <v>0</v>
      </c>
      <c r="K204" s="1302"/>
      <c r="L204" s="1303">
        <v>0</v>
      </c>
      <c r="M204" s="1302"/>
      <c r="N204" s="1303">
        <v>0</v>
      </c>
      <c r="O204" s="1302"/>
      <c r="P204" s="1303">
        <v>0</v>
      </c>
      <c r="Q204" s="1302"/>
      <c r="R204" s="1303">
        <v>25</v>
      </c>
      <c r="S204" s="1302"/>
      <c r="T204" s="1303">
        <v>0</v>
      </c>
      <c r="U204" s="1302"/>
      <c r="V204" s="1303">
        <v>0</v>
      </c>
      <c r="W204" s="1302"/>
      <c r="X204" s="1303">
        <v>0</v>
      </c>
      <c r="Y204" s="1302"/>
      <c r="Z204" s="1303">
        <v>0</v>
      </c>
      <c r="AA204" s="1302"/>
      <c r="AB204" s="1303">
        <v>0</v>
      </c>
      <c r="AC204" s="1302"/>
      <c r="AD204" s="1303">
        <v>0</v>
      </c>
      <c r="AE204" s="1302"/>
      <c r="AF204" s="1303">
        <v>0</v>
      </c>
      <c r="AG204" s="1302"/>
      <c r="AH204" s="1303">
        <f t="shared" si="22"/>
        <v>25</v>
      </c>
      <c r="AI204" s="1304">
        <f t="shared" si="23"/>
        <v>3.7659282136865879E-6</v>
      </c>
      <c r="AJ204" s="12"/>
    </row>
    <row r="205" spans="2:36" s="407" customFormat="1" outlineLevel="1">
      <c r="B205" s="24" t="s">
        <v>397</v>
      </c>
      <c r="D205" s="1298">
        <v>70202</v>
      </c>
      <c r="E205" s="1298" t="s">
        <v>261</v>
      </c>
      <c r="F205" s="1299"/>
      <c r="G205" s="1300"/>
      <c r="H205" s="1301"/>
      <c r="I205" s="1302"/>
      <c r="J205" s="1303">
        <v>0</v>
      </c>
      <c r="K205" s="1302"/>
      <c r="L205" s="1303">
        <v>0</v>
      </c>
      <c r="M205" s="1302"/>
      <c r="N205" s="1303">
        <v>0.03</v>
      </c>
      <c r="O205" s="1302"/>
      <c r="P205" s="1303">
        <v>0</v>
      </c>
      <c r="Q205" s="1302"/>
      <c r="R205" s="1303">
        <v>439.39</v>
      </c>
      <c r="S205" s="1302"/>
      <c r="T205" s="1303">
        <v>25</v>
      </c>
      <c r="U205" s="1302"/>
      <c r="V205" s="1303">
        <v>0</v>
      </c>
      <c r="W205" s="1302"/>
      <c r="X205" s="1303">
        <v>0</v>
      </c>
      <c r="Y205" s="1302"/>
      <c r="Z205" s="1303">
        <v>0</v>
      </c>
      <c r="AA205" s="1302"/>
      <c r="AB205" s="1303">
        <v>205.28</v>
      </c>
      <c r="AC205" s="1302"/>
      <c r="AD205" s="1303">
        <v>0</v>
      </c>
      <c r="AE205" s="1302"/>
      <c r="AF205" s="1303">
        <v>0</v>
      </c>
      <c r="AG205" s="1302"/>
      <c r="AH205" s="1303">
        <f t="shared" si="22"/>
        <v>669.69999999999993</v>
      </c>
      <c r="AI205" s="1304">
        <f t="shared" si="23"/>
        <v>1.008816849882363E-4</v>
      </c>
      <c r="AJ205" s="12"/>
    </row>
    <row r="206" spans="2:36" s="407" customFormat="1" outlineLevel="1">
      <c r="B206" s="24" t="s">
        <v>397</v>
      </c>
      <c r="D206" s="1298">
        <v>70205</v>
      </c>
      <c r="E206" s="1298" t="s">
        <v>262</v>
      </c>
      <c r="F206" s="1299"/>
      <c r="G206" s="1300"/>
      <c r="H206" s="1301"/>
      <c r="I206" s="1302"/>
      <c r="J206" s="1303">
        <v>4.3600000000000003</v>
      </c>
      <c r="K206" s="1302"/>
      <c r="L206" s="1303">
        <v>0</v>
      </c>
      <c r="M206" s="1302"/>
      <c r="N206" s="1303">
        <v>0</v>
      </c>
      <c r="O206" s="1302"/>
      <c r="P206" s="1303">
        <v>0</v>
      </c>
      <c r="Q206" s="1302"/>
      <c r="R206" s="1303">
        <v>0</v>
      </c>
      <c r="S206" s="1302"/>
      <c r="T206" s="1303">
        <v>0</v>
      </c>
      <c r="U206" s="1302"/>
      <c r="V206" s="1303">
        <v>0</v>
      </c>
      <c r="W206" s="1302"/>
      <c r="X206" s="1303">
        <v>0</v>
      </c>
      <c r="Y206" s="1302"/>
      <c r="Z206" s="1303">
        <v>0</v>
      </c>
      <c r="AA206" s="1302"/>
      <c r="AB206" s="1303">
        <v>0</v>
      </c>
      <c r="AC206" s="1302"/>
      <c r="AD206" s="1303">
        <v>0</v>
      </c>
      <c r="AE206" s="1302"/>
      <c r="AF206" s="1303">
        <v>0</v>
      </c>
      <c r="AG206" s="1302"/>
      <c r="AH206" s="1303">
        <f t="shared" si="22"/>
        <v>4.3600000000000003</v>
      </c>
      <c r="AI206" s="1304">
        <f t="shared" si="23"/>
        <v>6.5677788046694091E-7</v>
      </c>
      <c r="AJ206" s="12"/>
    </row>
    <row r="207" spans="2:36" s="407" customFormat="1" outlineLevel="1">
      <c r="B207" s="24" t="s">
        <v>397</v>
      </c>
      <c r="D207" s="1298">
        <v>70210</v>
      </c>
      <c r="E207" s="1298" t="s">
        <v>264</v>
      </c>
      <c r="F207" s="1299"/>
      <c r="G207" s="1300"/>
      <c r="H207" s="1301"/>
      <c r="I207" s="1302"/>
      <c r="J207" s="1303">
        <v>635.48</v>
      </c>
      <c r="K207" s="1302"/>
      <c r="L207" s="1303">
        <v>396.01</v>
      </c>
      <c r="M207" s="1302"/>
      <c r="N207" s="1303">
        <v>161.01</v>
      </c>
      <c r="O207" s="1302"/>
      <c r="P207" s="1303">
        <v>75.31</v>
      </c>
      <c r="Q207" s="1302"/>
      <c r="R207" s="1303">
        <v>322.43</v>
      </c>
      <c r="S207" s="1302"/>
      <c r="T207" s="1303">
        <v>489.04</v>
      </c>
      <c r="U207" s="1302"/>
      <c r="V207" s="1303">
        <v>258.70999999999998</v>
      </c>
      <c r="W207" s="1302"/>
      <c r="X207" s="1303">
        <v>483.35</v>
      </c>
      <c r="Y207" s="1302"/>
      <c r="Z207" s="1303">
        <v>639.61</v>
      </c>
      <c r="AA207" s="1302"/>
      <c r="AB207" s="1303">
        <v>144.94</v>
      </c>
      <c r="AC207" s="1302"/>
      <c r="AD207" s="1303">
        <v>513.5</v>
      </c>
      <c r="AE207" s="1302"/>
      <c r="AF207" s="1303">
        <v>242.12</v>
      </c>
      <c r="AG207" s="1302"/>
      <c r="AH207" s="1303">
        <f t="shared" si="22"/>
        <v>4361.51</v>
      </c>
      <c r="AI207" s="1304">
        <f t="shared" si="23"/>
        <v>6.5700534253104758E-4</v>
      </c>
      <c r="AJ207" s="12"/>
    </row>
    <row r="208" spans="2:36" s="407" customFormat="1" outlineLevel="1">
      <c r="B208" s="24" t="s">
        <v>397</v>
      </c>
      <c r="D208" s="1298">
        <v>70235</v>
      </c>
      <c r="E208" s="1298" t="s">
        <v>112</v>
      </c>
      <c r="F208" s="1299"/>
      <c r="G208" s="1300"/>
      <c r="H208" s="1301"/>
      <c r="I208" s="1302"/>
      <c r="J208" s="1303">
        <v>0</v>
      </c>
      <c r="K208" s="1302"/>
      <c r="L208" s="1303">
        <v>1844.5</v>
      </c>
      <c r="M208" s="1302"/>
      <c r="N208" s="1303">
        <v>0</v>
      </c>
      <c r="O208" s="1302"/>
      <c r="P208" s="1303">
        <v>0</v>
      </c>
      <c r="Q208" s="1302"/>
      <c r="R208" s="1303">
        <v>0</v>
      </c>
      <c r="S208" s="1302"/>
      <c r="T208" s="1303">
        <v>0</v>
      </c>
      <c r="U208" s="1302"/>
      <c r="V208" s="1303">
        <v>0</v>
      </c>
      <c r="W208" s="1302"/>
      <c r="X208" s="1303">
        <v>-0.01</v>
      </c>
      <c r="Y208" s="1302"/>
      <c r="Z208" s="1303">
        <v>0</v>
      </c>
      <c r="AA208" s="1302"/>
      <c r="AB208" s="1303">
        <v>0</v>
      </c>
      <c r="AC208" s="1302"/>
      <c r="AD208" s="1303">
        <v>0</v>
      </c>
      <c r="AE208" s="1302"/>
      <c r="AF208" s="1303">
        <v>0</v>
      </c>
      <c r="AG208" s="1302"/>
      <c r="AH208" s="1303">
        <f t="shared" si="22"/>
        <v>1844.49</v>
      </c>
      <c r="AI208" s="1304">
        <f t="shared" si="23"/>
        <v>2.7784867723451096E-4</v>
      </c>
      <c r="AJ208" s="12"/>
    </row>
    <row r="209" spans="2:36" s="407" customFormat="1" outlineLevel="1">
      <c r="B209" s="24" t="s">
        <v>397</v>
      </c>
      <c r="D209" s="1298">
        <v>70255</v>
      </c>
      <c r="E209" s="1298" t="s">
        <v>63</v>
      </c>
      <c r="F209" s="1299"/>
      <c r="G209" s="1300"/>
      <c r="H209" s="1301"/>
      <c r="I209" s="1302"/>
      <c r="J209" s="1303">
        <v>0.01</v>
      </c>
      <c r="K209" s="1302"/>
      <c r="L209" s="1303">
        <v>0</v>
      </c>
      <c r="M209" s="1302"/>
      <c r="N209" s="1303">
        <v>0</v>
      </c>
      <c r="O209" s="1302"/>
      <c r="P209" s="1303">
        <v>0</v>
      </c>
      <c r="Q209" s="1302"/>
      <c r="R209" s="1303">
        <v>0</v>
      </c>
      <c r="S209" s="1302"/>
      <c r="T209" s="1303">
        <v>0</v>
      </c>
      <c r="U209" s="1302"/>
      <c r="V209" s="1303">
        <v>0</v>
      </c>
      <c r="W209" s="1302"/>
      <c r="X209" s="1303">
        <v>0</v>
      </c>
      <c r="Y209" s="1302"/>
      <c r="Z209" s="1303">
        <v>0</v>
      </c>
      <c r="AA209" s="1302"/>
      <c r="AB209" s="1303">
        <v>0</v>
      </c>
      <c r="AC209" s="1302"/>
      <c r="AD209" s="1303">
        <v>0</v>
      </c>
      <c r="AE209" s="1302"/>
      <c r="AF209" s="1303">
        <v>0</v>
      </c>
      <c r="AG209" s="1302"/>
      <c r="AH209" s="1303">
        <f t="shared" si="22"/>
        <v>0.01</v>
      </c>
      <c r="AI209" s="1304">
        <f t="shared" si="23"/>
        <v>1.5063712854746351E-9</v>
      </c>
      <c r="AJ209" s="12"/>
    </row>
    <row r="210" spans="2:36" s="407" customFormat="1" outlineLevel="1">
      <c r="B210" s="24" t="s">
        <v>397</v>
      </c>
      <c r="D210" s="1298">
        <v>70310</v>
      </c>
      <c r="E210" s="1298" t="s">
        <v>121</v>
      </c>
      <c r="F210" s="1299"/>
      <c r="G210" s="1300"/>
      <c r="H210" s="1301"/>
      <c r="I210" s="1302"/>
      <c r="J210" s="1303">
        <v>1573.89</v>
      </c>
      <c r="K210" s="1302"/>
      <c r="L210" s="1303">
        <v>-1099.6500000000001</v>
      </c>
      <c r="M210" s="1302"/>
      <c r="N210" s="1303">
        <v>-402.2</v>
      </c>
      <c r="O210" s="1302"/>
      <c r="P210" s="1303">
        <v>2226.9499999999998</v>
      </c>
      <c r="Q210" s="1302"/>
      <c r="R210" s="1303">
        <v>-2226.9499999999998</v>
      </c>
      <c r="S210" s="1302"/>
      <c r="T210" s="1303">
        <v>30547.94</v>
      </c>
      <c r="U210" s="1302"/>
      <c r="V210" s="1303">
        <v>-30109.439999999999</v>
      </c>
      <c r="W210" s="1302"/>
      <c r="X210" s="1303">
        <v>-475.54</v>
      </c>
      <c r="Y210" s="1302"/>
      <c r="Z210" s="1303">
        <v>0.04</v>
      </c>
      <c r="AA210" s="1302"/>
      <c r="AB210" s="1303">
        <v>0</v>
      </c>
      <c r="AC210" s="1302"/>
      <c r="AD210" s="1303">
        <v>0</v>
      </c>
      <c r="AE210" s="1302"/>
      <c r="AF210" s="1303">
        <v>0</v>
      </c>
      <c r="AG210" s="1302"/>
      <c r="AH210" s="1303">
        <f t="shared" si="22"/>
        <v>35.039999999999964</v>
      </c>
      <c r="AI210" s="1304">
        <f t="shared" si="23"/>
        <v>5.2783249843031157E-6</v>
      </c>
      <c r="AJ210" s="12"/>
    </row>
    <row r="211" spans="2:36" s="407" customFormat="1" outlineLevel="1">
      <c r="B211" s="24" t="s">
        <v>397</v>
      </c>
      <c r="D211" s="1298">
        <v>70330</v>
      </c>
      <c r="E211" s="1298" t="s">
        <v>438</v>
      </c>
      <c r="F211" s="1299"/>
      <c r="G211" s="1300"/>
      <c r="H211" s="1301"/>
      <c r="I211" s="1302"/>
      <c r="J211" s="1303">
        <v>1775.65</v>
      </c>
      <c r="K211" s="1302"/>
      <c r="L211" s="1303">
        <v>0</v>
      </c>
      <c r="M211" s="1302"/>
      <c r="N211" s="1303">
        <v>0</v>
      </c>
      <c r="O211" s="1302"/>
      <c r="P211" s="1303">
        <v>455.32</v>
      </c>
      <c r="Q211" s="1302"/>
      <c r="R211" s="1303">
        <v>0</v>
      </c>
      <c r="S211" s="1302"/>
      <c r="T211" s="1303">
        <v>0</v>
      </c>
      <c r="U211" s="1302"/>
      <c r="V211" s="1303">
        <v>0</v>
      </c>
      <c r="W211" s="1302"/>
      <c r="X211" s="1303">
        <v>0</v>
      </c>
      <c r="Y211" s="1302"/>
      <c r="Z211" s="1303">
        <v>0</v>
      </c>
      <c r="AA211" s="1302"/>
      <c r="AB211" s="1303">
        <v>0</v>
      </c>
      <c r="AC211" s="1302"/>
      <c r="AD211" s="1303">
        <v>0</v>
      </c>
      <c r="AE211" s="1302"/>
      <c r="AF211" s="1303">
        <v>0</v>
      </c>
      <c r="AG211" s="1302"/>
      <c r="AH211" s="1303">
        <f t="shared" si="22"/>
        <v>2230.9700000000003</v>
      </c>
      <c r="AI211" s="1304">
        <f t="shared" si="23"/>
        <v>3.3606691467553469E-4</v>
      </c>
      <c r="AJ211" s="12"/>
    </row>
    <row r="212" spans="2:36" s="407" customFormat="1" outlineLevel="1">
      <c r="B212" s="24" t="s">
        <v>397</v>
      </c>
      <c r="D212" s="1298">
        <v>70335</v>
      </c>
      <c r="E212" s="1298" t="s">
        <v>43</v>
      </c>
      <c r="F212" s="1299"/>
      <c r="G212" s="1300"/>
      <c r="H212" s="1301"/>
      <c r="I212" s="1302"/>
      <c r="J212" s="1303">
        <v>0</v>
      </c>
      <c r="K212" s="1302"/>
      <c r="L212" s="1303">
        <v>0</v>
      </c>
      <c r="M212" s="1302"/>
      <c r="N212" s="1303">
        <v>0</v>
      </c>
      <c r="O212" s="1302"/>
      <c r="P212" s="1303">
        <v>0</v>
      </c>
      <c r="Q212" s="1302"/>
      <c r="R212" s="1303">
        <v>0.6</v>
      </c>
      <c r="S212" s="1302"/>
      <c r="T212" s="1303">
        <v>0</v>
      </c>
      <c r="U212" s="1302"/>
      <c r="V212" s="1303">
        <v>0</v>
      </c>
      <c r="W212" s="1302"/>
      <c r="X212" s="1303">
        <v>0.02</v>
      </c>
      <c r="Y212" s="1302"/>
      <c r="Z212" s="1303">
        <v>0</v>
      </c>
      <c r="AA212" s="1302"/>
      <c r="AB212" s="1303">
        <v>0</v>
      </c>
      <c r="AC212" s="1302"/>
      <c r="AD212" s="1303">
        <v>0</v>
      </c>
      <c r="AE212" s="1302"/>
      <c r="AF212" s="1303">
        <v>0</v>
      </c>
      <c r="AG212" s="1302"/>
      <c r="AH212" s="1303">
        <f t="shared" si="22"/>
        <v>0.62</v>
      </c>
      <c r="AI212" s="1304">
        <f t="shared" si="23"/>
        <v>9.3395019699427371E-8</v>
      </c>
      <c r="AJ212" s="12"/>
    </row>
    <row r="213" spans="2:36" s="407" customFormat="1" outlineLevel="1">
      <c r="B213" s="24" t="s">
        <v>397</v>
      </c>
      <c r="D213" s="1298">
        <v>70902</v>
      </c>
      <c r="E213" s="1298" t="s">
        <v>825</v>
      </c>
      <c r="F213" s="1299"/>
      <c r="G213" s="1300"/>
      <c r="H213" s="1301"/>
      <c r="I213" s="1302"/>
      <c r="J213" s="1303">
        <v>0</v>
      </c>
      <c r="K213" s="1302"/>
      <c r="L213" s="1303">
        <v>0</v>
      </c>
      <c r="M213" s="1302"/>
      <c r="N213" s="1303">
        <v>0</v>
      </c>
      <c r="O213" s="1302"/>
      <c r="P213" s="1303">
        <v>0</v>
      </c>
      <c r="Q213" s="1302"/>
      <c r="R213" s="1303">
        <v>0</v>
      </c>
      <c r="S213" s="1302"/>
      <c r="T213" s="1303">
        <v>0</v>
      </c>
      <c r="U213" s="1302"/>
      <c r="V213" s="1303">
        <v>0</v>
      </c>
      <c r="W213" s="1302"/>
      <c r="X213" s="1303">
        <v>0</v>
      </c>
      <c r="Y213" s="1302"/>
      <c r="Z213" s="1303">
        <v>0</v>
      </c>
      <c r="AA213" s="1302"/>
      <c r="AB213" s="1303">
        <v>0</v>
      </c>
      <c r="AC213" s="1302"/>
      <c r="AD213" s="1303">
        <v>0</v>
      </c>
      <c r="AE213" s="1302"/>
      <c r="AF213" s="1303">
        <v>0</v>
      </c>
      <c r="AG213" s="1302"/>
      <c r="AH213" s="1303">
        <f t="shared" si="22"/>
        <v>0</v>
      </c>
      <c r="AI213" s="1304">
        <f t="shared" si="23"/>
        <v>0</v>
      </c>
      <c r="AJ213" s="12"/>
    </row>
    <row r="214" spans="2:36" s="8" customFormat="1" ht="5.0999999999999996" customHeight="1" outlineLevel="1">
      <c r="B214" s="2" t="s">
        <v>194</v>
      </c>
      <c r="D214" s="1299"/>
      <c r="E214" s="1299"/>
      <c r="F214" s="1299"/>
      <c r="G214" s="1299"/>
      <c r="H214" s="1301"/>
      <c r="I214" s="1301"/>
      <c r="J214" s="1311"/>
      <c r="K214" s="1309"/>
      <c r="L214" s="1311"/>
      <c r="M214" s="1309"/>
      <c r="N214" s="1311"/>
      <c r="O214" s="1309"/>
      <c r="P214" s="1311"/>
      <c r="Q214" s="1309"/>
      <c r="R214" s="1311"/>
      <c r="S214" s="1309"/>
      <c r="T214" s="1311"/>
      <c r="U214" s="1309"/>
      <c r="V214" s="1311"/>
      <c r="W214" s="1309"/>
      <c r="X214" s="1311"/>
      <c r="Y214" s="1309"/>
      <c r="Z214" s="1311"/>
      <c r="AA214" s="1309"/>
      <c r="AB214" s="1311"/>
      <c r="AC214" s="1309"/>
      <c r="AD214" s="1311"/>
      <c r="AE214" s="1309"/>
      <c r="AF214" s="1311"/>
      <c r="AG214" s="1309"/>
      <c r="AH214" s="1311"/>
      <c r="AI214" s="1306"/>
      <c r="AJ214" s="15"/>
    </row>
    <row r="215" spans="2:36" s="8" customFormat="1" ht="15">
      <c r="B215" s="2" t="s">
        <v>194</v>
      </c>
      <c r="D215" s="1301"/>
      <c r="E215" s="1301"/>
      <c r="F215" s="1299" t="s">
        <v>266</v>
      </c>
      <c r="G215" s="1301"/>
      <c r="H215" s="1301"/>
      <c r="I215" s="1301"/>
      <c r="J215" s="1308">
        <f>SUM(J186:J214)</f>
        <v>22571.419999999995</v>
      </c>
      <c r="K215" s="1309"/>
      <c r="L215" s="1308">
        <f>SUM(L186:L214)</f>
        <v>15311.47</v>
      </c>
      <c r="M215" s="1309"/>
      <c r="N215" s="1308">
        <f>SUM(N186:N214)</f>
        <v>15647.989999999998</v>
      </c>
      <c r="O215" s="1309"/>
      <c r="P215" s="1308">
        <f>SUM(P186:P214)</f>
        <v>27085.310000000005</v>
      </c>
      <c r="Q215" s="1309"/>
      <c r="R215" s="1308">
        <f>SUM(R186:R214)</f>
        <v>19982.120000000003</v>
      </c>
      <c r="S215" s="1309"/>
      <c r="T215" s="1308">
        <f>SUM(T186:T214)</f>
        <v>49596.619999999995</v>
      </c>
      <c r="U215" s="1309"/>
      <c r="V215" s="1308">
        <f>SUM(V186:V214)</f>
        <v>-14140.41</v>
      </c>
      <c r="W215" s="1309"/>
      <c r="X215" s="1308">
        <f>SUM(X186:X214)</f>
        <v>14792.410000000002</v>
      </c>
      <c r="Y215" s="1309"/>
      <c r="Z215" s="1308">
        <f>SUM(Z186:Z214)</f>
        <v>17885.940000000002</v>
      </c>
      <c r="AA215" s="1309"/>
      <c r="AB215" s="1308">
        <f>SUM(AB186:AB214)</f>
        <v>16699.37</v>
      </c>
      <c r="AC215" s="1309"/>
      <c r="AD215" s="1308">
        <f>SUM(AD186:AD214)</f>
        <v>17261.309999999998</v>
      </c>
      <c r="AE215" s="1309"/>
      <c r="AF215" s="1308">
        <f>SUM(AF186:AF214)</f>
        <v>16882.459999999995</v>
      </c>
      <c r="AG215" s="1309"/>
      <c r="AH215" s="1308">
        <f>SUM(AH186:AH214)</f>
        <v>219576.00999999998</v>
      </c>
      <c r="AI215" s="1304">
        <f>IF(AH$59=0,0,AH215/AH$59)</f>
        <v>3.307629964430913E-2</v>
      </c>
      <c r="AJ215" s="15"/>
    </row>
    <row r="216" spans="2:36" s="8" customFormat="1" ht="15" outlineLevel="1">
      <c r="B216" s="2" t="s">
        <v>194</v>
      </c>
      <c r="D216" s="1301"/>
      <c r="E216" s="1301"/>
      <c r="F216" s="1301"/>
      <c r="G216" s="1301"/>
      <c r="H216" s="1301"/>
      <c r="I216" s="1301"/>
      <c r="J216" s="1310"/>
      <c r="K216" s="1309"/>
      <c r="L216" s="1310"/>
      <c r="M216" s="1309"/>
      <c r="N216" s="1310"/>
      <c r="O216" s="1309"/>
      <c r="P216" s="1310"/>
      <c r="Q216" s="1309"/>
      <c r="R216" s="1310"/>
      <c r="S216" s="1309"/>
      <c r="T216" s="1310"/>
      <c r="U216" s="1309"/>
      <c r="V216" s="1310"/>
      <c r="W216" s="1309"/>
      <c r="X216" s="1310"/>
      <c r="Y216" s="1309"/>
      <c r="Z216" s="1310"/>
      <c r="AA216" s="1309"/>
      <c r="AB216" s="1310"/>
      <c r="AC216" s="1309"/>
      <c r="AD216" s="1310"/>
      <c r="AE216" s="1309"/>
      <c r="AF216" s="1310"/>
      <c r="AG216" s="1309"/>
      <c r="AH216" s="1310"/>
      <c r="AI216" s="1306"/>
      <c r="AJ216" s="15"/>
    </row>
    <row r="217" spans="2:36" s="407" customFormat="1" outlineLevel="1">
      <c r="B217" s="24" t="s">
        <v>420</v>
      </c>
      <c r="D217" s="1298">
        <v>70149</v>
      </c>
      <c r="E217" s="1298" t="s">
        <v>267</v>
      </c>
      <c r="F217" s="1299"/>
      <c r="G217" s="1300"/>
      <c r="H217" s="1301"/>
      <c r="I217" s="1302"/>
      <c r="J217" s="1303">
        <v>18776.03</v>
      </c>
      <c r="K217" s="1302"/>
      <c r="L217" s="1303">
        <v>16565.41</v>
      </c>
      <c r="M217" s="1302"/>
      <c r="N217" s="1303">
        <v>16050.5</v>
      </c>
      <c r="O217" s="1302"/>
      <c r="P217" s="1303">
        <v>15391.88</v>
      </c>
      <c r="Q217" s="1302"/>
      <c r="R217" s="1303">
        <v>13612.95</v>
      </c>
      <c r="S217" s="1302"/>
      <c r="T217" s="1303">
        <v>15092.24</v>
      </c>
      <c r="U217" s="1302"/>
      <c r="V217" s="1303">
        <v>15032.69</v>
      </c>
      <c r="W217" s="1302"/>
      <c r="X217" s="1303">
        <v>12803.02</v>
      </c>
      <c r="Y217" s="1302"/>
      <c r="Z217" s="1303">
        <v>16085.63</v>
      </c>
      <c r="AA217" s="1302"/>
      <c r="AB217" s="1303">
        <v>14157.13</v>
      </c>
      <c r="AC217" s="1302"/>
      <c r="AD217" s="1303">
        <v>16524.05</v>
      </c>
      <c r="AE217" s="1302"/>
      <c r="AF217" s="1303">
        <v>17974.330000000002</v>
      </c>
      <c r="AG217" s="1302"/>
      <c r="AH217" s="1303">
        <f>AF217+AD217+AB217+Z217+X217+V217+T217+R217+P217+N217+L217+J217</f>
        <v>188065.86000000002</v>
      </c>
      <c r="AI217" s="1304">
        <f>IF(AH$59=0,0,AH217/AH$59)</f>
        <v>2.8329701128209279E-2</v>
      </c>
      <c r="AJ217" s="12"/>
    </row>
    <row r="218" spans="2:36" s="8" customFormat="1" ht="5.0999999999999996" customHeight="1" outlineLevel="1">
      <c r="B218" s="2" t="s">
        <v>194</v>
      </c>
      <c r="D218" s="1299"/>
      <c r="E218" s="1299"/>
      <c r="F218" s="1299"/>
      <c r="G218" s="1299"/>
      <c r="H218" s="1301"/>
      <c r="I218" s="1301"/>
      <c r="J218" s="1311"/>
      <c r="K218" s="1309"/>
      <c r="L218" s="1311"/>
      <c r="M218" s="1309"/>
      <c r="N218" s="1311"/>
      <c r="O218" s="1309"/>
      <c r="P218" s="1311"/>
      <c r="Q218" s="1309"/>
      <c r="R218" s="1311"/>
      <c r="S218" s="1309"/>
      <c r="T218" s="1311"/>
      <c r="U218" s="1309"/>
      <c r="V218" s="1311"/>
      <c r="W218" s="1309"/>
      <c r="X218" s="1311"/>
      <c r="Y218" s="1309"/>
      <c r="Z218" s="1311"/>
      <c r="AA218" s="1309"/>
      <c r="AB218" s="1311"/>
      <c r="AC218" s="1309"/>
      <c r="AD218" s="1311"/>
      <c r="AE218" s="1309"/>
      <c r="AF218" s="1311"/>
      <c r="AG218" s="1309"/>
      <c r="AH218" s="1311"/>
      <c r="AI218" s="1306"/>
      <c r="AJ218" s="15"/>
    </row>
    <row r="219" spans="2:36" s="8" customFormat="1" ht="15">
      <c r="B219" s="2" t="s">
        <v>194</v>
      </c>
      <c r="D219" s="1301"/>
      <c r="E219" s="1301"/>
      <c r="F219" s="1298" t="s">
        <v>268</v>
      </c>
      <c r="G219" s="1301"/>
      <c r="H219" s="1301"/>
      <c r="I219" s="1301"/>
      <c r="J219" s="1308">
        <f>SUM(J216:J218)</f>
        <v>18776.03</v>
      </c>
      <c r="K219" s="1309"/>
      <c r="L219" s="1308">
        <f>SUM(L216:L218)</f>
        <v>16565.41</v>
      </c>
      <c r="M219" s="1309"/>
      <c r="N219" s="1308">
        <f>SUM(N216:N218)</f>
        <v>16050.5</v>
      </c>
      <c r="O219" s="1309"/>
      <c r="P219" s="1308">
        <f>SUM(P216:P218)</f>
        <v>15391.88</v>
      </c>
      <c r="Q219" s="1309"/>
      <c r="R219" s="1308">
        <f>SUM(R216:R218)</f>
        <v>13612.95</v>
      </c>
      <c r="S219" s="1309"/>
      <c r="T219" s="1308">
        <f>SUM(T216:T218)</f>
        <v>15092.24</v>
      </c>
      <c r="U219" s="1309"/>
      <c r="V219" s="1308">
        <f>SUM(V216:V218)</f>
        <v>15032.69</v>
      </c>
      <c r="W219" s="1309"/>
      <c r="X219" s="1308">
        <f>SUM(X216:X218)</f>
        <v>12803.02</v>
      </c>
      <c r="Y219" s="1309"/>
      <c r="Z219" s="1308">
        <f>SUM(Z216:Z218)</f>
        <v>16085.63</v>
      </c>
      <c r="AA219" s="1309"/>
      <c r="AB219" s="1308">
        <f>SUM(AB216:AB218)</f>
        <v>14157.13</v>
      </c>
      <c r="AC219" s="1309"/>
      <c r="AD219" s="1308">
        <f>SUM(AD216:AD218)</f>
        <v>16524.05</v>
      </c>
      <c r="AE219" s="1309"/>
      <c r="AF219" s="1308">
        <f>SUM(AF216:AF218)</f>
        <v>17974.330000000002</v>
      </c>
      <c r="AG219" s="1309"/>
      <c r="AH219" s="1308">
        <f>SUM(AH216:AH218)</f>
        <v>188065.86000000002</v>
      </c>
      <c r="AI219" s="1304">
        <f>IF(AH$59=0,0,AH219/AH$59)</f>
        <v>2.8329701128209279E-2</v>
      </c>
      <c r="AJ219" s="15"/>
    </row>
    <row r="220" spans="2:36" s="8" customFormat="1" ht="7.5" customHeight="1">
      <c r="B220" s="2"/>
      <c r="D220" s="1301"/>
      <c r="E220" s="1301"/>
      <c r="F220" s="1301"/>
      <c r="G220" s="1301"/>
      <c r="H220" s="1301"/>
      <c r="I220" s="1301"/>
      <c r="J220" s="1310"/>
      <c r="K220" s="1309"/>
      <c r="L220" s="1310"/>
      <c r="M220" s="1309"/>
      <c r="N220" s="1310"/>
      <c r="O220" s="1309"/>
      <c r="P220" s="1310"/>
      <c r="Q220" s="1309"/>
      <c r="R220" s="1310"/>
      <c r="S220" s="1309"/>
      <c r="T220" s="1310"/>
      <c r="U220" s="1309"/>
      <c r="V220" s="1310"/>
      <c r="W220" s="1309"/>
      <c r="X220" s="1310"/>
      <c r="Y220" s="1309"/>
      <c r="Z220" s="1310"/>
      <c r="AA220" s="1309"/>
      <c r="AB220" s="1310"/>
      <c r="AC220" s="1309"/>
      <c r="AD220" s="1310"/>
      <c r="AE220" s="1309"/>
      <c r="AF220" s="1310"/>
      <c r="AG220" s="1309"/>
      <c r="AH220" s="1310"/>
      <c r="AI220" s="1306"/>
      <c r="AJ220" s="15"/>
    </row>
    <row r="221" spans="2:36" s="8" customFormat="1" ht="15">
      <c r="B221" s="2"/>
      <c r="D221" s="1301"/>
      <c r="E221" s="1313" t="s">
        <v>269</v>
      </c>
      <c r="F221" s="1301"/>
      <c r="G221" s="1301"/>
      <c r="H221" s="1301"/>
      <c r="I221" s="1301"/>
      <c r="J221" s="1314">
        <f>+J184+J215+J219</f>
        <v>41347.449999999997</v>
      </c>
      <c r="K221" s="1309"/>
      <c r="L221" s="1314">
        <f>+L184+L215+L219</f>
        <v>31876.879999999997</v>
      </c>
      <c r="M221" s="1309"/>
      <c r="N221" s="1314">
        <f>+N184+N215+N219</f>
        <v>31698.489999999998</v>
      </c>
      <c r="O221" s="1309"/>
      <c r="P221" s="1314">
        <f>+P184+P215+P219</f>
        <v>42477.19</v>
      </c>
      <c r="Q221" s="1309"/>
      <c r="R221" s="1314">
        <f>+R184+R215+R219</f>
        <v>33595.070000000007</v>
      </c>
      <c r="S221" s="1309"/>
      <c r="T221" s="1314">
        <f>+T184+T215+T219</f>
        <v>64688.859999999993</v>
      </c>
      <c r="U221" s="1309"/>
      <c r="V221" s="1314">
        <f>+V184+V215+V219</f>
        <v>892.28000000000065</v>
      </c>
      <c r="W221" s="1309"/>
      <c r="X221" s="1314">
        <f>+X184+X215+X219</f>
        <v>27595.43</v>
      </c>
      <c r="Y221" s="1309"/>
      <c r="Z221" s="1314">
        <f>+Z184+Z215+Z219</f>
        <v>33971.57</v>
      </c>
      <c r="AA221" s="1309"/>
      <c r="AB221" s="1314">
        <f>+AB184+AB215+AB219</f>
        <v>30856.5</v>
      </c>
      <c r="AC221" s="1309"/>
      <c r="AD221" s="1314">
        <f>+AD184+AD215+AD219</f>
        <v>33785.360000000001</v>
      </c>
      <c r="AE221" s="1309"/>
      <c r="AF221" s="1314">
        <f>+AF184+AF215+AF219</f>
        <v>34856.789999999994</v>
      </c>
      <c r="AG221" s="1309"/>
      <c r="AH221" s="1314">
        <f>+AH184+AH215+AH219</f>
        <v>407641.87</v>
      </c>
      <c r="AI221" s="1304">
        <f>IF(AH$59=0,0,AH221/AH$59)</f>
        <v>6.1406000772518406E-2</v>
      </c>
      <c r="AJ221" s="15"/>
    </row>
    <row r="222" spans="2:36" s="8" customFormat="1" ht="7.5" customHeight="1">
      <c r="B222" s="2"/>
      <c r="D222" s="1301"/>
      <c r="E222" s="1301"/>
      <c r="F222" s="1301"/>
      <c r="G222" s="1301"/>
      <c r="H222" s="1301"/>
      <c r="I222" s="1301"/>
      <c r="J222" s="1310"/>
      <c r="K222" s="1309"/>
      <c r="L222" s="1310"/>
      <c r="M222" s="1309"/>
      <c r="N222" s="1310"/>
      <c r="O222" s="1309"/>
      <c r="P222" s="1310"/>
      <c r="Q222" s="1309"/>
      <c r="R222" s="1310"/>
      <c r="S222" s="1309"/>
      <c r="T222" s="1310"/>
      <c r="U222" s="1309"/>
      <c r="V222" s="1310"/>
      <c r="W222" s="1309"/>
      <c r="X222" s="1310"/>
      <c r="Y222" s="1309"/>
      <c r="Z222" s="1310"/>
      <c r="AA222" s="1309"/>
      <c r="AB222" s="1310"/>
      <c r="AC222" s="1309"/>
      <c r="AD222" s="1310"/>
      <c r="AE222" s="1309"/>
      <c r="AF222" s="1310"/>
      <c r="AG222" s="1309"/>
      <c r="AH222" s="1310"/>
      <c r="AI222" s="1306"/>
      <c r="AJ222" s="15"/>
    </row>
    <row r="223" spans="2:36" s="8" customFormat="1" ht="7.5" customHeight="1">
      <c r="B223" s="2" t="s">
        <v>194</v>
      </c>
      <c r="D223" s="1320"/>
      <c r="E223" s="1320"/>
      <c r="F223" s="1320"/>
      <c r="G223" s="1320"/>
      <c r="H223" s="1320"/>
      <c r="I223" s="1320"/>
      <c r="J223" s="1318"/>
      <c r="K223" s="1309"/>
      <c r="L223" s="1318"/>
      <c r="M223" s="1309"/>
      <c r="N223" s="1318"/>
      <c r="O223" s="1309"/>
      <c r="P223" s="1318"/>
      <c r="Q223" s="1309"/>
      <c r="R223" s="1318"/>
      <c r="S223" s="1309"/>
      <c r="T223" s="1318"/>
      <c r="U223" s="1309"/>
      <c r="V223" s="1318"/>
      <c r="W223" s="1309"/>
      <c r="X223" s="1318"/>
      <c r="Y223" s="1309"/>
      <c r="Z223" s="1318"/>
      <c r="AA223" s="1309"/>
      <c r="AB223" s="1318"/>
      <c r="AC223" s="1309"/>
      <c r="AD223" s="1318"/>
      <c r="AE223" s="1309"/>
      <c r="AF223" s="1318"/>
      <c r="AG223" s="1309"/>
      <c r="AH223" s="1318"/>
      <c r="AI223" s="1306"/>
      <c r="AJ223" s="15"/>
    </row>
    <row r="224" spans="2:36" s="8" customFormat="1" ht="15">
      <c r="B224" s="2" t="s">
        <v>194</v>
      </c>
      <c r="D224" s="1301"/>
      <c r="E224" s="1316" t="s">
        <v>270</v>
      </c>
      <c r="F224" s="1301"/>
      <c r="G224" s="1301"/>
      <c r="H224" s="1301"/>
      <c r="I224" s="1301"/>
      <c r="J224" s="1314">
        <f>+J179-J221</f>
        <v>177646.3299999999</v>
      </c>
      <c r="K224" s="1309"/>
      <c r="L224" s="1314">
        <f>+L179-L221</f>
        <v>168192.79999999993</v>
      </c>
      <c r="M224" s="1321"/>
      <c r="N224" s="1314">
        <f>+N179-N221</f>
        <v>113425.55000000005</v>
      </c>
      <c r="O224" s="1321"/>
      <c r="P224" s="1314">
        <f>+P179-P221</f>
        <v>119555.06</v>
      </c>
      <c r="Q224" s="1309"/>
      <c r="R224" s="1314">
        <f>+R179-R221</f>
        <v>235439.75999999995</v>
      </c>
      <c r="S224" s="1321"/>
      <c r="T224" s="1314">
        <f>+T179-T221</f>
        <v>87207.589999999967</v>
      </c>
      <c r="U224" s="1321"/>
      <c r="V224" s="1314">
        <f>+V179-V221</f>
        <v>289079.29999999987</v>
      </c>
      <c r="W224" s="1309"/>
      <c r="X224" s="1314">
        <f>+X179-X221</f>
        <v>213326.19999999998</v>
      </c>
      <c r="Y224" s="1321"/>
      <c r="Z224" s="1314">
        <f>+Z179-Z221</f>
        <v>202006.69000000003</v>
      </c>
      <c r="AA224" s="1321"/>
      <c r="AB224" s="1314">
        <f>+AB179-AB221</f>
        <v>149014.28</v>
      </c>
      <c r="AC224" s="1309"/>
      <c r="AD224" s="1314">
        <f>+AD179-AD221</f>
        <v>222713.07</v>
      </c>
      <c r="AE224" s="1321"/>
      <c r="AF224" s="1314">
        <f>+AF179-AF221</f>
        <v>162058.80000000005</v>
      </c>
      <c r="AG224" s="1321"/>
      <c r="AH224" s="1314">
        <f>+AH179-AH221</f>
        <v>2139665.4300000002</v>
      </c>
      <c r="AI224" s="1304">
        <f>IF(AH$59=0,0,AH224/AH$59)</f>
        <v>0.32231305642747382</v>
      </c>
      <c r="AJ224" s="19"/>
    </row>
    <row r="225" spans="1:36" s="8" customFormat="1" ht="6.75" customHeight="1">
      <c r="A225" s="27"/>
      <c r="B225" s="2" t="s">
        <v>194</v>
      </c>
      <c r="C225" s="2"/>
      <c r="D225" s="1322"/>
      <c r="E225" s="1322"/>
      <c r="F225" s="1322"/>
      <c r="G225" s="1322"/>
      <c r="H225" s="1322"/>
      <c r="I225" s="1322"/>
      <c r="J225" s="1323"/>
      <c r="K225" s="1322"/>
      <c r="L225" s="1323"/>
      <c r="M225" s="1322"/>
      <c r="N225" s="1323"/>
      <c r="O225" s="1322"/>
      <c r="P225" s="1323"/>
      <c r="Q225" s="1322"/>
      <c r="R225" s="1323"/>
      <c r="S225" s="1322"/>
      <c r="T225" s="1323"/>
      <c r="U225" s="1322"/>
      <c r="V225" s="1323"/>
      <c r="W225" s="1322"/>
      <c r="X225" s="1323"/>
      <c r="Y225" s="1322"/>
      <c r="Z225" s="1323"/>
      <c r="AA225" s="1322"/>
      <c r="AB225" s="1323"/>
      <c r="AC225" s="1322"/>
      <c r="AD225" s="1323"/>
      <c r="AE225" s="1322"/>
      <c r="AF225" s="1323"/>
      <c r="AG225" s="1322"/>
      <c r="AH225" s="1323"/>
      <c r="AI225" s="1324"/>
      <c r="AJ225" s="15"/>
    </row>
    <row r="226" spans="1:36" s="8" customFormat="1" ht="15">
      <c r="A226" s="27"/>
      <c r="B226" s="2" t="s">
        <v>194</v>
      </c>
      <c r="C226" s="2"/>
      <c r="D226" s="1301"/>
      <c r="E226" s="1313" t="s">
        <v>271</v>
      </c>
      <c r="F226" s="1301"/>
      <c r="G226" s="1301"/>
      <c r="H226" s="1301"/>
      <c r="I226" s="1301"/>
      <c r="J226" s="1325">
        <f>J224 +J171+SUMIF($D:$D,52141,J:J)+SUMIF($D:$D,52142,J:J)+SUMIF($D:$D,52143,J:J)+SUMIF($D:$D,55142,J:J)+SUMIF($D:$D,56142,J:J)+SUMIF($D:$D,70142,J:J)</f>
        <v>188422.43999999989</v>
      </c>
      <c r="K226" s="1301"/>
      <c r="L226" s="1325">
        <f>L224 +L171+SUMIF($D:$D,52141,L:L)+SUMIF($D:$D,52142,L:L)+SUMIF($D:$D,52143,L:L)+SUMIF($D:$D,55142,L:L)+SUMIF($D:$D,56142,L:L)+SUMIF($D:$D,70142,L:L)</f>
        <v>179644.99999999994</v>
      </c>
      <c r="M226" s="1301"/>
      <c r="N226" s="1325">
        <f>N224 +N171+SUMIF($D:$D,52141,N:N)+SUMIF($D:$D,52142,N:N)+SUMIF($D:$D,52143,N:N)+SUMIF($D:$D,55142,N:N)+SUMIF($D:$D,56142,N:N)+SUMIF($D:$D,70142,N:N)</f>
        <v>124553.23000000005</v>
      </c>
      <c r="O226" s="1301"/>
      <c r="P226" s="1325">
        <f>P224 +P171+SUMIF($D:$D,52141,P:P)+SUMIF($D:$D,52142,P:P)+SUMIF($D:$D,52143,P:P)+SUMIF($D:$D,55142,P:P)+SUMIF($D:$D,56142,P:P)+SUMIF($D:$D,70142,P:P)</f>
        <v>147075.05000000002</v>
      </c>
      <c r="Q226" s="1301"/>
      <c r="R226" s="1325">
        <f>R224 +R171+SUMIF($D:$D,52141,R:R)+SUMIF($D:$D,52142,R:R)+SUMIF($D:$D,52143,R:R)+SUMIF($D:$D,55142,R:R)+SUMIF($D:$D,56142,R:R)+SUMIF($D:$D,70142,R:R)</f>
        <v>246212.17999999993</v>
      </c>
      <c r="S226" s="1301"/>
      <c r="T226" s="1325">
        <f>T224 +T171+SUMIF($D:$D,52141,T:T)+SUMIF($D:$D,52142,T:T)+SUMIF($D:$D,52143,T:T)+SUMIF($D:$D,55142,T:T)+SUMIF($D:$D,56142,T:T)+SUMIF($D:$D,70142,T:T)</f>
        <v>97195.749999999971</v>
      </c>
      <c r="U226" s="1301"/>
      <c r="V226" s="1325">
        <f>V224 +V171+SUMIF($D:$D,52141,V:V)+SUMIF($D:$D,52142,V:V)+SUMIF($D:$D,52143,V:V)+SUMIF($D:$D,55142,V:V)+SUMIF($D:$D,56142,V:V)+SUMIF($D:$D,70142,V:V)</f>
        <v>301340.71999999986</v>
      </c>
      <c r="W226" s="1301"/>
      <c r="X226" s="1325">
        <f>X224 +X171+SUMIF($D:$D,52141,X:X)+SUMIF($D:$D,52142,X:X)+SUMIF($D:$D,52143,X:X)+SUMIF($D:$D,55142,X:X)+SUMIF($D:$D,56142,X:X)+SUMIF($D:$D,70142,X:X)</f>
        <v>220775.77999999997</v>
      </c>
      <c r="Y226" s="1301"/>
      <c r="Z226" s="1325">
        <f>Z224 +Z171+SUMIF($D:$D,52141,Z:Z)+SUMIF($D:$D,52142,Z:Z)+SUMIF($D:$D,52143,Z:Z)+SUMIF($D:$D,55142,Z:Z)+SUMIF($D:$D,56142,Z:Z)+SUMIF($D:$D,70142,Z:Z)</f>
        <v>211883.30000000002</v>
      </c>
      <c r="AA226" s="1301"/>
      <c r="AB226" s="1325">
        <f>AB224 +AB171+SUMIF($D:$D,52141,AB:AB)+SUMIF($D:$D,52142,AB:AB)+SUMIF($D:$D,52143,AB:AB)+SUMIF($D:$D,55142,AB:AB)+SUMIF($D:$D,56142,AB:AB)+SUMIF($D:$D,70142,AB:AB)</f>
        <v>156845.88</v>
      </c>
      <c r="AC226" s="1301"/>
      <c r="AD226" s="1325">
        <f>AD224 +AD171+SUMIF($D:$D,52141,AD:AD)+SUMIF($D:$D,52142,AD:AD)+SUMIF($D:$D,52143,AD:AD)+SUMIF($D:$D,55142,AD:AD)+SUMIF($D:$D,56142,AD:AD)+SUMIF($D:$D,70142,AD:AD)</f>
        <v>236621.88</v>
      </c>
      <c r="AE226" s="1301"/>
      <c r="AF226" s="1325">
        <f>AF224 +AF171+SUMIF($D:$D,52141,AF:AF)+SUMIF($D:$D,52142,AF:AF)+SUMIF($D:$D,52143,AF:AF)+SUMIF($D:$D,55142,AF:AF)+SUMIF($D:$D,56142,AF:AF)+SUMIF($D:$D,70142,AF:AF)</f>
        <v>179784.44000000003</v>
      </c>
      <c r="AG226" s="1301"/>
      <c r="AH226" s="1325">
        <f>AH224 +AH171+SUMIF($D:$D,52141,AH:AH)+SUMIF($D:$D,52142,AH:AH)+SUMIF($D:$D,52143,AH:AH)+SUMIF($D:$D,55142,AH:AH)+SUMIF($D:$D,56142,AH:AH)+SUMIF($D:$D,70142,AH:AH)</f>
        <v>2290355.6500000004</v>
      </c>
      <c r="AI226" s="1304">
        <f>IF(AH$59=0,0,AH226/AH$59)</f>
        <v>0.34501259846845939</v>
      </c>
      <c r="AJ226" s="19"/>
    </row>
    <row r="227" spans="1:36" s="8" customFormat="1" ht="6.75" customHeight="1">
      <c r="A227" s="13"/>
      <c r="B227" s="2" t="s">
        <v>194</v>
      </c>
      <c r="C227" s="2"/>
      <c r="D227" s="1301"/>
      <c r="E227" s="1301"/>
      <c r="F227" s="1301"/>
      <c r="G227" s="1301"/>
      <c r="H227" s="1301"/>
      <c r="I227" s="1301"/>
      <c r="J227" s="1310"/>
      <c r="K227" s="1310"/>
      <c r="L227" s="1310"/>
      <c r="M227" s="1310"/>
      <c r="N227" s="1310"/>
      <c r="O227" s="1310"/>
      <c r="P227" s="1310"/>
      <c r="Q227" s="1310"/>
      <c r="R227" s="1310"/>
      <c r="S227" s="1310"/>
      <c r="T227" s="1310"/>
      <c r="U227" s="1310"/>
      <c r="V227" s="1310"/>
      <c r="W227" s="1310"/>
      <c r="X227" s="1310"/>
      <c r="Y227" s="1310"/>
      <c r="Z227" s="1310"/>
      <c r="AA227" s="1310"/>
      <c r="AB227" s="1310"/>
      <c r="AC227" s="1310"/>
      <c r="AD227" s="1310"/>
      <c r="AE227" s="1310"/>
      <c r="AF227" s="1310"/>
      <c r="AG227" s="1310"/>
      <c r="AH227" s="1310"/>
      <c r="AI227" s="1324"/>
      <c r="AJ227" s="15"/>
    </row>
    <row r="228" spans="1:36" s="407" customFormat="1" outlineLevel="1">
      <c r="B228" s="24" t="s">
        <v>421</v>
      </c>
      <c r="D228" s="1298">
        <v>51260</v>
      </c>
      <c r="E228" s="1298" t="s">
        <v>272</v>
      </c>
      <c r="F228" s="1299"/>
      <c r="G228" s="1300"/>
      <c r="H228" s="1301"/>
      <c r="I228" s="1302"/>
      <c r="J228" s="1303">
        <v>10085.790000000001</v>
      </c>
      <c r="K228" s="1302"/>
      <c r="L228" s="1303">
        <v>9996.2900000000009</v>
      </c>
      <c r="M228" s="1302"/>
      <c r="N228" s="1303">
        <v>9996.27</v>
      </c>
      <c r="O228" s="1302"/>
      <c r="P228" s="1303">
        <v>9347.75</v>
      </c>
      <c r="Q228" s="1302"/>
      <c r="R228" s="1303">
        <v>9118.8799999999992</v>
      </c>
      <c r="S228" s="1302"/>
      <c r="T228" s="1303">
        <v>9118.82</v>
      </c>
      <c r="U228" s="1302"/>
      <c r="V228" s="1303">
        <v>9118.7900000000009</v>
      </c>
      <c r="W228" s="1302"/>
      <c r="X228" s="1303">
        <v>9118.84</v>
      </c>
      <c r="Y228" s="1302"/>
      <c r="Z228" s="1303">
        <v>9118.8700000000008</v>
      </c>
      <c r="AA228" s="1302"/>
      <c r="AB228" s="1303">
        <v>9118.7800000000007</v>
      </c>
      <c r="AC228" s="1302"/>
      <c r="AD228" s="1303">
        <v>9118.8799999999992</v>
      </c>
      <c r="AE228" s="1302"/>
      <c r="AF228" s="1303">
        <v>9118.81</v>
      </c>
      <c r="AG228" s="1302"/>
      <c r="AH228" s="1303">
        <f t="shared" ref="AH228:AH229" si="24">AF228+AD228+AB228+Z228+X228+V228+T228+R228+P228+N228+L228+J228</f>
        <v>112376.77000000002</v>
      </c>
      <c r="AI228" s="1304">
        <f t="shared" ref="AI228:AI229" si="25">IF(AH$59=0,0,AH228/AH$59)</f>
        <v>1.6928113948238743E-2</v>
      </c>
      <c r="AJ228" s="12"/>
    </row>
    <row r="229" spans="1:36" s="407" customFormat="1" outlineLevel="1">
      <c r="B229" s="24" t="s">
        <v>397</v>
      </c>
      <c r="D229" s="1298">
        <v>70260</v>
      </c>
      <c r="E229" s="1298" t="s">
        <v>272</v>
      </c>
      <c r="F229" s="1299"/>
      <c r="G229" s="1300"/>
      <c r="H229" s="1301"/>
      <c r="I229" s="1302"/>
      <c r="J229" s="1303">
        <v>1066.07</v>
      </c>
      <c r="K229" s="1302"/>
      <c r="L229" s="1303">
        <v>1066.07</v>
      </c>
      <c r="M229" s="1302"/>
      <c r="N229" s="1303">
        <v>1066.07</v>
      </c>
      <c r="O229" s="1302"/>
      <c r="P229" s="1303">
        <v>1066.07</v>
      </c>
      <c r="Q229" s="1302"/>
      <c r="R229" s="1303">
        <v>1066.08</v>
      </c>
      <c r="S229" s="1302"/>
      <c r="T229" s="1303">
        <v>1066.07</v>
      </c>
      <c r="U229" s="1302"/>
      <c r="V229" s="1303">
        <v>1066.07</v>
      </c>
      <c r="W229" s="1302"/>
      <c r="X229" s="1303">
        <v>1066.07</v>
      </c>
      <c r="Y229" s="1302"/>
      <c r="Z229" s="1303">
        <v>859.4</v>
      </c>
      <c r="AA229" s="1302"/>
      <c r="AB229" s="1303">
        <v>859.41</v>
      </c>
      <c r="AC229" s="1302"/>
      <c r="AD229" s="1303">
        <v>859.41</v>
      </c>
      <c r="AE229" s="1302"/>
      <c r="AF229" s="1303">
        <v>859.4</v>
      </c>
      <c r="AG229" s="1302"/>
      <c r="AH229" s="1303">
        <f t="shared" si="24"/>
        <v>11966.189999999999</v>
      </c>
      <c r="AI229" s="1304">
        <f t="shared" si="25"/>
        <v>1.8025525012533722E-3</v>
      </c>
      <c r="AJ229" s="12"/>
    </row>
    <row r="230" spans="1:36" s="8" customFormat="1" ht="5.0999999999999996" customHeight="1" outlineLevel="1">
      <c r="A230" s="13"/>
      <c r="B230" s="2" t="s">
        <v>194</v>
      </c>
      <c r="C230" s="2"/>
      <c r="D230" s="1299"/>
      <c r="E230" s="1299"/>
      <c r="F230" s="1299"/>
      <c r="G230" s="1299"/>
      <c r="H230" s="1301"/>
      <c r="I230" s="1301"/>
      <c r="J230" s="1311"/>
      <c r="K230" s="1310"/>
      <c r="L230" s="1311"/>
      <c r="M230" s="1310"/>
      <c r="N230" s="1311"/>
      <c r="O230" s="1310"/>
      <c r="P230" s="1311"/>
      <c r="Q230" s="1310"/>
      <c r="R230" s="1311"/>
      <c r="S230" s="1310"/>
      <c r="T230" s="1311"/>
      <c r="U230" s="1310"/>
      <c r="V230" s="1311"/>
      <c r="W230" s="1310"/>
      <c r="X230" s="1311"/>
      <c r="Y230" s="1310"/>
      <c r="Z230" s="1311"/>
      <c r="AA230" s="1310"/>
      <c r="AB230" s="1311"/>
      <c r="AC230" s="1310"/>
      <c r="AD230" s="1311"/>
      <c r="AE230" s="1310"/>
      <c r="AF230" s="1311"/>
      <c r="AG230" s="1310"/>
      <c r="AH230" s="1311"/>
      <c r="AI230" s="1324"/>
      <c r="AJ230" s="15"/>
    </row>
    <row r="231" spans="1:36" s="8" customFormat="1" ht="15">
      <c r="A231" s="13"/>
      <c r="B231" s="2" t="s">
        <v>194</v>
      </c>
      <c r="C231" s="2"/>
      <c r="D231" s="1301"/>
      <c r="E231" s="1301"/>
      <c r="F231" s="1299" t="s">
        <v>272</v>
      </c>
      <c r="G231" s="1301"/>
      <c r="H231" s="1301"/>
      <c r="I231" s="1301"/>
      <c r="J231" s="1308">
        <f>SUM(J228:J230)</f>
        <v>11151.86</v>
      </c>
      <c r="K231" s="1310"/>
      <c r="L231" s="1308">
        <f>SUM(L228:L230)</f>
        <v>11062.36</v>
      </c>
      <c r="M231" s="1310"/>
      <c r="N231" s="1308">
        <f>SUM(N228:N230)</f>
        <v>11062.34</v>
      </c>
      <c r="O231" s="1326">
        <f>IF(N$53=0,0,N231/N$53)</f>
        <v>0</v>
      </c>
      <c r="P231" s="1308">
        <f>SUM(P228:P230)</f>
        <v>10413.82</v>
      </c>
      <c r="Q231" s="1310"/>
      <c r="R231" s="1308">
        <f>SUM(R228:R230)</f>
        <v>10184.959999999999</v>
      </c>
      <c r="S231" s="1310"/>
      <c r="T231" s="1308">
        <f>SUM(T228:T230)</f>
        <v>10184.89</v>
      </c>
      <c r="U231" s="1326">
        <f>IF(T$53=0,0,T231/T$53)</f>
        <v>0</v>
      </c>
      <c r="V231" s="1308">
        <f>SUM(V228:V230)</f>
        <v>10184.86</v>
      </c>
      <c r="W231" s="1310"/>
      <c r="X231" s="1308">
        <f>SUM(X228:X230)</f>
        <v>10184.91</v>
      </c>
      <c r="Y231" s="1310"/>
      <c r="Z231" s="1308">
        <f>SUM(Z228:Z230)</f>
        <v>9978.27</v>
      </c>
      <c r="AA231" s="1326">
        <f>IF(Z$53=0,0,Z231/Z$53)</f>
        <v>0</v>
      </c>
      <c r="AB231" s="1308">
        <f>SUM(AB228:AB230)</f>
        <v>9978.19</v>
      </c>
      <c r="AC231" s="1310"/>
      <c r="AD231" s="1308">
        <f>SUM(AD228:AD230)</f>
        <v>9978.2899999999991</v>
      </c>
      <c r="AE231" s="1310"/>
      <c r="AF231" s="1308">
        <f>SUM(AF228:AF230)</f>
        <v>9978.2099999999991</v>
      </c>
      <c r="AG231" s="1326">
        <f>IF(AF$53=0,0,AF231/AF$53)</f>
        <v>0</v>
      </c>
      <c r="AH231" s="1308">
        <f>SUM(J231,L231,N231,P231,R231,T231,V231,X231,Z231,AB231,AD231,AF231)</f>
        <v>124342.95999999999</v>
      </c>
      <c r="AI231" s="1304">
        <f>IF(AH$59=0,0,AH231/AH$59)</f>
        <v>1.8730666449492114E-2</v>
      </c>
      <c r="AJ231" s="15"/>
    </row>
    <row r="232" spans="1:36" s="8" customFormat="1" ht="15" outlineLevel="1">
      <c r="A232" s="13"/>
      <c r="B232" s="2" t="s">
        <v>194</v>
      </c>
      <c r="C232" s="2"/>
      <c r="D232" s="1301"/>
      <c r="E232" s="1301"/>
      <c r="F232" s="1299"/>
      <c r="G232" s="1301"/>
      <c r="H232" s="1301"/>
      <c r="I232" s="1301"/>
      <c r="J232" s="1310"/>
      <c r="K232" s="1310"/>
      <c r="L232" s="1310"/>
      <c r="M232" s="1310"/>
      <c r="N232" s="1310"/>
      <c r="O232" s="1324"/>
      <c r="P232" s="1310"/>
      <c r="Q232" s="1310"/>
      <c r="R232" s="1310"/>
      <c r="S232" s="1310"/>
      <c r="T232" s="1310"/>
      <c r="U232" s="1324"/>
      <c r="V232" s="1310"/>
      <c r="W232" s="1310"/>
      <c r="X232" s="1310"/>
      <c r="Y232" s="1310"/>
      <c r="Z232" s="1310"/>
      <c r="AA232" s="1324"/>
      <c r="AB232" s="1310"/>
      <c r="AC232" s="1310"/>
      <c r="AD232" s="1310"/>
      <c r="AE232" s="1310"/>
      <c r="AF232" s="1310"/>
      <c r="AG232" s="1324"/>
      <c r="AH232" s="1310"/>
      <c r="AI232" s="1324"/>
      <c r="AJ232" s="15"/>
    </row>
    <row r="233" spans="1:36" s="407" customFormat="1" outlineLevel="1">
      <c r="B233" s="24" t="s">
        <v>422</v>
      </c>
      <c r="D233" s="1298"/>
      <c r="E233" s="1298"/>
      <c r="F233" s="1299"/>
      <c r="G233" s="1300"/>
      <c r="H233" s="1301"/>
      <c r="I233" s="1302"/>
      <c r="J233" s="1303"/>
      <c r="K233" s="1302"/>
      <c r="L233" s="1303"/>
      <c r="M233" s="1302"/>
      <c r="N233" s="1303"/>
      <c r="O233" s="1302"/>
      <c r="P233" s="1303"/>
      <c r="Q233" s="1302"/>
      <c r="R233" s="1303"/>
      <c r="S233" s="1302"/>
      <c r="T233" s="1303"/>
      <c r="U233" s="1302"/>
      <c r="V233" s="1303"/>
      <c r="W233" s="1302"/>
      <c r="X233" s="1303"/>
      <c r="Y233" s="1302"/>
      <c r="Z233" s="1303"/>
      <c r="AA233" s="1302"/>
      <c r="AB233" s="1303"/>
      <c r="AC233" s="1302"/>
      <c r="AD233" s="1303"/>
      <c r="AE233" s="1302"/>
      <c r="AF233" s="1303"/>
      <c r="AG233" s="1302"/>
      <c r="AH233" s="1303">
        <f>AF233+AD233+AB233+Z233+X233+V233+T233+R233+P233+N233+L233+J233</f>
        <v>0</v>
      </c>
      <c r="AI233" s="1304">
        <f>IF(AH$59=0,0,AH233/AH$59)</f>
        <v>0</v>
      </c>
      <c r="AJ233" s="12"/>
    </row>
    <row r="234" spans="1:36" s="8" customFormat="1" ht="5.0999999999999996" customHeight="1" outlineLevel="1">
      <c r="A234" s="13"/>
      <c r="B234" s="2" t="s">
        <v>194</v>
      </c>
      <c r="C234" s="2"/>
      <c r="D234" s="1299"/>
      <c r="E234" s="1299"/>
      <c r="F234" s="1299"/>
      <c r="G234" s="1299"/>
      <c r="H234" s="1301"/>
      <c r="I234" s="1301"/>
      <c r="J234" s="1311"/>
      <c r="K234" s="1310"/>
      <c r="L234" s="1311"/>
      <c r="M234" s="1310"/>
      <c r="N234" s="1311"/>
      <c r="O234" s="1324"/>
      <c r="P234" s="1311"/>
      <c r="Q234" s="1310"/>
      <c r="R234" s="1311"/>
      <c r="S234" s="1310"/>
      <c r="T234" s="1311"/>
      <c r="U234" s="1324"/>
      <c r="V234" s="1311"/>
      <c r="W234" s="1310"/>
      <c r="X234" s="1311"/>
      <c r="Y234" s="1310"/>
      <c r="Z234" s="1311"/>
      <c r="AA234" s="1324"/>
      <c r="AB234" s="1311"/>
      <c r="AC234" s="1310"/>
      <c r="AD234" s="1311"/>
      <c r="AE234" s="1310"/>
      <c r="AF234" s="1311"/>
      <c r="AG234" s="1324"/>
      <c r="AH234" s="1311"/>
      <c r="AI234" s="1324"/>
      <c r="AJ234" s="15"/>
    </row>
    <row r="235" spans="1:36" s="8" customFormat="1" ht="15">
      <c r="A235" s="13"/>
      <c r="B235" s="2" t="s">
        <v>194</v>
      </c>
      <c r="C235" s="2"/>
      <c r="D235" s="1301"/>
      <c r="E235" s="1301"/>
      <c r="F235" s="1298" t="s">
        <v>273</v>
      </c>
      <c r="G235" s="1301"/>
      <c r="H235" s="1301"/>
      <c r="I235" s="1301"/>
      <c r="J235" s="1308">
        <f>SUM(J233:J234)</f>
        <v>0</v>
      </c>
      <c r="K235" s="1310"/>
      <c r="L235" s="1308">
        <f>SUM(L233:L234)</f>
        <v>0</v>
      </c>
      <c r="M235" s="1310"/>
      <c r="N235" s="1308">
        <f>SUM(N233:N234)</f>
        <v>0</v>
      </c>
      <c r="O235" s="1326">
        <f>IF(N$53=0,0,N235/N$53)</f>
        <v>0</v>
      </c>
      <c r="P235" s="1308">
        <f>SUM(P233:P234)</f>
        <v>0</v>
      </c>
      <c r="Q235" s="1310"/>
      <c r="R235" s="1308">
        <f>SUM(R233:R234)</f>
        <v>0</v>
      </c>
      <c r="S235" s="1310"/>
      <c r="T235" s="1308">
        <f>SUM(T233:T234)</f>
        <v>0</v>
      </c>
      <c r="U235" s="1326">
        <f>IF(T$53=0,0,T235/T$53)</f>
        <v>0</v>
      </c>
      <c r="V235" s="1308">
        <f>SUM(V233:V234)</f>
        <v>0</v>
      </c>
      <c r="W235" s="1310"/>
      <c r="X235" s="1308">
        <f>SUM(X233:X234)</f>
        <v>0</v>
      </c>
      <c r="Y235" s="1310"/>
      <c r="Z235" s="1308">
        <f>SUM(Z233:Z234)</f>
        <v>0</v>
      </c>
      <c r="AA235" s="1326">
        <f>IF(Z$53=0,0,Z235/Z$53)</f>
        <v>0</v>
      </c>
      <c r="AB235" s="1308">
        <f>SUM(AB233:AB234)</f>
        <v>0</v>
      </c>
      <c r="AC235" s="1310"/>
      <c r="AD235" s="1308">
        <f>SUM(AD233:AD234)</f>
        <v>0</v>
      </c>
      <c r="AE235" s="1310"/>
      <c r="AF235" s="1308">
        <f>SUM(AF233:AF234)</f>
        <v>0</v>
      </c>
      <c r="AG235" s="1326">
        <f>IF(AF$53=0,0,AF235/AF$53)</f>
        <v>0</v>
      </c>
      <c r="AH235" s="1308">
        <f>SUM(J235,L235,N235)</f>
        <v>0</v>
      </c>
      <c r="AI235" s="1304">
        <f>IF(AH$59=0,0,AH235/AH$59)</f>
        <v>0</v>
      </c>
      <c r="AJ235" s="15"/>
    </row>
    <row r="236" spans="1:36" s="8" customFormat="1" ht="15" outlineLevel="1">
      <c r="A236" s="13"/>
      <c r="B236" s="2" t="s">
        <v>194</v>
      </c>
      <c r="C236" s="2"/>
      <c r="D236" s="1301"/>
      <c r="E236" s="1301"/>
      <c r="F236" s="1301"/>
      <c r="G236" s="1301"/>
      <c r="H236" s="1301"/>
      <c r="I236" s="1301"/>
      <c r="J236" s="1310"/>
      <c r="K236" s="1310"/>
      <c r="L236" s="1310"/>
      <c r="M236" s="1310"/>
      <c r="N236" s="1310"/>
      <c r="O236" s="1324"/>
      <c r="P236" s="1310"/>
      <c r="Q236" s="1310"/>
      <c r="R236" s="1310"/>
      <c r="S236" s="1310"/>
      <c r="T236" s="1310"/>
      <c r="U236" s="1324"/>
      <c r="V236" s="1310"/>
      <c r="W236" s="1310"/>
      <c r="X236" s="1310"/>
      <c r="Y236" s="1310"/>
      <c r="Z236" s="1310"/>
      <c r="AA236" s="1324"/>
      <c r="AB236" s="1310"/>
      <c r="AC236" s="1310"/>
      <c r="AD236" s="1310"/>
      <c r="AE236" s="1310"/>
      <c r="AF236" s="1310"/>
      <c r="AG236" s="1324"/>
      <c r="AH236" s="1310"/>
      <c r="AI236" s="1324"/>
      <c r="AJ236" s="15"/>
    </row>
    <row r="237" spans="1:36" s="407" customFormat="1" outlineLevel="1">
      <c r="B237" s="24" t="s">
        <v>423</v>
      </c>
      <c r="D237" s="1298">
        <v>70269</v>
      </c>
      <c r="E237" s="1298" t="s">
        <v>298</v>
      </c>
      <c r="F237" s="1299"/>
      <c r="G237" s="1300"/>
      <c r="H237" s="1301"/>
      <c r="I237" s="1302"/>
      <c r="J237" s="1303">
        <v>20870.84</v>
      </c>
      <c r="K237" s="1302"/>
      <c r="L237" s="1303">
        <v>20870.849999999999</v>
      </c>
      <c r="M237" s="1302"/>
      <c r="N237" s="1303">
        <v>20870.84</v>
      </c>
      <c r="O237" s="1302"/>
      <c r="P237" s="1303">
        <v>20870.84</v>
      </c>
      <c r="Q237" s="1302"/>
      <c r="R237" s="1303">
        <v>20870.849999999999</v>
      </c>
      <c r="S237" s="1302"/>
      <c r="T237" s="1303">
        <v>20870.84</v>
      </c>
      <c r="U237" s="1302"/>
      <c r="V237" s="1303">
        <v>20870.849999999999</v>
      </c>
      <c r="W237" s="1302"/>
      <c r="X237" s="1303">
        <v>20870.84</v>
      </c>
      <c r="Y237" s="1302"/>
      <c r="Z237" s="1303">
        <v>20870.84</v>
      </c>
      <c r="AA237" s="1302"/>
      <c r="AB237" s="1303">
        <v>20870.849999999999</v>
      </c>
      <c r="AC237" s="1302"/>
      <c r="AD237" s="1303">
        <v>20870.84</v>
      </c>
      <c r="AE237" s="1302"/>
      <c r="AF237" s="1303">
        <v>20870.849999999999</v>
      </c>
      <c r="AG237" s="1302"/>
      <c r="AH237" s="1303">
        <f>AF237+AD237+AB237+Z237+X237+V237+T237+R237+P237+N237+L237+J237</f>
        <v>250450.13</v>
      </c>
      <c r="AI237" s="1304">
        <f>IF(AH$59=0,0,AH237/AH$59)</f>
        <v>3.7727088427538948E-2</v>
      </c>
      <c r="AJ237" s="12"/>
    </row>
    <row r="238" spans="1:36" s="8" customFormat="1" ht="5.0999999999999996" customHeight="1" outlineLevel="1">
      <c r="A238" s="13"/>
      <c r="B238" s="16" t="s">
        <v>194</v>
      </c>
      <c r="C238" s="16"/>
      <c r="D238" s="1299"/>
      <c r="E238" s="1299"/>
      <c r="F238" s="1299"/>
      <c r="G238" s="1299"/>
      <c r="H238" s="1301"/>
      <c r="I238" s="1301"/>
      <c r="J238" s="1311"/>
      <c r="K238" s="1310"/>
      <c r="L238" s="1311"/>
      <c r="M238" s="1310"/>
      <c r="N238" s="1311"/>
      <c r="O238" s="1324"/>
      <c r="P238" s="1311"/>
      <c r="Q238" s="1310"/>
      <c r="R238" s="1311"/>
      <c r="S238" s="1310"/>
      <c r="T238" s="1311"/>
      <c r="U238" s="1324"/>
      <c r="V238" s="1311"/>
      <c r="W238" s="1310"/>
      <c r="X238" s="1311"/>
      <c r="Y238" s="1310"/>
      <c r="Z238" s="1311"/>
      <c r="AA238" s="1324"/>
      <c r="AB238" s="1311"/>
      <c r="AC238" s="1310"/>
      <c r="AD238" s="1311"/>
      <c r="AE238" s="1310"/>
      <c r="AF238" s="1311"/>
      <c r="AG238" s="1324"/>
      <c r="AH238" s="1311"/>
      <c r="AI238" s="1324"/>
      <c r="AJ238" s="15"/>
    </row>
    <row r="239" spans="1:36" s="8" customFormat="1" ht="15">
      <c r="A239" s="13"/>
      <c r="B239" s="16" t="s">
        <v>194</v>
      </c>
      <c r="C239" s="16"/>
      <c r="D239" s="1301"/>
      <c r="E239" s="1301"/>
      <c r="F239" s="1299" t="s">
        <v>274</v>
      </c>
      <c r="G239" s="1301"/>
      <c r="H239" s="1301"/>
      <c r="I239" s="1301"/>
      <c r="J239" s="1308">
        <f>SUM(J237:J238)</f>
        <v>20870.84</v>
      </c>
      <c r="K239" s="1310"/>
      <c r="L239" s="1308">
        <f>SUM(L237:L238)</f>
        <v>20870.849999999999</v>
      </c>
      <c r="M239" s="1310"/>
      <c r="N239" s="1308">
        <f>SUM(N237:N238)</f>
        <v>20870.84</v>
      </c>
      <c r="O239" s="1326">
        <f>IF(N$53=0,0,N239/N$53)</f>
        <v>0</v>
      </c>
      <c r="P239" s="1308">
        <f>SUM(P237:P238)</f>
        <v>20870.84</v>
      </c>
      <c r="Q239" s="1310"/>
      <c r="R239" s="1308">
        <f>SUM(R237:R238)</f>
        <v>20870.849999999999</v>
      </c>
      <c r="S239" s="1310"/>
      <c r="T239" s="1308">
        <f>SUM(T237:T238)</f>
        <v>20870.84</v>
      </c>
      <c r="U239" s="1326">
        <f>IF(T$53=0,0,T239/T$53)</f>
        <v>0</v>
      </c>
      <c r="V239" s="1308">
        <f>SUM(V237:V238)</f>
        <v>20870.849999999999</v>
      </c>
      <c r="W239" s="1310"/>
      <c r="X239" s="1308">
        <f>SUM(X237:X238)</f>
        <v>20870.84</v>
      </c>
      <c r="Y239" s="1310"/>
      <c r="Z239" s="1308">
        <f>SUM(Z237:Z238)</f>
        <v>20870.84</v>
      </c>
      <c r="AA239" s="1326">
        <f>IF(Z$53=0,0,Z239/Z$53)</f>
        <v>0</v>
      </c>
      <c r="AB239" s="1308">
        <f>SUM(AB237:AB238)</f>
        <v>20870.849999999999</v>
      </c>
      <c r="AC239" s="1310"/>
      <c r="AD239" s="1308">
        <f>SUM(AD237:AD238)</f>
        <v>20870.84</v>
      </c>
      <c r="AE239" s="1310"/>
      <c r="AF239" s="1308">
        <f>SUM(AF237:AF238)</f>
        <v>20870.849999999999</v>
      </c>
      <c r="AG239" s="1326">
        <f>IF(AF$53=0,0,AF239/AF$53)</f>
        <v>0</v>
      </c>
      <c r="AH239" s="1308">
        <f>SUM(J239,L239,N239,P239,R239,T239,V239,X239,Z239,AB239,AD239,AF239)</f>
        <v>250450.13</v>
      </c>
      <c r="AI239" s="1304">
        <f>IF(AH$59=0,0,AH239/AH$59)</f>
        <v>3.7727088427538948E-2</v>
      </c>
      <c r="AJ239" s="15"/>
    </row>
    <row r="240" spans="1:36" s="8" customFormat="1" ht="6.75" customHeight="1">
      <c r="A240" s="13"/>
      <c r="B240" s="16" t="s">
        <v>194</v>
      </c>
      <c r="C240" s="16"/>
      <c r="D240" s="1301"/>
      <c r="E240" s="1301"/>
      <c r="F240" s="1301"/>
      <c r="G240" s="1301"/>
      <c r="H240" s="1301"/>
      <c r="I240" s="1301"/>
      <c r="J240" s="1310"/>
      <c r="K240" s="1310"/>
      <c r="L240" s="1310"/>
      <c r="M240" s="1310"/>
      <c r="N240" s="1310"/>
      <c r="O240" s="1324"/>
      <c r="P240" s="1310"/>
      <c r="Q240" s="1310"/>
      <c r="R240" s="1310"/>
      <c r="S240" s="1310"/>
      <c r="T240" s="1310"/>
      <c r="U240" s="1324"/>
      <c r="V240" s="1310"/>
      <c r="W240" s="1310"/>
      <c r="X240" s="1310"/>
      <c r="Y240" s="1310"/>
      <c r="Z240" s="1310"/>
      <c r="AA240" s="1324"/>
      <c r="AB240" s="1310"/>
      <c r="AC240" s="1310"/>
      <c r="AD240" s="1310"/>
      <c r="AE240" s="1310"/>
      <c r="AF240" s="1310"/>
      <c r="AG240" s="1324"/>
      <c r="AH240" s="1310"/>
      <c r="AI240" s="1324"/>
      <c r="AJ240" s="15"/>
    </row>
    <row r="241" spans="1:36" s="8" customFormat="1" ht="15">
      <c r="A241" s="13"/>
      <c r="B241" s="16" t="s">
        <v>194</v>
      </c>
      <c r="C241" s="16"/>
      <c r="D241" s="1301"/>
      <c r="E241" s="1313" t="s">
        <v>275</v>
      </c>
      <c r="F241" s="1301"/>
      <c r="G241" s="1301"/>
      <c r="H241" s="1301"/>
      <c r="I241" s="1301"/>
      <c r="J241" s="1314">
        <f>+J231+J235+J239</f>
        <v>32022.7</v>
      </c>
      <c r="K241" s="1310"/>
      <c r="L241" s="1314">
        <f>+L231+L235+L239</f>
        <v>31933.21</v>
      </c>
      <c r="M241" s="1310"/>
      <c r="N241" s="1314">
        <f>+N231+N235+N239</f>
        <v>31933.18</v>
      </c>
      <c r="O241" s="1326">
        <f>IF(N$53=0,0,N241/N$53)</f>
        <v>0</v>
      </c>
      <c r="P241" s="1314">
        <f>+P231+P235+P239</f>
        <v>31284.66</v>
      </c>
      <c r="Q241" s="1310"/>
      <c r="R241" s="1314">
        <f>+R231+R235+R239</f>
        <v>31055.809999999998</v>
      </c>
      <c r="S241" s="1310"/>
      <c r="T241" s="1314">
        <f>+T231+T235+T239</f>
        <v>31055.73</v>
      </c>
      <c r="U241" s="1326">
        <f>IF(T$53=0,0,T241/T$53)</f>
        <v>0</v>
      </c>
      <c r="V241" s="1314">
        <f>+V231+V235+V239</f>
        <v>31055.71</v>
      </c>
      <c r="W241" s="1310"/>
      <c r="X241" s="1314">
        <f>+X231+X235+X239</f>
        <v>31055.75</v>
      </c>
      <c r="Y241" s="1310"/>
      <c r="Z241" s="1314">
        <f>+Z231+Z235+Z239</f>
        <v>30849.11</v>
      </c>
      <c r="AA241" s="1326">
        <f>IF(Z$53=0,0,Z241/Z$53)</f>
        <v>0</v>
      </c>
      <c r="AB241" s="1314">
        <f>+AB231+AB235+AB239</f>
        <v>30849.040000000001</v>
      </c>
      <c r="AC241" s="1310"/>
      <c r="AD241" s="1314">
        <f>+AD231+AD235+AD239</f>
        <v>30849.129999999997</v>
      </c>
      <c r="AE241" s="1310"/>
      <c r="AF241" s="1314">
        <f>+AF231+AF235+AF239</f>
        <v>30849.059999999998</v>
      </c>
      <c r="AG241" s="1326">
        <f>IF(AF$53=0,0,AF241/AF$53)</f>
        <v>0</v>
      </c>
      <c r="AH241" s="1314">
        <f>+AH231+AH235+AH239</f>
        <v>374793.08999999997</v>
      </c>
      <c r="AI241" s="1304">
        <f>IF(AH$59=0,0,AH241/AH$59)</f>
        <v>5.6457754877031058E-2</v>
      </c>
      <c r="AJ241" s="15"/>
    </row>
    <row r="242" spans="1:36" s="8" customFormat="1" ht="6.75" customHeight="1">
      <c r="A242" s="13"/>
      <c r="B242" s="16" t="s">
        <v>194</v>
      </c>
      <c r="C242" s="16"/>
      <c r="D242" s="1301"/>
      <c r="E242" s="1301"/>
      <c r="F242" s="1301"/>
      <c r="G242" s="1301"/>
      <c r="H242" s="1301"/>
      <c r="I242" s="1301"/>
      <c r="J242" s="1310"/>
      <c r="K242" s="1310"/>
      <c r="L242" s="1310"/>
      <c r="M242" s="1310"/>
      <c r="N242" s="1310"/>
      <c r="O242" s="1324"/>
      <c r="P242" s="1310"/>
      <c r="Q242" s="1310"/>
      <c r="R242" s="1310"/>
      <c r="S242" s="1310"/>
      <c r="T242" s="1310"/>
      <c r="U242" s="1324"/>
      <c r="V242" s="1310"/>
      <c r="W242" s="1310"/>
      <c r="X242" s="1310"/>
      <c r="Y242" s="1310"/>
      <c r="Z242" s="1310"/>
      <c r="AA242" s="1324"/>
      <c r="AB242" s="1310"/>
      <c r="AC242" s="1310"/>
      <c r="AD242" s="1310"/>
      <c r="AE242" s="1310"/>
      <c r="AF242" s="1310"/>
      <c r="AG242" s="1324"/>
      <c r="AH242" s="1310"/>
      <c r="AI242" s="1324"/>
      <c r="AJ242" s="15"/>
    </row>
    <row r="243" spans="1:36" s="8" customFormat="1" ht="15">
      <c r="A243" s="13"/>
      <c r="B243" s="16" t="s">
        <v>194</v>
      </c>
      <c r="C243" s="16"/>
      <c r="D243" s="1301"/>
      <c r="E243" s="1316" t="s">
        <v>276</v>
      </c>
      <c r="F243" s="1301"/>
      <c r="G243" s="1301"/>
      <c r="H243" s="1301"/>
      <c r="I243" s="1301"/>
      <c r="J243" s="1314">
        <f>+J224-J241</f>
        <v>145623.62999999989</v>
      </c>
      <c r="K243" s="1310"/>
      <c r="L243" s="1314">
        <f>+L224-L241</f>
        <v>136259.58999999994</v>
      </c>
      <c r="M243" s="1310"/>
      <c r="N243" s="1314">
        <f>+N224-N241</f>
        <v>81492.370000000054</v>
      </c>
      <c r="O243" s="1326">
        <f>IF(N$53=0,0,N243/N$53)</f>
        <v>0</v>
      </c>
      <c r="P243" s="1314">
        <f>+P224-P241</f>
        <v>88270.399999999994</v>
      </c>
      <c r="Q243" s="1310"/>
      <c r="R243" s="1314">
        <f>+R224-R241</f>
        <v>204383.94999999995</v>
      </c>
      <c r="S243" s="1310"/>
      <c r="T243" s="1314">
        <f>+T224-T241</f>
        <v>56151.859999999971</v>
      </c>
      <c r="U243" s="1326">
        <f>IF(T$53=0,0,T243/T$53)</f>
        <v>0</v>
      </c>
      <c r="V243" s="1314">
        <f>+V224-V241</f>
        <v>258023.58999999988</v>
      </c>
      <c r="W243" s="1310"/>
      <c r="X243" s="1314">
        <f>+X224-X241</f>
        <v>182270.44999999998</v>
      </c>
      <c r="Y243" s="1310"/>
      <c r="Z243" s="1314">
        <f>+Z224-Z241</f>
        <v>171157.58000000002</v>
      </c>
      <c r="AA243" s="1326">
        <f>IF(Z$53=0,0,Z243/Z$53)</f>
        <v>0</v>
      </c>
      <c r="AB243" s="1314">
        <f>+AB224-AB241</f>
        <v>118165.23999999999</v>
      </c>
      <c r="AC243" s="1310"/>
      <c r="AD243" s="1314">
        <f>+AD224-AD241</f>
        <v>191863.94</v>
      </c>
      <c r="AE243" s="1310"/>
      <c r="AF243" s="1314">
        <f>+AF224-AF241</f>
        <v>131209.74000000005</v>
      </c>
      <c r="AG243" s="1326">
        <f>IF(AF$53=0,0,AF243/AF$53)</f>
        <v>0</v>
      </c>
      <c r="AH243" s="1314">
        <f>+AH224-AH241</f>
        <v>1764872.3400000003</v>
      </c>
      <c r="AI243" s="1304">
        <f>IF(AH$59=0,0,AH243/AH$59)</f>
        <v>0.26585530155044279</v>
      </c>
      <c r="AJ243" s="15"/>
    </row>
    <row r="244" spans="1:36" s="8" customFormat="1" ht="6.75" customHeight="1">
      <c r="A244" s="13"/>
      <c r="B244" s="16" t="s">
        <v>194</v>
      </c>
      <c r="C244" s="16"/>
      <c r="D244" s="1301"/>
      <c r="E244" s="1301"/>
      <c r="F244" s="1301"/>
      <c r="G244" s="1301"/>
      <c r="H244" s="1301"/>
      <c r="I244" s="1301"/>
      <c r="J244" s="1310"/>
      <c r="K244" s="1310"/>
      <c r="L244" s="1310"/>
      <c r="M244" s="1310"/>
      <c r="N244" s="1310"/>
      <c r="O244" s="1324"/>
      <c r="P244" s="1310"/>
      <c r="Q244" s="1310"/>
      <c r="R244" s="1310"/>
      <c r="S244" s="1310"/>
      <c r="T244" s="1310"/>
      <c r="U244" s="1324"/>
      <c r="V244" s="1310"/>
      <c r="W244" s="1310"/>
      <c r="X244" s="1310"/>
      <c r="Y244" s="1310"/>
      <c r="Z244" s="1310"/>
      <c r="AA244" s="1324"/>
      <c r="AB244" s="1310"/>
      <c r="AC244" s="1310"/>
      <c r="AD244" s="1310"/>
      <c r="AE244" s="1310"/>
      <c r="AF244" s="1310"/>
      <c r="AG244" s="1324"/>
      <c r="AH244" s="1310"/>
      <c r="AI244" s="1324"/>
      <c r="AJ244" s="15"/>
    </row>
    <row r="245" spans="1:36" s="407" customFormat="1" outlineLevel="1">
      <c r="B245" s="24" t="s">
        <v>424</v>
      </c>
      <c r="D245" s="1298"/>
      <c r="E245" s="1298"/>
      <c r="F245" s="1299"/>
      <c r="G245" s="1300"/>
      <c r="H245" s="1301"/>
      <c r="I245" s="1302"/>
      <c r="J245" s="1303"/>
      <c r="K245" s="1302"/>
      <c r="L245" s="1303"/>
      <c r="M245" s="1302"/>
      <c r="N245" s="1303"/>
      <c r="O245" s="1302"/>
      <c r="P245" s="1303"/>
      <c r="Q245" s="1302"/>
      <c r="R245" s="1303"/>
      <c r="S245" s="1302"/>
      <c r="T245" s="1303"/>
      <c r="U245" s="1302"/>
      <c r="V245" s="1303"/>
      <c r="W245" s="1302"/>
      <c r="X245" s="1303"/>
      <c r="Y245" s="1302"/>
      <c r="Z245" s="1303"/>
      <c r="AA245" s="1302"/>
      <c r="AB245" s="1303"/>
      <c r="AC245" s="1302"/>
      <c r="AD245" s="1303"/>
      <c r="AE245" s="1302"/>
      <c r="AF245" s="1303"/>
      <c r="AG245" s="1302"/>
      <c r="AH245" s="1303">
        <f>AF245+AD245+AB245+Z245+X245+V245+T245+R245+P245+N245+L245+J245</f>
        <v>0</v>
      </c>
      <c r="AI245" s="1304">
        <f>IF(AH$59=0,0,AH245/AH$59)</f>
        <v>0</v>
      </c>
      <c r="AJ245" s="12"/>
    </row>
    <row r="246" spans="1:36" s="8" customFormat="1" ht="5.0999999999999996" customHeight="1" outlineLevel="1">
      <c r="A246" s="13"/>
      <c r="B246" s="16" t="s">
        <v>194</v>
      </c>
      <c r="C246" s="16"/>
      <c r="D246" s="1299"/>
      <c r="E246" s="1299"/>
      <c r="F246" s="1299"/>
      <c r="G246" s="1299"/>
      <c r="H246" s="1301"/>
      <c r="I246" s="1301"/>
      <c r="J246" s="1311"/>
      <c r="K246" s="1310"/>
      <c r="L246" s="1311"/>
      <c r="M246" s="1310"/>
      <c r="N246" s="1311"/>
      <c r="O246" s="1324"/>
      <c r="P246" s="1311"/>
      <c r="Q246" s="1310"/>
      <c r="R246" s="1311"/>
      <c r="S246" s="1310"/>
      <c r="T246" s="1311"/>
      <c r="U246" s="1324"/>
      <c r="V246" s="1311"/>
      <c r="W246" s="1310"/>
      <c r="X246" s="1311"/>
      <c r="Y246" s="1310"/>
      <c r="Z246" s="1311"/>
      <c r="AA246" s="1324"/>
      <c r="AB246" s="1311"/>
      <c r="AC246" s="1310"/>
      <c r="AD246" s="1311"/>
      <c r="AE246" s="1310"/>
      <c r="AF246" s="1311"/>
      <c r="AG246" s="1324"/>
      <c r="AH246" s="1311"/>
      <c r="AI246" s="1324"/>
      <c r="AJ246" s="15"/>
    </row>
    <row r="247" spans="1:36" s="8" customFormat="1" ht="15">
      <c r="A247" s="13"/>
      <c r="B247" s="16" t="s">
        <v>194</v>
      </c>
      <c r="C247" s="16"/>
      <c r="D247" s="1301"/>
      <c r="E247" s="1301"/>
      <c r="F247" s="1299" t="s">
        <v>277</v>
      </c>
      <c r="G247" s="1301"/>
      <c r="H247" s="1301"/>
      <c r="I247" s="1301"/>
      <c r="J247" s="1308">
        <f>SUM(J245:J246)</f>
        <v>0</v>
      </c>
      <c r="K247" s="1310"/>
      <c r="L247" s="1308">
        <f>SUM(L245:L246)</f>
        <v>0</v>
      </c>
      <c r="M247" s="1310"/>
      <c r="N247" s="1308">
        <f>SUM(N245:N246)</f>
        <v>0</v>
      </c>
      <c r="O247" s="1326">
        <f>IF(N$53=0,0,N247/N$53)</f>
        <v>0</v>
      </c>
      <c r="P247" s="1308">
        <f>SUM(P245:P246)</f>
        <v>0</v>
      </c>
      <c r="Q247" s="1310"/>
      <c r="R247" s="1308">
        <f>SUM(R245:R246)</f>
        <v>0</v>
      </c>
      <c r="S247" s="1310"/>
      <c r="T247" s="1308">
        <f>SUM(T245:T246)</f>
        <v>0</v>
      </c>
      <c r="U247" s="1326">
        <f>IF(T$53=0,0,T247/T$53)</f>
        <v>0</v>
      </c>
      <c r="V247" s="1308">
        <f>SUM(V245:V246)</f>
        <v>0</v>
      </c>
      <c r="W247" s="1310"/>
      <c r="X247" s="1308">
        <f>SUM(X245:X246)</f>
        <v>0</v>
      </c>
      <c r="Y247" s="1310"/>
      <c r="Z247" s="1308">
        <f>SUM(Z245:Z246)</f>
        <v>0</v>
      </c>
      <c r="AA247" s="1326">
        <f>IF(Z$53=0,0,Z247/Z$53)</f>
        <v>0</v>
      </c>
      <c r="AB247" s="1308">
        <f>SUM(AB245:AB246)</f>
        <v>0</v>
      </c>
      <c r="AC247" s="1310"/>
      <c r="AD247" s="1308">
        <f>SUM(AD245:AD246)</f>
        <v>0</v>
      </c>
      <c r="AE247" s="1310"/>
      <c r="AF247" s="1308">
        <f>SUM(AF245:AF246)</f>
        <v>0</v>
      </c>
      <c r="AG247" s="1326">
        <f>IF(AF$53=0,0,AF247/AF$53)</f>
        <v>0</v>
      </c>
      <c r="AH247" s="1308">
        <f>SUM(AH245:AH246)</f>
        <v>0</v>
      </c>
      <c r="AI247" s="1304">
        <f>IF(AH$59=0,0,AH247/AH$59)</f>
        <v>0</v>
      </c>
      <c r="AJ247" s="15"/>
    </row>
    <row r="248" spans="1:36" s="8" customFormat="1" ht="15" outlineLevel="1">
      <c r="A248" s="13"/>
      <c r="B248" s="16" t="s">
        <v>194</v>
      </c>
      <c r="C248" s="16"/>
      <c r="D248" s="1301"/>
      <c r="E248" s="1301"/>
      <c r="F248" s="1301"/>
      <c r="G248" s="1301"/>
      <c r="H248" s="1301"/>
      <c r="I248" s="1301"/>
      <c r="J248" s="1310"/>
      <c r="K248" s="1310"/>
      <c r="L248" s="1310"/>
      <c r="M248" s="1310"/>
      <c r="N248" s="1310"/>
      <c r="O248" s="1324"/>
      <c r="P248" s="1310"/>
      <c r="Q248" s="1310"/>
      <c r="R248" s="1310"/>
      <c r="S248" s="1310"/>
      <c r="T248" s="1310"/>
      <c r="U248" s="1324"/>
      <c r="V248" s="1310"/>
      <c r="W248" s="1310"/>
      <c r="X248" s="1310"/>
      <c r="Y248" s="1310"/>
      <c r="Z248" s="1310"/>
      <c r="AA248" s="1324"/>
      <c r="AB248" s="1310"/>
      <c r="AC248" s="1310"/>
      <c r="AD248" s="1310"/>
      <c r="AE248" s="1310"/>
      <c r="AF248" s="1310"/>
      <c r="AG248" s="1324"/>
      <c r="AH248" s="1310"/>
      <c r="AI248" s="1324"/>
      <c r="AJ248" s="15"/>
    </row>
    <row r="249" spans="1:36" s="407" customFormat="1" outlineLevel="1">
      <c r="B249" s="24" t="s">
        <v>425</v>
      </c>
      <c r="D249" s="1298"/>
      <c r="E249" s="1298"/>
      <c r="F249" s="1299"/>
      <c r="G249" s="1300"/>
      <c r="H249" s="1301"/>
      <c r="I249" s="1302"/>
      <c r="J249" s="1303"/>
      <c r="K249" s="1302"/>
      <c r="L249" s="1303"/>
      <c r="M249" s="1302"/>
      <c r="N249" s="1303"/>
      <c r="O249" s="1302"/>
      <c r="P249" s="1303"/>
      <c r="Q249" s="1302"/>
      <c r="R249" s="1303"/>
      <c r="S249" s="1302"/>
      <c r="T249" s="1303"/>
      <c r="U249" s="1302"/>
      <c r="V249" s="1303"/>
      <c r="W249" s="1302"/>
      <c r="X249" s="1303"/>
      <c r="Y249" s="1302"/>
      <c r="Z249" s="1303"/>
      <c r="AA249" s="1302"/>
      <c r="AB249" s="1303"/>
      <c r="AC249" s="1302"/>
      <c r="AD249" s="1303"/>
      <c r="AE249" s="1302"/>
      <c r="AF249" s="1303"/>
      <c r="AG249" s="1302"/>
      <c r="AH249" s="1303">
        <f>AF249+AD249+AB249+Z249+X249+V249+T249+R249+P249+N249+L249+J249</f>
        <v>0</v>
      </c>
      <c r="AI249" s="1304">
        <f>IF(AH$59=0,0,AH249/AH$59)</f>
        <v>0</v>
      </c>
      <c r="AJ249" s="12"/>
    </row>
    <row r="250" spans="1:36" s="8" customFormat="1" ht="5.0999999999999996" customHeight="1" outlineLevel="1">
      <c r="A250" s="13"/>
      <c r="B250" s="16" t="s">
        <v>194</v>
      </c>
      <c r="C250" s="16"/>
      <c r="D250" s="1299"/>
      <c r="E250" s="1299"/>
      <c r="F250" s="1299"/>
      <c r="G250" s="1299"/>
      <c r="H250" s="1301"/>
      <c r="I250" s="1301"/>
      <c r="J250" s="1311"/>
      <c r="K250" s="1310"/>
      <c r="L250" s="1311"/>
      <c r="M250" s="1310"/>
      <c r="N250" s="1311"/>
      <c r="O250" s="1324"/>
      <c r="P250" s="1311"/>
      <c r="Q250" s="1310"/>
      <c r="R250" s="1311"/>
      <c r="S250" s="1310"/>
      <c r="T250" s="1311"/>
      <c r="U250" s="1324"/>
      <c r="V250" s="1311"/>
      <c r="W250" s="1310"/>
      <c r="X250" s="1311"/>
      <c r="Y250" s="1310"/>
      <c r="Z250" s="1311"/>
      <c r="AA250" s="1324"/>
      <c r="AB250" s="1311"/>
      <c r="AC250" s="1310"/>
      <c r="AD250" s="1311"/>
      <c r="AE250" s="1310"/>
      <c r="AF250" s="1311"/>
      <c r="AG250" s="1324"/>
      <c r="AH250" s="1311"/>
      <c r="AI250" s="1324"/>
      <c r="AJ250" s="15"/>
    </row>
    <row r="251" spans="1:36" s="8" customFormat="1" ht="15">
      <c r="A251" s="13"/>
      <c r="B251" s="16" t="s">
        <v>194</v>
      </c>
      <c r="C251" s="16"/>
      <c r="D251" s="1301"/>
      <c r="E251" s="1301"/>
      <c r="F251" s="1298" t="s">
        <v>278</v>
      </c>
      <c r="G251" s="1301"/>
      <c r="H251" s="1301"/>
      <c r="I251" s="1301"/>
      <c r="J251" s="1308">
        <f>SUM(J249:J250)</f>
        <v>0</v>
      </c>
      <c r="K251" s="1310"/>
      <c r="L251" s="1308">
        <f>SUM(L249:L250)</f>
        <v>0</v>
      </c>
      <c r="M251" s="1310"/>
      <c r="N251" s="1308">
        <f>SUM(N249:N250)</f>
        <v>0</v>
      </c>
      <c r="O251" s="1326">
        <f>IF(N$53=0,0,N251/N$53)</f>
        <v>0</v>
      </c>
      <c r="P251" s="1308">
        <f>SUM(P249:P250)</f>
        <v>0</v>
      </c>
      <c r="Q251" s="1310"/>
      <c r="R251" s="1308">
        <f>SUM(R249:R250)</f>
        <v>0</v>
      </c>
      <c r="S251" s="1310"/>
      <c r="T251" s="1308">
        <f>SUM(T249:T250)</f>
        <v>0</v>
      </c>
      <c r="U251" s="1326">
        <f>IF(T$53=0,0,T251/T$53)</f>
        <v>0</v>
      </c>
      <c r="V251" s="1308">
        <f>SUM(V249:V250)</f>
        <v>0</v>
      </c>
      <c r="W251" s="1310"/>
      <c r="X251" s="1308">
        <f>SUM(X249:X250)</f>
        <v>0</v>
      </c>
      <c r="Y251" s="1310"/>
      <c r="Z251" s="1308">
        <f>SUM(Z249:Z250)</f>
        <v>0</v>
      </c>
      <c r="AA251" s="1326">
        <f>IF(Z$53=0,0,Z251/Z$53)</f>
        <v>0</v>
      </c>
      <c r="AB251" s="1308">
        <f>SUM(AB249:AB250)</f>
        <v>0</v>
      </c>
      <c r="AC251" s="1310"/>
      <c r="AD251" s="1308">
        <f>SUM(AD249:AD250)</f>
        <v>0</v>
      </c>
      <c r="AE251" s="1310"/>
      <c r="AF251" s="1308">
        <f>SUM(AF249:AF250)</f>
        <v>0</v>
      </c>
      <c r="AG251" s="1326">
        <f>IF(AF$53=0,0,AF251/AF$53)</f>
        <v>0</v>
      </c>
      <c r="AH251" s="1308">
        <f>SUM(AH249:AH250)</f>
        <v>0</v>
      </c>
      <c r="AI251" s="1304">
        <f>IF(AH$59=0,0,AH251/AH$59)</f>
        <v>0</v>
      </c>
      <c r="AJ251" s="15"/>
    </row>
    <row r="252" spans="1:36" s="8" customFormat="1" ht="15" outlineLevel="1">
      <c r="A252" s="13"/>
      <c r="B252" s="16" t="s">
        <v>194</v>
      </c>
      <c r="C252" s="16"/>
      <c r="D252" s="1301"/>
      <c r="E252" s="1301"/>
      <c r="F252" s="1301"/>
      <c r="G252" s="1301"/>
      <c r="H252" s="1301"/>
      <c r="I252" s="1301"/>
      <c r="J252" s="1310"/>
      <c r="K252" s="1310"/>
      <c r="L252" s="1310"/>
      <c r="M252" s="1310"/>
      <c r="N252" s="1310"/>
      <c r="O252" s="1324"/>
      <c r="P252" s="1310"/>
      <c r="Q252" s="1310"/>
      <c r="R252" s="1310"/>
      <c r="S252" s="1310"/>
      <c r="T252" s="1310"/>
      <c r="U252" s="1324"/>
      <c r="V252" s="1310"/>
      <c r="W252" s="1310"/>
      <c r="X252" s="1310"/>
      <c r="Y252" s="1310"/>
      <c r="Z252" s="1310"/>
      <c r="AA252" s="1324"/>
      <c r="AB252" s="1310"/>
      <c r="AC252" s="1310"/>
      <c r="AD252" s="1310"/>
      <c r="AE252" s="1310"/>
      <c r="AF252" s="1310"/>
      <c r="AG252" s="1324"/>
      <c r="AH252" s="1310"/>
      <c r="AI252" s="1324"/>
      <c r="AJ252" s="15"/>
    </row>
    <row r="253" spans="1:36" s="407" customFormat="1" outlineLevel="1">
      <c r="B253" s="24" t="s">
        <v>426</v>
      </c>
      <c r="D253" s="1298"/>
      <c r="E253" s="1298"/>
      <c r="F253" s="1299"/>
      <c r="G253" s="1300"/>
      <c r="H253" s="1301"/>
      <c r="I253" s="1302"/>
      <c r="J253" s="1303"/>
      <c r="K253" s="1302"/>
      <c r="L253" s="1303"/>
      <c r="M253" s="1302"/>
      <c r="N253" s="1303"/>
      <c r="O253" s="1302"/>
      <c r="P253" s="1303"/>
      <c r="Q253" s="1302"/>
      <c r="R253" s="1303"/>
      <c r="S253" s="1302"/>
      <c r="T253" s="1303"/>
      <c r="U253" s="1302"/>
      <c r="V253" s="1303"/>
      <c r="W253" s="1302"/>
      <c r="X253" s="1303"/>
      <c r="Y253" s="1302"/>
      <c r="Z253" s="1303"/>
      <c r="AA253" s="1302"/>
      <c r="AB253" s="1303"/>
      <c r="AC253" s="1302"/>
      <c r="AD253" s="1303"/>
      <c r="AE253" s="1302"/>
      <c r="AF253" s="1303"/>
      <c r="AG253" s="1302"/>
      <c r="AH253" s="1303">
        <f>AF253+AD253+AB253+Z253+X253+V253+T253+R253+P253+N253+L253+J253</f>
        <v>0</v>
      </c>
      <c r="AI253" s="1304">
        <f>IF(AH$59=0,0,AH253/AH$59)</f>
        <v>0</v>
      </c>
      <c r="AJ253" s="12"/>
    </row>
    <row r="254" spans="1:36" s="8" customFormat="1" ht="5.0999999999999996" customHeight="1" outlineLevel="1">
      <c r="A254" s="13"/>
      <c r="B254" s="16" t="s">
        <v>194</v>
      </c>
      <c r="C254" s="16"/>
      <c r="D254" s="1299"/>
      <c r="E254" s="1299"/>
      <c r="F254" s="1299"/>
      <c r="G254" s="1299"/>
      <c r="H254" s="1301"/>
      <c r="I254" s="1301"/>
      <c r="J254" s="1311"/>
      <c r="K254" s="1310"/>
      <c r="L254" s="1311"/>
      <c r="M254" s="1310"/>
      <c r="N254" s="1311"/>
      <c r="O254" s="1324"/>
      <c r="P254" s="1311"/>
      <c r="Q254" s="1310"/>
      <c r="R254" s="1311"/>
      <c r="S254" s="1310"/>
      <c r="T254" s="1311"/>
      <c r="U254" s="1324"/>
      <c r="V254" s="1311"/>
      <c r="W254" s="1310"/>
      <c r="X254" s="1311"/>
      <c r="Y254" s="1310"/>
      <c r="Z254" s="1311"/>
      <c r="AA254" s="1324"/>
      <c r="AB254" s="1311"/>
      <c r="AC254" s="1310"/>
      <c r="AD254" s="1311"/>
      <c r="AE254" s="1310"/>
      <c r="AF254" s="1311"/>
      <c r="AG254" s="1324"/>
      <c r="AH254" s="1311"/>
      <c r="AI254" s="1324"/>
      <c r="AJ254" s="15"/>
    </row>
    <row r="255" spans="1:36" s="8" customFormat="1" ht="15">
      <c r="A255" s="13"/>
      <c r="B255" s="16" t="s">
        <v>194</v>
      </c>
      <c r="C255" s="16"/>
      <c r="D255" s="1301"/>
      <c r="E255" s="1301"/>
      <c r="F255" s="1299" t="s">
        <v>279</v>
      </c>
      <c r="G255" s="1301"/>
      <c r="H255" s="1301"/>
      <c r="I255" s="1301"/>
      <c r="J255" s="1308">
        <f>SUM(J253:J254)</f>
        <v>0</v>
      </c>
      <c r="K255" s="1310"/>
      <c r="L255" s="1308">
        <f>SUM(L253:L254)</f>
        <v>0</v>
      </c>
      <c r="M255" s="1310"/>
      <c r="N255" s="1308">
        <f>SUM(N253:N254)</f>
        <v>0</v>
      </c>
      <c r="O255" s="1326">
        <f>IF(N$53=0,0,N255/N$53)</f>
        <v>0</v>
      </c>
      <c r="P255" s="1308">
        <f>SUM(P253:P254)</f>
        <v>0</v>
      </c>
      <c r="Q255" s="1310"/>
      <c r="R255" s="1308">
        <f>SUM(R253:R254)</f>
        <v>0</v>
      </c>
      <c r="S255" s="1310"/>
      <c r="T255" s="1308">
        <f>SUM(T253:T254)</f>
        <v>0</v>
      </c>
      <c r="U255" s="1326">
        <f>IF(T$53=0,0,T255/T$53)</f>
        <v>0</v>
      </c>
      <c r="V255" s="1308">
        <f>SUM(V253:V254)</f>
        <v>0</v>
      </c>
      <c r="W255" s="1310"/>
      <c r="X255" s="1308">
        <f>SUM(X253:X254)</f>
        <v>0</v>
      </c>
      <c r="Y255" s="1310"/>
      <c r="Z255" s="1308">
        <f>SUM(Z253:Z254)</f>
        <v>0</v>
      </c>
      <c r="AA255" s="1326">
        <f>IF(Z$53=0,0,Z255/Z$53)</f>
        <v>0</v>
      </c>
      <c r="AB255" s="1308">
        <f>SUM(AB253:AB254)</f>
        <v>0</v>
      </c>
      <c r="AC255" s="1310"/>
      <c r="AD255" s="1308">
        <f>SUM(AD253:AD254)</f>
        <v>0</v>
      </c>
      <c r="AE255" s="1310"/>
      <c r="AF255" s="1308">
        <f>SUM(AF253:AF254)</f>
        <v>0</v>
      </c>
      <c r="AG255" s="1326">
        <f>IF(AF$53=0,0,AF255/AF$53)</f>
        <v>0</v>
      </c>
      <c r="AH255" s="1308">
        <f>SUM(AH253:AH254)</f>
        <v>0</v>
      </c>
      <c r="AI255" s="1304">
        <f>IF(AH$59=0,0,AH255/AH$59)</f>
        <v>0</v>
      </c>
      <c r="AJ255" s="15"/>
    </row>
    <row r="256" spans="1:36" s="8" customFormat="1" ht="6.75" customHeight="1">
      <c r="A256" s="13"/>
      <c r="B256" s="2" t="s">
        <v>194</v>
      </c>
      <c r="C256" s="2"/>
      <c r="D256" s="1301"/>
      <c r="E256" s="1301"/>
      <c r="F256" s="1301"/>
      <c r="G256" s="1301"/>
      <c r="H256" s="1301"/>
      <c r="I256" s="1301"/>
      <c r="J256" s="1310"/>
      <c r="K256" s="1310"/>
      <c r="L256" s="1310"/>
      <c r="M256" s="1310"/>
      <c r="N256" s="1310"/>
      <c r="O256" s="1324"/>
      <c r="P256" s="1310"/>
      <c r="Q256" s="1310"/>
      <c r="R256" s="1310"/>
      <c r="S256" s="1310"/>
      <c r="T256" s="1310"/>
      <c r="U256" s="1324"/>
      <c r="V256" s="1310"/>
      <c r="W256" s="1310"/>
      <c r="X256" s="1310"/>
      <c r="Y256" s="1310"/>
      <c r="Z256" s="1310"/>
      <c r="AA256" s="1324"/>
      <c r="AB256" s="1310"/>
      <c r="AC256" s="1310"/>
      <c r="AD256" s="1310"/>
      <c r="AE256" s="1310"/>
      <c r="AF256" s="1310"/>
      <c r="AG256" s="1324"/>
      <c r="AH256" s="1310"/>
      <c r="AI256" s="1324"/>
      <c r="AJ256" s="15"/>
    </row>
    <row r="257" spans="1:36" s="8" customFormat="1" ht="15">
      <c r="A257" s="13"/>
      <c r="B257" s="2" t="s">
        <v>194</v>
      </c>
      <c r="C257" s="2"/>
      <c r="D257" s="1301"/>
      <c r="E257" s="1313" t="s">
        <v>280</v>
      </c>
      <c r="F257" s="1301"/>
      <c r="G257" s="1301"/>
      <c r="H257" s="1301"/>
      <c r="I257" s="1301"/>
      <c r="J257" s="1314">
        <f>+J243-J247-J251-J255</f>
        <v>145623.62999999989</v>
      </c>
      <c r="K257" s="1310"/>
      <c r="L257" s="1314">
        <f>+L243-L247-L251-L255</f>
        <v>136259.58999999994</v>
      </c>
      <c r="M257" s="1310"/>
      <c r="N257" s="1314">
        <f>+N243-N247-N251-N255</f>
        <v>81492.370000000054</v>
      </c>
      <c r="O257" s="1326">
        <f>IF(N$53=0,0,N257/N$53)</f>
        <v>0</v>
      </c>
      <c r="P257" s="1314">
        <f>+P243-P247-P251-P255</f>
        <v>88270.399999999994</v>
      </c>
      <c r="Q257" s="1310"/>
      <c r="R257" s="1314">
        <f>+R243-R247-R251-R255</f>
        <v>204383.94999999995</v>
      </c>
      <c r="S257" s="1310"/>
      <c r="T257" s="1314">
        <f>+T243-T247-T251-T255</f>
        <v>56151.859999999971</v>
      </c>
      <c r="U257" s="1326">
        <f>IF(T$53=0,0,T257/T$53)</f>
        <v>0</v>
      </c>
      <c r="V257" s="1314">
        <f>+V243-V247-V251-V255</f>
        <v>258023.58999999988</v>
      </c>
      <c r="W257" s="1310"/>
      <c r="X257" s="1314">
        <f>+X243-X247-X251-X255</f>
        <v>182270.44999999998</v>
      </c>
      <c r="Y257" s="1310"/>
      <c r="Z257" s="1314">
        <f>+Z243-Z247-Z251-Z255</f>
        <v>171157.58000000002</v>
      </c>
      <c r="AA257" s="1326">
        <f>IF(Z$53=0,0,Z257/Z$53)</f>
        <v>0</v>
      </c>
      <c r="AB257" s="1314">
        <f>+AB243-AB247-AB251-AB255</f>
        <v>118165.23999999999</v>
      </c>
      <c r="AC257" s="1310"/>
      <c r="AD257" s="1314">
        <f>+AD243-AD247-AD251-AD255</f>
        <v>191863.94</v>
      </c>
      <c r="AE257" s="1310"/>
      <c r="AF257" s="1314">
        <f>+AF243-AF247-AF251-AF255</f>
        <v>131209.74000000005</v>
      </c>
      <c r="AG257" s="1326">
        <f>IF(AF$53=0,0,AF257/AF$53)</f>
        <v>0</v>
      </c>
      <c r="AH257" s="1314">
        <f>+AH243-AH247-AH251-AH255</f>
        <v>1764872.3400000003</v>
      </c>
      <c r="AI257" s="1304">
        <f>IF(AH$59=0,0,AH257/AH$59)</f>
        <v>0.26585530155044279</v>
      </c>
      <c r="AJ257" s="15"/>
    </row>
    <row r="258" spans="1:36" s="8" customFormat="1" ht="6.75" customHeight="1">
      <c r="A258" s="13"/>
      <c r="B258" s="2" t="s">
        <v>194</v>
      </c>
      <c r="C258" s="2"/>
      <c r="D258" s="1301"/>
      <c r="E258" s="1301"/>
      <c r="F258" s="1301"/>
      <c r="G258" s="1301"/>
      <c r="H258" s="1301"/>
      <c r="I258" s="1301"/>
      <c r="J258" s="1310"/>
      <c r="K258" s="1310"/>
      <c r="L258" s="1310"/>
      <c r="M258" s="1310"/>
      <c r="N258" s="1310"/>
      <c r="O258" s="1324"/>
      <c r="P258" s="1310"/>
      <c r="Q258" s="1310"/>
      <c r="R258" s="1310"/>
      <c r="S258" s="1310"/>
      <c r="T258" s="1310"/>
      <c r="U258" s="1324"/>
      <c r="V258" s="1310"/>
      <c r="W258" s="1310"/>
      <c r="X258" s="1310"/>
      <c r="Y258" s="1310"/>
      <c r="Z258" s="1310"/>
      <c r="AA258" s="1324"/>
      <c r="AB258" s="1310"/>
      <c r="AC258" s="1310"/>
      <c r="AD258" s="1310"/>
      <c r="AE258" s="1310"/>
      <c r="AF258" s="1310"/>
      <c r="AG258" s="1324"/>
      <c r="AH258" s="1310"/>
      <c r="AI258" s="1324"/>
      <c r="AJ258" s="15"/>
    </row>
    <row r="259" spans="1:36" s="407" customFormat="1" outlineLevel="1">
      <c r="B259" s="24" t="s">
        <v>427</v>
      </c>
      <c r="D259" s="1298"/>
      <c r="E259" s="1298"/>
      <c r="F259" s="1299"/>
      <c r="G259" s="1300"/>
      <c r="H259" s="1301"/>
      <c r="I259" s="1302"/>
      <c r="J259" s="1303"/>
      <c r="K259" s="1302"/>
      <c r="L259" s="1303"/>
      <c r="M259" s="1302"/>
      <c r="N259" s="1303"/>
      <c r="O259" s="1302"/>
      <c r="P259" s="1303"/>
      <c r="Q259" s="1302"/>
      <c r="R259" s="1303"/>
      <c r="S259" s="1302"/>
      <c r="T259" s="1303"/>
      <c r="U259" s="1302"/>
      <c r="V259" s="1303"/>
      <c r="W259" s="1302"/>
      <c r="X259" s="1303"/>
      <c r="Y259" s="1302"/>
      <c r="Z259" s="1303"/>
      <c r="AA259" s="1302"/>
      <c r="AB259" s="1303"/>
      <c r="AC259" s="1302"/>
      <c r="AD259" s="1303"/>
      <c r="AE259" s="1302"/>
      <c r="AF259" s="1303"/>
      <c r="AG259" s="1302"/>
      <c r="AH259" s="1303">
        <f>AF259+AD259+AB259+Z259+X259+V259+T259+R259+P259+N259+L259+J259</f>
        <v>0</v>
      </c>
      <c r="AI259" s="1304">
        <f>IF(AH$59=0,0,AH259/AH$59)</f>
        <v>0</v>
      </c>
      <c r="AJ259" s="12"/>
    </row>
    <row r="260" spans="1:36" s="8" customFormat="1" ht="5.0999999999999996" customHeight="1" outlineLevel="1">
      <c r="A260" s="13"/>
      <c r="B260" s="16" t="s">
        <v>194</v>
      </c>
      <c r="C260" s="16"/>
      <c r="D260" s="1299"/>
      <c r="E260" s="1299"/>
      <c r="F260" s="1299"/>
      <c r="G260" s="1299"/>
      <c r="H260" s="1301"/>
      <c r="I260" s="1301"/>
      <c r="J260" s="1311"/>
      <c r="K260" s="1310"/>
      <c r="L260" s="1311"/>
      <c r="M260" s="1310"/>
      <c r="N260" s="1311"/>
      <c r="O260" s="1324"/>
      <c r="P260" s="1311"/>
      <c r="Q260" s="1310"/>
      <c r="R260" s="1311"/>
      <c r="S260" s="1310"/>
      <c r="T260" s="1311"/>
      <c r="U260" s="1324"/>
      <c r="V260" s="1311"/>
      <c r="W260" s="1310"/>
      <c r="X260" s="1311"/>
      <c r="Y260" s="1310"/>
      <c r="Z260" s="1311"/>
      <c r="AA260" s="1324"/>
      <c r="AB260" s="1311"/>
      <c r="AC260" s="1310"/>
      <c r="AD260" s="1311"/>
      <c r="AE260" s="1310"/>
      <c r="AF260" s="1311"/>
      <c r="AG260" s="1324"/>
      <c r="AH260" s="1311"/>
      <c r="AI260" s="1324"/>
      <c r="AJ260" s="15"/>
    </row>
    <row r="261" spans="1:36" s="8" customFormat="1" ht="15">
      <c r="A261" s="13"/>
      <c r="B261" s="16" t="s">
        <v>194</v>
      </c>
      <c r="C261" s="16"/>
      <c r="D261" s="1301"/>
      <c r="E261" s="1301"/>
      <c r="F261" s="1298" t="s">
        <v>281</v>
      </c>
      <c r="G261" s="1301"/>
      <c r="H261" s="1301"/>
      <c r="I261" s="1301"/>
      <c r="J261" s="1308">
        <f>SUM(J259:J260)</f>
        <v>0</v>
      </c>
      <c r="K261" s="1310"/>
      <c r="L261" s="1308">
        <f>SUM(L259:L260)</f>
        <v>0</v>
      </c>
      <c r="M261" s="1310"/>
      <c r="N261" s="1308">
        <f>SUM(N259:N260)</f>
        <v>0</v>
      </c>
      <c r="O261" s="1326">
        <f>IF(N$53=0,0,N261/N$53)</f>
        <v>0</v>
      </c>
      <c r="P261" s="1308">
        <f>SUM(P259:P260)</f>
        <v>0</v>
      </c>
      <c r="Q261" s="1310"/>
      <c r="R261" s="1308">
        <f>SUM(R259:R260)</f>
        <v>0</v>
      </c>
      <c r="S261" s="1310"/>
      <c r="T261" s="1308">
        <f>SUM(T259:T260)</f>
        <v>0</v>
      </c>
      <c r="U261" s="1326">
        <f>IF(T$53=0,0,T261/T$53)</f>
        <v>0</v>
      </c>
      <c r="V261" s="1308">
        <f>SUM(V259:V260)</f>
        <v>0</v>
      </c>
      <c r="W261" s="1310"/>
      <c r="X261" s="1308">
        <f>SUM(X259:X260)</f>
        <v>0</v>
      </c>
      <c r="Y261" s="1310"/>
      <c r="Z261" s="1308">
        <f>SUM(Z259:Z260)</f>
        <v>0</v>
      </c>
      <c r="AA261" s="1326">
        <f>IF(Z$53=0,0,Z261/Z$53)</f>
        <v>0</v>
      </c>
      <c r="AB261" s="1308">
        <f>SUM(AB259:AB260)</f>
        <v>0</v>
      </c>
      <c r="AC261" s="1310"/>
      <c r="AD261" s="1308">
        <f>SUM(AD259:AD260)</f>
        <v>0</v>
      </c>
      <c r="AE261" s="1310"/>
      <c r="AF261" s="1308">
        <f>SUM(AF259:AF260)</f>
        <v>0</v>
      </c>
      <c r="AG261" s="1326">
        <f>IF(AF$53=0,0,AF261/AF$53)</f>
        <v>0</v>
      </c>
      <c r="AH261" s="1308">
        <f>SUM(AH259:AH260)</f>
        <v>0</v>
      </c>
      <c r="AI261" s="1304">
        <f>IF(AH$59=0,0,AH261/AH$59)</f>
        <v>0</v>
      </c>
      <c r="AJ261" s="15"/>
    </row>
    <row r="262" spans="1:36" s="8" customFormat="1" ht="6.75" customHeight="1">
      <c r="A262" s="13"/>
      <c r="B262" s="2" t="s">
        <v>194</v>
      </c>
      <c r="C262" s="2"/>
      <c r="D262" s="1301"/>
      <c r="E262" s="1301"/>
      <c r="F262" s="1301"/>
      <c r="G262" s="1301"/>
      <c r="H262" s="1301"/>
      <c r="I262" s="1301"/>
      <c r="J262" s="1310"/>
      <c r="K262" s="1310"/>
      <c r="L262" s="1310"/>
      <c r="M262" s="1310"/>
      <c r="N262" s="1310"/>
      <c r="O262" s="1324"/>
      <c r="P262" s="1310"/>
      <c r="Q262" s="1310"/>
      <c r="R262" s="1310"/>
      <c r="S262" s="1310"/>
      <c r="T262" s="1310"/>
      <c r="U262" s="1324"/>
      <c r="V262" s="1310"/>
      <c r="W262" s="1310"/>
      <c r="X262" s="1310"/>
      <c r="Y262" s="1310"/>
      <c r="Z262" s="1310"/>
      <c r="AA262" s="1324"/>
      <c r="AB262" s="1310"/>
      <c r="AC262" s="1310"/>
      <c r="AD262" s="1310"/>
      <c r="AE262" s="1310"/>
      <c r="AF262" s="1310"/>
      <c r="AG262" s="1324"/>
      <c r="AH262" s="1310"/>
      <c r="AI262" s="1324"/>
      <c r="AJ262" s="15"/>
    </row>
    <row r="263" spans="1:36" s="8" customFormat="1" ht="15">
      <c r="A263" s="13"/>
      <c r="B263" s="16" t="s">
        <v>194</v>
      </c>
      <c r="C263" s="16"/>
      <c r="D263" s="1301"/>
      <c r="E263" s="1313" t="s">
        <v>282</v>
      </c>
      <c r="F263" s="1301"/>
      <c r="G263" s="1301"/>
      <c r="H263" s="1301"/>
      <c r="I263" s="1301"/>
      <c r="J263" s="1314">
        <f>+J257-J261</f>
        <v>145623.62999999989</v>
      </c>
      <c r="K263" s="1310"/>
      <c r="L263" s="1314">
        <f>+L257-L261</f>
        <v>136259.58999999994</v>
      </c>
      <c r="M263" s="1310"/>
      <c r="N263" s="1314">
        <f>+N257-N261</f>
        <v>81492.370000000054</v>
      </c>
      <c r="O263" s="1326">
        <f>IF(N$53=0,0,N263/N$53)</f>
        <v>0</v>
      </c>
      <c r="P263" s="1314">
        <f>+P257-P261</f>
        <v>88270.399999999994</v>
      </c>
      <c r="Q263" s="1310"/>
      <c r="R263" s="1314">
        <f>+R257-R261</f>
        <v>204383.94999999995</v>
      </c>
      <c r="S263" s="1310"/>
      <c r="T263" s="1314">
        <f>+T257-T261</f>
        <v>56151.859999999971</v>
      </c>
      <c r="U263" s="1326">
        <f>IF(T$53=0,0,T263/T$53)</f>
        <v>0</v>
      </c>
      <c r="V263" s="1314">
        <f>+V257-V261</f>
        <v>258023.58999999988</v>
      </c>
      <c r="W263" s="1310"/>
      <c r="X263" s="1314">
        <f>+X257-X261</f>
        <v>182270.44999999998</v>
      </c>
      <c r="Y263" s="1310"/>
      <c r="Z263" s="1314">
        <f>+Z257-Z261</f>
        <v>171157.58000000002</v>
      </c>
      <c r="AA263" s="1326">
        <f>IF(Z$53=0,0,Z263/Z$53)</f>
        <v>0</v>
      </c>
      <c r="AB263" s="1314">
        <f>+AB257-AB261</f>
        <v>118165.23999999999</v>
      </c>
      <c r="AC263" s="1310"/>
      <c r="AD263" s="1314">
        <f>+AD257-AD261</f>
        <v>191863.94</v>
      </c>
      <c r="AE263" s="1310"/>
      <c r="AF263" s="1314">
        <f>+AF257-AF261</f>
        <v>131209.74000000005</v>
      </c>
      <c r="AG263" s="1326">
        <f>IF(AF$53=0,0,AF263/AF$53)</f>
        <v>0</v>
      </c>
      <c r="AH263" s="1314">
        <f>+AH257-AH261</f>
        <v>1764872.3400000003</v>
      </c>
      <c r="AI263" s="1304">
        <f>IF(AH$59=0,0,AH263/AH$59)</f>
        <v>0.26585530155044279</v>
      </c>
      <c r="AJ263" s="15"/>
    </row>
    <row r="264" spans="1:36" ht="6.75" customHeight="1">
      <c r="A264" s="13"/>
      <c r="B264" s="2" t="s">
        <v>194</v>
      </c>
      <c r="D264" s="1327"/>
      <c r="E264" s="1327"/>
      <c r="F264" s="1327"/>
      <c r="G264" s="1327"/>
      <c r="H264" s="1327"/>
      <c r="I264" s="1327"/>
      <c r="J264" s="1318"/>
      <c r="K264" s="1318"/>
      <c r="L264" s="1318"/>
      <c r="M264" s="1318"/>
      <c r="N264" s="1318"/>
      <c r="O264" s="1324"/>
      <c r="P264" s="1318"/>
      <c r="Q264" s="1318"/>
      <c r="R264" s="1318"/>
      <c r="S264" s="1318"/>
      <c r="T264" s="1318"/>
      <c r="U264" s="1324"/>
      <c r="V264" s="1318"/>
      <c r="W264" s="1318"/>
      <c r="X264" s="1318"/>
      <c r="Y264" s="1318"/>
      <c r="Z264" s="1318"/>
      <c r="AA264" s="1324"/>
      <c r="AB264" s="1318"/>
      <c r="AC264" s="1318"/>
      <c r="AD264" s="1318"/>
      <c r="AE264" s="1318"/>
      <c r="AF264" s="1318"/>
      <c r="AG264" s="1324"/>
      <c r="AH264" s="1318"/>
      <c r="AI264" s="1324"/>
      <c r="AJ264" s="15"/>
    </row>
    <row r="265" spans="1:36" s="407" customFormat="1" outlineLevel="1">
      <c r="B265" s="24" t="s">
        <v>428</v>
      </c>
      <c r="D265" s="1298"/>
      <c r="E265" s="1298"/>
      <c r="F265" s="1299"/>
      <c r="G265" s="1300"/>
      <c r="H265" s="1301"/>
      <c r="I265" s="1302"/>
      <c r="J265" s="1303"/>
      <c r="K265" s="1302"/>
      <c r="L265" s="1303"/>
      <c r="M265" s="1302"/>
      <c r="N265" s="1303"/>
      <c r="O265" s="1302"/>
      <c r="P265" s="1303"/>
      <c r="Q265" s="1302"/>
      <c r="R265" s="1303"/>
      <c r="S265" s="1302"/>
      <c r="T265" s="1303"/>
      <c r="U265" s="1302"/>
      <c r="V265" s="1303"/>
      <c r="W265" s="1302"/>
      <c r="X265" s="1303"/>
      <c r="Y265" s="1302"/>
      <c r="Z265" s="1303"/>
      <c r="AA265" s="1302"/>
      <c r="AB265" s="1303"/>
      <c r="AC265" s="1302"/>
      <c r="AD265" s="1303"/>
      <c r="AE265" s="1302"/>
      <c r="AF265" s="1303"/>
      <c r="AG265" s="1302"/>
      <c r="AH265" s="1303">
        <f>AF265+AD265+AB265+Z265+X265+V265+T265+R265+P265+N265+L265+J265</f>
        <v>0</v>
      </c>
      <c r="AI265" s="1304">
        <f>IF(AH$59=0,0,AH265/AH$59)</f>
        <v>0</v>
      </c>
      <c r="AJ265" s="12"/>
    </row>
    <row r="266" spans="1:36" s="8" customFormat="1" ht="5.0999999999999996" customHeight="1" outlineLevel="1">
      <c r="A266" s="13"/>
      <c r="B266" s="16" t="s">
        <v>194</v>
      </c>
      <c r="C266" s="16"/>
      <c r="D266" s="1299"/>
      <c r="E266" s="1299"/>
      <c r="F266" s="1299"/>
      <c r="G266" s="1299"/>
      <c r="H266" s="1301"/>
      <c r="I266" s="1301"/>
      <c r="J266" s="1311"/>
      <c r="K266" s="1310"/>
      <c r="L266" s="1311"/>
      <c r="M266" s="1310"/>
      <c r="N266" s="1311"/>
      <c r="O266" s="1324"/>
      <c r="P266" s="1311"/>
      <c r="Q266" s="1310"/>
      <c r="R266" s="1311"/>
      <c r="S266" s="1310"/>
      <c r="T266" s="1311"/>
      <c r="U266" s="1324"/>
      <c r="V266" s="1311"/>
      <c r="W266" s="1310"/>
      <c r="X266" s="1311"/>
      <c r="Y266" s="1310"/>
      <c r="Z266" s="1311"/>
      <c r="AA266" s="1324"/>
      <c r="AB266" s="1311"/>
      <c r="AC266" s="1310"/>
      <c r="AD266" s="1311"/>
      <c r="AE266" s="1310"/>
      <c r="AF266" s="1311"/>
      <c r="AG266" s="1324"/>
      <c r="AH266" s="1311"/>
      <c r="AI266" s="1324"/>
      <c r="AJ266" s="15"/>
    </row>
    <row r="267" spans="1:36" s="8" customFormat="1" ht="15">
      <c r="A267" s="2"/>
      <c r="B267" s="16"/>
      <c r="C267" s="16"/>
      <c r="D267" s="1301"/>
      <c r="E267" s="1301"/>
      <c r="F267" s="1298" t="s">
        <v>283</v>
      </c>
      <c r="G267" s="1301"/>
      <c r="H267" s="1301"/>
      <c r="I267" s="1301"/>
      <c r="J267" s="1308">
        <f>SUM(J265:J266)</f>
        <v>0</v>
      </c>
      <c r="K267" s="1310"/>
      <c r="L267" s="1308">
        <f>SUM(L265:L266)</f>
        <v>0</v>
      </c>
      <c r="M267" s="1310"/>
      <c r="N267" s="1308">
        <f>SUM(N265:N266)</f>
        <v>0</v>
      </c>
      <c r="O267" s="1326">
        <f>IF(N$53=0,0,N267/N$53)</f>
        <v>0</v>
      </c>
      <c r="P267" s="1308">
        <f>SUM(P265:P266)</f>
        <v>0</v>
      </c>
      <c r="Q267" s="1310"/>
      <c r="R267" s="1308">
        <f>SUM(R265:R266)</f>
        <v>0</v>
      </c>
      <c r="S267" s="1310"/>
      <c r="T267" s="1308">
        <f>SUM(T265:T266)</f>
        <v>0</v>
      </c>
      <c r="U267" s="1326">
        <f>IF(T$53=0,0,T267/T$53)</f>
        <v>0</v>
      </c>
      <c r="V267" s="1308">
        <f>SUM(V265:V266)</f>
        <v>0</v>
      </c>
      <c r="W267" s="1310"/>
      <c r="X267" s="1308">
        <f>SUM(X265:X266)</f>
        <v>0</v>
      </c>
      <c r="Y267" s="1310"/>
      <c r="Z267" s="1308">
        <f>SUM(Z265:Z266)</f>
        <v>0</v>
      </c>
      <c r="AA267" s="1326">
        <f>IF(Z$53=0,0,Z267/Z$53)</f>
        <v>0</v>
      </c>
      <c r="AB267" s="1308">
        <f>SUM(AB265:AB266)</f>
        <v>0</v>
      </c>
      <c r="AC267" s="1310"/>
      <c r="AD267" s="1308">
        <f>SUM(AD265:AD266)</f>
        <v>0</v>
      </c>
      <c r="AE267" s="1310"/>
      <c r="AF267" s="1308">
        <f>SUM(AF265:AF266)</f>
        <v>0</v>
      </c>
      <c r="AG267" s="1326">
        <f>IF(AF$53=0,0,AF267/AF$53)</f>
        <v>0</v>
      </c>
      <c r="AH267" s="1308">
        <f>SUM(AH265:AH266)</f>
        <v>0</v>
      </c>
      <c r="AI267" s="1304">
        <f>IF(AH$59=0,0,AH267/AH$59)</f>
        <v>0</v>
      </c>
      <c r="AJ267" s="15"/>
    </row>
    <row r="268" spans="1:36" s="8" customFormat="1" ht="6.75" customHeight="1">
      <c r="A268" s="2"/>
      <c r="B268" s="16"/>
      <c r="C268" s="16"/>
      <c r="D268" s="1301"/>
      <c r="E268" s="1301"/>
      <c r="F268" s="1301"/>
      <c r="G268" s="1301"/>
      <c r="H268" s="1301"/>
      <c r="I268" s="1301"/>
      <c r="J268" s="1310"/>
      <c r="K268" s="1310"/>
      <c r="L268" s="1310"/>
      <c r="M268" s="1310"/>
      <c r="N268" s="1310"/>
      <c r="O268" s="1324"/>
      <c r="P268" s="1310"/>
      <c r="Q268" s="1310"/>
      <c r="R268" s="1310"/>
      <c r="S268" s="1310"/>
      <c r="T268" s="1310"/>
      <c r="U268" s="1324"/>
      <c r="V268" s="1310"/>
      <c r="W268" s="1310"/>
      <c r="X268" s="1310"/>
      <c r="Y268" s="1310"/>
      <c r="Z268" s="1310"/>
      <c r="AA268" s="1324"/>
      <c r="AB268" s="1310"/>
      <c r="AC268" s="1310"/>
      <c r="AD268" s="1310"/>
      <c r="AE268" s="1310"/>
      <c r="AF268" s="1310"/>
      <c r="AG268" s="1324"/>
      <c r="AH268" s="1310"/>
      <c r="AI268" s="1324"/>
      <c r="AJ268" s="15"/>
    </row>
    <row r="269" spans="1:36" s="8" customFormat="1" ht="15">
      <c r="A269" s="2"/>
      <c r="B269" s="2"/>
      <c r="C269" s="2"/>
      <c r="D269" s="1301"/>
      <c r="E269" s="1313" t="s">
        <v>284</v>
      </c>
      <c r="F269" s="1301"/>
      <c r="G269" s="1301"/>
      <c r="H269" s="1301"/>
      <c r="I269" s="1301"/>
      <c r="J269" s="1314">
        <f>+J263-J267</f>
        <v>145623.62999999989</v>
      </c>
      <c r="K269" s="1310"/>
      <c r="L269" s="1314">
        <f>+L263-L267</f>
        <v>136259.58999999994</v>
      </c>
      <c r="M269" s="1310"/>
      <c r="N269" s="1314">
        <f>+N263-N267</f>
        <v>81492.370000000054</v>
      </c>
      <c r="O269" s="1326">
        <f>IF(N$53=0,0,N269/N$53)</f>
        <v>0</v>
      </c>
      <c r="P269" s="1314">
        <f>+P263-P267</f>
        <v>88270.399999999994</v>
      </c>
      <c r="Q269" s="1310"/>
      <c r="R269" s="1314">
        <f>+R263-R267</f>
        <v>204383.94999999995</v>
      </c>
      <c r="S269" s="1310"/>
      <c r="T269" s="1314">
        <f>+T263-T267</f>
        <v>56151.859999999971</v>
      </c>
      <c r="U269" s="1326">
        <f>IF(T$53=0,0,T269/T$53)</f>
        <v>0</v>
      </c>
      <c r="V269" s="1314">
        <f>+V263-V267</f>
        <v>258023.58999999988</v>
      </c>
      <c r="W269" s="1310"/>
      <c r="X269" s="1314">
        <f>+X263-X267</f>
        <v>182270.44999999998</v>
      </c>
      <c r="Y269" s="1310"/>
      <c r="Z269" s="1314">
        <f>+Z263-Z267</f>
        <v>171157.58000000002</v>
      </c>
      <c r="AA269" s="1326">
        <f>IF(Z$53=0,0,Z269/Z$53)</f>
        <v>0</v>
      </c>
      <c r="AB269" s="1314">
        <f>+AB263-AB267</f>
        <v>118165.23999999999</v>
      </c>
      <c r="AC269" s="1310"/>
      <c r="AD269" s="1314">
        <f>+AD263-AD267</f>
        <v>191863.94</v>
      </c>
      <c r="AE269" s="1310"/>
      <c r="AF269" s="1314">
        <f>+AF263-AF267</f>
        <v>131209.74000000005</v>
      </c>
      <c r="AG269" s="1326">
        <f>IF(AF$53=0,0,AF269/AF$53)</f>
        <v>0</v>
      </c>
      <c r="AH269" s="1314">
        <f>+AH263-AH267</f>
        <v>1764872.3400000003</v>
      </c>
      <c r="AI269" s="1304">
        <f>IF(AH$59=0,0,AH269/AH$59)</f>
        <v>0.26585530155044279</v>
      </c>
      <c r="AJ269" s="15"/>
    </row>
    <row r="270" spans="1:36" s="8" customFormat="1" ht="6.75" customHeight="1">
      <c r="A270" s="2"/>
      <c r="B270" s="16"/>
      <c r="C270" s="16"/>
      <c r="D270" s="1301"/>
      <c r="E270" s="1301"/>
      <c r="F270" s="1301"/>
      <c r="G270" s="1301"/>
      <c r="H270" s="1301"/>
      <c r="I270" s="1301"/>
      <c r="J270" s="1310"/>
      <c r="K270" s="1310"/>
      <c r="L270" s="1310"/>
      <c r="M270" s="1310"/>
      <c r="N270" s="1310"/>
      <c r="O270" s="1324"/>
      <c r="P270" s="1310"/>
      <c r="Q270" s="1310"/>
      <c r="R270" s="1310"/>
      <c r="S270" s="1310"/>
      <c r="T270" s="1310"/>
      <c r="U270" s="1324"/>
      <c r="V270" s="1310"/>
      <c r="W270" s="1310"/>
      <c r="X270" s="1310"/>
      <c r="Y270" s="1310"/>
      <c r="Z270" s="1310"/>
      <c r="AA270" s="1324"/>
      <c r="AB270" s="1310"/>
      <c r="AC270" s="1310"/>
      <c r="AD270" s="1310"/>
      <c r="AE270" s="1310"/>
      <c r="AF270" s="1310"/>
      <c r="AG270" s="1324"/>
      <c r="AH270" s="1310"/>
      <c r="AI270" s="1324"/>
      <c r="AJ270" s="15"/>
    </row>
    <row r="271" spans="1:36" s="407" customFormat="1" outlineLevel="1">
      <c r="B271" s="24" t="s">
        <v>429</v>
      </c>
      <c r="D271" s="1298"/>
      <c r="E271" s="1298"/>
      <c r="F271" s="1299"/>
      <c r="G271" s="1300"/>
      <c r="H271" s="1301"/>
      <c r="I271" s="1302"/>
      <c r="J271" s="1303"/>
      <c r="K271" s="1302"/>
      <c r="L271" s="1303"/>
      <c r="M271" s="1302"/>
      <c r="N271" s="1303"/>
      <c r="O271" s="1302"/>
      <c r="P271" s="1303"/>
      <c r="Q271" s="1302"/>
      <c r="R271" s="1303"/>
      <c r="S271" s="1302"/>
      <c r="T271" s="1303"/>
      <c r="U271" s="1302"/>
      <c r="V271" s="1303"/>
      <c r="W271" s="1302"/>
      <c r="X271" s="1303"/>
      <c r="Y271" s="1302"/>
      <c r="Z271" s="1303"/>
      <c r="AA271" s="1302"/>
      <c r="AB271" s="1303"/>
      <c r="AC271" s="1302"/>
      <c r="AD271" s="1303"/>
      <c r="AE271" s="1302"/>
      <c r="AF271" s="1303"/>
      <c r="AG271" s="1302"/>
      <c r="AH271" s="1303">
        <f>AF271+AD271+AB271+Z271+X271+V271+T271+R271+P271+N271+L271+J271</f>
        <v>0</v>
      </c>
      <c r="AI271" s="1304">
        <f>IF(AH$59=0,0,AH271/AH$59)</f>
        <v>0</v>
      </c>
      <c r="AJ271" s="12"/>
    </row>
    <row r="272" spans="1:36" s="8" customFormat="1" ht="5.0999999999999996" customHeight="1" outlineLevel="1">
      <c r="A272" s="13"/>
      <c r="B272" s="16" t="s">
        <v>194</v>
      </c>
      <c r="C272" s="16"/>
      <c r="D272" s="1299"/>
      <c r="E272" s="1299"/>
      <c r="F272" s="1299"/>
      <c r="G272" s="1299"/>
      <c r="H272" s="1301"/>
      <c r="I272" s="1301"/>
      <c r="J272" s="1311"/>
      <c r="K272" s="1310"/>
      <c r="L272" s="1311"/>
      <c r="M272" s="1310"/>
      <c r="N272" s="1311"/>
      <c r="O272" s="1324"/>
      <c r="P272" s="1311"/>
      <c r="Q272" s="1310"/>
      <c r="R272" s="1311"/>
      <c r="S272" s="1310"/>
      <c r="T272" s="1311"/>
      <c r="U272" s="1324"/>
      <c r="V272" s="1311"/>
      <c r="W272" s="1310"/>
      <c r="X272" s="1311"/>
      <c r="Y272" s="1310"/>
      <c r="Z272" s="1311"/>
      <c r="AA272" s="1324"/>
      <c r="AB272" s="1311"/>
      <c r="AC272" s="1310"/>
      <c r="AD272" s="1311"/>
      <c r="AE272" s="1310"/>
      <c r="AF272" s="1311"/>
      <c r="AG272" s="1324"/>
      <c r="AH272" s="1311"/>
      <c r="AI272" s="1324"/>
      <c r="AJ272" s="15"/>
    </row>
    <row r="273" spans="1:36" s="8" customFormat="1" ht="15">
      <c r="A273" s="13"/>
      <c r="B273" s="16" t="s">
        <v>194</v>
      </c>
      <c r="C273" s="16"/>
      <c r="D273" s="1301"/>
      <c r="E273" s="1301"/>
      <c r="F273" s="1298" t="s">
        <v>285</v>
      </c>
      <c r="G273" s="1301"/>
      <c r="H273" s="1301"/>
      <c r="I273" s="1301"/>
      <c r="J273" s="1308">
        <f>SUM(J271:J272)</f>
        <v>0</v>
      </c>
      <c r="K273" s="1310"/>
      <c r="L273" s="1308">
        <f>SUM(L271:L272)</f>
        <v>0</v>
      </c>
      <c r="M273" s="1310"/>
      <c r="N273" s="1308">
        <f>SUM(N271:N272)</f>
        <v>0</v>
      </c>
      <c r="O273" s="1326">
        <f>IF(N$53=0,0,N273/N$53)</f>
        <v>0</v>
      </c>
      <c r="P273" s="1308">
        <f>SUM(P271:P272)</f>
        <v>0</v>
      </c>
      <c r="Q273" s="1310"/>
      <c r="R273" s="1308">
        <f>SUM(R271:R272)</f>
        <v>0</v>
      </c>
      <c r="S273" s="1310"/>
      <c r="T273" s="1308">
        <f>SUM(T271:T272)</f>
        <v>0</v>
      </c>
      <c r="U273" s="1326">
        <f>IF(T$53=0,0,T273/T$53)</f>
        <v>0</v>
      </c>
      <c r="V273" s="1308">
        <f>SUM(V271:V272)</f>
        <v>0</v>
      </c>
      <c r="W273" s="1310"/>
      <c r="X273" s="1308">
        <f>SUM(X271:X272)</f>
        <v>0</v>
      </c>
      <c r="Y273" s="1310"/>
      <c r="Z273" s="1308">
        <f>SUM(Z271:Z272)</f>
        <v>0</v>
      </c>
      <c r="AA273" s="1326">
        <f>IF(Z$53=0,0,Z273/Z$53)</f>
        <v>0</v>
      </c>
      <c r="AB273" s="1308">
        <f>SUM(AB271:AB272)</f>
        <v>0</v>
      </c>
      <c r="AC273" s="1310"/>
      <c r="AD273" s="1308">
        <f>SUM(AD271:AD272)</f>
        <v>0</v>
      </c>
      <c r="AE273" s="1310"/>
      <c r="AF273" s="1308">
        <f>SUM(AF271:AF272)</f>
        <v>0</v>
      </c>
      <c r="AG273" s="1326">
        <f>IF(AF$53=0,0,AF273/AF$53)</f>
        <v>0</v>
      </c>
      <c r="AH273" s="1308">
        <f>SUM(AH271:AH272)</f>
        <v>0</v>
      </c>
      <c r="AI273" s="1304">
        <f>IF(AH$59=0,0,AH273/AH$59)</f>
        <v>0</v>
      </c>
      <c r="AJ273" s="15"/>
    </row>
    <row r="274" spans="1:36" s="8" customFormat="1" ht="6.75" customHeight="1">
      <c r="A274" s="2"/>
      <c r="B274" s="16"/>
      <c r="C274" s="16"/>
      <c r="D274" s="1301"/>
      <c r="E274" s="1301"/>
      <c r="F274" s="1301"/>
      <c r="G274" s="1301"/>
      <c r="H274" s="1301"/>
      <c r="I274" s="1301"/>
      <c r="J274" s="1310"/>
      <c r="K274" s="1310"/>
      <c r="L274" s="1310"/>
      <c r="M274" s="1310"/>
      <c r="N274" s="1310"/>
      <c r="O274" s="1324"/>
      <c r="P274" s="1310"/>
      <c r="Q274" s="1310"/>
      <c r="R274" s="1310"/>
      <c r="S274" s="1310"/>
      <c r="T274" s="1310"/>
      <c r="U274" s="1324"/>
      <c r="V274" s="1310"/>
      <c r="W274" s="1310"/>
      <c r="X274" s="1310"/>
      <c r="Y274" s="1310"/>
      <c r="Z274" s="1310"/>
      <c r="AA274" s="1324"/>
      <c r="AB274" s="1310"/>
      <c r="AC274" s="1310"/>
      <c r="AD274" s="1310"/>
      <c r="AE274" s="1310"/>
      <c r="AF274" s="1310"/>
      <c r="AG274" s="1324"/>
      <c r="AH274" s="1310"/>
      <c r="AI274" s="1324"/>
      <c r="AJ274" s="15"/>
    </row>
    <row r="275" spans="1:36" s="8" customFormat="1" ht="15.75" thickBot="1">
      <c r="A275" s="2"/>
      <c r="B275" s="2"/>
      <c r="C275" s="2"/>
      <c r="D275" s="1301"/>
      <c r="E275" s="1313" t="s">
        <v>286</v>
      </c>
      <c r="F275" s="1301"/>
      <c r="G275" s="1301"/>
      <c r="H275" s="1301"/>
      <c r="I275" s="1301"/>
      <c r="J275" s="1328">
        <f>+J269-J273</f>
        <v>145623.62999999989</v>
      </c>
      <c r="K275" s="1310"/>
      <c r="L275" s="1328">
        <f>+L269-L273</f>
        <v>136259.58999999994</v>
      </c>
      <c r="M275" s="1310"/>
      <c r="N275" s="1328">
        <f>+N269-N273</f>
        <v>81492.370000000054</v>
      </c>
      <c r="O275" s="1326">
        <f>IF(N$53=0,0,N275/N$53)</f>
        <v>0</v>
      </c>
      <c r="P275" s="1328">
        <f>+P269-P273</f>
        <v>88270.399999999994</v>
      </c>
      <c r="Q275" s="1310"/>
      <c r="R275" s="1328">
        <f>+R269-R273</f>
        <v>204383.94999999995</v>
      </c>
      <c r="S275" s="1310"/>
      <c r="T275" s="1328">
        <f>+T269-T273</f>
        <v>56151.859999999971</v>
      </c>
      <c r="U275" s="1326">
        <f>IF(T$53=0,0,T275/T$53)</f>
        <v>0</v>
      </c>
      <c r="V275" s="1328">
        <f>+V269-V273</f>
        <v>258023.58999999988</v>
      </c>
      <c r="W275" s="1310"/>
      <c r="X275" s="1328">
        <f>+X269-X273</f>
        <v>182270.44999999998</v>
      </c>
      <c r="Y275" s="1310"/>
      <c r="Z275" s="1328">
        <f>+Z269-Z273</f>
        <v>171157.58000000002</v>
      </c>
      <c r="AA275" s="1326">
        <f>IF(Z$53=0,0,Z275/Z$53)</f>
        <v>0</v>
      </c>
      <c r="AB275" s="1328">
        <f>+AB269-AB273</f>
        <v>118165.23999999999</v>
      </c>
      <c r="AC275" s="1310"/>
      <c r="AD275" s="1328">
        <f>+AD269-AD273</f>
        <v>191863.94</v>
      </c>
      <c r="AE275" s="1310"/>
      <c r="AF275" s="1328">
        <f>+AF269-AF273</f>
        <v>131209.74000000005</v>
      </c>
      <c r="AG275" s="1326">
        <f>IF(AF$53=0,0,AF275/AF$53)</f>
        <v>0</v>
      </c>
      <c r="AH275" s="1328">
        <f>+AH269-AH273</f>
        <v>1764872.3400000003</v>
      </c>
      <c r="AI275" s="1304">
        <f>IF(AH$59=0,0,AH275/AH$59)</f>
        <v>0.26585530155044279</v>
      </c>
      <c r="AJ275" s="15"/>
    </row>
    <row r="276" spans="1:36" s="20" customFormat="1" ht="15.75" thickTop="1">
      <c r="A276" s="13"/>
      <c r="B276" s="16"/>
      <c r="C276" s="16"/>
      <c r="D276" s="1301"/>
      <c r="E276" s="1301"/>
      <c r="F276" s="1298"/>
      <c r="G276" s="1301"/>
      <c r="H276" s="1327"/>
      <c r="I276" s="1327"/>
      <c r="J276" s="1329"/>
      <c r="K276" s="1327"/>
      <c r="L276" s="1329"/>
      <c r="M276" s="1281"/>
      <c r="N276" s="1329"/>
      <c r="O276" s="1281"/>
      <c r="P276" s="1329"/>
      <c r="Q276" s="1327"/>
      <c r="R276" s="1329"/>
      <c r="S276" s="1281"/>
      <c r="T276" s="1329"/>
      <c r="U276" s="1281"/>
      <c r="V276" s="1329"/>
      <c r="W276" s="1327"/>
      <c r="X276" s="1329"/>
      <c r="Y276" s="1281"/>
      <c r="Z276" s="1329"/>
      <c r="AA276" s="1281"/>
      <c r="AB276" s="1329"/>
      <c r="AC276" s="1327"/>
      <c r="AD276" s="1329"/>
      <c r="AE276" s="1281"/>
      <c r="AF276" s="1329"/>
      <c r="AG276" s="1281"/>
      <c r="AH276" s="1329"/>
      <c r="AI276" s="1329"/>
      <c r="AJ276" s="2"/>
    </row>
    <row r="277" spans="1:36" customFormat="1" ht="15" outlineLevel="1">
      <c r="B277" t="s">
        <v>430</v>
      </c>
      <c r="D277" s="1330"/>
      <c r="E277" s="1330"/>
      <c r="F277" s="1330"/>
      <c r="G277" s="1330"/>
      <c r="H277" s="1330"/>
      <c r="I277" s="1330"/>
      <c r="J277" s="1330"/>
      <c r="K277" s="1330"/>
      <c r="L277" s="1330"/>
      <c r="M277" s="1330"/>
      <c r="N277" s="1330"/>
      <c r="O277" s="1330"/>
      <c r="P277" s="1330"/>
      <c r="Q277" s="1330"/>
      <c r="R277" s="1330"/>
      <c r="S277" s="1330"/>
      <c r="T277" s="1330"/>
      <c r="U277" s="1330"/>
      <c r="V277" s="1330"/>
      <c r="W277" s="1330"/>
      <c r="X277" s="1330"/>
      <c r="Y277" s="1330"/>
      <c r="Z277" s="1330"/>
      <c r="AA277" s="1330"/>
      <c r="AB277" s="1330"/>
      <c r="AC277" s="1330"/>
      <c r="AD277" s="1330"/>
      <c r="AE277" s="1330"/>
      <c r="AF277" s="1330"/>
      <c r="AG277" s="1330"/>
      <c r="AH277" s="1330"/>
      <c r="AI277" s="1330"/>
    </row>
    <row r="278" spans="1:36" ht="6" customHeight="1" outlineLevel="1">
      <c r="A278" s="13"/>
      <c r="D278" s="1327"/>
      <c r="E278" s="1327"/>
      <c r="F278" s="1327"/>
      <c r="G278" s="1327"/>
      <c r="H278" s="1327"/>
      <c r="I278" s="1327"/>
      <c r="J278" s="1311"/>
      <c r="K278" s="1310"/>
      <c r="L278" s="1311"/>
      <c r="M278" s="1310"/>
      <c r="N278" s="1311"/>
      <c r="O278" s="1324"/>
      <c r="P278" s="1311"/>
      <c r="Q278" s="1310"/>
      <c r="R278" s="1311"/>
      <c r="S278" s="1310"/>
      <c r="T278" s="1311"/>
      <c r="U278" s="1324"/>
      <c r="V278" s="1311"/>
      <c r="W278" s="1310"/>
      <c r="X278" s="1311"/>
      <c r="Y278" s="1310"/>
      <c r="Z278" s="1311"/>
      <c r="AA278" s="1324"/>
      <c r="AB278" s="1311"/>
      <c r="AC278" s="1310"/>
      <c r="AD278" s="1311"/>
      <c r="AE278" s="1310"/>
      <c r="AF278" s="1311"/>
      <c r="AG278" s="1324"/>
      <c r="AH278" s="1311"/>
      <c r="AI278" s="1327"/>
    </row>
    <row r="279" spans="1:36" s="5" customFormat="1">
      <c r="A279" s="28"/>
      <c r="D279" s="1318"/>
      <c r="E279" s="1318" t="s">
        <v>287</v>
      </c>
      <c r="F279" s="1318"/>
      <c r="G279" s="1318"/>
      <c r="H279" s="1318"/>
      <c r="I279" s="1318"/>
      <c r="J279" s="1308">
        <f>SUM(J277:J278)</f>
        <v>0</v>
      </c>
      <c r="K279" s="1310"/>
      <c r="L279" s="1308">
        <f>SUM(L277:L278)</f>
        <v>0</v>
      </c>
      <c r="M279" s="1310"/>
      <c r="N279" s="1308">
        <f>SUM(N277:N278)</f>
        <v>0</v>
      </c>
      <c r="O279" s="1326"/>
      <c r="P279" s="1308">
        <f>SUM(P277:P278)</f>
        <v>0</v>
      </c>
      <c r="Q279" s="1310"/>
      <c r="R279" s="1308">
        <f>SUM(R277:R278)</f>
        <v>0</v>
      </c>
      <c r="S279" s="1310"/>
      <c r="T279" s="1308">
        <f>SUM(T277:T278)</f>
        <v>0</v>
      </c>
      <c r="U279" s="1326"/>
      <c r="V279" s="1308">
        <f>SUM(V277:V278)</f>
        <v>0</v>
      </c>
      <c r="W279" s="1310"/>
      <c r="X279" s="1308">
        <f>SUM(X277:X278)</f>
        <v>0</v>
      </c>
      <c r="Y279" s="1310"/>
      <c r="Z279" s="1308">
        <f>SUM(Z277:Z278)</f>
        <v>0</v>
      </c>
      <c r="AA279" s="1326"/>
      <c r="AB279" s="1308">
        <f>SUM(AB277:AB278)</f>
        <v>0</v>
      </c>
      <c r="AC279" s="1310"/>
      <c r="AD279" s="1308">
        <f>SUM(AD277:AD278)</f>
        <v>0</v>
      </c>
      <c r="AE279" s="1310"/>
      <c r="AF279" s="1308">
        <f>SUM(AF277:AF278)</f>
        <v>0</v>
      </c>
      <c r="AG279" s="1326"/>
      <c r="AH279" s="1308">
        <f>SUM(AH277:AH278)</f>
        <v>0</v>
      </c>
      <c r="AI279" s="1318"/>
    </row>
    <row r="280" spans="1:36">
      <c r="A280" s="13"/>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row>
    <row r="281" spans="1:36" ht="15">
      <c r="A281" s="13"/>
      <c r="B281" s="16"/>
      <c r="C281" s="16"/>
      <c r="D281" s="7"/>
      <c r="E281" s="7"/>
      <c r="F281" s="7"/>
      <c r="G281" s="7"/>
      <c r="M281" s="15"/>
      <c r="O281" s="15"/>
      <c r="S281" s="15"/>
      <c r="U281" s="15"/>
      <c r="Y281" s="15"/>
      <c r="AA281" s="15"/>
      <c r="AE281" s="15"/>
      <c r="AG281" s="15"/>
    </row>
    <row r="282" spans="1:36" ht="15.75">
      <c r="A282" s="13"/>
      <c r="B282" s="16"/>
      <c r="C282" s="16"/>
      <c r="D282" s="8"/>
      <c r="E282" s="8"/>
      <c r="F282" s="7"/>
      <c r="G282" s="8"/>
      <c r="M282" s="15"/>
      <c r="O282" s="15"/>
      <c r="S282" s="15"/>
      <c r="U282" s="15"/>
      <c r="Y282" s="15"/>
      <c r="AA282" s="15"/>
      <c r="AE282" s="15"/>
      <c r="AF282" s="21"/>
      <c r="AG282" s="22"/>
      <c r="AH282" s="23"/>
    </row>
    <row r="283" spans="1:36" s="20" customFormat="1" ht="15">
      <c r="A283" s="13"/>
      <c r="B283" s="16"/>
      <c r="C283" s="16"/>
      <c r="D283" s="8"/>
      <c r="E283" s="8"/>
      <c r="F283" s="8"/>
      <c r="G283" s="8"/>
      <c r="H283" s="2"/>
      <c r="I283" s="2"/>
      <c r="K283" s="2"/>
      <c r="M283" s="15"/>
      <c r="O283" s="15"/>
      <c r="Q283" s="2"/>
      <c r="S283" s="15"/>
      <c r="U283" s="15"/>
      <c r="W283" s="2"/>
      <c r="Y283" s="15"/>
      <c r="AA283" s="15"/>
      <c r="AC283" s="2"/>
      <c r="AE283" s="15"/>
      <c r="AG283" s="15"/>
      <c r="AI283" s="2"/>
      <c r="AJ283" s="2"/>
    </row>
    <row r="284" spans="1:36" s="20" customFormat="1" ht="15">
      <c r="A284" s="18"/>
      <c r="B284" s="18"/>
      <c r="C284" s="18"/>
      <c r="D284" s="18"/>
      <c r="E284" s="18"/>
      <c r="F284" s="18"/>
      <c r="G284" s="18"/>
      <c r="H284" s="2"/>
      <c r="I284" s="2"/>
      <c r="K284" s="2"/>
      <c r="M284" s="15"/>
      <c r="O284" s="15"/>
      <c r="Q284" s="2"/>
      <c r="S284" s="15"/>
      <c r="U284" s="15"/>
      <c r="Y284" s="15"/>
      <c r="AA284" s="15"/>
      <c r="AC284" s="2"/>
      <c r="AE284" s="15"/>
      <c r="AG284" s="15"/>
      <c r="AJ284" s="2"/>
    </row>
    <row r="285" spans="1:36" s="20" customFormat="1" ht="15">
      <c r="A285" s="13"/>
      <c r="B285" s="16"/>
      <c r="C285" s="16"/>
      <c r="D285" s="7"/>
      <c r="E285" s="7"/>
      <c r="F285" s="7"/>
      <c r="G285" s="7"/>
      <c r="H285" s="2"/>
      <c r="I285" s="2"/>
      <c r="K285" s="2"/>
      <c r="M285" s="15"/>
      <c r="O285" s="15"/>
      <c r="Q285" s="2"/>
      <c r="S285" s="15"/>
      <c r="U285" s="15"/>
      <c r="V285" s="29"/>
      <c r="W285" s="29"/>
      <c r="X285" s="29"/>
      <c r="Y285" s="15"/>
      <c r="Z285" s="29"/>
      <c r="AA285" s="15"/>
      <c r="AB285" s="29"/>
      <c r="AC285" s="2"/>
      <c r="AD285" s="29"/>
      <c r="AE285" s="15"/>
      <c r="AF285" s="29"/>
      <c r="AG285" s="15"/>
      <c r="AH285" s="29"/>
      <c r="AJ285" s="2"/>
    </row>
    <row r="286" spans="1:36" s="20" customFormat="1" ht="15">
      <c r="A286" s="13"/>
      <c r="B286" s="16"/>
      <c r="C286" s="16"/>
      <c r="D286" s="8"/>
      <c r="E286" s="8"/>
      <c r="F286" s="6"/>
      <c r="G286" s="8"/>
      <c r="H286" s="2"/>
      <c r="I286" s="2"/>
      <c r="K286" s="2"/>
      <c r="M286" s="15"/>
      <c r="O286" s="15"/>
      <c r="Q286" s="2"/>
      <c r="S286" s="15"/>
      <c r="U286" s="15"/>
      <c r="W286" s="2"/>
      <c r="Y286" s="15"/>
      <c r="AA286" s="15"/>
      <c r="AC286" s="2"/>
      <c r="AE286" s="15"/>
      <c r="AG286" s="15"/>
      <c r="AJ286" s="2"/>
    </row>
    <row r="287" spans="1:36" s="20" customFormat="1" ht="15">
      <c r="A287" s="13"/>
      <c r="B287" s="16"/>
      <c r="C287" s="16"/>
      <c r="D287" s="8"/>
      <c r="E287" s="8"/>
      <c r="F287" s="8"/>
      <c r="G287" s="8"/>
      <c r="H287" s="2"/>
      <c r="I287" s="2"/>
      <c r="K287" s="2"/>
      <c r="M287" s="15"/>
      <c r="O287" s="15"/>
      <c r="Q287" s="2"/>
      <c r="S287" s="15"/>
      <c r="U287" s="15"/>
      <c r="W287" s="2"/>
      <c r="Y287" s="15"/>
      <c r="AA287" s="15"/>
      <c r="AC287" s="2"/>
      <c r="AE287" s="15"/>
      <c r="AG287" s="15"/>
      <c r="AJ287" s="2"/>
    </row>
    <row r="288" spans="1:36" s="20" customFormat="1" ht="15">
      <c r="A288" s="18"/>
      <c r="B288" s="18"/>
      <c r="C288" s="18"/>
      <c r="D288" s="18"/>
      <c r="E288" s="18"/>
      <c r="F288" s="18"/>
      <c r="G288" s="18"/>
      <c r="H288" s="2"/>
      <c r="I288" s="2"/>
      <c r="K288" s="2"/>
      <c r="M288" s="15"/>
      <c r="O288" s="15"/>
      <c r="Q288" s="2"/>
      <c r="S288" s="15"/>
      <c r="U288" s="15"/>
      <c r="W288" s="2"/>
      <c r="Y288" s="15"/>
      <c r="AA288" s="15"/>
      <c r="AC288" s="2"/>
      <c r="AE288" s="15"/>
      <c r="AG288" s="15"/>
      <c r="AJ288" s="2"/>
    </row>
    <row r="289" spans="1:36" s="20" customFormat="1" ht="15">
      <c r="A289" s="13"/>
      <c r="B289" s="16"/>
      <c r="C289" s="16"/>
      <c r="D289" s="7"/>
      <c r="E289" s="7"/>
      <c r="F289" s="7"/>
      <c r="G289" s="7"/>
      <c r="H289" s="2"/>
      <c r="I289" s="2"/>
      <c r="K289" s="2"/>
      <c r="M289" s="15"/>
      <c r="O289" s="15"/>
      <c r="Q289" s="2"/>
      <c r="S289" s="15"/>
      <c r="U289" s="15"/>
      <c r="W289" s="2"/>
      <c r="Y289" s="15"/>
      <c r="AA289" s="15"/>
      <c r="AC289" s="2"/>
      <c r="AE289" s="15"/>
      <c r="AG289" s="15"/>
      <c r="AJ289" s="2"/>
    </row>
    <row r="290" spans="1:36" s="20" customFormat="1" ht="15">
      <c r="A290" s="13"/>
      <c r="B290" s="16"/>
      <c r="C290" s="16"/>
      <c r="D290" s="8"/>
      <c r="E290" s="8"/>
      <c r="F290" s="7"/>
      <c r="G290" s="8"/>
      <c r="H290" s="2"/>
      <c r="I290" s="2"/>
      <c r="K290" s="2"/>
      <c r="M290" s="15"/>
      <c r="O290" s="15"/>
      <c r="Q290" s="2"/>
      <c r="S290" s="15"/>
      <c r="U290" s="15"/>
      <c r="W290" s="2"/>
      <c r="Y290" s="15"/>
      <c r="AA290" s="15"/>
      <c r="AC290" s="2"/>
      <c r="AE290" s="15"/>
      <c r="AG290" s="15"/>
      <c r="AJ290" s="2"/>
    </row>
    <row r="291" spans="1:36" s="20" customFormat="1" ht="15">
      <c r="A291" s="13"/>
      <c r="B291" s="2"/>
      <c r="C291" s="2"/>
      <c r="D291" s="8"/>
      <c r="E291" s="8"/>
      <c r="F291" s="8"/>
      <c r="G291" s="8"/>
      <c r="H291" s="2"/>
      <c r="I291" s="2"/>
      <c r="K291" s="2"/>
      <c r="M291" s="15"/>
      <c r="O291" s="15"/>
      <c r="Q291" s="2"/>
      <c r="S291" s="15"/>
      <c r="U291" s="15"/>
      <c r="W291" s="2"/>
      <c r="Y291" s="15"/>
      <c r="AA291" s="15"/>
      <c r="AC291" s="2"/>
      <c r="AE291" s="15"/>
      <c r="AG291" s="15"/>
      <c r="AJ291" s="2"/>
    </row>
    <row r="292" spans="1:36" s="20" customFormat="1" ht="15">
      <c r="A292" s="13"/>
      <c r="B292" s="2"/>
      <c r="C292" s="2"/>
      <c r="D292" s="8"/>
      <c r="E292" s="17"/>
      <c r="F292" s="8"/>
      <c r="G292" s="8"/>
      <c r="H292" s="2"/>
      <c r="I292" s="2"/>
      <c r="K292" s="2"/>
      <c r="M292" s="15"/>
      <c r="O292" s="15"/>
      <c r="Q292" s="2"/>
      <c r="S292" s="15"/>
      <c r="U292" s="15"/>
      <c r="W292" s="2"/>
      <c r="Y292" s="15"/>
      <c r="AA292" s="15"/>
      <c r="AC292" s="2"/>
      <c r="AE292" s="15"/>
      <c r="AG292" s="15"/>
      <c r="AJ292" s="2"/>
    </row>
    <row r="293" spans="1:36" s="20" customFormat="1" ht="15">
      <c r="A293" s="13"/>
      <c r="B293" s="2"/>
      <c r="C293" s="2"/>
      <c r="D293" s="8"/>
      <c r="E293" s="8"/>
      <c r="F293" s="8"/>
      <c r="G293" s="8"/>
      <c r="H293" s="2"/>
      <c r="I293" s="2"/>
      <c r="K293" s="2"/>
      <c r="M293" s="15"/>
      <c r="O293" s="15"/>
      <c r="Q293" s="2"/>
      <c r="S293" s="15"/>
      <c r="U293" s="15"/>
      <c r="W293" s="2"/>
      <c r="Y293" s="15"/>
      <c r="AA293" s="15"/>
      <c r="AC293" s="2"/>
      <c r="AE293" s="15"/>
      <c r="AG293" s="15"/>
      <c r="AJ293" s="2"/>
    </row>
    <row r="294" spans="1:36" s="20" customFormat="1" ht="15">
      <c r="A294" s="18"/>
      <c r="B294" s="18"/>
      <c r="C294" s="18"/>
      <c r="D294" s="18"/>
      <c r="E294" s="18"/>
      <c r="F294" s="18"/>
      <c r="G294" s="18"/>
      <c r="H294" s="2"/>
      <c r="I294" s="2"/>
      <c r="K294" s="2"/>
      <c r="M294" s="15"/>
      <c r="O294" s="15"/>
      <c r="Q294" s="2"/>
      <c r="S294" s="15"/>
      <c r="U294" s="15"/>
      <c r="W294" s="2"/>
      <c r="Y294" s="15"/>
      <c r="AA294" s="15"/>
      <c r="AC294" s="2"/>
      <c r="AE294" s="15"/>
      <c r="AG294" s="15"/>
      <c r="AJ294" s="2"/>
    </row>
    <row r="295" spans="1:36" s="20" customFormat="1" ht="15">
      <c r="A295" s="13"/>
      <c r="B295" s="16"/>
      <c r="C295" s="16"/>
      <c r="D295" s="7"/>
      <c r="E295" s="7"/>
      <c r="F295" s="7"/>
      <c r="G295" s="7"/>
      <c r="H295" s="2"/>
      <c r="I295" s="2"/>
      <c r="K295" s="2"/>
      <c r="M295" s="15"/>
      <c r="O295" s="15"/>
      <c r="Q295" s="2"/>
      <c r="S295" s="15"/>
      <c r="U295" s="15"/>
      <c r="W295" s="2"/>
      <c r="Y295" s="15"/>
      <c r="AA295" s="15"/>
      <c r="AC295" s="2"/>
      <c r="AE295" s="15"/>
      <c r="AG295" s="15"/>
      <c r="AJ295" s="2"/>
    </row>
    <row r="296" spans="1:36" s="20" customFormat="1" ht="15">
      <c r="A296" s="13"/>
      <c r="B296" s="16"/>
      <c r="C296" s="16"/>
      <c r="D296" s="8"/>
      <c r="E296" s="8"/>
      <c r="F296" s="6"/>
      <c r="G296" s="8"/>
      <c r="H296" s="2"/>
      <c r="I296" s="2"/>
      <c r="K296" s="2"/>
      <c r="M296" s="15"/>
      <c r="O296" s="15"/>
      <c r="Q296" s="2"/>
      <c r="S296" s="15"/>
      <c r="U296" s="15"/>
      <c r="W296" s="2"/>
      <c r="Y296" s="15"/>
      <c r="AA296" s="15"/>
      <c r="AC296" s="2"/>
      <c r="AE296" s="15"/>
      <c r="AG296" s="15"/>
      <c r="AJ296" s="2"/>
    </row>
    <row r="297" spans="1:36" s="20" customFormat="1" ht="15">
      <c r="A297" s="13"/>
      <c r="B297" s="2"/>
      <c r="C297" s="2"/>
      <c r="D297" s="8"/>
      <c r="E297" s="8"/>
      <c r="F297" s="8"/>
      <c r="G297" s="8"/>
      <c r="H297" s="2"/>
      <c r="I297" s="2"/>
      <c r="K297" s="2"/>
      <c r="M297" s="15"/>
      <c r="O297" s="15"/>
      <c r="Q297" s="2"/>
      <c r="S297" s="15"/>
      <c r="U297" s="15"/>
      <c r="W297" s="2"/>
      <c r="Y297" s="15"/>
      <c r="AA297" s="15"/>
      <c r="AC297" s="2"/>
      <c r="AE297" s="15"/>
      <c r="AG297" s="15"/>
      <c r="AJ297" s="2"/>
    </row>
    <row r="298" spans="1:36" s="20" customFormat="1" ht="15">
      <c r="A298" s="13"/>
      <c r="B298" s="16"/>
      <c r="C298" s="16"/>
      <c r="D298" s="8"/>
      <c r="E298" s="17"/>
      <c r="F298" s="8"/>
      <c r="G298" s="8"/>
      <c r="H298" s="2"/>
      <c r="I298" s="2"/>
      <c r="K298" s="2"/>
      <c r="M298" s="15"/>
      <c r="O298" s="15"/>
      <c r="Q298" s="2"/>
      <c r="S298" s="15"/>
      <c r="U298" s="15"/>
      <c r="W298" s="2"/>
      <c r="Y298" s="15"/>
      <c r="AA298" s="15"/>
      <c r="AC298" s="2"/>
      <c r="AE298" s="15"/>
      <c r="AG298" s="15"/>
      <c r="AJ298" s="2"/>
    </row>
    <row r="299" spans="1:36" s="20" customFormat="1" ht="15">
      <c r="A299" s="13"/>
      <c r="B299" s="2"/>
      <c r="C299" s="2"/>
      <c r="D299" s="2"/>
      <c r="E299" s="2"/>
      <c r="F299" s="2"/>
      <c r="G299" s="2"/>
      <c r="H299" s="2"/>
      <c r="I299" s="2"/>
      <c r="K299" s="2"/>
      <c r="M299" s="15"/>
      <c r="O299" s="15"/>
      <c r="Q299" s="2"/>
      <c r="S299" s="15"/>
      <c r="U299" s="15"/>
      <c r="W299" s="2"/>
      <c r="Y299" s="15"/>
      <c r="AA299" s="15"/>
      <c r="AC299" s="2"/>
      <c r="AE299" s="15"/>
      <c r="AG299" s="15"/>
      <c r="AJ299" s="2"/>
    </row>
    <row r="300" spans="1:36" s="20" customFormat="1" ht="15">
      <c r="A300" s="18"/>
      <c r="B300" s="18"/>
      <c r="C300" s="18"/>
      <c r="D300" s="18"/>
      <c r="E300" s="18"/>
      <c r="F300" s="18"/>
      <c r="G300" s="18"/>
      <c r="H300" s="2"/>
      <c r="I300" s="2"/>
      <c r="K300" s="2"/>
      <c r="M300" s="15"/>
      <c r="O300" s="15"/>
      <c r="Q300" s="2"/>
      <c r="S300" s="15"/>
      <c r="U300" s="15"/>
      <c r="W300" s="2"/>
      <c r="Y300" s="15"/>
      <c r="AA300" s="15"/>
      <c r="AC300" s="2"/>
      <c r="AE300" s="15"/>
      <c r="AG300" s="15"/>
      <c r="AJ300" s="2"/>
    </row>
    <row r="301" spans="1:36" s="20" customFormat="1" ht="15">
      <c r="A301" s="13"/>
      <c r="B301" s="16"/>
      <c r="C301" s="16"/>
      <c r="D301" s="7"/>
      <c r="E301" s="7"/>
      <c r="F301" s="7"/>
      <c r="G301" s="7"/>
      <c r="H301" s="2"/>
      <c r="I301" s="2"/>
      <c r="K301" s="2"/>
      <c r="M301" s="15"/>
      <c r="O301" s="15"/>
      <c r="Q301" s="2"/>
      <c r="S301" s="15"/>
      <c r="U301" s="15"/>
      <c r="W301" s="2"/>
      <c r="Y301" s="15"/>
      <c r="AA301" s="15"/>
      <c r="AC301" s="2"/>
      <c r="AE301" s="15"/>
      <c r="AG301" s="15"/>
      <c r="AJ301" s="2"/>
    </row>
    <row r="302" spans="1:36" s="20" customFormat="1" ht="15">
      <c r="A302" s="2"/>
      <c r="B302" s="16"/>
      <c r="C302" s="16"/>
      <c r="D302" s="8"/>
      <c r="E302" s="8"/>
      <c r="F302" s="6"/>
      <c r="G302" s="8"/>
      <c r="H302" s="2"/>
      <c r="I302" s="2"/>
      <c r="K302" s="2"/>
      <c r="M302" s="15"/>
      <c r="O302" s="15"/>
      <c r="Q302" s="2"/>
      <c r="S302" s="15"/>
      <c r="U302" s="15"/>
      <c r="W302" s="2"/>
      <c r="Y302" s="15"/>
      <c r="AA302" s="15"/>
      <c r="AC302" s="2"/>
      <c r="AE302" s="15"/>
      <c r="AG302" s="15"/>
      <c r="AJ302" s="2"/>
    </row>
    <row r="303" spans="1:36" s="20" customFormat="1" ht="15">
      <c r="A303" s="2"/>
      <c r="B303" s="16"/>
      <c r="C303" s="16"/>
      <c r="D303" s="8"/>
      <c r="E303" s="8"/>
      <c r="F303" s="8"/>
      <c r="G303" s="8"/>
      <c r="H303" s="2"/>
      <c r="I303" s="2"/>
      <c r="K303" s="2"/>
      <c r="M303" s="15"/>
      <c r="O303" s="15"/>
      <c r="Q303" s="2"/>
      <c r="S303" s="15"/>
      <c r="U303" s="15"/>
      <c r="W303" s="2"/>
      <c r="Y303" s="15"/>
      <c r="AA303" s="15"/>
      <c r="AC303" s="2"/>
      <c r="AE303" s="15"/>
      <c r="AG303" s="15"/>
      <c r="AJ303" s="2"/>
    </row>
    <row r="304" spans="1:36" s="20" customFormat="1" ht="15">
      <c r="A304" s="2"/>
      <c r="B304" s="2"/>
      <c r="C304" s="2"/>
      <c r="D304" s="8"/>
      <c r="E304" s="17"/>
      <c r="F304" s="8"/>
      <c r="G304" s="8"/>
      <c r="H304" s="2"/>
      <c r="I304" s="2"/>
      <c r="K304" s="2"/>
      <c r="M304" s="15"/>
      <c r="O304" s="15"/>
      <c r="Q304" s="2"/>
      <c r="S304" s="15"/>
      <c r="U304" s="15"/>
      <c r="W304" s="2"/>
      <c r="Y304" s="15"/>
      <c r="AA304" s="15"/>
      <c r="AC304" s="2"/>
      <c r="AE304" s="15"/>
      <c r="AG304" s="15"/>
      <c r="AJ304" s="2"/>
    </row>
    <row r="305" spans="1:36" s="20" customFormat="1" ht="15">
      <c r="A305" s="2"/>
      <c r="B305" s="16"/>
      <c r="C305" s="16"/>
      <c r="D305" s="8"/>
      <c r="E305" s="8"/>
      <c r="F305" s="8"/>
      <c r="G305" s="8"/>
      <c r="H305" s="2"/>
      <c r="I305" s="2"/>
      <c r="K305" s="2"/>
      <c r="M305" s="15"/>
      <c r="O305" s="15"/>
      <c r="Q305" s="2"/>
      <c r="S305" s="15"/>
      <c r="U305" s="15"/>
      <c r="W305" s="2"/>
      <c r="Y305" s="15"/>
      <c r="AA305" s="15"/>
      <c r="AC305" s="2"/>
      <c r="AE305" s="15"/>
      <c r="AG305" s="15"/>
      <c r="AJ305" s="2"/>
    </row>
    <row r="306" spans="1:36" s="20" customFormat="1" ht="15">
      <c r="A306" s="13"/>
      <c r="B306" s="30"/>
      <c r="C306" s="13"/>
      <c r="D306" s="13"/>
      <c r="E306" s="13"/>
      <c r="F306" s="13"/>
      <c r="G306" s="13"/>
      <c r="H306" s="2"/>
      <c r="I306" s="2"/>
      <c r="K306" s="2"/>
      <c r="M306" s="15"/>
      <c r="O306" s="15"/>
      <c r="Q306" s="2"/>
      <c r="S306" s="15"/>
      <c r="U306" s="15"/>
      <c r="W306" s="2"/>
      <c r="Y306" s="15"/>
      <c r="AA306" s="15"/>
      <c r="AC306" s="2"/>
      <c r="AE306" s="15"/>
      <c r="AG306" s="15"/>
      <c r="AJ306" s="2"/>
    </row>
    <row r="307" spans="1:36" s="20" customFormat="1" ht="15">
      <c r="A307" s="13"/>
      <c r="B307" s="16"/>
      <c r="C307" s="16"/>
      <c r="D307" s="7"/>
      <c r="E307" s="7"/>
      <c r="F307" s="7"/>
      <c r="G307" s="7"/>
      <c r="H307" s="2"/>
      <c r="I307" s="2"/>
      <c r="K307" s="2"/>
      <c r="M307" s="15"/>
      <c r="O307" s="15"/>
      <c r="Q307" s="2"/>
      <c r="S307" s="15"/>
      <c r="U307" s="15"/>
      <c r="W307" s="2"/>
      <c r="Y307" s="15"/>
      <c r="AA307" s="15"/>
      <c r="AC307" s="2"/>
      <c r="AE307" s="15"/>
      <c r="AG307" s="15"/>
      <c r="AJ307" s="2"/>
    </row>
    <row r="308" spans="1:36" s="20" customFormat="1" ht="15">
      <c r="A308" s="13"/>
      <c r="B308" s="16"/>
      <c r="C308" s="16"/>
      <c r="D308" s="8"/>
      <c r="E308" s="8"/>
      <c r="F308" s="6"/>
      <c r="G308" s="8"/>
      <c r="H308" s="2"/>
      <c r="I308" s="2"/>
      <c r="K308" s="2"/>
      <c r="M308" s="15"/>
      <c r="O308" s="15"/>
      <c r="Q308" s="2"/>
      <c r="S308" s="15"/>
      <c r="U308" s="15"/>
      <c r="W308" s="2"/>
      <c r="Y308" s="15"/>
      <c r="AA308" s="15"/>
      <c r="AC308" s="2"/>
      <c r="AE308" s="15"/>
      <c r="AG308" s="15"/>
      <c r="AJ308" s="2"/>
    </row>
    <row r="309" spans="1:36" s="20" customFormat="1" ht="15">
      <c r="A309" s="2"/>
      <c r="B309" s="16"/>
      <c r="C309" s="16"/>
      <c r="D309" s="8"/>
      <c r="E309" s="8"/>
      <c r="F309" s="8"/>
      <c r="G309" s="8"/>
      <c r="H309" s="2"/>
      <c r="I309" s="2"/>
      <c r="K309" s="2"/>
      <c r="M309" s="15"/>
      <c r="O309" s="15"/>
      <c r="Q309" s="2"/>
      <c r="S309" s="15"/>
      <c r="U309" s="15"/>
      <c r="W309" s="2"/>
      <c r="Y309" s="15"/>
      <c r="AA309" s="15"/>
      <c r="AC309" s="2"/>
      <c r="AE309" s="15"/>
      <c r="AG309" s="15"/>
      <c r="AJ309" s="2"/>
    </row>
    <row r="310" spans="1:36" s="20" customFormat="1" ht="15">
      <c r="A310" s="2"/>
      <c r="B310" s="2"/>
      <c r="C310" s="2"/>
      <c r="D310" s="8"/>
      <c r="E310" s="17"/>
      <c r="F310" s="8"/>
      <c r="G310" s="8"/>
      <c r="H310" s="2"/>
      <c r="I310" s="2"/>
      <c r="K310" s="2"/>
      <c r="M310" s="15"/>
      <c r="O310" s="15"/>
      <c r="Q310" s="2"/>
      <c r="S310" s="15"/>
      <c r="U310" s="15"/>
      <c r="W310" s="2"/>
      <c r="Y310" s="15"/>
      <c r="AA310" s="15"/>
      <c r="AC310" s="2"/>
      <c r="AE310" s="15"/>
      <c r="AG310" s="15"/>
      <c r="AJ310" s="2"/>
    </row>
    <row r="311" spans="1:36" s="20" customFormat="1" ht="15">
      <c r="A311" s="2"/>
      <c r="B311" s="2"/>
      <c r="C311" s="2"/>
      <c r="D311" s="2"/>
      <c r="E311" s="2"/>
      <c r="F311" s="2"/>
      <c r="G311" s="2"/>
      <c r="H311" s="2"/>
      <c r="I311" s="2"/>
      <c r="K311" s="2"/>
      <c r="M311" s="15"/>
      <c r="O311" s="15"/>
      <c r="Q311" s="2"/>
      <c r="S311" s="15"/>
      <c r="U311" s="15"/>
      <c r="W311" s="2"/>
      <c r="Y311" s="15"/>
      <c r="AA311" s="15"/>
      <c r="AC311" s="2"/>
      <c r="AE311" s="15"/>
      <c r="AG311" s="15"/>
      <c r="AJ311" s="2"/>
    </row>
    <row r="312" spans="1:36" s="20" customFormat="1" ht="15">
      <c r="B312" s="2"/>
      <c r="D312" s="2"/>
      <c r="E312" s="2"/>
      <c r="F312" s="2"/>
      <c r="G312" s="2"/>
      <c r="H312" s="2"/>
      <c r="I312" s="2"/>
      <c r="K312" s="2"/>
      <c r="M312" s="15"/>
      <c r="O312" s="15"/>
      <c r="Q312" s="2"/>
      <c r="S312" s="15"/>
      <c r="U312" s="15"/>
      <c r="W312" s="2"/>
      <c r="Y312" s="15"/>
      <c r="AA312" s="15"/>
      <c r="AC312" s="2"/>
      <c r="AE312" s="15"/>
      <c r="AG312" s="15"/>
      <c r="AJ312" s="2"/>
    </row>
    <row r="313" spans="1:36" s="20" customFormat="1" ht="15">
      <c r="B313" s="2"/>
      <c r="D313" s="2"/>
      <c r="E313" s="2"/>
      <c r="F313" s="2"/>
      <c r="G313" s="2"/>
      <c r="H313" s="2"/>
      <c r="I313" s="2"/>
      <c r="K313" s="2"/>
      <c r="M313" s="15"/>
      <c r="O313" s="15"/>
      <c r="Q313" s="2"/>
      <c r="S313" s="15"/>
      <c r="U313" s="15"/>
      <c r="W313" s="2"/>
      <c r="Y313" s="15"/>
      <c r="AA313" s="15"/>
      <c r="AC313" s="2"/>
      <c r="AE313" s="15"/>
      <c r="AG313" s="15"/>
      <c r="AJ313" s="2"/>
    </row>
    <row r="314" spans="1:36" s="20" customFormat="1" ht="15">
      <c r="B314" s="2"/>
      <c r="D314" s="2"/>
      <c r="E314" s="2"/>
      <c r="F314" s="2"/>
      <c r="G314" s="2"/>
      <c r="H314" s="2"/>
      <c r="I314" s="2"/>
      <c r="K314" s="2"/>
      <c r="M314" s="15"/>
      <c r="O314" s="15"/>
      <c r="Q314" s="2"/>
      <c r="S314" s="15"/>
      <c r="U314" s="15"/>
      <c r="W314" s="2"/>
      <c r="Y314" s="15"/>
      <c r="AA314" s="15"/>
      <c r="AC314" s="2"/>
      <c r="AE314" s="15"/>
      <c r="AG314" s="15"/>
      <c r="AJ314" s="2"/>
    </row>
    <row r="315" spans="1:36" s="20" customFormat="1" ht="15">
      <c r="B315" s="2"/>
      <c r="D315" s="2"/>
      <c r="E315" s="2"/>
      <c r="F315" s="2"/>
      <c r="G315" s="2"/>
      <c r="H315" s="2"/>
      <c r="I315" s="2"/>
      <c r="K315" s="2"/>
      <c r="M315" s="15"/>
      <c r="O315" s="15"/>
      <c r="Q315" s="2"/>
      <c r="S315" s="15"/>
      <c r="U315" s="15"/>
      <c r="W315" s="2"/>
      <c r="Y315" s="15"/>
      <c r="AA315" s="15"/>
      <c r="AC315" s="2"/>
      <c r="AE315" s="15"/>
      <c r="AG315" s="15"/>
      <c r="AJ315" s="2"/>
    </row>
    <row r="316" spans="1:36" s="20" customFormat="1" ht="15">
      <c r="B316" s="2"/>
      <c r="D316" s="2"/>
      <c r="E316" s="2"/>
      <c r="F316" s="2"/>
      <c r="G316" s="2"/>
      <c r="H316" s="2"/>
      <c r="I316" s="2"/>
      <c r="K316" s="2"/>
      <c r="M316" s="15"/>
      <c r="O316" s="15"/>
      <c r="Q316" s="2"/>
      <c r="S316" s="15"/>
      <c r="U316" s="15"/>
      <c r="W316" s="2"/>
      <c r="Y316" s="15"/>
      <c r="AA316" s="15"/>
      <c r="AC316" s="2"/>
      <c r="AE316" s="15"/>
      <c r="AG316" s="15"/>
      <c r="AJ316" s="2"/>
    </row>
    <row r="317" spans="1:36" s="20" customFormat="1" ht="15">
      <c r="B317" s="2"/>
      <c r="D317" s="2"/>
      <c r="E317" s="2"/>
      <c r="F317" s="2"/>
      <c r="G317" s="2"/>
      <c r="H317" s="2"/>
      <c r="I317" s="2"/>
      <c r="K317" s="2"/>
      <c r="M317" s="15"/>
      <c r="O317" s="15"/>
      <c r="Q317" s="2"/>
      <c r="S317" s="15"/>
      <c r="U317" s="15"/>
      <c r="W317" s="2"/>
      <c r="Y317" s="15"/>
      <c r="AA317" s="15"/>
      <c r="AC317" s="2"/>
      <c r="AE317" s="15"/>
      <c r="AG317" s="15"/>
      <c r="AJ317" s="2"/>
    </row>
    <row r="318" spans="1:36" s="20" customFormat="1" ht="15">
      <c r="B318" s="2"/>
      <c r="D318" s="2"/>
      <c r="E318" s="2"/>
      <c r="F318" s="2"/>
      <c r="G318" s="2"/>
      <c r="H318" s="2"/>
      <c r="I318" s="2"/>
      <c r="K318" s="2"/>
      <c r="M318" s="15"/>
      <c r="O318" s="15"/>
      <c r="Q318" s="2"/>
      <c r="S318" s="15"/>
      <c r="U318" s="15"/>
      <c r="W318" s="2"/>
      <c r="Y318" s="15"/>
      <c r="AA318" s="15"/>
      <c r="AC318" s="2"/>
      <c r="AE318" s="15"/>
      <c r="AG318" s="15"/>
      <c r="AJ318" s="2"/>
    </row>
    <row r="319" spans="1:36" s="20" customFormat="1" ht="15">
      <c r="D319" s="2"/>
      <c r="E319" s="2"/>
      <c r="F319" s="2"/>
      <c r="G319" s="2"/>
      <c r="H319" s="2"/>
      <c r="I319" s="2"/>
      <c r="K319" s="2"/>
      <c r="M319" s="15"/>
      <c r="O319" s="15"/>
      <c r="Q319" s="2"/>
      <c r="S319" s="15"/>
      <c r="U319" s="15"/>
      <c r="W319" s="2"/>
      <c r="Y319" s="15"/>
      <c r="AA319" s="15"/>
      <c r="AC319" s="2"/>
      <c r="AE319" s="15"/>
      <c r="AG319" s="15"/>
      <c r="AJ319" s="2"/>
    </row>
    <row r="320" spans="1:36" s="20" customFormat="1" ht="15">
      <c r="D320" s="2"/>
      <c r="E320" s="2"/>
      <c r="F320" s="2"/>
      <c r="G320" s="2"/>
      <c r="H320" s="2"/>
      <c r="I320" s="2"/>
      <c r="K320" s="2"/>
      <c r="M320" s="15"/>
      <c r="O320" s="15"/>
      <c r="Q320" s="2"/>
      <c r="S320" s="15"/>
      <c r="U320" s="15"/>
      <c r="W320" s="2"/>
      <c r="Y320" s="15"/>
      <c r="AA320" s="15"/>
      <c r="AC320" s="2"/>
      <c r="AE320" s="15"/>
      <c r="AG320" s="15"/>
      <c r="AJ320" s="2"/>
    </row>
    <row r="321" spans="4:36" s="20" customFormat="1" ht="15">
      <c r="D321" s="2"/>
      <c r="E321" s="2"/>
      <c r="F321" s="2"/>
      <c r="G321" s="2"/>
      <c r="H321" s="2"/>
      <c r="I321" s="2"/>
      <c r="K321" s="2"/>
      <c r="M321" s="15"/>
      <c r="O321" s="15"/>
      <c r="Q321" s="2"/>
      <c r="S321" s="15"/>
      <c r="U321" s="15"/>
      <c r="W321" s="2"/>
      <c r="Y321" s="15"/>
      <c r="AA321" s="15"/>
      <c r="AC321" s="2"/>
      <c r="AE321" s="15"/>
      <c r="AG321" s="15"/>
      <c r="AJ321" s="2"/>
    </row>
    <row r="322" spans="4:36" s="20" customFormat="1" ht="15">
      <c r="D322" s="2"/>
      <c r="E322" s="2"/>
      <c r="F322" s="2"/>
      <c r="G322" s="2"/>
      <c r="H322" s="2"/>
      <c r="I322" s="2"/>
      <c r="K322" s="2"/>
      <c r="M322" s="15"/>
      <c r="O322" s="15"/>
      <c r="Q322" s="2"/>
      <c r="S322" s="15"/>
      <c r="U322" s="15"/>
      <c r="W322" s="2"/>
      <c r="Y322" s="15"/>
      <c r="AA322" s="15"/>
      <c r="AC322" s="2"/>
      <c r="AE322" s="15"/>
      <c r="AG322" s="15"/>
      <c r="AJ322" s="2"/>
    </row>
    <row r="323" spans="4:36" s="20" customFormat="1" ht="15">
      <c r="D323" s="2"/>
      <c r="E323" s="2"/>
      <c r="F323" s="2"/>
      <c r="G323" s="2"/>
      <c r="H323" s="2"/>
      <c r="I323" s="2"/>
      <c r="K323" s="2"/>
      <c r="M323" s="15"/>
      <c r="O323" s="15"/>
      <c r="Q323" s="2"/>
      <c r="S323" s="15"/>
      <c r="U323" s="15"/>
      <c r="W323" s="2"/>
      <c r="Y323" s="15"/>
      <c r="AA323" s="15"/>
      <c r="AC323" s="2"/>
      <c r="AE323" s="15"/>
      <c r="AG323" s="15"/>
      <c r="AJ323" s="2"/>
    </row>
    <row r="324" spans="4:36" s="20" customFormat="1" ht="15">
      <c r="D324" s="2"/>
      <c r="E324" s="2"/>
      <c r="F324" s="2"/>
      <c r="G324" s="2"/>
      <c r="H324" s="2"/>
      <c r="I324" s="2"/>
      <c r="K324" s="2"/>
      <c r="M324" s="15"/>
      <c r="O324" s="15"/>
      <c r="Q324" s="2"/>
      <c r="S324" s="15"/>
      <c r="U324" s="15"/>
      <c r="W324" s="2"/>
      <c r="Y324" s="15"/>
      <c r="AA324" s="15"/>
      <c r="AC324" s="2"/>
      <c r="AE324" s="15"/>
      <c r="AG324" s="15"/>
      <c r="AJ324" s="2"/>
    </row>
    <row r="325" spans="4:36" s="20" customFormat="1" ht="15">
      <c r="D325" s="2"/>
      <c r="E325" s="2"/>
      <c r="F325" s="2"/>
      <c r="G325" s="2"/>
      <c r="H325" s="2"/>
      <c r="I325" s="2"/>
      <c r="K325" s="2"/>
      <c r="M325" s="15"/>
      <c r="O325" s="15"/>
      <c r="Q325" s="2"/>
      <c r="S325" s="15"/>
      <c r="U325" s="15"/>
      <c r="W325" s="2"/>
      <c r="Y325" s="15"/>
      <c r="AA325" s="15"/>
      <c r="AC325" s="2"/>
      <c r="AE325" s="15"/>
      <c r="AG325" s="15"/>
      <c r="AJ325" s="2"/>
    </row>
    <row r="326" spans="4:36" s="20" customFormat="1" ht="15">
      <c r="D326" s="2"/>
      <c r="E326" s="2"/>
      <c r="F326" s="2"/>
      <c r="G326" s="2"/>
      <c r="H326" s="2"/>
      <c r="I326" s="2"/>
      <c r="K326" s="2"/>
      <c r="M326" s="15"/>
      <c r="O326" s="15"/>
      <c r="Q326" s="2"/>
      <c r="S326" s="15"/>
      <c r="U326" s="15"/>
      <c r="W326" s="2"/>
      <c r="Y326" s="15"/>
      <c r="AA326" s="15"/>
      <c r="AC326" s="2"/>
      <c r="AE326" s="15"/>
      <c r="AG326" s="15"/>
      <c r="AJ326" s="2"/>
    </row>
    <row r="327" spans="4:36" s="20" customFormat="1" ht="15">
      <c r="D327" s="2"/>
      <c r="E327" s="2"/>
      <c r="F327" s="2"/>
      <c r="G327" s="2"/>
      <c r="H327" s="2"/>
      <c r="I327" s="2"/>
      <c r="K327" s="2"/>
      <c r="M327" s="15"/>
      <c r="O327" s="15"/>
      <c r="Q327" s="2"/>
      <c r="S327" s="15"/>
      <c r="U327" s="15"/>
      <c r="W327" s="2"/>
      <c r="Y327" s="15"/>
      <c r="AA327" s="15"/>
      <c r="AC327" s="2"/>
      <c r="AE327" s="15"/>
      <c r="AG327" s="15"/>
      <c r="AJ327" s="2"/>
    </row>
    <row r="328" spans="4:36" s="20" customFormat="1" ht="15">
      <c r="D328" s="2"/>
      <c r="E328" s="2"/>
      <c r="F328" s="2"/>
      <c r="G328" s="2"/>
      <c r="H328" s="2"/>
      <c r="I328" s="2"/>
      <c r="K328" s="2"/>
      <c r="M328" s="15"/>
      <c r="O328" s="15"/>
      <c r="Q328" s="2"/>
      <c r="S328" s="15"/>
      <c r="U328" s="15"/>
      <c r="W328" s="2"/>
      <c r="Y328" s="15"/>
      <c r="AA328" s="15"/>
      <c r="AC328" s="2"/>
      <c r="AE328" s="15"/>
      <c r="AG328" s="15"/>
      <c r="AJ328" s="2"/>
    </row>
    <row r="329" spans="4:36" s="20" customFormat="1" ht="15">
      <c r="D329" s="2"/>
      <c r="E329" s="2"/>
      <c r="F329" s="2"/>
      <c r="G329" s="2"/>
      <c r="H329" s="2"/>
      <c r="I329" s="2"/>
      <c r="K329" s="2"/>
      <c r="M329" s="15"/>
      <c r="O329" s="15"/>
      <c r="Q329" s="2"/>
      <c r="S329" s="15"/>
      <c r="U329" s="15"/>
      <c r="W329" s="2"/>
      <c r="Y329" s="15"/>
      <c r="AA329" s="15"/>
      <c r="AC329" s="2"/>
      <c r="AE329" s="15"/>
      <c r="AG329" s="15"/>
      <c r="AJ329" s="2"/>
    </row>
    <row r="330" spans="4:36" s="20" customFormat="1" ht="15">
      <c r="D330" s="2"/>
      <c r="E330" s="2"/>
      <c r="F330" s="2"/>
      <c r="G330" s="2"/>
      <c r="H330" s="2"/>
      <c r="I330" s="2"/>
      <c r="K330" s="2"/>
      <c r="M330" s="15"/>
      <c r="O330" s="15"/>
      <c r="Q330" s="2"/>
      <c r="S330" s="15"/>
      <c r="U330" s="15"/>
      <c r="W330" s="2"/>
      <c r="Y330" s="15"/>
      <c r="AA330" s="15"/>
      <c r="AC330" s="2"/>
      <c r="AE330" s="15"/>
      <c r="AG330" s="15"/>
      <c r="AJ330" s="2"/>
    </row>
    <row r="331" spans="4:36" s="20" customFormat="1" ht="15">
      <c r="D331" s="2"/>
      <c r="E331" s="2"/>
      <c r="F331" s="2"/>
      <c r="G331" s="2"/>
      <c r="H331" s="2"/>
      <c r="I331" s="2"/>
      <c r="K331" s="2"/>
      <c r="M331" s="15"/>
      <c r="O331" s="15"/>
      <c r="Q331" s="2"/>
      <c r="S331" s="15"/>
      <c r="U331" s="15"/>
      <c r="W331" s="2"/>
      <c r="Y331" s="15"/>
      <c r="AA331" s="15"/>
      <c r="AC331" s="2"/>
      <c r="AE331" s="15"/>
      <c r="AG331" s="15"/>
      <c r="AJ331" s="2"/>
    </row>
    <row r="332" spans="4:36" s="20" customFormat="1" ht="15">
      <c r="D332" s="2"/>
      <c r="E332" s="2"/>
      <c r="F332" s="2"/>
      <c r="G332" s="2"/>
      <c r="H332" s="2"/>
      <c r="I332" s="2"/>
      <c r="K332" s="2"/>
      <c r="M332" s="15"/>
      <c r="O332" s="15"/>
      <c r="Q332" s="2"/>
      <c r="S332" s="15"/>
      <c r="U332" s="15"/>
      <c r="W332" s="2"/>
      <c r="Y332" s="15"/>
      <c r="AA332" s="15"/>
      <c r="AC332" s="2"/>
      <c r="AE332" s="15"/>
      <c r="AG332" s="15"/>
      <c r="AJ332" s="2"/>
    </row>
    <row r="333" spans="4:36" s="20" customFormat="1" ht="15">
      <c r="D333" s="2"/>
      <c r="E333" s="2"/>
      <c r="F333" s="2"/>
      <c r="G333" s="2"/>
      <c r="H333" s="2"/>
      <c r="I333" s="2"/>
      <c r="K333" s="2"/>
      <c r="M333" s="15"/>
      <c r="O333" s="15"/>
      <c r="Q333" s="2"/>
      <c r="S333" s="15"/>
      <c r="U333" s="15"/>
      <c r="W333" s="2"/>
      <c r="Y333" s="15"/>
      <c r="AA333" s="15"/>
      <c r="AC333" s="2"/>
      <c r="AE333" s="15"/>
      <c r="AG333" s="15"/>
      <c r="AJ333" s="2"/>
    </row>
    <row r="334" spans="4:36" s="20" customFormat="1" ht="15">
      <c r="D334" s="2"/>
      <c r="E334" s="2"/>
      <c r="F334" s="2"/>
      <c r="G334" s="2"/>
      <c r="H334" s="2"/>
      <c r="I334" s="2"/>
      <c r="K334" s="2"/>
      <c r="M334" s="15"/>
      <c r="O334" s="15"/>
      <c r="Q334" s="2"/>
      <c r="S334" s="15"/>
      <c r="U334" s="15"/>
      <c r="W334" s="2"/>
      <c r="Y334" s="15"/>
      <c r="AA334" s="15"/>
      <c r="AC334" s="2"/>
      <c r="AE334" s="15"/>
      <c r="AG334" s="15"/>
      <c r="AJ334" s="2"/>
    </row>
    <row r="335" spans="4:36" s="20" customFormat="1" ht="15">
      <c r="D335" s="2"/>
      <c r="E335" s="2"/>
      <c r="F335" s="2"/>
      <c r="G335" s="2"/>
      <c r="H335" s="2"/>
      <c r="I335" s="2"/>
      <c r="K335" s="2"/>
      <c r="M335" s="15"/>
      <c r="O335" s="15"/>
      <c r="Q335" s="2"/>
      <c r="S335" s="15"/>
      <c r="U335" s="15"/>
      <c r="W335" s="2"/>
      <c r="Y335" s="15"/>
      <c r="AA335" s="15"/>
      <c r="AC335" s="2"/>
      <c r="AE335" s="15"/>
      <c r="AG335" s="15"/>
      <c r="AJ335" s="2"/>
    </row>
    <row r="336" spans="4:36" s="20" customFormat="1" ht="15">
      <c r="D336" s="2"/>
      <c r="E336" s="2"/>
      <c r="F336" s="2"/>
      <c r="G336" s="2"/>
      <c r="H336" s="2"/>
      <c r="I336" s="2"/>
      <c r="K336" s="2"/>
      <c r="M336" s="15"/>
      <c r="O336" s="15"/>
      <c r="Q336" s="2"/>
      <c r="S336" s="15"/>
      <c r="U336" s="15"/>
      <c r="W336" s="2"/>
      <c r="Y336" s="15"/>
      <c r="AA336" s="15"/>
      <c r="AC336" s="2"/>
      <c r="AE336" s="15"/>
      <c r="AG336" s="15"/>
      <c r="AJ336" s="2"/>
    </row>
    <row r="337" spans="4:36" s="20" customFormat="1" ht="15">
      <c r="D337" s="2"/>
      <c r="E337" s="2"/>
      <c r="F337" s="2"/>
      <c r="G337" s="2"/>
      <c r="H337" s="2"/>
      <c r="I337" s="2"/>
      <c r="K337" s="2"/>
      <c r="M337" s="15"/>
      <c r="O337" s="15"/>
      <c r="Q337" s="2"/>
      <c r="S337" s="15"/>
      <c r="U337" s="15"/>
      <c r="W337" s="2"/>
      <c r="Y337" s="15"/>
      <c r="AA337" s="15"/>
      <c r="AC337" s="2"/>
      <c r="AE337" s="15"/>
      <c r="AG337" s="15"/>
      <c r="AJ337" s="2"/>
    </row>
    <row r="338" spans="4:36" s="20" customFormat="1" ht="15">
      <c r="D338" s="2"/>
      <c r="E338" s="2"/>
      <c r="F338" s="2"/>
      <c r="G338" s="2"/>
      <c r="H338" s="2"/>
      <c r="I338" s="2"/>
      <c r="K338" s="2"/>
      <c r="M338" s="15"/>
      <c r="O338" s="15"/>
      <c r="Q338" s="2"/>
      <c r="S338" s="15"/>
      <c r="U338" s="15"/>
      <c r="W338" s="2"/>
      <c r="Y338" s="15"/>
      <c r="AA338" s="15"/>
      <c r="AC338" s="2"/>
      <c r="AE338" s="15"/>
      <c r="AG338" s="15"/>
      <c r="AJ338" s="2"/>
    </row>
    <row r="339" spans="4:36" s="20" customFormat="1" ht="15">
      <c r="D339" s="2"/>
      <c r="E339" s="2"/>
      <c r="F339" s="2"/>
      <c r="G339" s="2"/>
      <c r="H339" s="2"/>
      <c r="I339" s="2"/>
      <c r="K339" s="2"/>
      <c r="M339" s="15"/>
      <c r="O339" s="15"/>
      <c r="Q339" s="2"/>
      <c r="S339" s="15"/>
      <c r="U339" s="15"/>
      <c r="W339" s="2"/>
      <c r="Y339" s="15"/>
      <c r="AA339" s="15"/>
      <c r="AC339" s="2"/>
      <c r="AE339" s="15"/>
      <c r="AG339" s="15"/>
      <c r="AJ339" s="2"/>
    </row>
    <row r="340" spans="4:36" s="20" customFormat="1" ht="15">
      <c r="D340" s="2"/>
      <c r="E340" s="2"/>
      <c r="F340" s="2"/>
      <c r="G340" s="2"/>
      <c r="H340" s="2"/>
      <c r="I340" s="2"/>
      <c r="K340" s="2"/>
      <c r="M340" s="15"/>
      <c r="O340" s="15"/>
      <c r="Q340" s="2"/>
      <c r="S340" s="15"/>
      <c r="U340" s="15"/>
      <c r="W340" s="2"/>
      <c r="Y340" s="15"/>
      <c r="AA340" s="15"/>
      <c r="AC340" s="2"/>
      <c r="AE340" s="15"/>
      <c r="AG340" s="15"/>
      <c r="AJ340" s="2"/>
    </row>
    <row r="341" spans="4:36" s="20" customFormat="1" ht="15">
      <c r="D341" s="2"/>
      <c r="E341" s="2"/>
      <c r="F341" s="2"/>
      <c r="G341" s="2"/>
      <c r="H341" s="2"/>
      <c r="I341" s="2"/>
      <c r="K341" s="2"/>
      <c r="M341" s="15"/>
      <c r="O341" s="15"/>
      <c r="Q341" s="2"/>
      <c r="S341" s="15"/>
      <c r="U341" s="15"/>
      <c r="W341" s="2"/>
      <c r="Y341" s="15"/>
      <c r="AA341" s="15"/>
      <c r="AC341" s="2"/>
      <c r="AE341" s="15"/>
      <c r="AG341" s="15"/>
      <c r="AJ341" s="2"/>
    </row>
    <row r="342" spans="4:36" s="20" customFormat="1" ht="15">
      <c r="D342" s="2"/>
      <c r="E342" s="2"/>
      <c r="F342" s="2"/>
      <c r="G342" s="2"/>
      <c r="H342" s="2"/>
      <c r="I342" s="2"/>
      <c r="K342" s="2"/>
      <c r="M342" s="15"/>
      <c r="O342" s="15"/>
      <c r="Q342" s="2"/>
      <c r="S342" s="15"/>
      <c r="U342" s="15"/>
      <c r="W342" s="2"/>
      <c r="Y342" s="15"/>
      <c r="AA342" s="15"/>
      <c r="AC342" s="2"/>
      <c r="AE342" s="15"/>
      <c r="AG342" s="15"/>
      <c r="AJ342" s="2"/>
    </row>
    <row r="343" spans="4:36" s="20" customFormat="1" ht="15">
      <c r="D343" s="2"/>
      <c r="E343" s="2"/>
      <c r="F343" s="2"/>
      <c r="G343" s="2"/>
      <c r="H343" s="2"/>
      <c r="I343" s="2"/>
      <c r="K343" s="2"/>
      <c r="M343" s="15"/>
      <c r="O343" s="15"/>
      <c r="Q343" s="2"/>
      <c r="S343" s="15"/>
      <c r="U343" s="15"/>
      <c r="W343" s="2"/>
      <c r="Y343" s="15"/>
      <c r="AA343" s="15"/>
      <c r="AC343" s="2"/>
      <c r="AE343" s="15"/>
      <c r="AG343" s="15"/>
      <c r="AJ343" s="2"/>
    </row>
    <row r="344" spans="4:36" s="20" customFormat="1" ht="15">
      <c r="D344" s="2"/>
      <c r="E344" s="2"/>
      <c r="F344" s="2"/>
      <c r="G344" s="2"/>
      <c r="H344" s="2"/>
      <c r="I344" s="2"/>
      <c r="K344" s="2"/>
      <c r="M344" s="15"/>
      <c r="O344" s="15"/>
      <c r="Q344" s="2"/>
      <c r="S344" s="15"/>
      <c r="U344" s="15"/>
      <c r="W344" s="2"/>
      <c r="Y344" s="15"/>
      <c r="AA344" s="15"/>
      <c r="AC344" s="2"/>
      <c r="AE344" s="15"/>
      <c r="AG344" s="15"/>
      <c r="AJ344" s="2"/>
    </row>
    <row r="345" spans="4:36" s="20" customFormat="1" ht="15">
      <c r="D345" s="2"/>
      <c r="E345" s="2"/>
      <c r="F345" s="2"/>
      <c r="G345" s="2"/>
      <c r="H345" s="2"/>
      <c r="I345" s="2"/>
      <c r="K345" s="2"/>
      <c r="M345" s="15"/>
      <c r="O345" s="15"/>
      <c r="Q345" s="2"/>
      <c r="S345" s="15"/>
      <c r="U345" s="15"/>
      <c r="W345" s="2"/>
      <c r="Y345" s="15"/>
      <c r="AA345" s="15"/>
      <c r="AC345" s="2"/>
      <c r="AE345" s="15"/>
      <c r="AG345" s="15"/>
      <c r="AJ345" s="2"/>
    </row>
    <row r="346" spans="4:36" s="20" customFormat="1" ht="15">
      <c r="D346" s="2"/>
      <c r="E346" s="2"/>
      <c r="F346" s="2"/>
      <c r="G346" s="2"/>
      <c r="H346" s="2"/>
      <c r="I346" s="2"/>
      <c r="K346" s="2"/>
      <c r="M346" s="15"/>
      <c r="O346" s="15"/>
      <c r="Q346" s="2"/>
      <c r="S346" s="15"/>
      <c r="U346" s="15"/>
      <c r="W346" s="2"/>
      <c r="Y346" s="15"/>
      <c r="AA346" s="15"/>
      <c r="AC346" s="2"/>
      <c r="AE346" s="15"/>
      <c r="AG346" s="15"/>
      <c r="AJ346" s="2"/>
    </row>
    <row r="347" spans="4:36" s="20" customFormat="1" ht="15">
      <c r="D347" s="2"/>
      <c r="E347" s="2"/>
      <c r="F347" s="2"/>
      <c r="G347" s="2"/>
      <c r="H347" s="2"/>
      <c r="I347" s="2"/>
      <c r="K347" s="2"/>
      <c r="M347" s="15"/>
      <c r="O347" s="15"/>
      <c r="Q347" s="2"/>
      <c r="S347" s="15"/>
      <c r="U347" s="15"/>
      <c r="W347" s="2"/>
      <c r="Y347" s="15"/>
      <c r="AA347" s="15"/>
      <c r="AC347" s="2"/>
      <c r="AE347" s="15"/>
      <c r="AG347" s="15"/>
      <c r="AJ347" s="2"/>
    </row>
    <row r="348" spans="4:36" s="20" customFormat="1" ht="15">
      <c r="D348" s="2"/>
      <c r="E348" s="2"/>
      <c r="F348" s="2"/>
      <c r="G348" s="2"/>
      <c r="H348" s="2"/>
      <c r="I348" s="2"/>
      <c r="K348" s="2"/>
      <c r="M348" s="15"/>
      <c r="O348" s="15"/>
      <c r="Q348" s="2"/>
      <c r="S348" s="15"/>
      <c r="U348" s="15"/>
      <c r="W348" s="2"/>
      <c r="Y348" s="15"/>
      <c r="AA348" s="15"/>
      <c r="AC348" s="2"/>
      <c r="AE348" s="15"/>
      <c r="AG348" s="15"/>
      <c r="AJ348" s="2"/>
    </row>
    <row r="349" spans="4:36" s="20" customFormat="1" ht="15">
      <c r="D349" s="2"/>
      <c r="E349" s="2"/>
      <c r="F349" s="2"/>
      <c r="G349" s="2"/>
      <c r="H349" s="2"/>
      <c r="I349" s="2"/>
      <c r="K349" s="2"/>
      <c r="M349" s="15"/>
      <c r="O349" s="15"/>
      <c r="Q349" s="2"/>
      <c r="S349" s="15"/>
      <c r="U349" s="15"/>
      <c r="W349" s="2"/>
      <c r="Y349" s="15"/>
      <c r="AA349" s="15"/>
      <c r="AC349" s="2"/>
      <c r="AE349" s="15"/>
      <c r="AG349" s="15"/>
      <c r="AJ349" s="2"/>
    </row>
    <row r="350" spans="4:36" s="20" customFormat="1" ht="15">
      <c r="D350" s="2"/>
      <c r="E350" s="2"/>
      <c r="F350" s="2"/>
      <c r="G350" s="2"/>
      <c r="H350" s="2"/>
      <c r="I350" s="2"/>
      <c r="K350" s="2"/>
      <c r="M350" s="15"/>
      <c r="O350" s="15"/>
      <c r="Q350" s="2"/>
      <c r="S350" s="15"/>
      <c r="U350" s="15"/>
      <c r="W350" s="2"/>
      <c r="Y350" s="15"/>
      <c r="AA350" s="15"/>
      <c r="AC350" s="2"/>
      <c r="AE350" s="15"/>
      <c r="AG350" s="15"/>
      <c r="AJ350" s="2"/>
    </row>
    <row r="351" spans="4:36" s="20" customFormat="1" ht="15">
      <c r="D351" s="2"/>
      <c r="E351" s="2"/>
      <c r="F351" s="2"/>
      <c r="G351" s="2"/>
      <c r="H351" s="2"/>
      <c r="I351" s="2"/>
      <c r="K351" s="2"/>
      <c r="M351" s="15"/>
      <c r="O351" s="15"/>
      <c r="Q351" s="2"/>
      <c r="S351" s="15"/>
      <c r="U351" s="15"/>
      <c r="W351" s="2"/>
      <c r="Y351" s="15"/>
      <c r="AA351" s="15"/>
      <c r="AC351" s="2"/>
      <c r="AE351" s="15"/>
      <c r="AG351" s="15"/>
      <c r="AJ351" s="2"/>
    </row>
    <row r="352" spans="4:36" s="20" customFormat="1" ht="15">
      <c r="D352" s="2"/>
      <c r="E352" s="2"/>
      <c r="F352" s="2"/>
      <c r="G352" s="2"/>
      <c r="H352" s="2"/>
      <c r="I352" s="2"/>
      <c r="K352" s="2"/>
      <c r="M352" s="15"/>
      <c r="O352" s="15"/>
      <c r="Q352" s="2"/>
      <c r="S352" s="15"/>
      <c r="U352" s="15"/>
      <c r="W352" s="2"/>
      <c r="Y352" s="15"/>
      <c r="AA352" s="15"/>
      <c r="AC352" s="2"/>
      <c r="AE352" s="15"/>
      <c r="AG352" s="15"/>
      <c r="AJ352" s="2"/>
    </row>
    <row r="353" spans="4:36" s="20" customFormat="1" ht="15">
      <c r="D353" s="2"/>
      <c r="E353" s="2"/>
      <c r="F353" s="2"/>
      <c r="G353" s="2"/>
      <c r="H353" s="2"/>
      <c r="I353" s="2"/>
      <c r="K353" s="2"/>
      <c r="M353" s="15"/>
      <c r="O353" s="15"/>
      <c r="Q353" s="2"/>
      <c r="S353" s="15"/>
      <c r="U353" s="15"/>
      <c r="W353" s="2"/>
      <c r="Y353" s="15"/>
      <c r="AA353" s="15"/>
      <c r="AC353" s="2"/>
      <c r="AE353" s="15"/>
      <c r="AG353" s="15"/>
      <c r="AJ353" s="2"/>
    </row>
    <row r="354" spans="4:36" s="20" customFormat="1" ht="15">
      <c r="D354" s="2"/>
      <c r="E354" s="2"/>
      <c r="F354" s="2"/>
      <c r="G354" s="2"/>
      <c r="H354" s="2"/>
      <c r="I354" s="2"/>
      <c r="K354" s="2"/>
      <c r="M354" s="15"/>
      <c r="O354" s="15"/>
      <c r="Q354" s="2"/>
      <c r="S354" s="15"/>
      <c r="U354" s="15"/>
      <c r="W354" s="2"/>
      <c r="Y354" s="15"/>
      <c r="AA354" s="15"/>
      <c r="AC354" s="2"/>
      <c r="AE354" s="15"/>
      <c r="AG354" s="15"/>
      <c r="AJ354" s="2"/>
    </row>
    <row r="355" spans="4:36" s="20" customFormat="1" ht="15">
      <c r="D355" s="2"/>
      <c r="E355" s="2"/>
      <c r="F355" s="2"/>
      <c r="G355" s="2"/>
      <c r="H355" s="2"/>
      <c r="I355" s="2"/>
      <c r="K355" s="2"/>
      <c r="M355" s="15"/>
      <c r="O355" s="15"/>
      <c r="Q355" s="2"/>
      <c r="S355" s="15"/>
      <c r="U355" s="15"/>
      <c r="W355" s="2"/>
      <c r="Y355" s="15"/>
      <c r="AA355" s="15"/>
      <c r="AC355" s="2"/>
      <c r="AE355" s="15"/>
      <c r="AG355" s="15"/>
      <c r="AJ355" s="2"/>
    </row>
    <row r="356" spans="4:36" s="20" customFormat="1" ht="15">
      <c r="D356" s="2"/>
      <c r="E356" s="2"/>
      <c r="F356" s="2"/>
      <c r="G356" s="2"/>
      <c r="H356" s="2"/>
      <c r="I356" s="2"/>
      <c r="K356" s="2"/>
      <c r="M356" s="15"/>
      <c r="O356" s="15"/>
      <c r="Q356" s="2"/>
      <c r="S356" s="15"/>
      <c r="U356" s="15"/>
      <c r="W356" s="2"/>
      <c r="Y356" s="15"/>
      <c r="AA356" s="15"/>
      <c r="AC356" s="2"/>
      <c r="AE356" s="15"/>
      <c r="AG356" s="15"/>
      <c r="AJ356" s="2"/>
    </row>
    <row r="357" spans="4:36" s="20" customFormat="1" ht="15">
      <c r="D357" s="2"/>
      <c r="E357" s="2"/>
      <c r="F357" s="2"/>
      <c r="G357" s="2"/>
      <c r="H357" s="2"/>
      <c r="I357" s="2"/>
      <c r="K357" s="2"/>
      <c r="M357" s="15"/>
      <c r="O357" s="15"/>
      <c r="Q357" s="2"/>
      <c r="S357" s="15"/>
      <c r="U357" s="15"/>
      <c r="W357" s="2"/>
      <c r="Y357" s="15"/>
      <c r="AA357" s="15"/>
      <c r="AC357" s="2"/>
      <c r="AE357" s="15"/>
      <c r="AG357" s="15"/>
      <c r="AJ357" s="2"/>
    </row>
    <row r="358" spans="4:36" s="20" customFormat="1" ht="15">
      <c r="D358" s="2"/>
      <c r="E358" s="2"/>
      <c r="F358" s="2"/>
      <c r="G358" s="2"/>
      <c r="H358" s="2"/>
      <c r="I358" s="2"/>
      <c r="K358" s="2"/>
      <c r="M358" s="15"/>
      <c r="O358" s="15"/>
      <c r="Q358" s="2"/>
      <c r="S358" s="15"/>
      <c r="U358" s="15"/>
      <c r="W358" s="2"/>
      <c r="Y358" s="15"/>
      <c r="AA358" s="15"/>
      <c r="AC358" s="2"/>
      <c r="AE358" s="15"/>
      <c r="AG358" s="15"/>
      <c r="AJ358" s="2"/>
    </row>
    <row r="359" spans="4:36" s="20" customFormat="1" ht="15">
      <c r="D359" s="2"/>
      <c r="E359" s="2"/>
      <c r="F359" s="2"/>
      <c r="G359" s="2"/>
      <c r="H359" s="2"/>
      <c r="I359" s="2"/>
      <c r="K359" s="2"/>
      <c r="M359" s="15"/>
      <c r="O359" s="15"/>
      <c r="Q359" s="2"/>
      <c r="S359" s="15"/>
      <c r="U359" s="15"/>
      <c r="W359" s="2"/>
      <c r="Y359" s="15"/>
      <c r="AA359" s="15"/>
      <c r="AC359" s="2"/>
      <c r="AE359" s="15"/>
      <c r="AG359" s="15"/>
      <c r="AJ359" s="2"/>
    </row>
    <row r="360" spans="4:36" s="20" customFormat="1" ht="15">
      <c r="D360" s="2"/>
      <c r="E360" s="2"/>
      <c r="F360" s="2"/>
      <c r="G360" s="2"/>
      <c r="H360" s="2"/>
      <c r="I360" s="2"/>
      <c r="K360" s="2"/>
      <c r="M360" s="15"/>
      <c r="O360" s="15"/>
      <c r="Q360" s="2"/>
      <c r="S360" s="15"/>
      <c r="U360" s="15"/>
      <c r="W360" s="2"/>
      <c r="Y360" s="15"/>
      <c r="AA360" s="15"/>
      <c r="AC360" s="2"/>
      <c r="AE360" s="15"/>
      <c r="AG360" s="15"/>
      <c r="AJ360" s="2"/>
    </row>
    <row r="361" spans="4:36" s="20" customFormat="1" ht="15">
      <c r="D361" s="2"/>
      <c r="E361" s="2"/>
      <c r="F361" s="2"/>
      <c r="G361" s="2"/>
      <c r="H361" s="2"/>
      <c r="I361" s="2"/>
      <c r="K361" s="2"/>
      <c r="M361" s="15"/>
      <c r="O361" s="15"/>
      <c r="Q361" s="2"/>
      <c r="S361" s="15"/>
      <c r="U361" s="15"/>
      <c r="W361" s="2"/>
      <c r="Y361" s="15"/>
      <c r="AA361" s="15"/>
      <c r="AC361" s="2"/>
      <c r="AE361" s="15"/>
      <c r="AG361" s="15"/>
      <c r="AJ361" s="2"/>
    </row>
    <row r="362" spans="4:36" s="20" customFormat="1" ht="15">
      <c r="D362" s="2"/>
      <c r="E362" s="2"/>
      <c r="F362" s="2"/>
      <c r="G362" s="2"/>
      <c r="H362" s="2"/>
      <c r="I362" s="2"/>
      <c r="K362" s="2"/>
      <c r="M362" s="15"/>
      <c r="O362" s="15"/>
      <c r="Q362" s="2"/>
      <c r="S362" s="15"/>
      <c r="U362" s="15"/>
      <c r="W362" s="2"/>
      <c r="Y362" s="15"/>
      <c r="AA362" s="15"/>
      <c r="AC362" s="2"/>
      <c r="AE362" s="15"/>
      <c r="AG362" s="15"/>
      <c r="AJ362" s="2"/>
    </row>
    <row r="363" spans="4:36" s="20" customFormat="1" ht="15">
      <c r="D363" s="2"/>
      <c r="E363" s="2"/>
      <c r="F363" s="2"/>
      <c r="G363" s="2"/>
      <c r="H363" s="2"/>
      <c r="I363" s="2"/>
      <c r="K363" s="2"/>
      <c r="M363" s="15"/>
      <c r="O363" s="15"/>
      <c r="Q363" s="2"/>
      <c r="S363" s="15"/>
      <c r="U363" s="15"/>
      <c r="W363" s="2"/>
      <c r="Y363" s="15"/>
      <c r="AA363" s="15"/>
      <c r="AC363" s="2"/>
      <c r="AE363" s="15"/>
      <c r="AG363" s="15"/>
      <c r="AJ363" s="2"/>
    </row>
    <row r="364" spans="4:36" s="20" customFormat="1" ht="15">
      <c r="D364" s="2"/>
      <c r="E364" s="2"/>
      <c r="F364" s="2"/>
      <c r="G364" s="2"/>
      <c r="H364" s="2"/>
      <c r="I364" s="2"/>
      <c r="K364" s="2"/>
      <c r="M364" s="15"/>
      <c r="O364" s="15"/>
      <c r="Q364" s="2"/>
      <c r="S364" s="15"/>
      <c r="U364" s="15"/>
      <c r="W364" s="2"/>
      <c r="Y364" s="15"/>
      <c r="AA364" s="15"/>
      <c r="AC364" s="2"/>
      <c r="AE364" s="15"/>
      <c r="AG364" s="15"/>
      <c r="AJ364" s="2"/>
    </row>
    <row r="365" spans="4:36" s="20" customFormat="1" ht="15">
      <c r="D365" s="2"/>
      <c r="E365" s="2"/>
      <c r="F365" s="2"/>
      <c r="G365" s="2"/>
      <c r="H365" s="2"/>
      <c r="I365" s="2"/>
      <c r="K365" s="2"/>
      <c r="M365" s="15"/>
      <c r="O365" s="15"/>
      <c r="Q365" s="2"/>
      <c r="S365" s="15"/>
      <c r="U365" s="15"/>
      <c r="W365" s="2"/>
      <c r="Y365" s="15"/>
      <c r="AA365" s="15"/>
      <c r="AC365" s="2"/>
      <c r="AE365" s="15"/>
      <c r="AG365" s="15"/>
      <c r="AJ365" s="2"/>
    </row>
    <row r="366" spans="4:36" s="20" customFormat="1" ht="15">
      <c r="D366" s="2"/>
      <c r="E366" s="2"/>
      <c r="F366" s="2"/>
      <c r="G366" s="2"/>
      <c r="H366" s="2"/>
      <c r="I366" s="2"/>
      <c r="K366" s="2"/>
      <c r="M366" s="15"/>
      <c r="O366" s="15"/>
      <c r="Q366" s="2"/>
      <c r="S366" s="15"/>
      <c r="U366" s="15"/>
      <c r="W366" s="2"/>
      <c r="Y366" s="15"/>
      <c r="AA366" s="15"/>
      <c r="AC366" s="2"/>
      <c r="AE366" s="15"/>
      <c r="AG366" s="15"/>
      <c r="AJ366" s="2"/>
    </row>
    <row r="367" spans="4:36" s="20" customFormat="1" ht="15">
      <c r="D367" s="2"/>
      <c r="E367" s="2"/>
      <c r="F367" s="2"/>
      <c r="G367" s="2"/>
      <c r="H367" s="2"/>
      <c r="I367" s="2"/>
      <c r="K367" s="2"/>
      <c r="M367" s="15"/>
      <c r="O367" s="15"/>
      <c r="Q367" s="2"/>
      <c r="S367" s="15"/>
      <c r="U367" s="15"/>
      <c r="W367" s="2"/>
      <c r="Y367" s="15"/>
      <c r="AA367" s="15"/>
      <c r="AC367" s="2"/>
      <c r="AE367" s="15"/>
      <c r="AG367" s="15"/>
      <c r="AJ367" s="2"/>
    </row>
    <row r="368" spans="4:36" s="20" customFormat="1" ht="15">
      <c r="D368" s="2"/>
      <c r="E368" s="2"/>
      <c r="F368" s="2"/>
      <c r="G368" s="2"/>
      <c r="H368" s="2"/>
      <c r="I368" s="2"/>
      <c r="K368" s="2"/>
      <c r="M368" s="15"/>
      <c r="O368" s="15"/>
      <c r="Q368" s="2"/>
      <c r="S368" s="15"/>
      <c r="U368" s="15"/>
      <c r="W368" s="2"/>
      <c r="Y368" s="15"/>
      <c r="AA368" s="15"/>
      <c r="AC368" s="2"/>
      <c r="AE368" s="15"/>
      <c r="AG368" s="15"/>
      <c r="AJ368" s="2"/>
    </row>
    <row r="369" spans="4:36" s="20" customFormat="1" ht="15">
      <c r="D369" s="2"/>
      <c r="E369" s="2"/>
      <c r="F369" s="2"/>
      <c r="G369" s="2"/>
      <c r="H369" s="2"/>
      <c r="I369" s="2"/>
      <c r="K369" s="2"/>
      <c r="M369" s="15"/>
      <c r="O369" s="15"/>
      <c r="Q369" s="2"/>
      <c r="S369" s="15"/>
      <c r="U369" s="15"/>
      <c r="W369" s="2"/>
      <c r="Y369" s="15"/>
      <c r="AA369" s="15"/>
      <c r="AC369" s="2"/>
      <c r="AE369" s="15"/>
      <c r="AG369" s="15"/>
      <c r="AJ369" s="2"/>
    </row>
    <row r="370" spans="4:36" s="20" customFormat="1" ht="15">
      <c r="D370" s="2"/>
      <c r="E370" s="2"/>
      <c r="F370" s="2"/>
      <c r="G370" s="2"/>
      <c r="H370" s="2"/>
      <c r="I370" s="2"/>
      <c r="K370" s="2"/>
      <c r="M370" s="15"/>
      <c r="O370" s="15"/>
      <c r="Q370" s="2"/>
      <c r="S370" s="15"/>
      <c r="U370" s="15"/>
      <c r="W370" s="2"/>
      <c r="Y370" s="15"/>
      <c r="AA370" s="15"/>
      <c r="AC370" s="2"/>
      <c r="AE370" s="15"/>
      <c r="AG370" s="15"/>
      <c r="AJ370" s="2"/>
    </row>
    <row r="371" spans="4:36" s="20" customFormat="1" ht="15">
      <c r="D371" s="2"/>
      <c r="E371" s="2"/>
      <c r="F371" s="2"/>
      <c r="G371" s="2"/>
      <c r="H371" s="2"/>
      <c r="I371" s="2"/>
      <c r="K371" s="2"/>
      <c r="M371" s="15"/>
      <c r="O371" s="15"/>
      <c r="Q371" s="2"/>
      <c r="S371" s="15"/>
      <c r="U371" s="15"/>
      <c r="W371" s="2"/>
      <c r="Y371" s="15"/>
      <c r="AA371" s="15"/>
      <c r="AC371" s="2"/>
      <c r="AE371" s="15"/>
      <c r="AG371" s="15"/>
      <c r="AJ371" s="2"/>
    </row>
    <row r="372" spans="4:36" s="20" customFormat="1" ht="15">
      <c r="D372" s="2"/>
      <c r="E372" s="2"/>
      <c r="F372" s="2"/>
      <c r="G372" s="2"/>
      <c r="H372" s="2"/>
      <c r="I372" s="2"/>
      <c r="K372" s="2"/>
      <c r="M372" s="15"/>
      <c r="O372" s="15"/>
      <c r="Q372" s="2"/>
      <c r="S372" s="15"/>
      <c r="U372" s="15"/>
      <c r="W372" s="2"/>
      <c r="Y372" s="15"/>
      <c r="AA372" s="15"/>
      <c r="AC372" s="2"/>
      <c r="AE372" s="15"/>
      <c r="AG372" s="15"/>
      <c r="AJ372" s="2"/>
    </row>
    <row r="373" spans="4:36" s="20" customFormat="1" ht="15">
      <c r="D373" s="2"/>
      <c r="E373" s="2"/>
      <c r="F373" s="2"/>
      <c r="G373" s="2"/>
      <c r="H373" s="2"/>
      <c r="I373" s="2"/>
      <c r="K373" s="2"/>
      <c r="M373" s="15"/>
      <c r="O373" s="15"/>
      <c r="Q373" s="2"/>
      <c r="S373" s="15"/>
      <c r="U373" s="15"/>
      <c r="W373" s="2"/>
      <c r="Y373" s="15"/>
      <c r="AA373" s="15"/>
      <c r="AC373" s="2"/>
      <c r="AE373" s="15"/>
      <c r="AG373" s="15"/>
      <c r="AJ373" s="2"/>
    </row>
    <row r="374" spans="4:36" s="20" customFormat="1" ht="15">
      <c r="D374" s="2"/>
      <c r="E374" s="2"/>
      <c r="F374" s="2"/>
      <c r="G374" s="2"/>
      <c r="H374" s="2"/>
      <c r="I374" s="2"/>
      <c r="K374" s="2"/>
      <c r="M374" s="15"/>
      <c r="O374" s="15"/>
      <c r="Q374" s="2"/>
      <c r="S374" s="15"/>
      <c r="U374" s="15"/>
      <c r="W374" s="2"/>
      <c r="Y374" s="15"/>
      <c r="AA374" s="15"/>
      <c r="AC374" s="2"/>
      <c r="AE374" s="15"/>
      <c r="AG374" s="15"/>
      <c r="AJ374" s="2"/>
    </row>
    <row r="375" spans="4:36" s="20" customFormat="1" ht="15">
      <c r="D375" s="2"/>
      <c r="E375" s="2"/>
      <c r="F375" s="2"/>
      <c r="G375" s="2"/>
      <c r="H375" s="2"/>
      <c r="I375" s="2"/>
      <c r="K375" s="2"/>
      <c r="M375" s="15"/>
      <c r="O375" s="15"/>
      <c r="Q375" s="2"/>
      <c r="S375" s="15"/>
      <c r="U375" s="15"/>
      <c r="W375" s="2"/>
      <c r="Y375" s="15"/>
      <c r="AA375" s="15"/>
      <c r="AC375" s="2"/>
      <c r="AE375" s="15"/>
      <c r="AG375" s="15"/>
      <c r="AJ375" s="2"/>
    </row>
    <row r="376" spans="4:36" s="20" customFormat="1" ht="15">
      <c r="D376" s="2"/>
      <c r="E376" s="2"/>
      <c r="F376" s="2"/>
      <c r="G376" s="2"/>
      <c r="H376" s="2"/>
      <c r="I376" s="2"/>
      <c r="K376" s="2"/>
      <c r="M376" s="15"/>
      <c r="O376" s="15"/>
      <c r="Q376" s="2"/>
      <c r="S376" s="15"/>
      <c r="U376" s="15"/>
      <c r="W376" s="2"/>
      <c r="Y376" s="15"/>
      <c r="AA376" s="15"/>
      <c r="AC376" s="2"/>
      <c r="AE376" s="15"/>
      <c r="AG376" s="15"/>
      <c r="AJ376" s="2"/>
    </row>
    <row r="377" spans="4:36" s="20" customFormat="1" ht="15">
      <c r="D377" s="2"/>
      <c r="E377" s="2"/>
      <c r="F377" s="2"/>
      <c r="G377" s="2"/>
      <c r="H377" s="2"/>
      <c r="I377" s="2"/>
      <c r="K377" s="2"/>
      <c r="M377" s="15"/>
      <c r="O377" s="15"/>
      <c r="Q377" s="2"/>
      <c r="S377" s="15"/>
      <c r="U377" s="15"/>
      <c r="W377" s="2"/>
      <c r="Y377" s="15"/>
      <c r="AA377" s="15"/>
      <c r="AC377" s="2"/>
      <c r="AE377" s="15"/>
      <c r="AG377" s="15"/>
      <c r="AJ377" s="2"/>
    </row>
    <row r="378" spans="4:36" s="20" customFormat="1" ht="15">
      <c r="D378" s="2"/>
      <c r="E378" s="2"/>
      <c r="F378" s="2"/>
      <c r="G378" s="2"/>
      <c r="H378" s="2"/>
      <c r="I378" s="2"/>
      <c r="K378" s="2"/>
      <c r="M378" s="15"/>
      <c r="O378" s="15"/>
      <c r="Q378" s="2"/>
      <c r="S378" s="15"/>
      <c r="U378" s="15"/>
      <c r="W378" s="2"/>
      <c r="Y378" s="15"/>
      <c r="AA378" s="15"/>
      <c r="AC378" s="2"/>
      <c r="AE378" s="15"/>
      <c r="AG378" s="15"/>
      <c r="AJ378" s="2"/>
    </row>
    <row r="379" spans="4:36" s="20" customFormat="1" ht="15">
      <c r="D379" s="2"/>
      <c r="E379" s="2"/>
      <c r="F379" s="2"/>
      <c r="G379" s="2"/>
      <c r="H379" s="2"/>
      <c r="I379" s="2"/>
      <c r="K379" s="2"/>
      <c r="M379" s="15"/>
      <c r="O379" s="15"/>
      <c r="Q379" s="2"/>
      <c r="S379" s="15"/>
      <c r="U379" s="15"/>
      <c r="W379" s="2"/>
      <c r="Y379" s="15"/>
      <c r="AA379" s="15"/>
      <c r="AC379" s="2"/>
      <c r="AE379" s="15"/>
      <c r="AG379" s="15"/>
      <c r="AJ379" s="2"/>
    </row>
    <row r="380" spans="4:36" s="20" customFormat="1" ht="15">
      <c r="D380" s="2"/>
      <c r="E380" s="2"/>
      <c r="F380" s="2"/>
      <c r="G380" s="2"/>
      <c r="H380" s="2"/>
      <c r="I380" s="2"/>
      <c r="K380" s="2"/>
      <c r="M380" s="15"/>
      <c r="O380" s="15"/>
      <c r="Q380" s="2"/>
      <c r="S380" s="15"/>
      <c r="U380" s="15"/>
      <c r="W380" s="2"/>
      <c r="Y380" s="15"/>
      <c r="AA380" s="15"/>
      <c r="AC380" s="2"/>
      <c r="AE380" s="15"/>
      <c r="AG380" s="15"/>
      <c r="AJ380" s="2"/>
    </row>
    <row r="381" spans="4:36" s="20" customFormat="1" ht="15">
      <c r="D381" s="2"/>
      <c r="E381" s="2"/>
      <c r="F381" s="2"/>
      <c r="G381" s="2"/>
      <c r="H381" s="2"/>
      <c r="I381" s="2"/>
      <c r="K381" s="2"/>
      <c r="M381" s="15"/>
      <c r="O381" s="15"/>
      <c r="Q381" s="2"/>
      <c r="S381" s="15"/>
      <c r="U381" s="15"/>
      <c r="W381" s="2"/>
      <c r="Y381" s="15"/>
      <c r="AA381" s="15"/>
      <c r="AC381" s="2"/>
      <c r="AE381" s="15"/>
      <c r="AG381" s="15"/>
      <c r="AJ381" s="2"/>
    </row>
    <row r="382" spans="4:36" s="20" customFormat="1" ht="15">
      <c r="D382" s="2"/>
      <c r="E382" s="2"/>
      <c r="F382" s="2"/>
      <c r="G382" s="2"/>
      <c r="H382" s="2"/>
      <c r="I382" s="2"/>
      <c r="K382" s="2"/>
      <c r="M382" s="15"/>
      <c r="O382" s="15"/>
      <c r="Q382" s="2"/>
      <c r="S382" s="15"/>
      <c r="U382" s="15"/>
      <c r="W382" s="2"/>
      <c r="Y382" s="15"/>
      <c r="AA382" s="15"/>
      <c r="AC382" s="2"/>
      <c r="AE382" s="15"/>
      <c r="AG382" s="15"/>
      <c r="AJ382" s="2"/>
    </row>
    <row r="383" spans="4:36" s="20" customFormat="1" ht="15">
      <c r="D383" s="2"/>
      <c r="E383" s="2"/>
      <c r="F383" s="2"/>
      <c r="G383" s="2"/>
      <c r="H383" s="2"/>
      <c r="I383" s="2"/>
      <c r="K383" s="2"/>
      <c r="M383" s="15"/>
      <c r="O383" s="15"/>
      <c r="Q383" s="2"/>
      <c r="S383" s="15"/>
      <c r="U383" s="15"/>
      <c r="W383" s="2"/>
      <c r="Y383" s="15"/>
      <c r="AA383" s="15"/>
      <c r="AC383" s="2"/>
      <c r="AE383" s="15"/>
      <c r="AG383" s="15"/>
      <c r="AJ383" s="2"/>
    </row>
    <row r="384" spans="4:36" s="20" customFormat="1" ht="15">
      <c r="D384" s="2"/>
      <c r="E384" s="2"/>
      <c r="F384" s="2"/>
      <c r="G384" s="2"/>
      <c r="H384" s="2"/>
      <c r="I384" s="2"/>
      <c r="K384" s="2"/>
      <c r="M384" s="15"/>
      <c r="O384" s="15"/>
      <c r="Q384" s="2"/>
      <c r="S384" s="15"/>
      <c r="U384" s="15"/>
      <c r="W384" s="2"/>
      <c r="Y384" s="15"/>
      <c r="AA384" s="15"/>
      <c r="AC384" s="2"/>
      <c r="AE384" s="15"/>
      <c r="AG384" s="15"/>
      <c r="AJ384" s="2"/>
    </row>
    <row r="385" spans="4:36" s="20" customFormat="1" ht="15">
      <c r="D385" s="2"/>
      <c r="E385" s="2"/>
      <c r="F385" s="2"/>
      <c r="G385" s="2"/>
      <c r="H385" s="2"/>
      <c r="I385" s="2"/>
      <c r="K385" s="2"/>
      <c r="M385" s="15"/>
      <c r="O385" s="15"/>
      <c r="Q385" s="2"/>
      <c r="S385" s="15"/>
      <c r="U385" s="15"/>
      <c r="W385" s="2"/>
      <c r="Y385" s="15"/>
      <c r="AA385" s="15"/>
      <c r="AC385" s="2"/>
      <c r="AE385" s="15"/>
      <c r="AG385" s="15"/>
      <c r="AJ385" s="2"/>
    </row>
    <row r="386" spans="4:36" s="20" customFormat="1" ht="15">
      <c r="D386" s="2"/>
      <c r="E386" s="2"/>
      <c r="F386" s="2"/>
      <c r="G386" s="2"/>
      <c r="H386" s="2"/>
      <c r="I386" s="2"/>
      <c r="K386" s="2"/>
      <c r="M386" s="15"/>
      <c r="O386" s="15"/>
      <c r="Q386" s="2"/>
      <c r="S386" s="15"/>
      <c r="U386" s="15"/>
      <c r="W386" s="2"/>
      <c r="Y386" s="15"/>
      <c r="AA386" s="15"/>
      <c r="AC386" s="2"/>
      <c r="AE386" s="15"/>
      <c r="AG386" s="15"/>
      <c r="AJ386" s="2"/>
    </row>
    <row r="387" spans="4:36" s="20" customFormat="1" ht="15">
      <c r="D387" s="2"/>
      <c r="E387" s="2"/>
      <c r="F387" s="2"/>
      <c r="G387" s="2"/>
      <c r="H387" s="2"/>
      <c r="I387" s="2"/>
      <c r="K387" s="2"/>
      <c r="M387" s="15"/>
      <c r="O387" s="15"/>
      <c r="Q387" s="2"/>
      <c r="S387" s="15"/>
      <c r="U387" s="15"/>
      <c r="W387" s="2"/>
      <c r="Y387" s="15"/>
      <c r="AA387" s="15"/>
      <c r="AC387" s="2"/>
      <c r="AE387" s="15"/>
      <c r="AG387" s="15"/>
      <c r="AJ387" s="2"/>
    </row>
    <row r="388" spans="4:36" s="20" customFormat="1" ht="15">
      <c r="D388" s="2"/>
      <c r="E388" s="2"/>
      <c r="F388" s="2"/>
      <c r="G388" s="2"/>
      <c r="H388" s="2"/>
      <c r="I388" s="2"/>
      <c r="K388" s="2"/>
      <c r="M388" s="15"/>
      <c r="O388" s="15"/>
      <c r="Q388" s="2"/>
      <c r="S388" s="15"/>
      <c r="U388" s="15"/>
      <c r="W388" s="2"/>
      <c r="Y388" s="15"/>
      <c r="AA388" s="15"/>
      <c r="AC388" s="2"/>
      <c r="AE388" s="15"/>
      <c r="AG388" s="15"/>
      <c r="AJ388" s="2"/>
    </row>
    <row r="389" spans="4:36" s="20" customFormat="1" ht="15">
      <c r="D389" s="2"/>
      <c r="E389" s="2"/>
      <c r="F389" s="2"/>
      <c r="G389" s="2"/>
      <c r="H389" s="2"/>
      <c r="I389" s="2"/>
      <c r="K389" s="2"/>
      <c r="M389" s="15"/>
      <c r="O389" s="15"/>
      <c r="Q389" s="2"/>
      <c r="S389" s="15"/>
      <c r="U389" s="15"/>
      <c r="W389" s="2"/>
      <c r="Y389" s="15"/>
      <c r="AA389" s="15"/>
      <c r="AC389" s="2"/>
      <c r="AE389" s="15"/>
      <c r="AG389" s="15"/>
      <c r="AJ389" s="2"/>
    </row>
    <row r="390" spans="4:36" s="20" customFormat="1" ht="15">
      <c r="D390" s="2"/>
      <c r="E390" s="2"/>
      <c r="F390" s="2"/>
      <c r="G390" s="2"/>
      <c r="H390" s="2"/>
      <c r="I390" s="2"/>
      <c r="K390" s="2"/>
      <c r="M390" s="15"/>
      <c r="O390" s="15"/>
      <c r="Q390" s="2"/>
      <c r="S390" s="15"/>
      <c r="U390" s="15"/>
      <c r="W390" s="2"/>
      <c r="Y390" s="15"/>
      <c r="AA390" s="15"/>
      <c r="AC390" s="2"/>
      <c r="AE390" s="15"/>
      <c r="AG390" s="15"/>
      <c r="AJ390" s="2"/>
    </row>
    <row r="391" spans="4:36" s="20" customFormat="1" ht="15">
      <c r="D391" s="2"/>
      <c r="E391" s="2"/>
      <c r="F391" s="2"/>
      <c r="G391" s="2"/>
      <c r="H391" s="2"/>
      <c r="I391" s="2"/>
      <c r="K391" s="2"/>
      <c r="M391" s="15"/>
      <c r="O391" s="15"/>
      <c r="Q391" s="2"/>
      <c r="S391" s="15"/>
      <c r="U391" s="15"/>
      <c r="W391" s="2"/>
      <c r="Y391" s="15"/>
      <c r="AA391" s="15"/>
      <c r="AC391" s="2"/>
      <c r="AE391" s="15"/>
      <c r="AG391" s="15"/>
      <c r="AJ391" s="2"/>
    </row>
    <row r="392" spans="4:36" s="20" customFormat="1" ht="15">
      <c r="D392" s="2"/>
      <c r="E392" s="2"/>
      <c r="F392" s="2"/>
      <c r="G392" s="2"/>
      <c r="H392" s="2"/>
      <c r="I392" s="2"/>
      <c r="K392" s="2"/>
      <c r="M392" s="15"/>
      <c r="O392" s="15"/>
      <c r="Q392" s="2"/>
      <c r="S392" s="15"/>
      <c r="U392" s="15"/>
      <c r="W392" s="2"/>
      <c r="Y392" s="15"/>
      <c r="AA392" s="15"/>
      <c r="AC392" s="2"/>
      <c r="AE392" s="15"/>
      <c r="AG392" s="15"/>
      <c r="AJ392" s="2"/>
    </row>
    <row r="393" spans="4:36" s="20" customFormat="1" ht="15">
      <c r="D393" s="2"/>
      <c r="E393" s="2"/>
      <c r="F393" s="2"/>
      <c r="G393" s="2"/>
      <c r="H393" s="2"/>
      <c r="I393" s="2"/>
      <c r="K393" s="2"/>
      <c r="M393" s="15"/>
      <c r="O393" s="15"/>
      <c r="Q393" s="2"/>
      <c r="S393" s="15"/>
      <c r="U393" s="15"/>
      <c r="W393" s="2"/>
      <c r="Y393" s="15"/>
      <c r="AA393" s="15"/>
      <c r="AC393" s="2"/>
      <c r="AE393" s="15"/>
      <c r="AG393" s="15"/>
      <c r="AJ393" s="2"/>
    </row>
    <row r="394" spans="4:36" s="20" customFormat="1" ht="15">
      <c r="D394" s="2"/>
      <c r="E394" s="2"/>
      <c r="F394" s="2"/>
      <c r="G394" s="2"/>
      <c r="H394" s="2"/>
      <c r="I394" s="2"/>
      <c r="K394" s="2"/>
      <c r="M394" s="15"/>
      <c r="O394" s="15"/>
      <c r="Q394" s="2"/>
      <c r="S394" s="15"/>
      <c r="U394" s="15"/>
      <c r="W394" s="2"/>
      <c r="Y394" s="15"/>
      <c r="AA394" s="15"/>
      <c r="AC394" s="2"/>
      <c r="AE394" s="15"/>
      <c r="AG394" s="15"/>
      <c r="AJ394" s="2"/>
    </row>
    <row r="395" spans="4:36" s="20" customFormat="1" ht="15">
      <c r="D395" s="2"/>
      <c r="E395" s="2"/>
      <c r="F395" s="2"/>
      <c r="G395" s="2"/>
      <c r="H395" s="2"/>
      <c r="I395" s="2"/>
      <c r="K395" s="2"/>
      <c r="M395" s="15"/>
      <c r="O395" s="15"/>
      <c r="Q395" s="2"/>
      <c r="S395" s="15"/>
      <c r="U395" s="15"/>
      <c r="W395" s="2"/>
      <c r="Y395" s="15"/>
      <c r="AA395" s="15"/>
      <c r="AC395" s="2"/>
      <c r="AE395" s="15"/>
      <c r="AG395" s="15"/>
      <c r="AJ395" s="2"/>
    </row>
    <row r="396" spans="4:36" s="20" customFormat="1" ht="15">
      <c r="D396" s="2"/>
      <c r="E396" s="2"/>
      <c r="F396" s="2"/>
      <c r="G396" s="2"/>
      <c r="H396" s="2"/>
      <c r="I396" s="2"/>
      <c r="K396" s="2"/>
      <c r="M396" s="15"/>
      <c r="O396" s="15"/>
      <c r="Q396" s="2"/>
      <c r="S396" s="15"/>
      <c r="U396" s="15"/>
      <c r="W396" s="2"/>
      <c r="Y396" s="15"/>
      <c r="AA396" s="15"/>
      <c r="AC396" s="2"/>
      <c r="AE396" s="15"/>
      <c r="AG396" s="15"/>
      <c r="AJ396" s="2"/>
    </row>
    <row r="397" spans="4:36" s="20" customFormat="1" ht="15">
      <c r="D397" s="2"/>
      <c r="E397" s="2"/>
      <c r="F397" s="2"/>
      <c r="G397" s="2"/>
      <c r="H397" s="2"/>
      <c r="I397" s="2"/>
      <c r="K397" s="2"/>
      <c r="M397" s="15"/>
      <c r="O397" s="15"/>
      <c r="Q397" s="2"/>
      <c r="S397" s="15"/>
      <c r="U397" s="15"/>
      <c r="W397" s="2"/>
      <c r="Y397" s="15"/>
      <c r="AA397" s="15"/>
      <c r="AC397" s="2"/>
      <c r="AE397" s="15"/>
      <c r="AG397" s="15"/>
      <c r="AJ397" s="2"/>
    </row>
    <row r="398" spans="4:36" s="20" customFormat="1" ht="15">
      <c r="D398" s="2"/>
      <c r="E398" s="2"/>
      <c r="F398" s="2"/>
      <c r="G398" s="2"/>
      <c r="H398" s="2"/>
      <c r="I398" s="2"/>
      <c r="K398" s="2"/>
      <c r="M398" s="15"/>
      <c r="O398" s="15"/>
      <c r="Q398" s="2"/>
      <c r="S398" s="15"/>
      <c r="U398" s="15"/>
      <c r="W398" s="2"/>
      <c r="Y398" s="15"/>
      <c r="AA398" s="15"/>
      <c r="AC398" s="2"/>
      <c r="AE398" s="15"/>
      <c r="AG398" s="15"/>
      <c r="AJ398" s="2"/>
    </row>
    <row r="399" spans="4:36" s="20" customFormat="1" ht="15">
      <c r="D399" s="2"/>
      <c r="E399" s="2"/>
      <c r="F399" s="2"/>
      <c r="G399" s="2"/>
      <c r="H399" s="2"/>
      <c r="I399" s="2"/>
      <c r="K399" s="2"/>
      <c r="M399" s="15"/>
      <c r="O399" s="15"/>
      <c r="Q399" s="2"/>
      <c r="S399" s="15"/>
      <c r="U399" s="15"/>
      <c r="W399" s="2"/>
      <c r="Y399" s="15"/>
      <c r="AA399" s="15"/>
      <c r="AC399" s="2"/>
      <c r="AE399" s="15"/>
      <c r="AG399" s="15"/>
      <c r="AJ399" s="2"/>
    </row>
    <row r="400" spans="4:36" s="20" customFormat="1" ht="15">
      <c r="D400" s="2"/>
      <c r="E400" s="2"/>
      <c r="F400" s="2"/>
      <c r="G400" s="2"/>
      <c r="H400" s="2"/>
      <c r="I400" s="2"/>
      <c r="K400" s="2"/>
      <c r="M400" s="15"/>
      <c r="O400" s="15"/>
      <c r="Q400" s="2"/>
      <c r="S400" s="15"/>
      <c r="U400" s="15"/>
      <c r="W400" s="2"/>
      <c r="Y400" s="15"/>
      <c r="AA400" s="15"/>
      <c r="AC400" s="2"/>
      <c r="AE400" s="15"/>
      <c r="AG400" s="15"/>
      <c r="AJ400" s="2"/>
    </row>
    <row r="401" spans="4:36" s="20" customFormat="1" ht="15">
      <c r="D401" s="2"/>
      <c r="E401" s="2"/>
      <c r="F401" s="2"/>
      <c r="G401" s="2"/>
      <c r="H401" s="2"/>
      <c r="I401" s="2"/>
      <c r="K401" s="2"/>
      <c r="M401" s="15"/>
      <c r="O401" s="15"/>
      <c r="Q401" s="2"/>
      <c r="S401" s="15"/>
      <c r="U401" s="15"/>
      <c r="W401" s="2"/>
      <c r="Y401" s="15"/>
      <c r="AA401" s="15"/>
      <c r="AC401" s="2"/>
      <c r="AE401" s="15"/>
      <c r="AG401" s="15"/>
      <c r="AJ401" s="2"/>
    </row>
    <row r="402" spans="4:36" s="20" customFormat="1" ht="15">
      <c r="D402" s="2"/>
      <c r="E402" s="2"/>
      <c r="F402" s="2"/>
      <c r="G402" s="2"/>
      <c r="H402" s="2"/>
      <c r="I402" s="2"/>
      <c r="K402" s="2"/>
      <c r="M402" s="15"/>
      <c r="O402" s="15"/>
      <c r="Q402" s="2"/>
      <c r="S402" s="15"/>
      <c r="U402" s="15"/>
      <c r="W402" s="2"/>
      <c r="Y402" s="15"/>
      <c r="AA402" s="15"/>
      <c r="AC402" s="2"/>
      <c r="AE402" s="15"/>
      <c r="AG402" s="15"/>
      <c r="AJ402" s="2"/>
    </row>
    <row r="403" spans="4:36" s="20" customFormat="1" ht="15">
      <c r="D403" s="2"/>
      <c r="E403" s="2"/>
      <c r="F403" s="2"/>
      <c r="G403" s="2"/>
      <c r="H403" s="2"/>
      <c r="I403" s="2"/>
      <c r="K403" s="2"/>
      <c r="M403" s="15"/>
      <c r="O403" s="15"/>
      <c r="Q403" s="2"/>
      <c r="S403" s="15"/>
      <c r="U403" s="15"/>
      <c r="W403" s="2"/>
      <c r="Y403" s="15"/>
      <c r="AA403" s="15"/>
      <c r="AC403" s="2"/>
      <c r="AE403" s="15"/>
      <c r="AG403" s="15"/>
      <c r="AJ403" s="2"/>
    </row>
    <row r="404" spans="4:36" s="20" customFormat="1" ht="15">
      <c r="D404" s="2"/>
      <c r="E404" s="2"/>
      <c r="F404" s="2"/>
      <c r="G404" s="2"/>
      <c r="H404" s="2"/>
      <c r="I404" s="2"/>
      <c r="K404" s="2"/>
      <c r="M404" s="15"/>
      <c r="O404" s="15"/>
      <c r="Q404" s="2"/>
      <c r="S404" s="15"/>
      <c r="U404" s="15"/>
      <c r="W404" s="2"/>
      <c r="Y404" s="15"/>
      <c r="AA404" s="15"/>
      <c r="AC404" s="2"/>
      <c r="AE404" s="15"/>
      <c r="AG404" s="15"/>
      <c r="AJ404" s="2"/>
    </row>
    <row r="405" spans="4:36" s="20" customFormat="1" ht="15">
      <c r="D405" s="2"/>
      <c r="E405" s="2"/>
      <c r="F405" s="2"/>
      <c r="G405" s="2"/>
      <c r="H405" s="2"/>
      <c r="I405" s="2"/>
      <c r="K405" s="2"/>
      <c r="M405" s="15"/>
      <c r="O405" s="15"/>
      <c r="Q405" s="2"/>
      <c r="S405" s="15"/>
      <c r="U405" s="15"/>
      <c r="W405" s="2"/>
      <c r="Y405" s="15"/>
      <c r="AA405" s="15"/>
      <c r="AC405" s="2"/>
      <c r="AE405" s="15"/>
      <c r="AG405" s="15"/>
      <c r="AJ405" s="2"/>
    </row>
    <row r="406" spans="4:36" s="20" customFormat="1" ht="15">
      <c r="D406" s="2"/>
      <c r="E406" s="2"/>
      <c r="F406" s="2"/>
      <c r="G406" s="2"/>
      <c r="H406" s="2"/>
      <c r="I406" s="2"/>
      <c r="K406" s="2"/>
      <c r="M406" s="15"/>
      <c r="O406" s="15"/>
      <c r="Q406" s="2"/>
      <c r="S406" s="15"/>
      <c r="U406" s="15"/>
      <c r="W406" s="2"/>
      <c r="Y406" s="15"/>
      <c r="AA406" s="15"/>
      <c r="AC406" s="2"/>
      <c r="AE406" s="15"/>
      <c r="AG406" s="15"/>
      <c r="AJ406" s="2"/>
    </row>
    <row r="407" spans="4:36" s="20" customFormat="1" ht="15">
      <c r="D407" s="2"/>
      <c r="E407" s="2"/>
      <c r="F407" s="2"/>
      <c r="G407" s="2"/>
      <c r="H407" s="2"/>
      <c r="I407" s="2"/>
      <c r="K407" s="2"/>
      <c r="M407" s="15"/>
      <c r="O407" s="15"/>
      <c r="Q407" s="2"/>
      <c r="S407" s="15"/>
      <c r="U407" s="15"/>
      <c r="W407" s="2"/>
      <c r="Y407" s="15"/>
      <c r="AA407" s="15"/>
      <c r="AC407" s="2"/>
      <c r="AE407" s="15"/>
      <c r="AG407" s="15"/>
      <c r="AJ407" s="2"/>
    </row>
    <row r="408" spans="4:36" s="20" customFormat="1" ht="15">
      <c r="D408" s="2"/>
      <c r="E408" s="2"/>
      <c r="F408" s="2"/>
      <c r="G408" s="2"/>
      <c r="H408" s="2"/>
      <c r="I408" s="2"/>
      <c r="K408" s="2"/>
      <c r="M408" s="15"/>
      <c r="O408" s="15"/>
      <c r="Q408" s="2"/>
      <c r="S408" s="15"/>
      <c r="U408" s="15"/>
      <c r="W408" s="2"/>
      <c r="Y408" s="15"/>
      <c r="AA408" s="15"/>
      <c r="AC408" s="2"/>
      <c r="AE408" s="15"/>
      <c r="AG408" s="15"/>
      <c r="AJ408" s="2"/>
    </row>
    <row r="409" spans="4:36" s="20" customFormat="1" ht="15">
      <c r="D409" s="2"/>
      <c r="E409" s="2"/>
      <c r="F409" s="2"/>
      <c r="G409" s="2"/>
      <c r="H409" s="2"/>
      <c r="I409" s="2"/>
      <c r="K409" s="2"/>
      <c r="M409" s="15"/>
      <c r="O409" s="15"/>
      <c r="Q409" s="2"/>
      <c r="S409" s="15"/>
      <c r="U409" s="15"/>
      <c r="W409" s="2"/>
      <c r="Y409" s="15"/>
      <c r="AA409" s="15"/>
      <c r="AC409" s="2"/>
      <c r="AE409" s="15"/>
      <c r="AG409" s="15"/>
      <c r="AJ409" s="2"/>
    </row>
    <row r="410" spans="4:36" s="20" customFormat="1" ht="15">
      <c r="D410" s="2"/>
      <c r="E410" s="2"/>
      <c r="F410" s="2"/>
      <c r="G410" s="2"/>
      <c r="H410" s="2"/>
      <c r="I410" s="2"/>
      <c r="K410" s="2"/>
      <c r="M410" s="15"/>
      <c r="O410" s="15"/>
      <c r="Q410" s="2"/>
      <c r="S410" s="15"/>
      <c r="U410" s="15"/>
      <c r="W410" s="2"/>
      <c r="Y410" s="15"/>
      <c r="AA410" s="15"/>
      <c r="AC410" s="2"/>
      <c r="AE410" s="15"/>
      <c r="AG410" s="15"/>
      <c r="AJ410" s="2"/>
    </row>
    <row r="411" spans="4:36" s="20" customFormat="1" ht="15">
      <c r="D411" s="2"/>
      <c r="E411" s="2"/>
      <c r="F411" s="2"/>
      <c r="G411" s="2"/>
      <c r="H411" s="2"/>
      <c r="I411" s="2"/>
      <c r="K411" s="2"/>
      <c r="M411" s="15"/>
      <c r="O411" s="15"/>
      <c r="Q411" s="2"/>
      <c r="S411" s="15"/>
      <c r="U411" s="15"/>
      <c r="W411" s="2"/>
      <c r="Y411" s="15"/>
      <c r="AA411" s="15"/>
      <c r="AC411" s="2"/>
      <c r="AE411" s="15"/>
      <c r="AG411" s="15"/>
      <c r="AJ411" s="2"/>
    </row>
    <row r="412" spans="4:36" s="20" customFormat="1" ht="15">
      <c r="D412" s="2"/>
      <c r="E412" s="2"/>
      <c r="F412" s="2"/>
      <c r="G412" s="2"/>
      <c r="H412" s="2"/>
      <c r="I412" s="2"/>
      <c r="K412" s="2"/>
      <c r="M412" s="15"/>
      <c r="O412" s="15"/>
      <c r="Q412" s="2"/>
      <c r="S412" s="15"/>
      <c r="U412" s="15"/>
      <c r="W412" s="2"/>
      <c r="Y412" s="15"/>
      <c r="AA412" s="15"/>
      <c r="AC412" s="2"/>
      <c r="AE412" s="15"/>
      <c r="AG412" s="15"/>
      <c r="AJ412" s="2"/>
    </row>
    <row r="413" spans="4:36" s="20" customFormat="1" ht="15">
      <c r="D413" s="2"/>
      <c r="E413" s="2"/>
      <c r="F413" s="2"/>
      <c r="G413" s="2"/>
      <c r="H413" s="2"/>
      <c r="I413" s="2"/>
      <c r="K413" s="2"/>
      <c r="M413" s="15"/>
      <c r="O413" s="15"/>
      <c r="Q413" s="2"/>
      <c r="S413" s="15"/>
      <c r="U413" s="15"/>
      <c r="W413" s="2"/>
      <c r="Y413" s="15"/>
      <c r="AA413" s="15"/>
      <c r="AC413" s="2"/>
      <c r="AE413" s="15"/>
      <c r="AG413" s="15"/>
      <c r="AJ413" s="2"/>
    </row>
    <row r="414" spans="4:36" s="20" customFormat="1" ht="15">
      <c r="D414" s="2"/>
      <c r="E414" s="2"/>
      <c r="F414" s="2"/>
      <c r="G414" s="2"/>
      <c r="H414" s="2"/>
      <c r="I414" s="2"/>
      <c r="K414" s="2"/>
      <c r="M414" s="15"/>
      <c r="O414" s="15"/>
      <c r="Q414" s="2"/>
      <c r="S414" s="15"/>
      <c r="U414" s="15"/>
      <c r="W414" s="2"/>
      <c r="Y414" s="15"/>
      <c r="AA414" s="15"/>
      <c r="AC414" s="2"/>
      <c r="AE414" s="15"/>
      <c r="AG414" s="15"/>
      <c r="AJ414" s="2"/>
    </row>
    <row r="415" spans="4:36" s="20" customFormat="1" ht="15">
      <c r="D415" s="2"/>
      <c r="E415" s="2"/>
      <c r="F415" s="2"/>
      <c r="G415" s="2"/>
      <c r="H415" s="2"/>
      <c r="I415" s="2"/>
      <c r="K415" s="2"/>
      <c r="M415" s="15"/>
      <c r="O415" s="15"/>
      <c r="Q415" s="2"/>
      <c r="S415" s="15"/>
      <c r="U415" s="15"/>
      <c r="W415" s="2"/>
      <c r="Y415" s="15"/>
      <c r="AA415" s="15"/>
      <c r="AC415" s="2"/>
      <c r="AE415" s="15"/>
      <c r="AG415" s="15"/>
      <c r="AJ415" s="2"/>
    </row>
    <row r="416" spans="4:36" s="20" customFormat="1" ht="15">
      <c r="D416" s="2"/>
      <c r="E416" s="2"/>
      <c r="F416" s="2"/>
      <c r="G416" s="2"/>
      <c r="H416" s="2"/>
      <c r="I416" s="2"/>
      <c r="K416" s="2"/>
      <c r="M416" s="15"/>
      <c r="O416" s="15"/>
      <c r="Q416" s="2"/>
      <c r="S416" s="15"/>
      <c r="U416" s="15"/>
      <c r="W416" s="2"/>
      <c r="Y416" s="15"/>
      <c r="AA416" s="15"/>
      <c r="AC416" s="2"/>
      <c r="AE416" s="15"/>
      <c r="AG416" s="15"/>
      <c r="AJ416" s="2"/>
    </row>
    <row r="417" spans="4:36" s="20" customFormat="1" ht="15">
      <c r="D417" s="2"/>
      <c r="E417" s="2"/>
      <c r="F417" s="2"/>
      <c r="G417" s="2"/>
      <c r="H417" s="2"/>
      <c r="I417" s="2"/>
      <c r="K417" s="2"/>
      <c r="M417" s="15"/>
      <c r="O417" s="15"/>
      <c r="Q417" s="2"/>
      <c r="S417" s="15"/>
      <c r="U417" s="15"/>
      <c r="W417" s="2"/>
      <c r="Y417" s="15"/>
      <c r="AA417" s="15"/>
      <c r="AC417" s="2"/>
      <c r="AE417" s="15"/>
      <c r="AG417" s="15"/>
      <c r="AJ417" s="2"/>
    </row>
    <row r="418" spans="4:36" s="20" customFormat="1" ht="15">
      <c r="D418" s="2"/>
      <c r="E418" s="2"/>
      <c r="F418" s="2"/>
      <c r="G418" s="2"/>
      <c r="H418" s="2"/>
      <c r="I418" s="2"/>
      <c r="K418" s="2"/>
      <c r="M418" s="15"/>
      <c r="O418" s="15"/>
      <c r="Q418" s="2"/>
      <c r="S418" s="15"/>
      <c r="U418" s="15"/>
      <c r="W418" s="2"/>
      <c r="Y418" s="15"/>
      <c r="AA418" s="15"/>
      <c r="AC418" s="2"/>
      <c r="AE418" s="15"/>
      <c r="AG418" s="15"/>
      <c r="AJ418" s="2"/>
    </row>
    <row r="419" spans="4:36" s="20" customFormat="1" ht="15">
      <c r="D419" s="2"/>
      <c r="E419" s="2"/>
      <c r="F419" s="2"/>
      <c r="G419" s="2"/>
      <c r="H419" s="2"/>
      <c r="I419" s="2"/>
      <c r="K419" s="2"/>
      <c r="M419" s="15"/>
      <c r="O419" s="15"/>
      <c r="Q419" s="2"/>
      <c r="S419" s="15"/>
      <c r="U419" s="15"/>
      <c r="W419" s="2"/>
      <c r="Y419" s="15"/>
      <c r="AA419" s="15"/>
      <c r="AC419" s="2"/>
      <c r="AE419" s="15"/>
      <c r="AG419" s="15"/>
      <c r="AJ419" s="2"/>
    </row>
    <row r="420" spans="4:36" s="20" customFormat="1" ht="15">
      <c r="D420" s="2"/>
      <c r="E420" s="2"/>
      <c r="F420" s="2"/>
      <c r="G420" s="2"/>
      <c r="H420" s="2"/>
      <c r="I420" s="2"/>
      <c r="K420" s="2"/>
      <c r="M420" s="15"/>
      <c r="O420" s="15"/>
      <c r="Q420" s="2"/>
      <c r="S420" s="15"/>
      <c r="U420" s="15"/>
      <c r="W420" s="2"/>
      <c r="Y420" s="15"/>
      <c r="AA420" s="15"/>
      <c r="AC420" s="2"/>
      <c r="AE420" s="15"/>
      <c r="AG420" s="15"/>
      <c r="AJ420" s="2"/>
    </row>
    <row r="421" spans="4:36" s="20" customFormat="1" ht="15">
      <c r="D421" s="2"/>
      <c r="E421" s="2"/>
      <c r="F421" s="2"/>
      <c r="G421" s="2"/>
      <c r="H421" s="2"/>
      <c r="I421" s="2"/>
      <c r="K421" s="2"/>
      <c r="M421" s="15"/>
      <c r="O421" s="15"/>
      <c r="Q421" s="2"/>
      <c r="S421" s="15"/>
      <c r="U421" s="15"/>
      <c r="W421" s="2"/>
      <c r="Y421" s="15"/>
      <c r="AA421" s="15"/>
      <c r="AC421" s="2"/>
      <c r="AE421" s="15"/>
      <c r="AG421" s="15"/>
      <c r="AJ421" s="2"/>
    </row>
    <row r="422" spans="4:36" s="20" customFormat="1" ht="15">
      <c r="D422" s="2"/>
      <c r="E422" s="2"/>
      <c r="F422" s="2"/>
      <c r="G422" s="2"/>
      <c r="H422" s="2"/>
      <c r="I422" s="2"/>
      <c r="K422" s="2"/>
      <c r="M422" s="15"/>
      <c r="O422" s="15"/>
      <c r="Q422" s="2"/>
      <c r="S422" s="15"/>
      <c r="U422" s="15"/>
      <c r="W422" s="2"/>
      <c r="Y422" s="15"/>
      <c r="AA422" s="15"/>
      <c r="AC422" s="2"/>
      <c r="AE422" s="15"/>
      <c r="AG422" s="15"/>
      <c r="AJ422" s="2"/>
    </row>
    <row r="423" spans="4:36" s="20" customFormat="1" ht="15">
      <c r="D423" s="2"/>
      <c r="E423" s="2"/>
      <c r="F423" s="2"/>
      <c r="G423" s="2"/>
      <c r="H423" s="2"/>
      <c r="I423" s="2"/>
      <c r="K423" s="2"/>
      <c r="M423" s="15"/>
      <c r="O423" s="15"/>
      <c r="Q423" s="2"/>
      <c r="S423" s="15"/>
      <c r="U423" s="15"/>
      <c r="W423" s="2"/>
      <c r="Y423" s="15"/>
      <c r="AA423" s="15"/>
      <c r="AC423" s="2"/>
      <c r="AE423" s="15"/>
      <c r="AG423" s="15"/>
      <c r="AJ423" s="2"/>
    </row>
    <row r="424" spans="4:36" s="20" customFormat="1" ht="15">
      <c r="D424" s="2"/>
      <c r="E424" s="2"/>
      <c r="F424" s="2"/>
      <c r="G424" s="2"/>
      <c r="H424" s="2"/>
      <c r="I424" s="2"/>
      <c r="K424" s="2"/>
      <c r="M424" s="15"/>
      <c r="O424" s="15"/>
      <c r="Q424" s="2"/>
      <c r="S424" s="15"/>
      <c r="U424" s="15"/>
      <c r="W424" s="2"/>
      <c r="Y424" s="15"/>
      <c r="AA424" s="15"/>
      <c r="AC424" s="2"/>
      <c r="AE424" s="15"/>
      <c r="AG424" s="15"/>
      <c r="AJ424" s="2"/>
    </row>
    <row r="425" spans="4:36" s="20" customFormat="1" ht="15">
      <c r="D425" s="2"/>
      <c r="E425" s="2"/>
      <c r="F425" s="2"/>
      <c r="G425" s="2"/>
      <c r="H425" s="2"/>
      <c r="I425" s="2"/>
      <c r="K425" s="2"/>
      <c r="M425" s="15"/>
      <c r="O425" s="15"/>
      <c r="Q425" s="2"/>
      <c r="S425" s="15"/>
      <c r="U425" s="15"/>
      <c r="W425" s="2"/>
      <c r="Y425" s="15"/>
      <c r="AA425" s="15"/>
      <c r="AC425" s="2"/>
      <c r="AE425" s="15"/>
      <c r="AG425" s="15"/>
      <c r="AJ425" s="2"/>
    </row>
    <row r="426" spans="4:36" s="20" customFormat="1" ht="15">
      <c r="D426" s="2"/>
      <c r="E426" s="2"/>
      <c r="F426" s="2"/>
      <c r="G426" s="2"/>
      <c r="H426" s="2"/>
      <c r="I426" s="2"/>
      <c r="K426" s="2"/>
      <c r="M426" s="15"/>
      <c r="O426" s="15"/>
      <c r="Q426" s="2"/>
      <c r="S426" s="15"/>
      <c r="U426" s="15"/>
      <c r="W426" s="2"/>
      <c r="Y426" s="15"/>
      <c r="AA426" s="15"/>
      <c r="AC426" s="2"/>
      <c r="AE426" s="15"/>
      <c r="AG426" s="15"/>
      <c r="AJ426" s="2"/>
    </row>
    <row r="427" spans="4:36" s="20" customFormat="1" ht="15">
      <c r="D427" s="2"/>
      <c r="E427" s="2"/>
      <c r="F427" s="2"/>
      <c r="G427" s="2"/>
      <c r="H427" s="2"/>
      <c r="I427" s="2"/>
      <c r="K427" s="2"/>
      <c r="M427" s="15"/>
      <c r="O427" s="15"/>
      <c r="Q427" s="2"/>
      <c r="S427" s="15"/>
      <c r="U427" s="15"/>
      <c r="W427" s="2"/>
      <c r="Y427" s="15"/>
      <c r="AA427" s="15"/>
      <c r="AC427" s="2"/>
      <c r="AE427" s="15"/>
      <c r="AG427" s="15"/>
      <c r="AJ427" s="2"/>
    </row>
    <row r="428" spans="4:36" s="20" customFormat="1" ht="15">
      <c r="D428" s="2"/>
      <c r="E428" s="2"/>
      <c r="F428" s="2"/>
      <c r="G428" s="2"/>
      <c r="H428" s="2"/>
      <c r="I428" s="2"/>
      <c r="K428" s="2"/>
      <c r="M428" s="15"/>
      <c r="O428" s="15"/>
      <c r="Q428" s="2"/>
      <c r="S428" s="15"/>
      <c r="U428" s="15"/>
      <c r="W428" s="2"/>
      <c r="Y428" s="15"/>
      <c r="AA428" s="15"/>
      <c r="AC428" s="2"/>
      <c r="AE428" s="15"/>
      <c r="AG428" s="15"/>
      <c r="AJ428" s="2"/>
    </row>
    <row r="429" spans="4:36" s="20" customFormat="1" ht="15">
      <c r="D429" s="2"/>
      <c r="E429" s="2"/>
      <c r="F429" s="2"/>
      <c r="G429" s="2"/>
      <c r="H429" s="2"/>
      <c r="I429" s="2"/>
      <c r="K429" s="2"/>
      <c r="M429" s="15"/>
      <c r="O429" s="15"/>
      <c r="Q429" s="2"/>
      <c r="S429" s="15"/>
      <c r="U429" s="15"/>
      <c r="W429" s="2"/>
      <c r="Y429" s="15"/>
      <c r="AA429" s="15"/>
      <c r="AC429" s="2"/>
      <c r="AE429" s="15"/>
      <c r="AG429" s="15"/>
      <c r="AJ429" s="2"/>
    </row>
    <row r="430" spans="4:36" s="20" customFormat="1" ht="15">
      <c r="D430" s="2"/>
      <c r="E430" s="2"/>
      <c r="F430" s="2"/>
      <c r="G430" s="2"/>
      <c r="H430" s="2"/>
      <c r="I430" s="2"/>
      <c r="K430" s="2"/>
      <c r="M430" s="15"/>
      <c r="O430" s="15"/>
      <c r="Q430" s="2"/>
      <c r="S430" s="15"/>
      <c r="U430" s="15"/>
      <c r="W430" s="2"/>
      <c r="Y430" s="15"/>
      <c r="AA430" s="15"/>
      <c r="AC430" s="2"/>
      <c r="AE430" s="15"/>
      <c r="AG430" s="15"/>
      <c r="AJ430" s="2"/>
    </row>
    <row r="431" spans="4:36" s="20" customFormat="1" ht="15">
      <c r="D431" s="2"/>
      <c r="E431" s="2"/>
      <c r="F431" s="2"/>
      <c r="G431" s="2"/>
      <c r="H431" s="2"/>
      <c r="I431" s="2"/>
      <c r="K431" s="2"/>
      <c r="M431" s="15"/>
      <c r="O431" s="15"/>
      <c r="Q431" s="2"/>
      <c r="S431" s="15"/>
      <c r="U431" s="15"/>
      <c r="W431" s="2"/>
      <c r="Y431" s="15"/>
      <c r="AA431" s="15"/>
      <c r="AC431" s="2"/>
      <c r="AE431" s="15"/>
      <c r="AG431" s="15"/>
      <c r="AJ431" s="2"/>
    </row>
    <row r="432" spans="4:36" s="20" customFormat="1" ht="15">
      <c r="D432" s="2"/>
      <c r="E432" s="2"/>
      <c r="F432" s="2"/>
      <c r="G432" s="2"/>
      <c r="H432" s="2"/>
      <c r="I432" s="2"/>
      <c r="K432" s="2"/>
      <c r="M432" s="15"/>
      <c r="O432" s="15"/>
      <c r="Q432" s="2"/>
      <c r="S432" s="15"/>
      <c r="U432" s="15"/>
      <c r="W432" s="2"/>
      <c r="Y432" s="15"/>
      <c r="AA432" s="15"/>
      <c r="AC432" s="2"/>
      <c r="AE432" s="15"/>
      <c r="AG432" s="15"/>
      <c r="AJ432" s="2"/>
    </row>
    <row r="433" spans="4:36" s="20" customFormat="1" ht="15">
      <c r="D433" s="2"/>
      <c r="E433" s="2"/>
      <c r="F433" s="2"/>
      <c r="G433" s="2"/>
      <c r="H433" s="2"/>
      <c r="I433" s="2"/>
      <c r="K433" s="2"/>
      <c r="M433" s="15"/>
      <c r="O433" s="15"/>
      <c r="Q433" s="2"/>
      <c r="S433" s="15"/>
      <c r="U433" s="15"/>
      <c r="W433" s="2"/>
      <c r="Y433" s="15"/>
      <c r="AA433" s="15"/>
      <c r="AC433" s="2"/>
      <c r="AE433" s="15"/>
      <c r="AG433" s="15"/>
      <c r="AJ433" s="2"/>
    </row>
    <row r="434" spans="4:36" s="20" customFormat="1" ht="15">
      <c r="D434" s="2"/>
      <c r="E434" s="2"/>
      <c r="F434" s="2"/>
      <c r="G434" s="2"/>
      <c r="H434" s="2"/>
      <c r="I434" s="2"/>
      <c r="K434" s="2"/>
      <c r="M434" s="15"/>
      <c r="O434" s="15"/>
      <c r="Q434" s="2"/>
      <c r="S434" s="15"/>
      <c r="U434" s="15"/>
      <c r="W434" s="2"/>
      <c r="Y434" s="15"/>
      <c r="AA434" s="15"/>
      <c r="AC434" s="2"/>
      <c r="AE434" s="15"/>
      <c r="AG434" s="15"/>
      <c r="AJ434" s="2"/>
    </row>
    <row r="435" spans="4:36" s="20" customFormat="1" ht="15">
      <c r="D435" s="2"/>
      <c r="E435" s="2"/>
      <c r="F435" s="2"/>
      <c r="G435" s="2"/>
      <c r="H435" s="2"/>
      <c r="I435" s="2"/>
      <c r="K435" s="2"/>
      <c r="M435" s="15"/>
      <c r="O435" s="15"/>
      <c r="Q435" s="2"/>
      <c r="S435" s="15"/>
      <c r="U435" s="15"/>
      <c r="W435" s="2"/>
      <c r="Y435" s="15"/>
      <c r="AA435" s="15"/>
      <c r="AC435" s="2"/>
      <c r="AE435" s="15"/>
      <c r="AG435" s="15"/>
      <c r="AJ435" s="2"/>
    </row>
    <row r="436" spans="4:36" s="20" customFormat="1" ht="15">
      <c r="D436" s="2"/>
      <c r="E436" s="2"/>
      <c r="F436" s="2"/>
      <c r="G436" s="2"/>
      <c r="H436" s="2"/>
      <c r="I436" s="2"/>
      <c r="K436" s="2"/>
      <c r="M436" s="15"/>
      <c r="O436" s="15"/>
      <c r="Q436" s="2"/>
      <c r="S436" s="15"/>
      <c r="U436" s="15"/>
      <c r="W436" s="2"/>
      <c r="Y436" s="15"/>
      <c r="AA436" s="15"/>
      <c r="AC436" s="2"/>
      <c r="AE436" s="15"/>
      <c r="AG436" s="15"/>
      <c r="AJ436" s="2"/>
    </row>
    <row r="437" spans="4:36" s="20" customFormat="1" ht="15">
      <c r="D437" s="2"/>
      <c r="E437" s="2"/>
      <c r="F437" s="2"/>
      <c r="G437" s="2"/>
      <c r="H437" s="2"/>
      <c r="I437" s="2"/>
      <c r="K437" s="2"/>
      <c r="M437" s="15"/>
      <c r="O437" s="15"/>
      <c r="Q437" s="2"/>
      <c r="S437" s="15"/>
      <c r="U437" s="15"/>
      <c r="W437" s="2"/>
      <c r="Y437" s="15"/>
      <c r="AA437" s="15"/>
      <c r="AC437" s="2"/>
      <c r="AE437" s="15"/>
      <c r="AG437" s="15"/>
      <c r="AJ437" s="2"/>
    </row>
    <row r="438" spans="4:36" s="20" customFormat="1" ht="15">
      <c r="D438" s="2"/>
      <c r="E438" s="2"/>
      <c r="F438" s="2"/>
      <c r="G438" s="2"/>
      <c r="H438" s="2"/>
      <c r="I438" s="2"/>
      <c r="K438" s="2"/>
      <c r="M438" s="15"/>
      <c r="O438" s="15"/>
      <c r="Q438" s="2"/>
      <c r="S438" s="15"/>
      <c r="U438" s="15"/>
      <c r="W438" s="2"/>
      <c r="Y438" s="15"/>
      <c r="AA438" s="15"/>
      <c r="AC438" s="2"/>
      <c r="AE438" s="15"/>
      <c r="AG438" s="15"/>
      <c r="AJ438" s="2"/>
    </row>
    <row r="439" spans="4:36" s="20" customFormat="1" ht="15">
      <c r="D439" s="2"/>
      <c r="E439" s="2"/>
      <c r="F439" s="2"/>
      <c r="G439" s="2"/>
      <c r="H439" s="2"/>
      <c r="I439" s="2"/>
      <c r="K439" s="2"/>
      <c r="M439" s="15"/>
      <c r="O439" s="15"/>
      <c r="Q439" s="2"/>
      <c r="S439" s="15"/>
      <c r="U439" s="15"/>
      <c r="W439" s="2"/>
      <c r="Y439" s="15"/>
      <c r="AA439" s="15"/>
      <c r="AC439" s="2"/>
      <c r="AE439" s="15"/>
      <c r="AG439" s="15"/>
      <c r="AJ439" s="2"/>
    </row>
    <row r="440" spans="4:36" s="20" customFormat="1" ht="15">
      <c r="D440" s="2"/>
      <c r="E440" s="2"/>
      <c r="F440" s="2"/>
      <c r="G440" s="2"/>
      <c r="H440" s="2"/>
      <c r="I440" s="2"/>
      <c r="K440" s="2"/>
      <c r="M440" s="15"/>
      <c r="O440" s="15"/>
      <c r="Q440" s="2"/>
      <c r="S440" s="15"/>
      <c r="U440" s="15"/>
      <c r="W440" s="2"/>
      <c r="Y440" s="15"/>
      <c r="AA440" s="15"/>
      <c r="AC440" s="2"/>
      <c r="AE440" s="15"/>
      <c r="AG440" s="15"/>
      <c r="AJ440" s="2"/>
    </row>
    <row r="441" spans="4:36" s="20" customFormat="1" ht="15">
      <c r="D441" s="2"/>
      <c r="E441" s="2"/>
      <c r="F441" s="2"/>
      <c r="G441" s="2"/>
      <c r="H441" s="2"/>
      <c r="I441" s="2"/>
      <c r="K441" s="2"/>
      <c r="M441" s="15"/>
      <c r="O441" s="15"/>
      <c r="Q441" s="2"/>
      <c r="S441" s="15"/>
      <c r="U441" s="15"/>
      <c r="W441" s="2"/>
      <c r="Y441" s="15"/>
      <c r="AA441" s="15"/>
      <c r="AC441" s="2"/>
      <c r="AE441" s="15"/>
      <c r="AG441" s="15"/>
      <c r="AJ441" s="2"/>
    </row>
    <row r="442" spans="4:36" s="20" customFormat="1" ht="15">
      <c r="D442" s="2"/>
      <c r="E442" s="2"/>
      <c r="F442" s="2"/>
      <c r="G442" s="2"/>
      <c r="H442" s="2"/>
      <c r="I442" s="2"/>
      <c r="K442" s="2"/>
      <c r="M442" s="15"/>
      <c r="O442" s="15"/>
      <c r="Q442" s="2"/>
      <c r="S442" s="15"/>
      <c r="U442" s="15"/>
      <c r="W442" s="2"/>
      <c r="Y442" s="15"/>
      <c r="AA442" s="15"/>
      <c r="AC442" s="2"/>
      <c r="AE442" s="15"/>
      <c r="AG442" s="15"/>
      <c r="AJ442" s="2"/>
    </row>
    <row r="443" spans="4:36" s="20" customFormat="1" ht="15">
      <c r="D443" s="2"/>
      <c r="E443" s="2"/>
      <c r="F443" s="2"/>
      <c r="G443" s="2"/>
      <c r="H443" s="2"/>
      <c r="I443" s="2"/>
      <c r="K443" s="2"/>
      <c r="M443" s="15"/>
      <c r="O443" s="15"/>
      <c r="Q443" s="2"/>
      <c r="S443" s="15"/>
      <c r="U443" s="15"/>
      <c r="W443" s="2"/>
      <c r="Y443" s="15"/>
      <c r="AA443" s="15"/>
      <c r="AC443" s="2"/>
      <c r="AE443" s="15"/>
      <c r="AG443" s="15"/>
      <c r="AJ443" s="2"/>
    </row>
    <row r="444" spans="4:36" s="20" customFormat="1" ht="15">
      <c r="D444" s="2"/>
      <c r="E444" s="2"/>
      <c r="F444" s="2"/>
      <c r="G444" s="2"/>
      <c r="H444" s="2"/>
      <c r="I444" s="2"/>
      <c r="K444" s="2"/>
      <c r="M444" s="15"/>
      <c r="O444" s="15"/>
      <c r="Q444" s="2"/>
      <c r="S444" s="15"/>
      <c r="U444" s="15"/>
      <c r="W444" s="2"/>
      <c r="Y444" s="15"/>
      <c r="AA444" s="15"/>
      <c r="AC444" s="2"/>
      <c r="AE444" s="15"/>
      <c r="AG444" s="15"/>
      <c r="AJ444" s="2"/>
    </row>
    <row r="445" spans="4:36" s="20" customFormat="1" ht="15">
      <c r="D445" s="2"/>
      <c r="E445" s="2"/>
      <c r="F445" s="2"/>
      <c r="G445" s="2"/>
      <c r="H445" s="2"/>
      <c r="I445" s="2"/>
      <c r="K445" s="2"/>
      <c r="M445" s="15"/>
      <c r="O445" s="15"/>
      <c r="Q445" s="2"/>
      <c r="S445" s="15"/>
      <c r="U445" s="15"/>
      <c r="W445" s="2"/>
      <c r="Y445" s="15"/>
      <c r="AA445" s="15"/>
      <c r="AC445" s="2"/>
      <c r="AE445" s="15"/>
      <c r="AG445" s="15"/>
      <c r="AJ445" s="2"/>
    </row>
    <row r="446" spans="4:36" s="20" customFormat="1" ht="15">
      <c r="D446" s="2"/>
      <c r="E446" s="2"/>
      <c r="F446" s="2"/>
      <c r="G446" s="2"/>
      <c r="H446" s="2"/>
      <c r="I446" s="2"/>
      <c r="K446" s="2"/>
      <c r="M446" s="15"/>
      <c r="O446" s="15"/>
      <c r="Q446" s="2"/>
      <c r="S446" s="15"/>
      <c r="U446" s="15"/>
      <c r="W446" s="2"/>
      <c r="Y446" s="15"/>
      <c r="AA446" s="15"/>
      <c r="AC446" s="2"/>
      <c r="AE446" s="15"/>
      <c r="AG446" s="15"/>
      <c r="AJ446" s="2"/>
    </row>
    <row r="447" spans="4:36" s="20" customFormat="1" ht="15">
      <c r="D447" s="2"/>
      <c r="E447" s="2"/>
      <c r="F447" s="2"/>
      <c r="G447" s="2"/>
      <c r="H447" s="2"/>
      <c r="I447" s="2"/>
      <c r="K447" s="2"/>
      <c r="M447" s="15"/>
      <c r="O447" s="15"/>
      <c r="Q447" s="2"/>
      <c r="S447" s="15"/>
      <c r="U447" s="15"/>
      <c r="W447" s="2"/>
      <c r="Y447" s="15"/>
      <c r="AA447" s="15"/>
      <c r="AC447" s="2"/>
      <c r="AE447" s="15"/>
      <c r="AG447" s="15"/>
      <c r="AJ447" s="2"/>
    </row>
    <row r="448" spans="4:36" s="20" customFormat="1" ht="15">
      <c r="D448" s="2"/>
      <c r="E448" s="2"/>
      <c r="F448" s="2"/>
      <c r="G448" s="2"/>
      <c r="H448" s="2"/>
      <c r="I448" s="2"/>
      <c r="K448" s="2"/>
      <c r="M448" s="15"/>
      <c r="O448" s="15"/>
      <c r="Q448" s="2"/>
      <c r="S448" s="15"/>
      <c r="U448" s="15"/>
      <c r="W448" s="2"/>
      <c r="Y448" s="15"/>
      <c r="AA448" s="15"/>
      <c r="AC448" s="2"/>
      <c r="AE448" s="15"/>
      <c r="AG448" s="15"/>
      <c r="AJ448" s="2"/>
    </row>
    <row r="449" spans="4:36" s="20" customFormat="1" ht="15">
      <c r="D449" s="2"/>
      <c r="E449" s="2"/>
      <c r="F449" s="2"/>
      <c r="G449" s="2"/>
      <c r="H449" s="2"/>
      <c r="I449" s="2"/>
      <c r="K449" s="2"/>
      <c r="M449" s="15"/>
      <c r="O449" s="15"/>
      <c r="Q449" s="2"/>
      <c r="S449" s="15"/>
      <c r="U449" s="15"/>
      <c r="W449" s="2"/>
      <c r="Y449" s="15"/>
      <c r="AA449" s="15"/>
      <c r="AC449" s="2"/>
      <c r="AE449" s="15"/>
      <c r="AG449" s="15"/>
      <c r="AJ449" s="2"/>
    </row>
    <row r="450" spans="4:36" s="20" customFormat="1" ht="15">
      <c r="D450" s="2"/>
      <c r="E450" s="2"/>
      <c r="F450" s="2"/>
      <c r="G450" s="2"/>
      <c r="H450" s="2"/>
      <c r="I450" s="2"/>
      <c r="K450" s="2"/>
      <c r="M450" s="15"/>
      <c r="O450" s="15"/>
      <c r="Q450" s="2"/>
      <c r="S450" s="15"/>
      <c r="U450" s="15"/>
      <c r="W450" s="2"/>
      <c r="Y450" s="15"/>
      <c r="AA450" s="15"/>
      <c r="AC450" s="2"/>
      <c r="AE450" s="15"/>
      <c r="AG450" s="15"/>
      <c r="AJ450" s="2"/>
    </row>
    <row r="451" spans="4:36" s="20" customFormat="1" ht="15">
      <c r="D451" s="2"/>
      <c r="E451" s="2"/>
      <c r="F451" s="2"/>
      <c r="G451" s="2"/>
      <c r="H451" s="2"/>
      <c r="I451" s="2"/>
      <c r="K451" s="2"/>
      <c r="M451" s="15"/>
      <c r="O451" s="15"/>
      <c r="Q451" s="2"/>
      <c r="S451" s="15"/>
      <c r="U451" s="15"/>
      <c r="W451" s="2"/>
      <c r="Y451" s="15"/>
      <c r="AA451" s="15"/>
      <c r="AC451" s="2"/>
      <c r="AE451" s="15"/>
      <c r="AG451" s="15"/>
      <c r="AJ451" s="2"/>
    </row>
    <row r="452" spans="4:36" s="20" customFormat="1" ht="15">
      <c r="D452" s="2"/>
      <c r="E452" s="2"/>
      <c r="F452" s="2"/>
      <c r="G452" s="2"/>
      <c r="H452" s="2"/>
      <c r="I452" s="2"/>
      <c r="K452" s="2"/>
      <c r="M452" s="15"/>
      <c r="O452" s="15"/>
      <c r="Q452" s="2"/>
      <c r="S452" s="15"/>
      <c r="U452" s="15"/>
      <c r="W452" s="2"/>
      <c r="Y452" s="15"/>
      <c r="AA452" s="15"/>
      <c r="AC452" s="2"/>
      <c r="AE452" s="15"/>
      <c r="AG452" s="15"/>
      <c r="AJ452" s="2"/>
    </row>
    <row r="453" spans="4:36" s="20" customFormat="1" ht="15">
      <c r="D453" s="2"/>
      <c r="E453" s="2"/>
      <c r="F453" s="2"/>
      <c r="G453" s="2"/>
      <c r="H453" s="2"/>
      <c r="I453" s="2"/>
      <c r="K453" s="2"/>
      <c r="M453" s="15"/>
      <c r="O453" s="15"/>
      <c r="Q453" s="2"/>
      <c r="S453" s="15"/>
      <c r="U453" s="15"/>
      <c r="W453" s="2"/>
      <c r="Y453" s="15"/>
      <c r="AA453" s="15"/>
      <c r="AC453" s="2"/>
      <c r="AE453" s="15"/>
      <c r="AG453" s="15"/>
      <c r="AJ453" s="2"/>
    </row>
    <row r="454" spans="4:36" s="20" customFormat="1" ht="15">
      <c r="D454" s="2"/>
      <c r="E454" s="2"/>
      <c r="F454" s="2"/>
      <c r="G454" s="2"/>
      <c r="H454" s="2"/>
      <c r="I454" s="2"/>
      <c r="K454" s="2"/>
      <c r="M454" s="15"/>
      <c r="O454" s="15"/>
      <c r="Q454" s="2"/>
      <c r="S454" s="15"/>
      <c r="U454" s="15"/>
      <c r="W454" s="2"/>
      <c r="Y454" s="15"/>
      <c r="AA454" s="15"/>
      <c r="AC454" s="2"/>
      <c r="AE454" s="15"/>
      <c r="AG454" s="15"/>
      <c r="AJ454" s="2"/>
    </row>
    <row r="455" spans="4:36" s="20" customFormat="1" ht="15">
      <c r="D455" s="2"/>
      <c r="E455" s="2"/>
      <c r="F455" s="2"/>
      <c r="G455" s="2"/>
      <c r="H455" s="2"/>
      <c r="I455" s="2"/>
      <c r="K455" s="2"/>
      <c r="M455" s="15"/>
      <c r="O455" s="15"/>
      <c r="Q455" s="2"/>
      <c r="S455" s="15"/>
      <c r="U455" s="15"/>
      <c r="W455" s="2"/>
      <c r="Y455" s="15"/>
      <c r="AA455" s="15"/>
      <c r="AC455" s="2"/>
      <c r="AE455" s="15"/>
      <c r="AG455" s="15"/>
      <c r="AJ455" s="2"/>
    </row>
    <row r="456" spans="4:36" s="20" customFormat="1" ht="15">
      <c r="D456" s="2"/>
      <c r="E456" s="2"/>
      <c r="F456" s="2"/>
      <c r="G456" s="2"/>
      <c r="H456" s="2"/>
      <c r="I456" s="2"/>
      <c r="K456" s="2"/>
      <c r="M456" s="15"/>
      <c r="O456" s="15"/>
      <c r="Q456" s="2"/>
      <c r="S456" s="15"/>
      <c r="U456" s="15"/>
      <c r="W456" s="2"/>
      <c r="Y456" s="15"/>
      <c r="AA456" s="15"/>
      <c r="AC456" s="2"/>
      <c r="AE456" s="15"/>
      <c r="AG456" s="15"/>
      <c r="AJ456" s="2"/>
    </row>
    <row r="457" spans="4:36" s="20" customFormat="1" ht="15">
      <c r="D457" s="2"/>
      <c r="E457" s="2"/>
      <c r="F457" s="2"/>
      <c r="G457" s="2"/>
      <c r="H457" s="2"/>
      <c r="I457" s="2"/>
      <c r="K457" s="2"/>
      <c r="M457" s="15"/>
      <c r="O457" s="15"/>
      <c r="Q457" s="2"/>
      <c r="S457" s="15"/>
      <c r="U457" s="15"/>
      <c r="W457" s="2"/>
      <c r="Y457" s="15"/>
      <c r="AA457" s="15"/>
      <c r="AC457" s="2"/>
      <c r="AE457" s="15"/>
      <c r="AG457" s="15"/>
      <c r="AJ457" s="2"/>
    </row>
    <row r="458" spans="4:36" s="20" customFormat="1" ht="15">
      <c r="D458" s="2"/>
      <c r="E458" s="2"/>
      <c r="F458" s="2"/>
      <c r="G458" s="2"/>
      <c r="H458" s="2"/>
      <c r="I458" s="2"/>
      <c r="K458" s="2"/>
      <c r="M458" s="15"/>
      <c r="O458" s="15"/>
      <c r="Q458" s="2"/>
      <c r="S458" s="15"/>
      <c r="U458" s="15"/>
      <c r="W458" s="2"/>
      <c r="Y458" s="15"/>
      <c r="AA458" s="15"/>
      <c r="AC458" s="2"/>
      <c r="AE458" s="15"/>
      <c r="AG458" s="15"/>
      <c r="AJ458" s="2"/>
    </row>
    <row r="459" spans="4:36" s="20" customFormat="1" ht="15">
      <c r="D459" s="2"/>
      <c r="E459" s="2"/>
      <c r="F459" s="2"/>
      <c r="G459" s="2"/>
      <c r="H459" s="2"/>
      <c r="I459" s="2"/>
      <c r="K459" s="2"/>
      <c r="M459" s="15"/>
      <c r="O459" s="15"/>
      <c r="Q459" s="2"/>
      <c r="S459" s="15"/>
      <c r="U459" s="15"/>
      <c r="W459" s="2"/>
      <c r="Y459" s="15"/>
      <c r="AA459" s="15"/>
      <c r="AC459" s="2"/>
      <c r="AE459" s="15"/>
      <c r="AG459" s="15"/>
      <c r="AJ459" s="2"/>
    </row>
    <row r="460" spans="4:36" s="20" customFormat="1" ht="15">
      <c r="D460" s="2"/>
      <c r="E460" s="2"/>
      <c r="F460" s="2"/>
      <c r="G460" s="2"/>
      <c r="H460" s="2"/>
      <c r="I460" s="2"/>
      <c r="K460" s="2"/>
      <c r="M460" s="15"/>
      <c r="O460" s="15"/>
      <c r="Q460" s="2"/>
      <c r="S460" s="15"/>
      <c r="U460" s="15"/>
      <c r="W460" s="2"/>
      <c r="Y460" s="15"/>
      <c r="AA460" s="15"/>
      <c r="AC460" s="2"/>
      <c r="AE460" s="15"/>
      <c r="AG460" s="15"/>
      <c r="AJ460" s="2"/>
    </row>
    <row r="461" spans="4:36" s="20" customFormat="1" ht="15">
      <c r="D461" s="2"/>
      <c r="E461" s="2"/>
      <c r="F461" s="2"/>
      <c r="G461" s="2"/>
      <c r="H461" s="2"/>
      <c r="I461" s="2"/>
      <c r="K461" s="2"/>
      <c r="M461" s="15"/>
      <c r="O461" s="15"/>
      <c r="Q461" s="2"/>
      <c r="S461" s="15"/>
      <c r="U461" s="15"/>
      <c r="W461" s="2"/>
      <c r="Y461" s="15"/>
      <c r="AA461" s="15"/>
      <c r="AC461" s="2"/>
      <c r="AE461" s="15"/>
      <c r="AG461" s="15"/>
      <c r="AJ461" s="2"/>
    </row>
    <row r="462" spans="4:36" s="20" customFormat="1" ht="15">
      <c r="D462" s="2"/>
      <c r="E462" s="2"/>
      <c r="F462" s="2"/>
      <c r="G462" s="2"/>
      <c r="H462" s="2"/>
      <c r="I462" s="2"/>
      <c r="K462" s="2"/>
      <c r="M462" s="15"/>
      <c r="O462" s="15"/>
      <c r="Q462" s="2"/>
      <c r="S462" s="15"/>
      <c r="U462" s="15"/>
      <c r="W462" s="2"/>
      <c r="Y462" s="15"/>
      <c r="AA462" s="15"/>
      <c r="AC462" s="2"/>
      <c r="AE462" s="15"/>
      <c r="AG462" s="15"/>
      <c r="AJ462" s="2"/>
    </row>
    <row r="463" spans="4:36" s="20" customFormat="1" ht="15">
      <c r="D463" s="2"/>
      <c r="E463" s="2"/>
      <c r="F463" s="2"/>
      <c r="G463" s="2"/>
      <c r="H463" s="2"/>
      <c r="I463" s="2"/>
      <c r="K463" s="2"/>
      <c r="M463" s="15"/>
      <c r="O463" s="15"/>
      <c r="Q463" s="2"/>
      <c r="S463" s="15"/>
      <c r="U463" s="15"/>
      <c r="W463" s="2"/>
      <c r="Y463" s="15"/>
      <c r="AA463" s="15"/>
      <c r="AC463" s="2"/>
      <c r="AE463" s="15"/>
      <c r="AG463" s="15"/>
      <c r="AJ463" s="2"/>
    </row>
    <row r="464" spans="4:36" s="20" customFormat="1" ht="15">
      <c r="D464" s="2"/>
      <c r="E464" s="2"/>
      <c r="F464" s="2"/>
      <c r="G464" s="2"/>
      <c r="H464" s="2"/>
      <c r="I464" s="2"/>
      <c r="K464" s="2"/>
      <c r="M464" s="15"/>
      <c r="O464" s="15"/>
      <c r="Q464" s="2"/>
      <c r="S464" s="15"/>
      <c r="U464" s="15"/>
      <c r="W464" s="2"/>
      <c r="Y464" s="15"/>
      <c r="AA464" s="15"/>
      <c r="AC464" s="2"/>
      <c r="AE464" s="15"/>
      <c r="AG464" s="15"/>
      <c r="AJ464" s="2"/>
    </row>
    <row r="465" spans="1:36" s="20" customFormat="1" ht="15">
      <c r="D465" s="2"/>
      <c r="E465" s="2"/>
      <c r="F465" s="2"/>
      <c r="G465" s="2"/>
      <c r="H465" s="2"/>
      <c r="I465" s="2"/>
      <c r="K465" s="2"/>
      <c r="M465" s="15"/>
      <c r="O465" s="15"/>
      <c r="Q465" s="2"/>
      <c r="S465" s="15"/>
      <c r="U465" s="15"/>
      <c r="W465" s="2"/>
      <c r="Y465" s="15"/>
      <c r="AA465" s="15"/>
      <c r="AC465" s="2"/>
      <c r="AE465" s="15"/>
      <c r="AG465" s="15"/>
      <c r="AJ465" s="2"/>
    </row>
    <row r="466" spans="1:36" s="20" customFormat="1" ht="15">
      <c r="D466" s="2"/>
      <c r="E466" s="2"/>
      <c r="F466" s="2"/>
      <c r="G466" s="2"/>
      <c r="H466" s="2"/>
      <c r="I466" s="2"/>
      <c r="K466" s="2"/>
      <c r="M466" s="15"/>
      <c r="O466" s="15"/>
      <c r="Q466" s="2"/>
      <c r="S466" s="15"/>
      <c r="U466" s="15"/>
      <c r="W466" s="2"/>
      <c r="Y466" s="15"/>
      <c r="AA466" s="15"/>
      <c r="AC466" s="2"/>
      <c r="AE466" s="15"/>
      <c r="AG466" s="15"/>
      <c r="AJ466" s="2"/>
    </row>
    <row r="467" spans="1:36" s="20" customFormat="1" ht="15">
      <c r="D467" s="2"/>
      <c r="E467" s="2"/>
      <c r="F467" s="2"/>
      <c r="G467" s="2"/>
      <c r="H467" s="2"/>
      <c r="I467" s="2"/>
      <c r="K467" s="2"/>
      <c r="M467" s="15"/>
      <c r="O467" s="15"/>
      <c r="Q467" s="2"/>
      <c r="S467" s="15"/>
      <c r="U467" s="15"/>
      <c r="W467" s="2"/>
      <c r="Y467" s="15"/>
      <c r="AA467" s="15"/>
      <c r="AC467" s="2"/>
      <c r="AE467" s="15"/>
      <c r="AG467" s="15"/>
      <c r="AJ467" s="2"/>
    </row>
    <row r="468" spans="1:36" s="20" customFormat="1" ht="15">
      <c r="D468" s="2"/>
      <c r="E468" s="2"/>
      <c r="F468" s="2"/>
      <c r="G468" s="2"/>
      <c r="H468" s="2"/>
      <c r="I468" s="2"/>
      <c r="K468" s="2"/>
      <c r="M468" s="15"/>
      <c r="O468" s="15"/>
      <c r="Q468" s="2"/>
      <c r="S468" s="15"/>
      <c r="U468" s="15"/>
      <c r="W468" s="2"/>
      <c r="Y468" s="15"/>
      <c r="AA468" s="15"/>
      <c r="AC468" s="2"/>
      <c r="AE468" s="15"/>
      <c r="AG468" s="15"/>
      <c r="AJ468" s="2"/>
    </row>
    <row r="469" spans="1:36" s="20" customFormat="1" ht="15">
      <c r="D469" s="2"/>
      <c r="E469" s="2"/>
      <c r="F469" s="2"/>
      <c r="G469" s="2"/>
      <c r="H469" s="2"/>
      <c r="I469" s="2"/>
      <c r="K469" s="2"/>
      <c r="M469" s="15"/>
      <c r="O469" s="15"/>
      <c r="Q469" s="2"/>
      <c r="S469" s="15"/>
      <c r="U469" s="15"/>
      <c r="W469" s="2"/>
      <c r="Y469" s="15"/>
      <c r="AA469" s="15"/>
      <c r="AC469" s="2"/>
      <c r="AE469" s="15"/>
      <c r="AG469" s="15"/>
      <c r="AJ469" s="2"/>
    </row>
    <row r="470" spans="1:36" s="20" customFormat="1" ht="15">
      <c r="D470" s="2"/>
      <c r="E470" s="2"/>
      <c r="F470" s="2"/>
      <c r="G470" s="2"/>
      <c r="H470" s="2"/>
      <c r="I470" s="2"/>
      <c r="K470" s="2"/>
      <c r="M470" s="15"/>
      <c r="O470" s="15"/>
      <c r="Q470" s="2"/>
      <c r="S470" s="15"/>
      <c r="U470" s="15"/>
      <c r="W470" s="2"/>
      <c r="Y470" s="15"/>
      <c r="AA470" s="15"/>
      <c r="AC470" s="2"/>
      <c r="AE470" s="15"/>
      <c r="AG470" s="15"/>
      <c r="AJ470" s="2"/>
    </row>
    <row r="471" spans="1:36" s="20" customFormat="1" ht="15">
      <c r="D471" s="2"/>
      <c r="E471" s="2"/>
      <c r="F471" s="2"/>
      <c r="G471" s="2"/>
      <c r="H471" s="2"/>
      <c r="I471" s="2"/>
      <c r="K471" s="2"/>
      <c r="M471" s="15"/>
      <c r="O471" s="15"/>
      <c r="Q471" s="2"/>
      <c r="S471" s="15"/>
      <c r="U471" s="15"/>
      <c r="W471" s="2"/>
      <c r="Y471" s="15"/>
      <c r="AA471" s="15"/>
      <c r="AC471" s="2"/>
      <c r="AE471" s="15"/>
      <c r="AG471" s="15"/>
      <c r="AJ471" s="2"/>
    </row>
    <row r="472" spans="1:36" s="20" customFormat="1" ht="15">
      <c r="D472" s="2"/>
      <c r="E472" s="2"/>
      <c r="F472" s="2"/>
      <c r="G472" s="2"/>
      <c r="H472" s="2"/>
      <c r="I472" s="2"/>
      <c r="K472" s="2"/>
      <c r="M472" s="15"/>
      <c r="O472" s="15"/>
      <c r="Q472" s="2"/>
      <c r="S472" s="15"/>
      <c r="U472" s="15"/>
      <c r="W472" s="2"/>
      <c r="Y472" s="15"/>
      <c r="AA472" s="15"/>
      <c r="AC472" s="2"/>
      <c r="AE472" s="15"/>
      <c r="AG472" s="15"/>
      <c r="AJ472" s="2"/>
    </row>
    <row r="473" spans="1:36" s="20" customFormat="1" ht="15">
      <c r="D473" s="2"/>
      <c r="E473" s="2"/>
      <c r="F473" s="2"/>
      <c r="G473" s="2"/>
      <c r="H473" s="2"/>
      <c r="I473" s="2"/>
      <c r="K473" s="2"/>
      <c r="M473" s="15"/>
      <c r="O473" s="15"/>
      <c r="Q473" s="2"/>
      <c r="S473" s="15"/>
      <c r="U473" s="15"/>
      <c r="W473" s="2"/>
      <c r="Y473" s="15"/>
      <c r="AA473" s="15"/>
      <c r="AC473" s="2"/>
      <c r="AE473" s="15"/>
      <c r="AG473" s="15"/>
      <c r="AJ473" s="2"/>
    </row>
    <row r="474" spans="1:36" s="20" customFormat="1" ht="15">
      <c r="D474" s="2"/>
      <c r="E474" s="2"/>
      <c r="F474" s="2"/>
      <c r="G474" s="2"/>
      <c r="H474" s="2"/>
      <c r="I474" s="2"/>
      <c r="K474" s="2"/>
      <c r="M474" s="15"/>
      <c r="O474" s="15"/>
      <c r="Q474" s="2"/>
      <c r="S474" s="15"/>
      <c r="U474" s="15"/>
      <c r="W474" s="2"/>
      <c r="Y474" s="15"/>
      <c r="AA474" s="15"/>
      <c r="AC474" s="2"/>
      <c r="AE474" s="15"/>
      <c r="AG474" s="15"/>
      <c r="AJ474" s="2"/>
    </row>
    <row r="475" spans="1:36" s="20" customFormat="1" ht="15">
      <c r="D475" s="2"/>
      <c r="E475" s="2"/>
      <c r="F475" s="2"/>
      <c r="G475" s="2"/>
      <c r="H475" s="2"/>
      <c r="I475" s="2"/>
      <c r="K475" s="2"/>
      <c r="M475" s="15"/>
      <c r="O475" s="15"/>
      <c r="Q475" s="2"/>
      <c r="S475" s="15"/>
      <c r="U475" s="15"/>
      <c r="W475" s="2"/>
      <c r="Y475" s="15"/>
      <c r="AA475" s="15"/>
      <c r="AC475" s="2"/>
      <c r="AE475" s="15"/>
      <c r="AG475" s="15"/>
      <c r="AJ475" s="2"/>
    </row>
    <row r="476" spans="1:36" s="20" customFormat="1">
      <c r="A476" s="2"/>
      <c r="C476" s="2"/>
      <c r="D476" s="2"/>
      <c r="E476" s="2"/>
      <c r="F476" s="2"/>
      <c r="G476" s="2"/>
      <c r="H476" s="2"/>
      <c r="I476" s="2"/>
      <c r="K476" s="2"/>
      <c r="M476" s="2"/>
      <c r="O476" s="2"/>
      <c r="Q476" s="2"/>
      <c r="S476" s="2"/>
      <c r="U476" s="2"/>
      <c r="W476" s="2"/>
      <c r="Y476" s="2"/>
      <c r="AA476" s="2"/>
      <c r="AC476" s="2"/>
      <c r="AE476" s="2"/>
      <c r="AG476" s="2"/>
      <c r="AI476" s="2"/>
      <c r="AJ476" s="2"/>
    </row>
    <row r="477" spans="1:36" s="20" customFormat="1">
      <c r="A477" s="2"/>
      <c r="C477" s="2"/>
      <c r="D477" s="2"/>
      <c r="E477" s="2"/>
      <c r="F477" s="2"/>
      <c r="G477" s="2"/>
      <c r="H477" s="2"/>
      <c r="I477" s="2"/>
      <c r="K477" s="2"/>
      <c r="M477" s="2"/>
      <c r="O477" s="2"/>
      <c r="Q477" s="2"/>
      <c r="S477" s="2"/>
      <c r="U477" s="2"/>
      <c r="W477" s="2"/>
      <c r="Y477" s="2"/>
      <c r="AA477" s="2"/>
      <c r="AC477" s="2"/>
      <c r="AE477" s="2"/>
      <c r="AG477" s="2"/>
      <c r="AI477" s="2"/>
      <c r="AJ477" s="2"/>
    </row>
    <row r="478" spans="1:36" s="20" customFormat="1">
      <c r="A478" s="2"/>
      <c r="C478" s="2"/>
      <c r="D478" s="2"/>
      <c r="E478" s="2"/>
      <c r="F478" s="2"/>
      <c r="G478" s="2"/>
      <c r="H478" s="2"/>
      <c r="I478" s="2"/>
      <c r="K478" s="2"/>
      <c r="M478" s="2"/>
      <c r="O478" s="2"/>
      <c r="Q478" s="2"/>
      <c r="S478" s="2"/>
      <c r="U478" s="2"/>
      <c r="W478" s="2"/>
      <c r="Y478" s="2"/>
      <c r="AA478" s="2"/>
      <c r="AC478" s="2"/>
      <c r="AE478" s="2"/>
      <c r="AG478" s="2"/>
      <c r="AI478" s="2"/>
      <c r="AJ478" s="2"/>
    </row>
    <row r="479" spans="1:36" s="20" customFormat="1">
      <c r="A479" s="2"/>
      <c r="C479" s="2"/>
      <c r="D479" s="2"/>
      <c r="E479" s="2"/>
      <c r="F479" s="2"/>
      <c r="G479" s="2"/>
      <c r="H479" s="2"/>
      <c r="I479" s="2"/>
      <c r="K479" s="2"/>
      <c r="M479" s="2"/>
      <c r="O479" s="2"/>
      <c r="Q479" s="2"/>
      <c r="S479" s="2"/>
      <c r="U479" s="2"/>
      <c r="W479" s="2"/>
      <c r="Y479" s="2"/>
      <c r="AA479" s="2"/>
      <c r="AC479" s="2"/>
      <c r="AE479" s="2"/>
      <c r="AG479" s="2"/>
      <c r="AI479" s="2"/>
      <c r="AJ479" s="2"/>
    </row>
    <row r="480" spans="1:36" s="20" customFormat="1">
      <c r="A480" s="2"/>
      <c r="C480" s="2"/>
      <c r="D480" s="2"/>
      <c r="E480" s="2"/>
      <c r="F480" s="2"/>
      <c r="G480" s="2"/>
      <c r="H480" s="2"/>
      <c r="I480" s="2"/>
      <c r="K480" s="2"/>
      <c r="M480" s="2"/>
      <c r="O480" s="2"/>
      <c r="Q480" s="2"/>
      <c r="S480" s="2"/>
      <c r="U480" s="2"/>
      <c r="W480" s="2"/>
      <c r="Y480" s="2"/>
      <c r="AA480" s="2"/>
      <c r="AC480" s="2"/>
      <c r="AE480" s="2"/>
      <c r="AG480" s="2"/>
      <c r="AI480" s="2"/>
      <c r="AJ480" s="2"/>
    </row>
    <row r="481" spans="1:36" s="20" customFormat="1">
      <c r="A481" s="2"/>
      <c r="C481" s="2"/>
      <c r="D481" s="2"/>
      <c r="E481" s="2"/>
      <c r="F481" s="2"/>
      <c r="G481" s="2"/>
      <c r="H481" s="2"/>
      <c r="I481" s="2"/>
      <c r="K481" s="2"/>
      <c r="M481" s="2"/>
      <c r="O481" s="2"/>
      <c r="Q481" s="2"/>
      <c r="S481" s="2"/>
      <c r="U481" s="2"/>
      <c r="W481" s="2"/>
      <c r="Y481" s="2"/>
      <c r="AA481" s="2"/>
      <c r="AC481" s="2"/>
      <c r="AE481" s="2"/>
      <c r="AG481" s="2"/>
      <c r="AI481" s="2"/>
      <c r="AJ481" s="2"/>
    </row>
    <row r="482" spans="1:36" s="20" customFormat="1">
      <c r="A482" s="2"/>
      <c r="C482" s="2"/>
      <c r="D482" s="2"/>
      <c r="E482" s="2"/>
      <c r="F482" s="2"/>
      <c r="G482" s="2"/>
      <c r="H482" s="2"/>
      <c r="I482" s="2"/>
      <c r="K482" s="2"/>
      <c r="M482" s="2"/>
      <c r="O482" s="2"/>
      <c r="Q482" s="2"/>
      <c r="S482" s="2"/>
      <c r="U482" s="2"/>
      <c r="W482" s="2"/>
      <c r="Y482" s="2"/>
      <c r="AA482" s="2"/>
      <c r="AC482" s="2"/>
      <c r="AE482" s="2"/>
      <c r="AG482" s="2"/>
      <c r="AI482" s="2"/>
      <c r="AJ482" s="2"/>
    </row>
    <row r="483" spans="1:36" s="20" customFormat="1">
      <c r="A483" s="2"/>
      <c r="C483" s="2"/>
      <c r="D483" s="2"/>
      <c r="E483" s="2"/>
      <c r="F483" s="2"/>
      <c r="G483" s="2"/>
      <c r="H483" s="2"/>
      <c r="I483" s="2"/>
      <c r="K483" s="2"/>
      <c r="M483" s="2"/>
      <c r="O483" s="2"/>
      <c r="Q483" s="2"/>
      <c r="S483" s="2"/>
      <c r="U483" s="2"/>
      <c r="W483" s="2"/>
      <c r="Y483" s="2"/>
      <c r="AA483" s="2"/>
      <c r="AC483" s="2"/>
      <c r="AE483" s="2"/>
      <c r="AG483" s="2"/>
      <c r="AI483" s="2"/>
      <c r="AJ483" s="2"/>
    </row>
    <row r="484" spans="1:36" s="20" customFormat="1">
      <c r="A484" s="2"/>
      <c r="C484" s="2"/>
      <c r="D484" s="2"/>
      <c r="E484" s="2"/>
      <c r="F484" s="2"/>
      <c r="G484" s="2"/>
      <c r="H484" s="2"/>
      <c r="I484" s="2"/>
      <c r="K484" s="2"/>
      <c r="M484" s="2"/>
      <c r="O484" s="2"/>
      <c r="Q484" s="2"/>
      <c r="S484" s="2"/>
      <c r="U484" s="2"/>
      <c r="W484" s="2"/>
      <c r="Y484" s="2"/>
      <c r="AA484" s="2"/>
      <c r="AC484" s="2"/>
      <c r="AE484" s="2"/>
      <c r="AG484" s="2"/>
      <c r="AI484" s="2"/>
      <c r="AJ484" s="2"/>
    </row>
    <row r="485" spans="1:36" s="20" customFormat="1">
      <c r="A485" s="2"/>
      <c r="C485" s="2"/>
      <c r="D485" s="2"/>
      <c r="E485" s="2"/>
      <c r="F485" s="2"/>
      <c r="G485" s="2"/>
      <c r="H485" s="2"/>
      <c r="I485" s="2"/>
      <c r="K485" s="2"/>
      <c r="M485" s="2"/>
      <c r="O485" s="2"/>
      <c r="Q485" s="2"/>
      <c r="S485" s="2"/>
      <c r="U485" s="2"/>
      <c r="W485" s="2"/>
      <c r="Y485" s="2"/>
      <c r="AA485" s="2"/>
      <c r="AC485" s="2"/>
      <c r="AE485" s="2"/>
      <c r="AG485" s="2"/>
      <c r="AI485" s="2"/>
      <c r="AJ485" s="2"/>
    </row>
    <row r="486" spans="1:36" s="20" customFormat="1">
      <c r="A486" s="2"/>
      <c r="C486" s="2"/>
      <c r="D486" s="2"/>
      <c r="E486" s="2"/>
      <c r="F486" s="2"/>
      <c r="G486" s="2"/>
      <c r="H486" s="2"/>
      <c r="I486" s="2"/>
      <c r="K486" s="2"/>
      <c r="M486" s="2"/>
      <c r="O486" s="2"/>
      <c r="Q486" s="2"/>
      <c r="S486" s="2"/>
      <c r="U486" s="2"/>
      <c r="W486" s="2"/>
      <c r="Y486" s="2"/>
      <c r="AA486" s="2"/>
      <c r="AC486" s="2"/>
      <c r="AE486" s="2"/>
      <c r="AG486" s="2"/>
      <c r="AI486" s="2"/>
      <c r="AJ486" s="2"/>
    </row>
    <row r="487" spans="1:36" s="20" customFormat="1">
      <c r="A487" s="2"/>
      <c r="C487" s="2"/>
      <c r="D487" s="2"/>
      <c r="E487" s="2"/>
      <c r="F487" s="2"/>
      <c r="G487" s="2"/>
      <c r="H487" s="2"/>
      <c r="I487" s="2"/>
      <c r="K487" s="2"/>
      <c r="M487" s="2"/>
      <c r="O487" s="2"/>
      <c r="Q487" s="2"/>
      <c r="S487" s="2"/>
      <c r="U487" s="2"/>
      <c r="W487" s="2"/>
      <c r="Y487" s="2"/>
      <c r="AA487" s="2"/>
      <c r="AC487" s="2"/>
      <c r="AE487" s="2"/>
      <c r="AG487" s="2"/>
      <c r="AI487" s="2"/>
      <c r="AJ487" s="2"/>
    </row>
    <row r="488" spans="1:36" s="20" customFormat="1">
      <c r="A488" s="2"/>
      <c r="C488" s="2"/>
      <c r="D488" s="2"/>
      <c r="E488" s="2"/>
      <c r="F488" s="2"/>
      <c r="G488" s="2"/>
      <c r="H488" s="2"/>
      <c r="I488" s="2"/>
      <c r="K488" s="2"/>
      <c r="M488" s="2"/>
      <c r="O488" s="2"/>
      <c r="Q488" s="2"/>
      <c r="S488" s="2"/>
      <c r="U488" s="2"/>
      <c r="W488" s="2"/>
      <c r="Y488" s="2"/>
      <c r="AA488" s="2"/>
      <c r="AC488" s="2"/>
      <c r="AE488" s="2"/>
      <c r="AG488" s="2"/>
      <c r="AI488" s="2"/>
      <c r="AJ488" s="2"/>
    </row>
    <row r="489" spans="1:36" s="20" customFormat="1">
      <c r="A489" s="2"/>
      <c r="C489" s="2"/>
      <c r="D489" s="2"/>
      <c r="E489" s="2"/>
      <c r="F489" s="2"/>
      <c r="G489" s="2"/>
      <c r="H489" s="2"/>
      <c r="I489" s="2"/>
      <c r="K489" s="2"/>
      <c r="M489" s="2"/>
      <c r="O489" s="2"/>
      <c r="Q489" s="2"/>
      <c r="S489" s="2"/>
      <c r="U489" s="2"/>
      <c r="W489" s="2"/>
      <c r="Y489" s="2"/>
      <c r="AA489" s="2"/>
      <c r="AC489" s="2"/>
      <c r="AE489" s="2"/>
      <c r="AG489" s="2"/>
      <c r="AI489" s="2"/>
      <c r="AJ489" s="2"/>
    </row>
    <row r="490" spans="1:36" s="20" customFormat="1">
      <c r="A490" s="2"/>
      <c r="C490" s="2"/>
      <c r="D490" s="2"/>
      <c r="E490" s="2"/>
      <c r="F490" s="2"/>
      <c r="G490" s="2"/>
      <c r="H490" s="2"/>
      <c r="I490" s="2"/>
      <c r="K490" s="2"/>
      <c r="M490" s="2"/>
      <c r="O490" s="2"/>
      <c r="Q490" s="2"/>
      <c r="S490" s="2"/>
      <c r="U490" s="2"/>
      <c r="W490" s="2"/>
      <c r="Y490" s="2"/>
      <c r="AA490" s="2"/>
      <c r="AC490" s="2"/>
      <c r="AE490" s="2"/>
      <c r="AG490" s="2"/>
      <c r="AI490" s="2"/>
      <c r="AJ490" s="2"/>
    </row>
    <row r="491" spans="1:36">
      <c r="B491" s="20"/>
    </row>
    <row r="492" spans="1:36">
      <c r="B492" s="20"/>
    </row>
    <row r="493" spans="1:36">
      <c r="B493" s="20"/>
    </row>
    <row r="494" spans="1:36">
      <c r="B494" s="20"/>
    </row>
    <row r="495" spans="1:36">
      <c r="B495" s="20"/>
    </row>
    <row r="496" spans="1:36">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sheetData>
  <pageMargins left="0.25" right="0.25" top="0.35" bottom="0.4" header="0.18" footer="0.25"/>
  <pageSetup scale="47" fitToHeight="3" orientation="landscape" errors="blank" r:id="rId1"/>
  <headerFooter alignWithMargins="0">
    <oddHeader>&amp;CDESIGNATED INFORMATION IS CONFIDENTIAL PER WAC 480-07-160</oddHeader>
    <oddFooter>&amp;L&amp;F - &amp;A&amp;CPrinted &amp;D - &amp;T&amp;RPage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5:O57"/>
  <sheetViews>
    <sheetView tabSelected="1" view="pageBreakPreview" zoomScale="60" zoomScaleNormal="100" workbookViewId="0">
      <selection activeCell="AR41" sqref="AR41"/>
    </sheetView>
  </sheetViews>
  <sheetFormatPr defaultRowHeight="15"/>
  <cols>
    <col min="1" max="1" width="15" bestFit="1" customWidth="1"/>
    <col min="2" max="2" width="17.42578125" bestFit="1" customWidth="1"/>
  </cols>
  <sheetData>
    <row r="25" spans="15:15">
      <c r="O25" t="s">
        <v>481</v>
      </c>
    </row>
    <row r="27" spans="15:15">
      <c r="O27" t="s">
        <v>481</v>
      </c>
    </row>
    <row r="39" spans="1:15">
      <c r="O39" t="s">
        <v>479</v>
      </c>
    </row>
    <row r="46" spans="1:15" ht="15.75" thickBot="1"/>
    <row r="47" spans="1:15">
      <c r="A47" s="620"/>
      <c r="B47" s="621" t="s">
        <v>934</v>
      </c>
      <c r="C47" s="621"/>
      <c r="D47" s="622" t="s">
        <v>935</v>
      </c>
    </row>
    <row r="48" spans="1:15">
      <c r="A48" s="623" t="s">
        <v>481</v>
      </c>
      <c r="B48" s="624">
        <f>1786000+4153465000</f>
        <v>4155251000</v>
      </c>
      <c r="C48" s="625">
        <f>+B48/$B$50</f>
        <v>0.39143468301216744</v>
      </c>
      <c r="D48" s="626">
        <v>0.4</v>
      </c>
    </row>
    <row r="49" spans="1:4">
      <c r="A49" s="623" t="s">
        <v>479</v>
      </c>
      <c r="B49" s="627">
        <v>6460188000</v>
      </c>
      <c r="C49" s="625">
        <f>+B49/$B$50</f>
        <v>0.60856531698783256</v>
      </c>
      <c r="D49" s="626">
        <v>0.6</v>
      </c>
    </row>
    <row r="50" spans="1:4">
      <c r="A50" s="623" t="s">
        <v>936</v>
      </c>
      <c r="B50" s="628">
        <f>+B48+B49</f>
        <v>10615439000</v>
      </c>
      <c r="C50" s="629"/>
      <c r="D50" s="630"/>
    </row>
    <row r="51" spans="1:4" ht="15.75" thickBot="1">
      <c r="A51" s="631"/>
      <c r="B51" s="632"/>
      <c r="C51" s="632"/>
      <c r="D51" s="633"/>
    </row>
    <row r="52" spans="1:4" ht="15.75" thickBot="1"/>
    <row r="53" spans="1:4">
      <c r="A53" s="634"/>
      <c r="B53" s="635" t="s">
        <v>937</v>
      </c>
      <c r="C53" s="636"/>
    </row>
    <row r="54" spans="1:4">
      <c r="A54" s="623" t="s">
        <v>147</v>
      </c>
      <c r="B54" s="637">
        <v>132104000</v>
      </c>
      <c r="C54" s="638"/>
    </row>
    <row r="55" spans="1:4">
      <c r="A55" s="623" t="s">
        <v>481</v>
      </c>
      <c r="B55" s="639">
        <f>+B48</f>
        <v>4155251000</v>
      </c>
      <c r="C55" s="638"/>
    </row>
    <row r="56" spans="1:4">
      <c r="A56" s="640"/>
      <c r="B56" s="629"/>
      <c r="C56" s="630"/>
    </row>
    <row r="57" spans="1:4" ht="15.75" thickBot="1">
      <c r="A57" s="641" t="s">
        <v>937</v>
      </c>
      <c r="B57" s="642">
        <f>+B54/B55</f>
        <v>3.179206262148785E-2</v>
      </c>
      <c r="C57" s="643"/>
    </row>
  </sheetData>
  <pageMargins left="0.7" right="0.7" top="0.75" bottom="0.75" header="0.3" footer="0.3"/>
  <pageSetup scale="68"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0" tint="-0.249977111117893"/>
    <pageSetUpPr fitToPage="1"/>
  </sheetPr>
  <dimension ref="A1:G92"/>
  <sheetViews>
    <sheetView tabSelected="1" view="pageBreakPreview" topLeftCell="A5" zoomScale="60" zoomScaleNormal="100" workbookViewId="0">
      <selection activeCell="AR41" sqref="AR41"/>
    </sheetView>
  </sheetViews>
  <sheetFormatPr defaultRowHeight="15" outlineLevelRow="1"/>
  <cols>
    <col min="1" max="1" width="9.140625" style="657"/>
    <col min="2" max="2" width="36.140625" style="657" bestFit="1" customWidth="1"/>
    <col min="3" max="3" width="18" style="657" bestFit="1" customWidth="1"/>
    <col min="4" max="4" width="14.28515625" style="756" bestFit="1" customWidth="1"/>
    <col min="5" max="5" width="19.7109375" style="756" customWidth="1"/>
    <col min="6" max="6" width="76" style="756" customWidth="1"/>
    <col min="7" max="7" width="9.140625" style="756"/>
    <col min="8" max="254" width="9.140625" style="657"/>
    <col min="255" max="255" width="36.140625" style="657" bestFit="1" customWidth="1"/>
    <col min="256" max="257" width="18" style="657" bestFit="1" customWidth="1"/>
    <col min="258" max="258" width="13.5703125" style="657" customWidth="1"/>
    <col min="259" max="510" width="9.140625" style="657"/>
    <col min="511" max="511" width="36.140625" style="657" bestFit="1" customWidth="1"/>
    <col min="512" max="513" width="18" style="657" bestFit="1" customWidth="1"/>
    <col min="514" max="514" width="13.5703125" style="657" customWidth="1"/>
    <col min="515" max="766" width="9.140625" style="657"/>
    <col min="767" max="767" width="36.140625" style="657" bestFit="1" customWidth="1"/>
    <col min="768" max="769" width="18" style="657" bestFit="1" customWidth="1"/>
    <col min="770" max="770" width="13.5703125" style="657" customWidth="1"/>
    <col min="771" max="1022" width="9.140625" style="657"/>
    <col min="1023" max="1023" width="36.140625" style="657" bestFit="1" customWidth="1"/>
    <col min="1024" max="1025" width="18" style="657" bestFit="1" customWidth="1"/>
    <col min="1026" max="1026" width="13.5703125" style="657" customWidth="1"/>
    <col min="1027" max="1278" width="9.140625" style="657"/>
    <col min="1279" max="1279" width="36.140625" style="657" bestFit="1" customWidth="1"/>
    <col min="1280" max="1281" width="18" style="657" bestFit="1" customWidth="1"/>
    <col min="1282" max="1282" width="13.5703125" style="657" customWidth="1"/>
    <col min="1283" max="1534" width="9.140625" style="657"/>
    <col min="1535" max="1535" width="36.140625" style="657" bestFit="1" customWidth="1"/>
    <col min="1536" max="1537" width="18" style="657" bestFit="1" customWidth="1"/>
    <col min="1538" max="1538" width="13.5703125" style="657" customWidth="1"/>
    <col min="1539" max="1790" width="9.140625" style="657"/>
    <col min="1791" max="1791" width="36.140625" style="657" bestFit="1" customWidth="1"/>
    <col min="1792" max="1793" width="18" style="657" bestFit="1" customWidth="1"/>
    <col min="1794" max="1794" width="13.5703125" style="657" customWidth="1"/>
    <col min="1795" max="2046" width="9.140625" style="657"/>
    <col min="2047" max="2047" width="36.140625" style="657" bestFit="1" customWidth="1"/>
    <col min="2048" max="2049" width="18" style="657" bestFit="1" customWidth="1"/>
    <col min="2050" max="2050" width="13.5703125" style="657" customWidth="1"/>
    <col min="2051" max="2302" width="9.140625" style="657"/>
    <col min="2303" max="2303" width="36.140625" style="657" bestFit="1" customWidth="1"/>
    <col min="2304" max="2305" width="18" style="657" bestFit="1" customWidth="1"/>
    <col min="2306" max="2306" width="13.5703125" style="657" customWidth="1"/>
    <col min="2307" max="2558" width="9.140625" style="657"/>
    <col min="2559" max="2559" width="36.140625" style="657" bestFit="1" customWidth="1"/>
    <col min="2560" max="2561" width="18" style="657" bestFit="1" customWidth="1"/>
    <col min="2562" max="2562" width="13.5703125" style="657" customWidth="1"/>
    <col min="2563" max="2814" width="9.140625" style="657"/>
    <col min="2815" max="2815" width="36.140625" style="657" bestFit="1" customWidth="1"/>
    <col min="2816" max="2817" width="18" style="657" bestFit="1" customWidth="1"/>
    <col min="2818" max="2818" width="13.5703125" style="657" customWidth="1"/>
    <col min="2819" max="3070" width="9.140625" style="657"/>
    <col min="3071" max="3071" width="36.140625" style="657" bestFit="1" customWidth="1"/>
    <col min="3072" max="3073" width="18" style="657" bestFit="1" customWidth="1"/>
    <col min="3074" max="3074" width="13.5703125" style="657" customWidth="1"/>
    <col min="3075" max="3326" width="9.140625" style="657"/>
    <col min="3327" max="3327" width="36.140625" style="657" bestFit="1" customWidth="1"/>
    <col min="3328" max="3329" width="18" style="657" bestFit="1" customWidth="1"/>
    <col min="3330" max="3330" width="13.5703125" style="657" customWidth="1"/>
    <col min="3331" max="3582" width="9.140625" style="657"/>
    <col min="3583" max="3583" width="36.140625" style="657" bestFit="1" customWidth="1"/>
    <col min="3584" max="3585" width="18" style="657" bestFit="1" customWidth="1"/>
    <col min="3586" max="3586" width="13.5703125" style="657" customWidth="1"/>
    <col min="3587" max="3838" width="9.140625" style="657"/>
    <col min="3839" max="3839" width="36.140625" style="657" bestFit="1" customWidth="1"/>
    <col min="3840" max="3841" width="18" style="657" bestFit="1" customWidth="1"/>
    <col min="3842" max="3842" width="13.5703125" style="657" customWidth="1"/>
    <col min="3843" max="4094" width="9.140625" style="657"/>
    <col min="4095" max="4095" width="36.140625" style="657" bestFit="1" customWidth="1"/>
    <col min="4096" max="4097" width="18" style="657" bestFit="1" customWidth="1"/>
    <col min="4098" max="4098" width="13.5703125" style="657" customWidth="1"/>
    <col min="4099" max="4350" width="9.140625" style="657"/>
    <col min="4351" max="4351" width="36.140625" style="657" bestFit="1" customWidth="1"/>
    <col min="4352" max="4353" width="18" style="657" bestFit="1" customWidth="1"/>
    <col min="4354" max="4354" width="13.5703125" style="657" customWidth="1"/>
    <col min="4355" max="4606" width="9.140625" style="657"/>
    <col min="4607" max="4607" width="36.140625" style="657" bestFit="1" customWidth="1"/>
    <col min="4608" max="4609" width="18" style="657" bestFit="1" customWidth="1"/>
    <col min="4610" max="4610" width="13.5703125" style="657" customWidth="1"/>
    <col min="4611" max="4862" width="9.140625" style="657"/>
    <col min="4863" max="4863" width="36.140625" style="657" bestFit="1" customWidth="1"/>
    <col min="4864" max="4865" width="18" style="657" bestFit="1" customWidth="1"/>
    <col min="4866" max="4866" width="13.5703125" style="657" customWidth="1"/>
    <col min="4867" max="5118" width="9.140625" style="657"/>
    <col min="5119" max="5119" width="36.140625" style="657" bestFit="1" customWidth="1"/>
    <col min="5120" max="5121" width="18" style="657" bestFit="1" customWidth="1"/>
    <col min="5122" max="5122" width="13.5703125" style="657" customWidth="1"/>
    <col min="5123" max="5374" width="9.140625" style="657"/>
    <col min="5375" max="5375" width="36.140625" style="657" bestFit="1" customWidth="1"/>
    <col min="5376" max="5377" width="18" style="657" bestFit="1" customWidth="1"/>
    <col min="5378" max="5378" width="13.5703125" style="657" customWidth="1"/>
    <col min="5379" max="5630" width="9.140625" style="657"/>
    <col min="5631" max="5631" width="36.140625" style="657" bestFit="1" customWidth="1"/>
    <col min="5632" max="5633" width="18" style="657" bestFit="1" customWidth="1"/>
    <col min="5634" max="5634" width="13.5703125" style="657" customWidth="1"/>
    <col min="5635" max="5886" width="9.140625" style="657"/>
    <col min="5887" max="5887" width="36.140625" style="657" bestFit="1" customWidth="1"/>
    <col min="5888" max="5889" width="18" style="657" bestFit="1" customWidth="1"/>
    <col min="5890" max="5890" width="13.5703125" style="657" customWidth="1"/>
    <col min="5891" max="6142" width="9.140625" style="657"/>
    <col min="6143" max="6143" width="36.140625" style="657" bestFit="1" customWidth="1"/>
    <col min="6144" max="6145" width="18" style="657" bestFit="1" customWidth="1"/>
    <col min="6146" max="6146" width="13.5703125" style="657" customWidth="1"/>
    <col min="6147" max="6398" width="9.140625" style="657"/>
    <col min="6399" max="6399" width="36.140625" style="657" bestFit="1" customWidth="1"/>
    <col min="6400" max="6401" width="18" style="657" bestFit="1" customWidth="1"/>
    <col min="6402" max="6402" width="13.5703125" style="657" customWidth="1"/>
    <col min="6403" max="6654" width="9.140625" style="657"/>
    <col min="6655" max="6655" width="36.140625" style="657" bestFit="1" customWidth="1"/>
    <col min="6656" max="6657" width="18" style="657" bestFit="1" customWidth="1"/>
    <col min="6658" max="6658" width="13.5703125" style="657" customWidth="1"/>
    <col min="6659" max="6910" width="9.140625" style="657"/>
    <col min="6911" max="6911" width="36.140625" style="657" bestFit="1" customWidth="1"/>
    <col min="6912" max="6913" width="18" style="657" bestFit="1" customWidth="1"/>
    <col min="6914" max="6914" width="13.5703125" style="657" customWidth="1"/>
    <col min="6915" max="7166" width="9.140625" style="657"/>
    <col min="7167" max="7167" width="36.140625" style="657" bestFit="1" customWidth="1"/>
    <col min="7168" max="7169" width="18" style="657" bestFit="1" customWidth="1"/>
    <col min="7170" max="7170" width="13.5703125" style="657" customWidth="1"/>
    <col min="7171" max="7422" width="9.140625" style="657"/>
    <col min="7423" max="7423" width="36.140625" style="657" bestFit="1" customWidth="1"/>
    <col min="7424" max="7425" width="18" style="657" bestFit="1" customWidth="1"/>
    <col min="7426" max="7426" width="13.5703125" style="657" customWidth="1"/>
    <col min="7427" max="7678" width="9.140625" style="657"/>
    <col min="7679" max="7679" width="36.140625" style="657" bestFit="1" customWidth="1"/>
    <col min="7680" max="7681" width="18" style="657" bestFit="1" customWidth="1"/>
    <col min="7682" max="7682" width="13.5703125" style="657" customWidth="1"/>
    <col min="7683" max="7934" width="9.140625" style="657"/>
    <col min="7935" max="7935" width="36.140625" style="657" bestFit="1" customWidth="1"/>
    <col min="7936" max="7937" width="18" style="657" bestFit="1" customWidth="1"/>
    <col min="7938" max="7938" width="13.5703125" style="657" customWidth="1"/>
    <col min="7939" max="8190" width="9.140625" style="657"/>
    <col min="8191" max="8191" width="36.140625" style="657" bestFit="1" customWidth="1"/>
    <col min="8192" max="8193" width="18" style="657" bestFit="1" customWidth="1"/>
    <col min="8194" max="8194" width="13.5703125" style="657" customWidth="1"/>
    <col min="8195" max="8446" width="9.140625" style="657"/>
    <col min="8447" max="8447" width="36.140625" style="657" bestFit="1" customWidth="1"/>
    <col min="8448" max="8449" width="18" style="657" bestFit="1" customWidth="1"/>
    <col min="8450" max="8450" width="13.5703125" style="657" customWidth="1"/>
    <col min="8451" max="8702" width="9.140625" style="657"/>
    <col min="8703" max="8703" width="36.140625" style="657" bestFit="1" customWidth="1"/>
    <col min="8704" max="8705" width="18" style="657" bestFit="1" customWidth="1"/>
    <col min="8706" max="8706" width="13.5703125" style="657" customWidth="1"/>
    <col min="8707" max="8958" width="9.140625" style="657"/>
    <col min="8959" max="8959" width="36.140625" style="657" bestFit="1" customWidth="1"/>
    <col min="8960" max="8961" width="18" style="657" bestFit="1" customWidth="1"/>
    <col min="8962" max="8962" width="13.5703125" style="657" customWidth="1"/>
    <col min="8963" max="9214" width="9.140625" style="657"/>
    <col min="9215" max="9215" width="36.140625" style="657" bestFit="1" customWidth="1"/>
    <col min="9216" max="9217" width="18" style="657" bestFit="1" customWidth="1"/>
    <col min="9218" max="9218" width="13.5703125" style="657" customWidth="1"/>
    <col min="9219" max="9470" width="9.140625" style="657"/>
    <col min="9471" max="9471" width="36.140625" style="657" bestFit="1" customWidth="1"/>
    <col min="9472" max="9473" width="18" style="657" bestFit="1" customWidth="1"/>
    <col min="9474" max="9474" width="13.5703125" style="657" customWidth="1"/>
    <col min="9475" max="9726" width="9.140625" style="657"/>
    <col min="9727" max="9727" width="36.140625" style="657" bestFit="1" customWidth="1"/>
    <col min="9728" max="9729" width="18" style="657" bestFit="1" customWidth="1"/>
    <col min="9730" max="9730" width="13.5703125" style="657" customWidth="1"/>
    <col min="9731" max="9982" width="9.140625" style="657"/>
    <col min="9983" max="9983" width="36.140625" style="657" bestFit="1" customWidth="1"/>
    <col min="9984" max="9985" width="18" style="657" bestFit="1" customWidth="1"/>
    <col min="9986" max="9986" width="13.5703125" style="657" customWidth="1"/>
    <col min="9987" max="10238" width="9.140625" style="657"/>
    <col min="10239" max="10239" width="36.140625" style="657" bestFit="1" customWidth="1"/>
    <col min="10240" max="10241" width="18" style="657" bestFit="1" customWidth="1"/>
    <col min="10242" max="10242" width="13.5703125" style="657" customWidth="1"/>
    <col min="10243" max="10494" width="9.140625" style="657"/>
    <col min="10495" max="10495" width="36.140625" style="657" bestFit="1" customWidth="1"/>
    <col min="10496" max="10497" width="18" style="657" bestFit="1" customWidth="1"/>
    <col min="10498" max="10498" width="13.5703125" style="657" customWidth="1"/>
    <col min="10499" max="10750" width="9.140625" style="657"/>
    <col min="10751" max="10751" width="36.140625" style="657" bestFit="1" customWidth="1"/>
    <col min="10752" max="10753" width="18" style="657" bestFit="1" customWidth="1"/>
    <col min="10754" max="10754" width="13.5703125" style="657" customWidth="1"/>
    <col min="10755" max="11006" width="9.140625" style="657"/>
    <col min="11007" max="11007" width="36.140625" style="657" bestFit="1" customWidth="1"/>
    <col min="11008" max="11009" width="18" style="657" bestFit="1" customWidth="1"/>
    <col min="11010" max="11010" width="13.5703125" style="657" customWidth="1"/>
    <col min="11011" max="11262" width="9.140625" style="657"/>
    <col min="11263" max="11263" width="36.140625" style="657" bestFit="1" customWidth="1"/>
    <col min="11264" max="11265" width="18" style="657" bestFit="1" customWidth="1"/>
    <col min="11266" max="11266" width="13.5703125" style="657" customWidth="1"/>
    <col min="11267" max="11518" width="9.140625" style="657"/>
    <col min="11519" max="11519" width="36.140625" style="657" bestFit="1" customWidth="1"/>
    <col min="11520" max="11521" width="18" style="657" bestFit="1" customWidth="1"/>
    <col min="11522" max="11522" width="13.5703125" style="657" customWidth="1"/>
    <col min="11523" max="11774" width="9.140625" style="657"/>
    <col min="11775" max="11775" width="36.140625" style="657" bestFit="1" customWidth="1"/>
    <col min="11776" max="11777" width="18" style="657" bestFit="1" customWidth="1"/>
    <col min="11778" max="11778" width="13.5703125" style="657" customWidth="1"/>
    <col min="11779" max="12030" width="9.140625" style="657"/>
    <col min="12031" max="12031" width="36.140625" style="657" bestFit="1" customWidth="1"/>
    <col min="12032" max="12033" width="18" style="657" bestFit="1" customWidth="1"/>
    <col min="12034" max="12034" width="13.5703125" style="657" customWidth="1"/>
    <col min="12035" max="12286" width="9.140625" style="657"/>
    <col min="12287" max="12287" width="36.140625" style="657" bestFit="1" customWidth="1"/>
    <col min="12288" max="12289" width="18" style="657" bestFit="1" customWidth="1"/>
    <col min="12290" max="12290" width="13.5703125" style="657" customWidth="1"/>
    <col min="12291" max="12542" width="9.140625" style="657"/>
    <col min="12543" max="12543" width="36.140625" style="657" bestFit="1" customWidth="1"/>
    <col min="12544" max="12545" width="18" style="657" bestFit="1" customWidth="1"/>
    <col min="12546" max="12546" width="13.5703125" style="657" customWidth="1"/>
    <col min="12547" max="12798" width="9.140625" style="657"/>
    <col min="12799" max="12799" width="36.140625" style="657" bestFit="1" customWidth="1"/>
    <col min="12800" max="12801" width="18" style="657" bestFit="1" customWidth="1"/>
    <col min="12802" max="12802" width="13.5703125" style="657" customWidth="1"/>
    <col min="12803" max="13054" width="9.140625" style="657"/>
    <col min="13055" max="13055" width="36.140625" style="657" bestFit="1" customWidth="1"/>
    <col min="13056" max="13057" width="18" style="657" bestFit="1" customWidth="1"/>
    <col min="13058" max="13058" width="13.5703125" style="657" customWidth="1"/>
    <col min="13059" max="13310" width="9.140625" style="657"/>
    <col min="13311" max="13311" width="36.140625" style="657" bestFit="1" customWidth="1"/>
    <col min="13312" max="13313" width="18" style="657" bestFit="1" customWidth="1"/>
    <col min="13314" max="13314" width="13.5703125" style="657" customWidth="1"/>
    <col min="13315" max="13566" width="9.140625" style="657"/>
    <col min="13567" max="13567" width="36.140625" style="657" bestFit="1" customWidth="1"/>
    <col min="13568" max="13569" width="18" style="657" bestFit="1" customWidth="1"/>
    <col min="13570" max="13570" width="13.5703125" style="657" customWidth="1"/>
    <col min="13571" max="13822" width="9.140625" style="657"/>
    <col min="13823" max="13823" width="36.140625" style="657" bestFit="1" customWidth="1"/>
    <col min="13824" max="13825" width="18" style="657" bestFit="1" customWidth="1"/>
    <col min="13826" max="13826" width="13.5703125" style="657" customWidth="1"/>
    <col min="13827" max="14078" width="9.140625" style="657"/>
    <col min="14079" max="14079" width="36.140625" style="657" bestFit="1" customWidth="1"/>
    <col min="14080" max="14081" width="18" style="657" bestFit="1" customWidth="1"/>
    <col min="14082" max="14082" width="13.5703125" style="657" customWidth="1"/>
    <col min="14083" max="14334" width="9.140625" style="657"/>
    <col min="14335" max="14335" width="36.140625" style="657" bestFit="1" customWidth="1"/>
    <col min="14336" max="14337" width="18" style="657" bestFit="1" customWidth="1"/>
    <col min="14338" max="14338" width="13.5703125" style="657" customWidth="1"/>
    <col min="14339" max="14590" width="9.140625" style="657"/>
    <col min="14591" max="14591" width="36.140625" style="657" bestFit="1" customWidth="1"/>
    <col min="14592" max="14593" width="18" style="657" bestFit="1" customWidth="1"/>
    <col min="14594" max="14594" width="13.5703125" style="657" customWidth="1"/>
    <col min="14595" max="14846" width="9.140625" style="657"/>
    <col min="14847" max="14847" width="36.140625" style="657" bestFit="1" customWidth="1"/>
    <col min="14848" max="14849" width="18" style="657" bestFit="1" customWidth="1"/>
    <col min="14850" max="14850" width="13.5703125" style="657" customWidth="1"/>
    <col min="14851" max="15102" width="9.140625" style="657"/>
    <col min="15103" max="15103" width="36.140625" style="657" bestFit="1" customWidth="1"/>
    <col min="15104" max="15105" width="18" style="657" bestFit="1" customWidth="1"/>
    <col min="15106" max="15106" width="13.5703125" style="657" customWidth="1"/>
    <col min="15107" max="15358" width="9.140625" style="657"/>
    <col min="15359" max="15359" width="36.140625" style="657" bestFit="1" customWidth="1"/>
    <col min="15360" max="15361" width="18" style="657" bestFit="1" customWidth="1"/>
    <col min="15362" max="15362" width="13.5703125" style="657" customWidth="1"/>
    <col min="15363" max="15614" width="9.140625" style="657"/>
    <col min="15615" max="15615" width="36.140625" style="657" bestFit="1" customWidth="1"/>
    <col min="15616" max="15617" width="18" style="657" bestFit="1" customWidth="1"/>
    <col min="15618" max="15618" width="13.5703125" style="657" customWidth="1"/>
    <col min="15619" max="15870" width="9.140625" style="657"/>
    <col min="15871" max="15871" width="36.140625" style="657" bestFit="1" customWidth="1"/>
    <col min="15872" max="15873" width="18" style="657" bestFit="1" customWidth="1"/>
    <col min="15874" max="15874" width="13.5703125" style="657" customWidth="1"/>
    <col min="15875" max="16126" width="9.140625" style="657"/>
    <col min="16127" max="16127" width="36.140625" style="657" bestFit="1" customWidth="1"/>
    <col min="16128" max="16129" width="18" style="657" bestFit="1" customWidth="1"/>
    <col min="16130" max="16130" width="13.5703125" style="657" customWidth="1"/>
    <col min="16131" max="16384" width="9.140625" style="657"/>
  </cols>
  <sheetData>
    <row r="1" spans="1:7" hidden="1" outlineLevel="1">
      <c r="C1" s="704" t="s">
        <v>1767</v>
      </c>
    </row>
    <row r="2" spans="1:7" hidden="1" outlineLevel="1">
      <c r="C2" s="704" t="s">
        <v>1768</v>
      </c>
    </row>
    <row r="3" spans="1:7" hidden="1" outlineLevel="1">
      <c r="C3" s="704" t="s">
        <v>1768</v>
      </c>
    </row>
    <row r="4" spans="1:7" hidden="1" outlineLevel="1">
      <c r="C4" s="704" t="s">
        <v>1769</v>
      </c>
    </row>
    <row r="5" spans="1:7" collapsed="1">
      <c r="A5" s="1549" t="s">
        <v>189</v>
      </c>
      <c r="B5" s="1421"/>
      <c r="C5" s="1550"/>
      <c r="D5" s="1551"/>
      <c r="E5" s="1551"/>
      <c r="F5" s="1551"/>
    </row>
    <row r="6" spans="1:7">
      <c r="A6" s="1549" t="s">
        <v>1770</v>
      </c>
      <c r="B6" s="1425"/>
      <c r="C6" s="1425"/>
      <c r="D6" s="1626">
        <f>+C29/(C28+C26+C25+C24+C23+C21+C31+C32+C22)</f>
        <v>3.60957144343277E-2</v>
      </c>
      <c r="E6" s="1627" t="s">
        <v>1771</v>
      </c>
      <c r="F6" s="1421"/>
    </row>
    <row r="7" spans="1:7">
      <c r="A7" s="1549"/>
      <c r="B7" s="1425"/>
      <c r="C7" s="1425"/>
      <c r="D7" s="1421"/>
      <c r="E7" s="1628"/>
      <c r="F7" s="1629"/>
    </row>
    <row r="8" spans="1:7">
      <c r="A8" s="1549"/>
      <c r="B8" s="1425"/>
      <c r="C8" s="1439" t="s">
        <v>1772</v>
      </c>
      <c r="D8" s="1421"/>
      <c r="E8" s="1421"/>
      <c r="F8" s="1421"/>
    </row>
    <row r="9" spans="1:7">
      <c r="A9" s="1549"/>
      <c r="B9" s="1425"/>
      <c r="C9" s="1552" t="s">
        <v>1773</v>
      </c>
      <c r="D9" s="1421"/>
      <c r="E9" s="1421"/>
      <c r="F9" s="1421"/>
    </row>
    <row r="10" spans="1:7">
      <c r="A10" s="1425"/>
      <c r="B10" s="1425"/>
      <c r="C10" s="1553" t="s">
        <v>348</v>
      </c>
      <c r="D10" s="1554" t="s">
        <v>1774</v>
      </c>
      <c r="E10" s="1554" t="s">
        <v>556</v>
      </c>
      <c r="F10" s="1630" t="s">
        <v>1800</v>
      </c>
    </row>
    <row r="11" spans="1:7" s="758" customFormat="1">
      <c r="A11" s="1555">
        <v>50086</v>
      </c>
      <c r="B11" s="1556" t="s">
        <v>60</v>
      </c>
      <c r="C11" s="1557">
        <v>7166.8</v>
      </c>
      <c r="D11" s="1621"/>
      <c r="E11" s="1558">
        <f>+C11+D11</f>
        <v>7166.8</v>
      </c>
      <c r="F11" s="1629"/>
      <c r="G11" s="757"/>
    </row>
    <row r="12" spans="1:7" s="758" customFormat="1">
      <c r="A12" s="1555">
        <v>51260</v>
      </c>
      <c r="B12" s="1556" t="s">
        <v>272</v>
      </c>
      <c r="C12" s="1557">
        <v>903908.71</v>
      </c>
      <c r="D12" s="1631">
        <v>-437090</v>
      </c>
      <c r="E12" s="1558">
        <f t="shared" ref="E12:E75" si="0">+C12+D12</f>
        <v>466818.70999999996</v>
      </c>
      <c r="F12" s="1629" t="s">
        <v>1775</v>
      </c>
      <c r="G12" s="757"/>
    </row>
    <row r="13" spans="1:7" s="758" customFormat="1">
      <c r="A13" s="1555">
        <v>52090</v>
      </c>
      <c r="B13" s="1556" t="s">
        <v>39</v>
      </c>
      <c r="C13" s="1557">
        <v>0</v>
      </c>
      <c r="D13" s="1621"/>
      <c r="E13" s="1558">
        <f t="shared" si="0"/>
        <v>0</v>
      </c>
      <c r="F13" s="1629"/>
      <c r="G13" s="757"/>
    </row>
    <row r="14" spans="1:7" s="758" customFormat="1">
      <c r="A14" s="1555">
        <v>52120</v>
      </c>
      <c r="B14" s="1556" t="s">
        <v>231</v>
      </c>
      <c r="C14" s="1557">
        <v>-202144.51</v>
      </c>
      <c r="D14" s="1621"/>
      <c r="E14" s="1558">
        <f t="shared" si="0"/>
        <v>-202144.51</v>
      </c>
      <c r="F14" s="1629"/>
      <c r="G14" s="757"/>
    </row>
    <row r="15" spans="1:7" s="758" customFormat="1">
      <c r="A15" s="1555">
        <v>56037</v>
      </c>
      <c r="B15" s="1556" t="s">
        <v>124</v>
      </c>
      <c r="C15" s="1557">
        <v>0</v>
      </c>
      <c r="D15" s="1621"/>
      <c r="E15" s="1558">
        <f t="shared" si="0"/>
        <v>0</v>
      </c>
      <c r="F15" s="1629"/>
      <c r="G15" s="757"/>
    </row>
    <row r="16" spans="1:7" s="758" customFormat="1">
      <c r="A16" s="1555">
        <v>57255</v>
      </c>
      <c r="B16" s="1556" t="s">
        <v>63</v>
      </c>
      <c r="C16" s="1557">
        <v>0</v>
      </c>
      <c r="D16" s="1621"/>
      <c r="E16" s="1558">
        <f t="shared" si="0"/>
        <v>0</v>
      </c>
      <c r="F16" s="1629"/>
      <c r="G16" s="757"/>
    </row>
    <row r="17" spans="1:7" s="758" customFormat="1">
      <c r="A17" s="1555">
        <v>57260</v>
      </c>
      <c r="B17" s="1556" t="s">
        <v>272</v>
      </c>
      <c r="C17" s="1557">
        <v>556415.48</v>
      </c>
      <c r="D17" s="1631">
        <v>-4570.95</v>
      </c>
      <c r="E17" s="1558">
        <f t="shared" si="0"/>
        <v>551844.53</v>
      </c>
      <c r="F17" s="1629" t="s">
        <v>1776</v>
      </c>
      <c r="G17" s="757"/>
    </row>
    <row r="18" spans="1:7" s="758" customFormat="1">
      <c r="A18" s="1555">
        <v>59271</v>
      </c>
      <c r="B18" s="1556" t="s">
        <v>549</v>
      </c>
      <c r="C18" s="1557">
        <v>0</v>
      </c>
      <c r="D18" s="1621"/>
      <c r="E18" s="1558">
        <f t="shared" si="0"/>
        <v>0</v>
      </c>
      <c r="F18" s="1629"/>
      <c r="G18" s="757"/>
    </row>
    <row r="19" spans="1:7" s="758" customFormat="1">
      <c r="A19" s="1555">
        <v>59331</v>
      </c>
      <c r="B19" s="1556" t="s">
        <v>1777</v>
      </c>
      <c r="C19" s="1557">
        <v>1222600.6399999999</v>
      </c>
      <c r="D19" s="1621"/>
      <c r="E19" s="1558">
        <f t="shared" si="0"/>
        <v>1222600.6399999999</v>
      </c>
      <c r="F19" s="1629"/>
      <c r="G19" s="757"/>
    </row>
    <row r="20" spans="1:7" s="758" customFormat="1">
      <c r="A20" s="1555">
        <v>59340</v>
      </c>
      <c r="B20" s="1556" t="s">
        <v>85</v>
      </c>
      <c r="C20" s="1557">
        <v>38893.21</v>
      </c>
      <c r="D20" s="1621"/>
      <c r="E20" s="1558">
        <f t="shared" si="0"/>
        <v>38893.21</v>
      </c>
      <c r="F20" s="1629"/>
      <c r="G20" s="757"/>
    </row>
    <row r="21" spans="1:7" s="758" customFormat="1">
      <c r="A21" s="1555">
        <v>70010</v>
      </c>
      <c r="B21" s="1556" t="s">
        <v>17</v>
      </c>
      <c r="C21" s="1557">
        <v>48273845.759999998</v>
      </c>
      <c r="D21" s="1621"/>
      <c r="E21" s="1558">
        <f t="shared" si="0"/>
        <v>48273845.759999998</v>
      </c>
      <c r="F21" s="1629"/>
      <c r="G21" s="757"/>
    </row>
    <row r="22" spans="1:7" s="758" customFormat="1">
      <c r="A22" s="1555">
        <v>70015</v>
      </c>
      <c r="B22" s="1556" t="s">
        <v>1778</v>
      </c>
      <c r="C22" s="1557">
        <v>-969553.23</v>
      </c>
      <c r="D22" s="1621"/>
      <c r="E22" s="1558">
        <f t="shared" si="0"/>
        <v>-969553.23</v>
      </c>
      <c r="F22" s="1629"/>
      <c r="G22" s="757"/>
    </row>
    <row r="23" spans="1:7" s="758" customFormat="1">
      <c r="A23" s="1555">
        <v>70020</v>
      </c>
      <c r="B23" s="1556" t="s">
        <v>24</v>
      </c>
      <c r="C23" s="1557">
        <v>1128950.6000000001</v>
      </c>
      <c r="D23" s="1621"/>
      <c r="E23" s="1558">
        <f t="shared" si="0"/>
        <v>1128950.6000000001</v>
      </c>
      <c r="F23" s="1629"/>
      <c r="G23" s="757"/>
    </row>
    <row r="24" spans="1:7" s="758" customFormat="1">
      <c r="A24" s="1555">
        <v>70025</v>
      </c>
      <c r="B24" s="1556" t="s">
        <v>25</v>
      </c>
      <c r="C24" s="1557">
        <v>119712.81</v>
      </c>
      <c r="D24" s="1621"/>
      <c r="E24" s="1558">
        <f t="shared" si="0"/>
        <v>119712.81</v>
      </c>
      <c r="F24" s="1629"/>
      <c r="G24" s="757"/>
    </row>
    <row r="25" spans="1:7" s="758" customFormat="1">
      <c r="A25" s="1555">
        <v>70030</v>
      </c>
      <c r="B25" s="1556" t="s">
        <v>94</v>
      </c>
      <c r="C25" s="1557">
        <v>30724420.329999998</v>
      </c>
      <c r="D25" s="1621">
        <f>-C25</f>
        <v>-30724420.329999998</v>
      </c>
      <c r="E25" s="1558">
        <f t="shared" si="0"/>
        <v>0</v>
      </c>
      <c r="F25" s="1629"/>
      <c r="G25" s="757"/>
    </row>
    <row r="26" spans="1:7" s="758" customFormat="1">
      <c r="A26" s="1555">
        <v>70036</v>
      </c>
      <c r="B26" s="1556" t="s">
        <v>228</v>
      </c>
      <c r="C26" s="1557">
        <v>26728</v>
      </c>
      <c r="D26" s="1621">
        <f>-C26</f>
        <v>-26728</v>
      </c>
      <c r="E26" s="1558">
        <f t="shared" si="0"/>
        <v>0</v>
      </c>
      <c r="F26" s="1629"/>
      <c r="G26" s="757"/>
    </row>
    <row r="27" spans="1:7" s="758" customFormat="1">
      <c r="A27" s="1555">
        <v>70037</v>
      </c>
      <c r="B27" s="1556" t="s">
        <v>124</v>
      </c>
      <c r="C27" s="1557">
        <v>401522.26</v>
      </c>
      <c r="D27" s="1621">
        <f>-C27</f>
        <v>-401522.26</v>
      </c>
      <c r="E27" s="1558">
        <f t="shared" si="0"/>
        <v>0</v>
      </c>
      <c r="F27" s="1629"/>
      <c r="G27" s="757"/>
    </row>
    <row r="28" spans="1:7" s="758" customFormat="1">
      <c r="A28" s="1555">
        <v>70045</v>
      </c>
      <c r="B28" s="1556" t="s">
        <v>27</v>
      </c>
      <c r="C28" s="1557">
        <v>922183.58</v>
      </c>
      <c r="D28" s="1621"/>
      <c r="E28" s="1558">
        <f t="shared" si="0"/>
        <v>922183.58</v>
      </c>
      <c r="F28" s="1629"/>
      <c r="G28" s="757"/>
    </row>
    <row r="29" spans="1:7" s="758" customFormat="1">
      <c r="A29" s="1555">
        <v>70050</v>
      </c>
      <c r="B29" s="1556" t="s">
        <v>166</v>
      </c>
      <c r="C29" s="1557">
        <v>2890699.83</v>
      </c>
      <c r="D29" s="1621">
        <f>+SUM(D21:D27)*D6</f>
        <v>-1124477.901483319</v>
      </c>
      <c r="E29" s="1558">
        <f t="shared" si="0"/>
        <v>1766221.9285166811</v>
      </c>
      <c r="F29" s="1629" t="s">
        <v>1779</v>
      </c>
      <c r="G29" s="757"/>
    </row>
    <row r="30" spans="1:7" s="758" customFormat="1">
      <c r="A30" s="1555">
        <v>70060</v>
      </c>
      <c r="B30" s="1556" t="s">
        <v>75</v>
      </c>
      <c r="C30" s="1557">
        <v>1487535.54</v>
      </c>
      <c r="D30" s="1621"/>
      <c r="E30" s="1558">
        <f t="shared" si="0"/>
        <v>1487535.54</v>
      </c>
      <c r="F30" s="1629"/>
      <c r="G30" s="757"/>
    </row>
    <row r="31" spans="1:7" s="758" customFormat="1">
      <c r="A31" s="1555">
        <v>70065</v>
      </c>
      <c r="B31" s="1556" t="s">
        <v>21</v>
      </c>
      <c r="C31" s="1557">
        <v>-162512.28</v>
      </c>
      <c r="D31" s="1621"/>
      <c r="E31" s="1558">
        <f t="shared" si="0"/>
        <v>-162512.28</v>
      </c>
      <c r="F31" s="1629"/>
      <c r="G31" s="757"/>
    </row>
    <row r="32" spans="1:7" s="758" customFormat="1">
      <c r="A32" s="1555">
        <v>70070</v>
      </c>
      <c r="B32" s="1556" t="s">
        <v>22</v>
      </c>
      <c r="C32" s="1557">
        <v>20519.07</v>
      </c>
      <c r="D32" s="1621"/>
      <c r="E32" s="1558">
        <f t="shared" si="0"/>
        <v>20519.07</v>
      </c>
      <c r="F32" s="1629"/>
      <c r="G32" s="757"/>
    </row>
    <row r="33" spans="1:7" s="758" customFormat="1">
      <c r="A33" s="1555">
        <v>70086</v>
      </c>
      <c r="B33" s="1556" t="s">
        <v>60</v>
      </c>
      <c r="C33" s="1557">
        <v>264146.40999999997</v>
      </c>
      <c r="D33" s="1621"/>
      <c r="E33" s="1558">
        <f t="shared" si="0"/>
        <v>264146.40999999997</v>
      </c>
      <c r="F33" s="1629"/>
      <c r="G33" s="757"/>
    </row>
    <row r="34" spans="1:7" s="758" customFormat="1">
      <c r="A34" s="1555">
        <v>70090</v>
      </c>
      <c r="B34" s="1556" t="s">
        <v>126</v>
      </c>
      <c r="C34" s="1557">
        <v>1152237.6000000001</v>
      </c>
      <c r="D34" s="1621"/>
      <c r="E34" s="1558">
        <f t="shared" si="0"/>
        <v>1152237.6000000001</v>
      </c>
      <c r="F34" s="1629"/>
      <c r="G34" s="757"/>
    </row>
    <row r="35" spans="1:7" s="758" customFormat="1">
      <c r="A35" s="1555">
        <v>70095</v>
      </c>
      <c r="B35" s="1556" t="s">
        <v>240</v>
      </c>
      <c r="C35" s="1557">
        <v>902521.84</v>
      </c>
      <c r="D35" s="1621">
        <f>-C35</f>
        <v>-902521.84</v>
      </c>
      <c r="E35" s="1558">
        <f t="shared" si="0"/>
        <v>0</v>
      </c>
      <c r="F35" s="1629"/>
      <c r="G35" s="757"/>
    </row>
    <row r="36" spans="1:7" s="758" customFormat="1">
      <c r="A36" s="1555">
        <v>70105</v>
      </c>
      <c r="B36" s="1556" t="s">
        <v>127</v>
      </c>
      <c r="C36" s="1557">
        <v>5424105.9299999997</v>
      </c>
      <c r="D36" s="1621">
        <f>-C36</f>
        <v>-5424105.9299999997</v>
      </c>
      <c r="E36" s="1558">
        <f t="shared" si="0"/>
        <v>0</v>
      </c>
      <c r="F36" s="1629"/>
      <c r="G36" s="757"/>
    </row>
    <row r="37" spans="1:7" s="758" customFormat="1">
      <c r="A37" s="1555">
        <v>70106</v>
      </c>
      <c r="B37" s="1556" t="s">
        <v>1780</v>
      </c>
      <c r="C37" s="1557">
        <v>0</v>
      </c>
      <c r="D37" s="1621"/>
      <c r="E37" s="1558">
        <f t="shared" si="0"/>
        <v>0</v>
      </c>
      <c r="F37" s="1629"/>
      <c r="G37" s="757"/>
    </row>
    <row r="38" spans="1:7" s="758" customFormat="1">
      <c r="A38" s="1555">
        <v>70110</v>
      </c>
      <c r="B38" s="1556" t="s">
        <v>128</v>
      </c>
      <c r="C38" s="1557">
        <v>232406.39999999999</v>
      </c>
      <c r="D38" s="1621">
        <f>-C38</f>
        <v>-232406.39999999999</v>
      </c>
      <c r="E38" s="1558">
        <f t="shared" si="0"/>
        <v>0</v>
      </c>
      <c r="F38" s="1629"/>
      <c r="G38" s="757"/>
    </row>
    <row r="39" spans="1:7" s="758" customFormat="1">
      <c r="A39" s="1555">
        <v>70112</v>
      </c>
      <c r="B39" s="1556" t="s">
        <v>419</v>
      </c>
      <c r="C39" s="1557">
        <v>5250</v>
      </c>
      <c r="D39" s="1621">
        <f>-C39</f>
        <v>-5250</v>
      </c>
      <c r="E39" s="1558">
        <f t="shared" si="0"/>
        <v>0</v>
      </c>
      <c r="F39" s="1629"/>
      <c r="G39" s="757"/>
    </row>
    <row r="40" spans="1:7" s="758" customFormat="1">
      <c r="A40" s="1555">
        <v>70116</v>
      </c>
      <c r="B40" s="1556" t="s">
        <v>120</v>
      </c>
      <c r="C40" s="1557">
        <v>-282086.45</v>
      </c>
      <c r="D40" s="1621"/>
      <c r="E40" s="1558">
        <f t="shared" si="0"/>
        <v>-282086.45</v>
      </c>
      <c r="F40" s="1629"/>
      <c r="G40" s="757"/>
    </row>
    <row r="41" spans="1:7" s="758" customFormat="1">
      <c r="A41" s="1555">
        <v>70120</v>
      </c>
      <c r="B41" s="1556" t="s">
        <v>1781</v>
      </c>
      <c r="C41" s="1557">
        <v>145676.32</v>
      </c>
      <c r="D41" s="1621">
        <f>-C41</f>
        <v>-145676.32</v>
      </c>
      <c r="E41" s="1558">
        <f t="shared" si="0"/>
        <v>0</v>
      </c>
      <c r="F41" s="1629"/>
      <c r="G41" s="757"/>
    </row>
    <row r="42" spans="1:7" s="758" customFormat="1">
      <c r="A42" s="1555">
        <v>70142</v>
      </c>
      <c r="B42" s="1556" t="s">
        <v>51</v>
      </c>
      <c r="C42" s="1557">
        <v>434867.27</v>
      </c>
      <c r="D42" s="1621"/>
      <c r="E42" s="1558">
        <f t="shared" si="0"/>
        <v>434867.27</v>
      </c>
      <c r="F42" s="1629"/>
      <c r="G42" s="757"/>
    </row>
    <row r="43" spans="1:7" s="758" customFormat="1">
      <c r="A43" s="1555">
        <v>70145</v>
      </c>
      <c r="B43" s="1556" t="s">
        <v>234</v>
      </c>
      <c r="C43" s="1557">
        <v>27841.59</v>
      </c>
      <c r="D43" s="1621"/>
      <c r="E43" s="1558">
        <f t="shared" si="0"/>
        <v>27841.59</v>
      </c>
      <c r="F43" s="1629"/>
      <c r="G43" s="757"/>
    </row>
    <row r="44" spans="1:7" s="758" customFormat="1">
      <c r="A44" s="1555">
        <v>70146</v>
      </c>
      <c r="B44" s="1556" t="s">
        <v>1782</v>
      </c>
      <c r="C44" s="1557">
        <v>2341</v>
      </c>
      <c r="D44" s="1621">
        <f>-C44</f>
        <v>-2341</v>
      </c>
      <c r="E44" s="1558">
        <f t="shared" si="0"/>
        <v>0</v>
      </c>
      <c r="F44" s="1629"/>
      <c r="G44" s="757"/>
    </row>
    <row r="45" spans="1:7" s="758" customFormat="1">
      <c r="A45" s="1555">
        <v>70147</v>
      </c>
      <c r="B45" s="1556" t="s">
        <v>636</v>
      </c>
      <c r="C45" s="1557">
        <v>30463.439999999999</v>
      </c>
      <c r="D45" s="1621"/>
      <c r="E45" s="1558">
        <f t="shared" si="0"/>
        <v>30463.439999999999</v>
      </c>
      <c r="F45" s="1629"/>
      <c r="G45" s="757"/>
    </row>
    <row r="46" spans="1:7" s="758" customFormat="1">
      <c r="A46" s="1555">
        <v>70165</v>
      </c>
      <c r="B46" s="1556" t="s">
        <v>235</v>
      </c>
      <c r="C46" s="1557">
        <v>1125406.97</v>
      </c>
      <c r="D46" s="1621"/>
      <c r="E46" s="1558">
        <f t="shared" si="0"/>
        <v>1125406.97</v>
      </c>
      <c r="F46" s="1629"/>
      <c r="G46" s="757"/>
    </row>
    <row r="47" spans="1:7" s="758" customFormat="1">
      <c r="A47" s="1555">
        <v>70167</v>
      </c>
      <c r="B47" s="1556" t="s">
        <v>260</v>
      </c>
      <c r="C47" s="1557">
        <v>48151.28</v>
      </c>
      <c r="D47" s="1621"/>
      <c r="E47" s="1558">
        <f t="shared" si="0"/>
        <v>48151.28</v>
      </c>
      <c r="F47" s="1629"/>
      <c r="G47" s="757"/>
    </row>
    <row r="48" spans="1:7" s="758" customFormat="1">
      <c r="A48" s="1555">
        <v>70170</v>
      </c>
      <c r="B48" s="1556" t="s">
        <v>1783</v>
      </c>
      <c r="C48" s="1557">
        <v>1300756.93</v>
      </c>
      <c r="D48" s="1621"/>
      <c r="E48" s="1558">
        <f t="shared" si="0"/>
        <v>1300756.93</v>
      </c>
      <c r="F48" s="1629"/>
      <c r="G48" s="757"/>
    </row>
    <row r="49" spans="1:7" s="758" customFormat="1">
      <c r="A49" s="1555">
        <v>70175</v>
      </c>
      <c r="B49" s="1556" t="s">
        <v>1784</v>
      </c>
      <c r="C49" s="1557">
        <v>19809.5</v>
      </c>
      <c r="D49" s="1621"/>
      <c r="E49" s="1558">
        <f t="shared" si="0"/>
        <v>19809.5</v>
      </c>
      <c r="F49" s="1629"/>
      <c r="G49" s="757"/>
    </row>
    <row r="50" spans="1:7" s="758" customFormat="1">
      <c r="A50" s="1555">
        <v>70185</v>
      </c>
      <c r="B50" s="1556" t="s">
        <v>76</v>
      </c>
      <c r="C50" s="1557">
        <v>510518.74</v>
      </c>
      <c r="D50" s="1621"/>
      <c r="E50" s="1558">
        <f t="shared" si="0"/>
        <v>510518.74</v>
      </c>
      <c r="F50" s="1629"/>
      <c r="G50" s="757"/>
    </row>
    <row r="51" spans="1:7" s="758" customFormat="1">
      <c r="A51" s="1555">
        <v>70190</v>
      </c>
      <c r="B51" s="1556" t="s">
        <v>639</v>
      </c>
      <c r="C51" s="1557">
        <v>718674.64</v>
      </c>
      <c r="D51" s="1621">
        <f>-C51</f>
        <v>-718674.64</v>
      </c>
      <c r="E51" s="1558">
        <f t="shared" si="0"/>
        <v>0</v>
      </c>
      <c r="F51" s="1629"/>
      <c r="G51" s="757"/>
    </row>
    <row r="52" spans="1:7" s="758" customFormat="1">
      <c r="A52" s="1555">
        <v>70195</v>
      </c>
      <c r="B52" s="1556" t="s">
        <v>81</v>
      </c>
      <c r="C52" s="1557">
        <v>1445288.66</v>
      </c>
      <c r="D52" s="1621">
        <f>-C52*0.15</f>
        <v>-216793.29899999997</v>
      </c>
      <c r="E52" s="1558">
        <f t="shared" si="0"/>
        <v>1228495.361</v>
      </c>
      <c r="F52" s="1629"/>
      <c r="G52" s="757"/>
    </row>
    <row r="53" spans="1:7" s="758" customFormat="1">
      <c r="A53" s="1555">
        <v>70196</v>
      </c>
      <c r="B53" s="1556" t="s">
        <v>134</v>
      </c>
      <c r="C53" s="1557">
        <v>44880.160000000003</v>
      </c>
      <c r="D53" s="1621">
        <f>-C53</f>
        <v>-44880.160000000003</v>
      </c>
      <c r="E53" s="1558">
        <f t="shared" si="0"/>
        <v>0</v>
      </c>
      <c r="F53" s="1629"/>
      <c r="G53" s="757"/>
    </row>
    <row r="54" spans="1:7" s="758" customFormat="1">
      <c r="A54" s="1555">
        <v>70200</v>
      </c>
      <c r="B54" s="1556" t="s">
        <v>59</v>
      </c>
      <c r="C54" s="1557">
        <v>1040357.53</v>
      </c>
      <c r="D54" s="1621"/>
      <c r="E54" s="1558">
        <f t="shared" si="0"/>
        <v>1040357.53</v>
      </c>
      <c r="F54" s="1629"/>
      <c r="G54" s="757"/>
    </row>
    <row r="55" spans="1:7" s="758" customFormat="1">
      <c r="A55" s="1555">
        <v>70201</v>
      </c>
      <c r="B55" s="1556" t="s">
        <v>77</v>
      </c>
      <c r="C55" s="1557">
        <v>599170.46</v>
      </c>
      <c r="D55" s="1621">
        <f>-C55</f>
        <v>-599170.46</v>
      </c>
      <c r="E55" s="1558">
        <f t="shared" si="0"/>
        <v>0</v>
      </c>
      <c r="F55" s="1629"/>
      <c r="G55" s="757"/>
    </row>
    <row r="56" spans="1:7" s="758" customFormat="1">
      <c r="A56" s="1555">
        <v>70202</v>
      </c>
      <c r="B56" s="1556" t="s">
        <v>261</v>
      </c>
      <c r="C56" s="1557">
        <v>2529020.6</v>
      </c>
      <c r="D56" s="1621">
        <f>-C56</f>
        <v>-2529020.6</v>
      </c>
      <c r="E56" s="1558">
        <f t="shared" si="0"/>
        <v>0</v>
      </c>
      <c r="F56" s="1629"/>
      <c r="G56" s="757"/>
    </row>
    <row r="57" spans="1:7" s="758" customFormat="1">
      <c r="A57" s="1555">
        <v>70203</v>
      </c>
      <c r="B57" s="1556" t="s">
        <v>136</v>
      </c>
      <c r="C57" s="1557">
        <v>610531.16</v>
      </c>
      <c r="D57" s="1621"/>
      <c r="E57" s="1558">
        <f t="shared" si="0"/>
        <v>610531.16</v>
      </c>
      <c r="F57" s="1629"/>
      <c r="G57" s="757"/>
    </row>
    <row r="58" spans="1:7" s="758" customFormat="1">
      <c r="A58" s="1555">
        <v>70205</v>
      </c>
      <c r="B58" s="1556" t="s">
        <v>262</v>
      </c>
      <c r="C58" s="1557">
        <v>367864.29</v>
      </c>
      <c r="D58" s="1621"/>
      <c r="E58" s="1558">
        <f t="shared" si="0"/>
        <v>367864.29</v>
      </c>
      <c r="F58" s="1629"/>
      <c r="G58" s="757"/>
    </row>
    <row r="59" spans="1:7" s="758" customFormat="1">
      <c r="A59" s="1555">
        <v>70206</v>
      </c>
      <c r="B59" s="1556" t="s">
        <v>263</v>
      </c>
      <c r="C59" s="1557">
        <v>346824.35</v>
      </c>
      <c r="D59" s="1621"/>
      <c r="E59" s="1558">
        <f t="shared" si="0"/>
        <v>346824.35</v>
      </c>
      <c r="F59" s="1629"/>
      <c r="G59" s="757"/>
    </row>
    <row r="60" spans="1:7" s="758" customFormat="1">
      <c r="A60" s="1555">
        <v>70210</v>
      </c>
      <c r="B60" s="1556" t="s">
        <v>264</v>
      </c>
      <c r="C60" s="1557">
        <v>250096.6</v>
      </c>
      <c r="D60" s="1621"/>
      <c r="E60" s="1558">
        <f t="shared" si="0"/>
        <v>250096.6</v>
      </c>
      <c r="F60" s="1629"/>
      <c r="G60" s="757"/>
    </row>
    <row r="61" spans="1:7" s="758" customFormat="1">
      <c r="A61" s="1555">
        <v>70214</v>
      </c>
      <c r="B61" s="1556" t="s">
        <v>105</v>
      </c>
      <c r="C61" s="1557">
        <v>180865.98</v>
      </c>
      <c r="D61" s="1621"/>
      <c r="E61" s="1558">
        <f t="shared" si="0"/>
        <v>180865.98</v>
      </c>
      <c r="F61" s="1629"/>
      <c r="G61" s="757"/>
    </row>
    <row r="62" spans="1:7" s="758" customFormat="1">
      <c r="A62" s="1555">
        <v>70215</v>
      </c>
      <c r="B62" s="1556" t="s">
        <v>106</v>
      </c>
      <c r="C62" s="1557">
        <v>3222775.21</v>
      </c>
      <c r="D62" s="1621"/>
      <c r="E62" s="1558">
        <f t="shared" si="0"/>
        <v>3222775.21</v>
      </c>
      <c r="F62" s="1629"/>
      <c r="G62" s="757"/>
    </row>
    <row r="63" spans="1:7" s="758" customFormat="1">
      <c r="A63" s="1555">
        <v>70216</v>
      </c>
      <c r="B63" s="1556" t="s">
        <v>1785</v>
      </c>
      <c r="C63" s="1557">
        <v>96320.18</v>
      </c>
      <c r="D63" s="1621"/>
      <c r="E63" s="1558">
        <f t="shared" si="0"/>
        <v>96320.18</v>
      </c>
      <c r="F63" s="1629"/>
      <c r="G63" s="757"/>
    </row>
    <row r="64" spans="1:7" s="758" customFormat="1">
      <c r="A64" s="1555">
        <v>70230</v>
      </c>
      <c r="B64" s="1556" t="s">
        <v>140</v>
      </c>
      <c r="C64" s="1557">
        <v>294979.15000000002</v>
      </c>
      <c r="D64" s="1621"/>
      <c r="E64" s="1558">
        <f t="shared" si="0"/>
        <v>294979.15000000002</v>
      </c>
      <c r="F64" s="1629"/>
      <c r="G64" s="757"/>
    </row>
    <row r="65" spans="1:7" s="758" customFormat="1">
      <c r="A65" s="1555">
        <v>70231</v>
      </c>
      <c r="B65" s="1556" t="s">
        <v>141</v>
      </c>
      <c r="C65" s="1557">
        <v>300195.20000000001</v>
      </c>
      <c r="D65" s="1621"/>
      <c r="E65" s="1558">
        <f t="shared" si="0"/>
        <v>300195.20000000001</v>
      </c>
      <c r="F65" s="1629"/>
      <c r="G65" s="757"/>
    </row>
    <row r="66" spans="1:7" s="758" customFormat="1">
      <c r="A66" s="1555">
        <v>70232</v>
      </c>
      <c r="B66" s="1556" t="s">
        <v>142</v>
      </c>
      <c r="C66" s="1557">
        <v>0</v>
      </c>
      <c r="D66" s="1621"/>
      <c r="E66" s="1558">
        <f t="shared" si="0"/>
        <v>0</v>
      </c>
      <c r="F66" s="1629"/>
      <c r="G66" s="757"/>
    </row>
    <row r="67" spans="1:7" s="758" customFormat="1">
      <c r="A67" s="1555">
        <v>70235</v>
      </c>
      <c r="B67" s="1556" t="s">
        <v>112</v>
      </c>
      <c r="C67" s="1557">
        <v>17376558.09</v>
      </c>
      <c r="D67" s="1621">
        <f>-C67</f>
        <v>-17376558.09</v>
      </c>
      <c r="E67" s="1558">
        <f t="shared" si="0"/>
        <v>0</v>
      </c>
      <c r="F67" s="1629"/>
      <c r="G67" s="757"/>
    </row>
    <row r="68" spans="1:7" s="758" customFormat="1">
      <c r="A68" s="1555">
        <v>70240</v>
      </c>
      <c r="B68" s="1556" t="s">
        <v>1786</v>
      </c>
      <c r="C68" s="1557">
        <v>4419866.43</v>
      </c>
      <c r="D68" s="1621"/>
      <c r="E68" s="1558">
        <f t="shared" si="0"/>
        <v>4419866.43</v>
      </c>
      <c r="F68" s="1629"/>
      <c r="G68" s="757"/>
    </row>
    <row r="69" spans="1:7" s="758" customFormat="1">
      <c r="A69" s="1555">
        <v>70245</v>
      </c>
      <c r="B69" s="1556" t="s">
        <v>1787</v>
      </c>
      <c r="C69" s="1557">
        <v>952804.39</v>
      </c>
      <c r="D69" s="1621"/>
      <c r="E69" s="1558">
        <f t="shared" si="0"/>
        <v>952804.39</v>
      </c>
      <c r="F69" s="1629"/>
      <c r="G69" s="757"/>
    </row>
    <row r="70" spans="1:7" s="758" customFormat="1">
      <c r="A70" s="1555">
        <v>70250</v>
      </c>
      <c r="B70" s="1556" t="s">
        <v>1788</v>
      </c>
      <c r="C70" s="1557">
        <v>8230500.7000000002</v>
      </c>
      <c r="D70" s="1621">
        <f>-C70</f>
        <v>-8230500.7000000002</v>
      </c>
      <c r="E70" s="1558">
        <f t="shared" si="0"/>
        <v>0</v>
      </c>
      <c r="F70" s="1629"/>
      <c r="G70" s="757"/>
    </row>
    <row r="71" spans="1:7" s="758" customFormat="1">
      <c r="A71" s="1555">
        <v>70255</v>
      </c>
      <c r="B71" s="1556" t="s">
        <v>63</v>
      </c>
      <c r="C71" s="1557">
        <v>2942245.37</v>
      </c>
      <c r="D71" s="1621"/>
      <c r="E71" s="1558">
        <f t="shared" si="0"/>
        <v>2942245.37</v>
      </c>
      <c r="F71" s="1629"/>
      <c r="G71" s="757"/>
    </row>
    <row r="72" spans="1:7" s="758" customFormat="1">
      <c r="A72" s="1555">
        <v>70260</v>
      </c>
      <c r="B72" s="1556" t="s">
        <v>272</v>
      </c>
      <c r="C72" s="1557">
        <v>5430870.1100000003</v>
      </c>
      <c r="D72" s="1631">
        <v>-63927</v>
      </c>
      <c r="E72" s="1558">
        <f t="shared" si="0"/>
        <v>5366943.1100000003</v>
      </c>
      <c r="F72" s="1629"/>
      <c r="G72" s="757"/>
    </row>
    <row r="73" spans="1:7" s="758" customFormat="1">
      <c r="A73" s="1555">
        <v>70271</v>
      </c>
      <c r="B73" s="1556" t="s">
        <v>549</v>
      </c>
      <c r="C73" s="1557">
        <v>815328.47</v>
      </c>
      <c r="D73" s="1621"/>
      <c r="E73" s="1558">
        <f t="shared" si="0"/>
        <v>815328.47</v>
      </c>
      <c r="F73" s="1629"/>
      <c r="G73" s="757"/>
    </row>
    <row r="74" spans="1:7" s="758" customFormat="1">
      <c r="A74" s="1555">
        <v>70273</v>
      </c>
      <c r="B74" s="1556" t="s">
        <v>1789</v>
      </c>
      <c r="C74" s="1557">
        <v>95402.54</v>
      </c>
      <c r="D74" s="1621">
        <f>-C74</f>
        <v>-95402.54</v>
      </c>
      <c r="E74" s="1558">
        <f t="shared" si="0"/>
        <v>0</v>
      </c>
      <c r="F74" s="1629"/>
      <c r="G74" s="757"/>
    </row>
    <row r="75" spans="1:7" s="758" customFormat="1">
      <c r="A75" s="1555">
        <v>70275</v>
      </c>
      <c r="B75" s="1556" t="s">
        <v>243</v>
      </c>
      <c r="C75" s="1557">
        <v>7189.91</v>
      </c>
      <c r="D75" s="1621"/>
      <c r="E75" s="1558">
        <f t="shared" si="0"/>
        <v>7189.91</v>
      </c>
      <c r="F75" s="1629"/>
      <c r="G75" s="757"/>
    </row>
    <row r="76" spans="1:7" s="758" customFormat="1">
      <c r="A76" s="1555">
        <v>70300</v>
      </c>
      <c r="B76" s="1556" t="s">
        <v>107</v>
      </c>
      <c r="C76" s="1557">
        <v>396658.51</v>
      </c>
      <c r="D76" s="1621"/>
      <c r="E76" s="1558">
        <f t="shared" ref="E76:E84" si="1">+C76+D76</f>
        <v>396658.51</v>
      </c>
      <c r="F76" s="1629"/>
      <c r="G76" s="757"/>
    </row>
    <row r="77" spans="1:7" s="758" customFormat="1">
      <c r="A77" s="1555">
        <v>70301</v>
      </c>
      <c r="B77" s="1556" t="s">
        <v>108</v>
      </c>
      <c r="C77" s="1557">
        <v>22985.49</v>
      </c>
      <c r="D77" s="1621"/>
      <c r="E77" s="1558">
        <f t="shared" si="1"/>
        <v>22985.49</v>
      </c>
      <c r="F77" s="1629"/>
      <c r="G77" s="757"/>
    </row>
    <row r="78" spans="1:7" s="758" customFormat="1">
      <c r="A78" s="1555">
        <v>70302</v>
      </c>
      <c r="B78" s="1556" t="s">
        <v>265</v>
      </c>
      <c r="C78" s="1557">
        <v>69974.429999999993</v>
      </c>
      <c r="D78" s="1621"/>
      <c r="E78" s="1558">
        <f t="shared" si="1"/>
        <v>69974.429999999993</v>
      </c>
      <c r="F78" s="1629"/>
      <c r="G78" s="757"/>
    </row>
    <row r="79" spans="1:7" s="758" customFormat="1">
      <c r="A79" s="1555">
        <v>70324</v>
      </c>
      <c r="B79" s="1556" t="s">
        <v>144</v>
      </c>
      <c r="C79" s="1557">
        <v>45644.39</v>
      </c>
      <c r="D79" s="1621">
        <f>-C79</f>
        <v>-45644.39</v>
      </c>
      <c r="E79" s="1558">
        <f t="shared" si="1"/>
        <v>0</v>
      </c>
      <c r="F79" s="1629"/>
      <c r="G79" s="757"/>
    </row>
    <row r="80" spans="1:7" s="758" customFormat="1">
      <c r="A80" s="1555">
        <v>70345</v>
      </c>
      <c r="B80" s="1556" t="s">
        <v>103</v>
      </c>
      <c r="C80" s="1557">
        <v>0</v>
      </c>
      <c r="D80" s="1621"/>
      <c r="E80" s="1558">
        <f t="shared" si="1"/>
        <v>0</v>
      </c>
      <c r="F80" s="1629"/>
      <c r="G80" s="757"/>
    </row>
    <row r="81" spans="1:6">
      <c r="A81" s="1555">
        <v>70357</v>
      </c>
      <c r="B81" s="1556" t="s">
        <v>146</v>
      </c>
      <c r="C81" s="1557">
        <v>0</v>
      </c>
      <c r="D81" s="1621"/>
      <c r="E81" s="1558">
        <f t="shared" si="1"/>
        <v>0</v>
      </c>
      <c r="F81" s="1421"/>
    </row>
    <row r="82" spans="1:6">
      <c r="A82" s="1555">
        <v>70371</v>
      </c>
      <c r="B82" s="1556" t="s">
        <v>1790</v>
      </c>
      <c r="C82" s="1557">
        <v>670068.82999999996</v>
      </c>
      <c r="D82" s="1621">
        <f>-C82</f>
        <v>-670068.82999999996</v>
      </c>
      <c r="E82" s="1558">
        <f t="shared" si="1"/>
        <v>0</v>
      </c>
      <c r="F82" s="1421"/>
    </row>
    <row r="83" spans="1:6">
      <c r="A83" s="1555">
        <v>70372</v>
      </c>
      <c r="B83" s="1556" t="s">
        <v>1791</v>
      </c>
      <c r="C83" s="1557">
        <v>149421.6</v>
      </c>
      <c r="D83" s="1621"/>
      <c r="E83" s="1558">
        <f t="shared" si="1"/>
        <v>149421.6</v>
      </c>
      <c r="F83" s="1421"/>
    </row>
    <row r="84" spans="1:6">
      <c r="A84" s="1555">
        <v>70475</v>
      </c>
      <c r="B84" s="1556" t="s">
        <v>1792</v>
      </c>
      <c r="C84" s="1557">
        <v>936668.22</v>
      </c>
      <c r="D84" s="1621">
        <f>-C84</f>
        <v>-936668.22</v>
      </c>
      <c r="E84" s="1558">
        <f t="shared" si="1"/>
        <v>0</v>
      </c>
      <c r="F84" s="1421"/>
    </row>
    <row r="85" spans="1:6">
      <c r="A85" s="1556"/>
      <c r="B85" s="1556" t="s">
        <v>1793</v>
      </c>
      <c r="C85" s="1559">
        <f>+SUM(C11:C84)</f>
        <v>153345339.01999998</v>
      </c>
      <c r="D85" s="1559">
        <f>+SUM(D11:D84)</f>
        <v>-70958419.860483333</v>
      </c>
      <c r="E85" s="1559">
        <f>+SUM(E11:E84)</f>
        <v>82386919.159516692</v>
      </c>
      <c r="F85" s="1421"/>
    </row>
    <row r="86" spans="1:6">
      <c r="A86" s="1556" t="s">
        <v>1794</v>
      </c>
      <c r="B86" s="1556" t="s">
        <v>1795</v>
      </c>
      <c r="C86" s="1557">
        <v>4922940977.0799999</v>
      </c>
      <c r="D86" s="1632"/>
      <c r="E86" s="1560">
        <f>+C86</f>
        <v>4922940977.0799999</v>
      </c>
      <c r="F86" s="1421"/>
    </row>
    <row r="87" spans="1:6" ht="15.75" thickBot="1">
      <c r="A87" s="1556"/>
      <c r="B87" s="1556"/>
      <c r="C87" s="1561">
        <v>3.1149132141526394E-2</v>
      </c>
      <c r="D87" s="1633"/>
      <c r="E87" s="1561">
        <f>+E85/E86</f>
        <v>1.6735305083503921E-2</v>
      </c>
      <c r="F87" s="1421"/>
    </row>
    <row r="88" spans="1:6">
      <c r="A88" s="1425"/>
      <c r="B88" s="1425"/>
      <c r="C88" s="1425"/>
      <c r="D88" s="1629"/>
      <c r="E88" s="1421"/>
      <c r="F88" s="1421"/>
    </row>
    <row r="89" spans="1:6">
      <c r="A89" s="1425"/>
      <c r="B89" s="1562" t="s">
        <v>1796</v>
      </c>
      <c r="C89" s="1563">
        <v>709888618.61999989</v>
      </c>
      <c r="D89" s="1421"/>
      <c r="E89" s="1421"/>
      <c r="F89" s="1421"/>
    </row>
    <row r="90" spans="1:6">
      <c r="A90" s="1425" t="s">
        <v>1797</v>
      </c>
      <c r="B90" s="1562" t="s">
        <v>1798</v>
      </c>
      <c r="C90" s="1557">
        <v>5632829595.6999998</v>
      </c>
      <c r="D90" s="1421"/>
      <c r="E90" s="1421"/>
      <c r="F90" s="1421"/>
    </row>
    <row r="91" spans="1:6" ht="15.75" thickBot="1">
      <c r="A91" s="1425"/>
      <c r="B91" s="1562" t="s">
        <v>1799</v>
      </c>
      <c r="C91" s="1564">
        <v>2.7223500447636662E-2</v>
      </c>
      <c r="D91" s="1421"/>
      <c r="E91" s="1421"/>
      <c r="F91" s="1421"/>
    </row>
    <row r="92" spans="1:6">
      <c r="A92" s="1425"/>
      <c r="B92" s="1425"/>
      <c r="C92" s="1565"/>
      <c r="D92" s="1551"/>
      <c r="E92" s="1551"/>
      <c r="F92" s="1551"/>
    </row>
  </sheetData>
  <pageMargins left="0.7" right="0.7" top="0.75" bottom="0.75" header="0.3" footer="0.3"/>
  <pageSetup scale="71" fitToHeight="0" orientation="landscape" r:id="rId1"/>
  <headerFooter>
    <oddHeader>&amp;CDESIGNATED INFORMATION IS CONFIDENTIAL PER WAC 480-07-160</oddHeader>
    <oddFooter>&amp;L&amp;F - &amp;A&amp;R&amp;P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0" tint="-0.249977111117893"/>
  </sheetPr>
  <dimension ref="A1:AP276"/>
  <sheetViews>
    <sheetView showGridLines="0" tabSelected="1" view="pageBreakPreview" topLeftCell="D1" zoomScale="60" zoomScaleNormal="85" workbookViewId="0">
      <selection activeCell="AR41" sqref="AR41"/>
    </sheetView>
  </sheetViews>
  <sheetFormatPr defaultColWidth="13.85546875" defaultRowHeight="12.75" outlineLevelRow="1"/>
  <cols>
    <col min="1" max="3" width="0" style="407" hidden="1" customWidth="1"/>
    <col min="4" max="4" width="7.85546875" style="407" customWidth="1"/>
    <col min="5" max="6" width="2.28515625" style="407" customWidth="1"/>
    <col min="7" max="7" width="31.42578125" style="407" customWidth="1"/>
    <col min="8" max="8" width="2.28515625" style="407" customWidth="1"/>
    <col min="9" max="9" width="2.140625" style="407" customWidth="1"/>
    <col min="10" max="10" width="12.28515625" style="20" customWidth="1"/>
    <col min="11" max="11" width="1.5703125" style="407" customWidth="1"/>
    <col min="12" max="12" width="12.28515625" style="20" customWidth="1"/>
    <col min="13" max="13" width="1.5703125" style="407" customWidth="1"/>
    <col min="14" max="14" width="12.28515625" style="20" customWidth="1"/>
    <col min="15" max="15" width="1.5703125" style="407" customWidth="1"/>
    <col min="16" max="16" width="13.5703125" style="20" customWidth="1"/>
    <col min="17" max="17" width="0.85546875" style="407" customWidth="1"/>
    <col min="18" max="18" width="12.28515625" style="20" customWidth="1"/>
    <col min="19" max="19" width="1.5703125" style="407" customWidth="1"/>
    <col min="20" max="20" width="12.28515625" style="20" customWidth="1"/>
    <col min="21" max="21" width="1.5703125" style="407" customWidth="1"/>
    <col min="22" max="22" width="12.28515625" style="20" customWidth="1"/>
    <col min="23" max="23" width="0.85546875" style="407" customWidth="1"/>
    <col min="24" max="24" width="12.28515625" style="20" customWidth="1"/>
    <col min="25" max="25" width="1.5703125" style="407" customWidth="1"/>
    <col min="26" max="26" width="12.28515625" style="20" customWidth="1"/>
    <col min="27" max="27" width="1.5703125" style="407" customWidth="1"/>
    <col min="28" max="28" width="12.28515625" style="20" customWidth="1"/>
    <col min="29" max="29" width="0.85546875" style="407" customWidth="1"/>
    <col min="30" max="30" width="12.28515625" style="20" customWidth="1"/>
    <col min="31" max="31" width="1.5703125" style="407" customWidth="1"/>
    <col min="32" max="32" width="12.28515625" style="20" customWidth="1"/>
    <col min="33" max="33" width="1.5703125" style="407" customWidth="1"/>
    <col min="34" max="34" width="12.28515625" style="20" customWidth="1"/>
    <col min="35" max="35" width="18.28515625" style="407" bestFit="1" customWidth="1"/>
    <col min="36" max="36" width="12.42578125" style="407" bestFit="1" customWidth="1"/>
    <col min="37" max="37" width="16.5703125" style="407" bestFit="1" customWidth="1"/>
    <col min="38" max="38" width="11.85546875" style="407" customWidth="1"/>
    <col min="39" max="261" width="13.85546875" style="407"/>
    <col min="262" max="262" width="7.85546875" style="407" customWidth="1"/>
    <col min="263" max="264" width="2.28515625" style="407" customWidth="1"/>
    <col min="265" max="265" width="31.42578125" style="407" customWidth="1"/>
    <col min="266" max="266" width="2.28515625" style="407" customWidth="1"/>
    <col min="267" max="267" width="2.140625" style="407" customWidth="1"/>
    <col min="268" max="268" width="12.28515625" style="407" customWidth="1"/>
    <col min="269" max="269" width="1.5703125" style="407" customWidth="1"/>
    <col min="270" max="270" width="12.28515625" style="407" customWidth="1"/>
    <col min="271" max="271" width="1.5703125" style="407" customWidth="1"/>
    <col min="272" max="272" width="12.28515625" style="407" customWidth="1"/>
    <col min="273" max="273" width="1.5703125" style="407" customWidth="1"/>
    <col min="274" max="274" width="13.5703125" style="407" customWidth="1"/>
    <col min="275" max="275" width="0.85546875" style="407" customWidth="1"/>
    <col min="276" max="276" width="12.28515625" style="407" customWidth="1"/>
    <col min="277" max="277" width="1.5703125" style="407" customWidth="1"/>
    <col min="278" max="278" width="12.28515625" style="407" customWidth="1"/>
    <col min="279" max="279" width="1.5703125" style="407" customWidth="1"/>
    <col min="280" max="280" width="12.28515625" style="407" customWidth="1"/>
    <col min="281" max="281" width="0.85546875" style="407" customWidth="1"/>
    <col min="282" max="282" width="12.28515625" style="407" customWidth="1"/>
    <col min="283" max="283" width="1.5703125" style="407" customWidth="1"/>
    <col min="284" max="284" width="12.28515625" style="407" customWidth="1"/>
    <col min="285" max="285" width="1.5703125" style="407" customWidth="1"/>
    <col min="286" max="286" width="12.28515625" style="407" customWidth="1"/>
    <col min="287" max="287" width="0.85546875" style="407" customWidth="1"/>
    <col min="288" max="288" width="12.28515625" style="407" customWidth="1"/>
    <col min="289" max="289" width="1.5703125" style="407" customWidth="1"/>
    <col min="290" max="290" width="12.28515625" style="407" customWidth="1"/>
    <col min="291" max="291" width="1.5703125" style="407" customWidth="1"/>
    <col min="292" max="292" width="12.28515625" style="407" customWidth="1"/>
    <col min="293" max="293" width="5.140625" style="407" bestFit="1" customWidth="1"/>
    <col min="294" max="294" width="1.42578125" style="407" customWidth="1"/>
    <col min="295" max="517" width="13.85546875" style="407"/>
    <col min="518" max="518" width="7.85546875" style="407" customWidth="1"/>
    <col min="519" max="520" width="2.28515625" style="407" customWidth="1"/>
    <col min="521" max="521" width="31.42578125" style="407" customWidth="1"/>
    <col min="522" max="522" width="2.28515625" style="407" customWidth="1"/>
    <col min="523" max="523" width="2.140625" style="407" customWidth="1"/>
    <col min="524" max="524" width="12.28515625" style="407" customWidth="1"/>
    <col min="525" max="525" width="1.5703125" style="407" customWidth="1"/>
    <col min="526" max="526" width="12.28515625" style="407" customWidth="1"/>
    <col min="527" max="527" width="1.5703125" style="407" customWidth="1"/>
    <col min="528" max="528" width="12.28515625" style="407" customWidth="1"/>
    <col min="529" max="529" width="1.5703125" style="407" customWidth="1"/>
    <col min="530" max="530" width="13.5703125" style="407" customWidth="1"/>
    <col min="531" max="531" width="0.85546875" style="407" customWidth="1"/>
    <col min="532" max="532" width="12.28515625" style="407" customWidth="1"/>
    <col min="533" max="533" width="1.5703125" style="407" customWidth="1"/>
    <col min="534" max="534" width="12.28515625" style="407" customWidth="1"/>
    <col min="535" max="535" width="1.5703125" style="407" customWidth="1"/>
    <col min="536" max="536" width="12.28515625" style="407" customWidth="1"/>
    <col min="537" max="537" width="0.85546875" style="407" customWidth="1"/>
    <col min="538" max="538" width="12.28515625" style="407" customWidth="1"/>
    <col min="539" max="539" width="1.5703125" style="407" customWidth="1"/>
    <col min="540" max="540" width="12.28515625" style="407" customWidth="1"/>
    <col min="541" max="541" width="1.5703125" style="407" customWidth="1"/>
    <col min="542" max="542" width="12.28515625" style="407" customWidth="1"/>
    <col min="543" max="543" width="0.85546875" style="407" customWidth="1"/>
    <col min="544" max="544" width="12.28515625" style="407" customWidth="1"/>
    <col min="545" max="545" width="1.5703125" style="407" customWidth="1"/>
    <col min="546" max="546" width="12.28515625" style="407" customWidth="1"/>
    <col min="547" max="547" width="1.5703125" style="407" customWidth="1"/>
    <col min="548" max="548" width="12.28515625" style="407" customWidth="1"/>
    <col min="549" max="549" width="5.140625" style="407" bestFit="1" customWidth="1"/>
    <col min="550" max="550" width="1.42578125" style="407" customWidth="1"/>
    <col min="551" max="773" width="13.85546875" style="407"/>
    <col min="774" max="774" width="7.85546875" style="407" customWidth="1"/>
    <col min="775" max="776" width="2.28515625" style="407" customWidth="1"/>
    <col min="777" max="777" width="31.42578125" style="407" customWidth="1"/>
    <col min="778" max="778" width="2.28515625" style="407" customWidth="1"/>
    <col min="779" max="779" width="2.140625" style="407" customWidth="1"/>
    <col min="780" max="780" width="12.28515625" style="407" customWidth="1"/>
    <col min="781" max="781" width="1.5703125" style="407" customWidth="1"/>
    <col min="782" max="782" width="12.28515625" style="407" customWidth="1"/>
    <col min="783" max="783" width="1.5703125" style="407" customWidth="1"/>
    <col min="784" max="784" width="12.28515625" style="407" customWidth="1"/>
    <col min="785" max="785" width="1.5703125" style="407" customWidth="1"/>
    <col min="786" max="786" width="13.5703125" style="407" customWidth="1"/>
    <col min="787" max="787" width="0.85546875" style="407" customWidth="1"/>
    <col min="788" max="788" width="12.28515625" style="407" customWidth="1"/>
    <col min="789" max="789" width="1.5703125" style="407" customWidth="1"/>
    <col min="790" max="790" width="12.28515625" style="407" customWidth="1"/>
    <col min="791" max="791" width="1.5703125" style="407" customWidth="1"/>
    <col min="792" max="792" width="12.28515625" style="407" customWidth="1"/>
    <col min="793" max="793" width="0.85546875" style="407" customWidth="1"/>
    <col min="794" max="794" width="12.28515625" style="407" customWidth="1"/>
    <col min="795" max="795" width="1.5703125" style="407" customWidth="1"/>
    <col min="796" max="796" width="12.28515625" style="407" customWidth="1"/>
    <col min="797" max="797" width="1.5703125" style="407" customWidth="1"/>
    <col min="798" max="798" width="12.28515625" style="407" customWidth="1"/>
    <col min="799" max="799" width="0.85546875" style="407" customWidth="1"/>
    <col min="800" max="800" width="12.28515625" style="407" customWidth="1"/>
    <col min="801" max="801" width="1.5703125" style="407" customWidth="1"/>
    <col min="802" max="802" width="12.28515625" style="407" customWidth="1"/>
    <col min="803" max="803" width="1.5703125" style="407" customWidth="1"/>
    <col min="804" max="804" width="12.28515625" style="407" customWidth="1"/>
    <col min="805" max="805" width="5.140625" style="407" bestFit="1" customWidth="1"/>
    <col min="806" max="806" width="1.42578125" style="407" customWidth="1"/>
    <col min="807" max="1029" width="13.85546875" style="407"/>
    <col min="1030" max="1030" width="7.85546875" style="407" customWidth="1"/>
    <col min="1031" max="1032" width="2.28515625" style="407" customWidth="1"/>
    <col min="1033" max="1033" width="31.42578125" style="407" customWidth="1"/>
    <col min="1034" max="1034" width="2.28515625" style="407" customWidth="1"/>
    <col min="1035" max="1035" width="2.140625" style="407" customWidth="1"/>
    <col min="1036" max="1036" width="12.28515625" style="407" customWidth="1"/>
    <col min="1037" max="1037" width="1.5703125" style="407" customWidth="1"/>
    <col min="1038" max="1038" width="12.28515625" style="407" customWidth="1"/>
    <col min="1039" max="1039" width="1.5703125" style="407" customWidth="1"/>
    <col min="1040" max="1040" width="12.28515625" style="407" customWidth="1"/>
    <col min="1041" max="1041" width="1.5703125" style="407" customWidth="1"/>
    <col min="1042" max="1042" width="13.5703125" style="407" customWidth="1"/>
    <col min="1043" max="1043" width="0.85546875" style="407" customWidth="1"/>
    <col min="1044" max="1044" width="12.28515625" style="407" customWidth="1"/>
    <col min="1045" max="1045" width="1.5703125" style="407" customWidth="1"/>
    <col min="1046" max="1046" width="12.28515625" style="407" customWidth="1"/>
    <col min="1047" max="1047" width="1.5703125" style="407" customWidth="1"/>
    <col min="1048" max="1048" width="12.28515625" style="407" customWidth="1"/>
    <col min="1049" max="1049" width="0.85546875" style="407" customWidth="1"/>
    <col min="1050" max="1050" width="12.28515625" style="407" customWidth="1"/>
    <col min="1051" max="1051" width="1.5703125" style="407" customWidth="1"/>
    <col min="1052" max="1052" width="12.28515625" style="407" customWidth="1"/>
    <col min="1053" max="1053" width="1.5703125" style="407" customWidth="1"/>
    <col min="1054" max="1054" width="12.28515625" style="407" customWidth="1"/>
    <col min="1055" max="1055" width="0.85546875" style="407" customWidth="1"/>
    <col min="1056" max="1056" width="12.28515625" style="407" customWidth="1"/>
    <col min="1057" max="1057" width="1.5703125" style="407" customWidth="1"/>
    <col min="1058" max="1058" width="12.28515625" style="407" customWidth="1"/>
    <col min="1059" max="1059" width="1.5703125" style="407" customWidth="1"/>
    <col min="1060" max="1060" width="12.28515625" style="407" customWidth="1"/>
    <col min="1061" max="1061" width="5.140625" style="407" bestFit="1" customWidth="1"/>
    <col min="1062" max="1062" width="1.42578125" style="407" customWidth="1"/>
    <col min="1063" max="1285" width="13.85546875" style="407"/>
    <col min="1286" max="1286" width="7.85546875" style="407" customWidth="1"/>
    <col min="1287" max="1288" width="2.28515625" style="407" customWidth="1"/>
    <col min="1289" max="1289" width="31.42578125" style="407" customWidth="1"/>
    <col min="1290" max="1290" width="2.28515625" style="407" customWidth="1"/>
    <col min="1291" max="1291" width="2.140625" style="407" customWidth="1"/>
    <col min="1292" max="1292" width="12.28515625" style="407" customWidth="1"/>
    <col min="1293" max="1293" width="1.5703125" style="407" customWidth="1"/>
    <col min="1294" max="1294" width="12.28515625" style="407" customWidth="1"/>
    <col min="1295" max="1295" width="1.5703125" style="407" customWidth="1"/>
    <col min="1296" max="1296" width="12.28515625" style="407" customWidth="1"/>
    <col min="1297" max="1297" width="1.5703125" style="407" customWidth="1"/>
    <col min="1298" max="1298" width="13.5703125" style="407" customWidth="1"/>
    <col min="1299" max="1299" width="0.85546875" style="407" customWidth="1"/>
    <col min="1300" max="1300" width="12.28515625" style="407" customWidth="1"/>
    <col min="1301" max="1301" width="1.5703125" style="407" customWidth="1"/>
    <col min="1302" max="1302" width="12.28515625" style="407" customWidth="1"/>
    <col min="1303" max="1303" width="1.5703125" style="407" customWidth="1"/>
    <col min="1304" max="1304" width="12.28515625" style="407" customWidth="1"/>
    <col min="1305" max="1305" width="0.85546875" style="407" customWidth="1"/>
    <col min="1306" max="1306" width="12.28515625" style="407" customWidth="1"/>
    <col min="1307" max="1307" width="1.5703125" style="407" customWidth="1"/>
    <col min="1308" max="1308" width="12.28515625" style="407" customWidth="1"/>
    <col min="1309" max="1309" width="1.5703125" style="407" customWidth="1"/>
    <col min="1310" max="1310" width="12.28515625" style="407" customWidth="1"/>
    <col min="1311" max="1311" width="0.85546875" style="407" customWidth="1"/>
    <col min="1312" max="1312" width="12.28515625" style="407" customWidth="1"/>
    <col min="1313" max="1313" width="1.5703125" style="407" customWidth="1"/>
    <col min="1314" max="1314" width="12.28515625" style="407" customWidth="1"/>
    <col min="1315" max="1315" width="1.5703125" style="407" customWidth="1"/>
    <col min="1316" max="1316" width="12.28515625" style="407" customWidth="1"/>
    <col min="1317" max="1317" width="5.140625" style="407" bestFit="1" customWidth="1"/>
    <col min="1318" max="1318" width="1.42578125" style="407" customWidth="1"/>
    <col min="1319" max="1541" width="13.85546875" style="407"/>
    <col min="1542" max="1542" width="7.85546875" style="407" customWidth="1"/>
    <col min="1543" max="1544" width="2.28515625" style="407" customWidth="1"/>
    <col min="1545" max="1545" width="31.42578125" style="407" customWidth="1"/>
    <col min="1546" max="1546" width="2.28515625" style="407" customWidth="1"/>
    <col min="1547" max="1547" width="2.140625" style="407" customWidth="1"/>
    <col min="1548" max="1548" width="12.28515625" style="407" customWidth="1"/>
    <col min="1549" max="1549" width="1.5703125" style="407" customWidth="1"/>
    <col min="1550" max="1550" width="12.28515625" style="407" customWidth="1"/>
    <col min="1551" max="1551" width="1.5703125" style="407" customWidth="1"/>
    <col min="1552" max="1552" width="12.28515625" style="407" customWidth="1"/>
    <col min="1553" max="1553" width="1.5703125" style="407" customWidth="1"/>
    <col min="1554" max="1554" width="13.5703125" style="407" customWidth="1"/>
    <col min="1555" max="1555" width="0.85546875" style="407" customWidth="1"/>
    <col min="1556" max="1556" width="12.28515625" style="407" customWidth="1"/>
    <col min="1557" max="1557" width="1.5703125" style="407" customWidth="1"/>
    <col min="1558" max="1558" width="12.28515625" style="407" customWidth="1"/>
    <col min="1559" max="1559" width="1.5703125" style="407" customWidth="1"/>
    <col min="1560" max="1560" width="12.28515625" style="407" customWidth="1"/>
    <col min="1561" max="1561" width="0.85546875" style="407" customWidth="1"/>
    <col min="1562" max="1562" width="12.28515625" style="407" customWidth="1"/>
    <col min="1563" max="1563" width="1.5703125" style="407" customWidth="1"/>
    <col min="1564" max="1564" width="12.28515625" style="407" customWidth="1"/>
    <col min="1565" max="1565" width="1.5703125" style="407" customWidth="1"/>
    <col min="1566" max="1566" width="12.28515625" style="407" customWidth="1"/>
    <col min="1567" max="1567" width="0.85546875" style="407" customWidth="1"/>
    <col min="1568" max="1568" width="12.28515625" style="407" customWidth="1"/>
    <col min="1569" max="1569" width="1.5703125" style="407" customWidth="1"/>
    <col min="1570" max="1570" width="12.28515625" style="407" customWidth="1"/>
    <col min="1571" max="1571" width="1.5703125" style="407" customWidth="1"/>
    <col min="1572" max="1572" width="12.28515625" style="407" customWidth="1"/>
    <col min="1573" max="1573" width="5.140625" style="407" bestFit="1" customWidth="1"/>
    <col min="1574" max="1574" width="1.42578125" style="407" customWidth="1"/>
    <col min="1575" max="1797" width="13.85546875" style="407"/>
    <col min="1798" max="1798" width="7.85546875" style="407" customWidth="1"/>
    <col min="1799" max="1800" width="2.28515625" style="407" customWidth="1"/>
    <col min="1801" max="1801" width="31.42578125" style="407" customWidth="1"/>
    <col min="1802" max="1802" width="2.28515625" style="407" customWidth="1"/>
    <col min="1803" max="1803" width="2.140625" style="407" customWidth="1"/>
    <col min="1804" max="1804" width="12.28515625" style="407" customWidth="1"/>
    <col min="1805" max="1805" width="1.5703125" style="407" customWidth="1"/>
    <col min="1806" max="1806" width="12.28515625" style="407" customWidth="1"/>
    <col min="1807" max="1807" width="1.5703125" style="407" customWidth="1"/>
    <col min="1808" max="1808" width="12.28515625" style="407" customWidth="1"/>
    <col min="1809" max="1809" width="1.5703125" style="407" customWidth="1"/>
    <col min="1810" max="1810" width="13.5703125" style="407" customWidth="1"/>
    <col min="1811" max="1811" width="0.85546875" style="407" customWidth="1"/>
    <col min="1812" max="1812" width="12.28515625" style="407" customWidth="1"/>
    <col min="1813" max="1813" width="1.5703125" style="407" customWidth="1"/>
    <col min="1814" max="1814" width="12.28515625" style="407" customWidth="1"/>
    <col min="1815" max="1815" width="1.5703125" style="407" customWidth="1"/>
    <col min="1816" max="1816" width="12.28515625" style="407" customWidth="1"/>
    <col min="1817" max="1817" width="0.85546875" style="407" customWidth="1"/>
    <col min="1818" max="1818" width="12.28515625" style="407" customWidth="1"/>
    <col min="1819" max="1819" width="1.5703125" style="407" customWidth="1"/>
    <col min="1820" max="1820" width="12.28515625" style="407" customWidth="1"/>
    <col min="1821" max="1821" width="1.5703125" style="407" customWidth="1"/>
    <col min="1822" max="1822" width="12.28515625" style="407" customWidth="1"/>
    <col min="1823" max="1823" width="0.85546875" style="407" customWidth="1"/>
    <col min="1824" max="1824" width="12.28515625" style="407" customWidth="1"/>
    <col min="1825" max="1825" width="1.5703125" style="407" customWidth="1"/>
    <col min="1826" max="1826" width="12.28515625" style="407" customWidth="1"/>
    <col min="1827" max="1827" width="1.5703125" style="407" customWidth="1"/>
    <col min="1828" max="1828" width="12.28515625" style="407" customWidth="1"/>
    <col min="1829" max="1829" width="5.140625" style="407" bestFit="1" customWidth="1"/>
    <col min="1830" max="1830" width="1.42578125" style="407" customWidth="1"/>
    <col min="1831" max="2053" width="13.85546875" style="407"/>
    <col min="2054" max="2054" width="7.85546875" style="407" customWidth="1"/>
    <col min="2055" max="2056" width="2.28515625" style="407" customWidth="1"/>
    <col min="2057" max="2057" width="31.42578125" style="407" customWidth="1"/>
    <col min="2058" max="2058" width="2.28515625" style="407" customWidth="1"/>
    <col min="2059" max="2059" width="2.140625" style="407" customWidth="1"/>
    <col min="2060" max="2060" width="12.28515625" style="407" customWidth="1"/>
    <col min="2061" max="2061" width="1.5703125" style="407" customWidth="1"/>
    <col min="2062" max="2062" width="12.28515625" style="407" customWidth="1"/>
    <col min="2063" max="2063" width="1.5703125" style="407" customWidth="1"/>
    <col min="2064" max="2064" width="12.28515625" style="407" customWidth="1"/>
    <col min="2065" max="2065" width="1.5703125" style="407" customWidth="1"/>
    <col min="2066" max="2066" width="13.5703125" style="407" customWidth="1"/>
    <col min="2067" max="2067" width="0.85546875" style="407" customWidth="1"/>
    <col min="2068" max="2068" width="12.28515625" style="407" customWidth="1"/>
    <col min="2069" max="2069" width="1.5703125" style="407" customWidth="1"/>
    <col min="2070" max="2070" width="12.28515625" style="407" customWidth="1"/>
    <col min="2071" max="2071" width="1.5703125" style="407" customWidth="1"/>
    <col min="2072" max="2072" width="12.28515625" style="407" customWidth="1"/>
    <col min="2073" max="2073" width="0.85546875" style="407" customWidth="1"/>
    <col min="2074" max="2074" width="12.28515625" style="407" customWidth="1"/>
    <col min="2075" max="2075" width="1.5703125" style="407" customWidth="1"/>
    <col min="2076" max="2076" width="12.28515625" style="407" customWidth="1"/>
    <col min="2077" max="2077" width="1.5703125" style="407" customWidth="1"/>
    <col min="2078" max="2078" width="12.28515625" style="407" customWidth="1"/>
    <col min="2079" max="2079" width="0.85546875" style="407" customWidth="1"/>
    <col min="2080" max="2080" width="12.28515625" style="407" customWidth="1"/>
    <col min="2081" max="2081" width="1.5703125" style="407" customWidth="1"/>
    <col min="2082" max="2082" width="12.28515625" style="407" customWidth="1"/>
    <col min="2083" max="2083" width="1.5703125" style="407" customWidth="1"/>
    <col min="2084" max="2084" width="12.28515625" style="407" customWidth="1"/>
    <col min="2085" max="2085" width="5.140625" style="407" bestFit="1" customWidth="1"/>
    <col min="2086" max="2086" width="1.42578125" style="407" customWidth="1"/>
    <col min="2087" max="2309" width="13.85546875" style="407"/>
    <col min="2310" max="2310" width="7.85546875" style="407" customWidth="1"/>
    <col min="2311" max="2312" width="2.28515625" style="407" customWidth="1"/>
    <col min="2313" max="2313" width="31.42578125" style="407" customWidth="1"/>
    <col min="2314" max="2314" width="2.28515625" style="407" customWidth="1"/>
    <col min="2315" max="2315" width="2.140625" style="407" customWidth="1"/>
    <col min="2316" max="2316" width="12.28515625" style="407" customWidth="1"/>
    <col min="2317" max="2317" width="1.5703125" style="407" customWidth="1"/>
    <col min="2318" max="2318" width="12.28515625" style="407" customWidth="1"/>
    <col min="2319" max="2319" width="1.5703125" style="407" customWidth="1"/>
    <col min="2320" max="2320" width="12.28515625" style="407" customWidth="1"/>
    <col min="2321" max="2321" width="1.5703125" style="407" customWidth="1"/>
    <col min="2322" max="2322" width="13.5703125" style="407" customWidth="1"/>
    <col min="2323" max="2323" width="0.85546875" style="407" customWidth="1"/>
    <col min="2324" max="2324" width="12.28515625" style="407" customWidth="1"/>
    <col min="2325" max="2325" width="1.5703125" style="407" customWidth="1"/>
    <col min="2326" max="2326" width="12.28515625" style="407" customWidth="1"/>
    <col min="2327" max="2327" width="1.5703125" style="407" customWidth="1"/>
    <col min="2328" max="2328" width="12.28515625" style="407" customWidth="1"/>
    <col min="2329" max="2329" width="0.85546875" style="407" customWidth="1"/>
    <col min="2330" max="2330" width="12.28515625" style="407" customWidth="1"/>
    <col min="2331" max="2331" width="1.5703125" style="407" customWidth="1"/>
    <col min="2332" max="2332" width="12.28515625" style="407" customWidth="1"/>
    <col min="2333" max="2333" width="1.5703125" style="407" customWidth="1"/>
    <col min="2334" max="2334" width="12.28515625" style="407" customWidth="1"/>
    <col min="2335" max="2335" width="0.85546875" style="407" customWidth="1"/>
    <col min="2336" max="2336" width="12.28515625" style="407" customWidth="1"/>
    <col min="2337" max="2337" width="1.5703125" style="407" customWidth="1"/>
    <col min="2338" max="2338" width="12.28515625" style="407" customWidth="1"/>
    <col min="2339" max="2339" width="1.5703125" style="407" customWidth="1"/>
    <col min="2340" max="2340" width="12.28515625" style="407" customWidth="1"/>
    <col min="2341" max="2341" width="5.140625" style="407" bestFit="1" customWidth="1"/>
    <col min="2342" max="2342" width="1.42578125" style="407" customWidth="1"/>
    <col min="2343" max="2565" width="13.85546875" style="407"/>
    <col min="2566" max="2566" width="7.85546875" style="407" customWidth="1"/>
    <col min="2567" max="2568" width="2.28515625" style="407" customWidth="1"/>
    <col min="2569" max="2569" width="31.42578125" style="407" customWidth="1"/>
    <col min="2570" max="2570" width="2.28515625" style="407" customWidth="1"/>
    <col min="2571" max="2571" width="2.140625" style="407" customWidth="1"/>
    <col min="2572" max="2572" width="12.28515625" style="407" customWidth="1"/>
    <col min="2573" max="2573" width="1.5703125" style="407" customWidth="1"/>
    <col min="2574" max="2574" width="12.28515625" style="407" customWidth="1"/>
    <col min="2575" max="2575" width="1.5703125" style="407" customWidth="1"/>
    <col min="2576" max="2576" width="12.28515625" style="407" customWidth="1"/>
    <col min="2577" max="2577" width="1.5703125" style="407" customWidth="1"/>
    <col min="2578" max="2578" width="13.5703125" style="407" customWidth="1"/>
    <col min="2579" max="2579" width="0.85546875" style="407" customWidth="1"/>
    <col min="2580" max="2580" width="12.28515625" style="407" customWidth="1"/>
    <col min="2581" max="2581" width="1.5703125" style="407" customWidth="1"/>
    <col min="2582" max="2582" width="12.28515625" style="407" customWidth="1"/>
    <col min="2583" max="2583" width="1.5703125" style="407" customWidth="1"/>
    <col min="2584" max="2584" width="12.28515625" style="407" customWidth="1"/>
    <col min="2585" max="2585" width="0.85546875" style="407" customWidth="1"/>
    <col min="2586" max="2586" width="12.28515625" style="407" customWidth="1"/>
    <col min="2587" max="2587" width="1.5703125" style="407" customWidth="1"/>
    <col min="2588" max="2588" width="12.28515625" style="407" customWidth="1"/>
    <col min="2589" max="2589" width="1.5703125" style="407" customWidth="1"/>
    <col min="2590" max="2590" width="12.28515625" style="407" customWidth="1"/>
    <col min="2591" max="2591" width="0.85546875" style="407" customWidth="1"/>
    <col min="2592" max="2592" width="12.28515625" style="407" customWidth="1"/>
    <col min="2593" max="2593" width="1.5703125" style="407" customWidth="1"/>
    <col min="2594" max="2594" width="12.28515625" style="407" customWidth="1"/>
    <col min="2595" max="2595" width="1.5703125" style="407" customWidth="1"/>
    <col min="2596" max="2596" width="12.28515625" style="407" customWidth="1"/>
    <col min="2597" max="2597" width="5.140625" style="407" bestFit="1" customWidth="1"/>
    <col min="2598" max="2598" width="1.42578125" style="407" customWidth="1"/>
    <col min="2599" max="2821" width="13.85546875" style="407"/>
    <col min="2822" max="2822" width="7.85546875" style="407" customWidth="1"/>
    <col min="2823" max="2824" width="2.28515625" style="407" customWidth="1"/>
    <col min="2825" max="2825" width="31.42578125" style="407" customWidth="1"/>
    <col min="2826" max="2826" width="2.28515625" style="407" customWidth="1"/>
    <col min="2827" max="2827" width="2.140625" style="407" customWidth="1"/>
    <col min="2828" max="2828" width="12.28515625" style="407" customWidth="1"/>
    <col min="2829" max="2829" width="1.5703125" style="407" customWidth="1"/>
    <col min="2830" max="2830" width="12.28515625" style="407" customWidth="1"/>
    <col min="2831" max="2831" width="1.5703125" style="407" customWidth="1"/>
    <col min="2832" max="2832" width="12.28515625" style="407" customWidth="1"/>
    <col min="2833" max="2833" width="1.5703125" style="407" customWidth="1"/>
    <col min="2834" max="2834" width="13.5703125" style="407" customWidth="1"/>
    <col min="2835" max="2835" width="0.85546875" style="407" customWidth="1"/>
    <col min="2836" max="2836" width="12.28515625" style="407" customWidth="1"/>
    <col min="2837" max="2837" width="1.5703125" style="407" customWidth="1"/>
    <col min="2838" max="2838" width="12.28515625" style="407" customWidth="1"/>
    <col min="2839" max="2839" width="1.5703125" style="407" customWidth="1"/>
    <col min="2840" max="2840" width="12.28515625" style="407" customWidth="1"/>
    <col min="2841" max="2841" width="0.85546875" style="407" customWidth="1"/>
    <col min="2842" max="2842" width="12.28515625" style="407" customWidth="1"/>
    <col min="2843" max="2843" width="1.5703125" style="407" customWidth="1"/>
    <col min="2844" max="2844" width="12.28515625" style="407" customWidth="1"/>
    <col min="2845" max="2845" width="1.5703125" style="407" customWidth="1"/>
    <col min="2846" max="2846" width="12.28515625" style="407" customWidth="1"/>
    <col min="2847" max="2847" width="0.85546875" style="407" customWidth="1"/>
    <col min="2848" max="2848" width="12.28515625" style="407" customWidth="1"/>
    <col min="2849" max="2849" width="1.5703125" style="407" customWidth="1"/>
    <col min="2850" max="2850" width="12.28515625" style="407" customWidth="1"/>
    <col min="2851" max="2851" width="1.5703125" style="407" customWidth="1"/>
    <col min="2852" max="2852" width="12.28515625" style="407" customWidth="1"/>
    <col min="2853" max="2853" width="5.140625" style="407" bestFit="1" customWidth="1"/>
    <col min="2854" max="2854" width="1.42578125" style="407" customWidth="1"/>
    <col min="2855" max="3077" width="13.85546875" style="407"/>
    <col min="3078" max="3078" width="7.85546875" style="407" customWidth="1"/>
    <col min="3079" max="3080" width="2.28515625" style="407" customWidth="1"/>
    <col min="3081" max="3081" width="31.42578125" style="407" customWidth="1"/>
    <col min="3082" max="3082" width="2.28515625" style="407" customWidth="1"/>
    <col min="3083" max="3083" width="2.140625" style="407" customWidth="1"/>
    <col min="3084" max="3084" width="12.28515625" style="407" customWidth="1"/>
    <col min="3085" max="3085" width="1.5703125" style="407" customWidth="1"/>
    <col min="3086" max="3086" width="12.28515625" style="407" customWidth="1"/>
    <col min="3087" max="3087" width="1.5703125" style="407" customWidth="1"/>
    <col min="3088" max="3088" width="12.28515625" style="407" customWidth="1"/>
    <col min="3089" max="3089" width="1.5703125" style="407" customWidth="1"/>
    <col min="3090" max="3090" width="13.5703125" style="407" customWidth="1"/>
    <col min="3091" max="3091" width="0.85546875" style="407" customWidth="1"/>
    <col min="3092" max="3092" width="12.28515625" style="407" customWidth="1"/>
    <col min="3093" max="3093" width="1.5703125" style="407" customWidth="1"/>
    <col min="3094" max="3094" width="12.28515625" style="407" customWidth="1"/>
    <col min="3095" max="3095" width="1.5703125" style="407" customWidth="1"/>
    <col min="3096" max="3096" width="12.28515625" style="407" customWidth="1"/>
    <col min="3097" max="3097" width="0.85546875" style="407" customWidth="1"/>
    <col min="3098" max="3098" width="12.28515625" style="407" customWidth="1"/>
    <col min="3099" max="3099" width="1.5703125" style="407" customWidth="1"/>
    <col min="3100" max="3100" width="12.28515625" style="407" customWidth="1"/>
    <col min="3101" max="3101" width="1.5703125" style="407" customWidth="1"/>
    <col min="3102" max="3102" width="12.28515625" style="407" customWidth="1"/>
    <col min="3103" max="3103" width="0.85546875" style="407" customWidth="1"/>
    <col min="3104" max="3104" width="12.28515625" style="407" customWidth="1"/>
    <col min="3105" max="3105" width="1.5703125" style="407" customWidth="1"/>
    <col min="3106" max="3106" width="12.28515625" style="407" customWidth="1"/>
    <col min="3107" max="3107" width="1.5703125" style="407" customWidth="1"/>
    <col min="3108" max="3108" width="12.28515625" style="407" customWidth="1"/>
    <col min="3109" max="3109" width="5.140625" style="407" bestFit="1" customWidth="1"/>
    <col min="3110" max="3110" width="1.42578125" style="407" customWidth="1"/>
    <col min="3111" max="3333" width="13.85546875" style="407"/>
    <col min="3334" max="3334" width="7.85546875" style="407" customWidth="1"/>
    <col min="3335" max="3336" width="2.28515625" style="407" customWidth="1"/>
    <col min="3337" max="3337" width="31.42578125" style="407" customWidth="1"/>
    <col min="3338" max="3338" width="2.28515625" style="407" customWidth="1"/>
    <col min="3339" max="3339" width="2.140625" style="407" customWidth="1"/>
    <col min="3340" max="3340" width="12.28515625" style="407" customWidth="1"/>
    <col min="3341" max="3341" width="1.5703125" style="407" customWidth="1"/>
    <col min="3342" max="3342" width="12.28515625" style="407" customWidth="1"/>
    <col min="3343" max="3343" width="1.5703125" style="407" customWidth="1"/>
    <col min="3344" max="3344" width="12.28515625" style="407" customWidth="1"/>
    <col min="3345" max="3345" width="1.5703125" style="407" customWidth="1"/>
    <col min="3346" max="3346" width="13.5703125" style="407" customWidth="1"/>
    <col min="3347" max="3347" width="0.85546875" style="407" customWidth="1"/>
    <col min="3348" max="3348" width="12.28515625" style="407" customWidth="1"/>
    <col min="3349" max="3349" width="1.5703125" style="407" customWidth="1"/>
    <col min="3350" max="3350" width="12.28515625" style="407" customWidth="1"/>
    <col min="3351" max="3351" width="1.5703125" style="407" customWidth="1"/>
    <col min="3352" max="3352" width="12.28515625" style="407" customWidth="1"/>
    <col min="3353" max="3353" width="0.85546875" style="407" customWidth="1"/>
    <col min="3354" max="3354" width="12.28515625" style="407" customWidth="1"/>
    <col min="3355" max="3355" width="1.5703125" style="407" customWidth="1"/>
    <col min="3356" max="3356" width="12.28515625" style="407" customWidth="1"/>
    <col min="3357" max="3357" width="1.5703125" style="407" customWidth="1"/>
    <col min="3358" max="3358" width="12.28515625" style="407" customWidth="1"/>
    <col min="3359" max="3359" width="0.85546875" style="407" customWidth="1"/>
    <col min="3360" max="3360" width="12.28515625" style="407" customWidth="1"/>
    <col min="3361" max="3361" width="1.5703125" style="407" customWidth="1"/>
    <col min="3362" max="3362" width="12.28515625" style="407" customWidth="1"/>
    <col min="3363" max="3363" width="1.5703125" style="407" customWidth="1"/>
    <col min="3364" max="3364" width="12.28515625" style="407" customWidth="1"/>
    <col min="3365" max="3365" width="5.140625" style="407" bestFit="1" customWidth="1"/>
    <col min="3366" max="3366" width="1.42578125" style="407" customWidth="1"/>
    <col min="3367" max="3589" width="13.85546875" style="407"/>
    <col min="3590" max="3590" width="7.85546875" style="407" customWidth="1"/>
    <col min="3591" max="3592" width="2.28515625" style="407" customWidth="1"/>
    <col min="3593" max="3593" width="31.42578125" style="407" customWidth="1"/>
    <col min="3594" max="3594" width="2.28515625" style="407" customWidth="1"/>
    <col min="3595" max="3595" width="2.140625" style="407" customWidth="1"/>
    <col min="3596" max="3596" width="12.28515625" style="407" customWidth="1"/>
    <col min="3597" max="3597" width="1.5703125" style="407" customWidth="1"/>
    <col min="3598" max="3598" width="12.28515625" style="407" customWidth="1"/>
    <col min="3599" max="3599" width="1.5703125" style="407" customWidth="1"/>
    <col min="3600" max="3600" width="12.28515625" style="407" customWidth="1"/>
    <col min="3601" max="3601" width="1.5703125" style="407" customWidth="1"/>
    <col min="3602" max="3602" width="13.5703125" style="407" customWidth="1"/>
    <col min="3603" max="3603" width="0.85546875" style="407" customWidth="1"/>
    <col min="3604" max="3604" width="12.28515625" style="407" customWidth="1"/>
    <col min="3605" max="3605" width="1.5703125" style="407" customWidth="1"/>
    <col min="3606" max="3606" width="12.28515625" style="407" customWidth="1"/>
    <col min="3607" max="3607" width="1.5703125" style="407" customWidth="1"/>
    <col min="3608" max="3608" width="12.28515625" style="407" customWidth="1"/>
    <col min="3609" max="3609" width="0.85546875" style="407" customWidth="1"/>
    <col min="3610" max="3610" width="12.28515625" style="407" customWidth="1"/>
    <col min="3611" max="3611" width="1.5703125" style="407" customWidth="1"/>
    <col min="3612" max="3612" width="12.28515625" style="407" customWidth="1"/>
    <col min="3613" max="3613" width="1.5703125" style="407" customWidth="1"/>
    <col min="3614" max="3614" width="12.28515625" style="407" customWidth="1"/>
    <col min="3615" max="3615" width="0.85546875" style="407" customWidth="1"/>
    <col min="3616" max="3616" width="12.28515625" style="407" customWidth="1"/>
    <col min="3617" max="3617" width="1.5703125" style="407" customWidth="1"/>
    <col min="3618" max="3618" width="12.28515625" style="407" customWidth="1"/>
    <col min="3619" max="3619" width="1.5703125" style="407" customWidth="1"/>
    <col min="3620" max="3620" width="12.28515625" style="407" customWidth="1"/>
    <col min="3621" max="3621" width="5.140625" style="407" bestFit="1" customWidth="1"/>
    <col min="3622" max="3622" width="1.42578125" style="407" customWidth="1"/>
    <col min="3623" max="3845" width="13.85546875" style="407"/>
    <col min="3846" max="3846" width="7.85546875" style="407" customWidth="1"/>
    <col min="3847" max="3848" width="2.28515625" style="407" customWidth="1"/>
    <col min="3849" max="3849" width="31.42578125" style="407" customWidth="1"/>
    <col min="3850" max="3850" width="2.28515625" style="407" customWidth="1"/>
    <col min="3851" max="3851" width="2.140625" style="407" customWidth="1"/>
    <col min="3852" max="3852" width="12.28515625" style="407" customWidth="1"/>
    <col min="3853" max="3853" width="1.5703125" style="407" customWidth="1"/>
    <col min="3854" max="3854" width="12.28515625" style="407" customWidth="1"/>
    <col min="3855" max="3855" width="1.5703125" style="407" customWidth="1"/>
    <col min="3856" max="3856" width="12.28515625" style="407" customWidth="1"/>
    <col min="3857" max="3857" width="1.5703125" style="407" customWidth="1"/>
    <col min="3858" max="3858" width="13.5703125" style="407" customWidth="1"/>
    <col min="3859" max="3859" width="0.85546875" style="407" customWidth="1"/>
    <col min="3860" max="3860" width="12.28515625" style="407" customWidth="1"/>
    <col min="3861" max="3861" width="1.5703125" style="407" customWidth="1"/>
    <col min="3862" max="3862" width="12.28515625" style="407" customWidth="1"/>
    <col min="3863" max="3863" width="1.5703125" style="407" customWidth="1"/>
    <col min="3864" max="3864" width="12.28515625" style="407" customWidth="1"/>
    <col min="3865" max="3865" width="0.85546875" style="407" customWidth="1"/>
    <col min="3866" max="3866" width="12.28515625" style="407" customWidth="1"/>
    <col min="3867" max="3867" width="1.5703125" style="407" customWidth="1"/>
    <col min="3868" max="3868" width="12.28515625" style="407" customWidth="1"/>
    <col min="3869" max="3869" width="1.5703125" style="407" customWidth="1"/>
    <col min="3870" max="3870" width="12.28515625" style="407" customWidth="1"/>
    <col min="3871" max="3871" width="0.85546875" style="407" customWidth="1"/>
    <col min="3872" max="3872" width="12.28515625" style="407" customWidth="1"/>
    <col min="3873" max="3873" width="1.5703125" style="407" customWidth="1"/>
    <col min="3874" max="3874" width="12.28515625" style="407" customWidth="1"/>
    <col min="3875" max="3875" width="1.5703125" style="407" customWidth="1"/>
    <col min="3876" max="3876" width="12.28515625" style="407" customWidth="1"/>
    <col min="3877" max="3877" width="5.140625" style="407" bestFit="1" customWidth="1"/>
    <col min="3878" max="3878" width="1.42578125" style="407" customWidth="1"/>
    <col min="3879" max="4101" width="13.85546875" style="407"/>
    <col min="4102" max="4102" width="7.85546875" style="407" customWidth="1"/>
    <col min="4103" max="4104" width="2.28515625" style="407" customWidth="1"/>
    <col min="4105" max="4105" width="31.42578125" style="407" customWidth="1"/>
    <col min="4106" max="4106" width="2.28515625" style="407" customWidth="1"/>
    <col min="4107" max="4107" width="2.140625" style="407" customWidth="1"/>
    <col min="4108" max="4108" width="12.28515625" style="407" customWidth="1"/>
    <col min="4109" max="4109" width="1.5703125" style="407" customWidth="1"/>
    <col min="4110" max="4110" width="12.28515625" style="407" customWidth="1"/>
    <col min="4111" max="4111" width="1.5703125" style="407" customWidth="1"/>
    <col min="4112" max="4112" width="12.28515625" style="407" customWidth="1"/>
    <col min="4113" max="4113" width="1.5703125" style="407" customWidth="1"/>
    <col min="4114" max="4114" width="13.5703125" style="407" customWidth="1"/>
    <col min="4115" max="4115" width="0.85546875" style="407" customWidth="1"/>
    <col min="4116" max="4116" width="12.28515625" style="407" customWidth="1"/>
    <col min="4117" max="4117" width="1.5703125" style="407" customWidth="1"/>
    <col min="4118" max="4118" width="12.28515625" style="407" customWidth="1"/>
    <col min="4119" max="4119" width="1.5703125" style="407" customWidth="1"/>
    <col min="4120" max="4120" width="12.28515625" style="407" customWidth="1"/>
    <col min="4121" max="4121" width="0.85546875" style="407" customWidth="1"/>
    <col min="4122" max="4122" width="12.28515625" style="407" customWidth="1"/>
    <col min="4123" max="4123" width="1.5703125" style="407" customWidth="1"/>
    <col min="4124" max="4124" width="12.28515625" style="407" customWidth="1"/>
    <col min="4125" max="4125" width="1.5703125" style="407" customWidth="1"/>
    <col min="4126" max="4126" width="12.28515625" style="407" customWidth="1"/>
    <col min="4127" max="4127" width="0.85546875" style="407" customWidth="1"/>
    <col min="4128" max="4128" width="12.28515625" style="407" customWidth="1"/>
    <col min="4129" max="4129" width="1.5703125" style="407" customWidth="1"/>
    <col min="4130" max="4130" width="12.28515625" style="407" customWidth="1"/>
    <col min="4131" max="4131" width="1.5703125" style="407" customWidth="1"/>
    <col min="4132" max="4132" width="12.28515625" style="407" customWidth="1"/>
    <col min="4133" max="4133" width="5.140625" style="407" bestFit="1" customWidth="1"/>
    <col min="4134" max="4134" width="1.42578125" style="407" customWidth="1"/>
    <col min="4135" max="4357" width="13.85546875" style="407"/>
    <col min="4358" max="4358" width="7.85546875" style="407" customWidth="1"/>
    <col min="4359" max="4360" width="2.28515625" style="407" customWidth="1"/>
    <col min="4361" max="4361" width="31.42578125" style="407" customWidth="1"/>
    <col min="4362" max="4362" width="2.28515625" style="407" customWidth="1"/>
    <col min="4363" max="4363" width="2.140625" style="407" customWidth="1"/>
    <col min="4364" max="4364" width="12.28515625" style="407" customWidth="1"/>
    <col min="4365" max="4365" width="1.5703125" style="407" customWidth="1"/>
    <col min="4366" max="4366" width="12.28515625" style="407" customWidth="1"/>
    <col min="4367" max="4367" width="1.5703125" style="407" customWidth="1"/>
    <col min="4368" max="4368" width="12.28515625" style="407" customWidth="1"/>
    <col min="4369" max="4369" width="1.5703125" style="407" customWidth="1"/>
    <col min="4370" max="4370" width="13.5703125" style="407" customWidth="1"/>
    <col min="4371" max="4371" width="0.85546875" style="407" customWidth="1"/>
    <col min="4372" max="4372" width="12.28515625" style="407" customWidth="1"/>
    <col min="4373" max="4373" width="1.5703125" style="407" customWidth="1"/>
    <col min="4374" max="4374" width="12.28515625" style="407" customWidth="1"/>
    <col min="4375" max="4375" width="1.5703125" style="407" customWidth="1"/>
    <col min="4376" max="4376" width="12.28515625" style="407" customWidth="1"/>
    <col min="4377" max="4377" width="0.85546875" style="407" customWidth="1"/>
    <col min="4378" max="4378" width="12.28515625" style="407" customWidth="1"/>
    <col min="4379" max="4379" width="1.5703125" style="407" customWidth="1"/>
    <col min="4380" max="4380" width="12.28515625" style="407" customWidth="1"/>
    <col min="4381" max="4381" width="1.5703125" style="407" customWidth="1"/>
    <col min="4382" max="4382" width="12.28515625" style="407" customWidth="1"/>
    <col min="4383" max="4383" width="0.85546875" style="407" customWidth="1"/>
    <col min="4384" max="4384" width="12.28515625" style="407" customWidth="1"/>
    <col min="4385" max="4385" width="1.5703125" style="407" customWidth="1"/>
    <col min="4386" max="4386" width="12.28515625" style="407" customWidth="1"/>
    <col min="4387" max="4387" width="1.5703125" style="407" customWidth="1"/>
    <col min="4388" max="4388" width="12.28515625" style="407" customWidth="1"/>
    <col min="4389" max="4389" width="5.140625" style="407" bestFit="1" customWidth="1"/>
    <col min="4390" max="4390" width="1.42578125" style="407" customWidth="1"/>
    <col min="4391" max="4613" width="13.85546875" style="407"/>
    <col min="4614" max="4614" width="7.85546875" style="407" customWidth="1"/>
    <col min="4615" max="4616" width="2.28515625" style="407" customWidth="1"/>
    <col min="4617" max="4617" width="31.42578125" style="407" customWidth="1"/>
    <col min="4618" max="4618" width="2.28515625" style="407" customWidth="1"/>
    <col min="4619" max="4619" width="2.140625" style="407" customWidth="1"/>
    <col min="4620" max="4620" width="12.28515625" style="407" customWidth="1"/>
    <col min="4621" max="4621" width="1.5703125" style="407" customWidth="1"/>
    <col min="4622" max="4622" width="12.28515625" style="407" customWidth="1"/>
    <col min="4623" max="4623" width="1.5703125" style="407" customWidth="1"/>
    <col min="4624" max="4624" width="12.28515625" style="407" customWidth="1"/>
    <col min="4625" max="4625" width="1.5703125" style="407" customWidth="1"/>
    <col min="4626" max="4626" width="13.5703125" style="407" customWidth="1"/>
    <col min="4627" max="4627" width="0.85546875" style="407" customWidth="1"/>
    <col min="4628" max="4628" width="12.28515625" style="407" customWidth="1"/>
    <col min="4629" max="4629" width="1.5703125" style="407" customWidth="1"/>
    <col min="4630" max="4630" width="12.28515625" style="407" customWidth="1"/>
    <col min="4631" max="4631" width="1.5703125" style="407" customWidth="1"/>
    <col min="4632" max="4632" width="12.28515625" style="407" customWidth="1"/>
    <col min="4633" max="4633" width="0.85546875" style="407" customWidth="1"/>
    <col min="4634" max="4634" width="12.28515625" style="407" customWidth="1"/>
    <col min="4635" max="4635" width="1.5703125" style="407" customWidth="1"/>
    <col min="4636" max="4636" width="12.28515625" style="407" customWidth="1"/>
    <col min="4637" max="4637" width="1.5703125" style="407" customWidth="1"/>
    <col min="4638" max="4638" width="12.28515625" style="407" customWidth="1"/>
    <col min="4639" max="4639" width="0.85546875" style="407" customWidth="1"/>
    <col min="4640" max="4640" width="12.28515625" style="407" customWidth="1"/>
    <col min="4641" max="4641" width="1.5703125" style="407" customWidth="1"/>
    <col min="4642" max="4642" width="12.28515625" style="407" customWidth="1"/>
    <col min="4643" max="4643" width="1.5703125" style="407" customWidth="1"/>
    <col min="4644" max="4644" width="12.28515625" style="407" customWidth="1"/>
    <col min="4645" max="4645" width="5.140625" style="407" bestFit="1" customWidth="1"/>
    <col min="4646" max="4646" width="1.42578125" style="407" customWidth="1"/>
    <col min="4647" max="4869" width="13.85546875" style="407"/>
    <col min="4870" max="4870" width="7.85546875" style="407" customWidth="1"/>
    <col min="4871" max="4872" width="2.28515625" style="407" customWidth="1"/>
    <col min="4873" max="4873" width="31.42578125" style="407" customWidth="1"/>
    <col min="4874" max="4874" width="2.28515625" style="407" customWidth="1"/>
    <col min="4875" max="4875" width="2.140625" style="407" customWidth="1"/>
    <col min="4876" max="4876" width="12.28515625" style="407" customWidth="1"/>
    <col min="4877" max="4877" width="1.5703125" style="407" customWidth="1"/>
    <col min="4878" max="4878" width="12.28515625" style="407" customWidth="1"/>
    <col min="4879" max="4879" width="1.5703125" style="407" customWidth="1"/>
    <col min="4880" max="4880" width="12.28515625" style="407" customWidth="1"/>
    <col min="4881" max="4881" width="1.5703125" style="407" customWidth="1"/>
    <col min="4882" max="4882" width="13.5703125" style="407" customWidth="1"/>
    <col min="4883" max="4883" width="0.85546875" style="407" customWidth="1"/>
    <col min="4884" max="4884" width="12.28515625" style="407" customWidth="1"/>
    <col min="4885" max="4885" width="1.5703125" style="407" customWidth="1"/>
    <col min="4886" max="4886" width="12.28515625" style="407" customWidth="1"/>
    <col min="4887" max="4887" width="1.5703125" style="407" customWidth="1"/>
    <col min="4888" max="4888" width="12.28515625" style="407" customWidth="1"/>
    <col min="4889" max="4889" width="0.85546875" style="407" customWidth="1"/>
    <col min="4890" max="4890" width="12.28515625" style="407" customWidth="1"/>
    <col min="4891" max="4891" width="1.5703125" style="407" customWidth="1"/>
    <col min="4892" max="4892" width="12.28515625" style="407" customWidth="1"/>
    <col min="4893" max="4893" width="1.5703125" style="407" customWidth="1"/>
    <col min="4894" max="4894" width="12.28515625" style="407" customWidth="1"/>
    <col min="4895" max="4895" width="0.85546875" style="407" customWidth="1"/>
    <col min="4896" max="4896" width="12.28515625" style="407" customWidth="1"/>
    <col min="4897" max="4897" width="1.5703125" style="407" customWidth="1"/>
    <col min="4898" max="4898" width="12.28515625" style="407" customWidth="1"/>
    <col min="4899" max="4899" width="1.5703125" style="407" customWidth="1"/>
    <col min="4900" max="4900" width="12.28515625" style="407" customWidth="1"/>
    <col min="4901" max="4901" width="5.140625" style="407" bestFit="1" customWidth="1"/>
    <col min="4902" max="4902" width="1.42578125" style="407" customWidth="1"/>
    <col min="4903" max="5125" width="13.85546875" style="407"/>
    <col min="5126" max="5126" width="7.85546875" style="407" customWidth="1"/>
    <col min="5127" max="5128" width="2.28515625" style="407" customWidth="1"/>
    <col min="5129" max="5129" width="31.42578125" style="407" customWidth="1"/>
    <col min="5130" max="5130" width="2.28515625" style="407" customWidth="1"/>
    <col min="5131" max="5131" width="2.140625" style="407" customWidth="1"/>
    <col min="5132" max="5132" width="12.28515625" style="407" customWidth="1"/>
    <col min="5133" max="5133" width="1.5703125" style="407" customWidth="1"/>
    <col min="5134" max="5134" width="12.28515625" style="407" customWidth="1"/>
    <col min="5135" max="5135" width="1.5703125" style="407" customWidth="1"/>
    <col min="5136" max="5136" width="12.28515625" style="407" customWidth="1"/>
    <col min="5137" max="5137" width="1.5703125" style="407" customWidth="1"/>
    <col min="5138" max="5138" width="13.5703125" style="407" customWidth="1"/>
    <col min="5139" max="5139" width="0.85546875" style="407" customWidth="1"/>
    <col min="5140" max="5140" width="12.28515625" style="407" customWidth="1"/>
    <col min="5141" max="5141" width="1.5703125" style="407" customWidth="1"/>
    <col min="5142" max="5142" width="12.28515625" style="407" customWidth="1"/>
    <col min="5143" max="5143" width="1.5703125" style="407" customWidth="1"/>
    <col min="5144" max="5144" width="12.28515625" style="407" customWidth="1"/>
    <col min="5145" max="5145" width="0.85546875" style="407" customWidth="1"/>
    <col min="5146" max="5146" width="12.28515625" style="407" customWidth="1"/>
    <col min="5147" max="5147" width="1.5703125" style="407" customWidth="1"/>
    <col min="5148" max="5148" width="12.28515625" style="407" customWidth="1"/>
    <col min="5149" max="5149" width="1.5703125" style="407" customWidth="1"/>
    <col min="5150" max="5150" width="12.28515625" style="407" customWidth="1"/>
    <col min="5151" max="5151" width="0.85546875" style="407" customWidth="1"/>
    <col min="5152" max="5152" width="12.28515625" style="407" customWidth="1"/>
    <col min="5153" max="5153" width="1.5703125" style="407" customWidth="1"/>
    <col min="5154" max="5154" width="12.28515625" style="407" customWidth="1"/>
    <col min="5155" max="5155" width="1.5703125" style="407" customWidth="1"/>
    <col min="5156" max="5156" width="12.28515625" style="407" customWidth="1"/>
    <col min="5157" max="5157" width="5.140625" style="407" bestFit="1" customWidth="1"/>
    <col min="5158" max="5158" width="1.42578125" style="407" customWidth="1"/>
    <col min="5159" max="5381" width="13.85546875" style="407"/>
    <col min="5382" max="5382" width="7.85546875" style="407" customWidth="1"/>
    <col min="5383" max="5384" width="2.28515625" style="407" customWidth="1"/>
    <col min="5385" max="5385" width="31.42578125" style="407" customWidth="1"/>
    <col min="5386" max="5386" width="2.28515625" style="407" customWidth="1"/>
    <col min="5387" max="5387" width="2.140625" style="407" customWidth="1"/>
    <col min="5388" max="5388" width="12.28515625" style="407" customWidth="1"/>
    <col min="5389" max="5389" width="1.5703125" style="407" customWidth="1"/>
    <col min="5390" max="5390" width="12.28515625" style="407" customWidth="1"/>
    <col min="5391" max="5391" width="1.5703125" style="407" customWidth="1"/>
    <col min="5392" max="5392" width="12.28515625" style="407" customWidth="1"/>
    <col min="5393" max="5393" width="1.5703125" style="407" customWidth="1"/>
    <col min="5394" max="5394" width="13.5703125" style="407" customWidth="1"/>
    <col min="5395" max="5395" width="0.85546875" style="407" customWidth="1"/>
    <col min="5396" max="5396" width="12.28515625" style="407" customWidth="1"/>
    <col min="5397" max="5397" width="1.5703125" style="407" customWidth="1"/>
    <col min="5398" max="5398" width="12.28515625" style="407" customWidth="1"/>
    <col min="5399" max="5399" width="1.5703125" style="407" customWidth="1"/>
    <col min="5400" max="5400" width="12.28515625" style="407" customWidth="1"/>
    <col min="5401" max="5401" width="0.85546875" style="407" customWidth="1"/>
    <col min="5402" max="5402" width="12.28515625" style="407" customWidth="1"/>
    <col min="5403" max="5403" width="1.5703125" style="407" customWidth="1"/>
    <col min="5404" max="5404" width="12.28515625" style="407" customWidth="1"/>
    <col min="5405" max="5405" width="1.5703125" style="407" customWidth="1"/>
    <col min="5406" max="5406" width="12.28515625" style="407" customWidth="1"/>
    <col min="5407" max="5407" width="0.85546875" style="407" customWidth="1"/>
    <col min="5408" max="5408" width="12.28515625" style="407" customWidth="1"/>
    <col min="5409" max="5409" width="1.5703125" style="407" customWidth="1"/>
    <col min="5410" max="5410" width="12.28515625" style="407" customWidth="1"/>
    <col min="5411" max="5411" width="1.5703125" style="407" customWidth="1"/>
    <col min="5412" max="5412" width="12.28515625" style="407" customWidth="1"/>
    <col min="5413" max="5413" width="5.140625" style="407" bestFit="1" customWidth="1"/>
    <col min="5414" max="5414" width="1.42578125" style="407" customWidth="1"/>
    <col min="5415" max="5637" width="13.85546875" style="407"/>
    <col min="5638" max="5638" width="7.85546875" style="407" customWidth="1"/>
    <col min="5639" max="5640" width="2.28515625" style="407" customWidth="1"/>
    <col min="5641" max="5641" width="31.42578125" style="407" customWidth="1"/>
    <col min="5642" max="5642" width="2.28515625" style="407" customWidth="1"/>
    <col min="5643" max="5643" width="2.140625" style="407" customWidth="1"/>
    <col min="5644" max="5644" width="12.28515625" style="407" customWidth="1"/>
    <col min="5645" max="5645" width="1.5703125" style="407" customWidth="1"/>
    <col min="5646" max="5646" width="12.28515625" style="407" customWidth="1"/>
    <col min="5647" max="5647" width="1.5703125" style="407" customWidth="1"/>
    <col min="5648" max="5648" width="12.28515625" style="407" customWidth="1"/>
    <col min="5649" max="5649" width="1.5703125" style="407" customWidth="1"/>
    <col min="5650" max="5650" width="13.5703125" style="407" customWidth="1"/>
    <col min="5651" max="5651" width="0.85546875" style="407" customWidth="1"/>
    <col min="5652" max="5652" width="12.28515625" style="407" customWidth="1"/>
    <col min="5653" max="5653" width="1.5703125" style="407" customWidth="1"/>
    <col min="5654" max="5654" width="12.28515625" style="407" customWidth="1"/>
    <col min="5655" max="5655" width="1.5703125" style="407" customWidth="1"/>
    <col min="5656" max="5656" width="12.28515625" style="407" customWidth="1"/>
    <col min="5657" max="5657" width="0.85546875" style="407" customWidth="1"/>
    <col min="5658" max="5658" width="12.28515625" style="407" customWidth="1"/>
    <col min="5659" max="5659" width="1.5703125" style="407" customWidth="1"/>
    <col min="5660" max="5660" width="12.28515625" style="407" customWidth="1"/>
    <col min="5661" max="5661" width="1.5703125" style="407" customWidth="1"/>
    <col min="5662" max="5662" width="12.28515625" style="407" customWidth="1"/>
    <col min="5663" max="5663" width="0.85546875" style="407" customWidth="1"/>
    <col min="5664" max="5664" width="12.28515625" style="407" customWidth="1"/>
    <col min="5665" max="5665" width="1.5703125" style="407" customWidth="1"/>
    <col min="5666" max="5666" width="12.28515625" style="407" customWidth="1"/>
    <col min="5667" max="5667" width="1.5703125" style="407" customWidth="1"/>
    <col min="5668" max="5668" width="12.28515625" style="407" customWidth="1"/>
    <col min="5669" max="5669" width="5.140625" style="407" bestFit="1" customWidth="1"/>
    <col min="5670" max="5670" width="1.42578125" style="407" customWidth="1"/>
    <col min="5671" max="5893" width="13.85546875" style="407"/>
    <col min="5894" max="5894" width="7.85546875" style="407" customWidth="1"/>
    <col min="5895" max="5896" width="2.28515625" style="407" customWidth="1"/>
    <col min="5897" max="5897" width="31.42578125" style="407" customWidth="1"/>
    <col min="5898" max="5898" width="2.28515625" style="407" customWidth="1"/>
    <col min="5899" max="5899" width="2.140625" style="407" customWidth="1"/>
    <col min="5900" max="5900" width="12.28515625" style="407" customWidth="1"/>
    <col min="5901" max="5901" width="1.5703125" style="407" customWidth="1"/>
    <col min="5902" max="5902" width="12.28515625" style="407" customWidth="1"/>
    <col min="5903" max="5903" width="1.5703125" style="407" customWidth="1"/>
    <col min="5904" max="5904" width="12.28515625" style="407" customWidth="1"/>
    <col min="5905" max="5905" width="1.5703125" style="407" customWidth="1"/>
    <col min="5906" max="5906" width="13.5703125" style="407" customWidth="1"/>
    <col min="5907" max="5907" width="0.85546875" style="407" customWidth="1"/>
    <col min="5908" max="5908" width="12.28515625" style="407" customWidth="1"/>
    <col min="5909" max="5909" width="1.5703125" style="407" customWidth="1"/>
    <col min="5910" max="5910" width="12.28515625" style="407" customWidth="1"/>
    <col min="5911" max="5911" width="1.5703125" style="407" customWidth="1"/>
    <col min="5912" max="5912" width="12.28515625" style="407" customWidth="1"/>
    <col min="5913" max="5913" width="0.85546875" style="407" customWidth="1"/>
    <col min="5914" max="5914" width="12.28515625" style="407" customWidth="1"/>
    <col min="5915" max="5915" width="1.5703125" style="407" customWidth="1"/>
    <col min="5916" max="5916" width="12.28515625" style="407" customWidth="1"/>
    <col min="5917" max="5917" width="1.5703125" style="407" customWidth="1"/>
    <col min="5918" max="5918" width="12.28515625" style="407" customWidth="1"/>
    <col min="5919" max="5919" width="0.85546875" style="407" customWidth="1"/>
    <col min="5920" max="5920" width="12.28515625" style="407" customWidth="1"/>
    <col min="5921" max="5921" width="1.5703125" style="407" customWidth="1"/>
    <col min="5922" max="5922" width="12.28515625" style="407" customWidth="1"/>
    <col min="5923" max="5923" width="1.5703125" style="407" customWidth="1"/>
    <col min="5924" max="5924" width="12.28515625" style="407" customWidth="1"/>
    <col min="5925" max="5925" width="5.140625" style="407" bestFit="1" customWidth="1"/>
    <col min="5926" max="5926" width="1.42578125" style="407" customWidth="1"/>
    <col min="5927" max="6149" width="13.85546875" style="407"/>
    <col min="6150" max="6150" width="7.85546875" style="407" customWidth="1"/>
    <col min="6151" max="6152" width="2.28515625" style="407" customWidth="1"/>
    <col min="6153" max="6153" width="31.42578125" style="407" customWidth="1"/>
    <col min="6154" max="6154" width="2.28515625" style="407" customWidth="1"/>
    <col min="6155" max="6155" width="2.140625" style="407" customWidth="1"/>
    <col min="6156" max="6156" width="12.28515625" style="407" customWidth="1"/>
    <col min="6157" max="6157" width="1.5703125" style="407" customWidth="1"/>
    <col min="6158" max="6158" width="12.28515625" style="407" customWidth="1"/>
    <col min="6159" max="6159" width="1.5703125" style="407" customWidth="1"/>
    <col min="6160" max="6160" width="12.28515625" style="407" customWidth="1"/>
    <col min="6161" max="6161" width="1.5703125" style="407" customWidth="1"/>
    <col min="6162" max="6162" width="13.5703125" style="407" customWidth="1"/>
    <col min="6163" max="6163" width="0.85546875" style="407" customWidth="1"/>
    <col min="6164" max="6164" width="12.28515625" style="407" customWidth="1"/>
    <col min="6165" max="6165" width="1.5703125" style="407" customWidth="1"/>
    <col min="6166" max="6166" width="12.28515625" style="407" customWidth="1"/>
    <col min="6167" max="6167" width="1.5703125" style="407" customWidth="1"/>
    <col min="6168" max="6168" width="12.28515625" style="407" customWidth="1"/>
    <col min="6169" max="6169" width="0.85546875" style="407" customWidth="1"/>
    <col min="6170" max="6170" width="12.28515625" style="407" customWidth="1"/>
    <col min="6171" max="6171" width="1.5703125" style="407" customWidth="1"/>
    <col min="6172" max="6172" width="12.28515625" style="407" customWidth="1"/>
    <col min="6173" max="6173" width="1.5703125" style="407" customWidth="1"/>
    <col min="6174" max="6174" width="12.28515625" style="407" customWidth="1"/>
    <col min="6175" max="6175" width="0.85546875" style="407" customWidth="1"/>
    <col min="6176" max="6176" width="12.28515625" style="407" customWidth="1"/>
    <col min="6177" max="6177" width="1.5703125" style="407" customWidth="1"/>
    <col min="6178" max="6178" width="12.28515625" style="407" customWidth="1"/>
    <col min="6179" max="6179" width="1.5703125" style="407" customWidth="1"/>
    <col min="6180" max="6180" width="12.28515625" style="407" customWidth="1"/>
    <col min="6181" max="6181" width="5.140625" style="407" bestFit="1" customWidth="1"/>
    <col min="6182" max="6182" width="1.42578125" style="407" customWidth="1"/>
    <col min="6183" max="6405" width="13.85546875" style="407"/>
    <col min="6406" max="6406" width="7.85546875" style="407" customWidth="1"/>
    <col min="6407" max="6408" width="2.28515625" style="407" customWidth="1"/>
    <col min="6409" max="6409" width="31.42578125" style="407" customWidth="1"/>
    <col min="6410" max="6410" width="2.28515625" style="407" customWidth="1"/>
    <col min="6411" max="6411" width="2.140625" style="407" customWidth="1"/>
    <col min="6412" max="6412" width="12.28515625" style="407" customWidth="1"/>
    <col min="6413" max="6413" width="1.5703125" style="407" customWidth="1"/>
    <col min="6414" max="6414" width="12.28515625" style="407" customWidth="1"/>
    <col min="6415" max="6415" width="1.5703125" style="407" customWidth="1"/>
    <col min="6416" max="6416" width="12.28515625" style="407" customWidth="1"/>
    <col min="6417" max="6417" width="1.5703125" style="407" customWidth="1"/>
    <col min="6418" max="6418" width="13.5703125" style="407" customWidth="1"/>
    <col min="6419" max="6419" width="0.85546875" style="407" customWidth="1"/>
    <col min="6420" max="6420" width="12.28515625" style="407" customWidth="1"/>
    <col min="6421" max="6421" width="1.5703125" style="407" customWidth="1"/>
    <col min="6422" max="6422" width="12.28515625" style="407" customWidth="1"/>
    <col min="6423" max="6423" width="1.5703125" style="407" customWidth="1"/>
    <col min="6424" max="6424" width="12.28515625" style="407" customWidth="1"/>
    <col min="6425" max="6425" width="0.85546875" style="407" customWidth="1"/>
    <col min="6426" max="6426" width="12.28515625" style="407" customWidth="1"/>
    <col min="6427" max="6427" width="1.5703125" style="407" customWidth="1"/>
    <col min="6428" max="6428" width="12.28515625" style="407" customWidth="1"/>
    <col min="6429" max="6429" width="1.5703125" style="407" customWidth="1"/>
    <col min="6430" max="6430" width="12.28515625" style="407" customWidth="1"/>
    <col min="6431" max="6431" width="0.85546875" style="407" customWidth="1"/>
    <col min="6432" max="6432" width="12.28515625" style="407" customWidth="1"/>
    <col min="6433" max="6433" width="1.5703125" style="407" customWidth="1"/>
    <col min="6434" max="6434" width="12.28515625" style="407" customWidth="1"/>
    <col min="6435" max="6435" width="1.5703125" style="407" customWidth="1"/>
    <col min="6436" max="6436" width="12.28515625" style="407" customWidth="1"/>
    <col min="6437" max="6437" width="5.140625" style="407" bestFit="1" customWidth="1"/>
    <col min="6438" max="6438" width="1.42578125" style="407" customWidth="1"/>
    <col min="6439" max="6661" width="13.85546875" style="407"/>
    <col min="6662" max="6662" width="7.85546875" style="407" customWidth="1"/>
    <col min="6663" max="6664" width="2.28515625" style="407" customWidth="1"/>
    <col min="6665" max="6665" width="31.42578125" style="407" customWidth="1"/>
    <col min="6666" max="6666" width="2.28515625" style="407" customWidth="1"/>
    <col min="6667" max="6667" width="2.140625" style="407" customWidth="1"/>
    <col min="6668" max="6668" width="12.28515625" style="407" customWidth="1"/>
    <col min="6669" max="6669" width="1.5703125" style="407" customWidth="1"/>
    <col min="6670" max="6670" width="12.28515625" style="407" customWidth="1"/>
    <col min="6671" max="6671" width="1.5703125" style="407" customWidth="1"/>
    <col min="6672" max="6672" width="12.28515625" style="407" customWidth="1"/>
    <col min="6673" max="6673" width="1.5703125" style="407" customWidth="1"/>
    <col min="6674" max="6674" width="13.5703125" style="407" customWidth="1"/>
    <col min="6675" max="6675" width="0.85546875" style="407" customWidth="1"/>
    <col min="6676" max="6676" width="12.28515625" style="407" customWidth="1"/>
    <col min="6677" max="6677" width="1.5703125" style="407" customWidth="1"/>
    <col min="6678" max="6678" width="12.28515625" style="407" customWidth="1"/>
    <col min="6679" max="6679" width="1.5703125" style="407" customWidth="1"/>
    <col min="6680" max="6680" width="12.28515625" style="407" customWidth="1"/>
    <col min="6681" max="6681" width="0.85546875" style="407" customWidth="1"/>
    <col min="6682" max="6682" width="12.28515625" style="407" customWidth="1"/>
    <col min="6683" max="6683" width="1.5703125" style="407" customWidth="1"/>
    <col min="6684" max="6684" width="12.28515625" style="407" customWidth="1"/>
    <col min="6685" max="6685" width="1.5703125" style="407" customWidth="1"/>
    <col min="6686" max="6686" width="12.28515625" style="407" customWidth="1"/>
    <col min="6687" max="6687" width="0.85546875" style="407" customWidth="1"/>
    <col min="6688" max="6688" width="12.28515625" style="407" customWidth="1"/>
    <col min="6689" max="6689" width="1.5703125" style="407" customWidth="1"/>
    <col min="6690" max="6690" width="12.28515625" style="407" customWidth="1"/>
    <col min="6691" max="6691" width="1.5703125" style="407" customWidth="1"/>
    <col min="6692" max="6692" width="12.28515625" style="407" customWidth="1"/>
    <col min="6693" max="6693" width="5.140625" style="407" bestFit="1" customWidth="1"/>
    <col min="6694" max="6694" width="1.42578125" style="407" customWidth="1"/>
    <col min="6695" max="6917" width="13.85546875" style="407"/>
    <col min="6918" max="6918" width="7.85546875" style="407" customWidth="1"/>
    <col min="6919" max="6920" width="2.28515625" style="407" customWidth="1"/>
    <col min="6921" max="6921" width="31.42578125" style="407" customWidth="1"/>
    <col min="6922" max="6922" width="2.28515625" style="407" customWidth="1"/>
    <col min="6923" max="6923" width="2.140625" style="407" customWidth="1"/>
    <col min="6924" max="6924" width="12.28515625" style="407" customWidth="1"/>
    <col min="6925" max="6925" width="1.5703125" style="407" customWidth="1"/>
    <col min="6926" max="6926" width="12.28515625" style="407" customWidth="1"/>
    <col min="6927" max="6927" width="1.5703125" style="407" customWidth="1"/>
    <col min="6928" max="6928" width="12.28515625" style="407" customWidth="1"/>
    <col min="6929" max="6929" width="1.5703125" style="407" customWidth="1"/>
    <col min="6930" max="6930" width="13.5703125" style="407" customWidth="1"/>
    <col min="6931" max="6931" width="0.85546875" style="407" customWidth="1"/>
    <col min="6932" max="6932" width="12.28515625" style="407" customWidth="1"/>
    <col min="6933" max="6933" width="1.5703125" style="407" customWidth="1"/>
    <col min="6934" max="6934" width="12.28515625" style="407" customWidth="1"/>
    <col min="6935" max="6935" width="1.5703125" style="407" customWidth="1"/>
    <col min="6936" max="6936" width="12.28515625" style="407" customWidth="1"/>
    <col min="6937" max="6937" width="0.85546875" style="407" customWidth="1"/>
    <col min="6938" max="6938" width="12.28515625" style="407" customWidth="1"/>
    <col min="6939" max="6939" width="1.5703125" style="407" customWidth="1"/>
    <col min="6940" max="6940" width="12.28515625" style="407" customWidth="1"/>
    <col min="6941" max="6941" width="1.5703125" style="407" customWidth="1"/>
    <col min="6942" max="6942" width="12.28515625" style="407" customWidth="1"/>
    <col min="6943" max="6943" width="0.85546875" style="407" customWidth="1"/>
    <col min="6944" max="6944" width="12.28515625" style="407" customWidth="1"/>
    <col min="6945" max="6945" width="1.5703125" style="407" customWidth="1"/>
    <col min="6946" max="6946" width="12.28515625" style="407" customWidth="1"/>
    <col min="6947" max="6947" width="1.5703125" style="407" customWidth="1"/>
    <col min="6948" max="6948" width="12.28515625" style="407" customWidth="1"/>
    <col min="6949" max="6949" width="5.140625" style="407" bestFit="1" customWidth="1"/>
    <col min="6950" max="6950" width="1.42578125" style="407" customWidth="1"/>
    <col min="6951" max="7173" width="13.85546875" style="407"/>
    <col min="7174" max="7174" width="7.85546875" style="407" customWidth="1"/>
    <col min="7175" max="7176" width="2.28515625" style="407" customWidth="1"/>
    <col min="7177" max="7177" width="31.42578125" style="407" customWidth="1"/>
    <col min="7178" max="7178" width="2.28515625" style="407" customWidth="1"/>
    <col min="7179" max="7179" width="2.140625" style="407" customWidth="1"/>
    <col min="7180" max="7180" width="12.28515625" style="407" customWidth="1"/>
    <col min="7181" max="7181" width="1.5703125" style="407" customWidth="1"/>
    <col min="7182" max="7182" width="12.28515625" style="407" customWidth="1"/>
    <col min="7183" max="7183" width="1.5703125" style="407" customWidth="1"/>
    <col min="7184" max="7184" width="12.28515625" style="407" customWidth="1"/>
    <col min="7185" max="7185" width="1.5703125" style="407" customWidth="1"/>
    <col min="7186" max="7186" width="13.5703125" style="407" customWidth="1"/>
    <col min="7187" max="7187" width="0.85546875" style="407" customWidth="1"/>
    <col min="7188" max="7188" width="12.28515625" style="407" customWidth="1"/>
    <col min="7189" max="7189" width="1.5703125" style="407" customWidth="1"/>
    <col min="7190" max="7190" width="12.28515625" style="407" customWidth="1"/>
    <col min="7191" max="7191" width="1.5703125" style="407" customWidth="1"/>
    <col min="7192" max="7192" width="12.28515625" style="407" customWidth="1"/>
    <col min="7193" max="7193" width="0.85546875" style="407" customWidth="1"/>
    <col min="7194" max="7194" width="12.28515625" style="407" customWidth="1"/>
    <col min="7195" max="7195" width="1.5703125" style="407" customWidth="1"/>
    <col min="7196" max="7196" width="12.28515625" style="407" customWidth="1"/>
    <col min="7197" max="7197" width="1.5703125" style="407" customWidth="1"/>
    <col min="7198" max="7198" width="12.28515625" style="407" customWidth="1"/>
    <col min="7199" max="7199" width="0.85546875" style="407" customWidth="1"/>
    <col min="7200" max="7200" width="12.28515625" style="407" customWidth="1"/>
    <col min="7201" max="7201" width="1.5703125" style="407" customWidth="1"/>
    <col min="7202" max="7202" width="12.28515625" style="407" customWidth="1"/>
    <col min="7203" max="7203" width="1.5703125" style="407" customWidth="1"/>
    <col min="7204" max="7204" width="12.28515625" style="407" customWidth="1"/>
    <col min="7205" max="7205" width="5.140625" style="407" bestFit="1" customWidth="1"/>
    <col min="7206" max="7206" width="1.42578125" style="407" customWidth="1"/>
    <col min="7207" max="7429" width="13.85546875" style="407"/>
    <col min="7430" max="7430" width="7.85546875" style="407" customWidth="1"/>
    <col min="7431" max="7432" width="2.28515625" style="407" customWidth="1"/>
    <col min="7433" max="7433" width="31.42578125" style="407" customWidth="1"/>
    <col min="7434" max="7434" width="2.28515625" style="407" customWidth="1"/>
    <col min="7435" max="7435" width="2.140625" style="407" customWidth="1"/>
    <col min="7436" max="7436" width="12.28515625" style="407" customWidth="1"/>
    <col min="7437" max="7437" width="1.5703125" style="407" customWidth="1"/>
    <col min="7438" max="7438" width="12.28515625" style="407" customWidth="1"/>
    <col min="7439" max="7439" width="1.5703125" style="407" customWidth="1"/>
    <col min="7440" max="7440" width="12.28515625" style="407" customWidth="1"/>
    <col min="7441" max="7441" width="1.5703125" style="407" customWidth="1"/>
    <col min="7442" max="7442" width="13.5703125" style="407" customWidth="1"/>
    <col min="7443" max="7443" width="0.85546875" style="407" customWidth="1"/>
    <col min="7444" max="7444" width="12.28515625" style="407" customWidth="1"/>
    <col min="7445" max="7445" width="1.5703125" style="407" customWidth="1"/>
    <col min="7446" max="7446" width="12.28515625" style="407" customWidth="1"/>
    <col min="7447" max="7447" width="1.5703125" style="407" customWidth="1"/>
    <col min="7448" max="7448" width="12.28515625" style="407" customWidth="1"/>
    <col min="7449" max="7449" width="0.85546875" style="407" customWidth="1"/>
    <col min="7450" max="7450" width="12.28515625" style="407" customWidth="1"/>
    <col min="7451" max="7451" width="1.5703125" style="407" customWidth="1"/>
    <col min="7452" max="7452" width="12.28515625" style="407" customWidth="1"/>
    <col min="7453" max="7453" width="1.5703125" style="407" customWidth="1"/>
    <col min="7454" max="7454" width="12.28515625" style="407" customWidth="1"/>
    <col min="7455" max="7455" width="0.85546875" style="407" customWidth="1"/>
    <col min="7456" max="7456" width="12.28515625" style="407" customWidth="1"/>
    <col min="7457" max="7457" width="1.5703125" style="407" customWidth="1"/>
    <col min="7458" max="7458" width="12.28515625" style="407" customWidth="1"/>
    <col min="7459" max="7459" width="1.5703125" style="407" customWidth="1"/>
    <col min="7460" max="7460" width="12.28515625" style="407" customWidth="1"/>
    <col min="7461" max="7461" width="5.140625" style="407" bestFit="1" customWidth="1"/>
    <col min="7462" max="7462" width="1.42578125" style="407" customWidth="1"/>
    <col min="7463" max="7685" width="13.85546875" style="407"/>
    <col min="7686" max="7686" width="7.85546875" style="407" customWidth="1"/>
    <col min="7687" max="7688" width="2.28515625" style="407" customWidth="1"/>
    <col min="7689" max="7689" width="31.42578125" style="407" customWidth="1"/>
    <col min="7690" max="7690" width="2.28515625" style="407" customWidth="1"/>
    <col min="7691" max="7691" width="2.140625" style="407" customWidth="1"/>
    <col min="7692" max="7692" width="12.28515625" style="407" customWidth="1"/>
    <col min="7693" max="7693" width="1.5703125" style="407" customWidth="1"/>
    <col min="7694" max="7694" width="12.28515625" style="407" customWidth="1"/>
    <col min="7695" max="7695" width="1.5703125" style="407" customWidth="1"/>
    <col min="7696" max="7696" width="12.28515625" style="407" customWidth="1"/>
    <col min="7697" max="7697" width="1.5703125" style="407" customWidth="1"/>
    <col min="7698" max="7698" width="13.5703125" style="407" customWidth="1"/>
    <col min="7699" max="7699" width="0.85546875" style="407" customWidth="1"/>
    <col min="7700" max="7700" width="12.28515625" style="407" customWidth="1"/>
    <col min="7701" max="7701" width="1.5703125" style="407" customWidth="1"/>
    <col min="7702" max="7702" width="12.28515625" style="407" customWidth="1"/>
    <col min="7703" max="7703" width="1.5703125" style="407" customWidth="1"/>
    <col min="7704" max="7704" width="12.28515625" style="407" customWidth="1"/>
    <col min="7705" max="7705" width="0.85546875" style="407" customWidth="1"/>
    <col min="7706" max="7706" width="12.28515625" style="407" customWidth="1"/>
    <col min="7707" max="7707" width="1.5703125" style="407" customWidth="1"/>
    <col min="7708" max="7708" width="12.28515625" style="407" customWidth="1"/>
    <col min="7709" max="7709" width="1.5703125" style="407" customWidth="1"/>
    <col min="7710" max="7710" width="12.28515625" style="407" customWidth="1"/>
    <col min="7711" max="7711" width="0.85546875" style="407" customWidth="1"/>
    <col min="7712" max="7712" width="12.28515625" style="407" customWidth="1"/>
    <col min="7713" max="7713" width="1.5703125" style="407" customWidth="1"/>
    <col min="7714" max="7714" width="12.28515625" style="407" customWidth="1"/>
    <col min="7715" max="7715" width="1.5703125" style="407" customWidth="1"/>
    <col min="7716" max="7716" width="12.28515625" style="407" customWidth="1"/>
    <col min="7717" max="7717" width="5.140625" style="407" bestFit="1" customWidth="1"/>
    <col min="7718" max="7718" width="1.42578125" style="407" customWidth="1"/>
    <col min="7719" max="7941" width="13.85546875" style="407"/>
    <col min="7942" max="7942" width="7.85546875" style="407" customWidth="1"/>
    <col min="7943" max="7944" width="2.28515625" style="407" customWidth="1"/>
    <col min="7945" max="7945" width="31.42578125" style="407" customWidth="1"/>
    <col min="7946" max="7946" width="2.28515625" style="407" customWidth="1"/>
    <col min="7947" max="7947" width="2.140625" style="407" customWidth="1"/>
    <col min="7948" max="7948" width="12.28515625" style="407" customWidth="1"/>
    <col min="7949" max="7949" width="1.5703125" style="407" customWidth="1"/>
    <col min="7950" max="7950" width="12.28515625" style="407" customWidth="1"/>
    <col min="7951" max="7951" width="1.5703125" style="407" customWidth="1"/>
    <col min="7952" max="7952" width="12.28515625" style="407" customWidth="1"/>
    <col min="7953" max="7953" width="1.5703125" style="407" customWidth="1"/>
    <col min="7954" max="7954" width="13.5703125" style="407" customWidth="1"/>
    <col min="7955" max="7955" width="0.85546875" style="407" customWidth="1"/>
    <col min="7956" max="7956" width="12.28515625" style="407" customWidth="1"/>
    <col min="7957" max="7957" width="1.5703125" style="407" customWidth="1"/>
    <col min="7958" max="7958" width="12.28515625" style="407" customWidth="1"/>
    <col min="7959" max="7959" width="1.5703125" style="407" customWidth="1"/>
    <col min="7960" max="7960" width="12.28515625" style="407" customWidth="1"/>
    <col min="7961" max="7961" width="0.85546875" style="407" customWidth="1"/>
    <col min="7962" max="7962" width="12.28515625" style="407" customWidth="1"/>
    <col min="7963" max="7963" width="1.5703125" style="407" customWidth="1"/>
    <col min="7964" max="7964" width="12.28515625" style="407" customWidth="1"/>
    <col min="7965" max="7965" width="1.5703125" style="407" customWidth="1"/>
    <col min="7966" max="7966" width="12.28515625" style="407" customWidth="1"/>
    <col min="7967" max="7967" width="0.85546875" style="407" customWidth="1"/>
    <col min="7968" max="7968" width="12.28515625" style="407" customWidth="1"/>
    <col min="7969" max="7969" width="1.5703125" style="407" customWidth="1"/>
    <col min="7970" max="7970" width="12.28515625" style="407" customWidth="1"/>
    <col min="7971" max="7971" width="1.5703125" style="407" customWidth="1"/>
    <col min="7972" max="7972" width="12.28515625" style="407" customWidth="1"/>
    <col min="7973" max="7973" width="5.140625" style="407" bestFit="1" customWidth="1"/>
    <col min="7974" max="7974" width="1.42578125" style="407" customWidth="1"/>
    <col min="7975" max="8197" width="13.85546875" style="407"/>
    <col min="8198" max="8198" width="7.85546875" style="407" customWidth="1"/>
    <col min="8199" max="8200" width="2.28515625" style="407" customWidth="1"/>
    <col min="8201" max="8201" width="31.42578125" style="407" customWidth="1"/>
    <col min="8202" max="8202" width="2.28515625" style="407" customWidth="1"/>
    <col min="8203" max="8203" width="2.140625" style="407" customWidth="1"/>
    <col min="8204" max="8204" width="12.28515625" style="407" customWidth="1"/>
    <col min="8205" max="8205" width="1.5703125" style="407" customWidth="1"/>
    <col min="8206" max="8206" width="12.28515625" style="407" customWidth="1"/>
    <col min="8207" max="8207" width="1.5703125" style="407" customWidth="1"/>
    <col min="8208" max="8208" width="12.28515625" style="407" customWidth="1"/>
    <col min="8209" max="8209" width="1.5703125" style="407" customWidth="1"/>
    <col min="8210" max="8210" width="13.5703125" style="407" customWidth="1"/>
    <col min="8211" max="8211" width="0.85546875" style="407" customWidth="1"/>
    <col min="8212" max="8212" width="12.28515625" style="407" customWidth="1"/>
    <col min="8213" max="8213" width="1.5703125" style="407" customWidth="1"/>
    <col min="8214" max="8214" width="12.28515625" style="407" customWidth="1"/>
    <col min="8215" max="8215" width="1.5703125" style="407" customWidth="1"/>
    <col min="8216" max="8216" width="12.28515625" style="407" customWidth="1"/>
    <col min="8217" max="8217" width="0.85546875" style="407" customWidth="1"/>
    <col min="8218" max="8218" width="12.28515625" style="407" customWidth="1"/>
    <col min="8219" max="8219" width="1.5703125" style="407" customWidth="1"/>
    <col min="8220" max="8220" width="12.28515625" style="407" customWidth="1"/>
    <col min="8221" max="8221" width="1.5703125" style="407" customWidth="1"/>
    <col min="8222" max="8222" width="12.28515625" style="407" customWidth="1"/>
    <col min="8223" max="8223" width="0.85546875" style="407" customWidth="1"/>
    <col min="8224" max="8224" width="12.28515625" style="407" customWidth="1"/>
    <col min="8225" max="8225" width="1.5703125" style="407" customWidth="1"/>
    <col min="8226" max="8226" width="12.28515625" style="407" customWidth="1"/>
    <col min="8227" max="8227" width="1.5703125" style="407" customWidth="1"/>
    <col min="8228" max="8228" width="12.28515625" style="407" customWidth="1"/>
    <col min="8229" max="8229" width="5.140625" style="407" bestFit="1" customWidth="1"/>
    <col min="8230" max="8230" width="1.42578125" style="407" customWidth="1"/>
    <col min="8231" max="8453" width="13.85546875" style="407"/>
    <col min="8454" max="8454" width="7.85546875" style="407" customWidth="1"/>
    <col min="8455" max="8456" width="2.28515625" style="407" customWidth="1"/>
    <col min="8457" max="8457" width="31.42578125" style="407" customWidth="1"/>
    <col min="8458" max="8458" width="2.28515625" style="407" customWidth="1"/>
    <col min="8459" max="8459" width="2.140625" style="407" customWidth="1"/>
    <col min="8460" max="8460" width="12.28515625" style="407" customWidth="1"/>
    <col min="8461" max="8461" width="1.5703125" style="407" customWidth="1"/>
    <col min="8462" max="8462" width="12.28515625" style="407" customWidth="1"/>
    <col min="8463" max="8463" width="1.5703125" style="407" customWidth="1"/>
    <col min="8464" max="8464" width="12.28515625" style="407" customWidth="1"/>
    <col min="8465" max="8465" width="1.5703125" style="407" customWidth="1"/>
    <col min="8466" max="8466" width="13.5703125" style="407" customWidth="1"/>
    <col min="8467" max="8467" width="0.85546875" style="407" customWidth="1"/>
    <col min="8468" max="8468" width="12.28515625" style="407" customWidth="1"/>
    <col min="8469" max="8469" width="1.5703125" style="407" customWidth="1"/>
    <col min="8470" max="8470" width="12.28515625" style="407" customWidth="1"/>
    <col min="8471" max="8471" width="1.5703125" style="407" customWidth="1"/>
    <col min="8472" max="8472" width="12.28515625" style="407" customWidth="1"/>
    <col min="8473" max="8473" width="0.85546875" style="407" customWidth="1"/>
    <col min="8474" max="8474" width="12.28515625" style="407" customWidth="1"/>
    <col min="8475" max="8475" width="1.5703125" style="407" customWidth="1"/>
    <col min="8476" max="8476" width="12.28515625" style="407" customWidth="1"/>
    <col min="8477" max="8477" width="1.5703125" style="407" customWidth="1"/>
    <col min="8478" max="8478" width="12.28515625" style="407" customWidth="1"/>
    <col min="8479" max="8479" width="0.85546875" style="407" customWidth="1"/>
    <col min="8480" max="8480" width="12.28515625" style="407" customWidth="1"/>
    <col min="8481" max="8481" width="1.5703125" style="407" customWidth="1"/>
    <col min="8482" max="8482" width="12.28515625" style="407" customWidth="1"/>
    <col min="8483" max="8483" width="1.5703125" style="407" customWidth="1"/>
    <col min="8484" max="8484" width="12.28515625" style="407" customWidth="1"/>
    <col min="8485" max="8485" width="5.140625" style="407" bestFit="1" customWidth="1"/>
    <col min="8486" max="8486" width="1.42578125" style="407" customWidth="1"/>
    <col min="8487" max="8709" width="13.85546875" style="407"/>
    <col min="8710" max="8710" width="7.85546875" style="407" customWidth="1"/>
    <col min="8711" max="8712" width="2.28515625" style="407" customWidth="1"/>
    <col min="8713" max="8713" width="31.42578125" style="407" customWidth="1"/>
    <col min="8714" max="8714" width="2.28515625" style="407" customWidth="1"/>
    <col min="8715" max="8715" width="2.140625" style="407" customWidth="1"/>
    <col min="8716" max="8716" width="12.28515625" style="407" customWidth="1"/>
    <col min="8717" max="8717" width="1.5703125" style="407" customWidth="1"/>
    <col min="8718" max="8718" width="12.28515625" style="407" customWidth="1"/>
    <col min="8719" max="8719" width="1.5703125" style="407" customWidth="1"/>
    <col min="8720" max="8720" width="12.28515625" style="407" customWidth="1"/>
    <col min="8721" max="8721" width="1.5703125" style="407" customWidth="1"/>
    <col min="8722" max="8722" width="13.5703125" style="407" customWidth="1"/>
    <col min="8723" max="8723" width="0.85546875" style="407" customWidth="1"/>
    <col min="8724" max="8724" width="12.28515625" style="407" customWidth="1"/>
    <col min="8725" max="8725" width="1.5703125" style="407" customWidth="1"/>
    <col min="8726" max="8726" width="12.28515625" style="407" customWidth="1"/>
    <col min="8727" max="8727" width="1.5703125" style="407" customWidth="1"/>
    <col min="8728" max="8728" width="12.28515625" style="407" customWidth="1"/>
    <col min="8729" max="8729" width="0.85546875" style="407" customWidth="1"/>
    <col min="8730" max="8730" width="12.28515625" style="407" customWidth="1"/>
    <col min="8731" max="8731" width="1.5703125" style="407" customWidth="1"/>
    <col min="8732" max="8732" width="12.28515625" style="407" customWidth="1"/>
    <col min="8733" max="8733" width="1.5703125" style="407" customWidth="1"/>
    <col min="8734" max="8734" width="12.28515625" style="407" customWidth="1"/>
    <col min="8735" max="8735" width="0.85546875" style="407" customWidth="1"/>
    <col min="8736" max="8736" width="12.28515625" style="407" customWidth="1"/>
    <col min="8737" max="8737" width="1.5703125" style="407" customWidth="1"/>
    <col min="8738" max="8738" width="12.28515625" style="407" customWidth="1"/>
    <col min="8739" max="8739" width="1.5703125" style="407" customWidth="1"/>
    <col min="8740" max="8740" width="12.28515625" style="407" customWidth="1"/>
    <col min="8741" max="8741" width="5.140625" style="407" bestFit="1" customWidth="1"/>
    <col min="8742" max="8742" width="1.42578125" style="407" customWidth="1"/>
    <col min="8743" max="8965" width="13.85546875" style="407"/>
    <col min="8966" max="8966" width="7.85546875" style="407" customWidth="1"/>
    <col min="8967" max="8968" width="2.28515625" style="407" customWidth="1"/>
    <col min="8969" max="8969" width="31.42578125" style="407" customWidth="1"/>
    <col min="8970" max="8970" width="2.28515625" style="407" customWidth="1"/>
    <col min="8971" max="8971" width="2.140625" style="407" customWidth="1"/>
    <col min="8972" max="8972" width="12.28515625" style="407" customWidth="1"/>
    <col min="8973" max="8973" width="1.5703125" style="407" customWidth="1"/>
    <col min="8974" max="8974" width="12.28515625" style="407" customWidth="1"/>
    <col min="8975" max="8975" width="1.5703125" style="407" customWidth="1"/>
    <col min="8976" max="8976" width="12.28515625" style="407" customWidth="1"/>
    <col min="8977" max="8977" width="1.5703125" style="407" customWidth="1"/>
    <col min="8978" max="8978" width="13.5703125" style="407" customWidth="1"/>
    <col min="8979" max="8979" width="0.85546875" style="407" customWidth="1"/>
    <col min="8980" max="8980" width="12.28515625" style="407" customWidth="1"/>
    <col min="8981" max="8981" width="1.5703125" style="407" customWidth="1"/>
    <col min="8982" max="8982" width="12.28515625" style="407" customWidth="1"/>
    <col min="8983" max="8983" width="1.5703125" style="407" customWidth="1"/>
    <col min="8984" max="8984" width="12.28515625" style="407" customWidth="1"/>
    <col min="8985" max="8985" width="0.85546875" style="407" customWidth="1"/>
    <col min="8986" max="8986" width="12.28515625" style="407" customWidth="1"/>
    <col min="8987" max="8987" width="1.5703125" style="407" customWidth="1"/>
    <col min="8988" max="8988" width="12.28515625" style="407" customWidth="1"/>
    <col min="8989" max="8989" width="1.5703125" style="407" customWidth="1"/>
    <col min="8990" max="8990" width="12.28515625" style="407" customWidth="1"/>
    <col min="8991" max="8991" width="0.85546875" style="407" customWidth="1"/>
    <col min="8992" max="8992" width="12.28515625" style="407" customWidth="1"/>
    <col min="8993" max="8993" width="1.5703125" style="407" customWidth="1"/>
    <col min="8994" max="8994" width="12.28515625" style="407" customWidth="1"/>
    <col min="8995" max="8995" width="1.5703125" style="407" customWidth="1"/>
    <col min="8996" max="8996" width="12.28515625" style="407" customWidth="1"/>
    <col min="8997" max="8997" width="5.140625" style="407" bestFit="1" customWidth="1"/>
    <col min="8998" max="8998" width="1.42578125" style="407" customWidth="1"/>
    <col min="8999" max="9221" width="13.85546875" style="407"/>
    <col min="9222" max="9222" width="7.85546875" style="407" customWidth="1"/>
    <col min="9223" max="9224" width="2.28515625" style="407" customWidth="1"/>
    <col min="9225" max="9225" width="31.42578125" style="407" customWidth="1"/>
    <col min="9226" max="9226" width="2.28515625" style="407" customWidth="1"/>
    <col min="9227" max="9227" width="2.140625" style="407" customWidth="1"/>
    <col min="9228" max="9228" width="12.28515625" style="407" customWidth="1"/>
    <col min="9229" max="9229" width="1.5703125" style="407" customWidth="1"/>
    <col min="9230" max="9230" width="12.28515625" style="407" customWidth="1"/>
    <col min="9231" max="9231" width="1.5703125" style="407" customWidth="1"/>
    <col min="9232" max="9232" width="12.28515625" style="407" customWidth="1"/>
    <col min="9233" max="9233" width="1.5703125" style="407" customWidth="1"/>
    <col min="9234" max="9234" width="13.5703125" style="407" customWidth="1"/>
    <col min="9235" max="9235" width="0.85546875" style="407" customWidth="1"/>
    <col min="9236" max="9236" width="12.28515625" style="407" customWidth="1"/>
    <col min="9237" max="9237" width="1.5703125" style="407" customWidth="1"/>
    <col min="9238" max="9238" width="12.28515625" style="407" customWidth="1"/>
    <col min="9239" max="9239" width="1.5703125" style="407" customWidth="1"/>
    <col min="9240" max="9240" width="12.28515625" style="407" customWidth="1"/>
    <col min="9241" max="9241" width="0.85546875" style="407" customWidth="1"/>
    <col min="9242" max="9242" width="12.28515625" style="407" customWidth="1"/>
    <col min="9243" max="9243" width="1.5703125" style="407" customWidth="1"/>
    <col min="9244" max="9244" width="12.28515625" style="407" customWidth="1"/>
    <col min="9245" max="9245" width="1.5703125" style="407" customWidth="1"/>
    <col min="9246" max="9246" width="12.28515625" style="407" customWidth="1"/>
    <col min="9247" max="9247" width="0.85546875" style="407" customWidth="1"/>
    <col min="9248" max="9248" width="12.28515625" style="407" customWidth="1"/>
    <col min="9249" max="9249" width="1.5703125" style="407" customWidth="1"/>
    <col min="9250" max="9250" width="12.28515625" style="407" customWidth="1"/>
    <col min="9251" max="9251" width="1.5703125" style="407" customWidth="1"/>
    <col min="9252" max="9252" width="12.28515625" style="407" customWidth="1"/>
    <col min="9253" max="9253" width="5.140625" style="407" bestFit="1" customWidth="1"/>
    <col min="9254" max="9254" width="1.42578125" style="407" customWidth="1"/>
    <col min="9255" max="9477" width="13.85546875" style="407"/>
    <col min="9478" max="9478" width="7.85546875" style="407" customWidth="1"/>
    <col min="9479" max="9480" width="2.28515625" style="407" customWidth="1"/>
    <col min="9481" max="9481" width="31.42578125" style="407" customWidth="1"/>
    <col min="9482" max="9482" width="2.28515625" style="407" customWidth="1"/>
    <col min="9483" max="9483" width="2.140625" style="407" customWidth="1"/>
    <col min="9484" max="9484" width="12.28515625" style="407" customWidth="1"/>
    <col min="9485" max="9485" width="1.5703125" style="407" customWidth="1"/>
    <col min="9486" max="9486" width="12.28515625" style="407" customWidth="1"/>
    <col min="9487" max="9487" width="1.5703125" style="407" customWidth="1"/>
    <col min="9488" max="9488" width="12.28515625" style="407" customWidth="1"/>
    <col min="9489" max="9489" width="1.5703125" style="407" customWidth="1"/>
    <col min="9490" max="9490" width="13.5703125" style="407" customWidth="1"/>
    <col min="9491" max="9491" width="0.85546875" style="407" customWidth="1"/>
    <col min="9492" max="9492" width="12.28515625" style="407" customWidth="1"/>
    <col min="9493" max="9493" width="1.5703125" style="407" customWidth="1"/>
    <col min="9494" max="9494" width="12.28515625" style="407" customWidth="1"/>
    <col min="9495" max="9495" width="1.5703125" style="407" customWidth="1"/>
    <col min="9496" max="9496" width="12.28515625" style="407" customWidth="1"/>
    <col min="9497" max="9497" width="0.85546875" style="407" customWidth="1"/>
    <col min="9498" max="9498" width="12.28515625" style="407" customWidth="1"/>
    <col min="9499" max="9499" width="1.5703125" style="407" customWidth="1"/>
    <col min="9500" max="9500" width="12.28515625" style="407" customWidth="1"/>
    <col min="9501" max="9501" width="1.5703125" style="407" customWidth="1"/>
    <col min="9502" max="9502" width="12.28515625" style="407" customWidth="1"/>
    <col min="9503" max="9503" width="0.85546875" style="407" customWidth="1"/>
    <col min="9504" max="9504" width="12.28515625" style="407" customWidth="1"/>
    <col min="9505" max="9505" width="1.5703125" style="407" customWidth="1"/>
    <col min="9506" max="9506" width="12.28515625" style="407" customWidth="1"/>
    <col min="9507" max="9507" width="1.5703125" style="407" customWidth="1"/>
    <col min="9508" max="9508" width="12.28515625" style="407" customWidth="1"/>
    <col min="9509" max="9509" width="5.140625" style="407" bestFit="1" customWidth="1"/>
    <col min="9510" max="9510" width="1.42578125" style="407" customWidth="1"/>
    <col min="9511" max="9733" width="13.85546875" style="407"/>
    <col min="9734" max="9734" width="7.85546875" style="407" customWidth="1"/>
    <col min="9735" max="9736" width="2.28515625" style="407" customWidth="1"/>
    <col min="9737" max="9737" width="31.42578125" style="407" customWidth="1"/>
    <col min="9738" max="9738" width="2.28515625" style="407" customWidth="1"/>
    <col min="9739" max="9739" width="2.140625" style="407" customWidth="1"/>
    <col min="9740" max="9740" width="12.28515625" style="407" customWidth="1"/>
    <col min="9741" max="9741" width="1.5703125" style="407" customWidth="1"/>
    <col min="9742" max="9742" width="12.28515625" style="407" customWidth="1"/>
    <col min="9743" max="9743" width="1.5703125" style="407" customWidth="1"/>
    <col min="9744" max="9744" width="12.28515625" style="407" customWidth="1"/>
    <col min="9745" max="9745" width="1.5703125" style="407" customWidth="1"/>
    <col min="9746" max="9746" width="13.5703125" style="407" customWidth="1"/>
    <col min="9747" max="9747" width="0.85546875" style="407" customWidth="1"/>
    <col min="9748" max="9748" width="12.28515625" style="407" customWidth="1"/>
    <col min="9749" max="9749" width="1.5703125" style="407" customWidth="1"/>
    <col min="9750" max="9750" width="12.28515625" style="407" customWidth="1"/>
    <col min="9751" max="9751" width="1.5703125" style="407" customWidth="1"/>
    <col min="9752" max="9752" width="12.28515625" style="407" customWidth="1"/>
    <col min="9753" max="9753" width="0.85546875" style="407" customWidth="1"/>
    <col min="9754" max="9754" width="12.28515625" style="407" customWidth="1"/>
    <col min="9755" max="9755" width="1.5703125" style="407" customWidth="1"/>
    <col min="9756" max="9756" width="12.28515625" style="407" customWidth="1"/>
    <col min="9757" max="9757" width="1.5703125" style="407" customWidth="1"/>
    <col min="9758" max="9758" width="12.28515625" style="407" customWidth="1"/>
    <col min="9759" max="9759" width="0.85546875" style="407" customWidth="1"/>
    <col min="9760" max="9760" width="12.28515625" style="407" customWidth="1"/>
    <col min="9761" max="9761" width="1.5703125" style="407" customWidth="1"/>
    <col min="9762" max="9762" width="12.28515625" style="407" customWidth="1"/>
    <col min="9763" max="9763" width="1.5703125" style="407" customWidth="1"/>
    <col min="9764" max="9764" width="12.28515625" style="407" customWidth="1"/>
    <col min="9765" max="9765" width="5.140625" style="407" bestFit="1" customWidth="1"/>
    <col min="9766" max="9766" width="1.42578125" style="407" customWidth="1"/>
    <col min="9767" max="9989" width="13.85546875" style="407"/>
    <col min="9990" max="9990" width="7.85546875" style="407" customWidth="1"/>
    <col min="9991" max="9992" width="2.28515625" style="407" customWidth="1"/>
    <col min="9993" max="9993" width="31.42578125" style="407" customWidth="1"/>
    <col min="9994" max="9994" width="2.28515625" style="407" customWidth="1"/>
    <col min="9995" max="9995" width="2.140625" style="407" customWidth="1"/>
    <col min="9996" max="9996" width="12.28515625" style="407" customWidth="1"/>
    <col min="9997" max="9997" width="1.5703125" style="407" customWidth="1"/>
    <col min="9998" max="9998" width="12.28515625" style="407" customWidth="1"/>
    <col min="9999" max="9999" width="1.5703125" style="407" customWidth="1"/>
    <col min="10000" max="10000" width="12.28515625" style="407" customWidth="1"/>
    <col min="10001" max="10001" width="1.5703125" style="407" customWidth="1"/>
    <col min="10002" max="10002" width="13.5703125" style="407" customWidth="1"/>
    <col min="10003" max="10003" width="0.85546875" style="407" customWidth="1"/>
    <col min="10004" max="10004" width="12.28515625" style="407" customWidth="1"/>
    <col min="10005" max="10005" width="1.5703125" style="407" customWidth="1"/>
    <col min="10006" max="10006" width="12.28515625" style="407" customWidth="1"/>
    <col min="10007" max="10007" width="1.5703125" style="407" customWidth="1"/>
    <col min="10008" max="10008" width="12.28515625" style="407" customWidth="1"/>
    <col min="10009" max="10009" width="0.85546875" style="407" customWidth="1"/>
    <col min="10010" max="10010" width="12.28515625" style="407" customWidth="1"/>
    <col min="10011" max="10011" width="1.5703125" style="407" customWidth="1"/>
    <col min="10012" max="10012" width="12.28515625" style="407" customWidth="1"/>
    <col min="10013" max="10013" width="1.5703125" style="407" customWidth="1"/>
    <col min="10014" max="10014" width="12.28515625" style="407" customWidth="1"/>
    <col min="10015" max="10015" width="0.85546875" style="407" customWidth="1"/>
    <col min="10016" max="10016" width="12.28515625" style="407" customWidth="1"/>
    <col min="10017" max="10017" width="1.5703125" style="407" customWidth="1"/>
    <col min="10018" max="10018" width="12.28515625" style="407" customWidth="1"/>
    <col min="10019" max="10019" width="1.5703125" style="407" customWidth="1"/>
    <col min="10020" max="10020" width="12.28515625" style="407" customWidth="1"/>
    <col min="10021" max="10021" width="5.140625" style="407" bestFit="1" customWidth="1"/>
    <col min="10022" max="10022" width="1.42578125" style="407" customWidth="1"/>
    <col min="10023" max="10245" width="13.85546875" style="407"/>
    <col min="10246" max="10246" width="7.85546875" style="407" customWidth="1"/>
    <col min="10247" max="10248" width="2.28515625" style="407" customWidth="1"/>
    <col min="10249" max="10249" width="31.42578125" style="407" customWidth="1"/>
    <col min="10250" max="10250" width="2.28515625" style="407" customWidth="1"/>
    <col min="10251" max="10251" width="2.140625" style="407" customWidth="1"/>
    <col min="10252" max="10252" width="12.28515625" style="407" customWidth="1"/>
    <col min="10253" max="10253" width="1.5703125" style="407" customWidth="1"/>
    <col min="10254" max="10254" width="12.28515625" style="407" customWidth="1"/>
    <col min="10255" max="10255" width="1.5703125" style="407" customWidth="1"/>
    <col min="10256" max="10256" width="12.28515625" style="407" customWidth="1"/>
    <col min="10257" max="10257" width="1.5703125" style="407" customWidth="1"/>
    <col min="10258" max="10258" width="13.5703125" style="407" customWidth="1"/>
    <col min="10259" max="10259" width="0.85546875" style="407" customWidth="1"/>
    <col min="10260" max="10260" width="12.28515625" style="407" customWidth="1"/>
    <col min="10261" max="10261" width="1.5703125" style="407" customWidth="1"/>
    <col min="10262" max="10262" width="12.28515625" style="407" customWidth="1"/>
    <col min="10263" max="10263" width="1.5703125" style="407" customWidth="1"/>
    <col min="10264" max="10264" width="12.28515625" style="407" customWidth="1"/>
    <col min="10265" max="10265" width="0.85546875" style="407" customWidth="1"/>
    <col min="10266" max="10266" width="12.28515625" style="407" customWidth="1"/>
    <col min="10267" max="10267" width="1.5703125" style="407" customWidth="1"/>
    <col min="10268" max="10268" width="12.28515625" style="407" customWidth="1"/>
    <col min="10269" max="10269" width="1.5703125" style="407" customWidth="1"/>
    <col min="10270" max="10270" width="12.28515625" style="407" customWidth="1"/>
    <col min="10271" max="10271" width="0.85546875" style="407" customWidth="1"/>
    <col min="10272" max="10272" width="12.28515625" style="407" customWidth="1"/>
    <col min="10273" max="10273" width="1.5703125" style="407" customWidth="1"/>
    <col min="10274" max="10274" width="12.28515625" style="407" customWidth="1"/>
    <col min="10275" max="10275" width="1.5703125" style="407" customWidth="1"/>
    <col min="10276" max="10276" width="12.28515625" style="407" customWidth="1"/>
    <col min="10277" max="10277" width="5.140625" style="407" bestFit="1" customWidth="1"/>
    <col min="10278" max="10278" width="1.42578125" style="407" customWidth="1"/>
    <col min="10279" max="10501" width="13.85546875" style="407"/>
    <col min="10502" max="10502" width="7.85546875" style="407" customWidth="1"/>
    <col min="10503" max="10504" width="2.28515625" style="407" customWidth="1"/>
    <col min="10505" max="10505" width="31.42578125" style="407" customWidth="1"/>
    <col min="10506" max="10506" width="2.28515625" style="407" customWidth="1"/>
    <col min="10507" max="10507" width="2.140625" style="407" customWidth="1"/>
    <col min="10508" max="10508" width="12.28515625" style="407" customWidth="1"/>
    <col min="10509" max="10509" width="1.5703125" style="407" customWidth="1"/>
    <col min="10510" max="10510" width="12.28515625" style="407" customWidth="1"/>
    <col min="10511" max="10511" width="1.5703125" style="407" customWidth="1"/>
    <col min="10512" max="10512" width="12.28515625" style="407" customWidth="1"/>
    <col min="10513" max="10513" width="1.5703125" style="407" customWidth="1"/>
    <col min="10514" max="10514" width="13.5703125" style="407" customWidth="1"/>
    <col min="10515" max="10515" width="0.85546875" style="407" customWidth="1"/>
    <col min="10516" max="10516" width="12.28515625" style="407" customWidth="1"/>
    <col min="10517" max="10517" width="1.5703125" style="407" customWidth="1"/>
    <col min="10518" max="10518" width="12.28515625" style="407" customWidth="1"/>
    <col min="10519" max="10519" width="1.5703125" style="407" customWidth="1"/>
    <col min="10520" max="10520" width="12.28515625" style="407" customWidth="1"/>
    <col min="10521" max="10521" width="0.85546875" style="407" customWidth="1"/>
    <col min="10522" max="10522" width="12.28515625" style="407" customWidth="1"/>
    <col min="10523" max="10523" width="1.5703125" style="407" customWidth="1"/>
    <col min="10524" max="10524" width="12.28515625" style="407" customWidth="1"/>
    <col min="10525" max="10525" width="1.5703125" style="407" customWidth="1"/>
    <col min="10526" max="10526" width="12.28515625" style="407" customWidth="1"/>
    <col min="10527" max="10527" width="0.85546875" style="407" customWidth="1"/>
    <col min="10528" max="10528" width="12.28515625" style="407" customWidth="1"/>
    <col min="10529" max="10529" width="1.5703125" style="407" customWidth="1"/>
    <col min="10530" max="10530" width="12.28515625" style="407" customWidth="1"/>
    <col min="10531" max="10531" width="1.5703125" style="407" customWidth="1"/>
    <col min="10532" max="10532" width="12.28515625" style="407" customWidth="1"/>
    <col min="10533" max="10533" width="5.140625" style="407" bestFit="1" customWidth="1"/>
    <col min="10534" max="10534" width="1.42578125" style="407" customWidth="1"/>
    <col min="10535" max="10757" width="13.85546875" style="407"/>
    <col min="10758" max="10758" width="7.85546875" style="407" customWidth="1"/>
    <col min="10759" max="10760" width="2.28515625" style="407" customWidth="1"/>
    <col min="10761" max="10761" width="31.42578125" style="407" customWidth="1"/>
    <col min="10762" max="10762" width="2.28515625" style="407" customWidth="1"/>
    <col min="10763" max="10763" width="2.140625" style="407" customWidth="1"/>
    <col min="10764" max="10764" width="12.28515625" style="407" customWidth="1"/>
    <col min="10765" max="10765" width="1.5703125" style="407" customWidth="1"/>
    <col min="10766" max="10766" width="12.28515625" style="407" customWidth="1"/>
    <col min="10767" max="10767" width="1.5703125" style="407" customWidth="1"/>
    <col min="10768" max="10768" width="12.28515625" style="407" customWidth="1"/>
    <col min="10769" max="10769" width="1.5703125" style="407" customWidth="1"/>
    <col min="10770" max="10770" width="13.5703125" style="407" customWidth="1"/>
    <col min="10771" max="10771" width="0.85546875" style="407" customWidth="1"/>
    <col min="10772" max="10772" width="12.28515625" style="407" customWidth="1"/>
    <col min="10773" max="10773" width="1.5703125" style="407" customWidth="1"/>
    <col min="10774" max="10774" width="12.28515625" style="407" customWidth="1"/>
    <col min="10775" max="10775" width="1.5703125" style="407" customWidth="1"/>
    <col min="10776" max="10776" width="12.28515625" style="407" customWidth="1"/>
    <col min="10777" max="10777" width="0.85546875" style="407" customWidth="1"/>
    <col min="10778" max="10778" width="12.28515625" style="407" customWidth="1"/>
    <col min="10779" max="10779" width="1.5703125" style="407" customWidth="1"/>
    <col min="10780" max="10780" width="12.28515625" style="407" customWidth="1"/>
    <col min="10781" max="10781" width="1.5703125" style="407" customWidth="1"/>
    <col min="10782" max="10782" width="12.28515625" style="407" customWidth="1"/>
    <col min="10783" max="10783" width="0.85546875" style="407" customWidth="1"/>
    <col min="10784" max="10784" width="12.28515625" style="407" customWidth="1"/>
    <col min="10785" max="10785" width="1.5703125" style="407" customWidth="1"/>
    <col min="10786" max="10786" width="12.28515625" style="407" customWidth="1"/>
    <col min="10787" max="10787" width="1.5703125" style="407" customWidth="1"/>
    <col min="10788" max="10788" width="12.28515625" style="407" customWidth="1"/>
    <col min="10789" max="10789" width="5.140625" style="407" bestFit="1" customWidth="1"/>
    <col min="10790" max="10790" width="1.42578125" style="407" customWidth="1"/>
    <col min="10791" max="11013" width="13.85546875" style="407"/>
    <col min="11014" max="11014" width="7.85546875" style="407" customWidth="1"/>
    <col min="11015" max="11016" width="2.28515625" style="407" customWidth="1"/>
    <col min="11017" max="11017" width="31.42578125" style="407" customWidth="1"/>
    <col min="11018" max="11018" width="2.28515625" style="407" customWidth="1"/>
    <col min="11019" max="11019" width="2.140625" style="407" customWidth="1"/>
    <col min="11020" max="11020" width="12.28515625" style="407" customWidth="1"/>
    <col min="11021" max="11021" width="1.5703125" style="407" customWidth="1"/>
    <col min="11022" max="11022" width="12.28515625" style="407" customWidth="1"/>
    <col min="11023" max="11023" width="1.5703125" style="407" customWidth="1"/>
    <col min="11024" max="11024" width="12.28515625" style="407" customWidth="1"/>
    <col min="11025" max="11025" width="1.5703125" style="407" customWidth="1"/>
    <col min="11026" max="11026" width="13.5703125" style="407" customWidth="1"/>
    <col min="11027" max="11027" width="0.85546875" style="407" customWidth="1"/>
    <col min="11028" max="11028" width="12.28515625" style="407" customWidth="1"/>
    <col min="11029" max="11029" width="1.5703125" style="407" customWidth="1"/>
    <col min="11030" max="11030" width="12.28515625" style="407" customWidth="1"/>
    <col min="11031" max="11031" width="1.5703125" style="407" customWidth="1"/>
    <col min="11032" max="11032" width="12.28515625" style="407" customWidth="1"/>
    <col min="11033" max="11033" width="0.85546875" style="407" customWidth="1"/>
    <col min="11034" max="11034" width="12.28515625" style="407" customWidth="1"/>
    <col min="11035" max="11035" width="1.5703125" style="407" customWidth="1"/>
    <col min="11036" max="11036" width="12.28515625" style="407" customWidth="1"/>
    <col min="11037" max="11037" width="1.5703125" style="407" customWidth="1"/>
    <col min="11038" max="11038" width="12.28515625" style="407" customWidth="1"/>
    <col min="11039" max="11039" width="0.85546875" style="407" customWidth="1"/>
    <col min="11040" max="11040" width="12.28515625" style="407" customWidth="1"/>
    <col min="11041" max="11041" width="1.5703125" style="407" customWidth="1"/>
    <col min="11042" max="11042" width="12.28515625" style="407" customWidth="1"/>
    <col min="11043" max="11043" width="1.5703125" style="407" customWidth="1"/>
    <col min="11044" max="11044" width="12.28515625" style="407" customWidth="1"/>
    <col min="11045" max="11045" width="5.140625" style="407" bestFit="1" customWidth="1"/>
    <col min="11046" max="11046" width="1.42578125" style="407" customWidth="1"/>
    <col min="11047" max="11269" width="13.85546875" style="407"/>
    <col min="11270" max="11270" width="7.85546875" style="407" customWidth="1"/>
    <col min="11271" max="11272" width="2.28515625" style="407" customWidth="1"/>
    <col min="11273" max="11273" width="31.42578125" style="407" customWidth="1"/>
    <col min="11274" max="11274" width="2.28515625" style="407" customWidth="1"/>
    <col min="11275" max="11275" width="2.140625" style="407" customWidth="1"/>
    <col min="11276" max="11276" width="12.28515625" style="407" customWidth="1"/>
    <col min="11277" max="11277" width="1.5703125" style="407" customWidth="1"/>
    <col min="11278" max="11278" width="12.28515625" style="407" customWidth="1"/>
    <col min="11279" max="11279" width="1.5703125" style="407" customWidth="1"/>
    <col min="11280" max="11280" width="12.28515625" style="407" customWidth="1"/>
    <col min="11281" max="11281" width="1.5703125" style="407" customWidth="1"/>
    <col min="11282" max="11282" width="13.5703125" style="407" customWidth="1"/>
    <col min="11283" max="11283" width="0.85546875" style="407" customWidth="1"/>
    <col min="11284" max="11284" width="12.28515625" style="407" customWidth="1"/>
    <col min="11285" max="11285" width="1.5703125" style="407" customWidth="1"/>
    <col min="11286" max="11286" width="12.28515625" style="407" customWidth="1"/>
    <col min="11287" max="11287" width="1.5703125" style="407" customWidth="1"/>
    <col min="11288" max="11288" width="12.28515625" style="407" customWidth="1"/>
    <col min="11289" max="11289" width="0.85546875" style="407" customWidth="1"/>
    <col min="11290" max="11290" width="12.28515625" style="407" customWidth="1"/>
    <col min="11291" max="11291" width="1.5703125" style="407" customWidth="1"/>
    <col min="11292" max="11292" width="12.28515625" style="407" customWidth="1"/>
    <col min="11293" max="11293" width="1.5703125" style="407" customWidth="1"/>
    <col min="11294" max="11294" width="12.28515625" style="407" customWidth="1"/>
    <col min="11295" max="11295" width="0.85546875" style="407" customWidth="1"/>
    <col min="11296" max="11296" width="12.28515625" style="407" customWidth="1"/>
    <col min="11297" max="11297" width="1.5703125" style="407" customWidth="1"/>
    <col min="11298" max="11298" width="12.28515625" style="407" customWidth="1"/>
    <col min="11299" max="11299" width="1.5703125" style="407" customWidth="1"/>
    <col min="11300" max="11300" width="12.28515625" style="407" customWidth="1"/>
    <col min="11301" max="11301" width="5.140625" style="407" bestFit="1" customWidth="1"/>
    <col min="11302" max="11302" width="1.42578125" style="407" customWidth="1"/>
    <col min="11303" max="11525" width="13.85546875" style="407"/>
    <col min="11526" max="11526" width="7.85546875" style="407" customWidth="1"/>
    <col min="11527" max="11528" width="2.28515625" style="407" customWidth="1"/>
    <col min="11529" max="11529" width="31.42578125" style="407" customWidth="1"/>
    <col min="11530" max="11530" width="2.28515625" style="407" customWidth="1"/>
    <col min="11531" max="11531" width="2.140625" style="407" customWidth="1"/>
    <col min="11532" max="11532" width="12.28515625" style="407" customWidth="1"/>
    <col min="11533" max="11533" width="1.5703125" style="407" customWidth="1"/>
    <col min="11534" max="11534" width="12.28515625" style="407" customWidth="1"/>
    <col min="11535" max="11535" width="1.5703125" style="407" customWidth="1"/>
    <col min="11536" max="11536" width="12.28515625" style="407" customWidth="1"/>
    <col min="11537" max="11537" width="1.5703125" style="407" customWidth="1"/>
    <col min="11538" max="11538" width="13.5703125" style="407" customWidth="1"/>
    <col min="11539" max="11539" width="0.85546875" style="407" customWidth="1"/>
    <col min="11540" max="11540" width="12.28515625" style="407" customWidth="1"/>
    <col min="11541" max="11541" width="1.5703125" style="407" customWidth="1"/>
    <col min="11542" max="11542" width="12.28515625" style="407" customWidth="1"/>
    <col min="11543" max="11543" width="1.5703125" style="407" customWidth="1"/>
    <col min="11544" max="11544" width="12.28515625" style="407" customWidth="1"/>
    <col min="11545" max="11545" width="0.85546875" style="407" customWidth="1"/>
    <col min="11546" max="11546" width="12.28515625" style="407" customWidth="1"/>
    <col min="11547" max="11547" width="1.5703125" style="407" customWidth="1"/>
    <col min="11548" max="11548" width="12.28515625" style="407" customWidth="1"/>
    <col min="11549" max="11549" width="1.5703125" style="407" customWidth="1"/>
    <col min="11550" max="11550" width="12.28515625" style="407" customWidth="1"/>
    <col min="11551" max="11551" width="0.85546875" style="407" customWidth="1"/>
    <col min="11552" max="11552" width="12.28515625" style="407" customWidth="1"/>
    <col min="11553" max="11553" width="1.5703125" style="407" customWidth="1"/>
    <col min="11554" max="11554" width="12.28515625" style="407" customWidth="1"/>
    <col min="11555" max="11555" width="1.5703125" style="407" customWidth="1"/>
    <col min="11556" max="11556" width="12.28515625" style="407" customWidth="1"/>
    <col min="11557" max="11557" width="5.140625" style="407" bestFit="1" customWidth="1"/>
    <col min="11558" max="11558" width="1.42578125" style="407" customWidth="1"/>
    <col min="11559" max="11781" width="13.85546875" style="407"/>
    <col min="11782" max="11782" width="7.85546875" style="407" customWidth="1"/>
    <col min="11783" max="11784" width="2.28515625" style="407" customWidth="1"/>
    <col min="11785" max="11785" width="31.42578125" style="407" customWidth="1"/>
    <col min="11786" max="11786" width="2.28515625" style="407" customWidth="1"/>
    <col min="11787" max="11787" width="2.140625" style="407" customWidth="1"/>
    <col min="11788" max="11788" width="12.28515625" style="407" customWidth="1"/>
    <col min="11789" max="11789" width="1.5703125" style="407" customWidth="1"/>
    <col min="11790" max="11790" width="12.28515625" style="407" customWidth="1"/>
    <col min="11791" max="11791" width="1.5703125" style="407" customWidth="1"/>
    <col min="11792" max="11792" width="12.28515625" style="407" customWidth="1"/>
    <col min="11793" max="11793" width="1.5703125" style="407" customWidth="1"/>
    <col min="11794" max="11794" width="13.5703125" style="407" customWidth="1"/>
    <col min="11795" max="11795" width="0.85546875" style="407" customWidth="1"/>
    <col min="11796" max="11796" width="12.28515625" style="407" customWidth="1"/>
    <col min="11797" max="11797" width="1.5703125" style="407" customWidth="1"/>
    <col min="11798" max="11798" width="12.28515625" style="407" customWidth="1"/>
    <col min="11799" max="11799" width="1.5703125" style="407" customWidth="1"/>
    <col min="11800" max="11800" width="12.28515625" style="407" customWidth="1"/>
    <col min="11801" max="11801" width="0.85546875" style="407" customWidth="1"/>
    <col min="11802" max="11802" width="12.28515625" style="407" customWidth="1"/>
    <col min="11803" max="11803" width="1.5703125" style="407" customWidth="1"/>
    <col min="11804" max="11804" width="12.28515625" style="407" customWidth="1"/>
    <col min="11805" max="11805" width="1.5703125" style="407" customWidth="1"/>
    <col min="11806" max="11806" width="12.28515625" style="407" customWidth="1"/>
    <col min="11807" max="11807" width="0.85546875" style="407" customWidth="1"/>
    <col min="11808" max="11808" width="12.28515625" style="407" customWidth="1"/>
    <col min="11809" max="11809" width="1.5703125" style="407" customWidth="1"/>
    <col min="11810" max="11810" width="12.28515625" style="407" customWidth="1"/>
    <col min="11811" max="11811" width="1.5703125" style="407" customWidth="1"/>
    <col min="11812" max="11812" width="12.28515625" style="407" customWidth="1"/>
    <col min="11813" max="11813" width="5.140625" style="407" bestFit="1" customWidth="1"/>
    <col min="11814" max="11814" width="1.42578125" style="407" customWidth="1"/>
    <col min="11815" max="12037" width="13.85546875" style="407"/>
    <col min="12038" max="12038" width="7.85546875" style="407" customWidth="1"/>
    <col min="12039" max="12040" width="2.28515625" style="407" customWidth="1"/>
    <col min="12041" max="12041" width="31.42578125" style="407" customWidth="1"/>
    <col min="12042" max="12042" width="2.28515625" style="407" customWidth="1"/>
    <col min="12043" max="12043" width="2.140625" style="407" customWidth="1"/>
    <col min="12044" max="12044" width="12.28515625" style="407" customWidth="1"/>
    <col min="12045" max="12045" width="1.5703125" style="407" customWidth="1"/>
    <col min="12046" max="12046" width="12.28515625" style="407" customWidth="1"/>
    <col min="12047" max="12047" width="1.5703125" style="407" customWidth="1"/>
    <col min="12048" max="12048" width="12.28515625" style="407" customWidth="1"/>
    <col min="12049" max="12049" width="1.5703125" style="407" customWidth="1"/>
    <col min="12050" max="12050" width="13.5703125" style="407" customWidth="1"/>
    <col min="12051" max="12051" width="0.85546875" style="407" customWidth="1"/>
    <col min="12052" max="12052" width="12.28515625" style="407" customWidth="1"/>
    <col min="12053" max="12053" width="1.5703125" style="407" customWidth="1"/>
    <col min="12054" max="12054" width="12.28515625" style="407" customWidth="1"/>
    <col min="12055" max="12055" width="1.5703125" style="407" customWidth="1"/>
    <col min="12056" max="12056" width="12.28515625" style="407" customWidth="1"/>
    <col min="12057" max="12057" width="0.85546875" style="407" customWidth="1"/>
    <col min="12058" max="12058" width="12.28515625" style="407" customWidth="1"/>
    <col min="12059" max="12059" width="1.5703125" style="407" customWidth="1"/>
    <col min="12060" max="12060" width="12.28515625" style="407" customWidth="1"/>
    <col min="12061" max="12061" width="1.5703125" style="407" customWidth="1"/>
    <col min="12062" max="12062" width="12.28515625" style="407" customWidth="1"/>
    <col min="12063" max="12063" width="0.85546875" style="407" customWidth="1"/>
    <col min="12064" max="12064" width="12.28515625" style="407" customWidth="1"/>
    <col min="12065" max="12065" width="1.5703125" style="407" customWidth="1"/>
    <col min="12066" max="12066" width="12.28515625" style="407" customWidth="1"/>
    <col min="12067" max="12067" width="1.5703125" style="407" customWidth="1"/>
    <col min="12068" max="12068" width="12.28515625" style="407" customWidth="1"/>
    <col min="12069" max="12069" width="5.140625" style="407" bestFit="1" customWidth="1"/>
    <col min="12070" max="12070" width="1.42578125" style="407" customWidth="1"/>
    <col min="12071" max="12293" width="13.85546875" style="407"/>
    <col min="12294" max="12294" width="7.85546875" style="407" customWidth="1"/>
    <col min="12295" max="12296" width="2.28515625" style="407" customWidth="1"/>
    <col min="12297" max="12297" width="31.42578125" style="407" customWidth="1"/>
    <col min="12298" max="12298" width="2.28515625" style="407" customWidth="1"/>
    <col min="12299" max="12299" width="2.140625" style="407" customWidth="1"/>
    <col min="12300" max="12300" width="12.28515625" style="407" customWidth="1"/>
    <col min="12301" max="12301" width="1.5703125" style="407" customWidth="1"/>
    <col min="12302" max="12302" width="12.28515625" style="407" customWidth="1"/>
    <col min="12303" max="12303" width="1.5703125" style="407" customWidth="1"/>
    <col min="12304" max="12304" width="12.28515625" style="407" customWidth="1"/>
    <col min="12305" max="12305" width="1.5703125" style="407" customWidth="1"/>
    <col min="12306" max="12306" width="13.5703125" style="407" customWidth="1"/>
    <col min="12307" max="12307" width="0.85546875" style="407" customWidth="1"/>
    <col min="12308" max="12308" width="12.28515625" style="407" customWidth="1"/>
    <col min="12309" max="12309" width="1.5703125" style="407" customWidth="1"/>
    <col min="12310" max="12310" width="12.28515625" style="407" customWidth="1"/>
    <col min="12311" max="12311" width="1.5703125" style="407" customWidth="1"/>
    <col min="12312" max="12312" width="12.28515625" style="407" customWidth="1"/>
    <col min="12313" max="12313" width="0.85546875" style="407" customWidth="1"/>
    <col min="12314" max="12314" width="12.28515625" style="407" customWidth="1"/>
    <col min="12315" max="12315" width="1.5703125" style="407" customWidth="1"/>
    <col min="12316" max="12316" width="12.28515625" style="407" customWidth="1"/>
    <col min="12317" max="12317" width="1.5703125" style="407" customWidth="1"/>
    <col min="12318" max="12318" width="12.28515625" style="407" customWidth="1"/>
    <col min="12319" max="12319" width="0.85546875" style="407" customWidth="1"/>
    <col min="12320" max="12320" width="12.28515625" style="407" customWidth="1"/>
    <col min="12321" max="12321" width="1.5703125" style="407" customWidth="1"/>
    <col min="12322" max="12322" width="12.28515625" style="407" customWidth="1"/>
    <col min="12323" max="12323" width="1.5703125" style="407" customWidth="1"/>
    <col min="12324" max="12324" width="12.28515625" style="407" customWidth="1"/>
    <col min="12325" max="12325" width="5.140625" style="407" bestFit="1" customWidth="1"/>
    <col min="12326" max="12326" width="1.42578125" style="407" customWidth="1"/>
    <col min="12327" max="12549" width="13.85546875" style="407"/>
    <col min="12550" max="12550" width="7.85546875" style="407" customWidth="1"/>
    <col min="12551" max="12552" width="2.28515625" style="407" customWidth="1"/>
    <col min="12553" max="12553" width="31.42578125" style="407" customWidth="1"/>
    <col min="12554" max="12554" width="2.28515625" style="407" customWidth="1"/>
    <col min="12555" max="12555" width="2.140625" style="407" customWidth="1"/>
    <col min="12556" max="12556" width="12.28515625" style="407" customWidth="1"/>
    <col min="12557" max="12557" width="1.5703125" style="407" customWidth="1"/>
    <col min="12558" max="12558" width="12.28515625" style="407" customWidth="1"/>
    <col min="12559" max="12559" width="1.5703125" style="407" customWidth="1"/>
    <col min="12560" max="12560" width="12.28515625" style="407" customWidth="1"/>
    <col min="12561" max="12561" width="1.5703125" style="407" customWidth="1"/>
    <col min="12562" max="12562" width="13.5703125" style="407" customWidth="1"/>
    <col min="12563" max="12563" width="0.85546875" style="407" customWidth="1"/>
    <col min="12564" max="12564" width="12.28515625" style="407" customWidth="1"/>
    <col min="12565" max="12565" width="1.5703125" style="407" customWidth="1"/>
    <col min="12566" max="12566" width="12.28515625" style="407" customWidth="1"/>
    <col min="12567" max="12567" width="1.5703125" style="407" customWidth="1"/>
    <col min="12568" max="12568" width="12.28515625" style="407" customWidth="1"/>
    <col min="12569" max="12569" width="0.85546875" style="407" customWidth="1"/>
    <col min="12570" max="12570" width="12.28515625" style="407" customWidth="1"/>
    <col min="12571" max="12571" width="1.5703125" style="407" customWidth="1"/>
    <col min="12572" max="12572" width="12.28515625" style="407" customWidth="1"/>
    <col min="12573" max="12573" width="1.5703125" style="407" customWidth="1"/>
    <col min="12574" max="12574" width="12.28515625" style="407" customWidth="1"/>
    <col min="12575" max="12575" width="0.85546875" style="407" customWidth="1"/>
    <col min="12576" max="12576" width="12.28515625" style="407" customWidth="1"/>
    <col min="12577" max="12577" width="1.5703125" style="407" customWidth="1"/>
    <col min="12578" max="12578" width="12.28515625" style="407" customWidth="1"/>
    <col min="12579" max="12579" width="1.5703125" style="407" customWidth="1"/>
    <col min="12580" max="12580" width="12.28515625" style="407" customWidth="1"/>
    <col min="12581" max="12581" width="5.140625" style="407" bestFit="1" customWidth="1"/>
    <col min="12582" max="12582" width="1.42578125" style="407" customWidth="1"/>
    <col min="12583" max="12805" width="13.85546875" style="407"/>
    <col min="12806" max="12806" width="7.85546875" style="407" customWidth="1"/>
    <col min="12807" max="12808" width="2.28515625" style="407" customWidth="1"/>
    <col min="12809" max="12809" width="31.42578125" style="407" customWidth="1"/>
    <col min="12810" max="12810" width="2.28515625" style="407" customWidth="1"/>
    <col min="12811" max="12811" width="2.140625" style="407" customWidth="1"/>
    <col min="12812" max="12812" width="12.28515625" style="407" customWidth="1"/>
    <col min="12813" max="12813" width="1.5703125" style="407" customWidth="1"/>
    <col min="12814" max="12814" width="12.28515625" style="407" customWidth="1"/>
    <col min="12815" max="12815" width="1.5703125" style="407" customWidth="1"/>
    <col min="12816" max="12816" width="12.28515625" style="407" customWidth="1"/>
    <col min="12817" max="12817" width="1.5703125" style="407" customWidth="1"/>
    <col min="12818" max="12818" width="13.5703125" style="407" customWidth="1"/>
    <col min="12819" max="12819" width="0.85546875" style="407" customWidth="1"/>
    <col min="12820" max="12820" width="12.28515625" style="407" customWidth="1"/>
    <col min="12821" max="12821" width="1.5703125" style="407" customWidth="1"/>
    <col min="12822" max="12822" width="12.28515625" style="407" customWidth="1"/>
    <col min="12823" max="12823" width="1.5703125" style="407" customWidth="1"/>
    <col min="12824" max="12824" width="12.28515625" style="407" customWidth="1"/>
    <col min="12825" max="12825" width="0.85546875" style="407" customWidth="1"/>
    <col min="12826" max="12826" width="12.28515625" style="407" customWidth="1"/>
    <col min="12827" max="12827" width="1.5703125" style="407" customWidth="1"/>
    <col min="12828" max="12828" width="12.28515625" style="407" customWidth="1"/>
    <col min="12829" max="12829" width="1.5703125" style="407" customWidth="1"/>
    <col min="12830" max="12830" width="12.28515625" style="407" customWidth="1"/>
    <col min="12831" max="12831" width="0.85546875" style="407" customWidth="1"/>
    <col min="12832" max="12832" width="12.28515625" style="407" customWidth="1"/>
    <col min="12833" max="12833" width="1.5703125" style="407" customWidth="1"/>
    <col min="12834" max="12834" width="12.28515625" style="407" customWidth="1"/>
    <col min="12835" max="12835" width="1.5703125" style="407" customWidth="1"/>
    <col min="12836" max="12836" width="12.28515625" style="407" customWidth="1"/>
    <col min="12837" max="12837" width="5.140625" style="407" bestFit="1" customWidth="1"/>
    <col min="12838" max="12838" width="1.42578125" style="407" customWidth="1"/>
    <col min="12839" max="13061" width="13.85546875" style="407"/>
    <col min="13062" max="13062" width="7.85546875" style="407" customWidth="1"/>
    <col min="13063" max="13064" width="2.28515625" style="407" customWidth="1"/>
    <col min="13065" max="13065" width="31.42578125" style="407" customWidth="1"/>
    <col min="13066" max="13066" width="2.28515625" style="407" customWidth="1"/>
    <col min="13067" max="13067" width="2.140625" style="407" customWidth="1"/>
    <col min="13068" max="13068" width="12.28515625" style="407" customWidth="1"/>
    <col min="13069" max="13069" width="1.5703125" style="407" customWidth="1"/>
    <col min="13070" max="13070" width="12.28515625" style="407" customWidth="1"/>
    <col min="13071" max="13071" width="1.5703125" style="407" customWidth="1"/>
    <col min="13072" max="13072" width="12.28515625" style="407" customWidth="1"/>
    <col min="13073" max="13073" width="1.5703125" style="407" customWidth="1"/>
    <col min="13074" max="13074" width="13.5703125" style="407" customWidth="1"/>
    <col min="13075" max="13075" width="0.85546875" style="407" customWidth="1"/>
    <col min="13076" max="13076" width="12.28515625" style="407" customWidth="1"/>
    <col min="13077" max="13077" width="1.5703125" style="407" customWidth="1"/>
    <col min="13078" max="13078" width="12.28515625" style="407" customWidth="1"/>
    <col min="13079" max="13079" width="1.5703125" style="407" customWidth="1"/>
    <col min="13080" max="13080" width="12.28515625" style="407" customWidth="1"/>
    <col min="13081" max="13081" width="0.85546875" style="407" customWidth="1"/>
    <col min="13082" max="13082" width="12.28515625" style="407" customWidth="1"/>
    <col min="13083" max="13083" width="1.5703125" style="407" customWidth="1"/>
    <col min="13084" max="13084" width="12.28515625" style="407" customWidth="1"/>
    <col min="13085" max="13085" width="1.5703125" style="407" customWidth="1"/>
    <col min="13086" max="13086" width="12.28515625" style="407" customWidth="1"/>
    <col min="13087" max="13087" width="0.85546875" style="407" customWidth="1"/>
    <col min="13088" max="13088" width="12.28515625" style="407" customWidth="1"/>
    <col min="13089" max="13089" width="1.5703125" style="407" customWidth="1"/>
    <col min="13090" max="13090" width="12.28515625" style="407" customWidth="1"/>
    <col min="13091" max="13091" width="1.5703125" style="407" customWidth="1"/>
    <col min="13092" max="13092" width="12.28515625" style="407" customWidth="1"/>
    <col min="13093" max="13093" width="5.140625" style="407" bestFit="1" customWidth="1"/>
    <col min="13094" max="13094" width="1.42578125" style="407" customWidth="1"/>
    <col min="13095" max="13317" width="13.85546875" style="407"/>
    <col min="13318" max="13318" width="7.85546875" style="407" customWidth="1"/>
    <col min="13319" max="13320" width="2.28515625" style="407" customWidth="1"/>
    <col min="13321" max="13321" width="31.42578125" style="407" customWidth="1"/>
    <col min="13322" max="13322" width="2.28515625" style="407" customWidth="1"/>
    <col min="13323" max="13323" width="2.140625" style="407" customWidth="1"/>
    <col min="13324" max="13324" width="12.28515625" style="407" customWidth="1"/>
    <col min="13325" max="13325" width="1.5703125" style="407" customWidth="1"/>
    <col min="13326" max="13326" width="12.28515625" style="407" customWidth="1"/>
    <col min="13327" max="13327" width="1.5703125" style="407" customWidth="1"/>
    <col min="13328" max="13328" width="12.28515625" style="407" customWidth="1"/>
    <col min="13329" max="13329" width="1.5703125" style="407" customWidth="1"/>
    <col min="13330" max="13330" width="13.5703125" style="407" customWidth="1"/>
    <col min="13331" max="13331" width="0.85546875" style="407" customWidth="1"/>
    <col min="13332" max="13332" width="12.28515625" style="407" customWidth="1"/>
    <col min="13333" max="13333" width="1.5703125" style="407" customWidth="1"/>
    <col min="13334" max="13334" width="12.28515625" style="407" customWidth="1"/>
    <col min="13335" max="13335" width="1.5703125" style="407" customWidth="1"/>
    <col min="13336" max="13336" width="12.28515625" style="407" customWidth="1"/>
    <col min="13337" max="13337" width="0.85546875" style="407" customWidth="1"/>
    <col min="13338" max="13338" width="12.28515625" style="407" customWidth="1"/>
    <col min="13339" max="13339" width="1.5703125" style="407" customWidth="1"/>
    <col min="13340" max="13340" width="12.28515625" style="407" customWidth="1"/>
    <col min="13341" max="13341" width="1.5703125" style="407" customWidth="1"/>
    <col min="13342" max="13342" width="12.28515625" style="407" customWidth="1"/>
    <col min="13343" max="13343" width="0.85546875" style="407" customWidth="1"/>
    <col min="13344" max="13344" width="12.28515625" style="407" customWidth="1"/>
    <col min="13345" max="13345" width="1.5703125" style="407" customWidth="1"/>
    <col min="13346" max="13346" width="12.28515625" style="407" customWidth="1"/>
    <col min="13347" max="13347" width="1.5703125" style="407" customWidth="1"/>
    <col min="13348" max="13348" width="12.28515625" style="407" customWidth="1"/>
    <col min="13349" max="13349" width="5.140625" style="407" bestFit="1" customWidth="1"/>
    <col min="13350" max="13350" width="1.42578125" style="407" customWidth="1"/>
    <col min="13351" max="13573" width="13.85546875" style="407"/>
    <col min="13574" max="13574" width="7.85546875" style="407" customWidth="1"/>
    <col min="13575" max="13576" width="2.28515625" style="407" customWidth="1"/>
    <col min="13577" max="13577" width="31.42578125" style="407" customWidth="1"/>
    <col min="13578" max="13578" width="2.28515625" style="407" customWidth="1"/>
    <col min="13579" max="13579" width="2.140625" style="407" customWidth="1"/>
    <col min="13580" max="13580" width="12.28515625" style="407" customWidth="1"/>
    <col min="13581" max="13581" width="1.5703125" style="407" customWidth="1"/>
    <col min="13582" max="13582" width="12.28515625" style="407" customWidth="1"/>
    <col min="13583" max="13583" width="1.5703125" style="407" customWidth="1"/>
    <col min="13584" max="13584" width="12.28515625" style="407" customWidth="1"/>
    <col min="13585" max="13585" width="1.5703125" style="407" customWidth="1"/>
    <col min="13586" max="13586" width="13.5703125" style="407" customWidth="1"/>
    <col min="13587" max="13587" width="0.85546875" style="407" customWidth="1"/>
    <col min="13588" max="13588" width="12.28515625" style="407" customWidth="1"/>
    <col min="13589" max="13589" width="1.5703125" style="407" customWidth="1"/>
    <col min="13590" max="13590" width="12.28515625" style="407" customWidth="1"/>
    <col min="13591" max="13591" width="1.5703125" style="407" customWidth="1"/>
    <col min="13592" max="13592" width="12.28515625" style="407" customWidth="1"/>
    <col min="13593" max="13593" width="0.85546875" style="407" customWidth="1"/>
    <col min="13594" max="13594" width="12.28515625" style="407" customWidth="1"/>
    <col min="13595" max="13595" width="1.5703125" style="407" customWidth="1"/>
    <col min="13596" max="13596" width="12.28515625" style="407" customWidth="1"/>
    <col min="13597" max="13597" width="1.5703125" style="407" customWidth="1"/>
    <col min="13598" max="13598" width="12.28515625" style="407" customWidth="1"/>
    <col min="13599" max="13599" width="0.85546875" style="407" customWidth="1"/>
    <col min="13600" max="13600" width="12.28515625" style="407" customWidth="1"/>
    <col min="13601" max="13601" width="1.5703125" style="407" customWidth="1"/>
    <col min="13602" max="13602" width="12.28515625" style="407" customWidth="1"/>
    <col min="13603" max="13603" width="1.5703125" style="407" customWidth="1"/>
    <col min="13604" max="13604" width="12.28515625" style="407" customWidth="1"/>
    <col min="13605" max="13605" width="5.140625" style="407" bestFit="1" customWidth="1"/>
    <col min="13606" max="13606" width="1.42578125" style="407" customWidth="1"/>
    <col min="13607" max="13829" width="13.85546875" style="407"/>
    <col min="13830" max="13830" width="7.85546875" style="407" customWidth="1"/>
    <col min="13831" max="13832" width="2.28515625" style="407" customWidth="1"/>
    <col min="13833" max="13833" width="31.42578125" style="407" customWidth="1"/>
    <col min="13834" max="13834" width="2.28515625" style="407" customWidth="1"/>
    <col min="13835" max="13835" width="2.140625" style="407" customWidth="1"/>
    <col min="13836" max="13836" width="12.28515625" style="407" customWidth="1"/>
    <col min="13837" max="13837" width="1.5703125" style="407" customWidth="1"/>
    <col min="13838" max="13838" width="12.28515625" style="407" customWidth="1"/>
    <col min="13839" max="13839" width="1.5703125" style="407" customWidth="1"/>
    <col min="13840" max="13840" width="12.28515625" style="407" customWidth="1"/>
    <col min="13841" max="13841" width="1.5703125" style="407" customWidth="1"/>
    <col min="13842" max="13842" width="13.5703125" style="407" customWidth="1"/>
    <col min="13843" max="13843" width="0.85546875" style="407" customWidth="1"/>
    <col min="13844" max="13844" width="12.28515625" style="407" customWidth="1"/>
    <col min="13845" max="13845" width="1.5703125" style="407" customWidth="1"/>
    <col min="13846" max="13846" width="12.28515625" style="407" customWidth="1"/>
    <col min="13847" max="13847" width="1.5703125" style="407" customWidth="1"/>
    <col min="13848" max="13848" width="12.28515625" style="407" customWidth="1"/>
    <col min="13849" max="13849" width="0.85546875" style="407" customWidth="1"/>
    <col min="13850" max="13850" width="12.28515625" style="407" customWidth="1"/>
    <col min="13851" max="13851" width="1.5703125" style="407" customWidth="1"/>
    <col min="13852" max="13852" width="12.28515625" style="407" customWidth="1"/>
    <col min="13853" max="13853" width="1.5703125" style="407" customWidth="1"/>
    <col min="13854" max="13854" width="12.28515625" style="407" customWidth="1"/>
    <col min="13855" max="13855" width="0.85546875" style="407" customWidth="1"/>
    <col min="13856" max="13856" width="12.28515625" style="407" customWidth="1"/>
    <col min="13857" max="13857" width="1.5703125" style="407" customWidth="1"/>
    <col min="13858" max="13858" width="12.28515625" style="407" customWidth="1"/>
    <col min="13859" max="13859" width="1.5703125" style="407" customWidth="1"/>
    <col min="13860" max="13860" width="12.28515625" style="407" customWidth="1"/>
    <col min="13861" max="13861" width="5.140625" style="407" bestFit="1" customWidth="1"/>
    <col min="13862" max="13862" width="1.42578125" style="407" customWidth="1"/>
    <col min="13863" max="14085" width="13.85546875" style="407"/>
    <col min="14086" max="14086" width="7.85546875" style="407" customWidth="1"/>
    <col min="14087" max="14088" width="2.28515625" style="407" customWidth="1"/>
    <col min="14089" max="14089" width="31.42578125" style="407" customWidth="1"/>
    <col min="14090" max="14090" width="2.28515625" style="407" customWidth="1"/>
    <col min="14091" max="14091" width="2.140625" style="407" customWidth="1"/>
    <col min="14092" max="14092" width="12.28515625" style="407" customWidth="1"/>
    <col min="14093" max="14093" width="1.5703125" style="407" customWidth="1"/>
    <col min="14094" max="14094" width="12.28515625" style="407" customWidth="1"/>
    <col min="14095" max="14095" width="1.5703125" style="407" customWidth="1"/>
    <col min="14096" max="14096" width="12.28515625" style="407" customWidth="1"/>
    <col min="14097" max="14097" width="1.5703125" style="407" customWidth="1"/>
    <col min="14098" max="14098" width="13.5703125" style="407" customWidth="1"/>
    <col min="14099" max="14099" width="0.85546875" style="407" customWidth="1"/>
    <col min="14100" max="14100" width="12.28515625" style="407" customWidth="1"/>
    <col min="14101" max="14101" width="1.5703125" style="407" customWidth="1"/>
    <col min="14102" max="14102" width="12.28515625" style="407" customWidth="1"/>
    <col min="14103" max="14103" width="1.5703125" style="407" customWidth="1"/>
    <col min="14104" max="14104" width="12.28515625" style="407" customWidth="1"/>
    <col min="14105" max="14105" width="0.85546875" style="407" customWidth="1"/>
    <col min="14106" max="14106" width="12.28515625" style="407" customWidth="1"/>
    <col min="14107" max="14107" width="1.5703125" style="407" customWidth="1"/>
    <col min="14108" max="14108" width="12.28515625" style="407" customWidth="1"/>
    <col min="14109" max="14109" width="1.5703125" style="407" customWidth="1"/>
    <col min="14110" max="14110" width="12.28515625" style="407" customWidth="1"/>
    <col min="14111" max="14111" width="0.85546875" style="407" customWidth="1"/>
    <col min="14112" max="14112" width="12.28515625" style="407" customWidth="1"/>
    <col min="14113" max="14113" width="1.5703125" style="407" customWidth="1"/>
    <col min="14114" max="14114" width="12.28515625" style="407" customWidth="1"/>
    <col min="14115" max="14115" width="1.5703125" style="407" customWidth="1"/>
    <col min="14116" max="14116" width="12.28515625" style="407" customWidth="1"/>
    <col min="14117" max="14117" width="5.140625" style="407" bestFit="1" customWidth="1"/>
    <col min="14118" max="14118" width="1.42578125" style="407" customWidth="1"/>
    <col min="14119" max="14341" width="13.85546875" style="407"/>
    <col min="14342" max="14342" width="7.85546875" style="407" customWidth="1"/>
    <col min="14343" max="14344" width="2.28515625" style="407" customWidth="1"/>
    <col min="14345" max="14345" width="31.42578125" style="407" customWidth="1"/>
    <col min="14346" max="14346" width="2.28515625" style="407" customWidth="1"/>
    <col min="14347" max="14347" width="2.140625" style="407" customWidth="1"/>
    <col min="14348" max="14348" width="12.28515625" style="407" customWidth="1"/>
    <col min="14349" max="14349" width="1.5703125" style="407" customWidth="1"/>
    <col min="14350" max="14350" width="12.28515625" style="407" customWidth="1"/>
    <col min="14351" max="14351" width="1.5703125" style="407" customWidth="1"/>
    <col min="14352" max="14352" width="12.28515625" style="407" customWidth="1"/>
    <col min="14353" max="14353" width="1.5703125" style="407" customWidth="1"/>
    <col min="14354" max="14354" width="13.5703125" style="407" customWidth="1"/>
    <col min="14355" max="14355" width="0.85546875" style="407" customWidth="1"/>
    <col min="14356" max="14356" width="12.28515625" style="407" customWidth="1"/>
    <col min="14357" max="14357" width="1.5703125" style="407" customWidth="1"/>
    <col min="14358" max="14358" width="12.28515625" style="407" customWidth="1"/>
    <col min="14359" max="14359" width="1.5703125" style="407" customWidth="1"/>
    <col min="14360" max="14360" width="12.28515625" style="407" customWidth="1"/>
    <col min="14361" max="14361" width="0.85546875" style="407" customWidth="1"/>
    <col min="14362" max="14362" width="12.28515625" style="407" customWidth="1"/>
    <col min="14363" max="14363" width="1.5703125" style="407" customWidth="1"/>
    <col min="14364" max="14364" width="12.28515625" style="407" customWidth="1"/>
    <col min="14365" max="14365" width="1.5703125" style="407" customWidth="1"/>
    <col min="14366" max="14366" width="12.28515625" style="407" customWidth="1"/>
    <col min="14367" max="14367" width="0.85546875" style="407" customWidth="1"/>
    <col min="14368" max="14368" width="12.28515625" style="407" customWidth="1"/>
    <col min="14369" max="14369" width="1.5703125" style="407" customWidth="1"/>
    <col min="14370" max="14370" width="12.28515625" style="407" customWidth="1"/>
    <col min="14371" max="14371" width="1.5703125" style="407" customWidth="1"/>
    <col min="14372" max="14372" width="12.28515625" style="407" customWidth="1"/>
    <col min="14373" max="14373" width="5.140625" style="407" bestFit="1" customWidth="1"/>
    <col min="14374" max="14374" width="1.42578125" style="407" customWidth="1"/>
    <col min="14375" max="14597" width="13.85546875" style="407"/>
    <col min="14598" max="14598" width="7.85546875" style="407" customWidth="1"/>
    <col min="14599" max="14600" width="2.28515625" style="407" customWidth="1"/>
    <col min="14601" max="14601" width="31.42578125" style="407" customWidth="1"/>
    <col min="14602" max="14602" width="2.28515625" style="407" customWidth="1"/>
    <col min="14603" max="14603" width="2.140625" style="407" customWidth="1"/>
    <col min="14604" max="14604" width="12.28515625" style="407" customWidth="1"/>
    <col min="14605" max="14605" width="1.5703125" style="407" customWidth="1"/>
    <col min="14606" max="14606" width="12.28515625" style="407" customWidth="1"/>
    <col min="14607" max="14607" width="1.5703125" style="407" customWidth="1"/>
    <col min="14608" max="14608" width="12.28515625" style="407" customWidth="1"/>
    <col min="14609" max="14609" width="1.5703125" style="407" customWidth="1"/>
    <col min="14610" max="14610" width="13.5703125" style="407" customWidth="1"/>
    <col min="14611" max="14611" width="0.85546875" style="407" customWidth="1"/>
    <col min="14612" max="14612" width="12.28515625" style="407" customWidth="1"/>
    <col min="14613" max="14613" width="1.5703125" style="407" customWidth="1"/>
    <col min="14614" max="14614" width="12.28515625" style="407" customWidth="1"/>
    <col min="14615" max="14615" width="1.5703125" style="407" customWidth="1"/>
    <col min="14616" max="14616" width="12.28515625" style="407" customWidth="1"/>
    <col min="14617" max="14617" width="0.85546875" style="407" customWidth="1"/>
    <col min="14618" max="14618" width="12.28515625" style="407" customWidth="1"/>
    <col min="14619" max="14619" width="1.5703125" style="407" customWidth="1"/>
    <col min="14620" max="14620" width="12.28515625" style="407" customWidth="1"/>
    <col min="14621" max="14621" width="1.5703125" style="407" customWidth="1"/>
    <col min="14622" max="14622" width="12.28515625" style="407" customWidth="1"/>
    <col min="14623" max="14623" width="0.85546875" style="407" customWidth="1"/>
    <col min="14624" max="14624" width="12.28515625" style="407" customWidth="1"/>
    <col min="14625" max="14625" width="1.5703125" style="407" customWidth="1"/>
    <col min="14626" max="14626" width="12.28515625" style="407" customWidth="1"/>
    <col min="14627" max="14627" width="1.5703125" style="407" customWidth="1"/>
    <col min="14628" max="14628" width="12.28515625" style="407" customWidth="1"/>
    <col min="14629" max="14629" width="5.140625" style="407" bestFit="1" customWidth="1"/>
    <col min="14630" max="14630" width="1.42578125" style="407" customWidth="1"/>
    <col min="14631" max="14853" width="13.85546875" style="407"/>
    <col min="14854" max="14854" width="7.85546875" style="407" customWidth="1"/>
    <col min="14855" max="14856" width="2.28515625" style="407" customWidth="1"/>
    <col min="14857" max="14857" width="31.42578125" style="407" customWidth="1"/>
    <col min="14858" max="14858" width="2.28515625" style="407" customWidth="1"/>
    <col min="14859" max="14859" width="2.140625" style="407" customWidth="1"/>
    <col min="14860" max="14860" width="12.28515625" style="407" customWidth="1"/>
    <col min="14861" max="14861" width="1.5703125" style="407" customWidth="1"/>
    <col min="14862" max="14862" width="12.28515625" style="407" customWidth="1"/>
    <col min="14863" max="14863" width="1.5703125" style="407" customWidth="1"/>
    <col min="14864" max="14864" width="12.28515625" style="407" customWidth="1"/>
    <col min="14865" max="14865" width="1.5703125" style="407" customWidth="1"/>
    <col min="14866" max="14866" width="13.5703125" style="407" customWidth="1"/>
    <col min="14867" max="14867" width="0.85546875" style="407" customWidth="1"/>
    <col min="14868" max="14868" width="12.28515625" style="407" customWidth="1"/>
    <col min="14869" max="14869" width="1.5703125" style="407" customWidth="1"/>
    <col min="14870" max="14870" width="12.28515625" style="407" customWidth="1"/>
    <col min="14871" max="14871" width="1.5703125" style="407" customWidth="1"/>
    <col min="14872" max="14872" width="12.28515625" style="407" customWidth="1"/>
    <col min="14873" max="14873" width="0.85546875" style="407" customWidth="1"/>
    <col min="14874" max="14874" width="12.28515625" style="407" customWidth="1"/>
    <col min="14875" max="14875" width="1.5703125" style="407" customWidth="1"/>
    <col min="14876" max="14876" width="12.28515625" style="407" customWidth="1"/>
    <col min="14877" max="14877" width="1.5703125" style="407" customWidth="1"/>
    <col min="14878" max="14878" width="12.28515625" style="407" customWidth="1"/>
    <col min="14879" max="14879" width="0.85546875" style="407" customWidth="1"/>
    <col min="14880" max="14880" width="12.28515625" style="407" customWidth="1"/>
    <col min="14881" max="14881" width="1.5703125" style="407" customWidth="1"/>
    <col min="14882" max="14882" width="12.28515625" style="407" customWidth="1"/>
    <col min="14883" max="14883" width="1.5703125" style="407" customWidth="1"/>
    <col min="14884" max="14884" width="12.28515625" style="407" customWidth="1"/>
    <col min="14885" max="14885" width="5.140625" style="407" bestFit="1" customWidth="1"/>
    <col min="14886" max="14886" width="1.42578125" style="407" customWidth="1"/>
    <col min="14887" max="15109" width="13.85546875" style="407"/>
    <col min="15110" max="15110" width="7.85546875" style="407" customWidth="1"/>
    <col min="15111" max="15112" width="2.28515625" style="407" customWidth="1"/>
    <col min="15113" max="15113" width="31.42578125" style="407" customWidth="1"/>
    <col min="15114" max="15114" width="2.28515625" style="407" customWidth="1"/>
    <col min="15115" max="15115" width="2.140625" style="407" customWidth="1"/>
    <col min="15116" max="15116" width="12.28515625" style="407" customWidth="1"/>
    <col min="15117" max="15117" width="1.5703125" style="407" customWidth="1"/>
    <col min="15118" max="15118" width="12.28515625" style="407" customWidth="1"/>
    <col min="15119" max="15119" width="1.5703125" style="407" customWidth="1"/>
    <col min="15120" max="15120" width="12.28515625" style="407" customWidth="1"/>
    <col min="15121" max="15121" width="1.5703125" style="407" customWidth="1"/>
    <col min="15122" max="15122" width="13.5703125" style="407" customWidth="1"/>
    <col min="15123" max="15123" width="0.85546875" style="407" customWidth="1"/>
    <col min="15124" max="15124" width="12.28515625" style="407" customWidth="1"/>
    <col min="15125" max="15125" width="1.5703125" style="407" customWidth="1"/>
    <col min="15126" max="15126" width="12.28515625" style="407" customWidth="1"/>
    <col min="15127" max="15127" width="1.5703125" style="407" customWidth="1"/>
    <col min="15128" max="15128" width="12.28515625" style="407" customWidth="1"/>
    <col min="15129" max="15129" width="0.85546875" style="407" customWidth="1"/>
    <col min="15130" max="15130" width="12.28515625" style="407" customWidth="1"/>
    <col min="15131" max="15131" width="1.5703125" style="407" customWidth="1"/>
    <col min="15132" max="15132" width="12.28515625" style="407" customWidth="1"/>
    <col min="15133" max="15133" width="1.5703125" style="407" customWidth="1"/>
    <col min="15134" max="15134" width="12.28515625" style="407" customWidth="1"/>
    <col min="15135" max="15135" width="0.85546875" style="407" customWidth="1"/>
    <col min="15136" max="15136" width="12.28515625" style="407" customWidth="1"/>
    <col min="15137" max="15137" width="1.5703125" style="407" customWidth="1"/>
    <col min="15138" max="15138" width="12.28515625" style="407" customWidth="1"/>
    <col min="15139" max="15139" width="1.5703125" style="407" customWidth="1"/>
    <col min="15140" max="15140" width="12.28515625" style="407" customWidth="1"/>
    <col min="15141" max="15141" width="5.140625" style="407" bestFit="1" customWidth="1"/>
    <col min="15142" max="15142" width="1.42578125" style="407" customWidth="1"/>
    <col min="15143" max="15365" width="13.85546875" style="407"/>
    <col min="15366" max="15366" width="7.85546875" style="407" customWidth="1"/>
    <col min="15367" max="15368" width="2.28515625" style="407" customWidth="1"/>
    <col min="15369" max="15369" width="31.42578125" style="407" customWidth="1"/>
    <col min="15370" max="15370" width="2.28515625" style="407" customWidth="1"/>
    <col min="15371" max="15371" width="2.140625" style="407" customWidth="1"/>
    <col min="15372" max="15372" width="12.28515625" style="407" customWidth="1"/>
    <col min="15373" max="15373" width="1.5703125" style="407" customWidth="1"/>
    <col min="15374" max="15374" width="12.28515625" style="407" customWidth="1"/>
    <col min="15375" max="15375" width="1.5703125" style="407" customWidth="1"/>
    <col min="15376" max="15376" width="12.28515625" style="407" customWidth="1"/>
    <col min="15377" max="15377" width="1.5703125" style="407" customWidth="1"/>
    <col min="15378" max="15378" width="13.5703125" style="407" customWidth="1"/>
    <col min="15379" max="15379" width="0.85546875" style="407" customWidth="1"/>
    <col min="15380" max="15380" width="12.28515625" style="407" customWidth="1"/>
    <col min="15381" max="15381" width="1.5703125" style="407" customWidth="1"/>
    <col min="15382" max="15382" width="12.28515625" style="407" customWidth="1"/>
    <col min="15383" max="15383" width="1.5703125" style="407" customWidth="1"/>
    <col min="15384" max="15384" width="12.28515625" style="407" customWidth="1"/>
    <col min="15385" max="15385" width="0.85546875" style="407" customWidth="1"/>
    <col min="15386" max="15386" width="12.28515625" style="407" customWidth="1"/>
    <col min="15387" max="15387" width="1.5703125" style="407" customWidth="1"/>
    <col min="15388" max="15388" width="12.28515625" style="407" customWidth="1"/>
    <col min="15389" max="15389" width="1.5703125" style="407" customWidth="1"/>
    <col min="15390" max="15390" width="12.28515625" style="407" customWidth="1"/>
    <col min="15391" max="15391" width="0.85546875" style="407" customWidth="1"/>
    <col min="15392" max="15392" width="12.28515625" style="407" customWidth="1"/>
    <col min="15393" max="15393" width="1.5703125" style="407" customWidth="1"/>
    <col min="15394" max="15394" width="12.28515625" style="407" customWidth="1"/>
    <col min="15395" max="15395" width="1.5703125" style="407" customWidth="1"/>
    <col min="15396" max="15396" width="12.28515625" style="407" customWidth="1"/>
    <col min="15397" max="15397" width="5.140625" style="407" bestFit="1" customWidth="1"/>
    <col min="15398" max="15398" width="1.42578125" style="407" customWidth="1"/>
    <col min="15399" max="15621" width="13.85546875" style="407"/>
    <col min="15622" max="15622" width="7.85546875" style="407" customWidth="1"/>
    <col min="15623" max="15624" width="2.28515625" style="407" customWidth="1"/>
    <col min="15625" max="15625" width="31.42578125" style="407" customWidth="1"/>
    <col min="15626" max="15626" width="2.28515625" style="407" customWidth="1"/>
    <col min="15627" max="15627" width="2.140625" style="407" customWidth="1"/>
    <col min="15628" max="15628" width="12.28515625" style="407" customWidth="1"/>
    <col min="15629" max="15629" width="1.5703125" style="407" customWidth="1"/>
    <col min="15630" max="15630" width="12.28515625" style="407" customWidth="1"/>
    <col min="15631" max="15631" width="1.5703125" style="407" customWidth="1"/>
    <col min="15632" max="15632" width="12.28515625" style="407" customWidth="1"/>
    <col min="15633" max="15633" width="1.5703125" style="407" customWidth="1"/>
    <col min="15634" max="15634" width="13.5703125" style="407" customWidth="1"/>
    <col min="15635" max="15635" width="0.85546875" style="407" customWidth="1"/>
    <col min="15636" max="15636" width="12.28515625" style="407" customWidth="1"/>
    <col min="15637" max="15637" width="1.5703125" style="407" customWidth="1"/>
    <col min="15638" max="15638" width="12.28515625" style="407" customWidth="1"/>
    <col min="15639" max="15639" width="1.5703125" style="407" customWidth="1"/>
    <col min="15640" max="15640" width="12.28515625" style="407" customWidth="1"/>
    <col min="15641" max="15641" width="0.85546875" style="407" customWidth="1"/>
    <col min="15642" max="15642" width="12.28515625" style="407" customWidth="1"/>
    <col min="15643" max="15643" width="1.5703125" style="407" customWidth="1"/>
    <col min="15644" max="15644" width="12.28515625" style="407" customWidth="1"/>
    <col min="15645" max="15645" width="1.5703125" style="407" customWidth="1"/>
    <col min="15646" max="15646" width="12.28515625" style="407" customWidth="1"/>
    <col min="15647" max="15647" width="0.85546875" style="407" customWidth="1"/>
    <col min="15648" max="15648" width="12.28515625" style="407" customWidth="1"/>
    <col min="15649" max="15649" width="1.5703125" style="407" customWidth="1"/>
    <col min="15650" max="15650" width="12.28515625" style="407" customWidth="1"/>
    <col min="15651" max="15651" width="1.5703125" style="407" customWidth="1"/>
    <col min="15652" max="15652" width="12.28515625" style="407" customWidth="1"/>
    <col min="15653" max="15653" width="5.140625" style="407" bestFit="1" customWidth="1"/>
    <col min="15654" max="15654" width="1.42578125" style="407" customWidth="1"/>
    <col min="15655" max="15877" width="13.85546875" style="407"/>
    <col min="15878" max="15878" width="7.85546875" style="407" customWidth="1"/>
    <col min="15879" max="15880" width="2.28515625" style="407" customWidth="1"/>
    <col min="15881" max="15881" width="31.42578125" style="407" customWidth="1"/>
    <col min="15882" max="15882" width="2.28515625" style="407" customWidth="1"/>
    <col min="15883" max="15883" width="2.140625" style="407" customWidth="1"/>
    <col min="15884" max="15884" width="12.28515625" style="407" customWidth="1"/>
    <col min="15885" max="15885" width="1.5703125" style="407" customWidth="1"/>
    <col min="15886" max="15886" width="12.28515625" style="407" customWidth="1"/>
    <col min="15887" max="15887" width="1.5703125" style="407" customWidth="1"/>
    <col min="15888" max="15888" width="12.28515625" style="407" customWidth="1"/>
    <col min="15889" max="15889" width="1.5703125" style="407" customWidth="1"/>
    <col min="15890" max="15890" width="13.5703125" style="407" customWidth="1"/>
    <col min="15891" max="15891" width="0.85546875" style="407" customWidth="1"/>
    <col min="15892" max="15892" width="12.28515625" style="407" customWidth="1"/>
    <col min="15893" max="15893" width="1.5703125" style="407" customWidth="1"/>
    <col min="15894" max="15894" width="12.28515625" style="407" customWidth="1"/>
    <col min="15895" max="15895" width="1.5703125" style="407" customWidth="1"/>
    <col min="15896" max="15896" width="12.28515625" style="407" customWidth="1"/>
    <col min="15897" max="15897" width="0.85546875" style="407" customWidth="1"/>
    <col min="15898" max="15898" width="12.28515625" style="407" customWidth="1"/>
    <col min="15899" max="15899" width="1.5703125" style="407" customWidth="1"/>
    <col min="15900" max="15900" width="12.28515625" style="407" customWidth="1"/>
    <col min="15901" max="15901" width="1.5703125" style="407" customWidth="1"/>
    <col min="15902" max="15902" width="12.28515625" style="407" customWidth="1"/>
    <col min="15903" max="15903" width="0.85546875" style="407" customWidth="1"/>
    <col min="15904" max="15904" width="12.28515625" style="407" customWidth="1"/>
    <col min="15905" max="15905" width="1.5703125" style="407" customWidth="1"/>
    <col min="15906" max="15906" width="12.28515625" style="407" customWidth="1"/>
    <col min="15907" max="15907" width="1.5703125" style="407" customWidth="1"/>
    <col min="15908" max="15908" width="12.28515625" style="407" customWidth="1"/>
    <col min="15909" max="15909" width="5.140625" style="407" bestFit="1" customWidth="1"/>
    <col min="15910" max="15910" width="1.42578125" style="407" customWidth="1"/>
    <col min="15911" max="16133" width="13.85546875" style="407"/>
    <col min="16134" max="16134" width="7.85546875" style="407" customWidth="1"/>
    <col min="16135" max="16136" width="2.28515625" style="407" customWidth="1"/>
    <col min="16137" max="16137" width="31.42578125" style="407" customWidth="1"/>
    <col min="16138" max="16138" width="2.28515625" style="407" customWidth="1"/>
    <col min="16139" max="16139" width="2.140625" style="407" customWidth="1"/>
    <col min="16140" max="16140" width="12.28515625" style="407" customWidth="1"/>
    <col min="16141" max="16141" width="1.5703125" style="407" customWidth="1"/>
    <col min="16142" max="16142" width="12.28515625" style="407" customWidth="1"/>
    <col min="16143" max="16143" width="1.5703125" style="407" customWidth="1"/>
    <col min="16144" max="16144" width="12.28515625" style="407" customWidth="1"/>
    <col min="16145" max="16145" width="1.5703125" style="407" customWidth="1"/>
    <col min="16146" max="16146" width="13.5703125" style="407" customWidth="1"/>
    <col min="16147" max="16147" width="0.85546875" style="407" customWidth="1"/>
    <col min="16148" max="16148" width="12.28515625" style="407" customWidth="1"/>
    <col min="16149" max="16149" width="1.5703125" style="407" customWidth="1"/>
    <col min="16150" max="16150" width="12.28515625" style="407" customWidth="1"/>
    <col min="16151" max="16151" width="1.5703125" style="407" customWidth="1"/>
    <col min="16152" max="16152" width="12.28515625" style="407" customWidth="1"/>
    <col min="16153" max="16153" width="0.85546875" style="407" customWidth="1"/>
    <col min="16154" max="16154" width="12.28515625" style="407" customWidth="1"/>
    <col min="16155" max="16155" width="1.5703125" style="407" customWidth="1"/>
    <col min="16156" max="16156" width="12.28515625" style="407" customWidth="1"/>
    <col min="16157" max="16157" width="1.5703125" style="407" customWidth="1"/>
    <col min="16158" max="16158" width="12.28515625" style="407" customWidth="1"/>
    <col min="16159" max="16159" width="0.85546875" style="407" customWidth="1"/>
    <col min="16160" max="16160" width="12.28515625" style="407" customWidth="1"/>
    <col min="16161" max="16161" width="1.5703125" style="407" customWidth="1"/>
    <col min="16162" max="16162" width="12.28515625" style="407" customWidth="1"/>
    <col min="16163" max="16163" width="1.5703125" style="407" customWidth="1"/>
    <col min="16164" max="16164" width="12.28515625" style="407" customWidth="1"/>
    <col min="16165" max="16165" width="5.140625" style="407" bestFit="1" customWidth="1"/>
    <col min="16166" max="16166" width="1.42578125" style="407" customWidth="1"/>
    <col min="16167" max="16384" width="13.85546875" style="407"/>
  </cols>
  <sheetData>
    <row r="1" spans="1:42">
      <c r="D1" s="407" t="s">
        <v>175</v>
      </c>
      <c r="E1" s="407" t="s">
        <v>176</v>
      </c>
      <c r="F1" s="408"/>
      <c r="G1" s="409"/>
      <c r="J1" s="407" t="s">
        <v>177</v>
      </c>
      <c r="L1" s="407" t="s">
        <v>178</v>
      </c>
      <c r="N1" s="407" t="s">
        <v>179</v>
      </c>
      <c r="P1" s="407" t="s">
        <v>180</v>
      </c>
      <c r="R1" s="407" t="s">
        <v>181</v>
      </c>
      <c r="T1" s="407" t="s">
        <v>182</v>
      </c>
      <c r="V1" s="407" t="s">
        <v>183</v>
      </c>
      <c r="X1" s="407" t="s">
        <v>184</v>
      </c>
      <c r="Z1" s="407" t="s">
        <v>185</v>
      </c>
      <c r="AB1" s="407" t="s">
        <v>186</v>
      </c>
      <c r="AD1" s="407" t="s">
        <v>187</v>
      </c>
      <c r="AF1" s="407" t="s">
        <v>188</v>
      </c>
      <c r="AH1" s="410"/>
    </row>
    <row r="2" spans="1:42" ht="30" hidden="1" outlineLevel="1">
      <c r="B2" s="24"/>
      <c r="D2" s="6"/>
      <c r="E2" s="6"/>
      <c r="F2" s="7"/>
      <c r="G2" s="409"/>
      <c r="H2" s="8"/>
      <c r="I2" s="9"/>
      <c r="J2" s="10">
        <v>0</v>
      </c>
      <c r="K2" s="9"/>
      <c r="L2" s="10">
        <v>0</v>
      </c>
      <c r="M2" s="9"/>
      <c r="N2" s="10">
        <v>0</v>
      </c>
      <c r="O2" s="9"/>
      <c r="P2" s="10">
        <v>0</v>
      </c>
      <c r="Q2" s="9"/>
      <c r="R2" s="10">
        <v>0</v>
      </c>
      <c r="S2" s="9"/>
      <c r="T2" s="10">
        <v>0</v>
      </c>
      <c r="U2" s="9"/>
      <c r="V2" s="10">
        <v>0</v>
      </c>
      <c r="W2" s="9"/>
      <c r="X2" s="10">
        <v>0</v>
      </c>
      <c r="Y2" s="9"/>
      <c r="Z2" s="10">
        <v>0</v>
      </c>
      <c r="AA2" s="9"/>
      <c r="AB2" s="10">
        <v>0</v>
      </c>
      <c r="AC2" s="9"/>
      <c r="AD2" s="10">
        <v>0</v>
      </c>
      <c r="AE2" s="9"/>
      <c r="AF2" s="10">
        <v>0</v>
      </c>
      <c r="AG2" s="9"/>
      <c r="AH2" s="10">
        <f>AF2+AD2+AB2+Z2+X2+V2+T2+R2+P2+N2+L2+J2</f>
        <v>0</v>
      </c>
      <c r="AI2" s="12"/>
      <c r="AJ2" s="12"/>
      <c r="AK2" s="12"/>
      <c r="AL2" s="12"/>
      <c r="AN2" s="1566" t="s">
        <v>644</v>
      </c>
      <c r="AO2" s="1567" t="s">
        <v>847</v>
      </c>
      <c r="AP2" s="1568" t="s">
        <v>645</v>
      </c>
    </row>
    <row r="3" spans="1:42" ht="15" collapsed="1">
      <c r="D3" s="1569"/>
      <c r="E3" s="1569"/>
      <c r="F3" s="1569"/>
      <c r="G3" s="1569"/>
      <c r="H3" s="1569"/>
      <c r="I3" s="1569"/>
      <c r="J3" s="1327" t="str">
        <f>TEXT(EDATE(DATEVALUE(RIGHT($D$8,2)&amp;"/1/"&amp;LEFT($D$8,4)),-11),"yyyy-mm")</f>
        <v>2018-05</v>
      </c>
      <c r="K3" s="1327"/>
      <c r="L3" s="1327" t="str">
        <f>TEXT(EDATE(DATEVALUE(RIGHT($D$8,2)&amp;"/1/"&amp;LEFT($D$8,4)),-10),"yyyy-mm")</f>
        <v>2018-06</v>
      </c>
      <c r="M3" s="1327"/>
      <c r="N3" s="1327" t="str">
        <f>TEXT(EDATE(DATEVALUE(RIGHT($D$8,2)&amp;"/1/"&amp;LEFT($D$8,4)),-9),"yyyy-mm")</f>
        <v>2018-07</v>
      </c>
      <c r="O3" s="1327"/>
      <c r="P3" s="1327" t="str">
        <f>TEXT(EDATE(DATEVALUE(RIGHT($D$8,2)&amp;"/1/"&amp;LEFT($D$8,4)),-8),"yyyy-mm")</f>
        <v>2018-08</v>
      </c>
      <c r="Q3" s="1327"/>
      <c r="R3" s="1327" t="str">
        <f>TEXT(EDATE(DATEVALUE(RIGHT($D$8,2)&amp;"/1/"&amp;LEFT($D$8,4)),-7),"yyyy-mm")</f>
        <v>2018-09</v>
      </c>
      <c r="S3" s="1327"/>
      <c r="T3" s="1327" t="str">
        <f>TEXT(EDATE(DATEVALUE(RIGHT($D$8,2)&amp;"/1/"&amp;LEFT($D$8,4)),-6),"yyyy-mm")</f>
        <v>2018-10</v>
      </c>
      <c r="U3" s="1327"/>
      <c r="V3" s="1327" t="str">
        <f>TEXT(EDATE(DATEVALUE(RIGHT($D$8,2)&amp;"/1/"&amp;LEFT($D$8,4)),-5),"yyyy-mm")</f>
        <v>2018-11</v>
      </c>
      <c r="W3" s="1327"/>
      <c r="X3" s="1327" t="str">
        <f>TEXT(EDATE(DATEVALUE(RIGHT($D$8,2)&amp;"/1/"&amp;LEFT($D$8,4)),-4),"yyyy-mm")</f>
        <v>2018-12</v>
      </c>
      <c r="Y3" s="1327"/>
      <c r="Z3" s="1327" t="str">
        <f>TEXT(EDATE(DATEVALUE(RIGHT($D$8,2)&amp;"/1/"&amp;LEFT($D$8,4)),-3),"yyyy-mm")</f>
        <v>2019-01</v>
      </c>
      <c r="AA3" s="1327"/>
      <c r="AB3" s="1327" t="str">
        <f>TEXT(EDATE(DATEVALUE(RIGHT($D$8,2)&amp;"/1/"&amp;LEFT($D$8,4)),-2),"yyyy-mm")</f>
        <v>2019-02</v>
      </c>
      <c r="AC3" s="1327"/>
      <c r="AD3" s="1327" t="str">
        <f>TEXT(EDATE(DATEVALUE(RIGHT($D$8,2)&amp;"/1/"&amp;LEFT($D$8,4)),-1),"yyyy-mm")</f>
        <v>2019-03</v>
      </c>
      <c r="AE3" s="1327"/>
      <c r="AF3" s="1327" t="str">
        <f>YearMonth</f>
        <v>2019-04</v>
      </c>
      <c r="AG3" s="1327"/>
      <c r="AH3" s="1327"/>
      <c r="AI3" s="1327"/>
      <c r="AJ3" s="1327"/>
      <c r="AK3" s="1327"/>
      <c r="AL3" s="1327"/>
      <c r="AM3" s="1327"/>
      <c r="AN3" s="1570">
        <v>2010</v>
      </c>
      <c r="AO3" s="1440">
        <v>137814</v>
      </c>
      <c r="AP3" s="1431">
        <v>0.1232474716646669</v>
      </c>
    </row>
    <row r="4" spans="1:42" ht="15.75">
      <c r="B4" s="25" t="str">
        <f ca="1">_xll.ReportVariable("WCN1",B13:B148,1:1,2:2,_xll.Param(D8,N6,"PL,98501",R7,"PL",R6,"AcctGrp1","ConsolSum","",""))</f>
        <v>OK!: ReportVariable Formula OK [jAction{}]</v>
      </c>
      <c r="D4" s="1327"/>
      <c r="E4" s="1327"/>
      <c r="F4" s="1327"/>
      <c r="G4" s="1571"/>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I4" s="1327"/>
      <c r="AJ4" s="1327"/>
      <c r="AK4" s="1327"/>
      <c r="AL4" s="1327"/>
      <c r="AM4" s="1327"/>
      <c r="AN4" s="1570">
        <v>2011</v>
      </c>
      <c r="AO4" s="1440">
        <v>31067</v>
      </c>
      <c r="AP4" s="1431">
        <v>2.7783310855255681E-2</v>
      </c>
    </row>
    <row r="5" spans="1:42" ht="15">
      <c r="B5" s="25" t="e">
        <f ca="1">_xll.ReportDrill(,"JEQuery",D12:D50,J3:AI3,"K7","G6",,,_xll.Param("","",N6))</f>
        <v>#VALUE!</v>
      </c>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c r="AJ5" s="1327"/>
      <c r="AK5" s="1327"/>
      <c r="AL5" s="1327"/>
      <c r="AM5" s="1327"/>
      <c r="AN5" s="1570">
        <v>2012</v>
      </c>
      <c r="AO5" s="1440">
        <v>24208</v>
      </c>
      <c r="AP5" s="1431">
        <v>2.164928667666751E-2</v>
      </c>
    </row>
    <row r="6" spans="1:42" s="15" customFormat="1" ht="15.75">
      <c r="A6" s="407"/>
      <c r="B6" s="407"/>
      <c r="C6" s="407"/>
      <c r="D6" s="1280" t="s">
        <v>189</v>
      </c>
      <c r="E6" s="1281"/>
      <c r="F6" s="1281"/>
      <c r="G6" s="1281"/>
      <c r="H6" s="1281"/>
      <c r="I6" s="1281"/>
      <c r="J6" s="1281"/>
      <c r="K6" s="1281"/>
      <c r="L6" s="1281"/>
      <c r="M6" s="1282" t="s">
        <v>190</v>
      </c>
      <c r="N6" s="1283" t="s">
        <v>635</v>
      </c>
      <c r="O6" s="1281"/>
      <c r="P6" s="1281"/>
      <c r="Q6" s="1282" t="s">
        <v>192</v>
      </c>
      <c r="R6" s="1284"/>
      <c r="S6" s="1282"/>
      <c r="T6" s="1283"/>
      <c r="U6" s="1281"/>
      <c r="V6" s="1281"/>
      <c r="W6" s="1281"/>
      <c r="X6" s="1281"/>
      <c r="Y6" s="1282"/>
      <c r="Z6" s="1283"/>
      <c r="AA6" s="1281"/>
      <c r="AB6" s="1281"/>
      <c r="AC6" s="1281"/>
      <c r="AD6" s="1281"/>
      <c r="AE6" s="1282"/>
      <c r="AF6" s="1283"/>
      <c r="AG6" s="1281"/>
      <c r="AH6" s="1285"/>
      <c r="AI6" s="1281"/>
      <c r="AJ6" s="1281"/>
      <c r="AK6" s="1281"/>
      <c r="AL6" s="1281"/>
      <c r="AM6" s="1281"/>
      <c r="AN6" s="1570">
        <v>2013</v>
      </c>
      <c r="AO6" s="1440">
        <v>60438</v>
      </c>
      <c r="AP6" s="1431">
        <v>5.4049883846845295E-2</v>
      </c>
    </row>
    <row r="7" spans="1:42" s="15" customFormat="1" ht="15.75">
      <c r="A7" s="407"/>
      <c r="D7" s="1280" t="s">
        <v>193</v>
      </c>
      <c r="E7" s="1281"/>
      <c r="F7" s="1281"/>
      <c r="G7" s="1281"/>
      <c r="H7" s="1281"/>
      <c r="I7" s="1281"/>
      <c r="J7" s="1281"/>
      <c r="K7" s="1281"/>
      <c r="L7" s="1281"/>
      <c r="M7" s="1281"/>
      <c r="N7" s="1286" t="s">
        <v>194</v>
      </c>
      <c r="O7" s="1281"/>
      <c r="P7" s="1281"/>
      <c r="Q7" s="1282" t="s">
        <v>195</v>
      </c>
      <c r="R7" s="1286" t="s">
        <v>194</v>
      </c>
      <c r="S7" s="1281"/>
      <c r="T7" s="1286" t="s">
        <v>194</v>
      </c>
      <c r="U7" s="1281"/>
      <c r="V7" s="1281"/>
      <c r="W7" s="1281"/>
      <c r="X7" s="1281"/>
      <c r="Y7" s="1281"/>
      <c r="Z7" s="1286" t="s">
        <v>194</v>
      </c>
      <c r="AA7" s="1281"/>
      <c r="AB7" s="1281"/>
      <c r="AC7" s="1281"/>
      <c r="AD7" s="1281"/>
      <c r="AE7" s="1281"/>
      <c r="AF7" s="1281"/>
      <c r="AG7" s="1281"/>
      <c r="AH7" s="1281"/>
      <c r="AI7" s="1281"/>
      <c r="AJ7" s="1281"/>
      <c r="AK7" s="1281"/>
      <c r="AL7" s="1281"/>
      <c r="AM7" s="1281"/>
      <c r="AN7" s="1570">
        <v>2014</v>
      </c>
      <c r="AO7" s="1440">
        <v>79</v>
      </c>
      <c r="AP7" s="1431">
        <v>7.0649935866520707E-5</v>
      </c>
    </row>
    <row r="8" spans="1:42" s="15" customFormat="1" ht="15.75">
      <c r="A8" s="407"/>
      <c r="D8" s="1287" t="s">
        <v>824</v>
      </c>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v>2183</v>
      </c>
      <c r="AC8" s="1281"/>
      <c r="AD8" s="1572">
        <f>+AP45</f>
        <v>6.0401223650946946E-2</v>
      </c>
      <c r="AE8" s="1281"/>
      <c r="AF8" s="1281"/>
      <c r="AG8" s="1281"/>
      <c r="AH8" s="1281"/>
      <c r="AI8" s="1281"/>
      <c r="AJ8" s="1281"/>
      <c r="AK8" s="1281"/>
      <c r="AL8" s="1281"/>
      <c r="AM8" s="1281"/>
      <c r="AN8" s="1570">
        <v>2015</v>
      </c>
      <c r="AO8" s="1440">
        <v>0</v>
      </c>
      <c r="AP8" s="1431">
        <v>0</v>
      </c>
    </row>
    <row r="9" spans="1:42" s="15" customFormat="1" ht="15.75">
      <c r="A9" s="407"/>
      <c r="D9" s="1288"/>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6"/>
      <c r="AG9" s="1281"/>
      <c r="AH9" s="1281"/>
      <c r="AI9" s="1281"/>
      <c r="AJ9" s="1281"/>
      <c r="AK9" s="1281"/>
      <c r="AL9" s="1281"/>
      <c r="AM9" s="1281"/>
      <c r="AN9" s="1570">
        <v>2025</v>
      </c>
      <c r="AO9" s="1440">
        <v>2244</v>
      </c>
      <c r="AP9" s="1431">
        <v>2.0068158998034491E-3</v>
      </c>
    </row>
    <row r="10" spans="1:42" s="15" customFormat="1" ht="15.75">
      <c r="A10" s="407"/>
      <c r="D10" s="1289"/>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573" t="s">
        <v>305</v>
      </c>
      <c r="AJ10" s="1573" t="s">
        <v>640</v>
      </c>
      <c r="AK10" s="1573" t="s">
        <v>641</v>
      </c>
      <c r="AL10" s="1281"/>
      <c r="AM10" s="1281"/>
      <c r="AN10" s="1570">
        <v>2040</v>
      </c>
      <c r="AO10" s="1440">
        <v>8045</v>
      </c>
      <c r="AP10" s="1431">
        <v>7.1946675195716341E-3</v>
      </c>
    </row>
    <row r="11" spans="1:42" s="15" customFormat="1" ht="16.5" thickBot="1">
      <c r="A11" s="407"/>
      <c r="D11" s="1290"/>
      <c r="E11" s="1290"/>
      <c r="F11" s="1290"/>
      <c r="G11" s="1290"/>
      <c r="H11" s="1290"/>
      <c r="I11" s="1290"/>
      <c r="J11" s="1291"/>
      <c r="K11" s="1292"/>
      <c r="L11" s="1291"/>
      <c r="M11" s="1292"/>
      <c r="N11" s="1293"/>
      <c r="O11" s="1292"/>
      <c r="P11" s="1291"/>
      <c r="Q11" s="1292"/>
      <c r="R11" s="1291"/>
      <c r="S11" s="1292"/>
      <c r="T11" s="1293"/>
      <c r="U11" s="1292"/>
      <c r="V11" s="1291"/>
      <c r="W11" s="1292"/>
      <c r="X11" s="1291"/>
      <c r="Y11" s="1292"/>
      <c r="Z11" s="1293"/>
      <c r="AA11" s="1292"/>
      <c r="AB11" s="1291"/>
      <c r="AC11" s="1292"/>
      <c r="AD11" s="1291"/>
      <c r="AE11" s="1292"/>
      <c r="AF11" s="1293"/>
      <c r="AG11" s="1292"/>
      <c r="AH11" s="1291"/>
      <c r="AI11" s="1574" t="s">
        <v>335</v>
      </c>
      <c r="AJ11" s="1574" t="s">
        <v>642</v>
      </c>
      <c r="AK11" s="1574" t="s">
        <v>643</v>
      </c>
      <c r="AL11" s="1281"/>
      <c r="AM11" s="1281"/>
      <c r="AN11" s="1570">
        <v>2041</v>
      </c>
      <c r="AO11" s="1440">
        <v>2277</v>
      </c>
      <c r="AP11" s="1431">
        <v>2.0363278983299704E-3</v>
      </c>
    </row>
    <row r="12" spans="1:42" s="15" customFormat="1" ht="16.5" thickBot="1">
      <c r="A12" s="407"/>
      <c r="B12" s="26" t="s">
        <v>394</v>
      </c>
      <c r="D12" s="1290"/>
      <c r="E12" s="1290"/>
      <c r="F12" s="1290"/>
      <c r="G12" s="1290"/>
      <c r="H12" s="1290"/>
      <c r="I12" s="1290"/>
      <c r="J12" s="1574">
        <f>DATE(MID(J3,1,4), MID(J3,6,2), MID(J3,6,2))</f>
        <v>43225</v>
      </c>
      <c r="K12" s="1295"/>
      <c r="L12" s="1574">
        <f>DATE(MID(L3,1,4), MID(L3,6,2), MID(L3,6,2))</f>
        <v>43257</v>
      </c>
      <c r="M12" s="1295"/>
      <c r="N12" s="1574">
        <f>DATE(MID(N3,1,4), MID(N3,6,2), MID(N3,6,2))</f>
        <v>43288</v>
      </c>
      <c r="O12" s="1296"/>
      <c r="P12" s="1574">
        <f>DATE(MID(P3,1,4), MID(P3,6,2), MID(P3,6,2))</f>
        <v>43320</v>
      </c>
      <c r="Q12" s="1295"/>
      <c r="R12" s="1574">
        <f>DATE(MID(R3,1,4), MID(R3,6,2), MID(R3,6,2))</f>
        <v>43352</v>
      </c>
      <c r="S12" s="1295"/>
      <c r="T12" s="1574">
        <f>DATE(MID(T3,1,4), MID(T3,6,2), MID(T3,6,2))</f>
        <v>43383</v>
      </c>
      <c r="U12" s="1296"/>
      <c r="V12" s="1574">
        <f>DATE(MID(V3,1,4), MID(V3,6,2), MID(V3,6,2))</f>
        <v>43415</v>
      </c>
      <c r="W12" s="1295"/>
      <c r="X12" s="1574">
        <f>DATE(MID(X3,1,4), MID(X3,6,2), MID(X3,6,2))</f>
        <v>43446</v>
      </c>
      <c r="Y12" s="1295"/>
      <c r="Z12" s="1574">
        <f>DATE(MID(Z3,1,4), MID(Z3,6,2), MID(Z3,6,2))</f>
        <v>43466</v>
      </c>
      <c r="AA12" s="1296"/>
      <c r="AB12" s="1574">
        <f>DATE(MID(AB3,1,4), MID(AB3,6,2), MID(AB3,6,2))</f>
        <v>43498</v>
      </c>
      <c r="AC12" s="1295"/>
      <c r="AD12" s="1574">
        <f>DATE(MID(AD3,1,4), MID(AD3,6,2), MID(AD3,6,2))</f>
        <v>43527</v>
      </c>
      <c r="AE12" s="1295"/>
      <c r="AF12" s="1574">
        <f>DATE(MID(AF3,1,4), MID(AF3,6,2), MID(AF3,6,2))</f>
        <v>43559</v>
      </c>
      <c r="AG12" s="1296"/>
      <c r="AH12" s="1574" t="s">
        <v>13</v>
      </c>
      <c r="AI12" s="1281"/>
      <c r="AJ12" s="1281"/>
      <c r="AK12" s="1281"/>
      <c r="AL12" s="1281"/>
      <c r="AM12" s="1281"/>
      <c r="AN12" s="1570">
        <v>2042</v>
      </c>
      <c r="AO12" s="1440">
        <v>121</v>
      </c>
      <c r="AP12" s="1431">
        <v>1.0821066126391146E-4</v>
      </c>
    </row>
    <row r="13" spans="1:42" ht="15" outlineLevel="1">
      <c r="B13" s="24" t="s">
        <v>397</v>
      </c>
      <c r="D13" s="1298">
        <v>70035</v>
      </c>
      <c r="E13" s="1298" t="s">
        <v>26</v>
      </c>
      <c r="F13" s="1299"/>
      <c r="G13" s="1300"/>
      <c r="H13" s="1301"/>
      <c r="I13" s="1302"/>
      <c r="J13" s="1303">
        <v>1309.5899999999999</v>
      </c>
      <c r="K13" s="1302"/>
      <c r="L13" s="1303">
        <v>309.58999999999997</v>
      </c>
      <c r="M13" s="1302"/>
      <c r="N13" s="1303">
        <v>369.18</v>
      </c>
      <c r="O13" s="1302"/>
      <c r="P13" s="1303">
        <v>220.21</v>
      </c>
      <c r="Q13" s="1302"/>
      <c r="R13" s="1303">
        <v>0</v>
      </c>
      <c r="S13" s="1302"/>
      <c r="T13" s="1303">
        <v>648.96</v>
      </c>
      <c r="U13" s="1302"/>
      <c r="V13" s="1303">
        <v>372.08</v>
      </c>
      <c r="W13" s="1302"/>
      <c r="X13" s="1303">
        <v>62.5</v>
      </c>
      <c r="Y13" s="1302"/>
      <c r="Z13" s="1303">
        <v>916.66</v>
      </c>
      <c r="AA13" s="1302"/>
      <c r="AB13" s="1303">
        <v>874.99</v>
      </c>
      <c r="AC13" s="1302"/>
      <c r="AD13" s="1303">
        <v>874.99</v>
      </c>
      <c r="AE13" s="1302"/>
      <c r="AF13" s="1303">
        <v>750.02</v>
      </c>
      <c r="AG13" s="1302"/>
      <c r="AH13" s="1303">
        <f t="shared" ref="AH13:AH48" si="0">AF13+AD13+AB13+Z13+X13+V13+T13+R13+P13+N13+L13+J13</f>
        <v>6708.77</v>
      </c>
      <c r="AI13" s="1575">
        <f>+AH13*$AD$8</f>
        <v>405.21791719276337</v>
      </c>
      <c r="AJ13" s="1303"/>
      <c r="AK13" s="1575">
        <f>+AI13+AJ13</f>
        <v>405.21791719276337</v>
      </c>
      <c r="AL13" s="1303"/>
      <c r="AM13" s="1327"/>
      <c r="AN13" s="1570">
        <v>2043</v>
      </c>
      <c r="AO13" s="1440">
        <v>5517</v>
      </c>
      <c r="AP13" s="1431">
        <v>4.9338695718429719E-3</v>
      </c>
    </row>
    <row r="14" spans="1:42" ht="15" outlineLevel="1">
      <c r="B14" s="24" t="s">
        <v>397</v>
      </c>
      <c r="D14" s="1298">
        <v>70036</v>
      </c>
      <c r="E14" s="1298" t="s">
        <v>228</v>
      </c>
      <c r="F14" s="1299"/>
      <c r="G14" s="1300"/>
      <c r="H14" s="1301"/>
      <c r="I14" s="1302"/>
      <c r="J14" s="1303">
        <v>16610.22</v>
      </c>
      <c r="K14" s="1302"/>
      <c r="L14" s="1303">
        <v>1410.21</v>
      </c>
      <c r="M14" s="1302"/>
      <c r="N14" s="1303">
        <v>1510.22</v>
      </c>
      <c r="O14" s="1302"/>
      <c r="P14" s="1303">
        <v>1410.21</v>
      </c>
      <c r="Q14" s="1302"/>
      <c r="R14" s="1303">
        <v>1510.21</v>
      </c>
      <c r="S14" s="1302"/>
      <c r="T14" s="1303">
        <v>1510.22</v>
      </c>
      <c r="U14" s="1302"/>
      <c r="V14" s="1303">
        <v>1410.23</v>
      </c>
      <c r="W14" s="1302"/>
      <c r="X14" s="1303">
        <v>1838.93</v>
      </c>
      <c r="Y14" s="1302"/>
      <c r="Z14" s="1303">
        <v>1449.74</v>
      </c>
      <c r="AA14" s="1302"/>
      <c r="AB14" s="1303">
        <v>1493.4</v>
      </c>
      <c r="AC14" s="1302"/>
      <c r="AD14" s="1303">
        <v>7343</v>
      </c>
      <c r="AE14" s="1302"/>
      <c r="AF14" s="1303">
        <v>1592.87</v>
      </c>
      <c r="AG14" s="1302"/>
      <c r="AH14" s="1303">
        <f t="shared" si="0"/>
        <v>39089.46</v>
      </c>
      <c r="AI14" s="1575">
        <f t="shared" ref="AI14:AI48" si="1">+AH14*$AD$8</f>
        <v>2361.0512158547444</v>
      </c>
      <c r="AJ14" s="1303"/>
      <c r="AK14" s="1575">
        <f t="shared" ref="AK14:AK49" si="2">+AI14+AJ14</f>
        <v>2361.0512158547444</v>
      </c>
      <c r="AL14" s="1303"/>
      <c r="AM14" s="1327"/>
      <c r="AN14" s="1570">
        <v>2044</v>
      </c>
      <c r="AO14" s="1440">
        <v>7795</v>
      </c>
      <c r="AP14" s="1431">
        <v>6.971091773158594E-3</v>
      </c>
    </row>
    <row r="15" spans="1:42" ht="15" outlineLevel="1">
      <c r="B15" s="24" t="s">
        <v>397</v>
      </c>
      <c r="D15" s="1298">
        <v>70037</v>
      </c>
      <c r="E15" s="1298" t="s">
        <v>124</v>
      </c>
      <c r="F15" s="1299"/>
      <c r="G15" s="1300"/>
      <c r="H15" s="1301"/>
      <c r="I15" s="1302"/>
      <c r="J15" s="1303">
        <v>0</v>
      </c>
      <c r="K15" s="1302"/>
      <c r="L15" s="1303">
        <v>0</v>
      </c>
      <c r="M15" s="1302"/>
      <c r="N15" s="1303">
        <v>0</v>
      </c>
      <c r="O15" s="1302"/>
      <c r="P15" s="1303">
        <v>0</v>
      </c>
      <c r="Q15" s="1302"/>
      <c r="R15" s="1303">
        <v>0</v>
      </c>
      <c r="S15" s="1302"/>
      <c r="T15" s="1303">
        <v>0</v>
      </c>
      <c r="U15" s="1302"/>
      <c r="V15" s="1303">
        <v>40000</v>
      </c>
      <c r="W15" s="1302"/>
      <c r="X15" s="1303">
        <v>0</v>
      </c>
      <c r="Y15" s="1302"/>
      <c r="Z15" s="1303">
        <v>55000</v>
      </c>
      <c r="AA15" s="1302"/>
      <c r="AB15" s="1303">
        <v>0</v>
      </c>
      <c r="AC15" s="1302"/>
      <c r="AD15" s="1303">
        <v>0</v>
      </c>
      <c r="AE15" s="1302"/>
      <c r="AF15" s="1303">
        <v>0</v>
      </c>
      <c r="AG15" s="1302"/>
      <c r="AH15" s="1303">
        <f t="shared" si="0"/>
        <v>95000</v>
      </c>
      <c r="AI15" s="1575">
        <f t="shared" si="1"/>
        <v>5738.1162468399598</v>
      </c>
      <c r="AJ15" s="1303"/>
      <c r="AK15" s="1575">
        <f t="shared" si="2"/>
        <v>5738.1162468399598</v>
      </c>
      <c r="AL15" s="1303"/>
      <c r="AM15" s="1327"/>
      <c r="AN15" s="1570">
        <v>2045</v>
      </c>
      <c r="AO15" s="1440">
        <v>6353</v>
      </c>
      <c r="AP15" s="1431">
        <v>5.6815068678481781E-3</v>
      </c>
    </row>
    <row r="16" spans="1:42" ht="15" outlineLevel="1">
      <c r="B16" s="24" t="s">
        <v>397</v>
      </c>
      <c r="D16" s="1298">
        <v>70086</v>
      </c>
      <c r="E16" s="1298" t="s">
        <v>60</v>
      </c>
      <c r="F16" s="1299"/>
      <c r="G16" s="1300"/>
      <c r="H16" s="1301"/>
      <c r="I16" s="1302"/>
      <c r="J16" s="1303">
        <v>-306.76</v>
      </c>
      <c r="K16" s="1302"/>
      <c r="L16" s="1303">
        <v>635.17999999999995</v>
      </c>
      <c r="M16" s="1302"/>
      <c r="N16" s="1303">
        <v>90.23</v>
      </c>
      <c r="O16" s="1302"/>
      <c r="P16" s="1303">
        <v>371.37</v>
      </c>
      <c r="Q16" s="1302"/>
      <c r="R16" s="1303">
        <v>1858.09</v>
      </c>
      <c r="S16" s="1302"/>
      <c r="T16" s="1303">
        <v>726.43</v>
      </c>
      <c r="U16" s="1302"/>
      <c r="V16" s="1303">
        <v>2281.88</v>
      </c>
      <c r="W16" s="1302"/>
      <c r="X16" s="1303">
        <v>491.1</v>
      </c>
      <c r="Y16" s="1302"/>
      <c r="Z16" s="1303">
        <v>272.57</v>
      </c>
      <c r="AA16" s="1302"/>
      <c r="AB16" s="1303">
        <v>5463.23</v>
      </c>
      <c r="AC16" s="1302"/>
      <c r="AD16" s="1303">
        <v>121.38</v>
      </c>
      <c r="AE16" s="1302"/>
      <c r="AF16" s="1303">
        <v>580.4</v>
      </c>
      <c r="AG16" s="1302"/>
      <c r="AH16" s="1303">
        <f t="shared" si="0"/>
        <v>12585.1</v>
      </c>
      <c r="AI16" s="1575">
        <f t="shared" si="1"/>
        <v>760.15543976953245</v>
      </c>
      <c r="AJ16" s="1303"/>
      <c r="AK16" s="1575">
        <f t="shared" si="2"/>
        <v>760.15543976953245</v>
      </c>
      <c r="AL16" s="1303"/>
      <c r="AM16" s="1327"/>
      <c r="AN16" s="1570">
        <v>2046</v>
      </c>
      <c r="AO16" s="1440">
        <v>9425</v>
      </c>
      <c r="AP16" s="1431">
        <v>8.4288056397716169E-3</v>
      </c>
    </row>
    <row r="17" spans="2:42" ht="15" outlineLevel="1">
      <c r="B17" s="24" t="s">
        <v>397</v>
      </c>
      <c r="D17" s="1298">
        <v>70090</v>
      </c>
      <c r="E17" s="1298" t="s">
        <v>126</v>
      </c>
      <c r="F17" s="1299"/>
      <c r="G17" s="1300"/>
      <c r="H17" s="1301"/>
      <c r="I17" s="1302"/>
      <c r="J17" s="1303">
        <v>28.23</v>
      </c>
      <c r="K17" s="1302"/>
      <c r="L17" s="1303">
        <v>0</v>
      </c>
      <c r="M17" s="1302"/>
      <c r="N17" s="1303">
        <v>0</v>
      </c>
      <c r="O17" s="1302"/>
      <c r="P17" s="1303">
        <v>0</v>
      </c>
      <c r="Q17" s="1302"/>
      <c r="R17" s="1303">
        <v>0</v>
      </c>
      <c r="S17" s="1302"/>
      <c r="T17" s="1303">
        <v>0</v>
      </c>
      <c r="U17" s="1302"/>
      <c r="V17" s="1303">
        <v>0</v>
      </c>
      <c r="W17" s="1302"/>
      <c r="X17" s="1303">
        <v>0</v>
      </c>
      <c r="Y17" s="1302"/>
      <c r="Z17" s="1303">
        <v>0</v>
      </c>
      <c r="AA17" s="1302"/>
      <c r="AB17" s="1303">
        <v>0</v>
      </c>
      <c r="AC17" s="1302"/>
      <c r="AD17" s="1303">
        <v>126.44</v>
      </c>
      <c r="AE17" s="1302"/>
      <c r="AF17" s="1303">
        <v>0</v>
      </c>
      <c r="AG17" s="1302"/>
      <c r="AH17" s="1303">
        <f t="shared" si="0"/>
        <v>154.66999999999999</v>
      </c>
      <c r="AI17" s="1575">
        <f t="shared" si="1"/>
        <v>9.3422572620919642</v>
      </c>
      <c r="AJ17" s="1303"/>
      <c r="AK17" s="1575">
        <f t="shared" si="2"/>
        <v>9.3422572620919642</v>
      </c>
      <c r="AL17" s="1303"/>
      <c r="AM17" s="1327"/>
      <c r="AN17" s="1570">
        <v>2047</v>
      </c>
      <c r="AO17" s="1440">
        <v>13772</v>
      </c>
      <c r="AP17" s="1431">
        <v>1.2316340718401559E-2</v>
      </c>
    </row>
    <row r="18" spans="2:42" ht="15" outlineLevel="1">
      <c r="B18" s="24" t="s">
        <v>397</v>
      </c>
      <c r="D18" s="1298">
        <v>70095</v>
      </c>
      <c r="E18" s="1298" t="s">
        <v>240</v>
      </c>
      <c r="F18" s="1299"/>
      <c r="G18" s="1300"/>
      <c r="H18" s="1301"/>
      <c r="I18" s="1302"/>
      <c r="J18" s="1303">
        <v>3077.18</v>
      </c>
      <c r="K18" s="1302"/>
      <c r="L18" s="1303">
        <v>3528.37</v>
      </c>
      <c r="M18" s="1302"/>
      <c r="N18" s="1303">
        <v>4039.7</v>
      </c>
      <c r="O18" s="1302"/>
      <c r="P18" s="1303">
        <v>4586.5200000000004</v>
      </c>
      <c r="Q18" s="1302"/>
      <c r="R18" s="1303">
        <v>6729.2</v>
      </c>
      <c r="S18" s="1302"/>
      <c r="T18" s="1303">
        <v>11374.76</v>
      </c>
      <c r="U18" s="1302"/>
      <c r="V18" s="1303">
        <v>23340.59</v>
      </c>
      <c r="W18" s="1302"/>
      <c r="X18" s="1303">
        <v>24969.46</v>
      </c>
      <c r="Y18" s="1302"/>
      <c r="Z18" s="1303">
        <v>16399.62</v>
      </c>
      <c r="AA18" s="1302"/>
      <c r="AB18" s="1303">
        <v>15299.77</v>
      </c>
      <c r="AC18" s="1302"/>
      <c r="AD18" s="1303">
        <v>7823.47</v>
      </c>
      <c r="AE18" s="1302"/>
      <c r="AF18" s="1303">
        <v>9720.9699999999993</v>
      </c>
      <c r="AG18" s="1302"/>
      <c r="AH18" s="1303">
        <f t="shared" si="0"/>
        <v>130889.60999999999</v>
      </c>
      <c r="AI18" s="1575">
        <f t="shared" si="1"/>
        <v>7905.892607195221</v>
      </c>
      <c r="AJ18" s="1303">
        <f>-AI18</f>
        <v>-7905.892607195221</v>
      </c>
      <c r="AK18" s="1575">
        <f t="shared" si="2"/>
        <v>0</v>
      </c>
      <c r="AL18" s="1303"/>
      <c r="AM18" s="1327"/>
      <c r="AN18" s="1570">
        <v>2048</v>
      </c>
      <c r="AO18" s="1440">
        <v>157</v>
      </c>
      <c r="AP18" s="1431">
        <v>1.4040556874738927E-4</v>
      </c>
    </row>
    <row r="19" spans="2:42" ht="15" outlineLevel="1">
      <c r="B19" s="24" t="s">
        <v>397</v>
      </c>
      <c r="D19" s="1298">
        <v>70110</v>
      </c>
      <c r="E19" s="1298" t="s">
        <v>128</v>
      </c>
      <c r="F19" s="1299"/>
      <c r="G19" s="1300"/>
      <c r="H19" s="1301"/>
      <c r="I19" s="1302"/>
      <c r="J19" s="1303">
        <v>0</v>
      </c>
      <c r="K19" s="1302"/>
      <c r="L19" s="1303">
        <v>0</v>
      </c>
      <c r="M19" s="1302"/>
      <c r="N19" s="1303">
        <v>0</v>
      </c>
      <c r="O19" s="1302"/>
      <c r="P19" s="1303">
        <v>3250</v>
      </c>
      <c r="Q19" s="1302"/>
      <c r="R19" s="1303">
        <v>21250</v>
      </c>
      <c r="S19" s="1302"/>
      <c r="T19" s="1303">
        <v>0</v>
      </c>
      <c r="U19" s="1302"/>
      <c r="V19" s="1303">
        <v>0</v>
      </c>
      <c r="W19" s="1302"/>
      <c r="X19" s="1303">
        <v>1250</v>
      </c>
      <c r="Y19" s="1302"/>
      <c r="Z19" s="1303">
        <v>0</v>
      </c>
      <c r="AA19" s="1302"/>
      <c r="AB19" s="1303">
        <v>0</v>
      </c>
      <c r="AC19" s="1302"/>
      <c r="AD19" s="1303">
        <v>0</v>
      </c>
      <c r="AE19" s="1302"/>
      <c r="AF19" s="1303">
        <v>500</v>
      </c>
      <c r="AG19" s="1302"/>
      <c r="AH19" s="1303">
        <f t="shared" si="0"/>
        <v>26250</v>
      </c>
      <c r="AI19" s="1575">
        <f t="shared" si="1"/>
        <v>1585.5321208373573</v>
      </c>
      <c r="AJ19" s="1303">
        <f>-AI19</f>
        <v>-1585.5321208373573</v>
      </c>
      <c r="AK19" s="1575">
        <f t="shared" si="2"/>
        <v>0</v>
      </c>
      <c r="AL19" s="1303"/>
      <c r="AM19" s="1327"/>
      <c r="AN19" s="1570">
        <v>2049</v>
      </c>
      <c r="AO19" s="1440">
        <v>3</v>
      </c>
      <c r="AP19" s="1431">
        <v>2.6829089569564824E-6</v>
      </c>
    </row>
    <row r="20" spans="2:42" ht="15" outlineLevel="1">
      <c r="B20" s="24" t="s">
        <v>397</v>
      </c>
      <c r="D20" s="1298">
        <v>70116</v>
      </c>
      <c r="E20" s="1298" t="s">
        <v>120</v>
      </c>
      <c r="F20" s="1299"/>
      <c r="G20" s="1300"/>
      <c r="H20" s="1301"/>
      <c r="I20" s="1302"/>
      <c r="J20" s="1303">
        <v>0</v>
      </c>
      <c r="K20" s="1302"/>
      <c r="L20" s="1303">
        <v>0</v>
      </c>
      <c r="M20" s="1302"/>
      <c r="N20" s="1303">
        <v>0</v>
      </c>
      <c r="O20" s="1302"/>
      <c r="P20" s="1303">
        <v>0</v>
      </c>
      <c r="Q20" s="1302"/>
      <c r="R20" s="1303">
        <v>0</v>
      </c>
      <c r="S20" s="1302"/>
      <c r="T20" s="1303">
        <v>0</v>
      </c>
      <c r="U20" s="1302"/>
      <c r="V20" s="1303">
        <v>0</v>
      </c>
      <c r="W20" s="1302"/>
      <c r="X20" s="1303">
        <v>0</v>
      </c>
      <c r="Y20" s="1302"/>
      <c r="Z20" s="1303">
        <v>0</v>
      </c>
      <c r="AA20" s="1302"/>
      <c r="AB20" s="1303">
        <v>0</v>
      </c>
      <c r="AC20" s="1302"/>
      <c r="AD20" s="1303">
        <v>0</v>
      </c>
      <c r="AE20" s="1302"/>
      <c r="AF20" s="1303">
        <v>0</v>
      </c>
      <c r="AG20" s="1302"/>
      <c r="AH20" s="1303">
        <f t="shared" si="0"/>
        <v>0</v>
      </c>
      <c r="AI20" s="1575">
        <f t="shared" si="1"/>
        <v>0</v>
      </c>
      <c r="AJ20" s="1303"/>
      <c r="AK20" s="1575">
        <f t="shared" si="2"/>
        <v>0</v>
      </c>
      <c r="AL20" s="1303"/>
      <c r="AM20" s="1327"/>
      <c r="AN20" s="1570">
        <v>2050</v>
      </c>
      <c r="AO20" s="1440">
        <v>45</v>
      </c>
      <c r="AP20" s="1431">
        <v>4.0243634354347236E-5</v>
      </c>
    </row>
    <row r="21" spans="2:42" ht="15" outlineLevel="1">
      <c r="B21" s="24" t="s">
        <v>397</v>
      </c>
      <c r="D21" s="1298">
        <v>70147</v>
      </c>
      <c r="E21" s="1298" t="s">
        <v>636</v>
      </c>
      <c r="F21" s="1299"/>
      <c r="G21" s="1300"/>
      <c r="H21" s="1301"/>
      <c r="I21" s="1302"/>
      <c r="J21" s="1303">
        <v>1241.5899999999999</v>
      </c>
      <c r="K21" s="1302"/>
      <c r="L21" s="1303">
        <v>1055</v>
      </c>
      <c r="M21" s="1302"/>
      <c r="N21" s="1303">
        <v>1401.5</v>
      </c>
      <c r="O21" s="1302"/>
      <c r="P21" s="1303">
        <v>1055</v>
      </c>
      <c r="Q21" s="1302"/>
      <c r="R21" s="1303">
        <v>108.65</v>
      </c>
      <c r="S21" s="1302"/>
      <c r="T21" s="1303">
        <v>2321.23</v>
      </c>
      <c r="U21" s="1302"/>
      <c r="V21" s="1303">
        <v>1163.24</v>
      </c>
      <c r="W21" s="1302"/>
      <c r="X21" s="1303">
        <v>1194.26</v>
      </c>
      <c r="Y21" s="1302"/>
      <c r="Z21" s="1303">
        <v>1383.95</v>
      </c>
      <c r="AA21" s="1302"/>
      <c r="AB21" s="1303">
        <v>1570.96</v>
      </c>
      <c r="AC21" s="1302"/>
      <c r="AD21" s="1303">
        <v>1055</v>
      </c>
      <c r="AE21" s="1302"/>
      <c r="AF21" s="1303">
        <v>1417.05</v>
      </c>
      <c r="AG21" s="1302"/>
      <c r="AH21" s="1303">
        <f t="shared" si="0"/>
        <v>14967.43</v>
      </c>
      <c r="AI21" s="1575">
        <f t="shared" si="1"/>
        <v>904.05108690989289</v>
      </c>
      <c r="AJ21" s="1303"/>
      <c r="AK21" s="1575">
        <f t="shared" si="2"/>
        <v>904.05108690989289</v>
      </c>
      <c r="AL21" s="1303"/>
      <c r="AM21" s="1327"/>
      <c r="AN21" s="1570">
        <v>2051</v>
      </c>
      <c r="AO21" s="1440">
        <v>488</v>
      </c>
      <c r="AP21" s="1431">
        <v>4.3641985699825449E-4</v>
      </c>
    </row>
    <row r="22" spans="2:42" ht="15" outlineLevel="1">
      <c r="B22" s="24" t="s">
        <v>397</v>
      </c>
      <c r="D22" s="1298">
        <v>70165</v>
      </c>
      <c r="E22" s="1298" t="s">
        <v>235</v>
      </c>
      <c r="F22" s="1299"/>
      <c r="G22" s="1300"/>
      <c r="H22" s="1301"/>
      <c r="I22" s="1302"/>
      <c r="J22" s="1303">
        <v>3711.56</v>
      </c>
      <c r="K22" s="1302"/>
      <c r="L22" s="1303">
        <v>3776.38</v>
      </c>
      <c r="M22" s="1302"/>
      <c r="N22" s="1303">
        <v>3345.69</v>
      </c>
      <c r="O22" s="1302"/>
      <c r="P22" s="1303">
        <v>3618.72</v>
      </c>
      <c r="Q22" s="1302"/>
      <c r="R22" s="1303">
        <v>2490.2600000000002</v>
      </c>
      <c r="S22" s="1302"/>
      <c r="T22" s="1303">
        <v>4873.5600000000004</v>
      </c>
      <c r="U22" s="1302"/>
      <c r="V22" s="1303">
        <v>2925.97</v>
      </c>
      <c r="W22" s="1302"/>
      <c r="X22" s="1303">
        <v>2975.76</v>
      </c>
      <c r="Y22" s="1302"/>
      <c r="Z22" s="1303">
        <v>2480.6799999999998</v>
      </c>
      <c r="AA22" s="1302"/>
      <c r="AB22" s="1303">
        <v>3224.5</v>
      </c>
      <c r="AC22" s="1302"/>
      <c r="AD22" s="1303">
        <v>2694.21</v>
      </c>
      <c r="AE22" s="1302"/>
      <c r="AF22" s="1303">
        <v>2582.11</v>
      </c>
      <c r="AG22" s="1302"/>
      <c r="AH22" s="1303">
        <f t="shared" si="0"/>
        <v>38699.4</v>
      </c>
      <c r="AI22" s="1575">
        <f t="shared" si="1"/>
        <v>2337.4911145574565</v>
      </c>
      <c r="AJ22" s="1303"/>
      <c r="AK22" s="1575">
        <f t="shared" si="2"/>
        <v>2337.4911145574565</v>
      </c>
      <c r="AL22" s="1303"/>
      <c r="AM22" s="1327"/>
      <c r="AN22" s="1570">
        <v>2053</v>
      </c>
      <c r="AO22" s="1440">
        <v>63</v>
      </c>
      <c r="AP22" s="1431">
        <v>5.6341088096086132E-5</v>
      </c>
    </row>
    <row r="23" spans="2:42" ht="15" outlineLevel="1">
      <c r="B23" s="24" t="s">
        <v>397</v>
      </c>
      <c r="D23" s="1298">
        <v>70167</v>
      </c>
      <c r="E23" s="1298" t="s">
        <v>260</v>
      </c>
      <c r="F23" s="1299"/>
      <c r="G23" s="1300"/>
      <c r="H23" s="1301"/>
      <c r="I23" s="1302"/>
      <c r="J23" s="1303">
        <v>1350.96</v>
      </c>
      <c r="K23" s="1302"/>
      <c r="L23" s="1303">
        <v>2991.49</v>
      </c>
      <c r="M23" s="1302"/>
      <c r="N23" s="1303">
        <v>3002.81</v>
      </c>
      <c r="O23" s="1302"/>
      <c r="P23" s="1303">
        <v>2796.07</v>
      </c>
      <c r="Q23" s="1302"/>
      <c r="R23" s="1303">
        <v>2707.87</v>
      </c>
      <c r="S23" s="1302"/>
      <c r="T23" s="1303">
        <v>875.39</v>
      </c>
      <c r="U23" s="1302"/>
      <c r="V23" s="1303">
        <v>2733.08</v>
      </c>
      <c r="W23" s="1302"/>
      <c r="X23" s="1303">
        <v>3781.33</v>
      </c>
      <c r="Y23" s="1302"/>
      <c r="Z23" s="1303">
        <v>1207.3599999999999</v>
      </c>
      <c r="AA23" s="1302"/>
      <c r="AB23" s="1303">
        <v>2866.79</v>
      </c>
      <c r="AC23" s="1302"/>
      <c r="AD23" s="1303">
        <v>2801.9</v>
      </c>
      <c r="AE23" s="1302"/>
      <c r="AF23" s="1303">
        <v>2490.11</v>
      </c>
      <c r="AG23" s="1302"/>
      <c r="AH23" s="1303">
        <f t="shared" si="0"/>
        <v>29605.159999999996</v>
      </c>
      <c r="AI23" s="1575">
        <f t="shared" si="1"/>
        <v>1788.1878903820682</v>
      </c>
      <c r="AJ23" s="1303"/>
      <c r="AK23" s="1575">
        <f t="shared" si="2"/>
        <v>1788.1878903820682</v>
      </c>
      <c r="AL23" s="1303"/>
      <c r="AM23" s="1327"/>
      <c r="AN23" s="1570">
        <v>2111</v>
      </c>
      <c r="AO23" s="1440">
        <v>60760.266997426646</v>
      </c>
      <c r="AP23" s="1431">
        <v>5.4338088184821103E-2</v>
      </c>
    </row>
    <row r="24" spans="2:42" ht="15" outlineLevel="1">
      <c r="B24" s="24" t="s">
        <v>397</v>
      </c>
      <c r="D24" s="1298">
        <v>70170</v>
      </c>
      <c r="E24" s="1298" t="s">
        <v>637</v>
      </c>
      <c r="F24" s="1299"/>
      <c r="G24" s="1300"/>
      <c r="H24" s="1301"/>
      <c r="I24" s="1302"/>
      <c r="J24" s="1303">
        <v>27971.82</v>
      </c>
      <c r="K24" s="1302"/>
      <c r="L24" s="1303">
        <v>27971.82</v>
      </c>
      <c r="M24" s="1302"/>
      <c r="N24" s="1303">
        <v>27971.82</v>
      </c>
      <c r="O24" s="1302"/>
      <c r="P24" s="1303">
        <v>27971.82</v>
      </c>
      <c r="Q24" s="1302"/>
      <c r="R24" s="1303">
        <v>27971.82</v>
      </c>
      <c r="S24" s="1302"/>
      <c r="T24" s="1303">
        <v>27878.45</v>
      </c>
      <c r="U24" s="1302"/>
      <c r="V24" s="1303">
        <v>27878.45</v>
      </c>
      <c r="W24" s="1302"/>
      <c r="X24" s="1303">
        <v>27878.45</v>
      </c>
      <c r="Y24" s="1302"/>
      <c r="Z24" s="1303">
        <v>30547.53</v>
      </c>
      <c r="AA24" s="1302"/>
      <c r="AB24" s="1303">
        <v>30547.53</v>
      </c>
      <c r="AC24" s="1302"/>
      <c r="AD24" s="1303">
        <v>30547.53</v>
      </c>
      <c r="AE24" s="1302"/>
      <c r="AF24" s="1303">
        <v>30547.53</v>
      </c>
      <c r="AG24" s="1302"/>
      <c r="AH24" s="1303">
        <f t="shared" si="0"/>
        <v>345684.57000000007</v>
      </c>
      <c r="AI24" s="1575">
        <f t="shared" si="1"/>
        <v>20879.77102525143</v>
      </c>
      <c r="AJ24" s="1303"/>
      <c r="AK24" s="1575">
        <f t="shared" si="2"/>
        <v>20879.77102525143</v>
      </c>
      <c r="AL24" s="1303"/>
      <c r="AM24" s="1327"/>
      <c r="AN24" s="1570">
        <v>2112</v>
      </c>
      <c r="AO24" s="1440">
        <v>27666</v>
      </c>
      <c r="AP24" s="1431">
        <v>2.4741786401052682E-2</v>
      </c>
    </row>
    <row r="25" spans="2:42" ht="15" outlineLevel="1">
      <c r="B25" s="24" t="s">
        <v>397</v>
      </c>
      <c r="D25" s="1298">
        <v>70171</v>
      </c>
      <c r="E25" s="1298" t="s">
        <v>638</v>
      </c>
      <c r="F25" s="1299"/>
      <c r="G25" s="1300"/>
      <c r="H25" s="1301"/>
      <c r="I25" s="1302"/>
      <c r="J25" s="1303">
        <v>2668.93</v>
      </c>
      <c r="K25" s="1302"/>
      <c r="L25" s="1303">
        <v>2668.93</v>
      </c>
      <c r="M25" s="1302"/>
      <c r="N25" s="1303">
        <v>2668.93</v>
      </c>
      <c r="O25" s="1302"/>
      <c r="P25" s="1303">
        <v>2668.93</v>
      </c>
      <c r="Q25" s="1302"/>
      <c r="R25" s="1303">
        <v>2668.93</v>
      </c>
      <c r="S25" s="1302"/>
      <c r="T25" s="1303">
        <v>2668.93</v>
      </c>
      <c r="U25" s="1302"/>
      <c r="V25" s="1303">
        <v>2668.93</v>
      </c>
      <c r="W25" s="1302"/>
      <c r="X25" s="1303">
        <v>2668.93</v>
      </c>
      <c r="Y25" s="1302"/>
      <c r="Z25" s="1303">
        <v>0</v>
      </c>
      <c r="AA25" s="1302"/>
      <c r="AB25" s="1303">
        <v>0</v>
      </c>
      <c r="AC25" s="1302"/>
      <c r="AD25" s="1303">
        <v>0</v>
      </c>
      <c r="AE25" s="1302"/>
      <c r="AF25" s="1303">
        <v>-0.56000000000000005</v>
      </c>
      <c r="AG25" s="1302"/>
      <c r="AH25" s="1303">
        <f t="shared" si="0"/>
        <v>21350.880000000001</v>
      </c>
      <c r="AI25" s="1575">
        <f t="shared" si="1"/>
        <v>1289.6192780245301</v>
      </c>
      <c r="AJ25" s="1303"/>
      <c r="AK25" s="1575">
        <f t="shared" si="2"/>
        <v>1289.6192780245301</v>
      </c>
      <c r="AL25" s="1303"/>
      <c r="AM25" s="1327"/>
      <c r="AN25" s="1570">
        <v>2113</v>
      </c>
      <c r="AO25" s="1440">
        <v>0</v>
      </c>
      <c r="AP25" s="1431">
        <v>0</v>
      </c>
    </row>
    <row r="26" spans="2:42" ht="15" outlineLevel="1">
      <c r="B26" s="24" t="s">
        <v>397</v>
      </c>
      <c r="D26" s="1298">
        <v>70175</v>
      </c>
      <c r="E26" s="1298" t="s">
        <v>550</v>
      </c>
      <c r="F26" s="1299"/>
      <c r="G26" s="1300"/>
      <c r="H26" s="1301"/>
      <c r="I26" s="1302"/>
      <c r="J26" s="1303">
        <v>0</v>
      </c>
      <c r="K26" s="1302"/>
      <c r="L26" s="1303">
        <v>0</v>
      </c>
      <c r="M26" s="1302"/>
      <c r="N26" s="1303">
        <v>0</v>
      </c>
      <c r="O26" s="1302"/>
      <c r="P26" s="1303">
        <v>0</v>
      </c>
      <c r="Q26" s="1302"/>
      <c r="R26" s="1303">
        <v>0</v>
      </c>
      <c r="S26" s="1302"/>
      <c r="T26" s="1303">
        <v>31.18</v>
      </c>
      <c r="U26" s="1302"/>
      <c r="V26" s="1303">
        <v>0</v>
      </c>
      <c r="W26" s="1302"/>
      <c r="X26" s="1303">
        <v>0</v>
      </c>
      <c r="Y26" s="1302"/>
      <c r="Z26" s="1303">
        <v>0</v>
      </c>
      <c r="AA26" s="1302"/>
      <c r="AB26" s="1303">
        <v>0</v>
      </c>
      <c r="AC26" s="1302"/>
      <c r="AD26" s="1303">
        <v>0</v>
      </c>
      <c r="AE26" s="1302"/>
      <c r="AF26" s="1303">
        <v>0</v>
      </c>
      <c r="AG26" s="1302"/>
      <c r="AH26" s="1303">
        <f t="shared" si="0"/>
        <v>31.18</v>
      </c>
      <c r="AI26" s="1575">
        <f t="shared" si="1"/>
        <v>1.8833101534365257</v>
      </c>
      <c r="AJ26" s="1303"/>
      <c r="AK26" s="1575">
        <f t="shared" si="2"/>
        <v>1.8833101534365257</v>
      </c>
      <c r="AL26" s="1303"/>
      <c r="AM26" s="1327"/>
      <c r="AN26" s="1570">
        <v>2120</v>
      </c>
      <c r="AO26" s="1440">
        <v>6448</v>
      </c>
      <c r="AP26" s="1431">
        <v>5.7664656514851333E-3</v>
      </c>
    </row>
    <row r="27" spans="2:42" ht="15" outlineLevel="1">
      <c r="B27" s="24" t="s">
        <v>397</v>
      </c>
      <c r="D27" s="1298">
        <v>70185</v>
      </c>
      <c r="E27" s="1298" t="s">
        <v>76</v>
      </c>
      <c r="F27" s="1299"/>
      <c r="G27" s="1300"/>
      <c r="H27" s="1301"/>
      <c r="I27" s="1302"/>
      <c r="J27" s="1303">
        <v>1379.08</v>
      </c>
      <c r="K27" s="1302"/>
      <c r="L27" s="1303">
        <v>3502.25</v>
      </c>
      <c r="M27" s="1302"/>
      <c r="N27" s="1303">
        <v>979.33</v>
      </c>
      <c r="O27" s="1302"/>
      <c r="P27" s="1303">
        <v>1827.16</v>
      </c>
      <c r="Q27" s="1302"/>
      <c r="R27" s="1303">
        <v>386.24</v>
      </c>
      <c r="S27" s="1302"/>
      <c r="T27" s="1303">
        <v>729.91</v>
      </c>
      <c r="U27" s="1302"/>
      <c r="V27" s="1303">
        <v>996.77</v>
      </c>
      <c r="W27" s="1302"/>
      <c r="X27" s="1303">
        <v>1384.15</v>
      </c>
      <c r="Y27" s="1302"/>
      <c r="Z27" s="1303">
        <v>1363.84</v>
      </c>
      <c r="AA27" s="1302"/>
      <c r="AB27" s="1303">
        <v>2361.16</v>
      </c>
      <c r="AC27" s="1302"/>
      <c r="AD27" s="1303">
        <v>2141.91</v>
      </c>
      <c r="AE27" s="1302"/>
      <c r="AF27" s="1303">
        <v>3572.03</v>
      </c>
      <c r="AG27" s="1302"/>
      <c r="AH27" s="1303">
        <f t="shared" si="0"/>
        <v>20623.830000000002</v>
      </c>
      <c r="AI27" s="1575">
        <f t="shared" si="1"/>
        <v>1245.7045683691092</v>
      </c>
      <c r="AJ27" s="1303"/>
      <c r="AK27" s="1575">
        <f t="shared" si="2"/>
        <v>1245.7045683691092</v>
      </c>
      <c r="AL27" s="1303"/>
      <c r="AM27" s="1327"/>
      <c r="AN27" s="1570">
        <v>2121</v>
      </c>
      <c r="AO27" s="1440">
        <v>0</v>
      </c>
      <c r="AP27" s="1431">
        <v>0</v>
      </c>
    </row>
    <row r="28" spans="2:42" ht="15" outlineLevel="1">
      <c r="B28" s="24" t="s">
        <v>397</v>
      </c>
      <c r="D28" s="1298">
        <v>70190</v>
      </c>
      <c r="E28" s="1298" t="s">
        <v>639</v>
      </c>
      <c r="F28" s="1299"/>
      <c r="G28" s="1300"/>
      <c r="H28" s="1301"/>
      <c r="I28" s="1302"/>
      <c r="J28" s="1303">
        <v>1035</v>
      </c>
      <c r="K28" s="1302"/>
      <c r="L28" s="1303">
        <v>550</v>
      </c>
      <c r="M28" s="1302"/>
      <c r="N28" s="1303">
        <v>0</v>
      </c>
      <c r="O28" s="1302"/>
      <c r="P28" s="1303">
        <v>1824</v>
      </c>
      <c r="Q28" s="1302"/>
      <c r="R28" s="1303">
        <v>44.75</v>
      </c>
      <c r="S28" s="1302"/>
      <c r="T28" s="1303">
        <v>529.25</v>
      </c>
      <c r="U28" s="1302"/>
      <c r="V28" s="1303">
        <v>1026.6099999999999</v>
      </c>
      <c r="W28" s="1302"/>
      <c r="X28" s="1303">
        <v>250</v>
      </c>
      <c r="Y28" s="1302"/>
      <c r="Z28" s="1303">
        <v>179.98</v>
      </c>
      <c r="AA28" s="1302"/>
      <c r="AB28" s="1303">
        <v>1090.02</v>
      </c>
      <c r="AC28" s="1302"/>
      <c r="AD28" s="1303">
        <v>172.5</v>
      </c>
      <c r="AE28" s="1302"/>
      <c r="AF28" s="1303">
        <v>1347.02</v>
      </c>
      <c r="AG28" s="1302"/>
      <c r="AH28" s="1303">
        <f t="shared" si="0"/>
        <v>8049.13</v>
      </c>
      <c r="AI28" s="1575">
        <f t="shared" si="1"/>
        <v>486.17730132554658</v>
      </c>
      <c r="AJ28" s="1303"/>
      <c r="AK28" s="1575">
        <f t="shared" si="2"/>
        <v>486.17730132554658</v>
      </c>
      <c r="AL28" s="1303"/>
      <c r="AM28" s="1327"/>
      <c r="AN28" s="1570">
        <v>2125</v>
      </c>
      <c r="AO28" s="1440">
        <v>1</v>
      </c>
      <c r="AP28" s="1431">
        <v>8.9430298565216082E-7</v>
      </c>
    </row>
    <row r="29" spans="2:42" ht="15" outlineLevel="1">
      <c r="B29" s="24" t="s">
        <v>397</v>
      </c>
      <c r="D29" s="1298">
        <v>70195</v>
      </c>
      <c r="E29" s="1298" t="s">
        <v>81</v>
      </c>
      <c r="F29" s="1299"/>
      <c r="G29" s="1300"/>
      <c r="H29" s="1301"/>
      <c r="I29" s="1302"/>
      <c r="J29" s="1303">
        <v>1412.15</v>
      </c>
      <c r="K29" s="1302"/>
      <c r="L29" s="1303">
        <v>573.99</v>
      </c>
      <c r="M29" s="1302"/>
      <c r="N29" s="1303">
        <v>269.58999999999997</v>
      </c>
      <c r="O29" s="1302"/>
      <c r="P29" s="1303">
        <v>890.11</v>
      </c>
      <c r="Q29" s="1302"/>
      <c r="R29" s="1303">
        <v>38.99</v>
      </c>
      <c r="S29" s="1302"/>
      <c r="T29" s="1303">
        <v>38.99</v>
      </c>
      <c r="U29" s="1302"/>
      <c r="V29" s="1303">
        <v>785.59</v>
      </c>
      <c r="W29" s="1302"/>
      <c r="X29" s="1303">
        <v>530.99</v>
      </c>
      <c r="Y29" s="1302"/>
      <c r="Z29" s="1303">
        <v>576.99</v>
      </c>
      <c r="AA29" s="1302"/>
      <c r="AB29" s="1303">
        <v>44.99</v>
      </c>
      <c r="AC29" s="1302"/>
      <c r="AD29" s="1303">
        <v>2343.0300000000002</v>
      </c>
      <c r="AE29" s="1302"/>
      <c r="AF29" s="1303">
        <v>44.99</v>
      </c>
      <c r="AG29" s="1302"/>
      <c r="AH29" s="1303">
        <f t="shared" si="0"/>
        <v>7550.4</v>
      </c>
      <c r="AI29" s="1575">
        <f t="shared" si="1"/>
        <v>456.05339905410978</v>
      </c>
      <c r="AJ29" s="1303"/>
      <c r="AK29" s="1575">
        <f t="shared" si="2"/>
        <v>456.05339905410978</v>
      </c>
      <c r="AL29" s="1303"/>
      <c r="AM29" s="1327"/>
      <c r="AN29" s="1570">
        <v>2131</v>
      </c>
      <c r="AO29" s="1440">
        <v>0</v>
      </c>
      <c r="AP29" s="1431">
        <v>0</v>
      </c>
    </row>
    <row r="30" spans="2:42" ht="15" outlineLevel="1">
      <c r="B30" s="24" t="s">
        <v>397</v>
      </c>
      <c r="D30" s="1298">
        <v>70200</v>
      </c>
      <c r="E30" s="1298" t="s">
        <v>59</v>
      </c>
      <c r="F30" s="1299"/>
      <c r="G30" s="1300"/>
      <c r="H30" s="1301"/>
      <c r="I30" s="1302"/>
      <c r="J30" s="1303">
        <v>10825.23</v>
      </c>
      <c r="K30" s="1302"/>
      <c r="L30" s="1303">
        <v>19381.86</v>
      </c>
      <c r="M30" s="1302"/>
      <c r="N30" s="1303">
        <v>18936.64</v>
      </c>
      <c r="O30" s="1302"/>
      <c r="P30" s="1303">
        <v>18040.34</v>
      </c>
      <c r="Q30" s="1302"/>
      <c r="R30" s="1303">
        <v>9765.48</v>
      </c>
      <c r="S30" s="1302"/>
      <c r="T30" s="1303">
        <v>9300.7099999999991</v>
      </c>
      <c r="U30" s="1302"/>
      <c r="V30" s="1303">
        <v>6450.64</v>
      </c>
      <c r="W30" s="1302"/>
      <c r="X30" s="1303">
        <v>6706.21</v>
      </c>
      <c r="Y30" s="1302"/>
      <c r="Z30" s="1303">
        <v>14491.61</v>
      </c>
      <c r="AA30" s="1302"/>
      <c r="AB30" s="1303">
        <v>13354.54</v>
      </c>
      <c r="AC30" s="1302"/>
      <c r="AD30" s="1303">
        <v>6730.21</v>
      </c>
      <c r="AE30" s="1302"/>
      <c r="AF30" s="1303">
        <v>18255.830000000002</v>
      </c>
      <c r="AG30" s="1302"/>
      <c r="AH30" s="1303">
        <f t="shared" si="0"/>
        <v>152239.30000000002</v>
      </c>
      <c r="AI30" s="1575">
        <f t="shared" si="1"/>
        <v>9195.4400077636092</v>
      </c>
      <c r="AJ30" s="1303"/>
      <c r="AK30" s="1575">
        <f t="shared" si="2"/>
        <v>9195.4400077636092</v>
      </c>
      <c r="AL30" s="1303"/>
      <c r="AM30" s="1327"/>
      <c r="AN30" s="1570">
        <v>2132</v>
      </c>
      <c r="AO30" s="1440">
        <v>2335</v>
      </c>
      <c r="AP30" s="1431">
        <v>2.0881974714977956E-3</v>
      </c>
    </row>
    <row r="31" spans="2:42" ht="15" outlineLevel="1">
      <c r="B31" s="24" t="s">
        <v>397</v>
      </c>
      <c r="D31" s="1298">
        <v>70201</v>
      </c>
      <c r="E31" s="1298" t="s">
        <v>77</v>
      </c>
      <c r="F31" s="1299"/>
      <c r="G31" s="1300"/>
      <c r="H31" s="1301"/>
      <c r="I31" s="1302"/>
      <c r="J31" s="1303">
        <v>5514.68</v>
      </c>
      <c r="K31" s="1302"/>
      <c r="L31" s="1303">
        <v>2856.52</v>
      </c>
      <c r="M31" s="1302"/>
      <c r="N31" s="1303">
        <v>3323.65</v>
      </c>
      <c r="O31" s="1302"/>
      <c r="P31" s="1303">
        <v>5472.41</v>
      </c>
      <c r="Q31" s="1302"/>
      <c r="R31" s="1303">
        <v>7282.16</v>
      </c>
      <c r="S31" s="1302"/>
      <c r="T31" s="1303">
        <v>277.8</v>
      </c>
      <c r="U31" s="1302"/>
      <c r="V31" s="1303">
        <v>6837.26</v>
      </c>
      <c r="W31" s="1302"/>
      <c r="X31" s="1303">
        <v>2417.1</v>
      </c>
      <c r="Y31" s="1302"/>
      <c r="Z31" s="1303">
        <v>3931.84</v>
      </c>
      <c r="AA31" s="1302"/>
      <c r="AB31" s="1303">
        <v>2018</v>
      </c>
      <c r="AC31" s="1302"/>
      <c r="AD31" s="1303">
        <v>3336.79</v>
      </c>
      <c r="AE31" s="1302"/>
      <c r="AF31" s="1303">
        <v>2693.72</v>
      </c>
      <c r="AG31" s="1302"/>
      <c r="AH31" s="1303">
        <f t="shared" si="0"/>
        <v>45961.93</v>
      </c>
      <c r="AI31" s="1575">
        <f t="shared" si="1"/>
        <v>2776.1568133591682</v>
      </c>
      <c r="AJ31" s="1303">
        <f>-AI31</f>
        <v>-2776.1568133591682</v>
      </c>
      <c r="AK31" s="1575">
        <f t="shared" si="2"/>
        <v>0</v>
      </c>
      <c r="AL31" s="1303"/>
      <c r="AM31" s="1327"/>
      <c r="AN31" s="1570">
        <v>2140</v>
      </c>
      <c r="AO31" s="1440">
        <v>32103</v>
      </c>
      <c r="AP31" s="1431">
        <v>2.8709808748391321E-2</v>
      </c>
    </row>
    <row r="32" spans="2:42" ht="15" outlineLevel="1">
      <c r="B32" s="24" t="s">
        <v>397</v>
      </c>
      <c r="D32" s="1298">
        <v>70202</v>
      </c>
      <c r="E32" s="1298" t="s">
        <v>261</v>
      </c>
      <c r="F32" s="1299"/>
      <c r="G32" s="1300"/>
      <c r="H32" s="1301"/>
      <c r="I32" s="1302"/>
      <c r="J32" s="1303">
        <v>82379.14</v>
      </c>
      <c r="K32" s="1302"/>
      <c r="L32" s="1303">
        <v>4318.6499999999996</v>
      </c>
      <c r="M32" s="1302"/>
      <c r="N32" s="1303">
        <v>7492.51</v>
      </c>
      <c r="O32" s="1302"/>
      <c r="P32" s="1303">
        <v>6517.78</v>
      </c>
      <c r="Q32" s="1302"/>
      <c r="R32" s="1303">
        <v>39715.71</v>
      </c>
      <c r="S32" s="1302"/>
      <c r="T32" s="1303">
        <v>12164.9</v>
      </c>
      <c r="U32" s="1302"/>
      <c r="V32" s="1303">
        <v>13769.51</v>
      </c>
      <c r="W32" s="1302"/>
      <c r="X32" s="1303">
        <v>9720.92</v>
      </c>
      <c r="Y32" s="1302"/>
      <c r="Z32" s="1303">
        <v>72676.240000000005</v>
      </c>
      <c r="AA32" s="1302"/>
      <c r="AB32" s="1303">
        <v>29397.16</v>
      </c>
      <c r="AC32" s="1302"/>
      <c r="AD32" s="1303">
        <v>109312.4</v>
      </c>
      <c r="AE32" s="1302"/>
      <c r="AF32" s="1303">
        <v>207639.42</v>
      </c>
      <c r="AG32" s="1302"/>
      <c r="AH32" s="1303">
        <f t="shared" si="0"/>
        <v>595104.34000000008</v>
      </c>
      <c r="AI32" s="1575">
        <f t="shared" si="1"/>
        <v>35945.030335989177</v>
      </c>
      <c r="AJ32" s="1303"/>
      <c r="AK32" s="1575">
        <f t="shared" si="2"/>
        <v>35945.030335989177</v>
      </c>
      <c r="AL32" s="1303"/>
      <c r="AM32" s="1327"/>
      <c r="AN32" s="1570">
        <v>2143</v>
      </c>
      <c r="AO32" s="1440">
        <v>0</v>
      </c>
      <c r="AP32" s="1431">
        <v>0</v>
      </c>
    </row>
    <row r="33" spans="2:42" ht="15" outlineLevel="1">
      <c r="B33" s="24" t="s">
        <v>397</v>
      </c>
      <c r="D33" s="1298">
        <v>70203</v>
      </c>
      <c r="E33" s="1298" t="s">
        <v>136</v>
      </c>
      <c r="F33" s="1299"/>
      <c r="G33" s="1300"/>
      <c r="H33" s="1301"/>
      <c r="I33" s="1302"/>
      <c r="J33" s="1303">
        <v>13766.84</v>
      </c>
      <c r="K33" s="1302"/>
      <c r="L33" s="1303">
        <v>10561.79</v>
      </c>
      <c r="M33" s="1302"/>
      <c r="N33" s="1303">
        <v>7966.97</v>
      </c>
      <c r="O33" s="1302"/>
      <c r="P33" s="1303">
        <v>10998.67</v>
      </c>
      <c r="Q33" s="1302"/>
      <c r="R33" s="1303">
        <v>7565.43</v>
      </c>
      <c r="S33" s="1302"/>
      <c r="T33" s="1303">
        <v>5953.41</v>
      </c>
      <c r="U33" s="1302"/>
      <c r="V33" s="1303">
        <v>5481.36</v>
      </c>
      <c r="W33" s="1302"/>
      <c r="X33" s="1303">
        <v>3500.14</v>
      </c>
      <c r="Y33" s="1302"/>
      <c r="Z33" s="1303">
        <v>8326.41</v>
      </c>
      <c r="AA33" s="1302"/>
      <c r="AB33" s="1303">
        <v>5661.09</v>
      </c>
      <c r="AC33" s="1302"/>
      <c r="AD33" s="1303">
        <v>7421.25</v>
      </c>
      <c r="AE33" s="1302"/>
      <c r="AF33" s="1303">
        <v>5139.04</v>
      </c>
      <c r="AG33" s="1302"/>
      <c r="AH33" s="1303">
        <f t="shared" si="0"/>
        <v>92342.399999999994</v>
      </c>
      <c r="AI33" s="1575">
        <f t="shared" si="1"/>
        <v>5577.5939548652032</v>
      </c>
      <c r="AJ33" s="1303"/>
      <c r="AK33" s="1575">
        <f t="shared" si="2"/>
        <v>5577.5939548652032</v>
      </c>
      <c r="AL33" s="1303"/>
      <c r="AM33" s="1327"/>
      <c r="AN33" s="1570">
        <v>2144</v>
      </c>
      <c r="AO33" s="1440">
        <v>14507</v>
      </c>
      <c r="AP33" s="1431">
        <v>1.2973653412855897E-2</v>
      </c>
    </row>
    <row r="34" spans="2:42" ht="15" outlineLevel="1">
      <c r="B34" s="24" t="s">
        <v>397</v>
      </c>
      <c r="D34" s="1298">
        <v>70205</v>
      </c>
      <c r="E34" s="1298" t="s">
        <v>262</v>
      </c>
      <c r="F34" s="1299"/>
      <c r="G34" s="1300"/>
      <c r="H34" s="1301"/>
      <c r="I34" s="1302"/>
      <c r="J34" s="1303">
        <v>12583.15</v>
      </c>
      <c r="K34" s="1302"/>
      <c r="L34" s="1303">
        <v>13133.08</v>
      </c>
      <c r="M34" s="1302"/>
      <c r="N34" s="1303">
        <v>7300.75</v>
      </c>
      <c r="O34" s="1302"/>
      <c r="P34" s="1303">
        <v>9309.23</v>
      </c>
      <c r="Q34" s="1302"/>
      <c r="R34" s="1303">
        <v>6049.95</v>
      </c>
      <c r="S34" s="1302"/>
      <c r="T34" s="1303">
        <v>7541.34</v>
      </c>
      <c r="U34" s="1302"/>
      <c r="V34" s="1303">
        <v>7018.37</v>
      </c>
      <c r="W34" s="1302"/>
      <c r="X34" s="1303">
        <v>6640.72</v>
      </c>
      <c r="Y34" s="1302"/>
      <c r="Z34" s="1303">
        <v>10582.95</v>
      </c>
      <c r="AA34" s="1302"/>
      <c r="AB34" s="1303">
        <v>3942.21</v>
      </c>
      <c r="AC34" s="1302"/>
      <c r="AD34" s="1303">
        <v>8988.34</v>
      </c>
      <c r="AE34" s="1302"/>
      <c r="AF34" s="1303">
        <v>6938.95</v>
      </c>
      <c r="AG34" s="1302"/>
      <c r="AH34" s="1303">
        <f t="shared" si="0"/>
        <v>100029.04</v>
      </c>
      <c r="AI34" s="1575">
        <f t="shared" si="1"/>
        <v>6041.8764166295177</v>
      </c>
      <c r="AJ34" s="1303"/>
      <c r="AK34" s="1575">
        <f t="shared" si="2"/>
        <v>6041.8764166295177</v>
      </c>
      <c r="AL34" s="1303"/>
      <c r="AM34" s="1327"/>
      <c r="AN34" s="1570">
        <v>2146</v>
      </c>
      <c r="AO34" s="1440">
        <v>7582</v>
      </c>
      <c r="AP34" s="1431">
        <v>6.780605237214684E-3</v>
      </c>
    </row>
    <row r="35" spans="2:42" ht="15" outlineLevel="1">
      <c r="B35" s="24" t="s">
        <v>397</v>
      </c>
      <c r="D35" s="1298">
        <v>70206</v>
      </c>
      <c r="E35" s="1298" t="s">
        <v>263</v>
      </c>
      <c r="F35" s="1299"/>
      <c r="G35" s="1300"/>
      <c r="H35" s="1301"/>
      <c r="I35" s="1302"/>
      <c r="J35" s="1303">
        <v>2905.44</v>
      </c>
      <c r="K35" s="1302"/>
      <c r="L35" s="1303">
        <v>3682.24</v>
      </c>
      <c r="M35" s="1302"/>
      <c r="N35" s="1303">
        <v>1334.41</v>
      </c>
      <c r="O35" s="1302"/>
      <c r="P35" s="1303">
        <v>1951.47</v>
      </c>
      <c r="Q35" s="1302"/>
      <c r="R35" s="1303">
        <v>1557.41</v>
      </c>
      <c r="S35" s="1302"/>
      <c r="T35" s="1303">
        <v>2453.8200000000002</v>
      </c>
      <c r="U35" s="1302"/>
      <c r="V35" s="1303">
        <v>1768.81</v>
      </c>
      <c r="W35" s="1302"/>
      <c r="X35" s="1303">
        <v>1219.3499999999999</v>
      </c>
      <c r="Y35" s="1302"/>
      <c r="Z35" s="1303">
        <v>2282.71</v>
      </c>
      <c r="AA35" s="1302"/>
      <c r="AB35" s="1303">
        <v>1535.58</v>
      </c>
      <c r="AC35" s="1302"/>
      <c r="AD35" s="1303">
        <v>3139.32</v>
      </c>
      <c r="AE35" s="1302"/>
      <c r="AF35" s="1303">
        <v>2877.94</v>
      </c>
      <c r="AG35" s="1302"/>
      <c r="AH35" s="1303">
        <f t="shared" si="0"/>
        <v>26708.499999999996</v>
      </c>
      <c r="AI35" s="1575">
        <f t="shared" si="1"/>
        <v>1613.2260818813163</v>
      </c>
      <c r="AJ35" s="1303"/>
      <c r="AK35" s="1575">
        <f t="shared" si="2"/>
        <v>1613.2260818813163</v>
      </c>
      <c r="AL35" s="1303"/>
      <c r="AM35" s="1327"/>
      <c r="AN35" s="1570">
        <v>2148</v>
      </c>
      <c r="AO35" s="1440"/>
      <c r="AP35" s="1431">
        <v>0</v>
      </c>
    </row>
    <row r="36" spans="2:42" ht="15" outlineLevel="1">
      <c r="B36" s="24" t="s">
        <v>397</v>
      </c>
      <c r="D36" s="1298">
        <v>70210</v>
      </c>
      <c r="E36" s="1298" t="s">
        <v>264</v>
      </c>
      <c r="F36" s="1299"/>
      <c r="G36" s="1300"/>
      <c r="H36" s="1301"/>
      <c r="I36" s="1302"/>
      <c r="J36" s="1303">
        <v>3498.09</v>
      </c>
      <c r="K36" s="1302"/>
      <c r="L36" s="1303">
        <v>6120.2</v>
      </c>
      <c r="M36" s="1302"/>
      <c r="N36" s="1303">
        <v>3440.98</v>
      </c>
      <c r="O36" s="1302"/>
      <c r="P36" s="1303">
        <v>1965.16</v>
      </c>
      <c r="Q36" s="1302"/>
      <c r="R36" s="1303">
        <v>1887.87</v>
      </c>
      <c r="S36" s="1302"/>
      <c r="T36" s="1303">
        <v>4684.34</v>
      </c>
      <c r="U36" s="1302"/>
      <c r="V36" s="1303">
        <v>2012.43</v>
      </c>
      <c r="W36" s="1302"/>
      <c r="X36" s="1303">
        <v>2506.7399999999998</v>
      </c>
      <c r="Y36" s="1302"/>
      <c r="Z36" s="1303">
        <v>4929.13</v>
      </c>
      <c r="AA36" s="1302"/>
      <c r="AB36" s="1303">
        <v>4759.47</v>
      </c>
      <c r="AC36" s="1302"/>
      <c r="AD36" s="1303">
        <v>2867.79</v>
      </c>
      <c r="AE36" s="1302"/>
      <c r="AF36" s="1303">
        <v>5384.21</v>
      </c>
      <c r="AG36" s="1302"/>
      <c r="AH36" s="1303">
        <f t="shared" si="0"/>
        <v>44056.41</v>
      </c>
      <c r="AI36" s="1575">
        <f t="shared" si="1"/>
        <v>2661.0610736678159</v>
      </c>
      <c r="AJ36" s="1303"/>
      <c r="AK36" s="1575">
        <f t="shared" si="2"/>
        <v>2661.0610736678159</v>
      </c>
      <c r="AL36" s="1303"/>
      <c r="AM36" s="1327"/>
      <c r="AN36" s="1570">
        <v>2149</v>
      </c>
      <c r="AO36" s="1440">
        <v>17710</v>
      </c>
      <c r="AP36" s="1431">
        <v>1.5838105875899768E-2</v>
      </c>
    </row>
    <row r="37" spans="2:42" ht="15" outlineLevel="1">
      <c r="B37" s="24" t="s">
        <v>397</v>
      </c>
      <c r="D37" s="1298">
        <v>70214</v>
      </c>
      <c r="E37" s="1298" t="s">
        <v>105</v>
      </c>
      <c r="F37" s="1299"/>
      <c r="G37" s="1300"/>
      <c r="H37" s="1301"/>
      <c r="I37" s="1302"/>
      <c r="J37" s="1303">
        <v>-50000</v>
      </c>
      <c r="K37" s="1302"/>
      <c r="L37" s="1303">
        <v>0</v>
      </c>
      <c r="M37" s="1302"/>
      <c r="N37" s="1303">
        <v>50000</v>
      </c>
      <c r="O37" s="1302"/>
      <c r="P37" s="1303">
        <v>0</v>
      </c>
      <c r="Q37" s="1302"/>
      <c r="R37" s="1303">
        <v>0</v>
      </c>
      <c r="S37" s="1302"/>
      <c r="T37" s="1303">
        <v>0</v>
      </c>
      <c r="U37" s="1302"/>
      <c r="V37" s="1303">
        <v>0</v>
      </c>
      <c r="W37" s="1302"/>
      <c r="X37" s="1303">
        <v>0</v>
      </c>
      <c r="Y37" s="1302"/>
      <c r="Z37" s="1303">
        <v>0</v>
      </c>
      <c r="AA37" s="1302"/>
      <c r="AB37" s="1303">
        <v>0.28000000000000003</v>
      </c>
      <c r="AC37" s="1302"/>
      <c r="AD37" s="1303">
        <v>0</v>
      </c>
      <c r="AE37" s="1302"/>
      <c r="AF37" s="1303">
        <v>0</v>
      </c>
      <c r="AG37" s="1302"/>
      <c r="AH37" s="1303">
        <f t="shared" si="0"/>
        <v>0.27999999999883585</v>
      </c>
      <c r="AI37" s="1575">
        <f t="shared" si="1"/>
        <v>1.6912342622194827E-2</v>
      </c>
      <c r="AJ37" s="1303"/>
      <c r="AK37" s="1575">
        <f t="shared" si="2"/>
        <v>1.6912342622194827E-2</v>
      </c>
      <c r="AL37" s="1303"/>
      <c r="AM37" s="1327"/>
      <c r="AN37" s="1570">
        <v>2150</v>
      </c>
      <c r="AO37" s="1440">
        <v>0</v>
      </c>
      <c r="AP37" s="1431">
        <v>0</v>
      </c>
    </row>
    <row r="38" spans="2:42" ht="15" outlineLevel="1">
      <c r="B38" s="24" t="s">
        <v>397</v>
      </c>
      <c r="D38" s="1298">
        <v>70215</v>
      </c>
      <c r="E38" s="1298" t="s">
        <v>106</v>
      </c>
      <c r="F38" s="1299"/>
      <c r="G38" s="1300"/>
      <c r="H38" s="1301"/>
      <c r="I38" s="1302"/>
      <c r="J38" s="1303">
        <v>0</v>
      </c>
      <c r="K38" s="1302"/>
      <c r="L38" s="1303">
        <v>3.05</v>
      </c>
      <c r="M38" s="1302"/>
      <c r="N38" s="1303">
        <v>0</v>
      </c>
      <c r="O38" s="1302"/>
      <c r="P38" s="1303">
        <v>13.48</v>
      </c>
      <c r="Q38" s="1302"/>
      <c r="R38" s="1303">
        <v>-11.31</v>
      </c>
      <c r="S38" s="1302"/>
      <c r="T38" s="1303">
        <v>0</v>
      </c>
      <c r="U38" s="1302"/>
      <c r="V38" s="1303">
        <v>0</v>
      </c>
      <c r="W38" s="1302"/>
      <c r="X38" s="1303">
        <v>0</v>
      </c>
      <c r="Y38" s="1302"/>
      <c r="Z38" s="1303">
        <v>0</v>
      </c>
      <c r="AA38" s="1302"/>
      <c r="AB38" s="1303">
        <v>5.09</v>
      </c>
      <c r="AC38" s="1302"/>
      <c r="AD38" s="1303">
        <v>0</v>
      </c>
      <c r="AE38" s="1302"/>
      <c r="AF38" s="1303">
        <v>110.25</v>
      </c>
      <c r="AG38" s="1302"/>
      <c r="AH38" s="1303">
        <f t="shared" si="0"/>
        <v>120.56</v>
      </c>
      <c r="AI38" s="1575">
        <f t="shared" si="1"/>
        <v>7.2819715233581643</v>
      </c>
      <c r="AJ38" s="1303"/>
      <c r="AK38" s="1575">
        <f t="shared" si="2"/>
        <v>7.2819715233581643</v>
      </c>
      <c r="AL38" s="1303"/>
      <c r="AM38" s="1327"/>
      <c r="AN38" s="1570">
        <v>2160</v>
      </c>
      <c r="AO38" s="1440">
        <v>0</v>
      </c>
      <c r="AP38" s="1431">
        <v>0</v>
      </c>
    </row>
    <row r="39" spans="2:42" ht="15" outlineLevel="1">
      <c r="B39" s="24" t="s">
        <v>397</v>
      </c>
      <c r="D39" s="1298">
        <v>70225</v>
      </c>
      <c r="E39" s="1298" t="s">
        <v>258</v>
      </c>
      <c r="F39" s="1299"/>
      <c r="G39" s="1300"/>
      <c r="H39" s="1301"/>
      <c r="I39" s="1302"/>
      <c r="J39" s="1303">
        <v>0</v>
      </c>
      <c r="K39" s="1302"/>
      <c r="L39" s="1303">
        <v>0</v>
      </c>
      <c r="M39" s="1302"/>
      <c r="N39" s="1303">
        <v>0</v>
      </c>
      <c r="O39" s="1302"/>
      <c r="P39" s="1303">
        <v>0</v>
      </c>
      <c r="Q39" s="1302"/>
      <c r="R39" s="1303">
        <v>0</v>
      </c>
      <c r="S39" s="1302"/>
      <c r="T39" s="1303">
        <v>45</v>
      </c>
      <c r="U39" s="1302"/>
      <c r="V39" s="1303">
        <v>-45</v>
      </c>
      <c r="W39" s="1302"/>
      <c r="X39" s="1303">
        <v>0</v>
      </c>
      <c r="Y39" s="1302"/>
      <c r="Z39" s="1303">
        <v>0</v>
      </c>
      <c r="AA39" s="1302"/>
      <c r="AB39" s="1303">
        <v>0</v>
      </c>
      <c r="AC39" s="1302"/>
      <c r="AD39" s="1303">
        <v>0</v>
      </c>
      <c r="AE39" s="1302"/>
      <c r="AF39" s="1303">
        <v>0</v>
      </c>
      <c r="AG39" s="1302"/>
      <c r="AH39" s="1303">
        <f t="shared" si="0"/>
        <v>0</v>
      </c>
      <c r="AI39" s="1575">
        <f t="shared" si="1"/>
        <v>0</v>
      </c>
      <c r="AJ39" s="1303">
        <f>-AI39</f>
        <v>0</v>
      </c>
      <c r="AK39" s="1575">
        <f t="shared" si="2"/>
        <v>0</v>
      </c>
      <c r="AL39" s="1303"/>
      <c r="AM39" s="1327"/>
      <c r="AN39" s="1570">
        <v>2170</v>
      </c>
      <c r="AO39" s="1440">
        <v>0</v>
      </c>
      <c r="AP39" s="1431">
        <v>0</v>
      </c>
    </row>
    <row r="40" spans="2:42" ht="15" outlineLevel="1">
      <c r="B40" s="24" t="s">
        <v>397</v>
      </c>
      <c r="D40" s="1298">
        <v>70231</v>
      </c>
      <c r="E40" s="1298" t="s">
        <v>141</v>
      </c>
      <c r="F40" s="1299"/>
      <c r="G40" s="1300"/>
      <c r="H40" s="1301"/>
      <c r="I40" s="1302"/>
      <c r="J40" s="1303">
        <v>236.53</v>
      </c>
      <c r="K40" s="1302"/>
      <c r="L40" s="1303">
        <v>120</v>
      </c>
      <c r="M40" s="1302"/>
      <c r="N40" s="1303">
        <v>0</v>
      </c>
      <c r="O40" s="1302"/>
      <c r="P40" s="1303">
        <v>20</v>
      </c>
      <c r="Q40" s="1302"/>
      <c r="R40" s="1303">
        <v>0</v>
      </c>
      <c r="S40" s="1302"/>
      <c r="T40" s="1303">
        <v>130.03</v>
      </c>
      <c r="U40" s="1302"/>
      <c r="V40" s="1303">
        <v>439.32</v>
      </c>
      <c r="W40" s="1302"/>
      <c r="X40" s="1303">
        <v>130.03</v>
      </c>
      <c r="Y40" s="1302"/>
      <c r="Z40" s="1303">
        <v>30</v>
      </c>
      <c r="AA40" s="1302"/>
      <c r="AB40" s="1303">
        <v>109.24</v>
      </c>
      <c r="AC40" s="1302"/>
      <c r="AD40" s="1303">
        <v>36.72</v>
      </c>
      <c r="AE40" s="1302"/>
      <c r="AF40" s="1303">
        <v>2265.9299999999998</v>
      </c>
      <c r="AG40" s="1302"/>
      <c r="AH40" s="1303">
        <f t="shared" si="0"/>
        <v>3517.8</v>
      </c>
      <c r="AI40" s="1575">
        <f t="shared" si="1"/>
        <v>212.47942455930118</v>
      </c>
      <c r="AJ40" s="1303"/>
      <c r="AK40" s="1575">
        <f t="shared" si="2"/>
        <v>212.47942455930118</v>
      </c>
      <c r="AL40" s="1303"/>
      <c r="AM40" s="1327"/>
      <c r="AN40" s="1570">
        <v>2171</v>
      </c>
      <c r="AO40" s="1440">
        <v>43</v>
      </c>
      <c r="AP40" s="1431">
        <v>3.8455028383042915E-5</v>
      </c>
    </row>
    <row r="41" spans="2:42" ht="15" outlineLevel="1">
      <c r="B41" s="24" t="s">
        <v>397</v>
      </c>
      <c r="D41" s="1298">
        <v>70232</v>
      </c>
      <c r="E41" s="1298" t="s">
        <v>142</v>
      </c>
      <c r="F41" s="1299"/>
      <c r="G41" s="1300"/>
      <c r="H41" s="1301"/>
      <c r="I41" s="1302"/>
      <c r="J41" s="1303">
        <v>0</v>
      </c>
      <c r="K41" s="1302"/>
      <c r="L41" s="1303">
        <v>0</v>
      </c>
      <c r="M41" s="1302"/>
      <c r="N41" s="1303">
        <v>0</v>
      </c>
      <c r="O41" s="1302"/>
      <c r="P41" s="1303">
        <v>0</v>
      </c>
      <c r="Q41" s="1302"/>
      <c r="R41" s="1303">
        <v>544.4</v>
      </c>
      <c r="S41" s="1302"/>
      <c r="T41" s="1303">
        <v>95.1</v>
      </c>
      <c r="U41" s="1302"/>
      <c r="V41" s="1303">
        <v>0</v>
      </c>
      <c r="W41" s="1302"/>
      <c r="X41" s="1303">
        <v>0</v>
      </c>
      <c r="Y41" s="1302"/>
      <c r="Z41" s="1303">
        <v>0</v>
      </c>
      <c r="AA41" s="1302"/>
      <c r="AB41" s="1303">
        <v>0</v>
      </c>
      <c r="AC41" s="1302"/>
      <c r="AD41" s="1303">
        <v>783.22</v>
      </c>
      <c r="AE41" s="1302"/>
      <c r="AF41" s="1303">
        <v>1868.21</v>
      </c>
      <c r="AG41" s="1302"/>
      <c r="AH41" s="1303">
        <f t="shared" si="0"/>
        <v>3290.9300000000003</v>
      </c>
      <c r="AI41" s="1575">
        <f t="shared" si="1"/>
        <v>198.77619894961086</v>
      </c>
      <c r="AJ41" s="1303"/>
      <c r="AK41" s="1575">
        <f t="shared" si="2"/>
        <v>198.77619894961086</v>
      </c>
      <c r="AL41" s="1303"/>
      <c r="AM41" s="1327"/>
      <c r="AN41" s="1570">
        <v>2172</v>
      </c>
      <c r="AO41" s="1440">
        <v>10</v>
      </c>
      <c r="AP41" s="1431">
        <v>8.9430298565216085E-6</v>
      </c>
    </row>
    <row r="42" spans="2:42" ht="15" outlineLevel="1">
      <c r="B42" s="24" t="s">
        <v>397</v>
      </c>
      <c r="D42" s="1298">
        <v>70235</v>
      </c>
      <c r="E42" s="1298" t="s">
        <v>112</v>
      </c>
      <c r="F42" s="1299"/>
      <c r="G42" s="1300"/>
      <c r="H42" s="1301"/>
      <c r="I42" s="1302"/>
      <c r="J42" s="1303">
        <v>686.76</v>
      </c>
      <c r="K42" s="1302"/>
      <c r="L42" s="1303">
        <v>9610.41</v>
      </c>
      <c r="M42" s="1302"/>
      <c r="N42" s="1303">
        <v>0</v>
      </c>
      <c r="O42" s="1302"/>
      <c r="P42" s="1303">
        <v>16361.03</v>
      </c>
      <c r="Q42" s="1302"/>
      <c r="R42" s="1303">
        <v>21820.97</v>
      </c>
      <c r="S42" s="1302"/>
      <c r="T42" s="1303">
        <v>0</v>
      </c>
      <c r="U42" s="1302"/>
      <c r="V42" s="1303">
        <v>8209.17</v>
      </c>
      <c r="W42" s="1302"/>
      <c r="X42" s="1303">
        <v>3937.03</v>
      </c>
      <c r="Y42" s="1302"/>
      <c r="Z42" s="1303">
        <v>-769</v>
      </c>
      <c r="AA42" s="1302"/>
      <c r="AB42" s="1303">
        <v>0</v>
      </c>
      <c r="AC42" s="1302"/>
      <c r="AD42" s="1303">
        <v>3203.1</v>
      </c>
      <c r="AE42" s="1302"/>
      <c r="AF42" s="1303">
        <v>196</v>
      </c>
      <c r="AG42" s="1302"/>
      <c r="AH42" s="1303">
        <f t="shared" si="0"/>
        <v>63255.470000000008</v>
      </c>
      <c r="AI42" s="1575">
        <f t="shared" si="1"/>
        <v>3820.7077906157656</v>
      </c>
      <c r="AJ42" s="1303"/>
      <c r="AK42" s="1575">
        <f t="shared" si="2"/>
        <v>3820.7077906157656</v>
      </c>
      <c r="AL42" s="1303"/>
      <c r="AM42" s="1327"/>
      <c r="AN42" s="1570">
        <v>2173</v>
      </c>
      <c r="AO42" s="1440">
        <v>5</v>
      </c>
      <c r="AP42" s="1431">
        <v>4.4715149282608042E-6</v>
      </c>
    </row>
    <row r="43" spans="2:42" ht="15" outlineLevel="1">
      <c r="B43" s="24" t="s">
        <v>397</v>
      </c>
      <c r="D43" s="1298">
        <v>70255</v>
      </c>
      <c r="E43" s="1298" t="s">
        <v>63</v>
      </c>
      <c r="F43" s="1299"/>
      <c r="G43" s="1300"/>
      <c r="H43" s="1301"/>
      <c r="I43" s="1302"/>
      <c r="J43" s="1303">
        <v>0</v>
      </c>
      <c r="K43" s="1302"/>
      <c r="L43" s="1303">
        <v>4012.08</v>
      </c>
      <c r="M43" s="1302"/>
      <c r="N43" s="1303">
        <v>5870.72</v>
      </c>
      <c r="O43" s="1302"/>
      <c r="P43" s="1303">
        <v>0</v>
      </c>
      <c r="Q43" s="1302"/>
      <c r="R43" s="1303">
        <v>2863.35</v>
      </c>
      <c r="S43" s="1302"/>
      <c r="T43" s="1303">
        <v>0</v>
      </c>
      <c r="U43" s="1302"/>
      <c r="V43" s="1303">
        <v>0</v>
      </c>
      <c r="W43" s="1302"/>
      <c r="X43" s="1303">
        <v>0</v>
      </c>
      <c r="Y43" s="1302"/>
      <c r="Z43" s="1303">
        <v>0</v>
      </c>
      <c r="AA43" s="1302"/>
      <c r="AB43" s="1303">
        <v>0</v>
      </c>
      <c r="AC43" s="1302"/>
      <c r="AD43" s="1303">
        <v>0</v>
      </c>
      <c r="AE43" s="1302"/>
      <c r="AF43" s="1303">
        <v>0</v>
      </c>
      <c r="AG43" s="1302"/>
      <c r="AH43" s="1303">
        <f t="shared" si="0"/>
        <v>12746.15</v>
      </c>
      <c r="AI43" s="1575">
        <f t="shared" si="1"/>
        <v>769.8830568385174</v>
      </c>
      <c r="AJ43" s="1303"/>
      <c r="AK43" s="1575">
        <f t="shared" si="2"/>
        <v>769.8830568385174</v>
      </c>
      <c r="AL43" s="1303"/>
      <c r="AM43" s="1327"/>
      <c r="AN43" s="1570">
        <v>2180</v>
      </c>
      <c r="AO43" s="1440">
        <v>82059</v>
      </c>
      <c r="AP43" s="1431">
        <v>7.3385608699630664E-2</v>
      </c>
    </row>
    <row r="44" spans="2:42" ht="15" outlineLevel="1">
      <c r="B44" s="24" t="s">
        <v>397</v>
      </c>
      <c r="D44" s="1298">
        <v>70302</v>
      </c>
      <c r="E44" s="1298" t="s">
        <v>265</v>
      </c>
      <c r="F44" s="1299"/>
      <c r="G44" s="1300"/>
      <c r="H44" s="1301"/>
      <c r="I44" s="1302"/>
      <c r="J44" s="1303">
        <v>0</v>
      </c>
      <c r="K44" s="1302"/>
      <c r="L44" s="1303">
        <v>528.30999999999995</v>
      </c>
      <c r="M44" s="1302"/>
      <c r="N44" s="1303">
        <v>0</v>
      </c>
      <c r="O44" s="1302"/>
      <c r="P44" s="1303">
        <v>295.02999999999997</v>
      </c>
      <c r="Q44" s="1302"/>
      <c r="R44" s="1303">
        <v>595</v>
      </c>
      <c r="S44" s="1302"/>
      <c r="T44" s="1303">
        <v>77.959999999999994</v>
      </c>
      <c r="U44" s="1302"/>
      <c r="V44" s="1303">
        <v>118.14</v>
      </c>
      <c r="W44" s="1302"/>
      <c r="X44" s="1303">
        <v>21.34</v>
      </c>
      <c r="Y44" s="1302"/>
      <c r="Z44" s="1303">
        <v>96.72</v>
      </c>
      <c r="AA44" s="1302"/>
      <c r="AB44" s="1303">
        <v>0</v>
      </c>
      <c r="AC44" s="1302"/>
      <c r="AD44" s="1303">
        <v>0</v>
      </c>
      <c r="AE44" s="1302"/>
      <c r="AF44" s="1303">
        <v>162.99</v>
      </c>
      <c r="AG44" s="1302"/>
      <c r="AH44" s="1303">
        <f t="shared" si="0"/>
        <v>1895.49</v>
      </c>
      <c r="AI44" s="1575">
        <f t="shared" si="1"/>
        <v>114.48991541813342</v>
      </c>
      <c r="AJ44" s="1303"/>
      <c r="AK44" s="1575">
        <f t="shared" si="2"/>
        <v>114.48991541813342</v>
      </c>
      <c r="AL44" s="1303"/>
      <c r="AM44" s="1327"/>
      <c r="AN44" s="1570">
        <v>2182</v>
      </c>
      <c r="AO44" s="1440">
        <v>2</v>
      </c>
      <c r="AP44" s="1431">
        <v>1.7886059713043216E-6</v>
      </c>
    </row>
    <row r="45" spans="2:42" ht="15" outlineLevel="1">
      <c r="B45" s="24" t="s">
        <v>397</v>
      </c>
      <c r="D45" s="1298">
        <v>70310</v>
      </c>
      <c r="E45" s="1298" t="s">
        <v>121</v>
      </c>
      <c r="F45" s="1299"/>
      <c r="G45" s="1300"/>
      <c r="H45" s="1301"/>
      <c r="I45" s="1302"/>
      <c r="J45" s="1303">
        <v>0</v>
      </c>
      <c r="K45" s="1302"/>
      <c r="L45" s="1303">
        <v>0</v>
      </c>
      <c r="M45" s="1302"/>
      <c r="N45" s="1303">
        <v>0</v>
      </c>
      <c r="O45" s="1302"/>
      <c r="P45" s="1303">
        <v>0</v>
      </c>
      <c r="Q45" s="1302"/>
      <c r="R45" s="1303">
        <v>0</v>
      </c>
      <c r="S45" s="1302"/>
      <c r="T45" s="1303">
        <v>0</v>
      </c>
      <c r="U45" s="1302"/>
      <c r="V45" s="1303">
        <v>0</v>
      </c>
      <c r="W45" s="1302"/>
      <c r="X45" s="1303">
        <v>300000</v>
      </c>
      <c r="Y45" s="1302"/>
      <c r="Z45" s="1303">
        <v>0</v>
      </c>
      <c r="AA45" s="1302"/>
      <c r="AB45" s="1303">
        <v>0</v>
      </c>
      <c r="AC45" s="1302"/>
      <c r="AD45" s="1303">
        <v>-300000</v>
      </c>
      <c r="AE45" s="1302"/>
      <c r="AF45" s="1303">
        <v>0</v>
      </c>
      <c r="AG45" s="1302"/>
      <c r="AH45" s="1303">
        <f t="shared" si="0"/>
        <v>0</v>
      </c>
      <c r="AI45" s="1575">
        <f t="shared" si="1"/>
        <v>0</v>
      </c>
      <c r="AJ45" s="1303"/>
      <c r="AK45" s="1575">
        <f t="shared" si="2"/>
        <v>0</v>
      </c>
      <c r="AL45" s="1303"/>
      <c r="AM45" s="1327"/>
      <c r="AN45" s="1570">
        <v>2183</v>
      </c>
      <c r="AO45" s="1440">
        <v>67540</v>
      </c>
      <c r="AP45" s="1431">
        <v>6.0401223650946946E-2</v>
      </c>
    </row>
    <row r="46" spans="2:42" ht="15" outlineLevel="1">
      <c r="B46" s="24" t="s">
        <v>397</v>
      </c>
      <c r="D46" s="1298">
        <v>70320</v>
      </c>
      <c r="E46" s="1298" t="s">
        <v>110</v>
      </c>
      <c r="F46" s="1299"/>
      <c r="G46" s="1300"/>
      <c r="H46" s="1301"/>
      <c r="I46" s="1302"/>
      <c r="J46" s="1303">
        <v>4642.6000000000004</v>
      </c>
      <c r="K46" s="1302"/>
      <c r="L46" s="1303">
        <v>4649.5</v>
      </c>
      <c r="M46" s="1302"/>
      <c r="N46" s="1303">
        <v>4632.8900000000003</v>
      </c>
      <c r="O46" s="1302"/>
      <c r="P46" s="1303">
        <v>4938.7700000000004</v>
      </c>
      <c r="Q46" s="1302"/>
      <c r="R46" s="1303">
        <v>4907.8599999999997</v>
      </c>
      <c r="S46" s="1302"/>
      <c r="T46" s="1303">
        <v>4768.9399999999996</v>
      </c>
      <c r="U46" s="1302"/>
      <c r="V46" s="1303">
        <v>4766.8599999999997</v>
      </c>
      <c r="W46" s="1302"/>
      <c r="X46" s="1303">
        <v>4803.13</v>
      </c>
      <c r="Y46" s="1302"/>
      <c r="Z46" s="1303">
        <v>4534.08</v>
      </c>
      <c r="AA46" s="1302"/>
      <c r="AB46" s="1303">
        <v>4492.2299999999996</v>
      </c>
      <c r="AC46" s="1302"/>
      <c r="AD46" s="1303">
        <v>4492.2299999999996</v>
      </c>
      <c r="AE46" s="1302"/>
      <c r="AF46" s="1303">
        <v>4570.58</v>
      </c>
      <c r="AG46" s="1302"/>
      <c r="AH46" s="1303">
        <f t="shared" si="0"/>
        <v>56199.669999999991</v>
      </c>
      <c r="AI46" s="1575">
        <f t="shared" si="1"/>
        <v>3394.5288367794128</v>
      </c>
      <c r="AJ46" s="1303"/>
      <c r="AK46" s="1575">
        <f t="shared" si="2"/>
        <v>3394.5288367794128</v>
      </c>
      <c r="AL46" s="1303"/>
      <c r="AM46" s="1327"/>
      <c r="AN46" s="1570">
        <v>2184</v>
      </c>
      <c r="AO46" s="1440">
        <v>1</v>
      </c>
      <c r="AP46" s="1431">
        <v>8.9430298565216082E-7</v>
      </c>
    </row>
    <row r="47" spans="2:42" ht="15" outlineLevel="1">
      <c r="B47" s="24" t="s">
        <v>397</v>
      </c>
      <c r="D47" s="1298">
        <v>70330</v>
      </c>
      <c r="E47" s="1298" t="s">
        <v>438</v>
      </c>
      <c r="F47" s="1299"/>
      <c r="G47" s="1300"/>
      <c r="H47" s="1301"/>
      <c r="I47" s="1302"/>
      <c r="J47" s="1303">
        <v>7455.68</v>
      </c>
      <c r="K47" s="1302"/>
      <c r="L47" s="1303">
        <v>41691.85</v>
      </c>
      <c r="M47" s="1302"/>
      <c r="N47" s="1303">
        <v>20360.66</v>
      </c>
      <c r="O47" s="1302"/>
      <c r="P47" s="1303">
        <v>0</v>
      </c>
      <c r="Q47" s="1302"/>
      <c r="R47" s="1303">
        <v>1153.3800000000001</v>
      </c>
      <c r="S47" s="1302"/>
      <c r="T47" s="1303">
        <v>0</v>
      </c>
      <c r="U47" s="1302"/>
      <c r="V47" s="1303">
        <v>0</v>
      </c>
      <c r="W47" s="1302"/>
      <c r="X47" s="1303">
        <v>0</v>
      </c>
      <c r="Y47" s="1302"/>
      <c r="Z47" s="1303">
        <v>0</v>
      </c>
      <c r="AA47" s="1302"/>
      <c r="AB47" s="1303">
        <v>0</v>
      </c>
      <c r="AC47" s="1302"/>
      <c r="AD47" s="1303">
        <v>1637</v>
      </c>
      <c r="AE47" s="1302"/>
      <c r="AF47" s="1303">
        <v>2507.16</v>
      </c>
      <c r="AG47" s="1302"/>
      <c r="AH47" s="1303">
        <f t="shared" si="0"/>
        <v>74805.73000000001</v>
      </c>
      <c r="AI47" s="1575">
        <f t="shared" si="1"/>
        <v>4518.3576281023525</v>
      </c>
      <c r="AJ47" s="1303"/>
      <c r="AK47" s="1575">
        <f t="shared" si="2"/>
        <v>4518.3576281023525</v>
      </c>
      <c r="AL47" s="1303"/>
      <c r="AM47" s="1327"/>
      <c r="AN47" s="1570">
        <v>2185</v>
      </c>
      <c r="AO47" s="1440">
        <v>4236</v>
      </c>
      <c r="AP47" s="1431">
        <v>3.7882674472225534E-3</v>
      </c>
    </row>
    <row r="48" spans="2:42" ht="15" outlineLevel="1">
      <c r="B48" s="24" t="s">
        <v>397</v>
      </c>
      <c r="D48" s="1298">
        <v>70336</v>
      </c>
      <c r="E48" s="1298" t="s">
        <v>145</v>
      </c>
      <c r="F48" s="1299"/>
      <c r="G48" s="1300"/>
      <c r="H48" s="1301"/>
      <c r="I48" s="1302"/>
      <c r="J48" s="1303">
        <v>786.36</v>
      </c>
      <c r="K48" s="1302"/>
      <c r="L48" s="1303">
        <v>241.88</v>
      </c>
      <c r="M48" s="1302"/>
      <c r="N48" s="1303">
        <v>418.62</v>
      </c>
      <c r="O48" s="1302"/>
      <c r="P48" s="1303">
        <v>727.3</v>
      </c>
      <c r="Q48" s="1302"/>
      <c r="R48" s="1303">
        <v>600.04</v>
      </c>
      <c r="S48" s="1302"/>
      <c r="T48" s="1303">
        <v>676.83</v>
      </c>
      <c r="U48" s="1302"/>
      <c r="V48" s="1303">
        <v>1063.78</v>
      </c>
      <c r="W48" s="1302"/>
      <c r="X48" s="1303">
        <v>553.79999999999995</v>
      </c>
      <c r="Y48" s="1302"/>
      <c r="Z48" s="1303">
        <v>422.52</v>
      </c>
      <c r="AA48" s="1302"/>
      <c r="AB48" s="1303">
        <v>521.5</v>
      </c>
      <c r="AC48" s="1302"/>
      <c r="AD48" s="1303">
        <v>269.58999999999997</v>
      </c>
      <c r="AE48" s="1302"/>
      <c r="AF48" s="1303">
        <v>456.74</v>
      </c>
      <c r="AG48" s="1302"/>
      <c r="AH48" s="1303">
        <f t="shared" si="0"/>
        <v>6738.9599999999991</v>
      </c>
      <c r="AI48" s="1575">
        <f t="shared" si="1"/>
        <v>407.0414301347854</v>
      </c>
      <c r="AJ48" s="1303"/>
      <c r="AK48" s="1575">
        <f t="shared" si="2"/>
        <v>407.0414301347854</v>
      </c>
      <c r="AL48" s="1303"/>
      <c r="AM48" s="1327"/>
      <c r="AN48" s="1570">
        <v>2186</v>
      </c>
      <c r="AO48" s="1440">
        <v>20834</v>
      </c>
      <c r="AP48" s="1431">
        <v>1.8631908403077119E-2</v>
      </c>
    </row>
    <row r="49" spans="1:42" s="8" customFormat="1" ht="5.0999999999999996" customHeight="1" outlineLevel="1">
      <c r="B49" s="407" t="s">
        <v>194</v>
      </c>
      <c r="D49" s="1299"/>
      <c r="E49" s="1299"/>
      <c r="F49" s="1299"/>
      <c r="G49" s="1299"/>
      <c r="H49" s="1301"/>
      <c r="I49" s="1301"/>
      <c r="J49" s="1311"/>
      <c r="K49" s="1309"/>
      <c r="L49" s="1311"/>
      <c r="M49" s="1309"/>
      <c r="N49" s="1311"/>
      <c r="O49" s="1309"/>
      <c r="P49" s="1311"/>
      <c r="Q49" s="1309"/>
      <c r="R49" s="1311"/>
      <c r="S49" s="1309"/>
      <c r="T49" s="1311"/>
      <c r="U49" s="1309"/>
      <c r="V49" s="1311"/>
      <c r="W49" s="1309"/>
      <c r="X49" s="1311"/>
      <c r="Y49" s="1309"/>
      <c r="Z49" s="1311"/>
      <c r="AA49" s="1309"/>
      <c r="AB49" s="1311"/>
      <c r="AC49" s="1309"/>
      <c r="AD49" s="1311"/>
      <c r="AE49" s="1309"/>
      <c r="AF49" s="1311"/>
      <c r="AG49" s="1309"/>
      <c r="AH49" s="1311"/>
      <c r="AI49" s="1281"/>
      <c r="AJ49" s="1281"/>
      <c r="AK49" s="1575">
        <f t="shared" si="2"/>
        <v>0</v>
      </c>
      <c r="AL49" s="1281"/>
      <c r="AM49" s="1301"/>
      <c r="AN49" s="1570">
        <v>2187</v>
      </c>
      <c r="AO49" s="1440">
        <v>1</v>
      </c>
      <c r="AP49" s="1431">
        <v>8.9430298565216082E-7</v>
      </c>
    </row>
    <row r="50" spans="1:42" s="8" customFormat="1" ht="15.75">
      <c r="B50" s="407" t="s">
        <v>194</v>
      </c>
      <c r="D50" s="1301"/>
      <c r="E50" s="1301"/>
      <c r="F50" s="1299" t="s">
        <v>266</v>
      </c>
      <c r="G50" s="1301"/>
      <c r="H50" s="1301"/>
      <c r="I50" s="1301"/>
      <c r="J50" s="1308">
        <f>SUM(J13:J49)</f>
        <v>156770.04999999996</v>
      </c>
      <c r="K50" s="1309"/>
      <c r="L50" s="1308">
        <f>SUM(L13:L49)</f>
        <v>169884.63</v>
      </c>
      <c r="M50" s="1309"/>
      <c r="N50" s="1308">
        <f>SUM(N13:N49)</f>
        <v>176727.8</v>
      </c>
      <c r="O50" s="1309"/>
      <c r="P50" s="1308">
        <f>SUM(P13:P49)</f>
        <v>129100.79000000001</v>
      </c>
      <c r="Q50" s="1309"/>
      <c r="R50" s="1308">
        <f>SUM(R13:R49)</f>
        <v>174062.71000000002</v>
      </c>
      <c r="S50" s="1309"/>
      <c r="T50" s="1308">
        <f>SUM(T13:T49)</f>
        <v>102377.44000000002</v>
      </c>
      <c r="U50" s="1309"/>
      <c r="V50" s="1308">
        <f>SUM(V13:V49)</f>
        <v>165474.06999999998</v>
      </c>
      <c r="W50" s="1309"/>
      <c r="X50" s="1308">
        <f>SUM(X13:X49)</f>
        <v>411432.37</v>
      </c>
      <c r="Y50" s="1309"/>
      <c r="Z50" s="1308">
        <f>SUM(Z13:Z49)</f>
        <v>233314.12999999998</v>
      </c>
      <c r="AA50" s="1309"/>
      <c r="AB50" s="1308">
        <f>SUM(AB13:AB49)</f>
        <v>130633.73000000001</v>
      </c>
      <c r="AC50" s="1309"/>
      <c r="AD50" s="1308">
        <f>SUM(AD13:AD49)</f>
        <v>-89736.679999999978</v>
      </c>
      <c r="AE50" s="1309"/>
      <c r="AF50" s="1308">
        <f>SUM(AF13:AF49)</f>
        <v>316211.51</v>
      </c>
      <c r="AG50" s="1309"/>
      <c r="AH50" s="1308">
        <f>SUM(AH13:AH49)</f>
        <v>2076252.5499999998</v>
      </c>
      <c r="AI50" s="1576">
        <f>+SUM(AI13:AI49)</f>
        <v>125408.19462839894</v>
      </c>
      <c r="AJ50" s="1576">
        <f>+SUM(AJ13:AJ49)</f>
        <v>-12267.581541391746</v>
      </c>
      <c r="AK50" s="1576">
        <f>+SUM(AK13:AK49)</f>
        <v>113140.61308700721</v>
      </c>
      <c r="AL50" s="1281"/>
      <c r="AM50" s="1301"/>
      <c r="AN50" s="1570">
        <v>2188</v>
      </c>
      <c r="AO50" s="1440">
        <v>26852</v>
      </c>
      <c r="AP50" s="1431">
        <v>2.4013823770731822E-2</v>
      </c>
    </row>
    <row r="51" spans="1:42" s="20" customFormat="1" ht="15.75">
      <c r="A51" s="13"/>
      <c r="B51" s="16"/>
      <c r="C51" s="16"/>
      <c r="D51" s="1301"/>
      <c r="E51" s="1301"/>
      <c r="F51" s="1301"/>
      <c r="G51" s="1301"/>
      <c r="H51" s="1327"/>
      <c r="I51" s="1327"/>
      <c r="J51" s="1329"/>
      <c r="K51" s="1327"/>
      <c r="L51" s="1329"/>
      <c r="M51" s="1281"/>
      <c r="N51" s="1329"/>
      <c r="O51" s="1281"/>
      <c r="P51" s="1329"/>
      <c r="Q51" s="1327"/>
      <c r="R51" s="1329"/>
      <c r="S51" s="1281"/>
      <c r="T51" s="1329"/>
      <c r="U51" s="1281"/>
      <c r="V51" s="1329"/>
      <c r="W51" s="1327"/>
      <c r="X51" s="1329"/>
      <c r="Y51" s="1281"/>
      <c r="Z51" s="1329"/>
      <c r="AA51" s="1281"/>
      <c r="AB51" s="1329"/>
      <c r="AC51" s="1327"/>
      <c r="AD51" s="1329"/>
      <c r="AE51" s="1281"/>
      <c r="AF51" s="1329"/>
      <c r="AG51" s="1281"/>
      <c r="AH51" s="1329"/>
      <c r="AI51" s="1327"/>
      <c r="AJ51" s="1327"/>
      <c r="AK51" s="1327"/>
      <c r="AL51" s="1327"/>
      <c r="AM51" s="1329"/>
      <c r="AN51" s="1570">
        <v>2189</v>
      </c>
      <c r="AO51" s="1440">
        <v>1</v>
      </c>
      <c r="AP51" s="1431">
        <v>8.9430298565216082E-7</v>
      </c>
    </row>
    <row r="52" spans="1:42" s="20" customFormat="1" ht="15.75">
      <c r="A52" s="13"/>
      <c r="B52" s="16"/>
      <c r="C52" s="16"/>
      <c r="D52" s="1301"/>
      <c r="E52" s="1301"/>
      <c r="F52" s="1298"/>
      <c r="G52" s="1301"/>
      <c r="H52" s="1327"/>
      <c r="I52" s="1327"/>
      <c r="J52" s="1329"/>
      <c r="K52" s="1327"/>
      <c r="L52" s="1329"/>
      <c r="M52" s="1281"/>
      <c r="N52" s="1329"/>
      <c r="O52" s="1281"/>
      <c r="P52" s="1329"/>
      <c r="Q52" s="1327"/>
      <c r="R52" s="1329"/>
      <c r="S52" s="1281"/>
      <c r="T52" s="1329"/>
      <c r="U52" s="1281"/>
      <c r="V52" s="1329"/>
      <c r="W52" s="1327"/>
      <c r="X52" s="1329"/>
      <c r="Y52" s="1281"/>
      <c r="Z52" s="1329"/>
      <c r="AA52" s="1281"/>
      <c r="AB52" s="1329"/>
      <c r="AC52" s="1327"/>
      <c r="AD52" s="1329"/>
      <c r="AE52" s="1281"/>
      <c r="AF52" s="1329"/>
      <c r="AG52" s="1281"/>
      <c r="AH52" s="1577" t="s">
        <v>848</v>
      </c>
      <c r="AI52" s="1578">
        <f>+'Consolidated IS '!C275</f>
        <v>114984.61000000002</v>
      </c>
      <c r="AJ52" s="1327"/>
      <c r="AK52" s="1578">
        <f>+AI52+AJ50</f>
        <v>102717.02845860827</v>
      </c>
      <c r="AL52" s="1327"/>
      <c r="AM52" s="1329"/>
      <c r="AN52" s="1570">
        <v>2190</v>
      </c>
      <c r="AO52" s="1440">
        <v>455</v>
      </c>
      <c r="AP52" s="1431">
        <v>4.0690785847173318E-4</v>
      </c>
    </row>
    <row r="53" spans="1:42" s="20" customFormat="1" ht="15.75">
      <c r="A53" s="13"/>
      <c r="B53" s="16"/>
      <c r="C53" s="16"/>
      <c r="D53" s="1301"/>
      <c r="E53" s="1301"/>
      <c r="F53" s="1301"/>
      <c r="G53" s="1301"/>
      <c r="H53" s="1327"/>
      <c r="I53" s="1327"/>
      <c r="J53" s="1329"/>
      <c r="K53" s="1327"/>
      <c r="L53" s="1329"/>
      <c r="M53" s="1281"/>
      <c r="N53" s="1329"/>
      <c r="O53" s="1281"/>
      <c r="P53" s="1329"/>
      <c r="Q53" s="1327"/>
      <c r="R53" s="1329"/>
      <c r="S53" s="1281"/>
      <c r="T53" s="1329"/>
      <c r="U53" s="1281"/>
      <c r="V53" s="1329"/>
      <c r="W53" s="1327"/>
      <c r="X53" s="1329"/>
      <c r="Y53" s="1281"/>
      <c r="Z53" s="1329"/>
      <c r="AA53" s="1281"/>
      <c r="AB53" s="1329"/>
      <c r="AC53" s="1327"/>
      <c r="AD53" s="1329"/>
      <c r="AE53" s="1281"/>
      <c r="AF53" s="1329"/>
      <c r="AG53" s="1281"/>
      <c r="AH53" s="1329"/>
      <c r="AI53" s="1579">
        <f>+AI50-AI52</f>
        <v>10423.584628398923</v>
      </c>
      <c r="AJ53" s="1580"/>
      <c r="AK53" s="1579">
        <f>+AK50-AK52</f>
        <v>10423.584628398938</v>
      </c>
      <c r="AL53" s="1327"/>
      <c r="AM53" s="1329"/>
      <c r="AN53" s="1570">
        <v>2191</v>
      </c>
      <c r="AO53" s="1440">
        <v>6</v>
      </c>
      <c r="AP53" s="1431">
        <v>5.3658179139129647E-6</v>
      </c>
    </row>
    <row r="54" spans="1:42" s="20" customFormat="1" ht="15.75">
      <c r="A54" s="411"/>
      <c r="B54" s="411"/>
      <c r="C54" s="411"/>
      <c r="D54" s="1317"/>
      <c r="E54" s="1317"/>
      <c r="F54" s="1317"/>
      <c r="G54" s="1317"/>
      <c r="H54" s="1327"/>
      <c r="I54" s="1327"/>
      <c r="J54" s="1329"/>
      <c r="K54" s="1327"/>
      <c r="L54" s="1329"/>
      <c r="M54" s="1281"/>
      <c r="N54" s="1329"/>
      <c r="O54" s="1281"/>
      <c r="P54" s="1329"/>
      <c r="Q54" s="1327"/>
      <c r="R54" s="1329"/>
      <c r="S54" s="1281"/>
      <c r="T54" s="1329"/>
      <c r="U54" s="1281"/>
      <c r="V54" s="1329"/>
      <c r="W54" s="1327"/>
      <c r="X54" s="1329"/>
      <c r="Y54" s="1281"/>
      <c r="Z54" s="1329"/>
      <c r="AA54" s="1281"/>
      <c r="AB54" s="1329"/>
      <c r="AC54" s="1327"/>
      <c r="AD54" s="1329"/>
      <c r="AE54" s="1281"/>
      <c r="AF54" s="1329"/>
      <c r="AG54" s="1281"/>
      <c r="AH54" s="1329"/>
      <c r="AI54" s="1581"/>
      <c r="AJ54" s="1327"/>
      <c r="AK54" s="1327"/>
      <c r="AL54" s="1327"/>
      <c r="AM54" s="1329"/>
      <c r="AN54" s="1570">
        <v>2195</v>
      </c>
      <c r="AO54" s="1440">
        <v>31785</v>
      </c>
      <c r="AP54" s="1431">
        <v>2.8425420398953932E-2</v>
      </c>
    </row>
    <row r="55" spans="1:42" s="20" customFormat="1" ht="15.75">
      <c r="A55" s="13"/>
      <c r="B55" s="16"/>
      <c r="C55" s="16"/>
      <c r="D55" s="1299"/>
      <c r="E55" s="1299"/>
      <c r="F55" s="1299"/>
      <c r="G55" s="1299"/>
      <c r="H55" s="1327"/>
      <c r="I55" s="1327"/>
      <c r="J55" s="1329"/>
      <c r="K55" s="1327"/>
      <c r="L55" s="1329"/>
      <c r="M55" s="1281"/>
      <c r="N55" s="1329"/>
      <c r="O55" s="1281"/>
      <c r="P55" s="1329"/>
      <c r="Q55" s="1327"/>
      <c r="R55" s="1329"/>
      <c r="S55" s="1281"/>
      <c r="T55" s="1329"/>
      <c r="U55" s="1281"/>
      <c r="V55" s="1329"/>
      <c r="W55" s="1327"/>
      <c r="X55" s="1329"/>
      <c r="Y55" s="1281"/>
      <c r="Z55" s="1329"/>
      <c r="AA55" s="1281"/>
      <c r="AB55" s="1329"/>
      <c r="AC55" s="1327"/>
      <c r="AD55" s="1329"/>
      <c r="AE55" s="1281"/>
      <c r="AF55" s="1329"/>
      <c r="AG55" s="1281"/>
      <c r="AH55" s="1329"/>
      <c r="AI55" s="1327"/>
      <c r="AJ55" s="1327"/>
      <c r="AK55" s="1327"/>
      <c r="AL55" s="1327"/>
      <c r="AM55" s="1329"/>
      <c r="AN55" s="1570">
        <v>2210</v>
      </c>
      <c r="AO55" s="1440">
        <v>20795</v>
      </c>
      <c r="AP55" s="1431">
        <v>1.8597030586636684E-2</v>
      </c>
    </row>
    <row r="56" spans="1:42" s="20" customFormat="1" ht="15.75">
      <c r="A56" s="13"/>
      <c r="B56" s="16"/>
      <c r="C56" s="16"/>
      <c r="D56" s="1301"/>
      <c r="E56" s="1301"/>
      <c r="F56" s="1299"/>
      <c r="G56" s="1301"/>
      <c r="H56" s="1327"/>
      <c r="I56" s="1327"/>
      <c r="J56" s="1329"/>
      <c r="K56" s="1327"/>
      <c r="L56" s="1329"/>
      <c r="M56" s="1281"/>
      <c r="N56" s="1329"/>
      <c r="O56" s="1281"/>
      <c r="P56" s="1329"/>
      <c r="Q56" s="1327"/>
      <c r="R56" s="1329"/>
      <c r="S56" s="1281"/>
      <c r="T56" s="1329"/>
      <c r="U56" s="1281"/>
      <c r="V56" s="1329"/>
      <c r="W56" s="1327"/>
      <c r="X56" s="1329"/>
      <c r="Y56" s="1281"/>
      <c r="Z56" s="1329"/>
      <c r="AA56" s="1281"/>
      <c r="AB56" s="1329"/>
      <c r="AC56" s="1327"/>
      <c r="AD56" s="1329"/>
      <c r="AE56" s="1281"/>
      <c r="AF56" s="1329"/>
      <c r="AG56" s="1281"/>
      <c r="AH56" s="1329"/>
      <c r="AI56" s="1327"/>
      <c r="AJ56" s="1327"/>
      <c r="AK56" s="1327"/>
      <c r="AL56" s="1327"/>
      <c r="AM56" s="1329"/>
      <c r="AN56" s="1570">
        <v>2211</v>
      </c>
      <c r="AO56" s="1440">
        <v>23119</v>
      </c>
      <c r="AP56" s="1431">
        <v>2.0675390725292307E-2</v>
      </c>
    </row>
    <row r="57" spans="1:42" s="20" customFormat="1" ht="15.75">
      <c r="A57" s="13"/>
      <c r="B57" s="407"/>
      <c r="C57" s="407"/>
      <c r="D57" s="1301"/>
      <c r="E57" s="1301"/>
      <c r="F57" s="1301"/>
      <c r="G57" s="1301"/>
      <c r="H57" s="1327"/>
      <c r="I57" s="1327"/>
      <c r="J57" s="1329"/>
      <c r="K57" s="1327"/>
      <c r="L57" s="1329"/>
      <c r="M57" s="1281"/>
      <c r="N57" s="1329"/>
      <c r="O57" s="1281"/>
      <c r="P57" s="1329"/>
      <c r="Q57" s="1327"/>
      <c r="R57" s="1329"/>
      <c r="S57" s="1281"/>
      <c r="T57" s="1329"/>
      <c r="U57" s="1281"/>
      <c r="V57" s="1329"/>
      <c r="W57" s="1327"/>
      <c r="X57" s="1329"/>
      <c r="Y57" s="1281"/>
      <c r="Z57" s="1329"/>
      <c r="AA57" s="1281"/>
      <c r="AB57" s="1329"/>
      <c r="AC57" s="1327"/>
      <c r="AD57" s="1329"/>
      <c r="AE57" s="1281"/>
      <c r="AF57" s="1329"/>
      <c r="AG57" s="1281"/>
      <c r="AH57" s="1329"/>
      <c r="AI57" s="1327"/>
      <c r="AJ57" s="1327"/>
      <c r="AK57" s="1327"/>
      <c r="AL57" s="1327"/>
      <c r="AM57" s="1329"/>
      <c r="AN57" s="1570">
        <v>2212</v>
      </c>
      <c r="AO57" s="1440">
        <v>5459</v>
      </c>
      <c r="AP57" s="1431">
        <v>4.8819999986751458E-3</v>
      </c>
    </row>
    <row r="58" spans="1:42" s="20" customFormat="1" ht="15.75">
      <c r="A58" s="13"/>
      <c r="B58" s="407"/>
      <c r="C58" s="407"/>
      <c r="D58" s="1301"/>
      <c r="E58" s="1313"/>
      <c r="F58" s="1301"/>
      <c r="G58" s="1301"/>
      <c r="H58" s="1327"/>
      <c r="I58" s="1327"/>
      <c r="J58" s="1329"/>
      <c r="K58" s="1327"/>
      <c r="L58" s="1329"/>
      <c r="M58" s="1281"/>
      <c r="N58" s="1329"/>
      <c r="O58" s="1281"/>
      <c r="P58" s="1329"/>
      <c r="Q58" s="1327"/>
      <c r="R58" s="1329"/>
      <c r="S58" s="1281"/>
      <c r="T58" s="1329"/>
      <c r="U58" s="1281"/>
      <c r="V58" s="1329"/>
      <c r="W58" s="1327"/>
      <c r="X58" s="1329"/>
      <c r="Y58" s="1281"/>
      <c r="Z58" s="1329"/>
      <c r="AA58" s="1281"/>
      <c r="AB58" s="1329"/>
      <c r="AC58" s="1327"/>
      <c r="AD58" s="1329"/>
      <c r="AE58" s="1281"/>
      <c r="AF58" s="1329"/>
      <c r="AG58" s="1281"/>
      <c r="AH58" s="1329"/>
      <c r="AI58" s="1327"/>
      <c r="AJ58" s="1327"/>
      <c r="AK58" s="1327"/>
      <c r="AL58" s="1327"/>
      <c r="AM58" s="1329"/>
      <c r="AN58" s="1570">
        <v>2213</v>
      </c>
      <c r="AO58" s="1440">
        <v>0</v>
      </c>
      <c r="AP58" s="1431">
        <v>0</v>
      </c>
    </row>
    <row r="59" spans="1:42" s="20" customFormat="1" ht="15.75">
      <c r="A59" s="13"/>
      <c r="B59" s="407"/>
      <c r="C59" s="407"/>
      <c r="D59" s="1301"/>
      <c r="E59" s="1301"/>
      <c r="F59" s="1301"/>
      <c r="G59" s="1301"/>
      <c r="H59" s="1327"/>
      <c r="I59" s="1327"/>
      <c r="J59" s="1329"/>
      <c r="K59" s="1327"/>
      <c r="L59" s="1329"/>
      <c r="M59" s="1281"/>
      <c r="N59" s="1329"/>
      <c r="O59" s="1281"/>
      <c r="P59" s="1329"/>
      <c r="Q59" s="1327"/>
      <c r="R59" s="1329"/>
      <c r="S59" s="1281"/>
      <c r="T59" s="1329"/>
      <c r="U59" s="1281"/>
      <c r="V59" s="1329"/>
      <c r="W59" s="1327"/>
      <c r="X59" s="1329"/>
      <c r="Y59" s="1281"/>
      <c r="Z59" s="1329"/>
      <c r="AA59" s="1281"/>
      <c r="AB59" s="1329"/>
      <c r="AC59" s="1327"/>
      <c r="AD59" s="1329"/>
      <c r="AE59" s="1281"/>
      <c r="AF59" s="1329"/>
      <c r="AG59" s="1281"/>
      <c r="AH59" s="1329"/>
      <c r="AI59" s="1327"/>
      <c r="AJ59" s="1327"/>
      <c r="AK59" s="1327"/>
      <c r="AL59" s="1327"/>
      <c r="AM59" s="1329"/>
      <c r="AN59" s="1570">
        <v>2214</v>
      </c>
      <c r="AO59" s="1440">
        <v>8749</v>
      </c>
      <c r="AP59" s="1431">
        <v>7.8242568214707559E-3</v>
      </c>
    </row>
    <row r="60" spans="1:42" s="20" customFormat="1" ht="15.75">
      <c r="A60" s="411"/>
      <c r="B60" s="411"/>
      <c r="C60" s="411"/>
      <c r="D60" s="1317"/>
      <c r="E60" s="1317"/>
      <c r="F60" s="1317"/>
      <c r="G60" s="1317"/>
      <c r="H60" s="1327"/>
      <c r="I60" s="1327"/>
      <c r="J60" s="1329"/>
      <c r="K60" s="1327"/>
      <c r="L60" s="1329"/>
      <c r="M60" s="1281"/>
      <c r="N60" s="1329"/>
      <c r="O60" s="1281"/>
      <c r="P60" s="1329"/>
      <c r="Q60" s="1327"/>
      <c r="R60" s="1329"/>
      <c r="S60" s="1281"/>
      <c r="T60" s="1329"/>
      <c r="U60" s="1281"/>
      <c r="V60" s="1329"/>
      <c r="W60" s="1327"/>
      <c r="X60" s="1329"/>
      <c r="Y60" s="1281"/>
      <c r="Z60" s="1329"/>
      <c r="AA60" s="1281"/>
      <c r="AB60" s="1329"/>
      <c r="AC60" s="1327"/>
      <c r="AD60" s="1329"/>
      <c r="AE60" s="1281"/>
      <c r="AF60" s="1329"/>
      <c r="AG60" s="1281"/>
      <c r="AH60" s="1329"/>
      <c r="AI60" s="1327"/>
      <c r="AJ60" s="1327"/>
      <c r="AK60" s="1327"/>
      <c r="AL60" s="1327"/>
      <c r="AM60" s="1329"/>
      <c r="AN60" s="1570">
        <v>2310</v>
      </c>
      <c r="AO60" s="1440">
        <v>12236</v>
      </c>
      <c r="AP60" s="1431">
        <v>1.094269133243984E-2</v>
      </c>
    </row>
    <row r="61" spans="1:42" s="20" customFormat="1" ht="15.75">
      <c r="A61" s="13"/>
      <c r="B61" s="16"/>
      <c r="C61" s="16"/>
      <c r="D61" s="1299"/>
      <c r="E61" s="1299"/>
      <c r="F61" s="1299"/>
      <c r="G61" s="1299"/>
      <c r="H61" s="1327"/>
      <c r="I61" s="1327"/>
      <c r="J61" s="1329"/>
      <c r="K61" s="1327"/>
      <c r="L61" s="1329"/>
      <c r="M61" s="1281"/>
      <c r="N61" s="1329"/>
      <c r="O61" s="1281"/>
      <c r="P61" s="1329"/>
      <c r="Q61" s="1327"/>
      <c r="R61" s="1329"/>
      <c r="S61" s="1281"/>
      <c r="T61" s="1329"/>
      <c r="U61" s="1281"/>
      <c r="V61" s="1329"/>
      <c r="W61" s="1327"/>
      <c r="X61" s="1329"/>
      <c r="Y61" s="1281"/>
      <c r="Z61" s="1329"/>
      <c r="AA61" s="1281"/>
      <c r="AB61" s="1329"/>
      <c r="AC61" s="1327"/>
      <c r="AD61" s="1329"/>
      <c r="AE61" s="1281"/>
      <c r="AF61" s="1329"/>
      <c r="AG61" s="1281"/>
      <c r="AH61" s="1329"/>
      <c r="AI61" s="1327"/>
      <c r="AJ61" s="1327"/>
      <c r="AK61" s="1327"/>
      <c r="AL61" s="1327"/>
      <c r="AM61" s="1329"/>
      <c r="AN61" s="1570">
        <v>2410</v>
      </c>
      <c r="AO61" s="1440">
        <v>94599</v>
      </c>
      <c r="AP61" s="1431">
        <v>8.4600168139708762E-2</v>
      </c>
    </row>
    <row r="62" spans="1:42" s="20" customFormat="1" ht="15.75">
      <c r="A62" s="13"/>
      <c r="B62" s="16"/>
      <c r="C62" s="16"/>
      <c r="D62" s="1301"/>
      <c r="E62" s="1301"/>
      <c r="F62" s="1298"/>
      <c r="G62" s="1301"/>
      <c r="H62" s="1327"/>
      <c r="I62" s="1327"/>
      <c r="J62" s="1329"/>
      <c r="K62" s="1327"/>
      <c r="L62" s="1329"/>
      <c r="M62" s="1281"/>
      <c r="N62" s="1329"/>
      <c r="O62" s="1281"/>
      <c r="P62" s="1329"/>
      <c r="Q62" s="1327"/>
      <c r="R62" s="1329"/>
      <c r="S62" s="1281"/>
      <c r="T62" s="1329"/>
      <c r="U62" s="1281"/>
      <c r="V62" s="1329"/>
      <c r="W62" s="1327"/>
      <c r="X62" s="1329"/>
      <c r="Y62" s="1281"/>
      <c r="Z62" s="1329"/>
      <c r="AA62" s="1281"/>
      <c r="AB62" s="1329"/>
      <c r="AC62" s="1327"/>
      <c r="AD62" s="1329"/>
      <c r="AE62" s="1281"/>
      <c r="AF62" s="1329"/>
      <c r="AG62" s="1281"/>
      <c r="AH62" s="1329"/>
      <c r="AI62" s="1327"/>
      <c r="AJ62" s="1327"/>
      <c r="AK62" s="1327"/>
      <c r="AL62" s="1327"/>
      <c r="AM62" s="1329"/>
      <c r="AN62" s="1570">
        <v>2411</v>
      </c>
      <c r="AO62" s="1440">
        <v>0</v>
      </c>
      <c r="AP62" s="1431">
        <v>0</v>
      </c>
    </row>
    <row r="63" spans="1:42" s="20" customFormat="1" ht="15.75">
      <c r="A63" s="13"/>
      <c r="B63" s="407"/>
      <c r="C63" s="407"/>
      <c r="D63" s="1301"/>
      <c r="E63" s="1301"/>
      <c r="F63" s="1301"/>
      <c r="G63" s="1301"/>
      <c r="H63" s="1327"/>
      <c r="I63" s="1327"/>
      <c r="J63" s="1329"/>
      <c r="K63" s="1327"/>
      <c r="L63" s="1329"/>
      <c r="M63" s="1281"/>
      <c r="N63" s="1329"/>
      <c r="O63" s="1281"/>
      <c r="P63" s="1329"/>
      <c r="Q63" s="1327"/>
      <c r="R63" s="1329"/>
      <c r="S63" s="1281"/>
      <c r="T63" s="1329"/>
      <c r="U63" s="1281"/>
      <c r="V63" s="1329"/>
      <c r="W63" s="1327"/>
      <c r="X63" s="1329"/>
      <c r="Y63" s="1281"/>
      <c r="Z63" s="1329"/>
      <c r="AA63" s="1281"/>
      <c r="AB63" s="1329"/>
      <c r="AC63" s="1327"/>
      <c r="AD63" s="1329"/>
      <c r="AE63" s="1281"/>
      <c r="AF63" s="1329"/>
      <c r="AG63" s="1281"/>
      <c r="AH63" s="1329"/>
      <c r="AI63" s="1327"/>
      <c r="AJ63" s="1327"/>
      <c r="AK63" s="1327"/>
      <c r="AL63" s="1327"/>
      <c r="AM63" s="1329"/>
      <c r="AN63" s="1570">
        <v>2412</v>
      </c>
      <c r="AO63" s="1440">
        <v>0</v>
      </c>
      <c r="AP63" s="1431">
        <v>0</v>
      </c>
    </row>
    <row r="64" spans="1:42" s="20" customFormat="1" ht="15.75">
      <c r="A64" s="13"/>
      <c r="B64" s="16"/>
      <c r="C64" s="16"/>
      <c r="D64" s="1301"/>
      <c r="E64" s="1313"/>
      <c r="F64" s="1301"/>
      <c r="G64" s="1301"/>
      <c r="H64" s="1327"/>
      <c r="I64" s="1327"/>
      <c r="J64" s="1329"/>
      <c r="K64" s="1327"/>
      <c r="L64" s="1329"/>
      <c r="M64" s="1281"/>
      <c r="N64" s="1329"/>
      <c r="O64" s="1281"/>
      <c r="P64" s="1329"/>
      <c r="Q64" s="1327"/>
      <c r="R64" s="1329"/>
      <c r="S64" s="1281"/>
      <c r="T64" s="1329"/>
      <c r="U64" s="1281"/>
      <c r="V64" s="1329"/>
      <c r="W64" s="1327"/>
      <c r="X64" s="1329"/>
      <c r="Y64" s="1281"/>
      <c r="Z64" s="1329"/>
      <c r="AA64" s="1281"/>
      <c r="AB64" s="1329"/>
      <c r="AC64" s="1327"/>
      <c r="AD64" s="1329"/>
      <c r="AE64" s="1281"/>
      <c r="AF64" s="1329"/>
      <c r="AG64" s="1281"/>
      <c r="AH64" s="1329"/>
      <c r="AI64" s="1327"/>
      <c r="AJ64" s="1327"/>
      <c r="AK64" s="1327"/>
      <c r="AL64" s="1327"/>
      <c r="AM64" s="1329"/>
      <c r="AN64" s="1570">
        <v>2413</v>
      </c>
      <c r="AO64" s="1440">
        <v>0</v>
      </c>
      <c r="AP64" s="1431">
        <v>0</v>
      </c>
    </row>
    <row r="65" spans="1:42" s="20" customFormat="1" ht="15.75">
      <c r="A65" s="13"/>
      <c r="B65" s="407"/>
      <c r="C65" s="407"/>
      <c r="D65" s="1327"/>
      <c r="E65" s="1327"/>
      <c r="F65" s="1327"/>
      <c r="G65" s="1327"/>
      <c r="H65" s="1327"/>
      <c r="I65" s="1327"/>
      <c r="J65" s="1329"/>
      <c r="K65" s="1327"/>
      <c r="L65" s="1329"/>
      <c r="M65" s="1281"/>
      <c r="N65" s="1329"/>
      <c r="O65" s="1281"/>
      <c r="P65" s="1329"/>
      <c r="Q65" s="1327"/>
      <c r="R65" s="1329"/>
      <c r="S65" s="1281"/>
      <c r="T65" s="1329"/>
      <c r="U65" s="1281"/>
      <c r="V65" s="1329"/>
      <c r="W65" s="1327"/>
      <c r="X65" s="1329"/>
      <c r="Y65" s="1281"/>
      <c r="Z65" s="1329"/>
      <c r="AA65" s="1281"/>
      <c r="AB65" s="1329"/>
      <c r="AC65" s="1327"/>
      <c r="AD65" s="1329"/>
      <c r="AE65" s="1281"/>
      <c r="AF65" s="1329"/>
      <c r="AG65" s="1281"/>
      <c r="AH65" s="1329"/>
      <c r="AI65" s="1327"/>
      <c r="AJ65" s="1327"/>
      <c r="AK65" s="1327"/>
      <c r="AL65" s="1327"/>
      <c r="AM65" s="1329"/>
      <c r="AN65" s="1570">
        <v>2414</v>
      </c>
      <c r="AO65" s="1440">
        <v>0</v>
      </c>
      <c r="AP65" s="1431">
        <v>0</v>
      </c>
    </row>
    <row r="66" spans="1:42" s="20" customFormat="1" ht="15.75">
      <c r="A66" s="411"/>
      <c r="B66" s="411"/>
      <c r="C66" s="411"/>
      <c r="D66" s="1317"/>
      <c r="E66" s="1317"/>
      <c r="F66" s="1317"/>
      <c r="G66" s="1317"/>
      <c r="H66" s="1327"/>
      <c r="I66" s="1327"/>
      <c r="J66" s="1329"/>
      <c r="K66" s="1327"/>
      <c r="L66" s="1329"/>
      <c r="M66" s="1281"/>
      <c r="N66" s="1329"/>
      <c r="O66" s="1281"/>
      <c r="P66" s="1329"/>
      <c r="Q66" s="1327"/>
      <c r="R66" s="1329"/>
      <c r="S66" s="1281"/>
      <c r="T66" s="1329"/>
      <c r="U66" s="1281"/>
      <c r="V66" s="1329"/>
      <c r="W66" s="1327"/>
      <c r="X66" s="1329"/>
      <c r="Y66" s="1281"/>
      <c r="Z66" s="1329"/>
      <c r="AA66" s="1281"/>
      <c r="AB66" s="1329"/>
      <c r="AC66" s="1327"/>
      <c r="AD66" s="1329"/>
      <c r="AE66" s="1281"/>
      <c r="AF66" s="1329"/>
      <c r="AG66" s="1281"/>
      <c r="AH66" s="1329"/>
      <c r="AI66" s="1327"/>
      <c r="AJ66" s="1327"/>
      <c r="AK66" s="1327"/>
      <c r="AL66" s="1327"/>
      <c r="AM66" s="1329"/>
      <c r="AN66" s="1570">
        <v>2420</v>
      </c>
      <c r="AO66" s="1440">
        <v>0</v>
      </c>
      <c r="AP66" s="1431">
        <v>0</v>
      </c>
    </row>
    <row r="67" spans="1:42" s="20" customFormat="1" ht="15.75">
      <c r="A67" s="13"/>
      <c r="B67" s="16"/>
      <c r="C67" s="16"/>
      <c r="D67" s="1299"/>
      <c r="E67" s="1299"/>
      <c r="F67" s="1299"/>
      <c r="G67" s="1299"/>
      <c r="H67" s="1327"/>
      <c r="I67" s="1327"/>
      <c r="J67" s="1329"/>
      <c r="K67" s="1327"/>
      <c r="L67" s="1329"/>
      <c r="M67" s="1281"/>
      <c r="N67" s="1329"/>
      <c r="O67" s="1281"/>
      <c r="P67" s="1329"/>
      <c r="Q67" s="1327"/>
      <c r="R67" s="1329"/>
      <c r="S67" s="1281"/>
      <c r="T67" s="1329"/>
      <c r="U67" s="1281"/>
      <c r="V67" s="1329"/>
      <c r="W67" s="1327"/>
      <c r="X67" s="1329"/>
      <c r="Y67" s="1281"/>
      <c r="Z67" s="1329"/>
      <c r="AA67" s="1281"/>
      <c r="AB67" s="1329"/>
      <c r="AC67" s="1327"/>
      <c r="AD67" s="1329"/>
      <c r="AE67" s="1281"/>
      <c r="AF67" s="1329"/>
      <c r="AG67" s="1281"/>
      <c r="AH67" s="1329"/>
      <c r="AI67" s="1327"/>
      <c r="AJ67" s="1327"/>
      <c r="AK67" s="1327"/>
      <c r="AL67" s="1327"/>
      <c r="AM67" s="1329"/>
      <c r="AN67" s="1570">
        <v>2430</v>
      </c>
      <c r="AO67" s="1440">
        <v>0</v>
      </c>
      <c r="AP67" s="1431">
        <v>0</v>
      </c>
    </row>
    <row r="68" spans="1:42" s="20" customFormat="1" ht="15.75">
      <c r="A68" s="407"/>
      <c r="B68" s="16"/>
      <c r="C68" s="16"/>
      <c r="D68" s="1301"/>
      <c r="E68" s="1301"/>
      <c r="F68" s="1298"/>
      <c r="G68" s="1301"/>
      <c r="H68" s="1327"/>
      <c r="I68" s="1327"/>
      <c r="J68" s="1329"/>
      <c r="K68" s="1327"/>
      <c r="L68" s="1329"/>
      <c r="M68" s="1281"/>
      <c r="N68" s="1329"/>
      <c r="O68" s="1281"/>
      <c r="P68" s="1329"/>
      <c r="Q68" s="1327"/>
      <c r="R68" s="1329"/>
      <c r="S68" s="1281"/>
      <c r="T68" s="1329"/>
      <c r="U68" s="1281"/>
      <c r="V68" s="1329"/>
      <c r="W68" s="1327"/>
      <c r="X68" s="1329"/>
      <c r="Y68" s="1281"/>
      <c r="Z68" s="1329"/>
      <c r="AA68" s="1281"/>
      <c r="AB68" s="1329"/>
      <c r="AC68" s="1327"/>
      <c r="AD68" s="1329"/>
      <c r="AE68" s="1281"/>
      <c r="AF68" s="1329"/>
      <c r="AG68" s="1281"/>
      <c r="AH68" s="1329"/>
      <c r="AI68" s="1327"/>
      <c r="AJ68" s="1327"/>
      <c r="AK68" s="1327"/>
      <c r="AL68" s="1327"/>
      <c r="AM68" s="1329"/>
      <c r="AN68" s="1570">
        <v>2431</v>
      </c>
      <c r="AO68" s="1440">
        <v>0</v>
      </c>
      <c r="AP68" s="1431">
        <v>0</v>
      </c>
    </row>
    <row r="69" spans="1:42" s="20" customFormat="1" ht="15.75">
      <c r="A69" s="407"/>
      <c r="B69" s="16"/>
      <c r="C69" s="16"/>
      <c r="D69" s="1301"/>
      <c r="E69" s="1301"/>
      <c r="F69" s="1301"/>
      <c r="G69" s="1301"/>
      <c r="H69" s="1327"/>
      <c r="I69" s="1327"/>
      <c r="J69" s="1329"/>
      <c r="K69" s="1327"/>
      <c r="L69" s="1329"/>
      <c r="M69" s="1281"/>
      <c r="N69" s="1329"/>
      <c r="O69" s="1281"/>
      <c r="P69" s="1329"/>
      <c r="Q69" s="1327"/>
      <c r="R69" s="1329"/>
      <c r="S69" s="1281"/>
      <c r="T69" s="1329"/>
      <c r="U69" s="1281"/>
      <c r="V69" s="1329"/>
      <c r="W69" s="1327"/>
      <c r="X69" s="1329"/>
      <c r="Y69" s="1281"/>
      <c r="Z69" s="1329"/>
      <c r="AA69" s="1281"/>
      <c r="AB69" s="1329"/>
      <c r="AC69" s="1327"/>
      <c r="AD69" s="1329"/>
      <c r="AE69" s="1281"/>
      <c r="AF69" s="1329"/>
      <c r="AG69" s="1281"/>
      <c r="AH69" s="1329"/>
      <c r="AI69" s="1327"/>
      <c r="AJ69" s="1327"/>
      <c r="AK69" s="1327"/>
      <c r="AL69" s="1327"/>
      <c r="AM69" s="1329"/>
      <c r="AN69" s="1570">
        <v>2432</v>
      </c>
      <c r="AO69" s="1440">
        <v>0</v>
      </c>
      <c r="AP69" s="1431">
        <v>0</v>
      </c>
    </row>
    <row r="70" spans="1:42" s="20" customFormat="1" ht="15.75">
      <c r="A70" s="407"/>
      <c r="B70" s="407"/>
      <c r="C70" s="407"/>
      <c r="D70" s="1301"/>
      <c r="E70" s="1313"/>
      <c r="F70" s="1301"/>
      <c r="G70" s="1301"/>
      <c r="H70" s="1327"/>
      <c r="I70" s="1327"/>
      <c r="J70" s="1329"/>
      <c r="K70" s="1327"/>
      <c r="L70" s="1329"/>
      <c r="M70" s="1281"/>
      <c r="N70" s="1329"/>
      <c r="O70" s="1281"/>
      <c r="P70" s="1329"/>
      <c r="Q70" s="1327"/>
      <c r="R70" s="1329"/>
      <c r="S70" s="1281"/>
      <c r="T70" s="1329"/>
      <c r="U70" s="1281"/>
      <c r="V70" s="1329"/>
      <c r="W70" s="1327"/>
      <c r="X70" s="1329"/>
      <c r="Y70" s="1281"/>
      <c r="Z70" s="1329"/>
      <c r="AA70" s="1281"/>
      <c r="AB70" s="1329"/>
      <c r="AC70" s="1327"/>
      <c r="AD70" s="1329"/>
      <c r="AE70" s="1281"/>
      <c r="AF70" s="1329"/>
      <c r="AG70" s="1281"/>
      <c r="AH70" s="1329"/>
      <c r="AI70" s="1327"/>
      <c r="AJ70" s="1327"/>
      <c r="AK70" s="1327"/>
      <c r="AL70" s="1327"/>
      <c r="AM70" s="1329"/>
      <c r="AN70" s="1570">
        <v>2440</v>
      </c>
      <c r="AO70" s="1440">
        <v>0</v>
      </c>
      <c r="AP70" s="1431">
        <v>0</v>
      </c>
    </row>
    <row r="71" spans="1:42" s="20" customFormat="1" ht="15.75">
      <c r="A71" s="407"/>
      <c r="B71" s="16"/>
      <c r="C71" s="16"/>
      <c r="D71" s="1301"/>
      <c r="E71" s="1301"/>
      <c r="F71" s="1301"/>
      <c r="G71" s="1301"/>
      <c r="H71" s="1327"/>
      <c r="I71" s="1327"/>
      <c r="J71" s="1329"/>
      <c r="K71" s="1327"/>
      <c r="L71" s="1329"/>
      <c r="M71" s="1281"/>
      <c r="N71" s="1329"/>
      <c r="O71" s="1281"/>
      <c r="P71" s="1329"/>
      <c r="Q71" s="1327"/>
      <c r="R71" s="1329"/>
      <c r="S71" s="1281"/>
      <c r="T71" s="1329"/>
      <c r="U71" s="1281"/>
      <c r="V71" s="1329"/>
      <c r="W71" s="1327"/>
      <c r="X71" s="1329"/>
      <c r="Y71" s="1281"/>
      <c r="Z71" s="1329"/>
      <c r="AA71" s="1281"/>
      <c r="AB71" s="1329"/>
      <c r="AC71" s="1327"/>
      <c r="AD71" s="1329"/>
      <c r="AE71" s="1281"/>
      <c r="AF71" s="1329"/>
      <c r="AG71" s="1281"/>
      <c r="AH71" s="1329"/>
      <c r="AI71" s="1327"/>
      <c r="AJ71" s="1327"/>
      <c r="AK71" s="1327"/>
      <c r="AL71" s="1327"/>
      <c r="AM71" s="1329"/>
      <c r="AN71" s="1570">
        <v>2450</v>
      </c>
      <c r="AO71" s="1440">
        <v>0</v>
      </c>
      <c r="AP71" s="1431">
        <v>0</v>
      </c>
    </row>
    <row r="72" spans="1:42" s="20" customFormat="1" ht="15.75">
      <c r="A72" s="13"/>
      <c r="B72" s="30"/>
      <c r="C72" s="13"/>
      <c r="D72" s="1569"/>
      <c r="E72" s="1569"/>
      <c r="F72" s="1569"/>
      <c r="G72" s="1569"/>
      <c r="H72" s="1327"/>
      <c r="I72" s="1327"/>
      <c r="J72" s="1329"/>
      <c r="K72" s="1327"/>
      <c r="L72" s="1329"/>
      <c r="M72" s="1281"/>
      <c r="N72" s="1329"/>
      <c r="O72" s="1281"/>
      <c r="P72" s="1329"/>
      <c r="Q72" s="1327"/>
      <c r="R72" s="1329"/>
      <c r="S72" s="1281"/>
      <c r="T72" s="1329"/>
      <c r="U72" s="1281"/>
      <c r="V72" s="1329"/>
      <c r="W72" s="1327"/>
      <c r="X72" s="1329"/>
      <c r="Y72" s="1281"/>
      <c r="Z72" s="1329"/>
      <c r="AA72" s="1281"/>
      <c r="AB72" s="1329"/>
      <c r="AC72" s="1327"/>
      <c r="AD72" s="1329"/>
      <c r="AE72" s="1281"/>
      <c r="AF72" s="1329"/>
      <c r="AG72" s="1281"/>
      <c r="AH72" s="1329"/>
      <c r="AI72" s="1327"/>
      <c r="AJ72" s="1327"/>
      <c r="AK72" s="1327"/>
      <c r="AL72" s="1327"/>
      <c r="AM72" s="1329"/>
      <c r="AN72" s="1570">
        <v>2451</v>
      </c>
      <c r="AO72" s="1440">
        <v>0</v>
      </c>
      <c r="AP72" s="1431">
        <v>0</v>
      </c>
    </row>
    <row r="73" spans="1:42" s="20" customFormat="1" ht="15.75">
      <c r="A73" s="13"/>
      <c r="B73" s="16"/>
      <c r="C73" s="16"/>
      <c r="D73" s="1299"/>
      <c r="E73" s="1299"/>
      <c r="F73" s="1299"/>
      <c r="G73" s="1299"/>
      <c r="H73" s="1327"/>
      <c r="I73" s="1327"/>
      <c r="J73" s="1329"/>
      <c r="K73" s="1327"/>
      <c r="L73" s="1329"/>
      <c r="M73" s="1281"/>
      <c r="N73" s="1329"/>
      <c r="O73" s="1281"/>
      <c r="P73" s="1329"/>
      <c r="Q73" s="1327"/>
      <c r="R73" s="1329"/>
      <c r="S73" s="1281"/>
      <c r="T73" s="1329"/>
      <c r="U73" s="1281"/>
      <c r="V73" s="1329"/>
      <c r="W73" s="1327"/>
      <c r="X73" s="1329"/>
      <c r="Y73" s="1281"/>
      <c r="Z73" s="1329"/>
      <c r="AA73" s="1281"/>
      <c r="AB73" s="1329"/>
      <c r="AC73" s="1327"/>
      <c r="AD73" s="1329"/>
      <c r="AE73" s="1281"/>
      <c r="AF73" s="1329"/>
      <c r="AG73" s="1281"/>
      <c r="AH73" s="1329"/>
      <c r="AI73" s="1327"/>
      <c r="AJ73" s="1327"/>
      <c r="AK73" s="1327"/>
      <c r="AL73" s="1327"/>
      <c r="AM73" s="1329"/>
      <c r="AN73" s="1570">
        <v>3022</v>
      </c>
      <c r="AO73" s="1440">
        <v>4949</v>
      </c>
      <c r="AP73" s="1431">
        <v>4.4259054759925439E-3</v>
      </c>
    </row>
    <row r="74" spans="1:42" s="20" customFormat="1" ht="15.75">
      <c r="A74" s="13"/>
      <c r="B74" s="16"/>
      <c r="C74" s="16"/>
      <c r="D74" s="1301"/>
      <c r="E74" s="1301"/>
      <c r="F74" s="1298"/>
      <c r="G74" s="1301"/>
      <c r="H74" s="1327"/>
      <c r="I74" s="1327"/>
      <c r="J74" s="1329"/>
      <c r="K74" s="1327"/>
      <c r="L74" s="1329"/>
      <c r="M74" s="1281"/>
      <c r="N74" s="1329"/>
      <c r="O74" s="1281"/>
      <c r="P74" s="1329"/>
      <c r="Q74" s="1327"/>
      <c r="R74" s="1329"/>
      <c r="S74" s="1281"/>
      <c r="T74" s="1329"/>
      <c r="U74" s="1281"/>
      <c r="V74" s="1329"/>
      <c r="W74" s="1327"/>
      <c r="X74" s="1329"/>
      <c r="Y74" s="1281"/>
      <c r="Z74" s="1329"/>
      <c r="AA74" s="1281"/>
      <c r="AB74" s="1329"/>
      <c r="AC74" s="1327"/>
      <c r="AD74" s="1329"/>
      <c r="AE74" s="1281"/>
      <c r="AF74" s="1329"/>
      <c r="AG74" s="1281"/>
      <c r="AH74" s="1329"/>
      <c r="AI74" s="1327"/>
      <c r="AJ74" s="1327"/>
      <c r="AK74" s="1327"/>
      <c r="AL74" s="1327"/>
      <c r="AM74" s="1329"/>
      <c r="AN74" s="1570">
        <v>3023</v>
      </c>
      <c r="AO74" s="1440">
        <v>13448</v>
      </c>
      <c r="AP74" s="1431">
        <v>1.202658655105026E-2</v>
      </c>
    </row>
    <row r="75" spans="1:42" s="20" customFormat="1" ht="15.75">
      <c r="A75" s="407"/>
      <c r="B75" s="16"/>
      <c r="C75" s="16"/>
      <c r="D75" s="1301"/>
      <c r="E75" s="1301"/>
      <c r="F75" s="1301"/>
      <c r="G75" s="1301"/>
      <c r="H75" s="1327"/>
      <c r="I75" s="1327"/>
      <c r="J75" s="1329"/>
      <c r="K75" s="1327"/>
      <c r="L75" s="1329"/>
      <c r="M75" s="1281"/>
      <c r="N75" s="1329"/>
      <c r="O75" s="1281"/>
      <c r="P75" s="1329"/>
      <c r="Q75" s="1327"/>
      <c r="R75" s="1329"/>
      <c r="S75" s="1281"/>
      <c r="T75" s="1329"/>
      <c r="U75" s="1281"/>
      <c r="V75" s="1329"/>
      <c r="W75" s="1327"/>
      <c r="X75" s="1329"/>
      <c r="Y75" s="1281"/>
      <c r="Z75" s="1329"/>
      <c r="AA75" s="1281"/>
      <c r="AB75" s="1329"/>
      <c r="AC75" s="1327"/>
      <c r="AD75" s="1329"/>
      <c r="AE75" s="1281"/>
      <c r="AF75" s="1329"/>
      <c r="AG75" s="1281"/>
      <c r="AH75" s="1329"/>
      <c r="AI75" s="1327"/>
      <c r="AJ75" s="1327"/>
      <c r="AK75" s="1327"/>
      <c r="AL75" s="1327"/>
      <c r="AM75" s="1329"/>
      <c r="AN75" s="1570">
        <v>3024</v>
      </c>
      <c r="AO75" s="1440">
        <v>4888</v>
      </c>
      <c r="AP75" s="1431">
        <v>4.3713529938677626E-3</v>
      </c>
    </row>
    <row r="76" spans="1:42" s="20" customFormat="1" ht="15.75">
      <c r="A76" s="407"/>
      <c r="B76" s="407"/>
      <c r="C76" s="407"/>
      <c r="D76" s="1301"/>
      <c r="E76" s="1313"/>
      <c r="F76" s="1301"/>
      <c r="G76" s="1301"/>
      <c r="H76" s="1327"/>
      <c r="I76" s="1327"/>
      <c r="J76" s="1329"/>
      <c r="K76" s="1327"/>
      <c r="L76" s="1329"/>
      <c r="M76" s="1281"/>
      <c r="N76" s="1329"/>
      <c r="O76" s="1281"/>
      <c r="P76" s="1329"/>
      <c r="Q76" s="1327"/>
      <c r="R76" s="1329"/>
      <c r="S76" s="1281"/>
      <c r="T76" s="1329"/>
      <c r="U76" s="1281"/>
      <c r="V76" s="1329"/>
      <c r="W76" s="1327"/>
      <c r="X76" s="1329"/>
      <c r="Y76" s="1281"/>
      <c r="Z76" s="1329"/>
      <c r="AA76" s="1281"/>
      <c r="AB76" s="1329"/>
      <c r="AC76" s="1327"/>
      <c r="AD76" s="1329"/>
      <c r="AE76" s="1281"/>
      <c r="AF76" s="1329"/>
      <c r="AG76" s="1281"/>
      <c r="AH76" s="1329"/>
      <c r="AI76" s="1327"/>
      <c r="AJ76" s="1327"/>
      <c r="AK76" s="1327"/>
      <c r="AL76" s="1327"/>
      <c r="AM76" s="1329"/>
      <c r="AN76" s="1570">
        <v>3025</v>
      </c>
      <c r="AO76" s="1440">
        <v>1243</v>
      </c>
      <c r="AP76" s="1431">
        <v>1.1116186111656359E-3</v>
      </c>
    </row>
    <row r="77" spans="1:42" s="20" customFormat="1" ht="15.75">
      <c r="A77" s="407"/>
      <c r="B77" s="407"/>
      <c r="C77" s="407"/>
      <c r="D77" s="1327"/>
      <c r="E77" s="1327"/>
      <c r="F77" s="1327"/>
      <c r="G77" s="1327"/>
      <c r="H77" s="1327"/>
      <c r="I77" s="1327"/>
      <c r="J77" s="1329"/>
      <c r="K77" s="1327"/>
      <c r="L77" s="1329"/>
      <c r="M77" s="1281"/>
      <c r="N77" s="1329"/>
      <c r="O77" s="1281"/>
      <c r="P77" s="1329"/>
      <c r="Q77" s="1327"/>
      <c r="R77" s="1329"/>
      <c r="S77" s="1281"/>
      <c r="T77" s="1329"/>
      <c r="U77" s="1281"/>
      <c r="V77" s="1329"/>
      <c r="W77" s="1327"/>
      <c r="X77" s="1329"/>
      <c r="Y77" s="1281"/>
      <c r="Z77" s="1329"/>
      <c r="AA77" s="1281"/>
      <c r="AB77" s="1329"/>
      <c r="AC77" s="1327"/>
      <c r="AD77" s="1329"/>
      <c r="AE77" s="1281"/>
      <c r="AF77" s="1329"/>
      <c r="AG77" s="1281"/>
      <c r="AH77" s="1329"/>
      <c r="AI77" s="1327"/>
      <c r="AJ77" s="1327"/>
      <c r="AK77" s="1327"/>
      <c r="AL77" s="1327"/>
      <c r="AM77" s="1329"/>
      <c r="AN77" s="1570">
        <v>4008</v>
      </c>
      <c r="AO77" s="1440">
        <v>0</v>
      </c>
      <c r="AP77" s="1431">
        <v>0</v>
      </c>
    </row>
    <row r="78" spans="1:42" s="20" customFormat="1" ht="15.75">
      <c r="B78" s="407"/>
      <c r="D78" s="1327"/>
      <c r="E78" s="1327"/>
      <c r="F78" s="1327"/>
      <c r="G78" s="1327"/>
      <c r="H78" s="1327"/>
      <c r="I78" s="1327"/>
      <c r="J78" s="1329"/>
      <c r="K78" s="1327"/>
      <c r="L78" s="1329"/>
      <c r="M78" s="1281"/>
      <c r="N78" s="1329"/>
      <c r="O78" s="1281"/>
      <c r="P78" s="1329"/>
      <c r="Q78" s="1327"/>
      <c r="R78" s="1329"/>
      <c r="S78" s="1281"/>
      <c r="T78" s="1329"/>
      <c r="U78" s="1281"/>
      <c r="V78" s="1329"/>
      <c r="W78" s="1327"/>
      <c r="X78" s="1329"/>
      <c r="Y78" s="1281"/>
      <c r="Z78" s="1329"/>
      <c r="AA78" s="1281"/>
      <c r="AB78" s="1329"/>
      <c r="AC78" s="1327"/>
      <c r="AD78" s="1329"/>
      <c r="AE78" s="1281"/>
      <c r="AF78" s="1329"/>
      <c r="AG78" s="1281"/>
      <c r="AH78" s="1329"/>
      <c r="AI78" s="1327"/>
      <c r="AJ78" s="1327"/>
      <c r="AK78" s="1327"/>
      <c r="AL78" s="1327"/>
      <c r="AM78" s="1329"/>
      <c r="AN78" s="1570">
        <v>4009</v>
      </c>
      <c r="AO78" s="1440">
        <v>0</v>
      </c>
      <c r="AP78" s="1431">
        <v>0</v>
      </c>
    </row>
    <row r="79" spans="1:42" s="20" customFormat="1" ht="15.75">
      <c r="B79" s="407"/>
      <c r="D79" s="1327"/>
      <c r="E79" s="1327"/>
      <c r="F79" s="1327"/>
      <c r="G79" s="1327"/>
      <c r="H79" s="1327"/>
      <c r="I79" s="1327"/>
      <c r="J79" s="1329"/>
      <c r="K79" s="1327"/>
      <c r="L79" s="1329"/>
      <c r="M79" s="1281"/>
      <c r="N79" s="1329"/>
      <c r="O79" s="1281"/>
      <c r="P79" s="1329"/>
      <c r="Q79" s="1327"/>
      <c r="R79" s="1329"/>
      <c r="S79" s="1281"/>
      <c r="T79" s="1329"/>
      <c r="U79" s="1281"/>
      <c r="V79" s="1329"/>
      <c r="W79" s="1327"/>
      <c r="X79" s="1329"/>
      <c r="Y79" s="1281"/>
      <c r="Z79" s="1329"/>
      <c r="AA79" s="1281"/>
      <c r="AB79" s="1329"/>
      <c r="AC79" s="1327"/>
      <c r="AD79" s="1329"/>
      <c r="AE79" s="1281"/>
      <c r="AF79" s="1329"/>
      <c r="AG79" s="1281"/>
      <c r="AH79" s="1329"/>
      <c r="AI79" s="1327"/>
      <c r="AJ79" s="1327"/>
      <c r="AK79" s="1327"/>
      <c r="AL79" s="1327"/>
      <c r="AM79" s="1329"/>
      <c r="AN79" s="1570">
        <v>4010</v>
      </c>
      <c r="AO79" s="1440">
        <v>0</v>
      </c>
      <c r="AP79" s="1431">
        <v>0</v>
      </c>
    </row>
    <row r="80" spans="1:42" s="20" customFormat="1" ht="15.75">
      <c r="B80" s="407"/>
      <c r="D80" s="1327"/>
      <c r="E80" s="1327"/>
      <c r="F80" s="1327"/>
      <c r="G80" s="1327"/>
      <c r="H80" s="1327"/>
      <c r="I80" s="1327"/>
      <c r="J80" s="1329"/>
      <c r="K80" s="1327"/>
      <c r="L80" s="1329"/>
      <c r="M80" s="1281"/>
      <c r="N80" s="1329"/>
      <c r="O80" s="1281"/>
      <c r="P80" s="1329"/>
      <c r="Q80" s="1327"/>
      <c r="R80" s="1329"/>
      <c r="S80" s="1281"/>
      <c r="T80" s="1329"/>
      <c r="U80" s="1281"/>
      <c r="V80" s="1329"/>
      <c r="W80" s="1327"/>
      <c r="X80" s="1329"/>
      <c r="Y80" s="1281"/>
      <c r="Z80" s="1329"/>
      <c r="AA80" s="1281"/>
      <c r="AB80" s="1329"/>
      <c r="AC80" s="1327"/>
      <c r="AD80" s="1329"/>
      <c r="AE80" s="1281"/>
      <c r="AF80" s="1329"/>
      <c r="AG80" s="1281"/>
      <c r="AH80" s="1329"/>
      <c r="AI80" s="1327"/>
      <c r="AJ80" s="1327"/>
      <c r="AK80" s="1327"/>
      <c r="AL80" s="1327"/>
      <c r="AM80" s="1329"/>
      <c r="AN80" s="1570">
        <v>4012</v>
      </c>
      <c r="AO80" s="1440">
        <v>0</v>
      </c>
      <c r="AP80" s="1431">
        <v>0</v>
      </c>
    </row>
    <row r="81" spans="2:42" s="20" customFormat="1" ht="15.75">
      <c r="B81" s="407"/>
      <c r="D81" s="1327"/>
      <c r="E81" s="1327"/>
      <c r="F81" s="1327"/>
      <c r="G81" s="1327"/>
      <c r="H81" s="1327"/>
      <c r="I81" s="1327"/>
      <c r="J81" s="1329"/>
      <c r="K81" s="1327"/>
      <c r="L81" s="1329"/>
      <c r="M81" s="1281"/>
      <c r="N81" s="1329"/>
      <c r="O81" s="1281"/>
      <c r="P81" s="1329"/>
      <c r="Q81" s="1327"/>
      <c r="R81" s="1329"/>
      <c r="S81" s="1281"/>
      <c r="T81" s="1329"/>
      <c r="U81" s="1281"/>
      <c r="V81" s="1329"/>
      <c r="W81" s="1327"/>
      <c r="X81" s="1329"/>
      <c r="Y81" s="1281"/>
      <c r="Z81" s="1329"/>
      <c r="AA81" s="1281"/>
      <c r="AB81" s="1329"/>
      <c r="AC81" s="1327"/>
      <c r="AD81" s="1329"/>
      <c r="AE81" s="1281"/>
      <c r="AF81" s="1329"/>
      <c r="AG81" s="1281"/>
      <c r="AH81" s="1329"/>
      <c r="AI81" s="1327"/>
      <c r="AJ81" s="1327"/>
      <c r="AK81" s="1327"/>
      <c r="AL81" s="1327"/>
      <c r="AM81" s="1329"/>
      <c r="AN81" s="1570">
        <v>4013</v>
      </c>
      <c r="AO81" s="1440">
        <v>0</v>
      </c>
      <c r="AP81" s="1431">
        <v>0</v>
      </c>
    </row>
    <row r="82" spans="2:42" s="20" customFormat="1" ht="15.75">
      <c r="B82" s="407"/>
      <c r="D82" s="1327"/>
      <c r="E82" s="1327"/>
      <c r="F82" s="1327"/>
      <c r="G82" s="1327"/>
      <c r="H82" s="1327"/>
      <c r="I82" s="1327"/>
      <c r="J82" s="1329"/>
      <c r="K82" s="1327"/>
      <c r="L82" s="1329"/>
      <c r="M82" s="1281"/>
      <c r="N82" s="1329"/>
      <c r="O82" s="1281"/>
      <c r="P82" s="1329"/>
      <c r="Q82" s="1327"/>
      <c r="R82" s="1329"/>
      <c r="S82" s="1281"/>
      <c r="T82" s="1329"/>
      <c r="U82" s="1281"/>
      <c r="V82" s="1329"/>
      <c r="W82" s="1327"/>
      <c r="X82" s="1329"/>
      <c r="Y82" s="1281"/>
      <c r="Z82" s="1329"/>
      <c r="AA82" s="1281"/>
      <c r="AB82" s="1329"/>
      <c r="AC82" s="1327"/>
      <c r="AD82" s="1329"/>
      <c r="AE82" s="1281"/>
      <c r="AF82" s="1329"/>
      <c r="AG82" s="1281"/>
      <c r="AH82" s="1329"/>
      <c r="AI82" s="1327"/>
      <c r="AJ82" s="1327"/>
      <c r="AK82" s="1327"/>
      <c r="AL82" s="1327"/>
      <c r="AM82" s="1329"/>
      <c r="AN82" s="1570">
        <v>4014</v>
      </c>
      <c r="AO82" s="1440">
        <v>6127</v>
      </c>
      <c r="AP82" s="1431">
        <v>5.4793943930907894E-3</v>
      </c>
    </row>
    <row r="83" spans="2:42" s="20" customFormat="1" ht="15.75">
      <c r="B83" s="407"/>
      <c r="D83" s="1327"/>
      <c r="E83" s="1327"/>
      <c r="F83" s="1327"/>
      <c r="G83" s="1327"/>
      <c r="H83" s="1327"/>
      <c r="I83" s="1327"/>
      <c r="J83" s="1329"/>
      <c r="K83" s="1327"/>
      <c r="L83" s="1329"/>
      <c r="M83" s="1281"/>
      <c r="N83" s="1329"/>
      <c r="O83" s="1281"/>
      <c r="P83" s="1329"/>
      <c r="Q83" s="1327"/>
      <c r="R83" s="1329"/>
      <c r="S83" s="1281"/>
      <c r="T83" s="1329"/>
      <c r="U83" s="1281"/>
      <c r="V83" s="1329"/>
      <c r="W83" s="1327"/>
      <c r="X83" s="1329"/>
      <c r="Y83" s="1281"/>
      <c r="Z83" s="1329"/>
      <c r="AA83" s="1281"/>
      <c r="AB83" s="1329"/>
      <c r="AC83" s="1327"/>
      <c r="AD83" s="1329"/>
      <c r="AE83" s="1281"/>
      <c r="AF83" s="1329"/>
      <c r="AG83" s="1281"/>
      <c r="AH83" s="1329"/>
      <c r="AI83" s="1327"/>
      <c r="AJ83" s="1327"/>
      <c r="AK83" s="1327"/>
      <c r="AL83" s="1327"/>
      <c r="AM83" s="1329"/>
      <c r="AN83" s="1570">
        <v>4016</v>
      </c>
      <c r="AO83" s="1440">
        <v>33</v>
      </c>
      <c r="AP83" s="1431">
        <v>2.9511998526521307E-5</v>
      </c>
    </row>
    <row r="84" spans="2:42" s="20" customFormat="1" ht="15.75">
      <c r="B84" s="407"/>
      <c r="D84" s="1327"/>
      <c r="E84" s="1327"/>
      <c r="F84" s="1327"/>
      <c r="G84" s="1327"/>
      <c r="H84" s="1327"/>
      <c r="I84" s="1327"/>
      <c r="J84" s="1329"/>
      <c r="K84" s="1327"/>
      <c r="L84" s="1329"/>
      <c r="M84" s="1281"/>
      <c r="N84" s="1329"/>
      <c r="O84" s="1281"/>
      <c r="P84" s="1329"/>
      <c r="Q84" s="1327"/>
      <c r="R84" s="1329"/>
      <c r="S84" s="1281"/>
      <c r="T84" s="1329"/>
      <c r="U84" s="1281"/>
      <c r="V84" s="1329"/>
      <c r="W84" s="1327"/>
      <c r="X84" s="1329"/>
      <c r="Y84" s="1281"/>
      <c r="Z84" s="1329"/>
      <c r="AA84" s="1281"/>
      <c r="AB84" s="1329"/>
      <c r="AC84" s="1327"/>
      <c r="AD84" s="1329"/>
      <c r="AE84" s="1281"/>
      <c r="AF84" s="1329"/>
      <c r="AG84" s="1281"/>
      <c r="AH84" s="1329"/>
      <c r="AI84" s="1327"/>
      <c r="AJ84" s="1327"/>
      <c r="AK84" s="1327"/>
      <c r="AL84" s="1327"/>
      <c r="AM84" s="1329"/>
      <c r="AN84" s="1570">
        <v>4018</v>
      </c>
      <c r="AO84" s="1440">
        <v>15827</v>
      </c>
      <c r="AP84" s="1431">
        <v>1.4154133353916749E-2</v>
      </c>
    </row>
    <row r="85" spans="2:42" s="20" customFormat="1" ht="15.75">
      <c r="D85" s="1327"/>
      <c r="E85" s="1327"/>
      <c r="F85" s="1327"/>
      <c r="G85" s="1327"/>
      <c r="H85" s="1327"/>
      <c r="I85" s="1327"/>
      <c r="J85" s="1329"/>
      <c r="K85" s="1327"/>
      <c r="L85" s="1329"/>
      <c r="M85" s="1281"/>
      <c r="N85" s="1329"/>
      <c r="O85" s="1281"/>
      <c r="P85" s="1329"/>
      <c r="Q85" s="1327"/>
      <c r="R85" s="1329"/>
      <c r="S85" s="1281"/>
      <c r="T85" s="1329"/>
      <c r="U85" s="1281"/>
      <c r="V85" s="1329"/>
      <c r="W85" s="1327"/>
      <c r="X85" s="1329"/>
      <c r="Y85" s="1281"/>
      <c r="Z85" s="1329"/>
      <c r="AA85" s="1281"/>
      <c r="AB85" s="1329"/>
      <c r="AC85" s="1327"/>
      <c r="AD85" s="1329"/>
      <c r="AE85" s="1281"/>
      <c r="AF85" s="1329"/>
      <c r="AG85" s="1281"/>
      <c r="AH85" s="1329"/>
      <c r="AI85" s="1327"/>
      <c r="AJ85" s="1327"/>
      <c r="AK85" s="1327"/>
      <c r="AL85" s="1327"/>
      <c r="AM85" s="1329"/>
      <c r="AN85" s="1570">
        <v>4019</v>
      </c>
      <c r="AO85" s="1440">
        <v>76</v>
      </c>
      <c r="AP85" s="1431">
        <v>6.7967026909564226E-5</v>
      </c>
    </row>
    <row r="86" spans="2:42" s="20" customFormat="1" ht="15.75">
      <c r="D86" s="1327"/>
      <c r="E86" s="1327"/>
      <c r="F86" s="1327"/>
      <c r="G86" s="1327"/>
      <c r="H86" s="1327"/>
      <c r="I86" s="1327"/>
      <c r="J86" s="1329"/>
      <c r="K86" s="1327"/>
      <c r="L86" s="1329"/>
      <c r="M86" s="1281"/>
      <c r="N86" s="1329"/>
      <c r="O86" s="1281"/>
      <c r="P86" s="1329"/>
      <c r="Q86" s="1327"/>
      <c r="R86" s="1329"/>
      <c r="S86" s="1281"/>
      <c r="T86" s="1329"/>
      <c r="U86" s="1281"/>
      <c r="V86" s="1329"/>
      <c r="W86" s="1327"/>
      <c r="X86" s="1329"/>
      <c r="Y86" s="1281"/>
      <c r="Z86" s="1329"/>
      <c r="AA86" s="1281"/>
      <c r="AB86" s="1329"/>
      <c r="AC86" s="1327"/>
      <c r="AD86" s="1329"/>
      <c r="AE86" s="1281"/>
      <c r="AF86" s="1329"/>
      <c r="AG86" s="1281"/>
      <c r="AH86" s="1329"/>
      <c r="AI86" s="1327"/>
      <c r="AJ86" s="1327"/>
      <c r="AK86" s="1327"/>
      <c r="AL86" s="1327"/>
      <c r="AM86" s="1329"/>
      <c r="AN86" s="1570">
        <v>4020</v>
      </c>
      <c r="AO86" s="1440">
        <v>58893</v>
      </c>
      <c r="AP86" s="1431">
        <v>5.2668185734012711E-2</v>
      </c>
    </row>
    <row r="87" spans="2:42" s="20" customFormat="1" ht="15.75">
      <c r="D87" s="1327"/>
      <c r="E87" s="1327"/>
      <c r="F87" s="1327"/>
      <c r="G87" s="1327"/>
      <c r="H87" s="1327"/>
      <c r="I87" s="1327"/>
      <c r="J87" s="1329"/>
      <c r="K87" s="1327"/>
      <c r="L87" s="1329"/>
      <c r="M87" s="1281"/>
      <c r="N87" s="1329"/>
      <c r="O87" s="1281"/>
      <c r="P87" s="1329"/>
      <c r="Q87" s="1327"/>
      <c r="R87" s="1329"/>
      <c r="S87" s="1281"/>
      <c r="T87" s="1329"/>
      <c r="U87" s="1281"/>
      <c r="V87" s="1329"/>
      <c r="W87" s="1327"/>
      <c r="X87" s="1329"/>
      <c r="Y87" s="1281"/>
      <c r="Z87" s="1329"/>
      <c r="AA87" s="1281"/>
      <c r="AB87" s="1329"/>
      <c r="AC87" s="1327"/>
      <c r="AD87" s="1329"/>
      <c r="AE87" s="1281"/>
      <c r="AF87" s="1329"/>
      <c r="AG87" s="1281"/>
      <c r="AH87" s="1329"/>
      <c r="AI87" s="1327"/>
      <c r="AJ87" s="1327"/>
      <c r="AK87" s="1327"/>
      <c r="AL87" s="1327"/>
      <c r="AM87" s="1329"/>
      <c r="AN87" s="1570">
        <v>4021</v>
      </c>
      <c r="AO87" s="1440">
        <v>142</v>
      </c>
      <c r="AP87" s="1431">
        <v>1.2699102396260685E-4</v>
      </c>
    </row>
    <row r="88" spans="2:42" s="20" customFormat="1" ht="15.75">
      <c r="D88" s="1327"/>
      <c r="E88" s="1327"/>
      <c r="F88" s="1327"/>
      <c r="G88" s="1327"/>
      <c r="H88" s="1327"/>
      <c r="I88" s="1327"/>
      <c r="J88" s="1329"/>
      <c r="K88" s="1327"/>
      <c r="L88" s="1329"/>
      <c r="M88" s="1281"/>
      <c r="N88" s="1329"/>
      <c r="O88" s="1281"/>
      <c r="P88" s="1329"/>
      <c r="Q88" s="1327"/>
      <c r="R88" s="1329"/>
      <c r="S88" s="1281"/>
      <c r="T88" s="1329"/>
      <c r="U88" s="1281"/>
      <c r="V88" s="1329"/>
      <c r="W88" s="1327"/>
      <c r="X88" s="1329"/>
      <c r="Y88" s="1281"/>
      <c r="Z88" s="1329"/>
      <c r="AA88" s="1281"/>
      <c r="AB88" s="1329"/>
      <c r="AC88" s="1327"/>
      <c r="AD88" s="1329"/>
      <c r="AE88" s="1281"/>
      <c r="AF88" s="1329"/>
      <c r="AG88" s="1281"/>
      <c r="AH88" s="1329"/>
      <c r="AI88" s="1327"/>
      <c r="AJ88" s="1327"/>
      <c r="AK88" s="1327"/>
      <c r="AL88" s="1327"/>
      <c r="AM88" s="1329"/>
      <c r="AN88" s="1570">
        <v>4022</v>
      </c>
      <c r="AO88" s="1440">
        <v>0</v>
      </c>
      <c r="AP88" s="1431">
        <v>0</v>
      </c>
    </row>
    <row r="89" spans="2:42" s="20" customFormat="1" ht="15.75">
      <c r="D89" s="1327"/>
      <c r="E89" s="1327"/>
      <c r="F89" s="1327"/>
      <c r="G89" s="1327"/>
      <c r="H89" s="1327"/>
      <c r="I89" s="1327"/>
      <c r="J89" s="1329"/>
      <c r="K89" s="1327"/>
      <c r="L89" s="1329"/>
      <c r="M89" s="1281"/>
      <c r="N89" s="1329"/>
      <c r="O89" s="1281"/>
      <c r="P89" s="1329"/>
      <c r="Q89" s="1327"/>
      <c r="R89" s="1329"/>
      <c r="S89" s="1281"/>
      <c r="T89" s="1329"/>
      <c r="U89" s="1281"/>
      <c r="V89" s="1329"/>
      <c r="W89" s="1327"/>
      <c r="X89" s="1329"/>
      <c r="Y89" s="1281"/>
      <c r="Z89" s="1329"/>
      <c r="AA89" s="1281"/>
      <c r="AB89" s="1329"/>
      <c r="AC89" s="1327"/>
      <c r="AD89" s="1329"/>
      <c r="AE89" s="1281"/>
      <c r="AF89" s="1329"/>
      <c r="AG89" s="1281"/>
      <c r="AH89" s="1329"/>
      <c r="AI89" s="1327"/>
      <c r="AJ89" s="1327"/>
      <c r="AK89" s="1327"/>
      <c r="AL89" s="1327"/>
      <c r="AM89" s="1329"/>
      <c r="AN89" s="1570">
        <v>4025</v>
      </c>
      <c r="AO89" s="1440">
        <v>0</v>
      </c>
      <c r="AP89" s="1431">
        <v>0</v>
      </c>
    </row>
    <row r="90" spans="2:42" s="20" customFormat="1" ht="15.75">
      <c r="D90" s="1327"/>
      <c r="E90" s="1327"/>
      <c r="F90" s="1327"/>
      <c r="G90" s="1327"/>
      <c r="H90" s="1327"/>
      <c r="I90" s="1327"/>
      <c r="J90" s="1329"/>
      <c r="K90" s="1327"/>
      <c r="L90" s="1329"/>
      <c r="M90" s="1281"/>
      <c r="N90" s="1329"/>
      <c r="O90" s="1281"/>
      <c r="P90" s="1329"/>
      <c r="Q90" s="1327"/>
      <c r="R90" s="1329"/>
      <c r="S90" s="1281"/>
      <c r="T90" s="1329"/>
      <c r="U90" s="1281"/>
      <c r="V90" s="1329"/>
      <c r="W90" s="1327"/>
      <c r="X90" s="1329"/>
      <c r="Y90" s="1281"/>
      <c r="Z90" s="1329"/>
      <c r="AA90" s="1281"/>
      <c r="AB90" s="1329"/>
      <c r="AC90" s="1327"/>
      <c r="AD90" s="1329"/>
      <c r="AE90" s="1281"/>
      <c r="AF90" s="1329"/>
      <c r="AG90" s="1281"/>
      <c r="AH90" s="1329"/>
      <c r="AI90" s="1327"/>
      <c r="AJ90" s="1327"/>
      <c r="AK90" s="1327"/>
      <c r="AL90" s="1327"/>
      <c r="AM90" s="1329"/>
      <c r="AN90" s="1570">
        <v>4030</v>
      </c>
      <c r="AO90" s="1440">
        <v>48998</v>
      </c>
      <c r="AP90" s="1431">
        <v>4.3819057690984577E-2</v>
      </c>
    </row>
    <row r="91" spans="2:42" s="20" customFormat="1" ht="15.75">
      <c r="D91" s="1327"/>
      <c r="E91" s="1327"/>
      <c r="F91" s="1327"/>
      <c r="G91" s="1327"/>
      <c r="H91" s="1327"/>
      <c r="I91" s="1327"/>
      <c r="J91" s="1329"/>
      <c r="K91" s="1327"/>
      <c r="L91" s="1329"/>
      <c r="M91" s="1281"/>
      <c r="N91" s="1329"/>
      <c r="O91" s="1281"/>
      <c r="P91" s="1329"/>
      <c r="Q91" s="1327"/>
      <c r="R91" s="1329"/>
      <c r="S91" s="1281"/>
      <c r="T91" s="1329"/>
      <c r="U91" s="1281"/>
      <c r="V91" s="1329"/>
      <c r="W91" s="1327"/>
      <c r="X91" s="1329"/>
      <c r="Y91" s="1281"/>
      <c r="Z91" s="1329"/>
      <c r="AA91" s="1281"/>
      <c r="AB91" s="1329"/>
      <c r="AC91" s="1327"/>
      <c r="AD91" s="1329"/>
      <c r="AE91" s="1281"/>
      <c r="AF91" s="1329"/>
      <c r="AG91" s="1281"/>
      <c r="AH91" s="1329"/>
      <c r="AI91" s="1327"/>
      <c r="AJ91" s="1327"/>
      <c r="AK91" s="1327"/>
      <c r="AL91" s="1327"/>
      <c r="AM91" s="1329"/>
      <c r="AN91" s="1570">
        <v>4031</v>
      </c>
      <c r="AO91" s="1440">
        <v>138</v>
      </c>
      <c r="AP91" s="1431">
        <v>1.234138120199982E-4</v>
      </c>
    </row>
    <row r="92" spans="2:42" s="20" customFormat="1" ht="15.75">
      <c r="D92" s="1327"/>
      <c r="E92" s="1327"/>
      <c r="F92" s="1327"/>
      <c r="G92" s="1327"/>
      <c r="H92" s="1327"/>
      <c r="I92" s="1327"/>
      <c r="J92" s="1329"/>
      <c r="K92" s="1327"/>
      <c r="L92" s="1329"/>
      <c r="M92" s="1281"/>
      <c r="N92" s="1329"/>
      <c r="O92" s="1281"/>
      <c r="P92" s="1329"/>
      <c r="Q92" s="1327"/>
      <c r="R92" s="1329"/>
      <c r="S92" s="1281"/>
      <c r="T92" s="1329"/>
      <c r="U92" s="1281"/>
      <c r="V92" s="1329"/>
      <c r="W92" s="1327"/>
      <c r="X92" s="1329"/>
      <c r="Y92" s="1281"/>
      <c r="Z92" s="1329"/>
      <c r="AA92" s="1281"/>
      <c r="AB92" s="1329"/>
      <c r="AC92" s="1327"/>
      <c r="AD92" s="1329"/>
      <c r="AE92" s="1281"/>
      <c r="AF92" s="1329"/>
      <c r="AG92" s="1281"/>
      <c r="AH92" s="1329"/>
      <c r="AI92" s="1327"/>
      <c r="AJ92" s="1327"/>
      <c r="AK92" s="1327"/>
      <c r="AL92" s="1327"/>
      <c r="AM92" s="1329"/>
      <c r="AN92" s="1570">
        <v>4040</v>
      </c>
      <c r="AO92" s="1440">
        <v>258</v>
      </c>
      <c r="AP92" s="1431">
        <v>2.3073017029825749E-4</v>
      </c>
    </row>
    <row r="93" spans="2:42" s="20" customFormat="1" ht="15.75">
      <c r="D93" s="1327"/>
      <c r="E93" s="1327"/>
      <c r="F93" s="1327"/>
      <c r="G93" s="1327"/>
      <c r="H93" s="1327"/>
      <c r="I93" s="1327"/>
      <c r="J93" s="1329"/>
      <c r="K93" s="1327"/>
      <c r="L93" s="1329"/>
      <c r="M93" s="1281"/>
      <c r="N93" s="1329"/>
      <c r="O93" s="1281"/>
      <c r="P93" s="1329"/>
      <c r="Q93" s="1327"/>
      <c r="R93" s="1329"/>
      <c r="S93" s="1281"/>
      <c r="T93" s="1329"/>
      <c r="U93" s="1281"/>
      <c r="V93" s="1329"/>
      <c r="W93" s="1327"/>
      <c r="X93" s="1329"/>
      <c r="Y93" s="1281"/>
      <c r="Z93" s="1329"/>
      <c r="AA93" s="1281"/>
      <c r="AB93" s="1329"/>
      <c r="AC93" s="1327"/>
      <c r="AD93" s="1329"/>
      <c r="AE93" s="1281"/>
      <c r="AF93" s="1329"/>
      <c r="AG93" s="1281"/>
      <c r="AH93" s="1329"/>
      <c r="AI93" s="1327"/>
      <c r="AJ93" s="1327"/>
      <c r="AK93" s="1327"/>
      <c r="AL93" s="1327"/>
      <c r="AM93" s="1329"/>
      <c r="AN93" s="1570">
        <v>4050</v>
      </c>
      <c r="AO93" s="1440">
        <v>95</v>
      </c>
      <c r="AP93" s="1431">
        <v>8.4958783636955275E-5</v>
      </c>
    </row>
    <row r="94" spans="2:42" s="20" customFormat="1" ht="15.75">
      <c r="D94" s="1327"/>
      <c r="E94" s="1327"/>
      <c r="F94" s="1327"/>
      <c r="G94" s="1327"/>
      <c r="H94" s="1327"/>
      <c r="I94" s="1327"/>
      <c r="J94" s="1329"/>
      <c r="K94" s="1327"/>
      <c r="L94" s="1329"/>
      <c r="M94" s="1281"/>
      <c r="N94" s="1329"/>
      <c r="O94" s="1281"/>
      <c r="P94" s="1329"/>
      <c r="Q94" s="1327"/>
      <c r="R94" s="1329"/>
      <c r="S94" s="1281"/>
      <c r="T94" s="1329"/>
      <c r="U94" s="1281"/>
      <c r="V94" s="1329"/>
      <c r="W94" s="1327"/>
      <c r="X94" s="1329"/>
      <c r="Y94" s="1281"/>
      <c r="Z94" s="1329"/>
      <c r="AA94" s="1281"/>
      <c r="AB94" s="1329"/>
      <c r="AC94" s="1327"/>
      <c r="AD94" s="1329"/>
      <c r="AE94" s="1281"/>
      <c r="AF94" s="1329"/>
      <c r="AG94" s="1281"/>
      <c r="AH94" s="1329"/>
      <c r="AI94" s="1327"/>
      <c r="AJ94" s="1327"/>
      <c r="AK94" s="1327"/>
      <c r="AL94" s="1327"/>
      <c r="AM94" s="1329"/>
      <c r="AN94" s="1570">
        <v>4100</v>
      </c>
      <c r="AO94" s="1440">
        <v>224</v>
      </c>
      <c r="AP94" s="1431">
        <v>2.0032386878608403E-4</v>
      </c>
    </row>
    <row r="95" spans="2:42" s="20" customFormat="1" ht="15.75">
      <c r="D95" s="1327"/>
      <c r="E95" s="1327"/>
      <c r="F95" s="1327"/>
      <c r="G95" s="1327"/>
      <c r="H95" s="1327"/>
      <c r="I95" s="1327"/>
      <c r="J95" s="1329"/>
      <c r="K95" s="1327"/>
      <c r="L95" s="1329"/>
      <c r="M95" s="1281"/>
      <c r="N95" s="1329"/>
      <c r="O95" s="1281"/>
      <c r="P95" s="1329"/>
      <c r="Q95" s="1327"/>
      <c r="R95" s="1329"/>
      <c r="S95" s="1281"/>
      <c r="T95" s="1329"/>
      <c r="U95" s="1281"/>
      <c r="V95" s="1329"/>
      <c r="W95" s="1327"/>
      <c r="X95" s="1329"/>
      <c r="Y95" s="1281"/>
      <c r="Z95" s="1329"/>
      <c r="AA95" s="1281"/>
      <c r="AB95" s="1329"/>
      <c r="AC95" s="1327"/>
      <c r="AD95" s="1329"/>
      <c r="AE95" s="1281"/>
      <c r="AF95" s="1329"/>
      <c r="AG95" s="1281"/>
      <c r="AH95" s="1329"/>
      <c r="AI95" s="1327"/>
      <c r="AJ95" s="1327"/>
      <c r="AK95" s="1327"/>
      <c r="AL95" s="1327"/>
      <c r="AM95" s="1329"/>
      <c r="AN95" s="1570">
        <v>4105</v>
      </c>
      <c r="AO95" s="1440">
        <v>10</v>
      </c>
      <c r="AP95" s="1431">
        <v>8.9430298565216085E-6</v>
      </c>
    </row>
    <row r="96" spans="2:42" s="20" customFormat="1" ht="15.75">
      <c r="D96" s="1327"/>
      <c r="E96" s="1327"/>
      <c r="F96" s="1327"/>
      <c r="G96" s="1327"/>
      <c r="H96" s="1327"/>
      <c r="I96" s="1327"/>
      <c r="J96" s="1329"/>
      <c r="K96" s="1327"/>
      <c r="L96" s="1329"/>
      <c r="M96" s="1281"/>
      <c r="N96" s="1329"/>
      <c r="O96" s="1281"/>
      <c r="P96" s="1329"/>
      <c r="Q96" s="1327"/>
      <c r="R96" s="1329"/>
      <c r="S96" s="1281"/>
      <c r="T96" s="1329"/>
      <c r="U96" s="1281"/>
      <c r="V96" s="1329"/>
      <c r="W96" s="1327"/>
      <c r="X96" s="1329"/>
      <c r="Y96" s="1281"/>
      <c r="Z96" s="1329"/>
      <c r="AA96" s="1281"/>
      <c r="AB96" s="1329"/>
      <c r="AC96" s="1327"/>
      <c r="AD96" s="1329"/>
      <c r="AE96" s="1281"/>
      <c r="AF96" s="1329"/>
      <c r="AG96" s="1281"/>
      <c r="AH96" s="1329"/>
      <c r="AI96" s="1327"/>
      <c r="AJ96" s="1327"/>
      <c r="AK96" s="1327"/>
      <c r="AL96" s="1327"/>
      <c r="AM96" s="1329"/>
      <c r="AN96" s="1570">
        <v>4110</v>
      </c>
      <c r="AO96" s="1440">
        <v>14644</v>
      </c>
      <c r="AP96" s="1431">
        <v>1.3096172921890244E-2</v>
      </c>
    </row>
    <row r="97" spans="4:42" s="20" customFormat="1" ht="15.75">
      <c r="D97" s="1327"/>
      <c r="E97" s="1327"/>
      <c r="F97" s="1327"/>
      <c r="G97" s="1327"/>
      <c r="H97" s="1327"/>
      <c r="I97" s="1327"/>
      <c r="J97" s="1329"/>
      <c r="K97" s="1327"/>
      <c r="L97" s="1329"/>
      <c r="M97" s="1281"/>
      <c r="N97" s="1329"/>
      <c r="O97" s="1281"/>
      <c r="P97" s="1329"/>
      <c r="Q97" s="1327"/>
      <c r="R97" s="1329"/>
      <c r="S97" s="1281"/>
      <c r="T97" s="1329"/>
      <c r="U97" s="1281"/>
      <c r="V97" s="1329"/>
      <c r="W97" s="1327"/>
      <c r="X97" s="1329"/>
      <c r="Y97" s="1281"/>
      <c r="Z97" s="1329"/>
      <c r="AA97" s="1281"/>
      <c r="AB97" s="1329"/>
      <c r="AC97" s="1327"/>
      <c r="AD97" s="1329"/>
      <c r="AE97" s="1281"/>
      <c r="AF97" s="1329"/>
      <c r="AG97" s="1281"/>
      <c r="AH97" s="1329"/>
      <c r="AI97" s="1327"/>
      <c r="AJ97" s="1327"/>
      <c r="AK97" s="1327"/>
      <c r="AL97" s="1327"/>
      <c r="AM97" s="1329"/>
      <c r="AN97" s="1570">
        <v>4120</v>
      </c>
      <c r="AO97" s="1440">
        <v>28505</v>
      </c>
      <c r="AP97" s="1431">
        <v>2.5492106606014846E-2</v>
      </c>
    </row>
    <row r="98" spans="4:42" s="20" customFormat="1" ht="15.75">
      <c r="D98" s="1327"/>
      <c r="E98" s="1327"/>
      <c r="F98" s="1327"/>
      <c r="G98" s="1327"/>
      <c r="H98" s="1327"/>
      <c r="I98" s="1327"/>
      <c r="J98" s="1329"/>
      <c r="K98" s="1327"/>
      <c r="L98" s="1329"/>
      <c r="M98" s="1281"/>
      <c r="N98" s="1329"/>
      <c r="O98" s="1281"/>
      <c r="P98" s="1329"/>
      <c r="Q98" s="1327"/>
      <c r="R98" s="1329"/>
      <c r="S98" s="1281"/>
      <c r="T98" s="1329"/>
      <c r="U98" s="1281"/>
      <c r="V98" s="1329"/>
      <c r="W98" s="1327"/>
      <c r="X98" s="1329"/>
      <c r="Y98" s="1281"/>
      <c r="Z98" s="1329"/>
      <c r="AA98" s="1281"/>
      <c r="AB98" s="1329"/>
      <c r="AC98" s="1327"/>
      <c r="AD98" s="1329"/>
      <c r="AE98" s="1281"/>
      <c r="AF98" s="1329"/>
      <c r="AG98" s="1281"/>
      <c r="AH98" s="1329"/>
      <c r="AI98" s="1327"/>
      <c r="AJ98" s="1327"/>
      <c r="AK98" s="1327"/>
      <c r="AL98" s="1327"/>
      <c r="AM98" s="1329"/>
      <c r="AN98" s="1570">
        <v>4130</v>
      </c>
      <c r="AO98" s="1440">
        <v>11774</v>
      </c>
      <c r="AP98" s="1431">
        <v>1.0529523353068542E-2</v>
      </c>
    </row>
    <row r="99" spans="4:42" s="20" customFormat="1" ht="15.75">
      <c r="D99" s="1327"/>
      <c r="E99" s="1327"/>
      <c r="F99" s="1327"/>
      <c r="G99" s="1327"/>
      <c r="H99" s="1327"/>
      <c r="I99" s="1327"/>
      <c r="J99" s="1329"/>
      <c r="K99" s="1327"/>
      <c r="L99" s="1329"/>
      <c r="M99" s="1281"/>
      <c r="N99" s="1329"/>
      <c r="O99" s="1281"/>
      <c r="P99" s="1329"/>
      <c r="Q99" s="1327"/>
      <c r="R99" s="1329"/>
      <c r="S99" s="1281"/>
      <c r="T99" s="1329"/>
      <c r="U99" s="1281"/>
      <c r="V99" s="1329"/>
      <c r="W99" s="1327"/>
      <c r="X99" s="1329"/>
      <c r="Y99" s="1281"/>
      <c r="Z99" s="1329"/>
      <c r="AA99" s="1281"/>
      <c r="AB99" s="1329"/>
      <c r="AC99" s="1327"/>
      <c r="AD99" s="1329"/>
      <c r="AE99" s="1281"/>
      <c r="AF99" s="1329"/>
      <c r="AG99" s="1281"/>
      <c r="AH99" s="1329"/>
      <c r="AI99" s="1327"/>
      <c r="AJ99" s="1327"/>
      <c r="AK99" s="1327"/>
      <c r="AL99" s="1327"/>
      <c r="AM99" s="1329"/>
      <c r="AN99" s="1570">
        <v>4140</v>
      </c>
      <c r="AO99" s="1440">
        <v>5240</v>
      </c>
      <c r="AP99" s="1431">
        <v>4.6861476448173227E-3</v>
      </c>
    </row>
    <row r="100" spans="4:42" s="20" customFormat="1" ht="15.75">
      <c r="D100" s="1327"/>
      <c r="E100" s="1327"/>
      <c r="F100" s="1327"/>
      <c r="G100" s="1327"/>
      <c r="H100" s="1327"/>
      <c r="I100" s="1327"/>
      <c r="J100" s="1329"/>
      <c r="K100" s="1327"/>
      <c r="L100" s="1329"/>
      <c r="M100" s="1281"/>
      <c r="N100" s="1329"/>
      <c r="O100" s="1281"/>
      <c r="P100" s="1329"/>
      <c r="Q100" s="1327"/>
      <c r="R100" s="1329"/>
      <c r="S100" s="1281"/>
      <c r="T100" s="1329"/>
      <c r="U100" s="1281"/>
      <c r="V100" s="1329"/>
      <c r="W100" s="1327"/>
      <c r="X100" s="1329"/>
      <c r="Y100" s="1281"/>
      <c r="Z100" s="1329"/>
      <c r="AA100" s="1281"/>
      <c r="AB100" s="1329"/>
      <c r="AC100" s="1327"/>
      <c r="AD100" s="1329"/>
      <c r="AE100" s="1281"/>
      <c r="AF100" s="1329"/>
      <c r="AG100" s="1281"/>
      <c r="AH100" s="1329"/>
      <c r="AI100" s="1327"/>
      <c r="AJ100" s="1327"/>
      <c r="AK100" s="1327"/>
      <c r="AL100" s="1327"/>
      <c r="AM100" s="1329"/>
      <c r="AN100" s="1570">
        <v>4150</v>
      </c>
      <c r="AO100" s="1440">
        <v>135</v>
      </c>
      <c r="AP100" s="1431">
        <v>1.2073090306304171E-4</v>
      </c>
    </row>
    <row r="101" spans="4:42" s="20" customFormat="1" ht="15.75">
      <c r="D101" s="1327"/>
      <c r="E101" s="1327"/>
      <c r="F101" s="1327"/>
      <c r="G101" s="1327"/>
      <c r="H101" s="1327"/>
      <c r="I101" s="1327"/>
      <c r="J101" s="1329"/>
      <c r="K101" s="1327"/>
      <c r="L101" s="1329"/>
      <c r="M101" s="1281"/>
      <c r="N101" s="1329"/>
      <c r="O101" s="1281"/>
      <c r="P101" s="1329"/>
      <c r="Q101" s="1327"/>
      <c r="R101" s="1329"/>
      <c r="S101" s="1281"/>
      <c r="T101" s="1329"/>
      <c r="U101" s="1281"/>
      <c r="V101" s="1329"/>
      <c r="W101" s="1327"/>
      <c r="X101" s="1329"/>
      <c r="Y101" s="1281"/>
      <c r="Z101" s="1329"/>
      <c r="AA101" s="1281"/>
      <c r="AB101" s="1329"/>
      <c r="AC101" s="1327"/>
      <c r="AD101" s="1329"/>
      <c r="AE101" s="1281"/>
      <c r="AF101" s="1329"/>
      <c r="AG101" s="1281"/>
      <c r="AH101" s="1329"/>
      <c r="AI101" s="1327"/>
      <c r="AJ101" s="1327"/>
      <c r="AK101" s="1327"/>
      <c r="AL101" s="1327"/>
      <c r="AM101" s="1329"/>
      <c r="AN101" s="1570">
        <v>4160</v>
      </c>
      <c r="AO101" s="1440">
        <v>0</v>
      </c>
      <c r="AP101" s="1431">
        <v>0</v>
      </c>
    </row>
    <row r="102" spans="4:42" s="20" customFormat="1" ht="15.75">
      <c r="D102" s="1327"/>
      <c r="E102" s="1327"/>
      <c r="F102" s="1327"/>
      <c r="G102" s="1327"/>
      <c r="H102" s="1327"/>
      <c r="I102" s="1327"/>
      <c r="J102" s="1329"/>
      <c r="K102" s="1327"/>
      <c r="L102" s="1329"/>
      <c r="M102" s="1281"/>
      <c r="N102" s="1329"/>
      <c r="O102" s="1281"/>
      <c r="P102" s="1329"/>
      <c r="Q102" s="1327"/>
      <c r="R102" s="1329"/>
      <c r="S102" s="1281"/>
      <c r="T102" s="1329"/>
      <c r="U102" s="1281"/>
      <c r="V102" s="1329"/>
      <c r="W102" s="1327"/>
      <c r="X102" s="1329"/>
      <c r="Y102" s="1281"/>
      <c r="Z102" s="1329"/>
      <c r="AA102" s="1281"/>
      <c r="AB102" s="1329"/>
      <c r="AC102" s="1327"/>
      <c r="AD102" s="1329"/>
      <c r="AE102" s="1281"/>
      <c r="AF102" s="1329"/>
      <c r="AG102" s="1281"/>
      <c r="AH102" s="1329"/>
      <c r="AI102" s="1327"/>
      <c r="AJ102" s="1327"/>
      <c r="AK102" s="1327"/>
      <c r="AL102" s="1327"/>
      <c r="AM102" s="1329"/>
      <c r="AN102" s="1570">
        <v>5411</v>
      </c>
      <c r="AO102" s="1440">
        <v>14824</v>
      </c>
      <c r="AP102" s="1431">
        <v>1.3257147459307632E-2</v>
      </c>
    </row>
    <row r="103" spans="4:42" s="20" customFormat="1" ht="15.75">
      <c r="D103" s="1327"/>
      <c r="E103" s="1327"/>
      <c r="F103" s="1327"/>
      <c r="G103" s="1327"/>
      <c r="H103" s="1327"/>
      <c r="I103" s="1327"/>
      <c r="J103" s="1329"/>
      <c r="K103" s="1327"/>
      <c r="L103" s="1329"/>
      <c r="M103" s="1281"/>
      <c r="N103" s="1329"/>
      <c r="O103" s="1281"/>
      <c r="P103" s="1329"/>
      <c r="Q103" s="1327"/>
      <c r="R103" s="1329"/>
      <c r="S103" s="1281"/>
      <c r="T103" s="1329"/>
      <c r="U103" s="1281"/>
      <c r="V103" s="1329"/>
      <c r="W103" s="1327"/>
      <c r="X103" s="1329"/>
      <c r="Y103" s="1281"/>
      <c r="Z103" s="1329"/>
      <c r="AA103" s="1281"/>
      <c r="AB103" s="1329"/>
      <c r="AC103" s="1327"/>
      <c r="AD103" s="1329"/>
      <c r="AE103" s="1281"/>
      <c r="AF103" s="1329"/>
      <c r="AG103" s="1281"/>
      <c r="AH103" s="1329"/>
      <c r="AI103" s="1327"/>
      <c r="AJ103" s="1327"/>
      <c r="AK103" s="1327"/>
      <c r="AL103" s="1327"/>
      <c r="AM103" s="1329"/>
      <c r="AN103" s="1570">
        <v>5412</v>
      </c>
      <c r="AO103" s="1440">
        <v>9908</v>
      </c>
      <c r="AP103" s="1431">
        <v>8.8607539818416105E-3</v>
      </c>
    </row>
    <row r="104" spans="4:42" s="20" customFormat="1" ht="15.75">
      <c r="D104" s="1327"/>
      <c r="E104" s="1327"/>
      <c r="F104" s="1327"/>
      <c r="G104" s="1327"/>
      <c r="H104" s="1327"/>
      <c r="I104" s="1327"/>
      <c r="J104" s="1329"/>
      <c r="K104" s="1327"/>
      <c r="L104" s="1329"/>
      <c r="M104" s="1281"/>
      <c r="N104" s="1329"/>
      <c r="O104" s="1281"/>
      <c r="P104" s="1329"/>
      <c r="Q104" s="1327"/>
      <c r="R104" s="1329"/>
      <c r="S104" s="1281"/>
      <c r="T104" s="1329"/>
      <c r="U104" s="1281"/>
      <c r="V104" s="1329"/>
      <c r="W104" s="1327"/>
      <c r="X104" s="1329"/>
      <c r="Y104" s="1281"/>
      <c r="Z104" s="1329"/>
      <c r="AA104" s="1281"/>
      <c r="AB104" s="1329"/>
      <c r="AC104" s="1327"/>
      <c r="AD104" s="1329"/>
      <c r="AE104" s="1281"/>
      <c r="AF104" s="1329"/>
      <c r="AG104" s="1281"/>
      <c r="AH104" s="1329"/>
      <c r="AI104" s="1327"/>
      <c r="AJ104" s="1327"/>
      <c r="AK104" s="1327"/>
      <c r="AL104" s="1327"/>
      <c r="AM104" s="1329"/>
      <c r="AN104" s="1570">
        <v>5414</v>
      </c>
      <c r="AO104" s="1440">
        <v>0</v>
      </c>
      <c r="AP104" s="1431">
        <v>0</v>
      </c>
    </row>
    <row r="105" spans="4:42" s="20" customFormat="1" ht="15.75">
      <c r="D105" s="1327"/>
      <c r="E105" s="1327"/>
      <c r="F105" s="1327"/>
      <c r="G105" s="1327"/>
      <c r="H105" s="1327"/>
      <c r="I105" s="1327"/>
      <c r="J105" s="1329"/>
      <c r="K105" s="1327"/>
      <c r="L105" s="1329"/>
      <c r="M105" s="1281"/>
      <c r="N105" s="1329"/>
      <c r="O105" s="1281"/>
      <c r="P105" s="1329"/>
      <c r="Q105" s="1327"/>
      <c r="R105" s="1329"/>
      <c r="S105" s="1281"/>
      <c r="T105" s="1329"/>
      <c r="U105" s="1281"/>
      <c r="V105" s="1329"/>
      <c r="W105" s="1327"/>
      <c r="X105" s="1329"/>
      <c r="Y105" s="1281"/>
      <c r="Z105" s="1329"/>
      <c r="AA105" s="1281"/>
      <c r="AB105" s="1329"/>
      <c r="AC105" s="1327"/>
      <c r="AD105" s="1329"/>
      <c r="AE105" s="1281"/>
      <c r="AF105" s="1329"/>
      <c r="AG105" s="1281"/>
      <c r="AH105" s="1329"/>
      <c r="AI105" s="1327"/>
      <c r="AJ105" s="1327"/>
      <c r="AK105" s="1327"/>
      <c r="AL105" s="1327"/>
      <c r="AM105" s="1329"/>
      <c r="AN105" s="1582" t="s">
        <v>646</v>
      </c>
      <c r="AO105" s="1583">
        <v>1118189.2669974267</v>
      </c>
      <c r="AP105" s="1430">
        <v>1</v>
      </c>
    </row>
    <row r="106" spans="4:42" s="20" customFormat="1" ht="15.75">
      <c r="D106" s="1327"/>
      <c r="E106" s="1327"/>
      <c r="F106" s="1327"/>
      <c r="G106" s="1327"/>
      <c r="H106" s="1327"/>
      <c r="I106" s="1327"/>
      <c r="J106" s="1329"/>
      <c r="K106" s="1327"/>
      <c r="L106" s="1329"/>
      <c r="M106" s="1281"/>
      <c r="N106" s="1329"/>
      <c r="O106" s="1281"/>
      <c r="P106" s="1329"/>
      <c r="Q106" s="1327"/>
      <c r="R106" s="1329"/>
      <c r="S106" s="1281"/>
      <c r="T106" s="1329"/>
      <c r="U106" s="1281"/>
      <c r="V106" s="1329"/>
      <c r="W106" s="1327"/>
      <c r="X106" s="1329"/>
      <c r="Y106" s="1281"/>
      <c r="Z106" s="1329"/>
      <c r="AA106" s="1281"/>
      <c r="AB106" s="1329"/>
      <c r="AC106" s="1327"/>
      <c r="AD106" s="1329"/>
      <c r="AE106" s="1281"/>
      <c r="AF106" s="1329"/>
      <c r="AG106" s="1281"/>
      <c r="AH106" s="1329"/>
      <c r="AI106" s="1327"/>
      <c r="AJ106" s="1327"/>
      <c r="AK106" s="1327"/>
      <c r="AL106" s="1327"/>
      <c r="AM106" s="1329"/>
      <c r="AN106" s="1570" t="s">
        <v>849</v>
      </c>
      <c r="AO106" s="1440">
        <v>0</v>
      </c>
      <c r="AP106" s="1440"/>
    </row>
    <row r="107" spans="4:42" s="20" customFormat="1" ht="15">
      <c r="D107" s="407"/>
      <c r="E107" s="407"/>
      <c r="F107" s="407"/>
      <c r="G107" s="407"/>
      <c r="H107" s="407"/>
      <c r="I107" s="407"/>
      <c r="K107" s="407"/>
      <c r="M107" s="15"/>
      <c r="O107" s="15"/>
      <c r="Q107" s="407"/>
      <c r="S107" s="15"/>
      <c r="U107" s="15"/>
      <c r="W107" s="407"/>
      <c r="Y107" s="15"/>
      <c r="AA107" s="15"/>
      <c r="AC107" s="407"/>
      <c r="AE107" s="15"/>
      <c r="AG107" s="15"/>
      <c r="AI107" s="407"/>
      <c r="AJ107" s="407"/>
      <c r="AK107" s="407"/>
      <c r="AL107" s="407"/>
    </row>
    <row r="108" spans="4:42" s="20" customFormat="1" ht="15">
      <c r="D108" s="407"/>
      <c r="E108" s="407"/>
      <c r="F108" s="407"/>
      <c r="G108" s="407"/>
      <c r="H108" s="407"/>
      <c r="I108" s="407"/>
      <c r="K108" s="407"/>
      <c r="M108" s="15"/>
      <c r="O108" s="15"/>
      <c r="Q108" s="407"/>
      <c r="S108" s="15"/>
      <c r="U108" s="15"/>
      <c r="W108" s="407"/>
      <c r="Y108" s="15"/>
      <c r="AA108" s="15"/>
      <c r="AC108" s="407"/>
      <c r="AE108" s="15"/>
      <c r="AG108" s="15"/>
      <c r="AI108" s="407"/>
      <c r="AJ108" s="407"/>
      <c r="AK108" s="407"/>
      <c r="AL108" s="407"/>
    </row>
    <row r="109" spans="4:42" s="20" customFormat="1" ht="15">
      <c r="D109" s="407"/>
      <c r="E109" s="407"/>
      <c r="F109" s="407"/>
      <c r="G109" s="407"/>
      <c r="H109" s="407"/>
      <c r="I109" s="407"/>
      <c r="K109" s="407"/>
      <c r="M109" s="15"/>
      <c r="O109" s="15"/>
      <c r="Q109" s="407"/>
      <c r="S109" s="15"/>
      <c r="U109" s="15"/>
      <c r="W109" s="407"/>
      <c r="Y109" s="15"/>
      <c r="AA109" s="15"/>
      <c r="AC109" s="407"/>
      <c r="AE109" s="15"/>
      <c r="AG109" s="15"/>
      <c r="AI109" s="407"/>
      <c r="AJ109" s="407"/>
      <c r="AK109" s="407"/>
      <c r="AL109" s="407"/>
    </row>
    <row r="110" spans="4:42" s="20" customFormat="1" ht="15">
      <c r="D110" s="407"/>
      <c r="E110" s="407"/>
      <c r="F110" s="407"/>
      <c r="G110" s="407"/>
      <c r="H110" s="407"/>
      <c r="I110" s="407"/>
      <c r="K110" s="407"/>
      <c r="M110" s="15"/>
      <c r="O110" s="15"/>
      <c r="Q110" s="407"/>
      <c r="S110" s="15"/>
      <c r="U110" s="15"/>
      <c r="W110" s="407"/>
      <c r="Y110" s="15"/>
      <c r="AA110" s="15"/>
      <c r="AC110" s="407"/>
      <c r="AE110" s="15"/>
      <c r="AG110" s="15"/>
      <c r="AI110" s="407"/>
      <c r="AJ110" s="407"/>
      <c r="AK110" s="407"/>
      <c r="AL110" s="407"/>
    </row>
    <row r="111" spans="4:42" s="20" customFormat="1" ht="15">
      <c r="D111" s="407"/>
      <c r="E111" s="407"/>
      <c r="F111" s="407"/>
      <c r="G111" s="407"/>
      <c r="H111" s="407"/>
      <c r="I111" s="407"/>
      <c r="K111" s="407"/>
      <c r="M111" s="15"/>
      <c r="O111" s="15"/>
      <c r="Q111" s="407"/>
      <c r="S111" s="15"/>
      <c r="U111" s="15"/>
      <c r="W111" s="407"/>
      <c r="Y111" s="15"/>
      <c r="AA111" s="15"/>
      <c r="AC111" s="407"/>
      <c r="AE111" s="15"/>
      <c r="AG111" s="15"/>
      <c r="AI111" s="407"/>
      <c r="AJ111" s="407"/>
      <c r="AK111" s="407"/>
      <c r="AL111" s="407"/>
    </row>
    <row r="112" spans="4:42" s="20" customFormat="1" ht="15">
      <c r="D112" s="407"/>
      <c r="E112" s="407"/>
      <c r="F112" s="407"/>
      <c r="G112" s="407"/>
      <c r="H112" s="407"/>
      <c r="I112" s="407"/>
      <c r="K112" s="407"/>
      <c r="M112" s="15"/>
      <c r="O112" s="15"/>
      <c r="Q112" s="407"/>
      <c r="S112" s="15"/>
      <c r="U112" s="15"/>
      <c r="W112" s="407"/>
      <c r="Y112" s="15"/>
      <c r="AA112" s="15"/>
      <c r="AC112" s="407"/>
      <c r="AE112" s="15"/>
      <c r="AG112" s="15"/>
      <c r="AI112" s="407"/>
      <c r="AJ112" s="407"/>
      <c r="AK112" s="407"/>
      <c r="AL112" s="407"/>
    </row>
    <row r="113" spans="4:38" s="20" customFormat="1" ht="15">
      <c r="D113" s="407"/>
      <c r="E113" s="407"/>
      <c r="F113" s="407"/>
      <c r="G113" s="407"/>
      <c r="H113" s="407"/>
      <c r="I113" s="407"/>
      <c r="K113" s="407"/>
      <c r="M113" s="15"/>
      <c r="O113" s="15"/>
      <c r="Q113" s="407"/>
      <c r="S113" s="15"/>
      <c r="U113" s="15"/>
      <c r="W113" s="407"/>
      <c r="Y113" s="15"/>
      <c r="AA113" s="15"/>
      <c r="AC113" s="407"/>
      <c r="AE113" s="15"/>
      <c r="AG113" s="15"/>
      <c r="AI113" s="407"/>
      <c r="AJ113" s="407"/>
      <c r="AK113" s="407"/>
      <c r="AL113" s="407"/>
    </row>
    <row r="114" spans="4:38" s="20" customFormat="1" ht="15">
      <c r="D114" s="407"/>
      <c r="E114" s="407"/>
      <c r="F114" s="407"/>
      <c r="G114" s="407"/>
      <c r="H114" s="407"/>
      <c r="I114" s="407"/>
      <c r="K114" s="407"/>
      <c r="M114" s="15"/>
      <c r="O114" s="15"/>
      <c r="Q114" s="407"/>
      <c r="S114" s="15"/>
      <c r="U114" s="15"/>
      <c r="W114" s="407"/>
      <c r="Y114" s="15"/>
      <c r="AA114" s="15"/>
      <c r="AC114" s="407"/>
      <c r="AE114" s="15"/>
      <c r="AG114" s="15"/>
      <c r="AI114" s="407"/>
      <c r="AJ114" s="407"/>
      <c r="AK114" s="407"/>
      <c r="AL114" s="407"/>
    </row>
    <row r="115" spans="4:38" s="20" customFormat="1" ht="15">
      <c r="D115" s="407"/>
      <c r="E115" s="407"/>
      <c r="F115" s="407"/>
      <c r="G115" s="407"/>
      <c r="H115" s="407"/>
      <c r="I115" s="407"/>
      <c r="K115" s="407"/>
      <c r="M115" s="15"/>
      <c r="O115" s="15"/>
      <c r="Q115" s="407"/>
      <c r="S115" s="15"/>
      <c r="U115" s="15"/>
      <c r="W115" s="407"/>
      <c r="Y115" s="15"/>
      <c r="AA115" s="15"/>
      <c r="AC115" s="407"/>
      <c r="AE115" s="15"/>
      <c r="AG115" s="15"/>
      <c r="AI115" s="407"/>
      <c r="AJ115" s="407"/>
      <c r="AK115" s="407"/>
      <c r="AL115" s="407"/>
    </row>
    <row r="116" spans="4:38" s="20" customFormat="1" ht="15">
      <c r="D116" s="407"/>
      <c r="E116" s="407"/>
      <c r="F116" s="407"/>
      <c r="G116" s="407"/>
      <c r="H116" s="407"/>
      <c r="I116" s="407"/>
      <c r="K116" s="407"/>
      <c r="M116" s="15"/>
      <c r="O116" s="15"/>
      <c r="Q116" s="407"/>
      <c r="S116" s="15"/>
      <c r="U116" s="15"/>
      <c r="W116" s="407"/>
      <c r="Y116" s="15"/>
      <c r="AA116" s="15"/>
      <c r="AC116" s="407"/>
      <c r="AE116" s="15"/>
      <c r="AG116" s="15"/>
      <c r="AI116" s="407"/>
      <c r="AJ116" s="407"/>
      <c r="AK116" s="407"/>
      <c r="AL116" s="407"/>
    </row>
    <row r="117" spans="4:38" s="20" customFormat="1" ht="15">
      <c r="D117" s="407"/>
      <c r="E117" s="407"/>
      <c r="F117" s="407"/>
      <c r="G117" s="407"/>
      <c r="H117" s="407"/>
      <c r="I117" s="407"/>
      <c r="K117" s="407"/>
      <c r="M117" s="15"/>
      <c r="O117" s="15"/>
      <c r="Q117" s="407"/>
      <c r="S117" s="15"/>
      <c r="U117" s="15"/>
      <c r="W117" s="407"/>
      <c r="Y117" s="15"/>
      <c r="AA117" s="15"/>
      <c r="AC117" s="407"/>
      <c r="AE117" s="15"/>
      <c r="AG117" s="15"/>
      <c r="AI117" s="407"/>
      <c r="AJ117" s="407"/>
      <c r="AK117" s="407"/>
      <c r="AL117" s="407"/>
    </row>
    <row r="118" spans="4:38" s="20" customFormat="1" ht="15">
      <c r="D118" s="407"/>
      <c r="E118" s="407"/>
      <c r="F118" s="407"/>
      <c r="G118" s="407"/>
      <c r="H118" s="407"/>
      <c r="I118" s="407"/>
      <c r="K118" s="407"/>
      <c r="M118" s="15"/>
      <c r="O118" s="15"/>
      <c r="Q118" s="407"/>
      <c r="S118" s="15"/>
      <c r="U118" s="15"/>
      <c r="W118" s="407"/>
      <c r="Y118" s="15"/>
      <c r="AA118" s="15"/>
      <c r="AC118" s="407"/>
      <c r="AE118" s="15"/>
      <c r="AG118" s="15"/>
      <c r="AI118" s="407"/>
      <c r="AJ118" s="407"/>
      <c r="AK118" s="407"/>
      <c r="AL118" s="407"/>
    </row>
    <row r="119" spans="4:38" s="20" customFormat="1" ht="15">
      <c r="D119" s="407"/>
      <c r="E119" s="407"/>
      <c r="F119" s="407"/>
      <c r="G119" s="407"/>
      <c r="H119" s="407"/>
      <c r="I119" s="407"/>
      <c r="K119" s="407"/>
      <c r="M119" s="15"/>
      <c r="O119" s="15"/>
      <c r="Q119" s="407"/>
      <c r="S119" s="15"/>
      <c r="U119" s="15"/>
      <c r="W119" s="407"/>
      <c r="Y119" s="15"/>
      <c r="AA119" s="15"/>
      <c r="AC119" s="407"/>
      <c r="AE119" s="15"/>
      <c r="AG119" s="15"/>
      <c r="AI119" s="407"/>
      <c r="AJ119" s="407"/>
      <c r="AK119" s="407"/>
      <c r="AL119" s="407"/>
    </row>
    <row r="120" spans="4:38" s="20" customFormat="1" ht="15">
      <c r="D120" s="407"/>
      <c r="E120" s="407"/>
      <c r="F120" s="407"/>
      <c r="G120" s="407"/>
      <c r="H120" s="407"/>
      <c r="I120" s="407"/>
      <c r="K120" s="407"/>
      <c r="M120" s="15"/>
      <c r="O120" s="15"/>
      <c r="Q120" s="407"/>
      <c r="S120" s="15"/>
      <c r="U120" s="15"/>
      <c r="W120" s="407"/>
      <c r="Y120" s="15"/>
      <c r="AA120" s="15"/>
      <c r="AC120" s="407"/>
      <c r="AE120" s="15"/>
      <c r="AG120" s="15"/>
      <c r="AI120" s="407"/>
      <c r="AJ120" s="407"/>
      <c r="AK120" s="407"/>
      <c r="AL120" s="407"/>
    </row>
    <row r="121" spans="4:38" s="20" customFormat="1" ht="15">
      <c r="D121" s="407"/>
      <c r="E121" s="407"/>
      <c r="F121" s="407"/>
      <c r="G121" s="407"/>
      <c r="H121" s="407"/>
      <c r="I121" s="407"/>
      <c r="K121" s="407"/>
      <c r="M121" s="15"/>
      <c r="O121" s="15"/>
      <c r="Q121" s="407"/>
      <c r="S121" s="15"/>
      <c r="U121" s="15"/>
      <c r="W121" s="407"/>
      <c r="Y121" s="15"/>
      <c r="AA121" s="15"/>
      <c r="AC121" s="407"/>
      <c r="AE121" s="15"/>
      <c r="AG121" s="15"/>
      <c r="AI121" s="407"/>
      <c r="AJ121" s="407"/>
      <c r="AK121" s="407"/>
      <c r="AL121" s="407"/>
    </row>
    <row r="122" spans="4:38" s="20" customFormat="1" ht="15">
      <c r="D122" s="407"/>
      <c r="E122" s="407"/>
      <c r="F122" s="407"/>
      <c r="G122" s="407"/>
      <c r="H122" s="407"/>
      <c r="I122" s="407"/>
      <c r="K122" s="407"/>
      <c r="M122" s="15"/>
      <c r="O122" s="15"/>
      <c r="Q122" s="407"/>
      <c r="S122" s="15"/>
      <c r="U122" s="15"/>
      <c r="W122" s="407"/>
      <c r="Y122" s="15"/>
      <c r="AA122" s="15"/>
      <c r="AC122" s="407"/>
      <c r="AE122" s="15"/>
      <c r="AG122" s="15"/>
      <c r="AI122" s="407"/>
      <c r="AJ122" s="407"/>
      <c r="AK122" s="407"/>
      <c r="AL122" s="407"/>
    </row>
    <row r="123" spans="4:38" s="20" customFormat="1" ht="15">
      <c r="D123" s="407"/>
      <c r="E123" s="407"/>
      <c r="F123" s="407"/>
      <c r="G123" s="407"/>
      <c r="H123" s="407"/>
      <c r="I123" s="407"/>
      <c r="K123" s="407"/>
      <c r="M123" s="15"/>
      <c r="O123" s="15"/>
      <c r="Q123" s="407"/>
      <c r="S123" s="15"/>
      <c r="U123" s="15"/>
      <c r="W123" s="407"/>
      <c r="Y123" s="15"/>
      <c r="AA123" s="15"/>
      <c r="AC123" s="407"/>
      <c r="AE123" s="15"/>
      <c r="AG123" s="15"/>
      <c r="AI123" s="407"/>
      <c r="AJ123" s="407"/>
      <c r="AK123" s="407"/>
      <c r="AL123" s="407"/>
    </row>
    <row r="124" spans="4:38" s="20" customFormat="1" ht="15">
      <c r="D124" s="407"/>
      <c r="E124" s="407"/>
      <c r="F124" s="407"/>
      <c r="G124" s="407"/>
      <c r="H124" s="407"/>
      <c r="I124" s="407"/>
      <c r="K124" s="407"/>
      <c r="M124" s="15"/>
      <c r="O124" s="15"/>
      <c r="Q124" s="407"/>
      <c r="S124" s="15"/>
      <c r="U124" s="15"/>
      <c r="W124" s="407"/>
      <c r="Y124" s="15"/>
      <c r="AA124" s="15"/>
      <c r="AC124" s="407"/>
      <c r="AE124" s="15"/>
      <c r="AG124" s="15"/>
      <c r="AI124" s="407"/>
      <c r="AJ124" s="407"/>
      <c r="AK124" s="407"/>
      <c r="AL124" s="407"/>
    </row>
    <row r="125" spans="4:38" s="20" customFormat="1" ht="15">
      <c r="D125" s="407"/>
      <c r="E125" s="407"/>
      <c r="F125" s="407"/>
      <c r="G125" s="407"/>
      <c r="H125" s="407"/>
      <c r="I125" s="407"/>
      <c r="K125" s="407"/>
      <c r="M125" s="15"/>
      <c r="O125" s="15"/>
      <c r="Q125" s="407"/>
      <c r="S125" s="15"/>
      <c r="U125" s="15"/>
      <c r="W125" s="407"/>
      <c r="Y125" s="15"/>
      <c r="AA125" s="15"/>
      <c r="AC125" s="407"/>
      <c r="AE125" s="15"/>
      <c r="AG125" s="15"/>
      <c r="AI125" s="407"/>
      <c r="AJ125" s="407"/>
      <c r="AK125" s="407"/>
      <c r="AL125" s="407"/>
    </row>
    <row r="126" spans="4:38" s="20" customFormat="1" ht="15">
      <c r="D126" s="407"/>
      <c r="E126" s="407"/>
      <c r="F126" s="407"/>
      <c r="G126" s="407"/>
      <c r="H126" s="407"/>
      <c r="I126" s="407"/>
      <c r="K126" s="407"/>
      <c r="M126" s="15"/>
      <c r="O126" s="15"/>
      <c r="Q126" s="407"/>
      <c r="S126" s="15"/>
      <c r="U126" s="15"/>
      <c r="W126" s="407"/>
      <c r="Y126" s="15"/>
      <c r="AA126" s="15"/>
      <c r="AC126" s="407"/>
      <c r="AE126" s="15"/>
      <c r="AG126" s="15"/>
      <c r="AI126" s="407"/>
      <c r="AJ126" s="407"/>
      <c r="AK126" s="407"/>
      <c r="AL126" s="407"/>
    </row>
    <row r="127" spans="4:38" s="20" customFormat="1" ht="15">
      <c r="D127" s="407"/>
      <c r="E127" s="407"/>
      <c r="F127" s="407"/>
      <c r="G127" s="407"/>
      <c r="H127" s="407"/>
      <c r="I127" s="407"/>
      <c r="K127" s="407"/>
      <c r="M127" s="15"/>
      <c r="O127" s="15"/>
      <c r="Q127" s="407"/>
      <c r="S127" s="15"/>
      <c r="U127" s="15"/>
      <c r="W127" s="407"/>
      <c r="Y127" s="15"/>
      <c r="AA127" s="15"/>
      <c r="AC127" s="407"/>
      <c r="AE127" s="15"/>
      <c r="AG127" s="15"/>
      <c r="AI127" s="407"/>
      <c r="AJ127" s="407"/>
      <c r="AK127" s="407"/>
      <c r="AL127" s="407"/>
    </row>
    <row r="128" spans="4:38" s="20" customFormat="1" ht="15">
      <c r="D128" s="407"/>
      <c r="E128" s="407"/>
      <c r="F128" s="407"/>
      <c r="G128" s="407"/>
      <c r="H128" s="407"/>
      <c r="I128" s="407"/>
      <c r="K128" s="407"/>
      <c r="M128" s="15"/>
      <c r="O128" s="15"/>
      <c r="Q128" s="407"/>
      <c r="S128" s="15"/>
      <c r="U128" s="15"/>
      <c r="W128" s="407"/>
      <c r="Y128" s="15"/>
      <c r="AA128" s="15"/>
      <c r="AC128" s="407"/>
      <c r="AE128" s="15"/>
      <c r="AG128" s="15"/>
      <c r="AI128" s="407"/>
      <c r="AJ128" s="407"/>
      <c r="AK128" s="407"/>
      <c r="AL128" s="407"/>
    </row>
    <row r="129" spans="4:42" s="20" customFormat="1" ht="15">
      <c r="D129" s="407"/>
      <c r="E129" s="407"/>
      <c r="F129" s="407"/>
      <c r="G129" s="407"/>
      <c r="H129" s="407"/>
      <c r="I129" s="407"/>
      <c r="K129" s="407"/>
      <c r="M129" s="15"/>
      <c r="O129" s="15"/>
      <c r="Q129" s="407"/>
      <c r="S129" s="15"/>
      <c r="U129" s="15"/>
      <c r="W129" s="407"/>
      <c r="Y129" s="15"/>
      <c r="AA129" s="15"/>
      <c r="AC129" s="407"/>
      <c r="AE129" s="15"/>
      <c r="AG129" s="15"/>
      <c r="AI129" s="407"/>
      <c r="AJ129" s="407"/>
      <c r="AK129" s="407"/>
      <c r="AL129" s="407"/>
    </row>
    <row r="130" spans="4:42" s="20" customFormat="1" ht="15">
      <c r="D130" s="407"/>
      <c r="E130" s="407"/>
      <c r="F130" s="407"/>
      <c r="G130" s="407"/>
      <c r="H130" s="407"/>
      <c r="I130" s="407"/>
      <c r="K130" s="407"/>
      <c r="M130" s="15"/>
      <c r="O130" s="15"/>
      <c r="Q130" s="407"/>
      <c r="S130" s="15"/>
      <c r="U130" s="15"/>
      <c r="W130" s="407"/>
      <c r="Y130" s="15"/>
      <c r="AA130" s="15"/>
      <c r="AC130" s="407"/>
      <c r="AE130" s="15"/>
      <c r="AG130" s="15"/>
      <c r="AI130" s="407"/>
      <c r="AJ130" s="407"/>
      <c r="AK130" s="407"/>
      <c r="AL130" s="407"/>
    </row>
    <row r="131" spans="4:42" s="20" customFormat="1" ht="15">
      <c r="D131" s="407"/>
      <c r="E131" s="407"/>
      <c r="F131" s="407"/>
      <c r="G131" s="407"/>
      <c r="H131" s="407"/>
      <c r="I131" s="407"/>
      <c r="K131" s="407"/>
      <c r="M131" s="15"/>
      <c r="O131" s="15"/>
      <c r="Q131" s="407"/>
      <c r="S131" s="15"/>
      <c r="U131" s="15"/>
      <c r="W131" s="407"/>
      <c r="Y131" s="15"/>
      <c r="AA131" s="15"/>
      <c r="AC131" s="407"/>
      <c r="AE131" s="15"/>
      <c r="AG131" s="15"/>
      <c r="AI131" s="407"/>
      <c r="AJ131" s="407"/>
      <c r="AK131" s="407"/>
      <c r="AL131" s="407"/>
    </row>
    <row r="132" spans="4:42" s="20" customFormat="1" ht="15">
      <c r="D132" s="407"/>
      <c r="E132" s="407"/>
      <c r="F132" s="407"/>
      <c r="G132" s="407"/>
      <c r="H132" s="407"/>
      <c r="I132" s="407"/>
      <c r="K132" s="407"/>
      <c r="M132" s="15"/>
      <c r="O132" s="15"/>
      <c r="Q132" s="407"/>
      <c r="S132" s="15"/>
      <c r="U132" s="15"/>
      <c r="W132" s="407"/>
      <c r="Y132" s="15"/>
      <c r="AA132" s="15"/>
      <c r="AC132" s="407"/>
      <c r="AE132" s="15"/>
      <c r="AG132" s="15"/>
      <c r="AI132" s="407"/>
      <c r="AJ132" s="407"/>
      <c r="AK132" s="407"/>
      <c r="AL132" s="407"/>
    </row>
    <row r="133" spans="4:42" s="20" customFormat="1" ht="15">
      <c r="D133" s="407"/>
      <c r="E133" s="407"/>
      <c r="F133" s="407"/>
      <c r="G133" s="407"/>
      <c r="H133" s="407"/>
      <c r="I133" s="407"/>
      <c r="K133" s="407"/>
      <c r="M133" s="15"/>
      <c r="O133" s="15"/>
      <c r="Q133" s="407"/>
      <c r="S133" s="15"/>
      <c r="U133" s="15"/>
      <c r="W133" s="407"/>
      <c r="Y133" s="15"/>
      <c r="AA133" s="15"/>
      <c r="AC133" s="407"/>
      <c r="AE133" s="15"/>
      <c r="AG133" s="15"/>
      <c r="AI133" s="407"/>
      <c r="AJ133" s="407"/>
      <c r="AK133" s="407"/>
      <c r="AL133" s="407"/>
    </row>
    <row r="134" spans="4:42" s="20" customFormat="1" ht="15">
      <c r="D134" s="407"/>
      <c r="E134" s="407"/>
      <c r="F134" s="407"/>
      <c r="G134" s="407"/>
      <c r="H134" s="407"/>
      <c r="I134" s="407"/>
      <c r="K134" s="407"/>
      <c r="M134" s="15"/>
      <c r="O134" s="15"/>
      <c r="Q134" s="407"/>
      <c r="S134" s="15"/>
      <c r="U134" s="15"/>
      <c r="W134" s="407"/>
      <c r="Y134" s="15"/>
      <c r="AA134" s="15"/>
      <c r="AC134" s="407"/>
      <c r="AE134" s="15"/>
      <c r="AG134" s="15"/>
      <c r="AI134" s="407"/>
      <c r="AJ134" s="407"/>
      <c r="AK134" s="407"/>
      <c r="AL134" s="407"/>
    </row>
    <row r="135" spans="4:42" s="20" customFormat="1" ht="15">
      <c r="D135" s="407"/>
      <c r="E135" s="407"/>
      <c r="F135" s="407"/>
      <c r="G135" s="407"/>
      <c r="H135" s="407"/>
      <c r="I135" s="407"/>
      <c r="K135" s="407"/>
      <c r="M135" s="15"/>
      <c r="O135" s="15"/>
      <c r="Q135" s="407"/>
      <c r="S135" s="15"/>
      <c r="U135" s="15"/>
      <c r="W135" s="407"/>
      <c r="Y135" s="15"/>
      <c r="AA135" s="15"/>
      <c r="AC135" s="407"/>
      <c r="AE135" s="15"/>
      <c r="AG135" s="15"/>
      <c r="AI135" s="407"/>
      <c r="AJ135" s="407"/>
      <c r="AK135" s="407"/>
      <c r="AL135" s="407"/>
    </row>
    <row r="136" spans="4:42" s="20" customFormat="1" ht="15">
      <c r="D136" s="407"/>
      <c r="E136" s="407"/>
      <c r="F136" s="407"/>
      <c r="G136" s="407"/>
      <c r="H136" s="407"/>
      <c r="I136" s="407"/>
      <c r="K136" s="407"/>
      <c r="M136" s="15"/>
      <c r="O136" s="15"/>
      <c r="Q136" s="407"/>
      <c r="S136" s="15"/>
      <c r="U136" s="15"/>
      <c r="W136" s="407"/>
      <c r="Y136" s="15"/>
      <c r="AA136" s="15"/>
      <c r="AC136" s="407"/>
      <c r="AE136" s="15"/>
      <c r="AG136" s="15"/>
      <c r="AI136" s="407"/>
      <c r="AJ136" s="407"/>
      <c r="AK136" s="407"/>
      <c r="AL136" s="407"/>
    </row>
    <row r="137" spans="4:42" s="20" customFormat="1" ht="15">
      <c r="D137" s="407"/>
      <c r="E137" s="407"/>
      <c r="F137" s="407"/>
      <c r="G137" s="407"/>
      <c r="H137" s="407"/>
      <c r="I137" s="407"/>
      <c r="K137" s="407"/>
      <c r="M137" s="15"/>
      <c r="O137" s="15"/>
      <c r="Q137" s="407"/>
      <c r="S137" s="15"/>
      <c r="U137" s="15"/>
      <c r="W137" s="407"/>
      <c r="Y137" s="15"/>
      <c r="AA137" s="15"/>
      <c r="AC137" s="407"/>
      <c r="AE137" s="15"/>
      <c r="AG137" s="15"/>
      <c r="AI137" s="407"/>
      <c r="AJ137" s="407"/>
      <c r="AK137" s="407"/>
      <c r="AL137" s="407"/>
      <c r="AN137" s="407"/>
      <c r="AO137" s="407"/>
      <c r="AP137" s="407"/>
    </row>
    <row r="138" spans="4:42" s="20" customFormat="1" ht="15">
      <c r="D138" s="407"/>
      <c r="E138" s="407"/>
      <c r="F138" s="407"/>
      <c r="G138" s="407"/>
      <c r="H138" s="407"/>
      <c r="I138" s="407"/>
      <c r="K138" s="407"/>
      <c r="M138" s="15"/>
      <c r="O138" s="15"/>
      <c r="Q138" s="407"/>
      <c r="S138" s="15"/>
      <c r="U138" s="15"/>
      <c r="W138" s="407"/>
      <c r="Y138" s="15"/>
      <c r="AA138" s="15"/>
      <c r="AC138" s="407"/>
      <c r="AE138" s="15"/>
      <c r="AG138" s="15"/>
      <c r="AI138" s="407"/>
      <c r="AJ138" s="407"/>
      <c r="AK138" s="407"/>
      <c r="AL138" s="407"/>
      <c r="AN138" s="407"/>
      <c r="AO138" s="407"/>
      <c r="AP138" s="407"/>
    </row>
    <row r="139" spans="4:42" s="20" customFormat="1" ht="15">
      <c r="D139" s="407"/>
      <c r="E139" s="407"/>
      <c r="F139" s="407"/>
      <c r="G139" s="407"/>
      <c r="H139" s="407"/>
      <c r="I139" s="407"/>
      <c r="K139" s="407"/>
      <c r="M139" s="15"/>
      <c r="O139" s="15"/>
      <c r="Q139" s="407"/>
      <c r="S139" s="15"/>
      <c r="U139" s="15"/>
      <c r="W139" s="407"/>
      <c r="Y139" s="15"/>
      <c r="AA139" s="15"/>
      <c r="AC139" s="407"/>
      <c r="AE139" s="15"/>
      <c r="AG139" s="15"/>
      <c r="AI139" s="407"/>
      <c r="AJ139" s="407"/>
      <c r="AK139" s="407"/>
      <c r="AL139" s="407"/>
      <c r="AN139" s="407"/>
      <c r="AO139" s="407"/>
      <c r="AP139" s="407"/>
    </row>
    <row r="140" spans="4:42" s="20" customFormat="1" ht="15">
      <c r="D140" s="407"/>
      <c r="E140" s="407"/>
      <c r="F140" s="407"/>
      <c r="G140" s="407"/>
      <c r="H140" s="407"/>
      <c r="I140" s="407"/>
      <c r="K140" s="407"/>
      <c r="M140" s="15"/>
      <c r="O140" s="15"/>
      <c r="Q140" s="407"/>
      <c r="S140" s="15"/>
      <c r="U140" s="15"/>
      <c r="W140" s="407"/>
      <c r="Y140" s="15"/>
      <c r="AA140" s="15"/>
      <c r="AC140" s="407"/>
      <c r="AE140" s="15"/>
      <c r="AG140" s="15"/>
      <c r="AI140" s="407"/>
      <c r="AJ140" s="407"/>
      <c r="AK140" s="407"/>
      <c r="AL140" s="407"/>
      <c r="AN140" s="407"/>
      <c r="AO140" s="407"/>
      <c r="AP140" s="407"/>
    </row>
    <row r="141" spans="4:42" s="20" customFormat="1" ht="15">
      <c r="D141" s="407"/>
      <c r="E141" s="407"/>
      <c r="F141" s="407"/>
      <c r="G141" s="407"/>
      <c r="H141" s="407"/>
      <c r="I141" s="407"/>
      <c r="K141" s="407"/>
      <c r="M141" s="15"/>
      <c r="O141" s="15"/>
      <c r="Q141" s="407"/>
      <c r="S141" s="15"/>
      <c r="U141" s="15"/>
      <c r="W141" s="407"/>
      <c r="Y141" s="15"/>
      <c r="AA141" s="15"/>
      <c r="AC141" s="407"/>
      <c r="AE141" s="15"/>
      <c r="AG141" s="15"/>
      <c r="AI141" s="407"/>
      <c r="AJ141" s="407"/>
      <c r="AK141" s="407"/>
      <c r="AL141" s="407"/>
      <c r="AN141" s="407"/>
      <c r="AO141" s="407"/>
      <c r="AP141" s="407"/>
    </row>
    <row r="142" spans="4:42" s="20" customFormat="1" ht="15">
      <c r="D142" s="407"/>
      <c r="E142" s="407"/>
      <c r="F142" s="407"/>
      <c r="G142" s="407"/>
      <c r="H142" s="407"/>
      <c r="I142" s="407"/>
      <c r="K142" s="407"/>
      <c r="M142" s="15"/>
      <c r="O142" s="15"/>
      <c r="Q142" s="407"/>
      <c r="S142" s="15"/>
      <c r="U142" s="15"/>
      <c r="W142" s="407"/>
      <c r="Y142" s="15"/>
      <c r="AA142" s="15"/>
      <c r="AC142" s="407"/>
      <c r="AE142" s="15"/>
      <c r="AG142" s="15"/>
      <c r="AI142" s="407"/>
      <c r="AJ142" s="407"/>
      <c r="AK142" s="407"/>
      <c r="AL142" s="407"/>
      <c r="AN142" s="407"/>
      <c r="AO142" s="407"/>
      <c r="AP142" s="407"/>
    </row>
    <row r="143" spans="4:42" s="20" customFormat="1" ht="15">
      <c r="D143" s="407"/>
      <c r="E143" s="407"/>
      <c r="F143" s="407"/>
      <c r="G143" s="407"/>
      <c r="H143" s="407"/>
      <c r="I143" s="407"/>
      <c r="K143" s="407"/>
      <c r="M143" s="15"/>
      <c r="O143" s="15"/>
      <c r="Q143" s="407"/>
      <c r="S143" s="15"/>
      <c r="U143" s="15"/>
      <c r="W143" s="407"/>
      <c r="Y143" s="15"/>
      <c r="AA143" s="15"/>
      <c r="AC143" s="407"/>
      <c r="AE143" s="15"/>
      <c r="AG143" s="15"/>
      <c r="AI143" s="407"/>
      <c r="AJ143" s="407"/>
      <c r="AK143" s="407"/>
      <c r="AL143" s="407"/>
      <c r="AN143" s="407"/>
      <c r="AO143" s="407"/>
      <c r="AP143" s="407"/>
    </row>
    <row r="144" spans="4:42" s="20" customFormat="1" ht="15">
      <c r="D144" s="407"/>
      <c r="E144" s="407"/>
      <c r="F144" s="407"/>
      <c r="G144" s="407"/>
      <c r="H144" s="407"/>
      <c r="I144" s="407"/>
      <c r="K144" s="407"/>
      <c r="M144" s="15"/>
      <c r="O144" s="15"/>
      <c r="Q144" s="407"/>
      <c r="S144" s="15"/>
      <c r="U144" s="15"/>
      <c r="W144" s="407"/>
      <c r="Y144" s="15"/>
      <c r="AA144" s="15"/>
      <c r="AC144" s="407"/>
      <c r="AE144" s="15"/>
      <c r="AG144" s="15"/>
      <c r="AI144" s="407"/>
      <c r="AJ144" s="407"/>
      <c r="AK144" s="407"/>
      <c r="AL144" s="407"/>
      <c r="AN144" s="407"/>
      <c r="AO144" s="407"/>
      <c r="AP144" s="407"/>
    </row>
    <row r="145" spans="4:42" s="20" customFormat="1" ht="15">
      <c r="D145" s="407"/>
      <c r="E145" s="407"/>
      <c r="F145" s="407"/>
      <c r="G145" s="407"/>
      <c r="H145" s="407"/>
      <c r="I145" s="407"/>
      <c r="K145" s="407"/>
      <c r="M145" s="15"/>
      <c r="O145" s="15"/>
      <c r="Q145" s="407"/>
      <c r="S145" s="15"/>
      <c r="U145" s="15"/>
      <c r="W145" s="407"/>
      <c r="Y145" s="15"/>
      <c r="AA145" s="15"/>
      <c r="AC145" s="407"/>
      <c r="AE145" s="15"/>
      <c r="AG145" s="15"/>
      <c r="AI145" s="407"/>
      <c r="AJ145" s="407"/>
      <c r="AK145" s="407"/>
      <c r="AL145" s="407"/>
      <c r="AN145" s="407"/>
      <c r="AO145" s="407"/>
      <c r="AP145" s="407"/>
    </row>
    <row r="146" spans="4:42" s="20" customFormat="1" ht="15">
      <c r="D146" s="407"/>
      <c r="E146" s="407"/>
      <c r="F146" s="407"/>
      <c r="G146" s="407"/>
      <c r="H146" s="407"/>
      <c r="I146" s="407"/>
      <c r="K146" s="407"/>
      <c r="M146" s="15"/>
      <c r="O146" s="15"/>
      <c r="Q146" s="407"/>
      <c r="S146" s="15"/>
      <c r="U146" s="15"/>
      <c r="W146" s="407"/>
      <c r="Y146" s="15"/>
      <c r="AA146" s="15"/>
      <c r="AC146" s="407"/>
      <c r="AE146" s="15"/>
      <c r="AG146" s="15"/>
      <c r="AI146" s="407"/>
      <c r="AJ146" s="407"/>
      <c r="AK146" s="407"/>
      <c r="AL146" s="407"/>
      <c r="AN146" s="407"/>
      <c r="AO146" s="407"/>
      <c r="AP146" s="407"/>
    </row>
    <row r="147" spans="4:42" s="20" customFormat="1" ht="15">
      <c r="D147" s="407"/>
      <c r="E147" s="407"/>
      <c r="F147" s="407"/>
      <c r="G147" s="407"/>
      <c r="H147" s="407"/>
      <c r="I147" s="407"/>
      <c r="K147" s="407"/>
      <c r="M147" s="15"/>
      <c r="O147" s="15"/>
      <c r="Q147" s="407"/>
      <c r="S147" s="15"/>
      <c r="U147" s="15"/>
      <c r="W147" s="407"/>
      <c r="Y147" s="15"/>
      <c r="AA147" s="15"/>
      <c r="AC147" s="407"/>
      <c r="AE147" s="15"/>
      <c r="AG147" s="15"/>
      <c r="AI147" s="407"/>
      <c r="AJ147" s="407"/>
      <c r="AK147" s="407"/>
      <c r="AL147" s="407"/>
      <c r="AN147" s="407"/>
      <c r="AO147" s="407"/>
      <c r="AP147" s="407"/>
    </row>
    <row r="148" spans="4:42" s="20" customFormat="1" ht="15">
      <c r="D148" s="407"/>
      <c r="E148" s="407"/>
      <c r="F148" s="407"/>
      <c r="G148" s="407"/>
      <c r="H148" s="407"/>
      <c r="I148" s="407"/>
      <c r="K148" s="407"/>
      <c r="M148" s="15"/>
      <c r="O148" s="15"/>
      <c r="Q148" s="407"/>
      <c r="S148" s="15"/>
      <c r="U148" s="15"/>
      <c r="W148" s="407"/>
      <c r="Y148" s="15"/>
      <c r="AA148" s="15"/>
      <c r="AC148" s="407"/>
      <c r="AE148" s="15"/>
      <c r="AG148" s="15"/>
      <c r="AI148" s="407"/>
      <c r="AJ148" s="407"/>
      <c r="AK148" s="407"/>
      <c r="AL148" s="407"/>
      <c r="AN148" s="407"/>
      <c r="AO148" s="407"/>
      <c r="AP148" s="407"/>
    </row>
    <row r="149" spans="4:42" s="20" customFormat="1" ht="15">
      <c r="D149" s="407"/>
      <c r="E149" s="407"/>
      <c r="F149" s="407"/>
      <c r="G149" s="407"/>
      <c r="H149" s="407"/>
      <c r="I149" s="407"/>
      <c r="K149" s="407"/>
      <c r="M149" s="15"/>
      <c r="O149" s="15"/>
      <c r="Q149" s="407"/>
      <c r="S149" s="15"/>
      <c r="U149" s="15"/>
      <c r="W149" s="407"/>
      <c r="Y149" s="15"/>
      <c r="AA149" s="15"/>
      <c r="AC149" s="407"/>
      <c r="AE149" s="15"/>
      <c r="AG149" s="15"/>
      <c r="AI149" s="407"/>
      <c r="AJ149" s="407"/>
      <c r="AK149" s="407"/>
      <c r="AL149" s="407"/>
      <c r="AN149" s="407"/>
      <c r="AO149" s="407"/>
      <c r="AP149" s="407"/>
    </row>
    <row r="150" spans="4:42" s="20" customFormat="1" ht="15">
      <c r="D150" s="407"/>
      <c r="E150" s="407"/>
      <c r="F150" s="407"/>
      <c r="G150" s="407"/>
      <c r="H150" s="407"/>
      <c r="I150" s="407"/>
      <c r="K150" s="407"/>
      <c r="M150" s="15"/>
      <c r="O150" s="15"/>
      <c r="Q150" s="407"/>
      <c r="S150" s="15"/>
      <c r="U150" s="15"/>
      <c r="W150" s="407"/>
      <c r="Y150" s="15"/>
      <c r="AA150" s="15"/>
      <c r="AC150" s="407"/>
      <c r="AE150" s="15"/>
      <c r="AG150" s="15"/>
      <c r="AI150" s="407"/>
      <c r="AJ150" s="407"/>
      <c r="AK150" s="407"/>
      <c r="AL150" s="407"/>
      <c r="AN150" s="407"/>
      <c r="AO150" s="407"/>
      <c r="AP150" s="407"/>
    </row>
    <row r="151" spans="4:42" s="20" customFormat="1" ht="15">
      <c r="D151" s="407"/>
      <c r="E151" s="407"/>
      <c r="F151" s="407"/>
      <c r="G151" s="407"/>
      <c r="H151" s="407"/>
      <c r="I151" s="407"/>
      <c r="K151" s="407"/>
      <c r="M151" s="15"/>
      <c r="O151" s="15"/>
      <c r="Q151" s="407"/>
      <c r="S151" s="15"/>
      <c r="U151" s="15"/>
      <c r="W151" s="407"/>
      <c r="Y151" s="15"/>
      <c r="AA151" s="15"/>
      <c r="AC151" s="407"/>
      <c r="AE151" s="15"/>
      <c r="AG151" s="15"/>
      <c r="AI151" s="407"/>
      <c r="AJ151" s="407"/>
      <c r="AK151" s="407"/>
      <c r="AL151" s="407"/>
      <c r="AN151" s="407"/>
      <c r="AO151" s="407"/>
      <c r="AP151" s="407"/>
    </row>
    <row r="152" spans="4:42" s="20" customFormat="1" ht="15">
      <c r="D152" s="407"/>
      <c r="E152" s="407"/>
      <c r="F152" s="407"/>
      <c r="G152" s="407"/>
      <c r="H152" s="407"/>
      <c r="I152" s="407"/>
      <c r="K152" s="407"/>
      <c r="M152" s="15"/>
      <c r="O152" s="15"/>
      <c r="Q152" s="407"/>
      <c r="S152" s="15"/>
      <c r="U152" s="15"/>
      <c r="W152" s="407"/>
      <c r="Y152" s="15"/>
      <c r="AA152" s="15"/>
      <c r="AC152" s="407"/>
      <c r="AE152" s="15"/>
      <c r="AG152" s="15"/>
      <c r="AI152" s="407"/>
      <c r="AJ152" s="407"/>
      <c r="AK152" s="407"/>
      <c r="AL152" s="407"/>
      <c r="AN152" s="407"/>
      <c r="AO152" s="407"/>
      <c r="AP152" s="407"/>
    </row>
    <row r="153" spans="4:42" s="20" customFormat="1" ht="15">
      <c r="D153" s="407"/>
      <c r="E153" s="407"/>
      <c r="F153" s="407"/>
      <c r="G153" s="407"/>
      <c r="H153" s="407"/>
      <c r="I153" s="407"/>
      <c r="K153" s="407"/>
      <c r="M153" s="15"/>
      <c r="O153" s="15"/>
      <c r="Q153" s="407"/>
      <c r="S153" s="15"/>
      <c r="U153" s="15"/>
      <c r="W153" s="407"/>
      <c r="Y153" s="15"/>
      <c r="AA153" s="15"/>
      <c r="AC153" s="407"/>
      <c r="AE153" s="15"/>
      <c r="AG153" s="15"/>
      <c r="AI153" s="407"/>
      <c r="AJ153" s="407"/>
      <c r="AK153" s="407"/>
      <c r="AL153" s="407"/>
      <c r="AN153" s="407"/>
      <c r="AO153" s="407"/>
      <c r="AP153" s="407"/>
    </row>
    <row r="154" spans="4:42" s="20" customFormat="1" ht="15">
      <c r="D154" s="407"/>
      <c r="E154" s="407"/>
      <c r="F154" s="407"/>
      <c r="G154" s="407"/>
      <c r="H154" s="407"/>
      <c r="I154" s="407"/>
      <c r="K154" s="407"/>
      <c r="M154" s="15"/>
      <c r="O154" s="15"/>
      <c r="Q154" s="407"/>
      <c r="S154" s="15"/>
      <c r="U154" s="15"/>
      <c r="W154" s="407"/>
      <c r="Y154" s="15"/>
      <c r="AA154" s="15"/>
      <c r="AC154" s="407"/>
      <c r="AE154" s="15"/>
      <c r="AG154" s="15"/>
      <c r="AI154" s="407"/>
      <c r="AJ154" s="407"/>
      <c r="AK154" s="407"/>
      <c r="AL154" s="407"/>
      <c r="AN154" s="407"/>
      <c r="AO154" s="407"/>
      <c r="AP154" s="407"/>
    </row>
    <row r="155" spans="4:42" s="20" customFormat="1" ht="15">
      <c r="D155" s="407"/>
      <c r="E155" s="407"/>
      <c r="F155" s="407"/>
      <c r="G155" s="407"/>
      <c r="H155" s="407"/>
      <c r="I155" s="407"/>
      <c r="K155" s="407"/>
      <c r="M155" s="15"/>
      <c r="O155" s="15"/>
      <c r="Q155" s="407"/>
      <c r="S155" s="15"/>
      <c r="U155" s="15"/>
      <c r="W155" s="407"/>
      <c r="Y155" s="15"/>
      <c r="AA155" s="15"/>
      <c r="AC155" s="407"/>
      <c r="AE155" s="15"/>
      <c r="AG155" s="15"/>
      <c r="AI155" s="407"/>
      <c r="AJ155" s="407"/>
      <c r="AK155" s="407"/>
      <c r="AL155" s="407"/>
      <c r="AN155" s="407"/>
      <c r="AO155" s="407"/>
      <c r="AP155" s="407"/>
    </row>
    <row r="156" spans="4:42" s="20" customFormat="1" ht="15">
      <c r="D156" s="407"/>
      <c r="E156" s="407"/>
      <c r="F156" s="407"/>
      <c r="G156" s="407"/>
      <c r="H156" s="407"/>
      <c r="I156" s="407"/>
      <c r="K156" s="407"/>
      <c r="M156" s="15"/>
      <c r="O156" s="15"/>
      <c r="Q156" s="407"/>
      <c r="S156" s="15"/>
      <c r="U156" s="15"/>
      <c r="W156" s="407"/>
      <c r="Y156" s="15"/>
      <c r="AA156" s="15"/>
      <c r="AC156" s="407"/>
      <c r="AE156" s="15"/>
      <c r="AG156" s="15"/>
      <c r="AI156" s="407"/>
      <c r="AJ156" s="407"/>
      <c r="AK156" s="407"/>
      <c r="AL156" s="407"/>
      <c r="AN156" s="407"/>
      <c r="AO156" s="407"/>
      <c r="AP156" s="407"/>
    </row>
    <row r="157" spans="4:42" s="20" customFormat="1" ht="15">
      <c r="D157" s="407"/>
      <c r="E157" s="407"/>
      <c r="F157" s="407"/>
      <c r="G157" s="407"/>
      <c r="H157" s="407"/>
      <c r="I157" s="407"/>
      <c r="K157" s="407"/>
      <c r="M157" s="15"/>
      <c r="O157" s="15"/>
      <c r="Q157" s="407"/>
      <c r="S157" s="15"/>
      <c r="U157" s="15"/>
      <c r="W157" s="407"/>
      <c r="Y157" s="15"/>
      <c r="AA157" s="15"/>
      <c r="AC157" s="407"/>
      <c r="AE157" s="15"/>
      <c r="AG157" s="15"/>
      <c r="AI157" s="407"/>
      <c r="AJ157" s="407"/>
      <c r="AK157" s="407"/>
      <c r="AL157" s="407"/>
      <c r="AN157" s="407"/>
      <c r="AO157" s="407"/>
      <c r="AP157" s="407"/>
    </row>
    <row r="158" spans="4:42" s="20" customFormat="1" ht="15">
      <c r="D158" s="407"/>
      <c r="E158" s="407"/>
      <c r="F158" s="407"/>
      <c r="G158" s="407"/>
      <c r="H158" s="407"/>
      <c r="I158" s="407"/>
      <c r="K158" s="407"/>
      <c r="M158" s="15"/>
      <c r="O158" s="15"/>
      <c r="Q158" s="407"/>
      <c r="S158" s="15"/>
      <c r="U158" s="15"/>
      <c r="W158" s="407"/>
      <c r="Y158" s="15"/>
      <c r="AA158" s="15"/>
      <c r="AC158" s="407"/>
      <c r="AE158" s="15"/>
      <c r="AG158" s="15"/>
      <c r="AI158" s="407"/>
      <c r="AJ158" s="407"/>
      <c r="AK158" s="407"/>
      <c r="AL158" s="407"/>
      <c r="AN158" s="407"/>
      <c r="AO158" s="407"/>
      <c r="AP158" s="407"/>
    </row>
    <row r="159" spans="4:42" s="20" customFormat="1" ht="15">
      <c r="D159" s="407"/>
      <c r="E159" s="407"/>
      <c r="F159" s="407"/>
      <c r="G159" s="407"/>
      <c r="H159" s="407"/>
      <c r="I159" s="407"/>
      <c r="K159" s="407"/>
      <c r="M159" s="15"/>
      <c r="O159" s="15"/>
      <c r="Q159" s="407"/>
      <c r="S159" s="15"/>
      <c r="U159" s="15"/>
      <c r="W159" s="407"/>
      <c r="Y159" s="15"/>
      <c r="AA159" s="15"/>
      <c r="AC159" s="407"/>
      <c r="AE159" s="15"/>
      <c r="AG159" s="15"/>
      <c r="AI159" s="407"/>
      <c r="AJ159" s="407"/>
      <c r="AK159" s="407"/>
      <c r="AL159" s="407"/>
      <c r="AN159" s="407"/>
      <c r="AO159" s="407"/>
      <c r="AP159" s="407"/>
    </row>
    <row r="160" spans="4:42" s="20" customFormat="1" ht="15">
      <c r="D160" s="407"/>
      <c r="E160" s="407"/>
      <c r="F160" s="407"/>
      <c r="G160" s="407"/>
      <c r="H160" s="407"/>
      <c r="I160" s="407"/>
      <c r="K160" s="407"/>
      <c r="M160" s="15"/>
      <c r="O160" s="15"/>
      <c r="Q160" s="407"/>
      <c r="S160" s="15"/>
      <c r="U160" s="15"/>
      <c r="W160" s="407"/>
      <c r="Y160" s="15"/>
      <c r="AA160" s="15"/>
      <c r="AC160" s="407"/>
      <c r="AE160" s="15"/>
      <c r="AG160" s="15"/>
      <c r="AI160" s="407"/>
      <c r="AJ160" s="407"/>
      <c r="AK160" s="407"/>
      <c r="AL160" s="407"/>
      <c r="AN160" s="407"/>
      <c r="AO160" s="407"/>
      <c r="AP160" s="407"/>
    </row>
    <row r="161" spans="4:42" s="20" customFormat="1" ht="15">
      <c r="D161" s="407"/>
      <c r="E161" s="407"/>
      <c r="F161" s="407"/>
      <c r="G161" s="407"/>
      <c r="H161" s="407"/>
      <c r="I161" s="407"/>
      <c r="K161" s="407"/>
      <c r="M161" s="15"/>
      <c r="O161" s="15"/>
      <c r="Q161" s="407"/>
      <c r="S161" s="15"/>
      <c r="U161" s="15"/>
      <c r="W161" s="407"/>
      <c r="Y161" s="15"/>
      <c r="AA161" s="15"/>
      <c r="AC161" s="407"/>
      <c r="AE161" s="15"/>
      <c r="AG161" s="15"/>
      <c r="AI161" s="407"/>
      <c r="AJ161" s="407"/>
      <c r="AK161" s="407"/>
      <c r="AL161" s="407"/>
      <c r="AN161" s="407"/>
      <c r="AO161" s="407"/>
      <c r="AP161" s="407"/>
    </row>
    <row r="162" spans="4:42" s="20" customFormat="1" ht="15">
      <c r="D162" s="407"/>
      <c r="E162" s="407"/>
      <c r="F162" s="407"/>
      <c r="G162" s="407"/>
      <c r="H162" s="407"/>
      <c r="I162" s="407"/>
      <c r="K162" s="407"/>
      <c r="M162" s="15"/>
      <c r="O162" s="15"/>
      <c r="Q162" s="407"/>
      <c r="S162" s="15"/>
      <c r="U162" s="15"/>
      <c r="W162" s="407"/>
      <c r="Y162" s="15"/>
      <c r="AA162" s="15"/>
      <c r="AC162" s="407"/>
      <c r="AE162" s="15"/>
      <c r="AG162" s="15"/>
      <c r="AI162" s="407"/>
      <c r="AJ162" s="407"/>
      <c r="AK162" s="407"/>
      <c r="AL162" s="407"/>
      <c r="AN162" s="407"/>
      <c r="AO162" s="407"/>
      <c r="AP162" s="407"/>
    </row>
    <row r="163" spans="4:42" s="20" customFormat="1" ht="15">
      <c r="D163" s="407"/>
      <c r="E163" s="407"/>
      <c r="F163" s="407"/>
      <c r="G163" s="407"/>
      <c r="H163" s="407"/>
      <c r="I163" s="407"/>
      <c r="K163" s="407"/>
      <c r="M163" s="15"/>
      <c r="O163" s="15"/>
      <c r="Q163" s="407"/>
      <c r="S163" s="15"/>
      <c r="U163" s="15"/>
      <c r="W163" s="407"/>
      <c r="Y163" s="15"/>
      <c r="AA163" s="15"/>
      <c r="AC163" s="407"/>
      <c r="AE163" s="15"/>
      <c r="AG163" s="15"/>
      <c r="AI163" s="407"/>
      <c r="AJ163" s="407"/>
      <c r="AK163" s="407"/>
      <c r="AL163" s="407"/>
      <c r="AN163" s="407"/>
      <c r="AO163" s="407"/>
      <c r="AP163" s="407"/>
    </row>
    <row r="164" spans="4:42" s="20" customFormat="1" ht="15">
      <c r="D164" s="407"/>
      <c r="E164" s="407"/>
      <c r="F164" s="407"/>
      <c r="G164" s="407"/>
      <c r="H164" s="407"/>
      <c r="I164" s="407"/>
      <c r="K164" s="407"/>
      <c r="M164" s="15"/>
      <c r="O164" s="15"/>
      <c r="Q164" s="407"/>
      <c r="S164" s="15"/>
      <c r="U164" s="15"/>
      <c r="W164" s="407"/>
      <c r="Y164" s="15"/>
      <c r="AA164" s="15"/>
      <c r="AC164" s="407"/>
      <c r="AE164" s="15"/>
      <c r="AG164" s="15"/>
      <c r="AI164" s="407"/>
      <c r="AJ164" s="407"/>
      <c r="AK164" s="407"/>
      <c r="AL164" s="407"/>
      <c r="AN164" s="407"/>
      <c r="AO164" s="407"/>
      <c r="AP164" s="407"/>
    </row>
    <row r="165" spans="4:42" s="20" customFormat="1" ht="15">
      <c r="D165" s="407"/>
      <c r="E165" s="407"/>
      <c r="F165" s="407"/>
      <c r="G165" s="407"/>
      <c r="H165" s="407"/>
      <c r="I165" s="407"/>
      <c r="K165" s="407"/>
      <c r="M165" s="15"/>
      <c r="O165" s="15"/>
      <c r="Q165" s="407"/>
      <c r="S165" s="15"/>
      <c r="U165" s="15"/>
      <c r="W165" s="407"/>
      <c r="Y165" s="15"/>
      <c r="AA165" s="15"/>
      <c r="AC165" s="407"/>
      <c r="AE165" s="15"/>
      <c r="AG165" s="15"/>
      <c r="AI165" s="407"/>
      <c r="AJ165" s="407"/>
      <c r="AK165" s="407"/>
      <c r="AL165" s="407"/>
      <c r="AN165" s="407"/>
      <c r="AO165" s="407"/>
      <c r="AP165" s="407"/>
    </row>
    <row r="166" spans="4:42" s="20" customFormat="1" ht="15">
      <c r="D166" s="407"/>
      <c r="E166" s="407"/>
      <c r="F166" s="407"/>
      <c r="G166" s="407"/>
      <c r="H166" s="407"/>
      <c r="I166" s="407"/>
      <c r="K166" s="407"/>
      <c r="M166" s="15"/>
      <c r="O166" s="15"/>
      <c r="Q166" s="407"/>
      <c r="S166" s="15"/>
      <c r="U166" s="15"/>
      <c r="W166" s="407"/>
      <c r="Y166" s="15"/>
      <c r="AA166" s="15"/>
      <c r="AC166" s="407"/>
      <c r="AE166" s="15"/>
      <c r="AG166" s="15"/>
      <c r="AI166" s="407"/>
      <c r="AJ166" s="407"/>
      <c r="AK166" s="407"/>
      <c r="AL166" s="407"/>
      <c r="AN166" s="407"/>
      <c r="AO166" s="407"/>
      <c r="AP166" s="407"/>
    </row>
    <row r="167" spans="4:42" s="20" customFormat="1" ht="15">
      <c r="D167" s="407"/>
      <c r="E167" s="407"/>
      <c r="F167" s="407"/>
      <c r="G167" s="407"/>
      <c r="H167" s="407"/>
      <c r="I167" s="407"/>
      <c r="K167" s="407"/>
      <c r="M167" s="15"/>
      <c r="O167" s="15"/>
      <c r="Q167" s="407"/>
      <c r="S167" s="15"/>
      <c r="U167" s="15"/>
      <c r="W167" s="407"/>
      <c r="Y167" s="15"/>
      <c r="AA167" s="15"/>
      <c r="AC167" s="407"/>
      <c r="AE167" s="15"/>
      <c r="AG167" s="15"/>
      <c r="AI167" s="407"/>
      <c r="AJ167" s="407"/>
      <c r="AK167" s="407"/>
      <c r="AL167" s="407"/>
      <c r="AN167" s="407"/>
      <c r="AO167" s="407"/>
      <c r="AP167" s="407"/>
    </row>
    <row r="168" spans="4:42" s="20" customFormat="1" ht="15">
      <c r="D168" s="407"/>
      <c r="E168" s="407"/>
      <c r="F168" s="407"/>
      <c r="G168" s="407"/>
      <c r="H168" s="407"/>
      <c r="I168" s="407"/>
      <c r="K168" s="407"/>
      <c r="M168" s="15"/>
      <c r="O168" s="15"/>
      <c r="Q168" s="407"/>
      <c r="S168" s="15"/>
      <c r="U168" s="15"/>
      <c r="W168" s="407"/>
      <c r="Y168" s="15"/>
      <c r="AA168" s="15"/>
      <c r="AC168" s="407"/>
      <c r="AE168" s="15"/>
      <c r="AG168" s="15"/>
      <c r="AI168" s="407"/>
      <c r="AJ168" s="407"/>
      <c r="AK168" s="407"/>
      <c r="AL168" s="407"/>
      <c r="AN168" s="407"/>
      <c r="AO168" s="407"/>
      <c r="AP168" s="407"/>
    </row>
    <row r="169" spans="4:42" s="20" customFormat="1" ht="15">
      <c r="D169" s="407"/>
      <c r="E169" s="407"/>
      <c r="F169" s="407"/>
      <c r="G169" s="407"/>
      <c r="H169" s="407"/>
      <c r="I169" s="407"/>
      <c r="K169" s="407"/>
      <c r="M169" s="15"/>
      <c r="O169" s="15"/>
      <c r="Q169" s="407"/>
      <c r="S169" s="15"/>
      <c r="U169" s="15"/>
      <c r="W169" s="407"/>
      <c r="Y169" s="15"/>
      <c r="AA169" s="15"/>
      <c r="AC169" s="407"/>
      <c r="AE169" s="15"/>
      <c r="AG169" s="15"/>
      <c r="AI169" s="407"/>
      <c r="AJ169" s="407"/>
      <c r="AK169" s="407"/>
      <c r="AL169" s="407"/>
      <c r="AN169" s="407"/>
      <c r="AO169" s="407"/>
      <c r="AP169" s="407"/>
    </row>
    <row r="170" spans="4:42" s="20" customFormat="1" ht="15">
      <c r="D170" s="407"/>
      <c r="E170" s="407"/>
      <c r="F170" s="407"/>
      <c r="G170" s="407"/>
      <c r="H170" s="407"/>
      <c r="I170" s="407"/>
      <c r="K170" s="407"/>
      <c r="M170" s="15"/>
      <c r="O170" s="15"/>
      <c r="Q170" s="407"/>
      <c r="S170" s="15"/>
      <c r="U170" s="15"/>
      <c r="W170" s="407"/>
      <c r="Y170" s="15"/>
      <c r="AA170" s="15"/>
      <c r="AC170" s="407"/>
      <c r="AE170" s="15"/>
      <c r="AG170" s="15"/>
      <c r="AI170" s="407"/>
      <c r="AJ170" s="407"/>
      <c r="AK170" s="407"/>
      <c r="AL170" s="407"/>
      <c r="AN170" s="407"/>
      <c r="AO170" s="407"/>
      <c r="AP170" s="407"/>
    </row>
    <row r="171" spans="4:42" s="20" customFormat="1" ht="15">
      <c r="D171" s="407"/>
      <c r="E171" s="407"/>
      <c r="F171" s="407"/>
      <c r="G171" s="407"/>
      <c r="H171" s="407"/>
      <c r="I171" s="407"/>
      <c r="K171" s="407"/>
      <c r="M171" s="15"/>
      <c r="O171" s="15"/>
      <c r="Q171" s="407"/>
      <c r="S171" s="15"/>
      <c r="U171" s="15"/>
      <c r="W171" s="407"/>
      <c r="Y171" s="15"/>
      <c r="AA171" s="15"/>
      <c r="AC171" s="407"/>
      <c r="AE171" s="15"/>
      <c r="AG171" s="15"/>
      <c r="AI171" s="407"/>
      <c r="AJ171" s="407"/>
      <c r="AK171" s="407"/>
      <c r="AL171" s="407"/>
      <c r="AN171" s="407"/>
      <c r="AO171" s="407"/>
      <c r="AP171" s="407"/>
    </row>
    <row r="172" spans="4:42" s="20" customFormat="1" ht="15">
      <c r="D172" s="407"/>
      <c r="E172" s="407"/>
      <c r="F172" s="407"/>
      <c r="G172" s="407"/>
      <c r="H172" s="407"/>
      <c r="I172" s="407"/>
      <c r="K172" s="407"/>
      <c r="M172" s="15"/>
      <c r="O172" s="15"/>
      <c r="Q172" s="407"/>
      <c r="S172" s="15"/>
      <c r="U172" s="15"/>
      <c r="W172" s="407"/>
      <c r="Y172" s="15"/>
      <c r="AA172" s="15"/>
      <c r="AC172" s="407"/>
      <c r="AE172" s="15"/>
      <c r="AG172" s="15"/>
      <c r="AI172" s="407"/>
      <c r="AJ172" s="407"/>
      <c r="AK172" s="407"/>
      <c r="AL172" s="407"/>
      <c r="AN172" s="407"/>
      <c r="AO172" s="407"/>
      <c r="AP172" s="407"/>
    </row>
    <row r="173" spans="4:42" s="20" customFormat="1" ht="15">
      <c r="D173" s="407"/>
      <c r="E173" s="407"/>
      <c r="F173" s="407"/>
      <c r="G173" s="407"/>
      <c r="H173" s="407"/>
      <c r="I173" s="407"/>
      <c r="K173" s="407"/>
      <c r="M173" s="15"/>
      <c r="O173" s="15"/>
      <c r="Q173" s="407"/>
      <c r="S173" s="15"/>
      <c r="U173" s="15"/>
      <c r="W173" s="407"/>
      <c r="Y173" s="15"/>
      <c r="AA173" s="15"/>
      <c r="AC173" s="407"/>
      <c r="AE173" s="15"/>
      <c r="AG173" s="15"/>
      <c r="AI173" s="407"/>
      <c r="AJ173" s="407"/>
      <c r="AK173" s="407"/>
      <c r="AL173" s="407"/>
      <c r="AN173" s="407"/>
      <c r="AO173" s="407"/>
      <c r="AP173" s="407"/>
    </row>
    <row r="174" spans="4:42" s="20" customFormat="1" ht="15">
      <c r="D174" s="407"/>
      <c r="E174" s="407"/>
      <c r="F174" s="407"/>
      <c r="G174" s="407"/>
      <c r="H174" s="407"/>
      <c r="I174" s="407"/>
      <c r="K174" s="407"/>
      <c r="M174" s="15"/>
      <c r="O174" s="15"/>
      <c r="Q174" s="407"/>
      <c r="S174" s="15"/>
      <c r="U174" s="15"/>
      <c r="W174" s="407"/>
      <c r="Y174" s="15"/>
      <c r="AA174" s="15"/>
      <c r="AC174" s="407"/>
      <c r="AE174" s="15"/>
      <c r="AG174" s="15"/>
      <c r="AI174" s="407"/>
      <c r="AJ174" s="407"/>
      <c r="AK174" s="407"/>
      <c r="AL174" s="407"/>
      <c r="AN174" s="407"/>
      <c r="AO174" s="407"/>
      <c r="AP174" s="407"/>
    </row>
    <row r="175" spans="4:42" s="20" customFormat="1" ht="15">
      <c r="D175" s="407"/>
      <c r="E175" s="407"/>
      <c r="F175" s="407"/>
      <c r="G175" s="407"/>
      <c r="H175" s="407"/>
      <c r="I175" s="407"/>
      <c r="K175" s="407"/>
      <c r="M175" s="15"/>
      <c r="O175" s="15"/>
      <c r="Q175" s="407"/>
      <c r="S175" s="15"/>
      <c r="U175" s="15"/>
      <c r="W175" s="407"/>
      <c r="Y175" s="15"/>
      <c r="AA175" s="15"/>
      <c r="AC175" s="407"/>
      <c r="AE175" s="15"/>
      <c r="AG175" s="15"/>
      <c r="AI175" s="407"/>
      <c r="AJ175" s="407"/>
      <c r="AK175" s="407"/>
      <c r="AL175" s="407"/>
      <c r="AN175" s="407"/>
      <c r="AO175" s="407"/>
      <c r="AP175" s="407"/>
    </row>
    <row r="176" spans="4:42" s="20" customFormat="1" ht="15">
      <c r="D176" s="407"/>
      <c r="E176" s="407"/>
      <c r="F176" s="407"/>
      <c r="G176" s="407"/>
      <c r="H176" s="407"/>
      <c r="I176" s="407"/>
      <c r="K176" s="407"/>
      <c r="M176" s="15"/>
      <c r="O176" s="15"/>
      <c r="Q176" s="407"/>
      <c r="S176" s="15"/>
      <c r="U176" s="15"/>
      <c r="W176" s="407"/>
      <c r="Y176" s="15"/>
      <c r="AA176" s="15"/>
      <c r="AC176" s="407"/>
      <c r="AE176" s="15"/>
      <c r="AG176" s="15"/>
      <c r="AI176" s="407"/>
      <c r="AJ176" s="407"/>
      <c r="AK176" s="407"/>
      <c r="AL176" s="407"/>
      <c r="AN176" s="407"/>
      <c r="AO176" s="407"/>
      <c r="AP176" s="407"/>
    </row>
    <row r="177" spans="4:42" s="20" customFormat="1" ht="15">
      <c r="D177" s="407"/>
      <c r="E177" s="407"/>
      <c r="F177" s="407"/>
      <c r="G177" s="407"/>
      <c r="H177" s="407"/>
      <c r="I177" s="407"/>
      <c r="K177" s="407"/>
      <c r="M177" s="15"/>
      <c r="O177" s="15"/>
      <c r="Q177" s="407"/>
      <c r="S177" s="15"/>
      <c r="U177" s="15"/>
      <c r="W177" s="407"/>
      <c r="Y177" s="15"/>
      <c r="AA177" s="15"/>
      <c r="AC177" s="407"/>
      <c r="AE177" s="15"/>
      <c r="AG177" s="15"/>
      <c r="AI177" s="407"/>
      <c r="AJ177" s="407"/>
      <c r="AK177" s="407"/>
      <c r="AL177" s="407"/>
      <c r="AN177" s="407"/>
      <c r="AO177" s="407"/>
      <c r="AP177" s="407"/>
    </row>
    <row r="178" spans="4:42" s="20" customFormat="1" ht="15">
      <c r="D178" s="407"/>
      <c r="E178" s="407"/>
      <c r="F178" s="407"/>
      <c r="G178" s="407"/>
      <c r="H178" s="407"/>
      <c r="I178" s="407"/>
      <c r="K178" s="407"/>
      <c r="M178" s="15"/>
      <c r="O178" s="15"/>
      <c r="Q178" s="407"/>
      <c r="S178" s="15"/>
      <c r="U178" s="15"/>
      <c r="W178" s="407"/>
      <c r="Y178" s="15"/>
      <c r="AA178" s="15"/>
      <c r="AC178" s="407"/>
      <c r="AE178" s="15"/>
      <c r="AG178" s="15"/>
      <c r="AI178" s="407"/>
      <c r="AJ178" s="407"/>
      <c r="AK178" s="407"/>
      <c r="AL178" s="407"/>
      <c r="AN178" s="407"/>
      <c r="AO178" s="407"/>
      <c r="AP178" s="407"/>
    </row>
    <row r="179" spans="4:42" s="20" customFormat="1" ht="15">
      <c r="D179" s="407"/>
      <c r="E179" s="407"/>
      <c r="F179" s="407"/>
      <c r="G179" s="407"/>
      <c r="H179" s="407"/>
      <c r="I179" s="407"/>
      <c r="K179" s="407"/>
      <c r="M179" s="15"/>
      <c r="O179" s="15"/>
      <c r="Q179" s="407"/>
      <c r="S179" s="15"/>
      <c r="U179" s="15"/>
      <c r="W179" s="407"/>
      <c r="Y179" s="15"/>
      <c r="AA179" s="15"/>
      <c r="AC179" s="407"/>
      <c r="AE179" s="15"/>
      <c r="AG179" s="15"/>
      <c r="AI179" s="407"/>
      <c r="AJ179" s="407"/>
      <c r="AK179" s="407"/>
      <c r="AL179" s="407"/>
      <c r="AN179" s="407"/>
      <c r="AO179" s="407"/>
      <c r="AP179" s="407"/>
    </row>
    <row r="180" spans="4:42" s="20" customFormat="1" ht="15">
      <c r="D180" s="407"/>
      <c r="E180" s="407"/>
      <c r="F180" s="407"/>
      <c r="G180" s="407"/>
      <c r="H180" s="407"/>
      <c r="I180" s="407"/>
      <c r="K180" s="407"/>
      <c r="M180" s="15"/>
      <c r="O180" s="15"/>
      <c r="Q180" s="407"/>
      <c r="S180" s="15"/>
      <c r="U180" s="15"/>
      <c r="W180" s="407"/>
      <c r="Y180" s="15"/>
      <c r="AA180" s="15"/>
      <c r="AC180" s="407"/>
      <c r="AE180" s="15"/>
      <c r="AG180" s="15"/>
      <c r="AI180" s="407"/>
      <c r="AJ180" s="407"/>
      <c r="AK180" s="407"/>
      <c r="AL180" s="407"/>
      <c r="AN180" s="407"/>
      <c r="AO180" s="407"/>
      <c r="AP180" s="407"/>
    </row>
    <row r="181" spans="4:42" s="20" customFormat="1" ht="15">
      <c r="D181" s="407"/>
      <c r="E181" s="407"/>
      <c r="F181" s="407"/>
      <c r="G181" s="407"/>
      <c r="H181" s="407"/>
      <c r="I181" s="407"/>
      <c r="K181" s="407"/>
      <c r="M181" s="15"/>
      <c r="O181" s="15"/>
      <c r="Q181" s="407"/>
      <c r="S181" s="15"/>
      <c r="U181" s="15"/>
      <c r="W181" s="407"/>
      <c r="Y181" s="15"/>
      <c r="AA181" s="15"/>
      <c r="AC181" s="407"/>
      <c r="AE181" s="15"/>
      <c r="AG181" s="15"/>
      <c r="AI181" s="407"/>
      <c r="AJ181" s="407"/>
      <c r="AK181" s="407"/>
      <c r="AL181" s="407"/>
      <c r="AN181" s="407"/>
      <c r="AO181" s="407"/>
      <c r="AP181" s="407"/>
    </row>
    <row r="182" spans="4:42" s="20" customFormat="1" ht="15">
      <c r="D182" s="407"/>
      <c r="E182" s="407"/>
      <c r="F182" s="407"/>
      <c r="G182" s="407"/>
      <c r="H182" s="407"/>
      <c r="I182" s="407"/>
      <c r="K182" s="407"/>
      <c r="M182" s="15"/>
      <c r="O182" s="15"/>
      <c r="Q182" s="407"/>
      <c r="S182" s="15"/>
      <c r="U182" s="15"/>
      <c r="W182" s="407"/>
      <c r="Y182" s="15"/>
      <c r="AA182" s="15"/>
      <c r="AC182" s="407"/>
      <c r="AE182" s="15"/>
      <c r="AG182" s="15"/>
      <c r="AI182" s="407"/>
      <c r="AJ182" s="407"/>
      <c r="AK182" s="407"/>
      <c r="AL182" s="407"/>
      <c r="AN182" s="407"/>
      <c r="AO182" s="407"/>
      <c r="AP182" s="407"/>
    </row>
    <row r="183" spans="4:42" s="20" customFormat="1" ht="15">
      <c r="D183" s="407"/>
      <c r="E183" s="407"/>
      <c r="F183" s="407"/>
      <c r="G183" s="407"/>
      <c r="H183" s="407"/>
      <c r="I183" s="407"/>
      <c r="K183" s="407"/>
      <c r="M183" s="15"/>
      <c r="O183" s="15"/>
      <c r="Q183" s="407"/>
      <c r="S183" s="15"/>
      <c r="U183" s="15"/>
      <c r="W183" s="407"/>
      <c r="Y183" s="15"/>
      <c r="AA183" s="15"/>
      <c r="AC183" s="407"/>
      <c r="AE183" s="15"/>
      <c r="AG183" s="15"/>
      <c r="AI183" s="407"/>
      <c r="AJ183" s="407"/>
      <c r="AK183" s="407"/>
      <c r="AL183" s="407"/>
      <c r="AN183" s="407"/>
      <c r="AO183" s="407"/>
      <c r="AP183" s="407"/>
    </row>
    <row r="184" spans="4:42" s="20" customFormat="1" ht="15">
      <c r="D184" s="407"/>
      <c r="E184" s="407"/>
      <c r="F184" s="407"/>
      <c r="G184" s="407"/>
      <c r="H184" s="407"/>
      <c r="I184" s="407"/>
      <c r="K184" s="407"/>
      <c r="M184" s="15"/>
      <c r="O184" s="15"/>
      <c r="Q184" s="407"/>
      <c r="S184" s="15"/>
      <c r="U184" s="15"/>
      <c r="W184" s="407"/>
      <c r="Y184" s="15"/>
      <c r="AA184" s="15"/>
      <c r="AC184" s="407"/>
      <c r="AE184" s="15"/>
      <c r="AG184" s="15"/>
      <c r="AI184" s="407"/>
      <c r="AJ184" s="407"/>
      <c r="AK184" s="407"/>
      <c r="AL184" s="407"/>
      <c r="AN184" s="407"/>
      <c r="AO184" s="407"/>
      <c r="AP184" s="407"/>
    </row>
    <row r="185" spans="4:42" s="20" customFormat="1" ht="15">
      <c r="D185" s="407"/>
      <c r="E185" s="407"/>
      <c r="F185" s="407"/>
      <c r="G185" s="407"/>
      <c r="H185" s="407"/>
      <c r="I185" s="407"/>
      <c r="K185" s="407"/>
      <c r="M185" s="15"/>
      <c r="O185" s="15"/>
      <c r="Q185" s="407"/>
      <c r="S185" s="15"/>
      <c r="U185" s="15"/>
      <c r="W185" s="407"/>
      <c r="Y185" s="15"/>
      <c r="AA185" s="15"/>
      <c r="AC185" s="407"/>
      <c r="AE185" s="15"/>
      <c r="AG185" s="15"/>
      <c r="AI185" s="407"/>
      <c r="AJ185" s="407"/>
      <c r="AK185" s="407"/>
      <c r="AL185" s="407"/>
      <c r="AN185" s="407"/>
      <c r="AO185" s="407"/>
      <c r="AP185" s="407"/>
    </row>
    <row r="186" spans="4:42" s="20" customFormat="1" ht="15">
      <c r="D186" s="407"/>
      <c r="E186" s="407"/>
      <c r="F186" s="407"/>
      <c r="G186" s="407"/>
      <c r="H186" s="407"/>
      <c r="I186" s="407"/>
      <c r="K186" s="407"/>
      <c r="M186" s="15"/>
      <c r="O186" s="15"/>
      <c r="Q186" s="407"/>
      <c r="S186" s="15"/>
      <c r="U186" s="15"/>
      <c r="W186" s="407"/>
      <c r="Y186" s="15"/>
      <c r="AA186" s="15"/>
      <c r="AC186" s="407"/>
      <c r="AE186" s="15"/>
      <c r="AG186" s="15"/>
      <c r="AI186" s="407"/>
      <c r="AJ186" s="407"/>
      <c r="AK186" s="407"/>
      <c r="AL186" s="407"/>
      <c r="AN186" s="407"/>
      <c r="AO186" s="407"/>
      <c r="AP186" s="407"/>
    </row>
    <row r="187" spans="4:42" s="20" customFormat="1" ht="15">
      <c r="D187" s="407"/>
      <c r="E187" s="407"/>
      <c r="F187" s="407"/>
      <c r="G187" s="407"/>
      <c r="H187" s="407"/>
      <c r="I187" s="407"/>
      <c r="K187" s="407"/>
      <c r="M187" s="15"/>
      <c r="O187" s="15"/>
      <c r="Q187" s="407"/>
      <c r="S187" s="15"/>
      <c r="U187" s="15"/>
      <c r="W187" s="407"/>
      <c r="Y187" s="15"/>
      <c r="AA187" s="15"/>
      <c r="AC187" s="407"/>
      <c r="AE187" s="15"/>
      <c r="AG187" s="15"/>
      <c r="AI187" s="407"/>
      <c r="AJ187" s="407"/>
      <c r="AK187" s="407"/>
      <c r="AL187" s="407"/>
      <c r="AN187" s="407"/>
      <c r="AO187" s="407"/>
      <c r="AP187" s="407"/>
    </row>
    <row r="188" spans="4:42" s="20" customFormat="1" ht="15">
      <c r="D188" s="407"/>
      <c r="E188" s="407"/>
      <c r="F188" s="407"/>
      <c r="G188" s="407"/>
      <c r="H188" s="407"/>
      <c r="I188" s="407"/>
      <c r="K188" s="407"/>
      <c r="M188" s="15"/>
      <c r="O188" s="15"/>
      <c r="Q188" s="407"/>
      <c r="S188" s="15"/>
      <c r="U188" s="15"/>
      <c r="W188" s="407"/>
      <c r="Y188" s="15"/>
      <c r="AA188" s="15"/>
      <c r="AC188" s="407"/>
      <c r="AE188" s="15"/>
      <c r="AG188" s="15"/>
      <c r="AI188" s="407"/>
      <c r="AJ188" s="407"/>
      <c r="AK188" s="407"/>
      <c r="AL188" s="407"/>
      <c r="AN188" s="407"/>
      <c r="AO188" s="407"/>
      <c r="AP188" s="407"/>
    </row>
    <row r="189" spans="4:42" s="20" customFormat="1" ht="15">
      <c r="D189" s="407"/>
      <c r="E189" s="407"/>
      <c r="F189" s="407"/>
      <c r="G189" s="407"/>
      <c r="H189" s="407"/>
      <c r="I189" s="407"/>
      <c r="K189" s="407"/>
      <c r="M189" s="15"/>
      <c r="O189" s="15"/>
      <c r="Q189" s="407"/>
      <c r="S189" s="15"/>
      <c r="U189" s="15"/>
      <c r="W189" s="407"/>
      <c r="Y189" s="15"/>
      <c r="AA189" s="15"/>
      <c r="AC189" s="407"/>
      <c r="AE189" s="15"/>
      <c r="AG189" s="15"/>
      <c r="AI189" s="407"/>
      <c r="AJ189" s="407"/>
      <c r="AK189" s="407"/>
      <c r="AL189" s="407"/>
      <c r="AN189" s="407"/>
      <c r="AO189" s="407"/>
      <c r="AP189" s="407"/>
    </row>
    <row r="190" spans="4:42" s="20" customFormat="1" ht="15">
      <c r="D190" s="407"/>
      <c r="E190" s="407"/>
      <c r="F190" s="407"/>
      <c r="G190" s="407"/>
      <c r="H190" s="407"/>
      <c r="I190" s="407"/>
      <c r="K190" s="407"/>
      <c r="M190" s="15"/>
      <c r="O190" s="15"/>
      <c r="Q190" s="407"/>
      <c r="S190" s="15"/>
      <c r="U190" s="15"/>
      <c r="W190" s="407"/>
      <c r="Y190" s="15"/>
      <c r="AA190" s="15"/>
      <c r="AC190" s="407"/>
      <c r="AE190" s="15"/>
      <c r="AG190" s="15"/>
      <c r="AI190" s="407"/>
      <c r="AJ190" s="407"/>
      <c r="AK190" s="407"/>
      <c r="AL190" s="407"/>
      <c r="AN190" s="407"/>
      <c r="AO190" s="407"/>
      <c r="AP190" s="407"/>
    </row>
    <row r="191" spans="4:42" s="20" customFormat="1" ht="15">
      <c r="D191" s="407"/>
      <c r="E191" s="407"/>
      <c r="F191" s="407"/>
      <c r="G191" s="407"/>
      <c r="H191" s="407"/>
      <c r="I191" s="407"/>
      <c r="K191" s="407"/>
      <c r="M191" s="15"/>
      <c r="O191" s="15"/>
      <c r="Q191" s="407"/>
      <c r="S191" s="15"/>
      <c r="U191" s="15"/>
      <c r="W191" s="407"/>
      <c r="Y191" s="15"/>
      <c r="AA191" s="15"/>
      <c r="AC191" s="407"/>
      <c r="AE191" s="15"/>
      <c r="AG191" s="15"/>
      <c r="AI191" s="407"/>
      <c r="AJ191" s="407"/>
      <c r="AK191" s="407"/>
      <c r="AL191" s="407"/>
      <c r="AN191" s="407"/>
      <c r="AO191" s="407"/>
      <c r="AP191" s="407"/>
    </row>
    <row r="192" spans="4:42" s="20" customFormat="1" ht="15">
      <c r="D192" s="407"/>
      <c r="E192" s="407"/>
      <c r="F192" s="407"/>
      <c r="G192" s="407"/>
      <c r="H192" s="407"/>
      <c r="I192" s="407"/>
      <c r="K192" s="407"/>
      <c r="M192" s="15"/>
      <c r="O192" s="15"/>
      <c r="Q192" s="407"/>
      <c r="S192" s="15"/>
      <c r="U192" s="15"/>
      <c r="W192" s="407"/>
      <c r="Y192" s="15"/>
      <c r="AA192" s="15"/>
      <c r="AC192" s="407"/>
      <c r="AE192" s="15"/>
      <c r="AG192" s="15"/>
      <c r="AI192" s="407"/>
      <c r="AJ192" s="407"/>
      <c r="AK192" s="407"/>
      <c r="AL192" s="407"/>
      <c r="AN192" s="407"/>
      <c r="AO192" s="407"/>
      <c r="AP192" s="407"/>
    </row>
    <row r="193" spans="4:42" s="20" customFormat="1" ht="15">
      <c r="D193" s="407"/>
      <c r="E193" s="407"/>
      <c r="F193" s="407"/>
      <c r="G193" s="407"/>
      <c r="H193" s="407"/>
      <c r="I193" s="407"/>
      <c r="K193" s="407"/>
      <c r="M193" s="15"/>
      <c r="O193" s="15"/>
      <c r="Q193" s="407"/>
      <c r="S193" s="15"/>
      <c r="U193" s="15"/>
      <c r="W193" s="407"/>
      <c r="Y193" s="15"/>
      <c r="AA193" s="15"/>
      <c r="AC193" s="407"/>
      <c r="AE193" s="15"/>
      <c r="AG193" s="15"/>
      <c r="AI193" s="407"/>
      <c r="AJ193" s="407"/>
      <c r="AK193" s="407"/>
      <c r="AL193" s="407"/>
      <c r="AN193" s="407"/>
      <c r="AO193" s="407"/>
      <c r="AP193" s="407"/>
    </row>
    <row r="194" spans="4:42" s="20" customFormat="1" ht="15">
      <c r="D194" s="407"/>
      <c r="E194" s="407"/>
      <c r="F194" s="407"/>
      <c r="G194" s="407"/>
      <c r="H194" s="407"/>
      <c r="I194" s="407"/>
      <c r="K194" s="407"/>
      <c r="M194" s="15"/>
      <c r="O194" s="15"/>
      <c r="Q194" s="407"/>
      <c r="S194" s="15"/>
      <c r="U194" s="15"/>
      <c r="W194" s="407"/>
      <c r="Y194" s="15"/>
      <c r="AA194" s="15"/>
      <c r="AC194" s="407"/>
      <c r="AE194" s="15"/>
      <c r="AG194" s="15"/>
      <c r="AI194" s="407"/>
      <c r="AJ194" s="407"/>
      <c r="AK194" s="407"/>
      <c r="AL194" s="407"/>
      <c r="AN194" s="407"/>
      <c r="AO194" s="407"/>
      <c r="AP194" s="407"/>
    </row>
    <row r="195" spans="4:42" s="20" customFormat="1" ht="15">
      <c r="D195" s="407"/>
      <c r="E195" s="407"/>
      <c r="F195" s="407"/>
      <c r="G195" s="407"/>
      <c r="H195" s="407"/>
      <c r="I195" s="407"/>
      <c r="K195" s="407"/>
      <c r="M195" s="15"/>
      <c r="O195" s="15"/>
      <c r="Q195" s="407"/>
      <c r="S195" s="15"/>
      <c r="U195" s="15"/>
      <c r="W195" s="407"/>
      <c r="Y195" s="15"/>
      <c r="AA195" s="15"/>
      <c r="AC195" s="407"/>
      <c r="AE195" s="15"/>
      <c r="AG195" s="15"/>
      <c r="AI195" s="407"/>
      <c r="AJ195" s="407"/>
      <c r="AK195" s="407"/>
      <c r="AL195" s="407"/>
      <c r="AN195" s="407"/>
      <c r="AO195" s="407"/>
      <c r="AP195" s="407"/>
    </row>
    <row r="196" spans="4:42" s="20" customFormat="1" ht="15">
      <c r="D196" s="407"/>
      <c r="E196" s="407"/>
      <c r="F196" s="407"/>
      <c r="G196" s="407"/>
      <c r="H196" s="407"/>
      <c r="I196" s="407"/>
      <c r="K196" s="407"/>
      <c r="M196" s="15"/>
      <c r="O196" s="15"/>
      <c r="Q196" s="407"/>
      <c r="S196" s="15"/>
      <c r="U196" s="15"/>
      <c r="W196" s="407"/>
      <c r="Y196" s="15"/>
      <c r="AA196" s="15"/>
      <c r="AC196" s="407"/>
      <c r="AE196" s="15"/>
      <c r="AG196" s="15"/>
      <c r="AI196" s="407"/>
      <c r="AJ196" s="407"/>
      <c r="AK196" s="407"/>
      <c r="AL196" s="407"/>
      <c r="AN196" s="407"/>
      <c r="AO196" s="407"/>
      <c r="AP196" s="407"/>
    </row>
    <row r="197" spans="4:42" s="20" customFormat="1" ht="15">
      <c r="D197" s="407"/>
      <c r="E197" s="407"/>
      <c r="F197" s="407"/>
      <c r="G197" s="407"/>
      <c r="H197" s="407"/>
      <c r="I197" s="407"/>
      <c r="K197" s="407"/>
      <c r="M197" s="15"/>
      <c r="O197" s="15"/>
      <c r="Q197" s="407"/>
      <c r="S197" s="15"/>
      <c r="U197" s="15"/>
      <c r="W197" s="407"/>
      <c r="Y197" s="15"/>
      <c r="AA197" s="15"/>
      <c r="AC197" s="407"/>
      <c r="AE197" s="15"/>
      <c r="AG197" s="15"/>
      <c r="AI197" s="407"/>
      <c r="AJ197" s="407"/>
      <c r="AK197" s="407"/>
      <c r="AL197" s="407"/>
      <c r="AN197" s="407"/>
      <c r="AO197" s="407"/>
      <c r="AP197" s="407"/>
    </row>
    <row r="198" spans="4:42" s="20" customFormat="1" ht="15">
      <c r="D198" s="407"/>
      <c r="E198" s="407"/>
      <c r="F198" s="407"/>
      <c r="G198" s="407"/>
      <c r="H198" s="407"/>
      <c r="I198" s="407"/>
      <c r="K198" s="407"/>
      <c r="M198" s="15"/>
      <c r="O198" s="15"/>
      <c r="Q198" s="407"/>
      <c r="S198" s="15"/>
      <c r="U198" s="15"/>
      <c r="W198" s="407"/>
      <c r="Y198" s="15"/>
      <c r="AA198" s="15"/>
      <c r="AC198" s="407"/>
      <c r="AE198" s="15"/>
      <c r="AG198" s="15"/>
      <c r="AI198" s="407"/>
      <c r="AJ198" s="407"/>
      <c r="AK198" s="407"/>
      <c r="AL198" s="407"/>
      <c r="AN198" s="407"/>
      <c r="AO198" s="407"/>
      <c r="AP198" s="407"/>
    </row>
    <row r="199" spans="4:42" s="20" customFormat="1" ht="15">
      <c r="D199" s="407"/>
      <c r="E199" s="407"/>
      <c r="F199" s="407"/>
      <c r="G199" s="407"/>
      <c r="H199" s="407"/>
      <c r="I199" s="407"/>
      <c r="K199" s="407"/>
      <c r="M199" s="15"/>
      <c r="O199" s="15"/>
      <c r="Q199" s="407"/>
      <c r="S199" s="15"/>
      <c r="U199" s="15"/>
      <c r="W199" s="407"/>
      <c r="Y199" s="15"/>
      <c r="AA199" s="15"/>
      <c r="AC199" s="407"/>
      <c r="AE199" s="15"/>
      <c r="AG199" s="15"/>
      <c r="AI199" s="407"/>
      <c r="AJ199" s="407"/>
      <c r="AK199" s="407"/>
      <c r="AL199" s="407"/>
      <c r="AN199" s="407"/>
      <c r="AO199" s="407"/>
      <c r="AP199" s="407"/>
    </row>
    <row r="200" spans="4:42" s="20" customFormat="1" ht="15">
      <c r="D200" s="407"/>
      <c r="E200" s="407"/>
      <c r="F200" s="407"/>
      <c r="G200" s="407"/>
      <c r="H200" s="407"/>
      <c r="I200" s="407"/>
      <c r="K200" s="407"/>
      <c r="M200" s="15"/>
      <c r="O200" s="15"/>
      <c r="Q200" s="407"/>
      <c r="S200" s="15"/>
      <c r="U200" s="15"/>
      <c r="W200" s="407"/>
      <c r="Y200" s="15"/>
      <c r="AA200" s="15"/>
      <c r="AC200" s="407"/>
      <c r="AE200" s="15"/>
      <c r="AG200" s="15"/>
      <c r="AI200" s="407"/>
      <c r="AJ200" s="407"/>
      <c r="AK200" s="407"/>
      <c r="AL200" s="407"/>
      <c r="AN200" s="407"/>
      <c r="AO200" s="407"/>
      <c r="AP200" s="407"/>
    </row>
    <row r="201" spans="4:42" s="20" customFormat="1" ht="15">
      <c r="D201" s="407"/>
      <c r="E201" s="407"/>
      <c r="F201" s="407"/>
      <c r="G201" s="407"/>
      <c r="H201" s="407"/>
      <c r="I201" s="407"/>
      <c r="K201" s="407"/>
      <c r="M201" s="15"/>
      <c r="O201" s="15"/>
      <c r="Q201" s="407"/>
      <c r="S201" s="15"/>
      <c r="U201" s="15"/>
      <c r="W201" s="407"/>
      <c r="Y201" s="15"/>
      <c r="AA201" s="15"/>
      <c r="AC201" s="407"/>
      <c r="AE201" s="15"/>
      <c r="AG201" s="15"/>
      <c r="AI201" s="407"/>
      <c r="AJ201" s="407"/>
      <c r="AK201" s="407"/>
      <c r="AL201" s="407"/>
      <c r="AN201" s="407"/>
      <c r="AO201" s="407"/>
      <c r="AP201" s="407"/>
    </row>
    <row r="202" spans="4:42" s="20" customFormat="1" ht="15">
      <c r="D202" s="407"/>
      <c r="E202" s="407"/>
      <c r="F202" s="407"/>
      <c r="G202" s="407"/>
      <c r="H202" s="407"/>
      <c r="I202" s="407"/>
      <c r="K202" s="407"/>
      <c r="M202" s="15"/>
      <c r="O202" s="15"/>
      <c r="Q202" s="407"/>
      <c r="S202" s="15"/>
      <c r="U202" s="15"/>
      <c r="W202" s="407"/>
      <c r="Y202" s="15"/>
      <c r="AA202" s="15"/>
      <c r="AC202" s="407"/>
      <c r="AE202" s="15"/>
      <c r="AG202" s="15"/>
      <c r="AI202" s="407"/>
      <c r="AJ202" s="407"/>
      <c r="AK202" s="407"/>
      <c r="AL202" s="407"/>
      <c r="AN202" s="407"/>
      <c r="AO202" s="407"/>
      <c r="AP202" s="407"/>
    </row>
    <row r="203" spans="4:42" s="20" customFormat="1" ht="15">
      <c r="D203" s="407"/>
      <c r="E203" s="407"/>
      <c r="F203" s="407"/>
      <c r="G203" s="407"/>
      <c r="H203" s="407"/>
      <c r="I203" s="407"/>
      <c r="K203" s="407"/>
      <c r="M203" s="15"/>
      <c r="O203" s="15"/>
      <c r="Q203" s="407"/>
      <c r="S203" s="15"/>
      <c r="U203" s="15"/>
      <c r="W203" s="407"/>
      <c r="Y203" s="15"/>
      <c r="AA203" s="15"/>
      <c r="AC203" s="407"/>
      <c r="AE203" s="15"/>
      <c r="AG203" s="15"/>
      <c r="AI203" s="407"/>
      <c r="AJ203" s="407"/>
      <c r="AK203" s="407"/>
      <c r="AL203" s="407"/>
      <c r="AN203" s="407"/>
      <c r="AO203" s="407"/>
      <c r="AP203" s="407"/>
    </row>
    <row r="204" spans="4:42" s="20" customFormat="1" ht="15">
      <c r="D204" s="407"/>
      <c r="E204" s="407"/>
      <c r="F204" s="407"/>
      <c r="G204" s="407"/>
      <c r="H204" s="407"/>
      <c r="I204" s="407"/>
      <c r="K204" s="407"/>
      <c r="M204" s="15"/>
      <c r="O204" s="15"/>
      <c r="Q204" s="407"/>
      <c r="S204" s="15"/>
      <c r="U204" s="15"/>
      <c r="W204" s="407"/>
      <c r="Y204" s="15"/>
      <c r="AA204" s="15"/>
      <c r="AC204" s="407"/>
      <c r="AE204" s="15"/>
      <c r="AG204" s="15"/>
      <c r="AI204" s="407"/>
      <c r="AJ204" s="407"/>
      <c r="AK204" s="407"/>
      <c r="AL204" s="407"/>
      <c r="AN204" s="407"/>
      <c r="AO204" s="407"/>
      <c r="AP204" s="407"/>
    </row>
    <row r="205" spans="4:42" s="20" customFormat="1" ht="15">
      <c r="D205" s="407"/>
      <c r="E205" s="407"/>
      <c r="F205" s="407"/>
      <c r="G205" s="407"/>
      <c r="H205" s="407"/>
      <c r="I205" s="407"/>
      <c r="K205" s="407"/>
      <c r="M205" s="15"/>
      <c r="O205" s="15"/>
      <c r="Q205" s="407"/>
      <c r="S205" s="15"/>
      <c r="U205" s="15"/>
      <c r="W205" s="407"/>
      <c r="Y205" s="15"/>
      <c r="AA205" s="15"/>
      <c r="AC205" s="407"/>
      <c r="AE205" s="15"/>
      <c r="AG205" s="15"/>
      <c r="AI205" s="407"/>
      <c r="AJ205" s="407"/>
      <c r="AK205" s="407"/>
      <c r="AL205" s="407"/>
      <c r="AN205" s="407"/>
      <c r="AO205" s="407"/>
      <c r="AP205" s="407"/>
    </row>
    <row r="206" spans="4:42" s="20" customFormat="1" ht="15">
      <c r="D206" s="407"/>
      <c r="E206" s="407"/>
      <c r="F206" s="407"/>
      <c r="G206" s="407"/>
      <c r="H206" s="407"/>
      <c r="I206" s="407"/>
      <c r="K206" s="407"/>
      <c r="M206" s="15"/>
      <c r="O206" s="15"/>
      <c r="Q206" s="407"/>
      <c r="S206" s="15"/>
      <c r="U206" s="15"/>
      <c r="W206" s="407"/>
      <c r="Y206" s="15"/>
      <c r="AA206" s="15"/>
      <c r="AC206" s="407"/>
      <c r="AE206" s="15"/>
      <c r="AG206" s="15"/>
      <c r="AI206" s="407"/>
      <c r="AJ206" s="407"/>
      <c r="AK206" s="407"/>
      <c r="AL206" s="407"/>
      <c r="AN206" s="407"/>
      <c r="AO206" s="407"/>
      <c r="AP206" s="407"/>
    </row>
    <row r="207" spans="4:42" s="20" customFormat="1" ht="15">
      <c r="D207" s="407"/>
      <c r="E207" s="407"/>
      <c r="F207" s="407"/>
      <c r="G207" s="407"/>
      <c r="H207" s="407"/>
      <c r="I207" s="407"/>
      <c r="K207" s="407"/>
      <c r="M207" s="15"/>
      <c r="O207" s="15"/>
      <c r="Q207" s="407"/>
      <c r="S207" s="15"/>
      <c r="U207" s="15"/>
      <c r="W207" s="407"/>
      <c r="Y207" s="15"/>
      <c r="AA207" s="15"/>
      <c r="AC207" s="407"/>
      <c r="AE207" s="15"/>
      <c r="AG207" s="15"/>
      <c r="AI207" s="407"/>
      <c r="AJ207" s="407"/>
      <c r="AK207" s="407"/>
      <c r="AL207" s="407"/>
      <c r="AN207" s="407"/>
      <c r="AO207" s="407"/>
      <c r="AP207" s="407"/>
    </row>
    <row r="208" spans="4:42" s="20" customFormat="1" ht="15">
      <c r="D208" s="407"/>
      <c r="E208" s="407"/>
      <c r="F208" s="407"/>
      <c r="G208" s="407"/>
      <c r="H208" s="407"/>
      <c r="I208" s="407"/>
      <c r="K208" s="407"/>
      <c r="M208" s="15"/>
      <c r="O208" s="15"/>
      <c r="Q208" s="407"/>
      <c r="S208" s="15"/>
      <c r="U208" s="15"/>
      <c r="W208" s="407"/>
      <c r="Y208" s="15"/>
      <c r="AA208" s="15"/>
      <c r="AC208" s="407"/>
      <c r="AE208" s="15"/>
      <c r="AG208" s="15"/>
      <c r="AI208" s="407"/>
      <c r="AJ208" s="407"/>
      <c r="AK208" s="407"/>
      <c r="AL208" s="407"/>
      <c r="AN208" s="407"/>
      <c r="AO208" s="407"/>
      <c r="AP208" s="407"/>
    </row>
    <row r="209" spans="4:42" s="20" customFormat="1" ht="15">
      <c r="D209" s="407"/>
      <c r="E209" s="407"/>
      <c r="F209" s="407"/>
      <c r="G209" s="407"/>
      <c r="H209" s="407"/>
      <c r="I209" s="407"/>
      <c r="K209" s="407"/>
      <c r="M209" s="15"/>
      <c r="O209" s="15"/>
      <c r="Q209" s="407"/>
      <c r="S209" s="15"/>
      <c r="U209" s="15"/>
      <c r="W209" s="407"/>
      <c r="Y209" s="15"/>
      <c r="AA209" s="15"/>
      <c r="AC209" s="407"/>
      <c r="AE209" s="15"/>
      <c r="AG209" s="15"/>
      <c r="AI209" s="407"/>
      <c r="AJ209" s="407"/>
      <c r="AK209" s="407"/>
      <c r="AL209" s="407"/>
      <c r="AN209" s="407"/>
      <c r="AO209" s="407"/>
      <c r="AP209" s="407"/>
    </row>
    <row r="210" spans="4:42" s="20" customFormat="1" ht="15">
      <c r="D210" s="407"/>
      <c r="E210" s="407"/>
      <c r="F210" s="407"/>
      <c r="G210" s="407"/>
      <c r="H210" s="407"/>
      <c r="I210" s="407"/>
      <c r="K210" s="407"/>
      <c r="M210" s="15"/>
      <c r="O210" s="15"/>
      <c r="Q210" s="407"/>
      <c r="S210" s="15"/>
      <c r="U210" s="15"/>
      <c r="W210" s="407"/>
      <c r="Y210" s="15"/>
      <c r="AA210" s="15"/>
      <c r="AC210" s="407"/>
      <c r="AE210" s="15"/>
      <c r="AG210" s="15"/>
      <c r="AI210" s="407"/>
      <c r="AJ210" s="407"/>
      <c r="AK210" s="407"/>
      <c r="AL210" s="407"/>
      <c r="AN210" s="407"/>
      <c r="AO210" s="407"/>
      <c r="AP210" s="407"/>
    </row>
    <row r="211" spans="4:42" s="20" customFormat="1" ht="15">
      <c r="D211" s="407"/>
      <c r="E211" s="407"/>
      <c r="F211" s="407"/>
      <c r="G211" s="407"/>
      <c r="H211" s="407"/>
      <c r="I211" s="407"/>
      <c r="K211" s="407"/>
      <c r="M211" s="15"/>
      <c r="O211" s="15"/>
      <c r="Q211" s="407"/>
      <c r="S211" s="15"/>
      <c r="U211" s="15"/>
      <c r="W211" s="407"/>
      <c r="Y211" s="15"/>
      <c r="AA211" s="15"/>
      <c r="AC211" s="407"/>
      <c r="AE211" s="15"/>
      <c r="AG211" s="15"/>
      <c r="AI211" s="407"/>
      <c r="AJ211" s="407"/>
      <c r="AK211" s="407"/>
      <c r="AL211" s="407"/>
      <c r="AN211" s="407"/>
      <c r="AO211" s="407"/>
      <c r="AP211" s="407"/>
    </row>
    <row r="212" spans="4:42" s="20" customFormat="1" ht="15">
      <c r="D212" s="407"/>
      <c r="E212" s="407"/>
      <c r="F212" s="407"/>
      <c r="G212" s="407"/>
      <c r="H212" s="407"/>
      <c r="I212" s="407"/>
      <c r="K212" s="407"/>
      <c r="M212" s="15"/>
      <c r="O212" s="15"/>
      <c r="Q212" s="407"/>
      <c r="S212" s="15"/>
      <c r="U212" s="15"/>
      <c r="W212" s="407"/>
      <c r="Y212" s="15"/>
      <c r="AA212" s="15"/>
      <c r="AC212" s="407"/>
      <c r="AE212" s="15"/>
      <c r="AG212" s="15"/>
      <c r="AI212" s="407"/>
      <c r="AJ212" s="407"/>
      <c r="AK212" s="407"/>
      <c r="AL212" s="407"/>
      <c r="AN212" s="407"/>
      <c r="AO212" s="407"/>
      <c r="AP212" s="407"/>
    </row>
    <row r="213" spans="4:42" s="20" customFormat="1" ht="15">
      <c r="D213" s="407"/>
      <c r="E213" s="407"/>
      <c r="F213" s="407"/>
      <c r="G213" s="407"/>
      <c r="H213" s="407"/>
      <c r="I213" s="407"/>
      <c r="K213" s="407"/>
      <c r="M213" s="15"/>
      <c r="O213" s="15"/>
      <c r="Q213" s="407"/>
      <c r="S213" s="15"/>
      <c r="U213" s="15"/>
      <c r="W213" s="407"/>
      <c r="Y213" s="15"/>
      <c r="AA213" s="15"/>
      <c r="AC213" s="407"/>
      <c r="AE213" s="15"/>
      <c r="AG213" s="15"/>
      <c r="AI213" s="407"/>
      <c r="AJ213" s="407"/>
      <c r="AK213" s="407"/>
      <c r="AL213" s="407"/>
      <c r="AN213" s="407"/>
      <c r="AO213" s="407"/>
      <c r="AP213" s="407"/>
    </row>
    <row r="214" spans="4:42" s="20" customFormat="1" ht="15">
      <c r="D214" s="407"/>
      <c r="E214" s="407"/>
      <c r="F214" s="407"/>
      <c r="G214" s="407"/>
      <c r="H214" s="407"/>
      <c r="I214" s="407"/>
      <c r="K214" s="407"/>
      <c r="M214" s="15"/>
      <c r="O214" s="15"/>
      <c r="Q214" s="407"/>
      <c r="S214" s="15"/>
      <c r="U214" s="15"/>
      <c r="W214" s="407"/>
      <c r="Y214" s="15"/>
      <c r="AA214" s="15"/>
      <c r="AC214" s="407"/>
      <c r="AE214" s="15"/>
      <c r="AG214" s="15"/>
      <c r="AI214" s="407"/>
      <c r="AJ214" s="407"/>
      <c r="AK214" s="407"/>
      <c r="AL214" s="407"/>
      <c r="AN214" s="407"/>
      <c r="AO214" s="407"/>
      <c r="AP214" s="407"/>
    </row>
    <row r="215" spans="4:42" s="20" customFormat="1" ht="15">
      <c r="D215" s="407"/>
      <c r="E215" s="407"/>
      <c r="F215" s="407"/>
      <c r="G215" s="407"/>
      <c r="H215" s="407"/>
      <c r="I215" s="407"/>
      <c r="K215" s="407"/>
      <c r="M215" s="15"/>
      <c r="O215" s="15"/>
      <c r="Q215" s="407"/>
      <c r="S215" s="15"/>
      <c r="U215" s="15"/>
      <c r="W215" s="407"/>
      <c r="Y215" s="15"/>
      <c r="AA215" s="15"/>
      <c r="AC215" s="407"/>
      <c r="AE215" s="15"/>
      <c r="AG215" s="15"/>
      <c r="AI215" s="407"/>
      <c r="AJ215" s="407"/>
      <c r="AK215" s="407"/>
      <c r="AL215" s="407"/>
      <c r="AN215" s="407"/>
      <c r="AO215" s="407"/>
      <c r="AP215" s="407"/>
    </row>
    <row r="216" spans="4:42" s="20" customFormat="1" ht="15">
      <c r="D216" s="407"/>
      <c r="E216" s="407"/>
      <c r="F216" s="407"/>
      <c r="G216" s="407"/>
      <c r="H216" s="407"/>
      <c r="I216" s="407"/>
      <c r="K216" s="407"/>
      <c r="M216" s="15"/>
      <c r="O216" s="15"/>
      <c r="Q216" s="407"/>
      <c r="S216" s="15"/>
      <c r="U216" s="15"/>
      <c r="W216" s="407"/>
      <c r="Y216" s="15"/>
      <c r="AA216" s="15"/>
      <c r="AC216" s="407"/>
      <c r="AE216" s="15"/>
      <c r="AG216" s="15"/>
      <c r="AI216" s="407"/>
      <c r="AJ216" s="407"/>
      <c r="AK216" s="407"/>
      <c r="AL216" s="407"/>
      <c r="AN216" s="407"/>
      <c r="AO216" s="407"/>
      <c r="AP216" s="407"/>
    </row>
    <row r="217" spans="4:42" s="20" customFormat="1" ht="15">
      <c r="D217" s="407"/>
      <c r="E217" s="407"/>
      <c r="F217" s="407"/>
      <c r="G217" s="407"/>
      <c r="H217" s="407"/>
      <c r="I217" s="407"/>
      <c r="K217" s="407"/>
      <c r="M217" s="15"/>
      <c r="O217" s="15"/>
      <c r="Q217" s="407"/>
      <c r="S217" s="15"/>
      <c r="U217" s="15"/>
      <c r="W217" s="407"/>
      <c r="Y217" s="15"/>
      <c r="AA217" s="15"/>
      <c r="AC217" s="407"/>
      <c r="AE217" s="15"/>
      <c r="AG217" s="15"/>
      <c r="AI217" s="407"/>
      <c r="AJ217" s="407"/>
      <c r="AK217" s="407"/>
      <c r="AL217" s="407"/>
      <c r="AN217" s="407"/>
      <c r="AO217" s="407"/>
      <c r="AP217" s="407"/>
    </row>
    <row r="218" spans="4:42" s="20" customFormat="1" ht="15">
      <c r="D218" s="407"/>
      <c r="E218" s="407"/>
      <c r="F218" s="407"/>
      <c r="G218" s="407"/>
      <c r="H218" s="407"/>
      <c r="I218" s="407"/>
      <c r="K218" s="407"/>
      <c r="M218" s="15"/>
      <c r="O218" s="15"/>
      <c r="Q218" s="407"/>
      <c r="S218" s="15"/>
      <c r="U218" s="15"/>
      <c r="W218" s="407"/>
      <c r="Y218" s="15"/>
      <c r="AA218" s="15"/>
      <c r="AC218" s="407"/>
      <c r="AE218" s="15"/>
      <c r="AG218" s="15"/>
      <c r="AI218" s="407"/>
      <c r="AJ218" s="407"/>
      <c r="AK218" s="407"/>
      <c r="AL218" s="407"/>
      <c r="AN218" s="407"/>
      <c r="AO218" s="407"/>
      <c r="AP218" s="407"/>
    </row>
    <row r="219" spans="4:42" s="20" customFormat="1" ht="15">
      <c r="D219" s="407"/>
      <c r="E219" s="407"/>
      <c r="F219" s="407"/>
      <c r="G219" s="407"/>
      <c r="H219" s="407"/>
      <c r="I219" s="407"/>
      <c r="K219" s="407"/>
      <c r="M219" s="15"/>
      <c r="O219" s="15"/>
      <c r="Q219" s="407"/>
      <c r="S219" s="15"/>
      <c r="U219" s="15"/>
      <c r="W219" s="407"/>
      <c r="Y219" s="15"/>
      <c r="AA219" s="15"/>
      <c r="AC219" s="407"/>
      <c r="AE219" s="15"/>
      <c r="AG219" s="15"/>
      <c r="AI219" s="407"/>
      <c r="AJ219" s="407"/>
      <c r="AK219" s="407"/>
      <c r="AL219" s="407"/>
      <c r="AN219" s="407"/>
      <c r="AO219" s="407"/>
      <c r="AP219" s="407"/>
    </row>
    <row r="220" spans="4:42" s="20" customFormat="1" ht="15">
      <c r="D220" s="407"/>
      <c r="E220" s="407"/>
      <c r="F220" s="407"/>
      <c r="G220" s="407"/>
      <c r="H220" s="407"/>
      <c r="I220" s="407"/>
      <c r="K220" s="407"/>
      <c r="M220" s="15"/>
      <c r="O220" s="15"/>
      <c r="Q220" s="407"/>
      <c r="S220" s="15"/>
      <c r="U220" s="15"/>
      <c r="W220" s="407"/>
      <c r="Y220" s="15"/>
      <c r="AA220" s="15"/>
      <c r="AC220" s="407"/>
      <c r="AE220" s="15"/>
      <c r="AG220" s="15"/>
      <c r="AI220" s="407"/>
      <c r="AJ220" s="407"/>
      <c r="AK220" s="407"/>
      <c r="AL220" s="407"/>
      <c r="AN220" s="407"/>
      <c r="AO220" s="407"/>
      <c r="AP220" s="407"/>
    </row>
    <row r="221" spans="4:42" s="20" customFormat="1" ht="15">
      <c r="D221" s="407"/>
      <c r="E221" s="407"/>
      <c r="F221" s="407"/>
      <c r="G221" s="407"/>
      <c r="H221" s="407"/>
      <c r="I221" s="407"/>
      <c r="K221" s="407"/>
      <c r="M221" s="15"/>
      <c r="O221" s="15"/>
      <c r="Q221" s="407"/>
      <c r="S221" s="15"/>
      <c r="U221" s="15"/>
      <c r="W221" s="407"/>
      <c r="Y221" s="15"/>
      <c r="AA221" s="15"/>
      <c r="AC221" s="407"/>
      <c r="AE221" s="15"/>
      <c r="AG221" s="15"/>
      <c r="AI221" s="407"/>
      <c r="AJ221" s="407"/>
      <c r="AK221" s="407"/>
      <c r="AL221" s="407"/>
      <c r="AN221" s="407"/>
      <c r="AO221" s="407"/>
      <c r="AP221" s="407"/>
    </row>
    <row r="222" spans="4:42" s="20" customFormat="1" ht="15">
      <c r="D222" s="407"/>
      <c r="E222" s="407"/>
      <c r="F222" s="407"/>
      <c r="G222" s="407"/>
      <c r="H222" s="407"/>
      <c r="I222" s="407"/>
      <c r="K222" s="407"/>
      <c r="M222" s="15"/>
      <c r="O222" s="15"/>
      <c r="Q222" s="407"/>
      <c r="S222" s="15"/>
      <c r="U222" s="15"/>
      <c r="W222" s="407"/>
      <c r="Y222" s="15"/>
      <c r="AA222" s="15"/>
      <c r="AC222" s="407"/>
      <c r="AE222" s="15"/>
      <c r="AG222" s="15"/>
      <c r="AI222" s="407"/>
      <c r="AJ222" s="407"/>
      <c r="AK222" s="407"/>
      <c r="AL222" s="407"/>
      <c r="AN222" s="407"/>
      <c r="AO222" s="407"/>
      <c r="AP222" s="407"/>
    </row>
    <row r="223" spans="4:42" s="20" customFormat="1" ht="15">
      <c r="D223" s="407"/>
      <c r="E223" s="407"/>
      <c r="F223" s="407"/>
      <c r="G223" s="407"/>
      <c r="H223" s="407"/>
      <c r="I223" s="407"/>
      <c r="K223" s="407"/>
      <c r="M223" s="15"/>
      <c r="O223" s="15"/>
      <c r="Q223" s="407"/>
      <c r="S223" s="15"/>
      <c r="U223" s="15"/>
      <c r="W223" s="407"/>
      <c r="Y223" s="15"/>
      <c r="AA223" s="15"/>
      <c r="AC223" s="407"/>
      <c r="AE223" s="15"/>
      <c r="AG223" s="15"/>
      <c r="AI223" s="407"/>
      <c r="AJ223" s="407"/>
      <c r="AK223" s="407"/>
      <c r="AL223" s="407"/>
      <c r="AN223" s="407"/>
      <c r="AO223" s="407"/>
      <c r="AP223" s="407"/>
    </row>
    <row r="224" spans="4:42" s="20" customFormat="1" ht="15">
      <c r="D224" s="407"/>
      <c r="E224" s="407"/>
      <c r="F224" s="407"/>
      <c r="G224" s="407"/>
      <c r="H224" s="407"/>
      <c r="I224" s="407"/>
      <c r="K224" s="407"/>
      <c r="M224" s="15"/>
      <c r="O224" s="15"/>
      <c r="Q224" s="407"/>
      <c r="S224" s="15"/>
      <c r="U224" s="15"/>
      <c r="W224" s="407"/>
      <c r="Y224" s="15"/>
      <c r="AA224" s="15"/>
      <c r="AC224" s="407"/>
      <c r="AE224" s="15"/>
      <c r="AG224" s="15"/>
      <c r="AI224" s="407"/>
      <c r="AJ224" s="407"/>
      <c r="AK224" s="407"/>
      <c r="AL224" s="407"/>
      <c r="AN224" s="407"/>
      <c r="AO224" s="407"/>
      <c r="AP224" s="407"/>
    </row>
    <row r="225" spans="4:42" s="20" customFormat="1" ht="15">
      <c r="D225" s="407"/>
      <c r="E225" s="407"/>
      <c r="F225" s="407"/>
      <c r="G225" s="407"/>
      <c r="H225" s="407"/>
      <c r="I225" s="407"/>
      <c r="K225" s="407"/>
      <c r="M225" s="15"/>
      <c r="O225" s="15"/>
      <c r="Q225" s="407"/>
      <c r="S225" s="15"/>
      <c r="U225" s="15"/>
      <c r="W225" s="407"/>
      <c r="Y225" s="15"/>
      <c r="AA225" s="15"/>
      <c r="AC225" s="407"/>
      <c r="AE225" s="15"/>
      <c r="AG225" s="15"/>
      <c r="AI225" s="407"/>
      <c r="AJ225" s="407"/>
      <c r="AK225" s="407"/>
      <c r="AL225" s="407"/>
      <c r="AN225" s="407"/>
      <c r="AO225" s="407"/>
      <c r="AP225" s="407"/>
    </row>
    <row r="226" spans="4:42" s="20" customFormat="1" ht="15">
      <c r="D226" s="407"/>
      <c r="E226" s="407"/>
      <c r="F226" s="407"/>
      <c r="G226" s="407"/>
      <c r="H226" s="407"/>
      <c r="I226" s="407"/>
      <c r="K226" s="407"/>
      <c r="M226" s="15"/>
      <c r="O226" s="15"/>
      <c r="Q226" s="407"/>
      <c r="S226" s="15"/>
      <c r="U226" s="15"/>
      <c r="W226" s="407"/>
      <c r="Y226" s="15"/>
      <c r="AA226" s="15"/>
      <c r="AC226" s="407"/>
      <c r="AE226" s="15"/>
      <c r="AG226" s="15"/>
      <c r="AI226" s="407"/>
      <c r="AJ226" s="407"/>
      <c r="AK226" s="407"/>
      <c r="AL226" s="407"/>
      <c r="AN226" s="407"/>
      <c r="AO226" s="407"/>
      <c r="AP226" s="407"/>
    </row>
    <row r="227" spans="4:42" s="20" customFormat="1" ht="15">
      <c r="D227" s="407"/>
      <c r="E227" s="407"/>
      <c r="F227" s="407"/>
      <c r="G227" s="407"/>
      <c r="H227" s="407"/>
      <c r="I227" s="407"/>
      <c r="K227" s="407"/>
      <c r="M227" s="15"/>
      <c r="O227" s="15"/>
      <c r="Q227" s="407"/>
      <c r="S227" s="15"/>
      <c r="U227" s="15"/>
      <c r="W227" s="407"/>
      <c r="Y227" s="15"/>
      <c r="AA227" s="15"/>
      <c r="AC227" s="407"/>
      <c r="AE227" s="15"/>
      <c r="AG227" s="15"/>
      <c r="AI227" s="407"/>
      <c r="AJ227" s="407"/>
      <c r="AK227" s="407"/>
      <c r="AL227" s="407"/>
      <c r="AN227" s="407"/>
      <c r="AO227" s="407"/>
      <c r="AP227" s="407"/>
    </row>
    <row r="228" spans="4:42" s="20" customFormat="1" ht="15">
      <c r="D228" s="407"/>
      <c r="E228" s="407"/>
      <c r="F228" s="407"/>
      <c r="G228" s="407"/>
      <c r="H228" s="407"/>
      <c r="I228" s="407"/>
      <c r="K228" s="407"/>
      <c r="M228" s="15"/>
      <c r="O228" s="15"/>
      <c r="Q228" s="407"/>
      <c r="S228" s="15"/>
      <c r="U228" s="15"/>
      <c r="W228" s="407"/>
      <c r="Y228" s="15"/>
      <c r="AA228" s="15"/>
      <c r="AC228" s="407"/>
      <c r="AE228" s="15"/>
      <c r="AG228" s="15"/>
      <c r="AI228" s="407"/>
      <c r="AJ228" s="407"/>
      <c r="AK228" s="407"/>
      <c r="AL228" s="407"/>
      <c r="AN228" s="407"/>
      <c r="AO228" s="407"/>
      <c r="AP228" s="407"/>
    </row>
    <row r="229" spans="4:42" s="20" customFormat="1" ht="15">
      <c r="D229" s="407"/>
      <c r="E229" s="407"/>
      <c r="F229" s="407"/>
      <c r="G229" s="407"/>
      <c r="H229" s="407"/>
      <c r="I229" s="407"/>
      <c r="K229" s="407"/>
      <c r="M229" s="15"/>
      <c r="O229" s="15"/>
      <c r="Q229" s="407"/>
      <c r="S229" s="15"/>
      <c r="U229" s="15"/>
      <c r="W229" s="407"/>
      <c r="Y229" s="15"/>
      <c r="AA229" s="15"/>
      <c r="AC229" s="407"/>
      <c r="AE229" s="15"/>
      <c r="AG229" s="15"/>
      <c r="AI229" s="407"/>
      <c r="AJ229" s="407"/>
      <c r="AK229" s="407"/>
      <c r="AL229" s="407"/>
      <c r="AN229" s="407"/>
      <c r="AO229" s="407"/>
      <c r="AP229" s="407"/>
    </row>
    <row r="230" spans="4:42" s="20" customFormat="1" ht="15">
      <c r="D230" s="407"/>
      <c r="E230" s="407"/>
      <c r="F230" s="407"/>
      <c r="G230" s="407"/>
      <c r="H230" s="407"/>
      <c r="I230" s="407"/>
      <c r="K230" s="407"/>
      <c r="M230" s="15"/>
      <c r="O230" s="15"/>
      <c r="Q230" s="407"/>
      <c r="S230" s="15"/>
      <c r="U230" s="15"/>
      <c r="W230" s="407"/>
      <c r="Y230" s="15"/>
      <c r="AA230" s="15"/>
      <c r="AC230" s="407"/>
      <c r="AE230" s="15"/>
      <c r="AG230" s="15"/>
      <c r="AI230" s="407"/>
      <c r="AJ230" s="407"/>
      <c r="AK230" s="407"/>
      <c r="AL230" s="407"/>
      <c r="AN230" s="407"/>
      <c r="AO230" s="407"/>
      <c r="AP230" s="407"/>
    </row>
    <row r="231" spans="4:42" s="20" customFormat="1" ht="15">
      <c r="D231" s="407"/>
      <c r="E231" s="407"/>
      <c r="F231" s="407"/>
      <c r="G231" s="407"/>
      <c r="H231" s="407"/>
      <c r="I231" s="407"/>
      <c r="K231" s="407"/>
      <c r="M231" s="15"/>
      <c r="O231" s="15"/>
      <c r="Q231" s="407"/>
      <c r="S231" s="15"/>
      <c r="U231" s="15"/>
      <c r="W231" s="407"/>
      <c r="Y231" s="15"/>
      <c r="AA231" s="15"/>
      <c r="AC231" s="407"/>
      <c r="AE231" s="15"/>
      <c r="AG231" s="15"/>
      <c r="AI231" s="407"/>
      <c r="AJ231" s="407"/>
      <c r="AK231" s="407"/>
      <c r="AL231" s="407"/>
      <c r="AN231" s="407"/>
      <c r="AO231" s="407"/>
      <c r="AP231" s="407"/>
    </row>
    <row r="232" spans="4:42" s="20" customFormat="1" ht="15">
      <c r="D232" s="407"/>
      <c r="E232" s="407"/>
      <c r="F232" s="407"/>
      <c r="G232" s="407"/>
      <c r="H232" s="407"/>
      <c r="I232" s="407"/>
      <c r="K232" s="407"/>
      <c r="M232" s="15"/>
      <c r="O232" s="15"/>
      <c r="Q232" s="407"/>
      <c r="S232" s="15"/>
      <c r="U232" s="15"/>
      <c r="W232" s="407"/>
      <c r="Y232" s="15"/>
      <c r="AA232" s="15"/>
      <c r="AC232" s="407"/>
      <c r="AE232" s="15"/>
      <c r="AG232" s="15"/>
      <c r="AI232" s="407"/>
      <c r="AJ232" s="407"/>
      <c r="AK232" s="407"/>
      <c r="AL232" s="407"/>
      <c r="AN232" s="407"/>
      <c r="AO232" s="407"/>
      <c r="AP232" s="407"/>
    </row>
    <row r="233" spans="4:42" s="20" customFormat="1" ht="15">
      <c r="D233" s="407"/>
      <c r="E233" s="407"/>
      <c r="F233" s="407"/>
      <c r="G233" s="407"/>
      <c r="H233" s="407"/>
      <c r="I233" s="407"/>
      <c r="K233" s="407"/>
      <c r="M233" s="15"/>
      <c r="O233" s="15"/>
      <c r="Q233" s="407"/>
      <c r="S233" s="15"/>
      <c r="U233" s="15"/>
      <c r="W233" s="407"/>
      <c r="Y233" s="15"/>
      <c r="AA233" s="15"/>
      <c r="AC233" s="407"/>
      <c r="AE233" s="15"/>
      <c r="AG233" s="15"/>
      <c r="AI233" s="407"/>
      <c r="AJ233" s="407"/>
      <c r="AK233" s="407"/>
      <c r="AL233" s="407"/>
      <c r="AN233" s="407"/>
      <c r="AO233" s="407"/>
      <c r="AP233" s="407"/>
    </row>
    <row r="234" spans="4:42" s="20" customFormat="1" ht="15">
      <c r="D234" s="407"/>
      <c r="E234" s="407"/>
      <c r="F234" s="407"/>
      <c r="G234" s="407"/>
      <c r="H234" s="407"/>
      <c r="I234" s="407"/>
      <c r="K234" s="407"/>
      <c r="M234" s="15"/>
      <c r="O234" s="15"/>
      <c r="Q234" s="407"/>
      <c r="S234" s="15"/>
      <c r="U234" s="15"/>
      <c r="W234" s="407"/>
      <c r="Y234" s="15"/>
      <c r="AA234" s="15"/>
      <c r="AC234" s="407"/>
      <c r="AE234" s="15"/>
      <c r="AG234" s="15"/>
      <c r="AI234" s="407"/>
      <c r="AJ234" s="407"/>
      <c r="AK234" s="407"/>
      <c r="AL234" s="407"/>
      <c r="AN234" s="407"/>
      <c r="AO234" s="407"/>
      <c r="AP234" s="407"/>
    </row>
    <row r="235" spans="4:42" s="20" customFormat="1" ht="15">
      <c r="D235" s="407"/>
      <c r="E235" s="407"/>
      <c r="F235" s="407"/>
      <c r="G235" s="407"/>
      <c r="H235" s="407"/>
      <c r="I235" s="407"/>
      <c r="K235" s="407"/>
      <c r="M235" s="15"/>
      <c r="O235" s="15"/>
      <c r="Q235" s="407"/>
      <c r="S235" s="15"/>
      <c r="U235" s="15"/>
      <c r="W235" s="407"/>
      <c r="Y235" s="15"/>
      <c r="AA235" s="15"/>
      <c r="AC235" s="407"/>
      <c r="AE235" s="15"/>
      <c r="AG235" s="15"/>
      <c r="AI235" s="407"/>
      <c r="AJ235" s="407"/>
      <c r="AK235" s="407"/>
      <c r="AL235" s="407"/>
      <c r="AN235" s="407"/>
      <c r="AO235" s="407"/>
      <c r="AP235" s="407"/>
    </row>
    <row r="236" spans="4:42" s="20" customFormat="1" ht="15">
      <c r="D236" s="407"/>
      <c r="E236" s="407"/>
      <c r="F236" s="407"/>
      <c r="G236" s="407"/>
      <c r="H236" s="407"/>
      <c r="I236" s="407"/>
      <c r="K236" s="407"/>
      <c r="M236" s="15"/>
      <c r="O236" s="15"/>
      <c r="Q236" s="407"/>
      <c r="S236" s="15"/>
      <c r="U236" s="15"/>
      <c r="W236" s="407"/>
      <c r="Y236" s="15"/>
      <c r="AA236" s="15"/>
      <c r="AC236" s="407"/>
      <c r="AE236" s="15"/>
      <c r="AG236" s="15"/>
      <c r="AI236" s="407"/>
      <c r="AJ236" s="407"/>
      <c r="AK236" s="407"/>
      <c r="AL236" s="407"/>
      <c r="AN236" s="407"/>
      <c r="AO236" s="407"/>
      <c r="AP236" s="407"/>
    </row>
    <row r="237" spans="4:42" s="20" customFormat="1" ht="15">
      <c r="D237" s="407"/>
      <c r="E237" s="407"/>
      <c r="F237" s="407"/>
      <c r="G237" s="407"/>
      <c r="H237" s="407"/>
      <c r="I237" s="407"/>
      <c r="K237" s="407"/>
      <c r="M237" s="15"/>
      <c r="O237" s="15"/>
      <c r="Q237" s="407"/>
      <c r="S237" s="15"/>
      <c r="U237" s="15"/>
      <c r="W237" s="407"/>
      <c r="Y237" s="15"/>
      <c r="AA237" s="15"/>
      <c r="AC237" s="407"/>
      <c r="AE237" s="15"/>
      <c r="AG237" s="15"/>
      <c r="AI237" s="407"/>
      <c r="AJ237" s="407"/>
      <c r="AK237" s="407"/>
      <c r="AL237" s="407"/>
      <c r="AN237" s="407"/>
      <c r="AO237" s="407"/>
      <c r="AP237" s="407"/>
    </row>
    <row r="238" spans="4:42" s="20" customFormat="1" ht="15">
      <c r="D238" s="407"/>
      <c r="E238" s="407"/>
      <c r="F238" s="407"/>
      <c r="G238" s="407"/>
      <c r="H238" s="407"/>
      <c r="I238" s="407"/>
      <c r="K238" s="407"/>
      <c r="M238" s="15"/>
      <c r="O238" s="15"/>
      <c r="Q238" s="407"/>
      <c r="S238" s="15"/>
      <c r="U238" s="15"/>
      <c r="W238" s="407"/>
      <c r="Y238" s="15"/>
      <c r="AA238" s="15"/>
      <c r="AC238" s="407"/>
      <c r="AE238" s="15"/>
      <c r="AG238" s="15"/>
      <c r="AI238" s="407"/>
      <c r="AJ238" s="407"/>
      <c r="AK238" s="407"/>
      <c r="AL238" s="407"/>
      <c r="AN238" s="407"/>
      <c r="AO238" s="407"/>
      <c r="AP238" s="407"/>
    </row>
    <row r="239" spans="4:42" s="20" customFormat="1" ht="15">
      <c r="D239" s="407"/>
      <c r="E239" s="407"/>
      <c r="F239" s="407"/>
      <c r="G239" s="407"/>
      <c r="H239" s="407"/>
      <c r="I239" s="407"/>
      <c r="K239" s="407"/>
      <c r="M239" s="15"/>
      <c r="O239" s="15"/>
      <c r="Q239" s="407"/>
      <c r="S239" s="15"/>
      <c r="U239" s="15"/>
      <c r="W239" s="407"/>
      <c r="Y239" s="15"/>
      <c r="AA239" s="15"/>
      <c r="AC239" s="407"/>
      <c r="AE239" s="15"/>
      <c r="AG239" s="15"/>
      <c r="AI239" s="407"/>
      <c r="AJ239" s="407"/>
      <c r="AK239" s="407"/>
      <c r="AL239" s="407"/>
      <c r="AN239" s="407"/>
      <c r="AO239" s="407"/>
      <c r="AP239" s="407"/>
    </row>
    <row r="240" spans="4:42" s="20" customFormat="1" ht="15">
      <c r="D240" s="407"/>
      <c r="E240" s="407"/>
      <c r="F240" s="407"/>
      <c r="G240" s="407"/>
      <c r="H240" s="407"/>
      <c r="I240" s="407"/>
      <c r="K240" s="407"/>
      <c r="M240" s="15"/>
      <c r="O240" s="15"/>
      <c r="Q240" s="407"/>
      <c r="S240" s="15"/>
      <c r="U240" s="15"/>
      <c r="W240" s="407"/>
      <c r="Y240" s="15"/>
      <c r="AA240" s="15"/>
      <c r="AC240" s="407"/>
      <c r="AE240" s="15"/>
      <c r="AG240" s="15"/>
      <c r="AI240" s="407"/>
      <c r="AJ240" s="407"/>
      <c r="AK240" s="407"/>
      <c r="AL240" s="407"/>
      <c r="AN240" s="407"/>
      <c r="AO240" s="407"/>
      <c r="AP240" s="407"/>
    </row>
    <row r="241" spans="1:42" s="20" customFormat="1" ht="15">
      <c r="D241" s="407"/>
      <c r="E241" s="407"/>
      <c r="F241" s="407"/>
      <c r="G241" s="407"/>
      <c r="H241" s="407"/>
      <c r="I241" s="407"/>
      <c r="K241" s="407"/>
      <c r="M241" s="15"/>
      <c r="O241" s="15"/>
      <c r="Q241" s="407"/>
      <c r="S241" s="15"/>
      <c r="U241" s="15"/>
      <c r="W241" s="407"/>
      <c r="Y241" s="15"/>
      <c r="AA241" s="15"/>
      <c r="AC241" s="407"/>
      <c r="AE241" s="15"/>
      <c r="AG241" s="15"/>
      <c r="AI241" s="407"/>
      <c r="AJ241" s="407"/>
      <c r="AK241" s="407"/>
      <c r="AL241" s="407"/>
      <c r="AN241" s="407"/>
      <c r="AO241" s="407"/>
      <c r="AP241" s="407"/>
    </row>
    <row r="242" spans="1:42" s="20" customFormat="1">
      <c r="A242" s="407"/>
      <c r="C242" s="407"/>
      <c r="D242" s="407"/>
      <c r="E242" s="407"/>
      <c r="F242" s="407"/>
      <c r="G242" s="407"/>
      <c r="H242" s="407"/>
      <c r="I242" s="407"/>
      <c r="K242" s="407"/>
      <c r="M242" s="407"/>
      <c r="O242" s="407"/>
      <c r="Q242" s="407"/>
      <c r="S242" s="407"/>
      <c r="U242" s="407"/>
      <c r="W242" s="407"/>
      <c r="Y242" s="407"/>
      <c r="AA242" s="407"/>
      <c r="AC242" s="407"/>
      <c r="AE242" s="407"/>
      <c r="AG242" s="407"/>
      <c r="AI242" s="407"/>
      <c r="AJ242" s="407"/>
      <c r="AK242" s="407"/>
      <c r="AL242" s="407"/>
      <c r="AN242" s="407"/>
      <c r="AO242" s="407"/>
      <c r="AP242" s="407"/>
    </row>
    <row r="243" spans="1:42" s="20" customFormat="1">
      <c r="A243" s="407"/>
      <c r="C243" s="407"/>
      <c r="D243" s="407"/>
      <c r="E243" s="407"/>
      <c r="F243" s="407"/>
      <c r="G243" s="407"/>
      <c r="H243" s="407"/>
      <c r="I243" s="407"/>
      <c r="K243" s="407"/>
      <c r="M243" s="407"/>
      <c r="O243" s="407"/>
      <c r="Q243" s="407"/>
      <c r="S243" s="407"/>
      <c r="U243" s="407"/>
      <c r="W243" s="407"/>
      <c r="Y243" s="407"/>
      <c r="AA243" s="407"/>
      <c r="AC243" s="407"/>
      <c r="AE243" s="407"/>
      <c r="AG243" s="407"/>
      <c r="AI243" s="407"/>
      <c r="AJ243" s="407"/>
      <c r="AK243" s="407"/>
      <c r="AL243" s="407"/>
      <c r="AN243" s="407"/>
      <c r="AO243" s="407"/>
      <c r="AP243" s="407"/>
    </row>
    <row r="244" spans="1:42" s="20" customFormat="1">
      <c r="A244" s="407"/>
      <c r="C244" s="407"/>
      <c r="D244" s="407"/>
      <c r="E244" s="407"/>
      <c r="F244" s="407"/>
      <c r="G244" s="407"/>
      <c r="H244" s="407"/>
      <c r="I244" s="407"/>
      <c r="K244" s="407"/>
      <c r="M244" s="407"/>
      <c r="O244" s="407"/>
      <c r="Q244" s="407"/>
      <c r="S244" s="407"/>
      <c r="U244" s="407"/>
      <c r="W244" s="407"/>
      <c r="Y244" s="407"/>
      <c r="AA244" s="407"/>
      <c r="AC244" s="407"/>
      <c r="AE244" s="407"/>
      <c r="AG244" s="407"/>
      <c r="AI244" s="407"/>
      <c r="AJ244" s="407"/>
      <c r="AK244" s="407"/>
      <c r="AL244" s="407"/>
      <c r="AN244" s="407"/>
      <c r="AO244" s="407"/>
      <c r="AP244" s="407"/>
    </row>
    <row r="245" spans="1:42" s="20" customFormat="1">
      <c r="A245" s="407"/>
      <c r="C245" s="407"/>
      <c r="D245" s="407"/>
      <c r="E245" s="407"/>
      <c r="F245" s="407"/>
      <c r="G245" s="407"/>
      <c r="H245" s="407"/>
      <c r="I245" s="407"/>
      <c r="K245" s="407"/>
      <c r="M245" s="407"/>
      <c r="O245" s="407"/>
      <c r="Q245" s="407"/>
      <c r="S245" s="407"/>
      <c r="U245" s="407"/>
      <c r="W245" s="407"/>
      <c r="Y245" s="407"/>
      <c r="AA245" s="407"/>
      <c r="AC245" s="407"/>
      <c r="AE245" s="407"/>
      <c r="AG245" s="407"/>
      <c r="AI245" s="407"/>
      <c r="AJ245" s="407"/>
      <c r="AK245" s="407"/>
      <c r="AL245" s="407"/>
      <c r="AN245" s="407"/>
      <c r="AO245" s="407"/>
      <c r="AP245" s="407"/>
    </row>
    <row r="246" spans="1:42" s="20" customFormat="1">
      <c r="A246" s="407"/>
      <c r="C246" s="407"/>
      <c r="D246" s="407"/>
      <c r="E246" s="407"/>
      <c r="F246" s="407"/>
      <c r="G246" s="407"/>
      <c r="H246" s="407"/>
      <c r="I246" s="407"/>
      <c r="K246" s="407"/>
      <c r="M246" s="407"/>
      <c r="O246" s="407"/>
      <c r="Q246" s="407"/>
      <c r="S246" s="407"/>
      <c r="U246" s="407"/>
      <c r="W246" s="407"/>
      <c r="Y246" s="407"/>
      <c r="AA246" s="407"/>
      <c r="AC246" s="407"/>
      <c r="AE246" s="407"/>
      <c r="AG246" s="407"/>
      <c r="AI246" s="407"/>
      <c r="AJ246" s="407"/>
      <c r="AK246" s="407"/>
      <c r="AL246" s="407"/>
      <c r="AN246" s="407"/>
      <c r="AO246" s="407"/>
      <c r="AP246" s="407"/>
    </row>
    <row r="247" spans="1:42" s="20" customFormat="1">
      <c r="A247" s="407"/>
      <c r="C247" s="407"/>
      <c r="D247" s="407"/>
      <c r="E247" s="407"/>
      <c r="F247" s="407"/>
      <c r="G247" s="407"/>
      <c r="H247" s="407"/>
      <c r="I247" s="407"/>
      <c r="K247" s="407"/>
      <c r="M247" s="407"/>
      <c r="O247" s="407"/>
      <c r="Q247" s="407"/>
      <c r="S247" s="407"/>
      <c r="U247" s="407"/>
      <c r="W247" s="407"/>
      <c r="Y247" s="407"/>
      <c r="AA247" s="407"/>
      <c r="AC247" s="407"/>
      <c r="AE247" s="407"/>
      <c r="AG247" s="407"/>
      <c r="AI247" s="407"/>
      <c r="AJ247" s="407"/>
      <c r="AK247" s="407"/>
      <c r="AL247" s="407"/>
      <c r="AN247" s="407"/>
      <c r="AO247" s="407"/>
      <c r="AP247" s="407"/>
    </row>
    <row r="248" spans="1:42" s="20" customFormat="1">
      <c r="A248" s="407"/>
      <c r="C248" s="407"/>
      <c r="D248" s="407"/>
      <c r="E248" s="407"/>
      <c r="F248" s="407"/>
      <c r="G248" s="407"/>
      <c r="H248" s="407"/>
      <c r="I248" s="407"/>
      <c r="K248" s="407"/>
      <c r="M248" s="407"/>
      <c r="O248" s="407"/>
      <c r="Q248" s="407"/>
      <c r="S248" s="407"/>
      <c r="U248" s="407"/>
      <c r="W248" s="407"/>
      <c r="Y248" s="407"/>
      <c r="AA248" s="407"/>
      <c r="AC248" s="407"/>
      <c r="AE248" s="407"/>
      <c r="AG248" s="407"/>
      <c r="AI248" s="407"/>
      <c r="AJ248" s="407"/>
      <c r="AK248" s="407"/>
      <c r="AL248" s="407"/>
      <c r="AN248" s="407"/>
      <c r="AO248" s="407"/>
      <c r="AP248" s="407"/>
    </row>
    <row r="249" spans="1:42" s="20" customFormat="1">
      <c r="A249" s="407"/>
      <c r="C249" s="407"/>
      <c r="D249" s="407"/>
      <c r="E249" s="407"/>
      <c r="F249" s="407"/>
      <c r="G249" s="407"/>
      <c r="H249" s="407"/>
      <c r="I249" s="407"/>
      <c r="K249" s="407"/>
      <c r="M249" s="407"/>
      <c r="O249" s="407"/>
      <c r="Q249" s="407"/>
      <c r="S249" s="407"/>
      <c r="U249" s="407"/>
      <c r="W249" s="407"/>
      <c r="Y249" s="407"/>
      <c r="AA249" s="407"/>
      <c r="AC249" s="407"/>
      <c r="AE249" s="407"/>
      <c r="AG249" s="407"/>
      <c r="AI249" s="407"/>
      <c r="AJ249" s="407"/>
      <c r="AK249" s="407"/>
      <c r="AL249" s="407"/>
      <c r="AN249" s="407"/>
      <c r="AO249" s="407"/>
      <c r="AP249" s="407"/>
    </row>
    <row r="250" spans="1:42" s="20" customFormat="1">
      <c r="A250" s="407"/>
      <c r="C250" s="407"/>
      <c r="D250" s="407"/>
      <c r="E250" s="407"/>
      <c r="F250" s="407"/>
      <c r="G250" s="407"/>
      <c r="H250" s="407"/>
      <c r="I250" s="407"/>
      <c r="K250" s="407"/>
      <c r="M250" s="407"/>
      <c r="O250" s="407"/>
      <c r="Q250" s="407"/>
      <c r="S250" s="407"/>
      <c r="U250" s="407"/>
      <c r="W250" s="407"/>
      <c r="Y250" s="407"/>
      <c r="AA250" s="407"/>
      <c r="AC250" s="407"/>
      <c r="AE250" s="407"/>
      <c r="AG250" s="407"/>
      <c r="AI250" s="407"/>
      <c r="AJ250" s="407"/>
      <c r="AK250" s="407"/>
      <c r="AL250" s="407"/>
      <c r="AN250" s="407"/>
      <c r="AO250" s="407"/>
      <c r="AP250" s="407"/>
    </row>
    <row r="251" spans="1:42" s="20" customFormat="1">
      <c r="A251" s="407"/>
      <c r="C251" s="407"/>
      <c r="D251" s="407"/>
      <c r="E251" s="407"/>
      <c r="F251" s="407"/>
      <c r="G251" s="407"/>
      <c r="H251" s="407"/>
      <c r="I251" s="407"/>
      <c r="K251" s="407"/>
      <c r="M251" s="407"/>
      <c r="O251" s="407"/>
      <c r="Q251" s="407"/>
      <c r="S251" s="407"/>
      <c r="U251" s="407"/>
      <c r="W251" s="407"/>
      <c r="Y251" s="407"/>
      <c r="AA251" s="407"/>
      <c r="AC251" s="407"/>
      <c r="AE251" s="407"/>
      <c r="AG251" s="407"/>
      <c r="AI251" s="407"/>
      <c r="AJ251" s="407"/>
      <c r="AK251" s="407"/>
      <c r="AL251" s="407"/>
      <c r="AN251" s="407"/>
      <c r="AO251" s="407"/>
      <c r="AP251" s="407"/>
    </row>
    <row r="252" spans="1:42" s="20" customFormat="1">
      <c r="A252" s="407"/>
      <c r="C252" s="407"/>
      <c r="D252" s="407"/>
      <c r="E252" s="407"/>
      <c r="F252" s="407"/>
      <c r="G252" s="407"/>
      <c r="H252" s="407"/>
      <c r="I252" s="407"/>
      <c r="K252" s="407"/>
      <c r="M252" s="407"/>
      <c r="O252" s="407"/>
      <c r="Q252" s="407"/>
      <c r="S252" s="407"/>
      <c r="U252" s="407"/>
      <c r="W252" s="407"/>
      <c r="Y252" s="407"/>
      <c r="AA252" s="407"/>
      <c r="AC252" s="407"/>
      <c r="AE252" s="407"/>
      <c r="AG252" s="407"/>
      <c r="AI252" s="407"/>
      <c r="AJ252" s="407"/>
      <c r="AK252" s="407"/>
      <c r="AL252" s="407"/>
      <c r="AN252" s="407"/>
      <c r="AO252" s="407"/>
      <c r="AP252" s="407"/>
    </row>
    <row r="253" spans="1:42" s="20" customFormat="1">
      <c r="A253" s="407"/>
      <c r="C253" s="407"/>
      <c r="D253" s="407"/>
      <c r="E253" s="407"/>
      <c r="F253" s="407"/>
      <c r="G253" s="407"/>
      <c r="H253" s="407"/>
      <c r="I253" s="407"/>
      <c r="K253" s="407"/>
      <c r="M253" s="407"/>
      <c r="O253" s="407"/>
      <c r="Q253" s="407"/>
      <c r="S253" s="407"/>
      <c r="U253" s="407"/>
      <c r="W253" s="407"/>
      <c r="Y253" s="407"/>
      <c r="AA253" s="407"/>
      <c r="AC253" s="407"/>
      <c r="AE253" s="407"/>
      <c r="AG253" s="407"/>
      <c r="AI253" s="407"/>
      <c r="AJ253" s="407"/>
      <c r="AK253" s="407"/>
      <c r="AL253" s="407"/>
      <c r="AN253" s="407"/>
      <c r="AO253" s="407"/>
      <c r="AP253" s="407"/>
    </row>
    <row r="254" spans="1:42" s="20" customFormat="1">
      <c r="A254" s="407"/>
      <c r="C254" s="407"/>
      <c r="D254" s="407"/>
      <c r="E254" s="407"/>
      <c r="F254" s="407"/>
      <c r="G254" s="407"/>
      <c r="H254" s="407"/>
      <c r="I254" s="407"/>
      <c r="K254" s="407"/>
      <c r="M254" s="407"/>
      <c r="O254" s="407"/>
      <c r="Q254" s="407"/>
      <c r="S254" s="407"/>
      <c r="U254" s="407"/>
      <c r="W254" s="407"/>
      <c r="Y254" s="407"/>
      <c r="AA254" s="407"/>
      <c r="AC254" s="407"/>
      <c r="AE254" s="407"/>
      <c r="AG254" s="407"/>
      <c r="AI254" s="407"/>
      <c r="AJ254" s="407"/>
      <c r="AK254" s="407"/>
      <c r="AL254" s="407"/>
      <c r="AN254" s="407"/>
      <c r="AO254" s="407"/>
      <c r="AP254" s="407"/>
    </row>
    <row r="255" spans="1:42" s="20" customFormat="1">
      <c r="A255" s="407"/>
      <c r="C255" s="407"/>
      <c r="D255" s="407"/>
      <c r="E255" s="407"/>
      <c r="F255" s="407"/>
      <c r="G255" s="407"/>
      <c r="H255" s="407"/>
      <c r="I255" s="407"/>
      <c r="K255" s="407"/>
      <c r="M255" s="407"/>
      <c r="O255" s="407"/>
      <c r="Q255" s="407"/>
      <c r="S255" s="407"/>
      <c r="U255" s="407"/>
      <c r="W255" s="407"/>
      <c r="Y255" s="407"/>
      <c r="AA255" s="407"/>
      <c r="AC255" s="407"/>
      <c r="AE255" s="407"/>
      <c r="AG255" s="407"/>
      <c r="AI255" s="407"/>
      <c r="AJ255" s="407"/>
      <c r="AK255" s="407"/>
      <c r="AL255" s="407"/>
      <c r="AN255" s="407"/>
      <c r="AO255" s="407"/>
      <c r="AP255" s="407"/>
    </row>
    <row r="256" spans="1:42" s="20" customFormat="1">
      <c r="A256" s="407"/>
      <c r="C256" s="407"/>
      <c r="D256" s="407"/>
      <c r="E256" s="407"/>
      <c r="F256" s="407"/>
      <c r="G256" s="407"/>
      <c r="H256" s="407"/>
      <c r="I256" s="407"/>
      <c r="K256" s="407"/>
      <c r="M256" s="407"/>
      <c r="O256" s="407"/>
      <c r="Q256" s="407"/>
      <c r="S256" s="407"/>
      <c r="U256" s="407"/>
      <c r="W256" s="407"/>
      <c r="Y256" s="407"/>
      <c r="AA256" s="407"/>
      <c r="AC256" s="407"/>
      <c r="AE256" s="407"/>
      <c r="AG256" s="407"/>
      <c r="AI256" s="407"/>
      <c r="AJ256" s="407"/>
      <c r="AK256" s="407"/>
      <c r="AL256" s="407"/>
      <c r="AN256" s="407"/>
      <c r="AO256" s="407"/>
      <c r="AP256" s="407"/>
    </row>
    <row r="257" spans="2:2">
      <c r="B257" s="20"/>
    </row>
    <row r="258" spans="2:2">
      <c r="B258" s="20"/>
    </row>
    <row r="259" spans="2:2">
      <c r="B259" s="20"/>
    </row>
    <row r="260" spans="2:2">
      <c r="B260" s="20"/>
    </row>
    <row r="261" spans="2:2">
      <c r="B261" s="20"/>
    </row>
    <row r="262" spans="2:2">
      <c r="B262" s="20"/>
    </row>
    <row r="263" spans="2:2">
      <c r="B263" s="20"/>
    </row>
    <row r="264" spans="2:2">
      <c r="B264" s="20"/>
    </row>
    <row r="265" spans="2:2">
      <c r="B265" s="20"/>
    </row>
    <row r="266" spans="2:2">
      <c r="B266" s="20"/>
    </row>
    <row r="267" spans="2:2">
      <c r="B267" s="20"/>
    </row>
    <row r="268" spans="2:2">
      <c r="B268" s="20"/>
    </row>
    <row r="269" spans="2:2">
      <c r="B269" s="20"/>
    </row>
    <row r="270" spans="2:2">
      <c r="B270" s="20"/>
    </row>
    <row r="271" spans="2:2">
      <c r="B271" s="20"/>
    </row>
    <row r="272" spans="2:2">
      <c r="B272" s="20"/>
    </row>
    <row r="273" spans="2:2">
      <c r="B273" s="20"/>
    </row>
    <row r="274" spans="2:2">
      <c r="B274" s="20"/>
    </row>
    <row r="275" spans="2:2">
      <c r="B275" s="20"/>
    </row>
    <row r="276" spans="2:2">
      <c r="B276" s="20"/>
    </row>
  </sheetData>
  <pageMargins left="0.25" right="0.25" top="0.27" bottom="0.4" header="0.18" footer="0.25"/>
  <pageSetup scale="45" fitToHeight="0" pageOrder="overThenDown" orientation="landscape" errors="blank" r:id="rId1"/>
  <headerFooter alignWithMargins="0">
    <oddHeader>&amp;CDESIGNATED INFORMATION IS CONFIDENTIAL PER WAC 480-07-160</oddHeader>
    <oddFooter>&amp;L&amp;F - &amp;A&amp;CPrinted &amp;D - &amp;T&amp;RPage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pageSetUpPr fitToPage="1"/>
  </sheetPr>
  <dimension ref="A1:T34"/>
  <sheetViews>
    <sheetView showGridLines="0" tabSelected="1" view="pageBreakPreview" zoomScale="85" zoomScaleNormal="100" zoomScaleSheetLayoutView="85" workbookViewId="0">
      <selection activeCell="AR41" sqref="AR41"/>
    </sheetView>
  </sheetViews>
  <sheetFormatPr defaultRowHeight="15"/>
  <cols>
    <col min="1" max="2" width="9.140625" style="615"/>
    <col min="3" max="3" width="20.5703125" style="615" customWidth="1"/>
    <col min="4" max="4" width="15.7109375" style="615" bestFit="1" customWidth="1"/>
    <col min="5" max="5" width="18.28515625" style="615" bestFit="1" customWidth="1"/>
    <col min="6" max="6" width="10.5703125" style="615" bestFit="1" customWidth="1"/>
    <col min="7" max="7" width="17.7109375" style="615" customWidth="1"/>
    <col min="8" max="8" width="10.5703125" style="615" bestFit="1" customWidth="1"/>
    <col min="9" max="12" width="9.140625" style="615"/>
    <col min="13" max="14" width="16.28515625" style="615" customWidth="1"/>
    <col min="15" max="15" width="18.28515625" style="615" bestFit="1" customWidth="1"/>
    <col min="16" max="17" width="16.28515625" style="615" customWidth="1"/>
    <col min="18" max="258" width="9.140625" style="615"/>
    <col min="259" max="259" width="20.140625" style="615" customWidth="1"/>
    <col min="260" max="260" width="12.28515625" style="615" customWidth="1"/>
    <col min="261" max="261" width="11.28515625" style="615" bestFit="1" customWidth="1"/>
    <col min="262" max="514" width="9.140625" style="615"/>
    <col min="515" max="515" width="20.140625" style="615" customWidth="1"/>
    <col min="516" max="516" width="12.28515625" style="615" customWidth="1"/>
    <col min="517" max="517" width="11.28515625" style="615" bestFit="1" customWidth="1"/>
    <col min="518" max="770" width="9.140625" style="615"/>
    <col min="771" max="771" width="20.140625" style="615" customWidth="1"/>
    <col min="772" max="772" width="12.28515625" style="615" customWidth="1"/>
    <col min="773" max="773" width="11.28515625" style="615" bestFit="1" customWidth="1"/>
    <col min="774" max="1026" width="9.140625" style="615"/>
    <col min="1027" max="1027" width="20.140625" style="615" customWidth="1"/>
    <col min="1028" max="1028" width="12.28515625" style="615" customWidth="1"/>
    <col min="1029" max="1029" width="11.28515625" style="615" bestFit="1" customWidth="1"/>
    <col min="1030" max="1282" width="9.140625" style="615"/>
    <col min="1283" max="1283" width="20.140625" style="615" customWidth="1"/>
    <col min="1284" max="1284" width="12.28515625" style="615" customWidth="1"/>
    <col min="1285" max="1285" width="11.28515625" style="615" bestFit="1" customWidth="1"/>
    <col min="1286" max="1538" width="9.140625" style="615"/>
    <col min="1539" max="1539" width="20.140625" style="615" customWidth="1"/>
    <col min="1540" max="1540" width="12.28515625" style="615" customWidth="1"/>
    <col min="1541" max="1541" width="11.28515625" style="615" bestFit="1" customWidth="1"/>
    <col min="1542" max="1794" width="9.140625" style="615"/>
    <col min="1795" max="1795" width="20.140625" style="615" customWidth="1"/>
    <col min="1796" max="1796" width="12.28515625" style="615" customWidth="1"/>
    <col min="1797" max="1797" width="11.28515625" style="615" bestFit="1" customWidth="1"/>
    <col min="1798" max="2050" width="9.140625" style="615"/>
    <col min="2051" max="2051" width="20.140625" style="615" customWidth="1"/>
    <col min="2052" max="2052" width="12.28515625" style="615" customWidth="1"/>
    <col min="2053" max="2053" width="11.28515625" style="615" bestFit="1" customWidth="1"/>
    <col min="2054" max="2306" width="9.140625" style="615"/>
    <col min="2307" max="2307" width="20.140625" style="615" customWidth="1"/>
    <col min="2308" max="2308" width="12.28515625" style="615" customWidth="1"/>
    <col min="2309" max="2309" width="11.28515625" style="615" bestFit="1" customWidth="1"/>
    <col min="2310" max="2562" width="9.140625" style="615"/>
    <col min="2563" max="2563" width="20.140625" style="615" customWidth="1"/>
    <col min="2564" max="2564" width="12.28515625" style="615" customWidth="1"/>
    <col min="2565" max="2565" width="11.28515625" style="615" bestFit="1" customWidth="1"/>
    <col min="2566" max="2818" width="9.140625" style="615"/>
    <col min="2819" max="2819" width="20.140625" style="615" customWidth="1"/>
    <col min="2820" max="2820" width="12.28515625" style="615" customWidth="1"/>
    <col min="2821" max="2821" width="11.28515625" style="615" bestFit="1" customWidth="1"/>
    <col min="2822" max="3074" width="9.140625" style="615"/>
    <col min="3075" max="3075" width="20.140625" style="615" customWidth="1"/>
    <col min="3076" max="3076" width="12.28515625" style="615" customWidth="1"/>
    <col min="3077" max="3077" width="11.28515625" style="615" bestFit="1" customWidth="1"/>
    <col min="3078" max="3330" width="9.140625" style="615"/>
    <col min="3331" max="3331" width="20.140625" style="615" customWidth="1"/>
    <col min="3332" max="3332" width="12.28515625" style="615" customWidth="1"/>
    <col min="3333" max="3333" width="11.28515625" style="615" bestFit="1" customWidth="1"/>
    <col min="3334" max="3586" width="9.140625" style="615"/>
    <col min="3587" max="3587" width="20.140625" style="615" customWidth="1"/>
    <col min="3588" max="3588" width="12.28515625" style="615" customWidth="1"/>
    <col min="3589" max="3589" width="11.28515625" style="615" bestFit="1" customWidth="1"/>
    <col min="3590" max="3842" width="9.140625" style="615"/>
    <col min="3843" max="3843" width="20.140625" style="615" customWidth="1"/>
    <col min="3844" max="3844" width="12.28515625" style="615" customWidth="1"/>
    <col min="3845" max="3845" width="11.28515625" style="615" bestFit="1" customWidth="1"/>
    <col min="3846" max="4098" width="9.140625" style="615"/>
    <col min="4099" max="4099" width="20.140625" style="615" customWidth="1"/>
    <col min="4100" max="4100" width="12.28515625" style="615" customWidth="1"/>
    <col min="4101" max="4101" width="11.28515625" style="615" bestFit="1" customWidth="1"/>
    <col min="4102" max="4354" width="9.140625" style="615"/>
    <col min="4355" max="4355" width="20.140625" style="615" customWidth="1"/>
    <col min="4356" max="4356" width="12.28515625" style="615" customWidth="1"/>
    <col min="4357" max="4357" width="11.28515625" style="615" bestFit="1" customWidth="1"/>
    <col min="4358" max="4610" width="9.140625" style="615"/>
    <col min="4611" max="4611" width="20.140625" style="615" customWidth="1"/>
    <col min="4612" max="4612" width="12.28515625" style="615" customWidth="1"/>
    <col min="4613" max="4613" width="11.28515625" style="615" bestFit="1" customWidth="1"/>
    <col min="4614" max="4866" width="9.140625" style="615"/>
    <col min="4867" max="4867" width="20.140625" style="615" customWidth="1"/>
    <col min="4868" max="4868" width="12.28515625" style="615" customWidth="1"/>
    <col min="4869" max="4869" width="11.28515625" style="615" bestFit="1" customWidth="1"/>
    <col min="4870" max="5122" width="9.140625" style="615"/>
    <col min="5123" max="5123" width="20.140625" style="615" customWidth="1"/>
    <col min="5124" max="5124" width="12.28515625" style="615" customWidth="1"/>
    <col min="5125" max="5125" width="11.28515625" style="615" bestFit="1" customWidth="1"/>
    <col min="5126" max="5378" width="9.140625" style="615"/>
    <col min="5379" max="5379" width="20.140625" style="615" customWidth="1"/>
    <col min="5380" max="5380" width="12.28515625" style="615" customWidth="1"/>
    <col min="5381" max="5381" width="11.28515625" style="615" bestFit="1" customWidth="1"/>
    <col min="5382" max="5634" width="9.140625" style="615"/>
    <col min="5635" max="5635" width="20.140625" style="615" customWidth="1"/>
    <col min="5636" max="5636" width="12.28515625" style="615" customWidth="1"/>
    <col min="5637" max="5637" width="11.28515625" style="615" bestFit="1" customWidth="1"/>
    <col min="5638" max="5890" width="9.140625" style="615"/>
    <col min="5891" max="5891" width="20.140625" style="615" customWidth="1"/>
    <col min="5892" max="5892" width="12.28515625" style="615" customWidth="1"/>
    <col min="5893" max="5893" width="11.28515625" style="615" bestFit="1" customWidth="1"/>
    <col min="5894" max="6146" width="9.140625" style="615"/>
    <col min="6147" max="6147" width="20.140625" style="615" customWidth="1"/>
    <col min="6148" max="6148" width="12.28515625" style="615" customWidth="1"/>
    <col min="6149" max="6149" width="11.28515625" style="615" bestFit="1" customWidth="1"/>
    <col min="6150" max="6402" width="9.140625" style="615"/>
    <col min="6403" max="6403" width="20.140625" style="615" customWidth="1"/>
    <col min="6404" max="6404" width="12.28515625" style="615" customWidth="1"/>
    <col min="6405" max="6405" width="11.28515625" style="615" bestFit="1" customWidth="1"/>
    <col min="6406" max="6658" width="9.140625" style="615"/>
    <col min="6659" max="6659" width="20.140625" style="615" customWidth="1"/>
    <col min="6660" max="6660" width="12.28515625" style="615" customWidth="1"/>
    <col min="6661" max="6661" width="11.28515625" style="615" bestFit="1" customWidth="1"/>
    <col min="6662" max="6914" width="9.140625" style="615"/>
    <col min="6915" max="6915" width="20.140625" style="615" customWidth="1"/>
    <col min="6916" max="6916" width="12.28515625" style="615" customWidth="1"/>
    <col min="6917" max="6917" width="11.28515625" style="615" bestFit="1" customWidth="1"/>
    <col min="6918" max="7170" width="9.140625" style="615"/>
    <col min="7171" max="7171" width="20.140625" style="615" customWidth="1"/>
    <col min="7172" max="7172" width="12.28515625" style="615" customWidth="1"/>
    <col min="7173" max="7173" width="11.28515625" style="615" bestFit="1" customWidth="1"/>
    <col min="7174" max="7426" width="9.140625" style="615"/>
    <col min="7427" max="7427" width="20.140625" style="615" customWidth="1"/>
    <col min="7428" max="7428" width="12.28515625" style="615" customWidth="1"/>
    <col min="7429" max="7429" width="11.28515625" style="615" bestFit="1" customWidth="1"/>
    <col min="7430" max="7682" width="9.140625" style="615"/>
    <col min="7683" max="7683" width="20.140625" style="615" customWidth="1"/>
    <col min="7684" max="7684" width="12.28515625" style="615" customWidth="1"/>
    <col min="7685" max="7685" width="11.28515625" style="615" bestFit="1" customWidth="1"/>
    <col min="7686" max="7938" width="9.140625" style="615"/>
    <col min="7939" max="7939" width="20.140625" style="615" customWidth="1"/>
    <col min="7940" max="7940" width="12.28515625" style="615" customWidth="1"/>
    <col min="7941" max="7941" width="11.28515625" style="615" bestFit="1" customWidth="1"/>
    <col min="7942" max="8194" width="9.140625" style="615"/>
    <col min="8195" max="8195" width="20.140625" style="615" customWidth="1"/>
    <col min="8196" max="8196" width="12.28515625" style="615" customWidth="1"/>
    <col min="8197" max="8197" width="11.28515625" style="615" bestFit="1" customWidth="1"/>
    <col min="8198" max="8450" width="9.140625" style="615"/>
    <col min="8451" max="8451" width="20.140625" style="615" customWidth="1"/>
    <col min="8452" max="8452" width="12.28515625" style="615" customWidth="1"/>
    <col min="8453" max="8453" width="11.28515625" style="615" bestFit="1" customWidth="1"/>
    <col min="8454" max="8706" width="9.140625" style="615"/>
    <col min="8707" max="8707" width="20.140625" style="615" customWidth="1"/>
    <col min="8708" max="8708" width="12.28515625" style="615" customWidth="1"/>
    <col min="8709" max="8709" width="11.28515625" style="615" bestFit="1" customWidth="1"/>
    <col min="8710" max="8962" width="9.140625" style="615"/>
    <col min="8963" max="8963" width="20.140625" style="615" customWidth="1"/>
    <col min="8964" max="8964" width="12.28515625" style="615" customWidth="1"/>
    <col min="8965" max="8965" width="11.28515625" style="615" bestFit="1" customWidth="1"/>
    <col min="8966" max="9218" width="9.140625" style="615"/>
    <col min="9219" max="9219" width="20.140625" style="615" customWidth="1"/>
    <col min="9220" max="9220" width="12.28515625" style="615" customWidth="1"/>
    <col min="9221" max="9221" width="11.28515625" style="615" bestFit="1" customWidth="1"/>
    <col min="9222" max="9474" width="9.140625" style="615"/>
    <col min="9475" max="9475" width="20.140625" style="615" customWidth="1"/>
    <col min="9476" max="9476" width="12.28515625" style="615" customWidth="1"/>
    <col min="9477" max="9477" width="11.28515625" style="615" bestFit="1" customWidth="1"/>
    <col min="9478" max="9730" width="9.140625" style="615"/>
    <col min="9731" max="9731" width="20.140625" style="615" customWidth="1"/>
    <col min="9732" max="9732" width="12.28515625" style="615" customWidth="1"/>
    <col min="9733" max="9733" width="11.28515625" style="615" bestFit="1" customWidth="1"/>
    <col min="9734" max="9986" width="9.140625" style="615"/>
    <col min="9987" max="9987" width="20.140625" style="615" customWidth="1"/>
    <col min="9988" max="9988" width="12.28515625" style="615" customWidth="1"/>
    <col min="9989" max="9989" width="11.28515625" style="615" bestFit="1" customWidth="1"/>
    <col min="9990" max="10242" width="9.140625" style="615"/>
    <col min="10243" max="10243" width="20.140625" style="615" customWidth="1"/>
    <col min="10244" max="10244" width="12.28515625" style="615" customWidth="1"/>
    <col min="10245" max="10245" width="11.28515625" style="615" bestFit="1" customWidth="1"/>
    <col min="10246" max="10498" width="9.140625" style="615"/>
    <col min="10499" max="10499" width="20.140625" style="615" customWidth="1"/>
    <col min="10500" max="10500" width="12.28515625" style="615" customWidth="1"/>
    <col min="10501" max="10501" width="11.28515625" style="615" bestFit="1" customWidth="1"/>
    <col min="10502" max="10754" width="9.140625" style="615"/>
    <col min="10755" max="10755" width="20.140625" style="615" customWidth="1"/>
    <col min="10756" max="10756" width="12.28515625" style="615" customWidth="1"/>
    <col min="10757" max="10757" width="11.28515625" style="615" bestFit="1" customWidth="1"/>
    <col min="10758" max="11010" width="9.140625" style="615"/>
    <col min="11011" max="11011" width="20.140625" style="615" customWidth="1"/>
    <col min="11012" max="11012" width="12.28515625" style="615" customWidth="1"/>
    <col min="11013" max="11013" width="11.28515625" style="615" bestFit="1" customWidth="1"/>
    <col min="11014" max="11266" width="9.140625" style="615"/>
    <col min="11267" max="11267" width="20.140625" style="615" customWidth="1"/>
    <col min="11268" max="11268" width="12.28515625" style="615" customWidth="1"/>
    <col min="11269" max="11269" width="11.28515625" style="615" bestFit="1" customWidth="1"/>
    <col min="11270" max="11522" width="9.140625" style="615"/>
    <col min="11523" max="11523" width="20.140625" style="615" customWidth="1"/>
    <col min="11524" max="11524" width="12.28515625" style="615" customWidth="1"/>
    <col min="11525" max="11525" width="11.28515625" style="615" bestFit="1" customWidth="1"/>
    <col min="11526" max="11778" width="9.140625" style="615"/>
    <col min="11779" max="11779" width="20.140625" style="615" customWidth="1"/>
    <col min="11780" max="11780" width="12.28515625" style="615" customWidth="1"/>
    <col min="11781" max="11781" width="11.28515625" style="615" bestFit="1" customWidth="1"/>
    <col min="11782" max="12034" width="9.140625" style="615"/>
    <col min="12035" max="12035" width="20.140625" style="615" customWidth="1"/>
    <col min="12036" max="12036" width="12.28515625" style="615" customWidth="1"/>
    <col min="12037" max="12037" width="11.28515625" style="615" bestFit="1" customWidth="1"/>
    <col min="12038" max="12290" width="9.140625" style="615"/>
    <col min="12291" max="12291" width="20.140625" style="615" customWidth="1"/>
    <col min="12292" max="12292" width="12.28515625" style="615" customWidth="1"/>
    <col min="12293" max="12293" width="11.28515625" style="615" bestFit="1" customWidth="1"/>
    <col min="12294" max="12546" width="9.140625" style="615"/>
    <col min="12547" max="12547" width="20.140625" style="615" customWidth="1"/>
    <col min="12548" max="12548" width="12.28515625" style="615" customWidth="1"/>
    <col min="12549" max="12549" width="11.28515625" style="615" bestFit="1" customWidth="1"/>
    <col min="12550" max="12802" width="9.140625" style="615"/>
    <col min="12803" max="12803" width="20.140625" style="615" customWidth="1"/>
    <col min="12804" max="12804" width="12.28515625" style="615" customWidth="1"/>
    <col min="12805" max="12805" width="11.28515625" style="615" bestFit="1" customWidth="1"/>
    <col min="12806" max="13058" width="9.140625" style="615"/>
    <col min="13059" max="13059" width="20.140625" style="615" customWidth="1"/>
    <col min="13060" max="13060" width="12.28515625" style="615" customWidth="1"/>
    <col min="13061" max="13061" width="11.28515625" style="615" bestFit="1" customWidth="1"/>
    <col min="13062" max="13314" width="9.140625" style="615"/>
    <col min="13315" max="13315" width="20.140625" style="615" customWidth="1"/>
    <col min="13316" max="13316" width="12.28515625" style="615" customWidth="1"/>
    <col min="13317" max="13317" width="11.28515625" style="615" bestFit="1" customWidth="1"/>
    <col min="13318" max="13570" width="9.140625" style="615"/>
    <col min="13571" max="13571" width="20.140625" style="615" customWidth="1"/>
    <col min="13572" max="13572" width="12.28515625" style="615" customWidth="1"/>
    <col min="13573" max="13573" width="11.28515625" style="615" bestFit="1" customWidth="1"/>
    <col min="13574" max="13826" width="9.140625" style="615"/>
    <col min="13827" max="13827" width="20.140625" style="615" customWidth="1"/>
    <col min="13828" max="13828" width="12.28515625" style="615" customWidth="1"/>
    <col min="13829" max="13829" width="11.28515625" style="615" bestFit="1" customWidth="1"/>
    <col min="13830" max="14082" width="9.140625" style="615"/>
    <col min="14083" max="14083" width="20.140625" style="615" customWidth="1"/>
    <col min="14084" max="14084" width="12.28515625" style="615" customWidth="1"/>
    <col min="14085" max="14085" width="11.28515625" style="615" bestFit="1" customWidth="1"/>
    <col min="14086" max="14338" width="9.140625" style="615"/>
    <col min="14339" max="14339" width="20.140625" style="615" customWidth="1"/>
    <col min="14340" max="14340" width="12.28515625" style="615" customWidth="1"/>
    <col min="14341" max="14341" width="11.28515625" style="615" bestFit="1" customWidth="1"/>
    <col min="14342" max="14594" width="9.140625" style="615"/>
    <col min="14595" max="14595" width="20.140625" style="615" customWidth="1"/>
    <col min="14596" max="14596" width="12.28515625" style="615" customWidth="1"/>
    <col min="14597" max="14597" width="11.28515625" style="615" bestFit="1" customWidth="1"/>
    <col min="14598" max="14850" width="9.140625" style="615"/>
    <col min="14851" max="14851" width="20.140625" style="615" customWidth="1"/>
    <col min="14852" max="14852" width="12.28515625" style="615" customWidth="1"/>
    <col min="14853" max="14853" width="11.28515625" style="615" bestFit="1" customWidth="1"/>
    <col min="14854" max="15106" width="9.140625" style="615"/>
    <col min="15107" max="15107" width="20.140625" style="615" customWidth="1"/>
    <col min="15108" max="15108" width="12.28515625" style="615" customWidth="1"/>
    <col min="15109" max="15109" width="11.28515625" style="615" bestFit="1" customWidth="1"/>
    <col min="15110" max="15362" width="9.140625" style="615"/>
    <col min="15363" max="15363" width="20.140625" style="615" customWidth="1"/>
    <col min="15364" max="15364" width="12.28515625" style="615" customWidth="1"/>
    <col min="15365" max="15365" width="11.28515625" style="615" bestFit="1" customWidth="1"/>
    <col min="15366" max="15618" width="9.140625" style="615"/>
    <col min="15619" max="15619" width="20.140625" style="615" customWidth="1"/>
    <col min="15620" max="15620" width="12.28515625" style="615" customWidth="1"/>
    <col min="15621" max="15621" width="11.28515625" style="615" bestFit="1" customWidth="1"/>
    <col min="15622" max="15874" width="9.140625" style="615"/>
    <col min="15875" max="15875" width="20.140625" style="615" customWidth="1"/>
    <col min="15876" max="15876" width="12.28515625" style="615" customWidth="1"/>
    <col min="15877" max="15877" width="11.28515625" style="615" bestFit="1" customWidth="1"/>
    <col min="15878" max="16130" width="9.140625" style="615"/>
    <col min="16131" max="16131" width="20.140625" style="615" customWidth="1"/>
    <col min="16132" max="16132" width="12.28515625" style="615" customWidth="1"/>
    <col min="16133" max="16133" width="11.28515625" style="615" bestFit="1" customWidth="1"/>
    <col min="16134" max="16384" width="9.140625" style="615"/>
  </cols>
  <sheetData>
    <row r="1" spans="1:20" ht="13.5" customHeight="1">
      <c r="A1" s="1584" t="s">
        <v>925</v>
      </c>
      <c r="B1" s="1585"/>
      <c r="C1" s="1585"/>
      <c r="D1" s="1585"/>
      <c r="E1" s="1585"/>
      <c r="F1" s="1585"/>
      <c r="G1" s="1585"/>
      <c r="H1" s="1585"/>
      <c r="I1" s="1585"/>
      <c r="J1" s="1585"/>
      <c r="K1" s="1585"/>
      <c r="L1" s="1585"/>
      <c r="M1" s="1585"/>
      <c r="N1" s="1585"/>
      <c r="O1" s="1585"/>
      <c r="P1" s="1585"/>
      <c r="Q1" s="1585"/>
      <c r="R1" s="1585"/>
      <c r="S1" s="1585"/>
      <c r="T1" s="1585"/>
    </row>
    <row r="2" spans="1:20" ht="13.5" customHeight="1">
      <c r="A2" s="1586"/>
      <c r="B2" s="1585"/>
      <c r="C2" s="1585"/>
      <c r="D2" s="1585"/>
      <c r="E2" s="1585"/>
      <c r="F2" s="1585"/>
      <c r="G2" s="1585"/>
      <c r="H2" s="1585"/>
      <c r="I2" s="1585"/>
      <c r="J2" s="1585"/>
      <c r="K2" s="1585"/>
      <c r="L2" s="1585"/>
      <c r="M2" s="1585"/>
      <c r="N2" s="1585"/>
      <c r="O2" s="1585"/>
      <c r="P2" s="1585"/>
      <c r="Q2" s="1585"/>
      <c r="R2" s="1585"/>
      <c r="S2" s="1585"/>
      <c r="T2" s="1585"/>
    </row>
    <row r="3" spans="1:20">
      <c r="A3" s="1585"/>
      <c r="B3" s="1585"/>
      <c r="C3" s="1585"/>
      <c r="D3" s="1585"/>
      <c r="E3" s="1585"/>
      <c r="F3" s="1585"/>
      <c r="G3" s="1585"/>
      <c r="H3" s="1585"/>
      <c r="I3" s="1585"/>
      <c r="J3" s="1585"/>
      <c r="K3" s="1585"/>
      <c r="L3" s="1585"/>
      <c r="M3" s="1585"/>
      <c r="N3" s="1585"/>
      <c r="O3" s="1585"/>
      <c r="P3" s="1585"/>
      <c r="Q3" s="1585"/>
      <c r="R3" s="1585"/>
      <c r="S3" s="1585"/>
      <c r="T3" s="1585"/>
    </row>
    <row r="4" spans="1:20" ht="58.5" customHeight="1">
      <c r="A4" s="1587" t="s">
        <v>918</v>
      </c>
      <c r="B4" s="1270"/>
      <c r="C4" s="1270"/>
      <c r="D4" s="1270"/>
      <c r="E4" s="1270"/>
      <c r="F4" s="1270"/>
      <c r="G4" s="1270"/>
      <c r="H4" s="1585"/>
      <c r="I4" s="1585"/>
      <c r="J4" s="1585"/>
      <c r="K4" s="1587" t="s">
        <v>919</v>
      </c>
      <c r="L4" s="1270"/>
      <c r="M4" s="1270"/>
      <c r="N4" s="1270"/>
      <c r="O4" s="1270"/>
      <c r="P4" s="1270"/>
      <c r="Q4" s="1270"/>
      <c r="R4" s="1585"/>
      <c r="S4" s="1585"/>
      <c r="T4" s="1585"/>
    </row>
    <row r="5" spans="1:20">
      <c r="A5" s="1585"/>
      <c r="B5" s="1585"/>
      <c r="C5" s="1588"/>
      <c r="D5" s="1589"/>
      <c r="E5" s="1585"/>
      <c r="F5" s="1585"/>
      <c r="G5" s="1585"/>
      <c r="H5" s="1585"/>
      <c r="I5" s="1585"/>
      <c r="J5" s="1585"/>
      <c r="K5" s="1585"/>
      <c r="L5" s="1585"/>
      <c r="M5" s="1585"/>
      <c r="N5" s="1585"/>
      <c r="O5" s="1585"/>
      <c r="P5" s="1585"/>
      <c r="Q5" s="1585"/>
      <c r="R5" s="1585"/>
      <c r="S5" s="1585"/>
      <c r="T5" s="1585"/>
    </row>
    <row r="6" spans="1:20">
      <c r="A6" s="1585"/>
      <c r="B6" s="1585"/>
      <c r="C6" s="1588"/>
      <c r="D6" s="1585"/>
      <c r="E6" s="1585"/>
      <c r="F6" s="1585"/>
      <c r="G6" s="1585"/>
      <c r="H6" s="1585"/>
      <c r="I6" s="1585"/>
      <c r="J6" s="1585"/>
      <c r="K6" s="1585"/>
      <c r="L6" s="1585"/>
      <c r="M6" s="1585"/>
      <c r="N6" s="1585"/>
      <c r="O6" s="1585"/>
      <c r="P6" s="1585"/>
      <c r="Q6" s="1585"/>
      <c r="R6" s="1585"/>
      <c r="S6" s="1585"/>
      <c r="T6" s="1585"/>
    </row>
    <row r="7" spans="1:20">
      <c r="A7" s="1585"/>
      <c r="B7" s="1585"/>
      <c r="C7" s="1586"/>
      <c r="D7" s="1590" t="s">
        <v>920</v>
      </c>
      <c r="E7" s="1591">
        <v>219643</v>
      </c>
      <c r="F7" s="1585"/>
      <c r="G7" s="1585"/>
      <c r="H7" s="1585"/>
      <c r="I7" s="1585"/>
      <c r="J7" s="1585"/>
      <c r="K7" s="1585"/>
      <c r="L7" s="1585"/>
      <c r="M7" s="1585"/>
      <c r="N7" s="1590" t="s">
        <v>921</v>
      </c>
      <c r="O7" s="1591">
        <v>78964</v>
      </c>
      <c r="P7" s="1585"/>
      <c r="Q7" s="1585"/>
      <c r="R7" s="1585"/>
      <c r="S7" s="1585"/>
      <c r="T7" s="1585"/>
    </row>
    <row r="8" spans="1:20">
      <c r="A8" s="1585"/>
      <c r="B8" s="1585"/>
      <c r="C8" s="1592"/>
      <c r="D8" s="1590"/>
      <c r="E8" s="1591"/>
      <c r="F8" s="1592"/>
      <c r="G8" s="1585"/>
      <c r="H8" s="1585"/>
      <c r="I8" s="1585"/>
      <c r="J8" s="1585"/>
      <c r="K8" s="1585"/>
      <c r="L8" s="1585"/>
      <c r="M8" s="1585"/>
      <c r="N8" s="1585"/>
      <c r="O8" s="1585"/>
      <c r="P8" s="1585"/>
      <c r="Q8" s="1585"/>
      <c r="R8" s="1585"/>
      <c r="S8" s="1585"/>
      <c r="T8" s="1585"/>
    </row>
    <row r="9" spans="1:20" ht="45">
      <c r="A9" s="1585"/>
      <c r="B9" s="1593" t="s">
        <v>922</v>
      </c>
      <c r="C9" s="1594" t="s">
        <v>174</v>
      </c>
      <c r="D9" s="1595"/>
      <c r="E9" s="1596" t="s">
        <v>923</v>
      </c>
      <c r="F9" s="1596" t="s">
        <v>283</v>
      </c>
      <c r="G9" s="1596" t="s">
        <v>938</v>
      </c>
      <c r="H9" s="1596" t="s">
        <v>939</v>
      </c>
      <c r="I9" s="1585"/>
      <c r="J9" s="1585"/>
      <c r="K9" s="1585"/>
      <c r="L9" s="1593" t="s">
        <v>922</v>
      </c>
      <c r="M9" s="1594" t="s">
        <v>174</v>
      </c>
      <c r="N9" s="1595"/>
      <c r="O9" s="1596" t="s">
        <v>923</v>
      </c>
      <c r="P9" s="1596" t="s">
        <v>283</v>
      </c>
      <c r="Q9" s="1596" t="s">
        <v>938</v>
      </c>
      <c r="R9" s="1596" t="s">
        <v>939</v>
      </c>
      <c r="S9" s="1585"/>
      <c r="T9" s="1585"/>
    </row>
    <row r="10" spans="1:20">
      <c r="A10" s="1585"/>
      <c r="B10" s="1597">
        <v>2111</v>
      </c>
      <c r="C10" s="1598">
        <v>34832038.369999997</v>
      </c>
      <c r="D10" s="1599">
        <f t="shared" ref="D10:D27" si="0">C10/$C$29</f>
        <v>0.10078946076826023</v>
      </c>
      <c r="E10" s="1600">
        <f>$E$7*D10</f>
        <v>22137.699531522983</v>
      </c>
      <c r="F10" s="1600">
        <f>E10*0.0765</f>
        <v>1693.5340141615081</v>
      </c>
      <c r="G10" s="1601"/>
      <c r="H10" s="1585"/>
      <c r="I10" s="1585"/>
      <c r="J10" s="1585"/>
      <c r="K10" s="1585"/>
      <c r="L10" s="1597">
        <v>2111</v>
      </c>
      <c r="M10" s="1598">
        <v>34832038.369999997</v>
      </c>
      <c r="N10" s="1599">
        <f t="shared" ref="N10:N27" si="1">M10/$C$29</f>
        <v>0.10078946076826023</v>
      </c>
      <c r="O10" s="1600">
        <f>$O$7*N10</f>
        <v>7958.7389801049012</v>
      </c>
      <c r="P10" s="1600">
        <f t="shared" ref="P10:P27" si="2">O10*0.0765</f>
        <v>608.84353197802488</v>
      </c>
      <c r="Q10" s="1601"/>
      <c r="R10" s="1585"/>
      <c r="S10" s="1585"/>
      <c r="T10" s="1585"/>
    </row>
    <row r="11" spans="1:20">
      <c r="A11" s="1585"/>
      <c r="B11" s="1597">
        <v>2112</v>
      </c>
      <c r="C11" s="1598">
        <v>14503774.23</v>
      </c>
      <c r="D11" s="1599">
        <f t="shared" si="0"/>
        <v>4.1967902315051597E-2</v>
      </c>
      <c r="E11" s="1600">
        <f>$E$7*D11</f>
        <v>9217.9559681848787</v>
      </c>
      <c r="F11" s="1600">
        <f t="shared" ref="F11:F27" si="3">E11*0.0765</f>
        <v>705.17363156614317</v>
      </c>
      <c r="G11" s="1601"/>
      <c r="H11" s="1585"/>
      <c r="I11" s="1585"/>
      <c r="J11" s="1585"/>
      <c r="K11" s="1585"/>
      <c r="L11" s="1597">
        <v>2112</v>
      </c>
      <c r="M11" s="1598">
        <v>14503774.23</v>
      </c>
      <c r="N11" s="1599">
        <f t="shared" si="1"/>
        <v>4.1967902315051597E-2</v>
      </c>
      <c r="O11" s="1600">
        <f t="shared" ref="O11:O27" si="4">$O$7*N11</f>
        <v>3313.9534384057342</v>
      </c>
      <c r="P11" s="1600">
        <f t="shared" si="2"/>
        <v>253.51743803803868</v>
      </c>
      <c r="Q11" s="1601"/>
      <c r="R11" s="1585"/>
      <c r="S11" s="1585"/>
      <c r="T11" s="1585"/>
    </row>
    <row r="12" spans="1:20">
      <c r="A12" s="1585"/>
      <c r="B12" s="1597">
        <v>2113</v>
      </c>
      <c r="C12" s="1598">
        <v>4717788.57</v>
      </c>
      <c r="D12" s="1599">
        <f t="shared" si="0"/>
        <v>1.3651321835890641E-2</v>
      </c>
      <c r="E12" s="1600">
        <f t="shared" ref="E12:E27" si="5">$E$7*D12</f>
        <v>2998.4172820005278</v>
      </c>
      <c r="F12" s="1600">
        <f t="shared" si="3"/>
        <v>229.37892207304037</v>
      </c>
      <c r="G12" s="1601"/>
      <c r="H12" s="1585"/>
      <c r="I12" s="1585"/>
      <c r="J12" s="1585"/>
      <c r="K12" s="1585"/>
      <c r="L12" s="1597">
        <v>2113</v>
      </c>
      <c r="M12" s="1598">
        <v>4717788.57</v>
      </c>
      <c r="N12" s="1599">
        <f t="shared" si="1"/>
        <v>1.3651321835890641E-2</v>
      </c>
      <c r="O12" s="1600">
        <f t="shared" si="4"/>
        <v>1077.9629774492685</v>
      </c>
      <c r="P12" s="1600">
        <f t="shared" si="2"/>
        <v>82.46416777486904</v>
      </c>
      <c r="Q12" s="1601"/>
      <c r="R12" s="1585"/>
      <c r="S12" s="1585"/>
      <c r="T12" s="1585"/>
    </row>
    <row r="13" spans="1:20">
      <c r="A13" s="1585"/>
      <c r="B13" s="1597">
        <v>2132</v>
      </c>
      <c r="C13" s="1598">
        <v>884972.92</v>
      </c>
      <c r="D13" s="1599">
        <f t="shared" si="0"/>
        <v>2.5607442910414065E-3</v>
      </c>
      <c r="E13" s="1600">
        <f>$E$7*D13</f>
        <v>562.44955831720767</v>
      </c>
      <c r="F13" s="1600">
        <f t="shared" si="3"/>
        <v>43.027391211266384</v>
      </c>
      <c r="G13" s="1601"/>
      <c r="H13" s="1585"/>
      <c r="I13" s="1585"/>
      <c r="J13" s="1585"/>
      <c r="K13" s="1585"/>
      <c r="L13" s="1597">
        <v>2132</v>
      </c>
      <c r="M13" s="1598">
        <v>884972.92</v>
      </c>
      <c r="N13" s="1599">
        <f t="shared" si="1"/>
        <v>2.5607442910414065E-3</v>
      </c>
      <c r="O13" s="1600">
        <f t="shared" si="4"/>
        <v>202.20661219779362</v>
      </c>
      <c r="P13" s="1600">
        <f t="shared" si="2"/>
        <v>15.468805833131212</v>
      </c>
      <c r="Q13" s="1601"/>
      <c r="R13" s="1585"/>
      <c r="S13" s="1585"/>
      <c r="T13" s="1585"/>
    </row>
    <row r="14" spans="1:20">
      <c r="A14" s="1585"/>
      <c r="B14" s="1597">
        <v>2140</v>
      </c>
      <c r="C14" s="1598">
        <v>36377427.759999998</v>
      </c>
      <c r="D14" s="1599">
        <f t="shared" si="0"/>
        <v>0.10526117619417233</v>
      </c>
      <c r="E14" s="1600">
        <f t="shared" si="5"/>
        <v>23119.880522816591</v>
      </c>
      <c r="F14" s="1600">
        <f t="shared" si="3"/>
        <v>1768.6708599954693</v>
      </c>
      <c r="G14" s="1601"/>
      <c r="H14" s="1585"/>
      <c r="I14" s="1585"/>
      <c r="J14" s="1585"/>
      <c r="K14" s="1585"/>
      <c r="L14" s="1597">
        <v>2140</v>
      </c>
      <c r="M14" s="1598">
        <v>36377427.759999998</v>
      </c>
      <c r="N14" s="1599">
        <f t="shared" si="1"/>
        <v>0.10526117619417233</v>
      </c>
      <c r="O14" s="1600">
        <f t="shared" si="4"/>
        <v>8311.8435169966233</v>
      </c>
      <c r="P14" s="1600">
        <f t="shared" si="2"/>
        <v>635.85602905024166</v>
      </c>
      <c r="Q14" s="1601"/>
      <c r="R14" s="1585"/>
      <c r="S14" s="1585"/>
      <c r="T14" s="1585"/>
    </row>
    <row r="15" spans="1:20">
      <c r="A15" s="1585"/>
      <c r="B15" s="1597">
        <v>2144</v>
      </c>
      <c r="C15" s="1598">
        <v>5803390.5</v>
      </c>
      <c r="D15" s="1599">
        <f t="shared" si="0"/>
        <v>1.6792603203676485E-2</v>
      </c>
      <c r="E15" s="1600">
        <f t="shared" si="5"/>
        <v>3688.377745465114</v>
      </c>
      <c r="F15" s="1600">
        <f t="shared" si="3"/>
        <v>282.16089752808119</v>
      </c>
      <c r="G15" s="1592"/>
      <c r="H15" s="1585"/>
      <c r="I15" s="1585"/>
      <c r="J15" s="1585"/>
      <c r="K15" s="1585"/>
      <c r="L15" s="1597">
        <v>2144</v>
      </c>
      <c r="M15" s="1598">
        <v>5803390.5</v>
      </c>
      <c r="N15" s="1599">
        <f t="shared" si="1"/>
        <v>1.6792603203676485E-2</v>
      </c>
      <c r="O15" s="1600">
        <f t="shared" si="4"/>
        <v>1326.01111937511</v>
      </c>
      <c r="P15" s="1600">
        <f t="shared" si="2"/>
        <v>101.43985063219591</v>
      </c>
      <c r="Q15" s="1601"/>
      <c r="R15" s="1585"/>
      <c r="S15" s="1585"/>
      <c r="T15" s="1585"/>
    </row>
    <row r="16" spans="1:20">
      <c r="A16" s="1585"/>
      <c r="B16" s="1597">
        <v>2180</v>
      </c>
      <c r="C16" s="1602">
        <v>58608448.939999998</v>
      </c>
      <c r="D16" s="1599">
        <f t="shared" si="0"/>
        <v>0.1695885237142587</v>
      </c>
      <c r="E16" s="1600">
        <f t="shared" si="5"/>
        <v>37248.932114170922</v>
      </c>
      <c r="F16" s="1600">
        <f t="shared" si="3"/>
        <v>2849.5433067340755</v>
      </c>
      <c r="G16" s="1592"/>
      <c r="H16" s="1585"/>
      <c r="I16" s="1585"/>
      <c r="J16" s="1585"/>
      <c r="K16" s="1585"/>
      <c r="L16" s="1597">
        <v>2180</v>
      </c>
      <c r="M16" s="1602">
        <v>58608448.939999998</v>
      </c>
      <c r="N16" s="1599">
        <f t="shared" si="1"/>
        <v>0.1695885237142587</v>
      </c>
      <c r="O16" s="1600">
        <f t="shared" si="4"/>
        <v>13391.388186572723</v>
      </c>
      <c r="P16" s="1600">
        <f t="shared" si="2"/>
        <v>1024.4411962728134</v>
      </c>
      <c r="Q16" s="1601"/>
      <c r="R16" s="1585"/>
      <c r="S16" s="1585"/>
      <c r="T16" s="1585"/>
    </row>
    <row r="17" spans="1:20">
      <c r="A17" s="1585"/>
      <c r="B17" s="1597">
        <v>2182</v>
      </c>
      <c r="C17" s="1598">
        <v>11041963.199999999</v>
      </c>
      <c r="D17" s="1599">
        <f t="shared" si="0"/>
        <v>3.1950858141839296E-2</v>
      </c>
      <c r="E17" s="1600">
        <f t="shared" si="5"/>
        <v>7017.7823348480088</v>
      </c>
      <c r="F17" s="1600">
        <f t="shared" si="3"/>
        <v>536.86034861587268</v>
      </c>
      <c r="G17" s="1585"/>
      <c r="H17" s="1585"/>
      <c r="I17" s="1585"/>
      <c r="J17" s="1585"/>
      <c r="K17" s="1585"/>
      <c r="L17" s="1597">
        <v>2182</v>
      </c>
      <c r="M17" s="1598">
        <v>11041963.199999999</v>
      </c>
      <c r="N17" s="1599">
        <f t="shared" si="1"/>
        <v>3.1950858141839296E-2</v>
      </c>
      <c r="O17" s="1600">
        <f t="shared" si="4"/>
        <v>2522.967562312198</v>
      </c>
      <c r="P17" s="1600">
        <f t="shared" si="2"/>
        <v>193.00701851688314</v>
      </c>
      <c r="Q17" s="1601"/>
      <c r="R17" s="1585"/>
      <c r="S17" s="1585"/>
      <c r="T17" s="1585"/>
    </row>
    <row r="18" spans="1:20">
      <c r="A18" s="1585"/>
      <c r="B18" s="1597">
        <v>2149</v>
      </c>
      <c r="C18" s="1598">
        <v>7564562.7599999998</v>
      </c>
      <c r="D18" s="1599">
        <f t="shared" si="0"/>
        <v>2.1888704687025251E-2</v>
      </c>
      <c r="E18" s="1600">
        <f t="shared" si="5"/>
        <v>4807.7007635722875</v>
      </c>
      <c r="F18" s="1600">
        <f t="shared" si="3"/>
        <v>367.78910841327996</v>
      </c>
      <c r="G18" s="1585"/>
      <c r="H18" s="1585"/>
      <c r="I18" s="1585"/>
      <c r="J18" s="1585"/>
      <c r="K18" s="1585"/>
      <c r="L18" s="1597">
        <v>2149</v>
      </c>
      <c r="M18" s="1598">
        <v>7564562.7599999998</v>
      </c>
      <c r="N18" s="1599">
        <f t="shared" si="1"/>
        <v>2.1888704687025251E-2</v>
      </c>
      <c r="O18" s="1600">
        <f t="shared" si="4"/>
        <v>1728.4196769062619</v>
      </c>
      <c r="P18" s="1600">
        <f t="shared" si="2"/>
        <v>132.22410528332904</v>
      </c>
      <c r="Q18" s="1601"/>
      <c r="R18" s="1585"/>
      <c r="S18" s="1585"/>
      <c r="T18" s="1585"/>
    </row>
    <row r="19" spans="1:20">
      <c r="A19" s="1585"/>
      <c r="B19" s="1603">
        <v>2183</v>
      </c>
      <c r="C19" s="1598">
        <v>33466509.510000002</v>
      </c>
      <c r="D19" s="1599">
        <f t="shared" si="0"/>
        <v>9.6838187058667785E-2</v>
      </c>
      <c r="E19" s="1600">
        <f t="shared" si="5"/>
        <v>21269.829920126969</v>
      </c>
      <c r="F19" s="1600">
        <f t="shared" si="3"/>
        <v>1627.141988889713</v>
      </c>
      <c r="G19" s="1604">
        <f t="shared" ref="G19:H21" si="6">+E19</f>
        <v>21269.829920126969</v>
      </c>
      <c r="H19" s="1604">
        <f t="shared" si="6"/>
        <v>1627.141988889713</v>
      </c>
      <c r="I19" s="1585"/>
      <c r="J19" s="1585"/>
      <c r="K19" s="1585"/>
      <c r="L19" s="1603">
        <v>2183</v>
      </c>
      <c r="M19" s="1598">
        <v>33466509.510000002</v>
      </c>
      <c r="N19" s="1599">
        <f t="shared" si="1"/>
        <v>9.6838187058667785E-2</v>
      </c>
      <c r="O19" s="1600">
        <f t="shared" si="4"/>
        <v>7646.7306029006431</v>
      </c>
      <c r="P19" s="1600">
        <f t="shared" si="2"/>
        <v>584.97489112189919</v>
      </c>
      <c r="Q19" s="1601">
        <f>O19</f>
        <v>7646.7306029006431</v>
      </c>
      <c r="R19" s="1605">
        <f>+P19</f>
        <v>584.97489112189919</v>
      </c>
      <c r="S19" s="1585"/>
      <c r="T19" s="1585"/>
    </row>
    <row r="20" spans="1:20">
      <c r="A20" s="1585"/>
      <c r="B20" s="1603">
        <v>2184</v>
      </c>
      <c r="C20" s="1598">
        <v>6609634.9699999997</v>
      </c>
      <c r="D20" s="1599">
        <f t="shared" si="0"/>
        <v>1.9125540039456955E-2</v>
      </c>
      <c r="E20" s="1600">
        <f t="shared" si="5"/>
        <v>4200.790990886444</v>
      </c>
      <c r="F20" s="1600">
        <f t="shared" si="3"/>
        <v>321.36051080281294</v>
      </c>
      <c r="G20" s="1604">
        <f t="shared" si="6"/>
        <v>4200.790990886444</v>
      </c>
      <c r="H20" s="1604">
        <f t="shared" si="6"/>
        <v>321.36051080281294</v>
      </c>
      <c r="I20" s="1585"/>
      <c r="J20" s="1585"/>
      <c r="K20" s="1585"/>
      <c r="L20" s="1603">
        <v>2184</v>
      </c>
      <c r="M20" s="1598">
        <v>6609634.9699999997</v>
      </c>
      <c r="N20" s="1599">
        <f t="shared" si="1"/>
        <v>1.9125540039456955E-2</v>
      </c>
      <c r="O20" s="1600">
        <f t="shared" si="4"/>
        <v>1510.2291436756791</v>
      </c>
      <c r="P20" s="1600">
        <f t="shared" si="2"/>
        <v>115.53252949118945</v>
      </c>
      <c r="Q20" s="1601">
        <f>O20</f>
        <v>1510.2291436756791</v>
      </c>
      <c r="R20" s="1605">
        <f>+P20</f>
        <v>115.53252949118945</v>
      </c>
      <c r="S20" s="1585"/>
      <c r="T20" s="1585"/>
    </row>
    <row r="21" spans="1:20">
      <c r="A21" s="1585"/>
      <c r="B21" s="1603">
        <v>2185</v>
      </c>
      <c r="C21" s="1598">
        <v>4104594.58</v>
      </c>
      <c r="D21" s="1599">
        <f t="shared" si="0"/>
        <v>1.1876992956772621E-2</v>
      </c>
      <c r="E21" s="1600">
        <f t="shared" si="5"/>
        <v>2608.6983640044086</v>
      </c>
      <c r="F21" s="1600">
        <f t="shared" si="3"/>
        <v>199.56542484633727</v>
      </c>
      <c r="G21" s="1604">
        <f t="shared" si="6"/>
        <v>2608.6983640044086</v>
      </c>
      <c r="H21" s="1604">
        <f t="shared" si="6"/>
        <v>199.56542484633727</v>
      </c>
      <c r="I21" s="1585"/>
      <c r="J21" s="1585"/>
      <c r="K21" s="1585"/>
      <c r="L21" s="1603">
        <v>2185</v>
      </c>
      <c r="M21" s="1598">
        <v>4104594.58</v>
      </c>
      <c r="N21" s="1599">
        <f t="shared" si="1"/>
        <v>1.1876992956772621E-2</v>
      </c>
      <c r="O21" s="1600">
        <f t="shared" si="4"/>
        <v>937.85487183859323</v>
      </c>
      <c r="P21" s="1600">
        <f t="shared" si="2"/>
        <v>71.745897695652374</v>
      </c>
      <c r="Q21" s="1601">
        <f>O21</f>
        <v>937.85487183859323</v>
      </c>
      <c r="R21" s="1605">
        <f>+P21</f>
        <v>71.745897695652374</v>
      </c>
      <c r="S21" s="1585"/>
      <c r="T21" s="1585"/>
    </row>
    <row r="22" spans="1:20">
      <c r="A22" s="1585"/>
      <c r="B22" s="1603">
        <v>2186</v>
      </c>
      <c r="C22" s="1598">
        <v>11955138.699999999</v>
      </c>
      <c r="D22" s="1599">
        <f t="shared" si="0"/>
        <v>3.459320899291831E-2</v>
      </c>
      <c r="E22" s="1600">
        <f t="shared" si="5"/>
        <v>7598.1562028315566</v>
      </c>
      <c r="F22" s="1600">
        <f t="shared" si="3"/>
        <v>581.25894951661405</v>
      </c>
      <c r="G22" s="1585"/>
      <c r="H22" s="1585"/>
      <c r="I22" s="1585"/>
      <c r="J22" s="1585"/>
      <c r="K22" s="1585"/>
      <c r="L22" s="1603">
        <v>2186</v>
      </c>
      <c r="M22" s="1598">
        <v>11955138.699999999</v>
      </c>
      <c r="N22" s="1599">
        <f t="shared" si="1"/>
        <v>3.459320899291831E-2</v>
      </c>
      <c r="O22" s="1600">
        <f t="shared" si="4"/>
        <v>2731.6181549168014</v>
      </c>
      <c r="P22" s="1600">
        <f t="shared" si="2"/>
        <v>208.96878885113529</v>
      </c>
      <c r="Q22" s="1601"/>
      <c r="R22" s="1585"/>
      <c r="S22" s="1585"/>
      <c r="T22" s="1585"/>
    </row>
    <row r="23" spans="1:20">
      <c r="A23" s="1585"/>
      <c r="B23" s="1603">
        <v>2187</v>
      </c>
      <c r="C23" s="1598">
        <v>5283011.84</v>
      </c>
      <c r="D23" s="1599">
        <f t="shared" si="0"/>
        <v>1.5286843363279585E-2</v>
      </c>
      <c r="E23" s="1600">
        <f t="shared" si="5"/>
        <v>3357.6481368408176</v>
      </c>
      <c r="F23" s="1600">
        <f t="shared" si="3"/>
        <v>256.86008246832256</v>
      </c>
      <c r="G23" s="1585"/>
      <c r="H23" s="1585"/>
      <c r="I23" s="1585"/>
      <c r="J23" s="1585"/>
      <c r="K23" s="1585"/>
      <c r="L23" s="1603">
        <v>2187</v>
      </c>
      <c r="M23" s="1598">
        <v>5283011.84</v>
      </c>
      <c r="N23" s="1599">
        <f t="shared" si="1"/>
        <v>1.5286843363279585E-2</v>
      </c>
      <c r="O23" s="1600">
        <f t="shared" si="4"/>
        <v>1207.1102993380091</v>
      </c>
      <c r="P23" s="1600">
        <f t="shared" si="2"/>
        <v>92.343937899357698</v>
      </c>
      <c r="Q23" s="1601"/>
      <c r="R23" s="1585"/>
      <c r="S23" s="1585"/>
      <c r="T23" s="1585"/>
    </row>
    <row r="24" spans="1:20">
      <c r="A24" s="1585"/>
      <c r="B24" s="1603">
        <v>2188</v>
      </c>
      <c r="C24" s="1598">
        <v>14076883.710000001</v>
      </c>
      <c r="D24" s="1599">
        <f t="shared" si="0"/>
        <v>4.0732658346242137E-2</v>
      </c>
      <c r="E24" s="1600">
        <f t="shared" si="5"/>
        <v>8946.6432771436612</v>
      </c>
      <c r="F24" s="1600">
        <f t="shared" si="3"/>
        <v>684.41821070149001</v>
      </c>
      <c r="G24" s="1585"/>
      <c r="H24" s="1585"/>
      <c r="I24" s="1585"/>
      <c r="J24" s="1585"/>
      <c r="K24" s="1585"/>
      <c r="L24" s="1603">
        <v>2188</v>
      </c>
      <c r="M24" s="1598">
        <v>14076883.710000001</v>
      </c>
      <c r="N24" s="1599">
        <f t="shared" si="1"/>
        <v>4.0732658346242137E-2</v>
      </c>
      <c r="O24" s="1600">
        <f t="shared" si="4"/>
        <v>3216.413633652664</v>
      </c>
      <c r="P24" s="1600">
        <f t="shared" si="2"/>
        <v>246.05564297442879</v>
      </c>
      <c r="Q24" s="1601"/>
      <c r="R24" s="1585"/>
      <c r="S24" s="1585"/>
      <c r="T24" s="1585"/>
    </row>
    <row r="25" spans="1:20">
      <c r="A25" s="1585"/>
      <c r="B25" s="1603">
        <v>2189</v>
      </c>
      <c r="C25" s="1598">
        <v>4177450.01</v>
      </c>
      <c r="D25" s="1599">
        <f t="shared" si="0"/>
        <v>1.2087806329959074E-2</v>
      </c>
      <c r="E25" s="1600">
        <f t="shared" si="5"/>
        <v>2655.0020457312007</v>
      </c>
      <c r="F25" s="1600">
        <f t="shared" si="3"/>
        <v>203.10765649843685</v>
      </c>
      <c r="G25" s="1585"/>
      <c r="H25" s="1585"/>
      <c r="I25" s="1585"/>
      <c r="J25" s="1585"/>
      <c r="K25" s="1585"/>
      <c r="L25" s="1603">
        <v>2189</v>
      </c>
      <c r="M25" s="1598">
        <v>4177450.01</v>
      </c>
      <c r="N25" s="1599">
        <f t="shared" si="1"/>
        <v>1.2087806329959074E-2</v>
      </c>
      <c r="O25" s="1600">
        <f t="shared" si="4"/>
        <v>954.50153903888827</v>
      </c>
      <c r="P25" s="1600">
        <f t="shared" si="2"/>
        <v>73.019367736474948</v>
      </c>
      <c r="Q25" s="1601"/>
      <c r="R25" s="1585"/>
      <c r="S25" s="1585"/>
      <c r="T25" s="1585"/>
    </row>
    <row r="26" spans="1:20">
      <c r="A26" s="1585"/>
      <c r="B26" s="1603">
        <v>2190</v>
      </c>
      <c r="C26" s="1598">
        <v>87627350.299999997</v>
      </c>
      <c r="D26" s="1599">
        <f t="shared" si="0"/>
        <v>0.25355717892453755</v>
      </c>
      <c r="E26" s="1600">
        <f t="shared" si="5"/>
        <v>55692.059450522203</v>
      </c>
      <c r="F26" s="1600">
        <f t="shared" si="3"/>
        <v>4260.4425479649481</v>
      </c>
      <c r="G26" s="1585"/>
      <c r="H26" s="1585"/>
      <c r="I26" s="1585"/>
      <c r="J26" s="1585"/>
      <c r="K26" s="1585"/>
      <c r="L26" s="1603">
        <v>2190</v>
      </c>
      <c r="M26" s="1598">
        <v>87627350.299999997</v>
      </c>
      <c r="N26" s="1599">
        <f t="shared" si="1"/>
        <v>0.25355717892453755</v>
      </c>
      <c r="O26" s="1600">
        <f t="shared" si="4"/>
        <v>20021.889076597185</v>
      </c>
      <c r="P26" s="1600">
        <f t="shared" si="2"/>
        <v>1531.6745143596845</v>
      </c>
      <c r="Q26" s="1601"/>
      <c r="R26" s="1585"/>
      <c r="S26" s="1585"/>
      <c r="T26" s="1585"/>
    </row>
    <row r="27" spans="1:20">
      <c r="A27" s="1585"/>
      <c r="B27" s="1603">
        <v>2191</v>
      </c>
      <c r="C27" s="1606">
        <v>3957129.02</v>
      </c>
      <c r="D27" s="1607">
        <f t="shared" si="0"/>
        <v>1.145028883695026E-2</v>
      </c>
      <c r="E27" s="1608">
        <f t="shared" si="5"/>
        <v>2514.9757910142662</v>
      </c>
      <c r="F27" s="1608">
        <f t="shared" si="3"/>
        <v>192.39564801259135</v>
      </c>
      <c r="G27" s="1609"/>
      <c r="H27" s="1609"/>
      <c r="I27" s="1585"/>
      <c r="J27" s="1585"/>
      <c r="K27" s="1585"/>
      <c r="L27" s="1603">
        <v>2191</v>
      </c>
      <c r="M27" s="1606">
        <v>3957129.02</v>
      </c>
      <c r="N27" s="1607">
        <f t="shared" si="1"/>
        <v>1.145028883695026E-2</v>
      </c>
      <c r="O27" s="1608">
        <f t="shared" si="4"/>
        <v>904.16060772094033</v>
      </c>
      <c r="P27" s="1608">
        <f t="shared" si="2"/>
        <v>69.168286490651937</v>
      </c>
      <c r="Q27" s="1610"/>
      <c r="R27" s="1609"/>
      <c r="S27" s="1585"/>
      <c r="T27" s="1585"/>
    </row>
    <row r="28" spans="1:20">
      <c r="A28" s="1585"/>
      <c r="B28" s="1611"/>
      <c r="C28" s="1585"/>
      <c r="D28" s="1585"/>
      <c r="E28" s="1585"/>
      <c r="F28" s="1585"/>
      <c r="G28" s="1585"/>
      <c r="H28" s="1585"/>
      <c r="I28" s="1585"/>
      <c r="J28" s="1585"/>
      <c r="K28" s="1585"/>
      <c r="L28" s="1585"/>
      <c r="M28" s="1585"/>
      <c r="N28" s="1585"/>
      <c r="O28" s="1585"/>
      <c r="P28" s="1585"/>
      <c r="Q28" s="1585"/>
      <c r="R28" s="1585"/>
      <c r="S28" s="1585"/>
      <c r="T28" s="1585"/>
    </row>
    <row r="29" spans="1:20">
      <c r="A29" s="1585"/>
      <c r="B29" s="1428"/>
      <c r="C29" s="1612">
        <f t="shared" ref="C29:H29" si="7">SUM(C10:C27)</f>
        <v>345592069.88999993</v>
      </c>
      <c r="D29" s="1613">
        <f t="shared" si="7"/>
        <v>1.0000000000000002</v>
      </c>
      <c r="E29" s="1614">
        <f t="shared" si="7"/>
        <v>219643.00000000009</v>
      </c>
      <c r="F29" s="1614">
        <f t="shared" si="7"/>
        <v>16802.689500000004</v>
      </c>
      <c r="G29" s="1614">
        <f t="shared" si="7"/>
        <v>28079.319275017824</v>
      </c>
      <c r="H29" s="1614">
        <f t="shared" si="7"/>
        <v>2148.0679245388633</v>
      </c>
      <c r="I29" s="1585"/>
      <c r="J29" s="1585"/>
      <c r="K29" s="1585"/>
      <c r="L29" s="1620"/>
      <c r="M29" s="1612">
        <f t="shared" ref="M29:R29" si="8">SUM(M10:M27)</f>
        <v>345592069.88999993</v>
      </c>
      <c r="N29" s="1613">
        <f t="shared" si="8"/>
        <v>1.0000000000000002</v>
      </c>
      <c r="O29" s="1614">
        <f t="shared" si="8"/>
        <v>78964.000000000029</v>
      </c>
      <c r="P29" s="1614">
        <f t="shared" si="8"/>
        <v>6040.746000000001</v>
      </c>
      <c r="Q29" s="1614">
        <f t="shared" si="8"/>
        <v>10094.814618414915</v>
      </c>
      <c r="R29" s="1614">
        <f t="shared" si="8"/>
        <v>772.25331830874109</v>
      </c>
      <c r="S29" s="1585"/>
      <c r="T29" s="1585"/>
    </row>
    <row r="30" spans="1:20">
      <c r="A30" s="1585"/>
      <c r="B30" s="1428"/>
      <c r="C30" s="1615"/>
      <c r="D30" s="1616"/>
      <c r="E30" s="1617"/>
      <c r="F30" s="1585"/>
      <c r="G30" s="1618"/>
      <c r="H30" s="1585"/>
      <c r="I30" s="1585"/>
      <c r="J30" s="1585"/>
      <c r="K30" s="1585"/>
      <c r="L30" s="1421"/>
      <c r="M30" s="1621"/>
      <c r="N30" s="1622"/>
      <c r="O30" s="1623"/>
      <c r="P30" s="1585"/>
      <c r="Q30" s="1618"/>
      <c r="R30" s="1585"/>
      <c r="S30" s="1585"/>
      <c r="T30" s="1585"/>
    </row>
    <row r="31" spans="1:20" ht="15.75" thickBot="1">
      <c r="A31" s="1585"/>
      <c r="B31" s="1428"/>
      <c r="C31" s="1615"/>
      <c r="D31" s="1616"/>
      <c r="E31" s="1617"/>
      <c r="F31" s="1585"/>
      <c r="G31" s="1624">
        <f>+G29+H29</f>
        <v>30227.387199556688</v>
      </c>
      <c r="H31" s="1625" t="s">
        <v>924</v>
      </c>
      <c r="I31" s="1619"/>
      <c r="J31" s="1619"/>
      <c r="K31" s="1585"/>
      <c r="L31" s="1421"/>
      <c r="M31" s="1621"/>
      <c r="N31" s="1622"/>
      <c r="O31" s="1623"/>
      <c r="P31" s="1585"/>
      <c r="Q31" s="1624">
        <f>Q29+R29</f>
        <v>10867.067936723657</v>
      </c>
      <c r="R31" s="1625" t="s">
        <v>924</v>
      </c>
      <c r="S31" s="1585"/>
      <c r="T31" s="1585"/>
    </row>
    <row r="32" spans="1:20">
      <c r="B32" s="404"/>
      <c r="C32" s="616"/>
      <c r="D32" s="617"/>
      <c r="E32" s="618"/>
      <c r="G32" s="619"/>
    </row>
    <row r="33" spans="2:7">
      <c r="B33" s="404"/>
      <c r="C33" s="616"/>
      <c r="D33" s="617"/>
      <c r="E33" s="618"/>
      <c r="G33" s="619"/>
    </row>
    <row r="34" spans="2:7">
      <c r="B34" s="404"/>
      <c r="C34" s="616"/>
      <c r="D34" s="617"/>
      <c r="E34" s="618"/>
    </row>
  </sheetData>
  <mergeCells count="2">
    <mergeCell ref="A4:G4"/>
    <mergeCell ref="K4:Q4"/>
  </mergeCells>
  <pageMargins left="0.7" right="0.7" top="0.75" bottom="0.75" header="0.3" footer="0.3"/>
  <pageSetup scale="47" pageOrder="overThenDown" orientation="landscape" errors="blank" r:id="rId1"/>
  <headerFooter>
    <oddHeader>&amp;CDESIGNATED INFORMATION IS CONFIDENTIAL PER WAC 480-07-160</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Z266"/>
  <sheetViews>
    <sheetView tabSelected="1" view="pageBreakPreview" zoomScaleNormal="100" zoomScaleSheetLayoutView="100" workbookViewId="0">
      <pane xSplit="1" ySplit="8" topLeftCell="B10" activePane="bottomRight" state="frozen"/>
      <selection activeCell="AR41" sqref="AR41"/>
      <selection pane="topRight" activeCell="AR41" sqref="AR41"/>
      <selection pane="bottomLeft" activeCell="AR41" sqref="AR41"/>
      <selection pane="bottomRight" activeCell="AR41" sqref="AR41"/>
    </sheetView>
  </sheetViews>
  <sheetFormatPr defaultColWidth="11.42578125" defaultRowHeight="12"/>
  <cols>
    <col min="1" max="1" width="24.140625" style="133" customWidth="1"/>
    <col min="2" max="2" width="11" style="133" bestFit="1" customWidth="1"/>
    <col min="3" max="4" width="12.42578125" style="133" bestFit="1" customWidth="1"/>
    <col min="5" max="5" width="11.28515625" style="133" customWidth="1"/>
    <col min="6" max="6" width="13.42578125" style="133" customWidth="1"/>
    <col min="7" max="7" width="11.7109375" style="133" bestFit="1" customWidth="1"/>
    <col min="8" max="8" width="12" style="133" bestFit="1" customWidth="1"/>
    <col min="9" max="10" width="11.42578125" style="133" customWidth="1"/>
    <col min="11" max="11" width="12.42578125" style="133" bestFit="1" customWidth="1"/>
    <col min="12" max="13" width="11.42578125" style="133" customWidth="1"/>
    <col min="14" max="14" width="13.140625" style="133" customWidth="1"/>
    <col min="15" max="15" width="10.28515625" style="133" customWidth="1"/>
    <col min="16" max="16" width="12.42578125" style="133" customWidth="1"/>
    <col min="17" max="17" width="19.7109375" style="133" bestFit="1" customWidth="1"/>
    <col min="18" max="25" width="11.42578125" style="133"/>
    <col min="26" max="26" width="16.7109375" style="133" bestFit="1" customWidth="1"/>
    <col min="27" max="256" width="11.42578125" style="133"/>
    <col min="257" max="257" width="24.140625" style="133" customWidth="1"/>
    <col min="258" max="258" width="11" style="133" bestFit="1" customWidth="1"/>
    <col min="259" max="260" width="12.42578125" style="133" bestFit="1" customWidth="1"/>
    <col min="261" max="261" width="11.28515625" style="133" customWidth="1"/>
    <col min="262" max="262" width="13.42578125" style="133" customWidth="1"/>
    <col min="263" max="263" width="11.7109375" style="133" bestFit="1" customWidth="1"/>
    <col min="264" max="264" width="11" style="133" bestFit="1" customWidth="1"/>
    <col min="265" max="270" width="11.42578125" style="133" customWidth="1"/>
    <col min="271" max="271" width="20.42578125" style="133" customWidth="1"/>
    <col min="272" max="272" width="16.42578125" style="133" customWidth="1"/>
    <col min="273" max="273" width="17.7109375" style="133" customWidth="1"/>
    <col min="274" max="512" width="11.42578125" style="133"/>
    <col min="513" max="513" width="24.140625" style="133" customWidth="1"/>
    <col min="514" max="514" width="11" style="133" bestFit="1" customWidth="1"/>
    <col min="515" max="516" width="12.42578125" style="133" bestFit="1" customWidth="1"/>
    <col min="517" max="517" width="11.28515625" style="133" customWidth="1"/>
    <col min="518" max="518" width="13.42578125" style="133" customWidth="1"/>
    <col min="519" max="519" width="11.7109375" style="133" bestFit="1" customWidth="1"/>
    <col min="520" max="520" width="11" style="133" bestFit="1" customWidth="1"/>
    <col min="521" max="526" width="11.42578125" style="133" customWidth="1"/>
    <col min="527" max="527" width="20.42578125" style="133" customWidth="1"/>
    <col min="528" max="528" width="16.42578125" style="133" customWidth="1"/>
    <col min="529" max="529" width="17.7109375" style="133" customWidth="1"/>
    <col min="530" max="768" width="11.42578125" style="133"/>
    <col min="769" max="769" width="24.140625" style="133" customWidth="1"/>
    <col min="770" max="770" width="11" style="133" bestFit="1" customWidth="1"/>
    <col min="771" max="772" width="12.42578125" style="133" bestFit="1" customWidth="1"/>
    <col min="773" max="773" width="11.28515625" style="133" customWidth="1"/>
    <col min="774" max="774" width="13.42578125" style="133" customWidth="1"/>
    <col min="775" max="775" width="11.7109375" style="133" bestFit="1" customWidth="1"/>
    <col min="776" max="776" width="11" style="133" bestFit="1" customWidth="1"/>
    <col min="777" max="782" width="11.42578125" style="133" customWidth="1"/>
    <col min="783" max="783" width="20.42578125" style="133" customWidth="1"/>
    <col min="784" max="784" width="16.42578125" style="133" customWidth="1"/>
    <col min="785" max="785" width="17.7109375" style="133" customWidth="1"/>
    <col min="786" max="1024" width="11.42578125" style="133"/>
    <col min="1025" max="1025" width="24.140625" style="133" customWidth="1"/>
    <col min="1026" max="1026" width="11" style="133" bestFit="1" customWidth="1"/>
    <col min="1027" max="1028" width="12.42578125" style="133" bestFit="1" customWidth="1"/>
    <col min="1029" max="1029" width="11.28515625" style="133" customWidth="1"/>
    <col min="1030" max="1030" width="13.42578125" style="133" customWidth="1"/>
    <col min="1031" max="1031" width="11.7109375" style="133" bestFit="1" customWidth="1"/>
    <col min="1032" max="1032" width="11" style="133" bestFit="1" customWidth="1"/>
    <col min="1033" max="1038" width="11.42578125" style="133" customWidth="1"/>
    <col min="1039" max="1039" width="20.42578125" style="133" customWidth="1"/>
    <col min="1040" max="1040" width="16.42578125" style="133" customWidth="1"/>
    <col min="1041" max="1041" width="17.7109375" style="133" customWidth="1"/>
    <col min="1042" max="1280" width="11.42578125" style="133"/>
    <col min="1281" max="1281" width="24.140625" style="133" customWidth="1"/>
    <col min="1282" max="1282" width="11" style="133" bestFit="1" customWidth="1"/>
    <col min="1283" max="1284" width="12.42578125" style="133" bestFit="1" customWidth="1"/>
    <col min="1285" max="1285" width="11.28515625" style="133" customWidth="1"/>
    <col min="1286" max="1286" width="13.42578125" style="133" customWidth="1"/>
    <col min="1287" max="1287" width="11.7109375" style="133" bestFit="1" customWidth="1"/>
    <col min="1288" max="1288" width="11" style="133" bestFit="1" customWidth="1"/>
    <col min="1289" max="1294" width="11.42578125" style="133" customWidth="1"/>
    <col min="1295" max="1295" width="20.42578125" style="133" customWidth="1"/>
    <col min="1296" max="1296" width="16.42578125" style="133" customWidth="1"/>
    <col min="1297" max="1297" width="17.7109375" style="133" customWidth="1"/>
    <col min="1298" max="1536" width="11.42578125" style="133"/>
    <col min="1537" max="1537" width="24.140625" style="133" customWidth="1"/>
    <col min="1538" max="1538" width="11" style="133" bestFit="1" customWidth="1"/>
    <col min="1539" max="1540" width="12.42578125" style="133" bestFit="1" customWidth="1"/>
    <col min="1541" max="1541" width="11.28515625" style="133" customWidth="1"/>
    <col min="1542" max="1542" width="13.42578125" style="133" customWidth="1"/>
    <col min="1543" max="1543" width="11.7109375" style="133" bestFit="1" customWidth="1"/>
    <col min="1544" max="1544" width="11" style="133" bestFit="1" customWidth="1"/>
    <col min="1545" max="1550" width="11.42578125" style="133" customWidth="1"/>
    <col min="1551" max="1551" width="20.42578125" style="133" customWidth="1"/>
    <col min="1552" max="1552" width="16.42578125" style="133" customWidth="1"/>
    <col min="1553" max="1553" width="17.7109375" style="133" customWidth="1"/>
    <col min="1554" max="1792" width="11.42578125" style="133"/>
    <col min="1793" max="1793" width="24.140625" style="133" customWidth="1"/>
    <col min="1794" max="1794" width="11" style="133" bestFit="1" customWidth="1"/>
    <col min="1795" max="1796" width="12.42578125" style="133" bestFit="1" customWidth="1"/>
    <col min="1797" max="1797" width="11.28515625" style="133" customWidth="1"/>
    <col min="1798" max="1798" width="13.42578125" style="133" customWidth="1"/>
    <col min="1799" max="1799" width="11.7109375" style="133" bestFit="1" customWidth="1"/>
    <col min="1800" max="1800" width="11" style="133" bestFit="1" customWidth="1"/>
    <col min="1801" max="1806" width="11.42578125" style="133" customWidth="1"/>
    <col min="1807" max="1807" width="20.42578125" style="133" customWidth="1"/>
    <col min="1808" max="1808" width="16.42578125" style="133" customWidth="1"/>
    <col min="1809" max="1809" width="17.7109375" style="133" customWidth="1"/>
    <col min="1810" max="2048" width="11.42578125" style="133"/>
    <col min="2049" max="2049" width="24.140625" style="133" customWidth="1"/>
    <col min="2050" max="2050" width="11" style="133" bestFit="1" customWidth="1"/>
    <col min="2051" max="2052" width="12.42578125" style="133" bestFit="1" customWidth="1"/>
    <col min="2053" max="2053" width="11.28515625" style="133" customWidth="1"/>
    <col min="2054" max="2054" width="13.42578125" style="133" customWidth="1"/>
    <col min="2055" max="2055" width="11.7109375" style="133" bestFit="1" customWidth="1"/>
    <col min="2056" max="2056" width="11" style="133" bestFit="1" customWidth="1"/>
    <col min="2057" max="2062" width="11.42578125" style="133" customWidth="1"/>
    <col min="2063" max="2063" width="20.42578125" style="133" customWidth="1"/>
    <col min="2064" max="2064" width="16.42578125" style="133" customWidth="1"/>
    <col min="2065" max="2065" width="17.7109375" style="133" customWidth="1"/>
    <col min="2066" max="2304" width="11.42578125" style="133"/>
    <col min="2305" max="2305" width="24.140625" style="133" customWidth="1"/>
    <col min="2306" max="2306" width="11" style="133" bestFit="1" customWidth="1"/>
    <col min="2307" max="2308" width="12.42578125" style="133" bestFit="1" customWidth="1"/>
    <col min="2309" max="2309" width="11.28515625" style="133" customWidth="1"/>
    <col min="2310" max="2310" width="13.42578125" style="133" customWidth="1"/>
    <col min="2311" max="2311" width="11.7109375" style="133" bestFit="1" customWidth="1"/>
    <col min="2312" max="2312" width="11" style="133" bestFit="1" customWidth="1"/>
    <col min="2313" max="2318" width="11.42578125" style="133" customWidth="1"/>
    <col min="2319" max="2319" width="20.42578125" style="133" customWidth="1"/>
    <col min="2320" max="2320" width="16.42578125" style="133" customWidth="1"/>
    <col min="2321" max="2321" width="17.7109375" style="133" customWidth="1"/>
    <col min="2322" max="2560" width="11.42578125" style="133"/>
    <col min="2561" max="2561" width="24.140625" style="133" customWidth="1"/>
    <col min="2562" max="2562" width="11" style="133" bestFit="1" customWidth="1"/>
    <col min="2563" max="2564" width="12.42578125" style="133" bestFit="1" customWidth="1"/>
    <col min="2565" max="2565" width="11.28515625" style="133" customWidth="1"/>
    <col min="2566" max="2566" width="13.42578125" style="133" customWidth="1"/>
    <col min="2567" max="2567" width="11.7109375" style="133" bestFit="1" customWidth="1"/>
    <col min="2568" max="2568" width="11" style="133" bestFit="1" customWidth="1"/>
    <col min="2569" max="2574" width="11.42578125" style="133" customWidth="1"/>
    <col min="2575" max="2575" width="20.42578125" style="133" customWidth="1"/>
    <col min="2576" max="2576" width="16.42578125" style="133" customWidth="1"/>
    <col min="2577" max="2577" width="17.7109375" style="133" customWidth="1"/>
    <col min="2578" max="2816" width="11.42578125" style="133"/>
    <col min="2817" max="2817" width="24.140625" style="133" customWidth="1"/>
    <col min="2818" max="2818" width="11" style="133" bestFit="1" customWidth="1"/>
    <col min="2819" max="2820" width="12.42578125" style="133" bestFit="1" customWidth="1"/>
    <col min="2821" max="2821" width="11.28515625" style="133" customWidth="1"/>
    <col min="2822" max="2822" width="13.42578125" style="133" customWidth="1"/>
    <col min="2823" max="2823" width="11.7109375" style="133" bestFit="1" customWidth="1"/>
    <col min="2824" max="2824" width="11" style="133" bestFit="1" customWidth="1"/>
    <col min="2825" max="2830" width="11.42578125" style="133" customWidth="1"/>
    <col min="2831" max="2831" width="20.42578125" style="133" customWidth="1"/>
    <col min="2832" max="2832" width="16.42578125" style="133" customWidth="1"/>
    <col min="2833" max="2833" width="17.7109375" style="133" customWidth="1"/>
    <col min="2834" max="3072" width="11.42578125" style="133"/>
    <col min="3073" max="3073" width="24.140625" style="133" customWidth="1"/>
    <col min="3074" max="3074" width="11" style="133" bestFit="1" customWidth="1"/>
    <col min="3075" max="3076" width="12.42578125" style="133" bestFit="1" customWidth="1"/>
    <col min="3077" max="3077" width="11.28515625" style="133" customWidth="1"/>
    <col min="3078" max="3078" width="13.42578125" style="133" customWidth="1"/>
    <col min="3079" max="3079" width="11.7109375" style="133" bestFit="1" customWidth="1"/>
    <col min="3080" max="3080" width="11" style="133" bestFit="1" customWidth="1"/>
    <col min="3081" max="3086" width="11.42578125" style="133" customWidth="1"/>
    <col min="3087" max="3087" width="20.42578125" style="133" customWidth="1"/>
    <col min="3088" max="3088" width="16.42578125" style="133" customWidth="1"/>
    <col min="3089" max="3089" width="17.7109375" style="133" customWidth="1"/>
    <col min="3090" max="3328" width="11.42578125" style="133"/>
    <col min="3329" max="3329" width="24.140625" style="133" customWidth="1"/>
    <col min="3330" max="3330" width="11" style="133" bestFit="1" customWidth="1"/>
    <col min="3331" max="3332" width="12.42578125" style="133" bestFit="1" customWidth="1"/>
    <col min="3333" max="3333" width="11.28515625" style="133" customWidth="1"/>
    <col min="3334" max="3334" width="13.42578125" style="133" customWidth="1"/>
    <col min="3335" max="3335" width="11.7109375" style="133" bestFit="1" customWidth="1"/>
    <col min="3336" max="3336" width="11" style="133" bestFit="1" customWidth="1"/>
    <col min="3337" max="3342" width="11.42578125" style="133" customWidth="1"/>
    <col min="3343" max="3343" width="20.42578125" style="133" customWidth="1"/>
    <col min="3344" max="3344" width="16.42578125" style="133" customWidth="1"/>
    <col min="3345" max="3345" width="17.7109375" style="133" customWidth="1"/>
    <col min="3346" max="3584" width="11.42578125" style="133"/>
    <col min="3585" max="3585" width="24.140625" style="133" customWidth="1"/>
    <col min="3586" max="3586" width="11" style="133" bestFit="1" customWidth="1"/>
    <col min="3587" max="3588" width="12.42578125" style="133" bestFit="1" customWidth="1"/>
    <col min="3589" max="3589" width="11.28515625" style="133" customWidth="1"/>
    <col min="3590" max="3590" width="13.42578125" style="133" customWidth="1"/>
    <col min="3591" max="3591" width="11.7109375" style="133" bestFit="1" customWidth="1"/>
    <col min="3592" max="3592" width="11" style="133" bestFit="1" customWidth="1"/>
    <col min="3593" max="3598" width="11.42578125" style="133" customWidth="1"/>
    <col min="3599" max="3599" width="20.42578125" style="133" customWidth="1"/>
    <col min="3600" max="3600" width="16.42578125" style="133" customWidth="1"/>
    <col min="3601" max="3601" width="17.7109375" style="133" customWidth="1"/>
    <col min="3602" max="3840" width="11.42578125" style="133"/>
    <col min="3841" max="3841" width="24.140625" style="133" customWidth="1"/>
    <col min="3842" max="3842" width="11" style="133" bestFit="1" customWidth="1"/>
    <col min="3843" max="3844" width="12.42578125" style="133" bestFit="1" customWidth="1"/>
    <col min="3845" max="3845" width="11.28515625" style="133" customWidth="1"/>
    <col min="3846" max="3846" width="13.42578125" style="133" customWidth="1"/>
    <col min="3847" max="3847" width="11.7109375" style="133" bestFit="1" customWidth="1"/>
    <col min="3848" max="3848" width="11" style="133" bestFit="1" customWidth="1"/>
    <col min="3849" max="3854" width="11.42578125" style="133" customWidth="1"/>
    <col min="3855" max="3855" width="20.42578125" style="133" customWidth="1"/>
    <col min="3856" max="3856" width="16.42578125" style="133" customWidth="1"/>
    <col min="3857" max="3857" width="17.7109375" style="133" customWidth="1"/>
    <col min="3858" max="4096" width="11.42578125" style="133"/>
    <col min="4097" max="4097" width="24.140625" style="133" customWidth="1"/>
    <col min="4098" max="4098" width="11" style="133" bestFit="1" customWidth="1"/>
    <col min="4099" max="4100" width="12.42578125" style="133" bestFit="1" customWidth="1"/>
    <col min="4101" max="4101" width="11.28515625" style="133" customWidth="1"/>
    <col min="4102" max="4102" width="13.42578125" style="133" customWidth="1"/>
    <col min="4103" max="4103" width="11.7109375" style="133" bestFit="1" customWidth="1"/>
    <col min="4104" max="4104" width="11" style="133" bestFit="1" customWidth="1"/>
    <col min="4105" max="4110" width="11.42578125" style="133" customWidth="1"/>
    <col min="4111" max="4111" width="20.42578125" style="133" customWidth="1"/>
    <col min="4112" max="4112" width="16.42578125" style="133" customWidth="1"/>
    <col min="4113" max="4113" width="17.7109375" style="133" customWidth="1"/>
    <col min="4114" max="4352" width="11.42578125" style="133"/>
    <col min="4353" max="4353" width="24.140625" style="133" customWidth="1"/>
    <col min="4354" max="4354" width="11" style="133" bestFit="1" customWidth="1"/>
    <col min="4355" max="4356" width="12.42578125" style="133" bestFit="1" customWidth="1"/>
    <col min="4357" max="4357" width="11.28515625" style="133" customWidth="1"/>
    <col min="4358" max="4358" width="13.42578125" style="133" customWidth="1"/>
    <col min="4359" max="4359" width="11.7109375" style="133" bestFit="1" customWidth="1"/>
    <col min="4360" max="4360" width="11" style="133" bestFit="1" customWidth="1"/>
    <col min="4361" max="4366" width="11.42578125" style="133" customWidth="1"/>
    <col min="4367" max="4367" width="20.42578125" style="133" customWidth="1"/>
    <col min="4368" max="4368" width="16.42578125" style="133" customWidth="1"/>
    <col min="4369" max="4369" width="17.7109375" style="133" customWidth="1"/>
    <col min="4370" max="4608" width="11.42578125" style="133"/>
    <col min="4609" max="4609" width="24.140625" style="133" customWidth="1"/>
    <col min="4610" max="4610" width="11" style="133" bestFit="1" customWidth="1"/>
    <col min="4611" max="4612" width="12.42578125" style="133" bestFit="1" customWidth="1"/>
    <col min="4613" max="4613" width="11.28515625" style="133" customWidth="1"/>
    <col min="4614" max="4614" width="13.42578125" style="133" customWidth="1"/>
    <col min="4615" max="4615" width="11.7109375" style="133" bestFit="1" customWidth="1"/>
    <col min="4616" max="4616" width="11" style="133" bestFit="1" customWidth="1"/>
    <col min="4617" max="4622" width="11.42578125" style="133" customWidth="1"/>
    <col min="4623" max="4623" width="20.42578125" style="133" customWidth="1"/>
    <col min="4624" max="4624" width="16.42578125" style="133" customWidth="1"/>
    <col min="4625" max="4625" width="17.7109375" style="133" customWidth="1"/>
    <col min="4626" max="4864" width="11.42578125" style="133"/>
    <col min="4865" max="4865" width="24.140625" style="133" customWidth="1"/>
    <col min="4866" max="4866" width="11" style="133" bestFit="1" customWidth="1"/>
    <col min="4867" max="4868" width="12.42578125" style="133" bestFit="1" customWidth="1"/>
    <col min="4869" max="4869" width="11.28515625" style="133" customWidth="1"/>
    <col min="4870" max="4870" width="13.42578125" style="133" customWidth="1"/>
    <col min="4871" max="4871" width="11.7109375" style="133" bestFit="1" customWidth="1"/>
    <col min="4872" max="4872" width="11" style="133" bestFit="1" customWidth="1"/>
    <col min="4873" max="4878" width="11.42578125" style="133" customWidth="1"/>
    <col min="4879" max="4879" width="20.42578125" style="133" customWidth="1"/>
    <col min="4880" max="4880" width="16.42578125" style="133" customWidth="1"/>
    <col min="4881" max="4881" width="17.7109375" style="133" customWidth="1"/>
    <col min="4882" max="5120" width="11.42578125" style="133"/>
    <col min="5121" max="5121" width="24.140625" style="133" customWidth="1"/>
    <col min="5122" max="5122" width="11" style="133" bestFit="1" customWidth="1"/>
    <col min="5123" max="5124" width="12.42578125" style="133" bestFit="1" customWidth="1"/>
    <col min="5125" max="5125" width="11.28515625" style="133" customWidth="1"/>
    <col min="5126" max="5126" width="13.42578125" style="133" customWidth="1"/>
    <col min="5127" max="5127" width="11.7109375" style="133" bestFit="1" customWidth="1"/>
    <col min="5128" max="5128" width="11" style="133" bestFit="1" customWidth="1"/>
    <col min="5129" max="5134" width="11.42578125" style="133" customWidth="1"/>
    <col min="5135" max="5135" width="20.42578125" style="133" customWidth="1"/>
    <col min="5136" max="5136" width="16.42578125" style="133" customWidth="1"/>
    <col min="5137" max="5137" width="17.7109375" style="133" customWidth="1"/>
    <col min="5138" max="5376" width="11.42578125" style="133"/>
    <col min="5377" max="5377" width="24.140625" style="133" customWidth="1"/>
    <col min="5378" max="5378" width="11" style="133" bestFit="1" customWidth="1"/>
    <col min="5379" max="5380" width="12.42578125" style="133" bestFit="1" customWidth="1"/>
    <col min="5381" max="5381" width="11.28515625" style="133" customWidth="1"/>
    <col min="5382" max="5382" width="13.42578125" style="133" customWidth="1"/>
    <col min="5383" max="5383" width="11.7109375" style="133" bestFit="1" customWidth="1"/>
    <col min="5384" max="5384" width="11" style="133" bestFit="1" customWidth="1"/>
    <col min="5385" max="5390" width="11.42578125" style="133" customWidth="1"/>
    <col min="5391" max="5391" width="20.42578125" style="133" customWidth="1"/>
    <col min="5392" max="5392" width="16.42578125" style="133" customWidth="1"/>
    <col min="5393" max="5393" width="17.7109375" style="133" customWidth="1"/>
    <col min="5394" max="5632" width="11.42578125" style="133"/>
    <col min="5633" max="5633" width="24.140625" style="133" customWidth="1"/>
    <col min="5634" max="5634" width="11" style="133" bestFit="1" customWidth="1"/>
    <col min="5635" max="5636" width="12.42578125" style="133" bestFit="1" customWidth="1"/>
    <col min="5637" max="5637" width="11.28515625" style="133" customWidth="1"/>
    <col min="5638" max="5638" width="13.42578125" style="133" customWidth="1"/>
    <col min="5639" max="5639" width="11.7109375" style="133" bestFit="1" customWidth="1"/>
    <col min="5640" max="5640" width="11" style="133" bestFit="1" customWidth="1"/>
    <col min="5641" max="5646" width="11.42578125" style="133" customWidth="1"/>
    <col min="5647" max="5647" width="20.42578125" style="133" customWidth="1"/>
    <col min="5648" max="5648" width="16.42578125" style="133" customWidth="1"/>
    <col min="5649" max="5649" width="17.7109375" style="133" customWidth="1"/>
    <col min="5650" max="5888" width="11.42578125" style="133"/>
    <col min="5889" max="5889" width="24.140625" style="133" customWidth="1"/>
    <col min="5890" max="5890" width="11" style="133" bestFit="1" customWidth="1"/>
    <col min="5891" max="5892" width="12.42578125" style="133" bestFit="1" customWidth="1"/>
    <col min="5893" max="5893" width="11.28515625" style="133" customWidth="1"/>
    <col min="5894" max="5894" width="13.42578125" style="133" customWidth="1"/>
    <col min="5895" max="5895" width="11.7109375" style="133" bestFit="1" customWidth="1"/>
    <col min="5896" max="5896" width="11" style="133" bestFit="1" customWidth="1"/>
    <col min="5897" max="5902" width="11.42578125" style="133" customWidth="1"/>
    <col min="5903" max="5903" width="20.42578125" style="133" customWidth="1"/>
    <col min="5904" max="5904" width="16.42578125" style="133" customWidth="1"/>
    <col min="5905" max="5905" width="17.7109375" style="133" customWidth="1"/>
    <col min="5906" max="6144" width="11.42578125" style="133"/>
    <col min="6145" max="6145" width="24.140625" style="133" customWidth="1"/>
    <col min="6146" max="6146" width="11" style="133" bestFit="1" customWidth="1"/>
    <col min="6147" max="6148" width="12.42578125" style="133" bestFit="1" customWidth="1"/>
    <col min="6149" max="6149" width="11.28515625" style="133" customWidth="1"/>
    <col min="6150" max="6150" width="13.42578125" style="133" customWidth="1"/>
    <col min="6151" max="6151" width="11.7109375" style="133" bestFit="1" customWidth="1"/>
    <col min="6152" max="6152" width="11" style="133" bestFit="1" customWidth="1"/>
    <col min="6153" max="6158" width="11.42578125" style="133" customWidth="1"/>
    <col min="6159" max="6159" width="20.42578125" style="133" customWidth="1"/>
    <col min="6160" max="6160" width="16.42578125" style="133" customWidth="1"/>
    <col min="6161" max="6161" width="17.7109375" style="133" customWidth="1"/>
    <col min="6162" max="6400" width="11.42578125" style="133"/>
    <col min="6401" max="6401" width="24.140625" style="133" customWidth="1"/>
    <col min="6402" max="6402" width="11" style="133" bestFit="1" customWidth="1"/>
    <col min="6403" max="6404" width="12.42578125" style="133" bestFit="1" customWidth="1"/>
    <col min="6405" max="6405" width="11.28515625" style="133" customWidth="1"/>
    <col min="6406" max="6406" width="13.42578125" style="133" customWidth="1"/>
    <col min="6407" max="6407" width="11.7109375" style="133" bestFit="1" customWidth="1"/>
    <col min="6408" max="6408" width="11" style="133" bestFit="1" customWidth="1"/>
    <col min="6409" max="6414" width="11.42578125" style="133" customWidth="1"/>
    <col min="6415" max="6415" width="20.42578125" style="133" customWidth="1"/>
    <col min="6416" max="6416" width="16.42578125" style="133" customWidth="1"/>
    <col min="6417" max="6417" width="17.7109375" style="133" customWidth="1"/>
    <col min="6418" max="6656" width="11.42578125" style="133"/>
    <col min="6657" max="6657" width="24.140625" style="133" customWidth="1"/>
    <col min="6658" max="6658" width="11" style="133" bestFit="1" customWidth="1"/>
    <col min="6659" max="6660" width="12.42578125" style="133" bestFit="1" customWidth="1"/>
    <col min="6661" max="6661" width="11.28515625" style="133" customWidth="1"/>
    <col min="6662" max="6662" width="13.42578125" style="133" customWidth="1"/>
    <col min="6663" max="6663" width="11.7109375" style="133" bestFit="1" customWidth="1"/>
    <col min="6664" max="6664" width="11" style="133" bestFit="1" customWidth="1"/>
    <col min="6665" max="6670" width="11.42578125" style="133" customWidth="1"/>
    <col min="6671" max="6671" width="20.42578125" style="133" customWidth="1"/>
    <col min="6672" max="6672" width="16.42578125" style="133" customWidth="1"/>
    <col min="6673" max="6673" width="17.7109375" style="133" customWidth="1"/>
    <col min="6674" max="6912" width="11.42578125" style="133"/>
    <col min="6913" max="6913" width="24.140625" style="133" customWidth="1"/>
    <col min="6914" max="6914" width="11" style="133" bestFit="1" customWidth="1"/>
    <col min="6915" max="6916" width="12.42578125" style="133" bestFit="1" customWidth="1"/>
    <col min="6917" max="6917" width="11.28515625" style="133" customWidth="1"/>
    <col min="6918" max="6918" width="13.42578125" style="133" customWidth="1"/>
    <col min="6919" max="6919" width="11.7109375" style="133" bestFit="1" customWidth="1"/>
    <col min="6920" max="6920" width="11" style="133" bestFit="1" customWidth="1"/>
    <col min="6921" max="6926" width="11.42578125" style="133" customWidth="1"/>
    <col min="6927" max="6927" width="20.42578125" style="133" customWidth="1"/>
    <col min="6928" max="6928" width="16.42578125" style="133" customWidth="1"/>
    <col min="6929" max="6929" width="17.7109375" style="133" customWidth="1"/>
    <col min="6930" max="7168" width="11.42578125" style="133"/>
    <col min="7169" max="7169" width="24.140625" style="133" customWidth="1"/>
    <col min="7170" max="7170" width="11" style="133" bestFit="1" customWidth="1"/>
    <col min="7171" max="7172" width="12.42578125" style="133" bestFit="1" customWidth="1"/>
    <col min="7173" max="7173" width="11.28515625" style="133" customWidth="1"/>
    <col min="7174" max="7174" width="13.42578125" style="133" customWidth="1"/>
    <col min="7175" max="7175" width="11.7109375" style="133" bestFit="1" customWidth="1"/>
    <col min="7176" max="7176" width="11" style="133" bestFit="1" customWidth="1"/>
    <col min="7177" max="7182" width="11.42578125" style="133" customWidth="1"/>
    <col min="7183" max="7183" width="20.42578125" style="133" customWidth="1"/>
    <col min="7184" max="7184" width="16.42578125" style="133" customWidth="1"/>
    <col min="7185" max="7185" width="17.7109375" style="133" customWidth="1"/>
    <col min="7186" max="7424" width="11.42578125" style="133"/>
    <col min="7425" max="7425" width="24.140625" style="133" customWidth="1"/>
    <col min="7426" max="7426" width="11" style="133" bestFit="1" customWidth="1"/>
    <col min="7427" max="7428" width="12.42578125" style="133" bestFit="1" customWidth="1"/>
    <col min="7429" max="7429" width="11.28515625" style="133" customWidth="1"/>
    <col min="7430" max="7430" width="13.42578125" style="133" customWidth="1"/>
    <col min="7431" max="7431" width="11.7109375" style="133" bestFit="1" customWidth="1"/>
    <col min="7432" max="7432" width="11" style="133" bestFit="1" customWidth="1"/>
    <col min="7433" max="7438" width="11.42578125" style="133" customWidth="1"/>
    <col min="7439" max="7439" width="20.42578125" style="133" customWidth="1"/>
    <col min="7440" max="7440" width="16.42578125" style="133" customWidth="1"/>
    <col min="7441" max="7441" width="17.7109375" style="133" customWidth="1"/>
    <col min="7442" max="7680" width="11.42578125" style="133"/>
    <col min="7681" max="7681" width="24.140625" style="133" customWidth="1"/>
    <col min="7682" max="7682" width="11" style="133" bestFit="1" customWidth="1"/>
    <col min="7683" max="7684" width="12.42578125" style="133" bestFit="1" customWidth="1"/>
    <col min="7685" max="7685" width="11.28515625" style="133" customWidth="1"/>
    <col min="7686" max="7686" width="13.42578125" style="133" customWidth="1"/>
    <col min="7687" max="7687" width="11.7109375" style="133" bestFit="1" customWidth="1"/>
    <col min="7688" max="7688" width="11" style="133" bestFit="1" customWidth="1"/>
    <col min="7689" max="7694" width="11.42578125" style="133" customWidth="1"/>
    <col min="7695" max="7695" width="20.42578125" style="133" customWidth="1"/>
    <col min="7696" max="7696" width="16.42578125" style="133" customWidth="1"/>
    <col min="7697" max="7697" width="17.7109375" style="133" customWidth="1"/>
    <col min="7698" max="7936" width="11.42578125" style="133"/>
    <col min="7937" max="7937" width="24.140625" style="133" customWidth="1"/>
    <col min="7938" max="7938" width="11" style="133" bestFit="1" customWidth="1"/>
    <col min="7939" max="7940" width="12.42578125" style="133" bestFit="1" customWidth="1"/>
    <col min="7941" max="7941" width="11.28515625" style="133" customWidth="1"/>
    <col min="7942" max="7942" width="13.42578125" style="133" customWidth="1"/>
    <col min="7943" max="7943" width="11.7109375" style="133" bestFit="1" customWidth="1"/>
    <col min="7944" max="7944" width="11" style="133" bestFit="1" customWidth="1"/>
    <col min="7945" max="7950" width="11.42578125" style="133" customWidth="1"/>
    <col min="7951" max="7951" width="20.42578125" style="133" customWidth="1"/>
    <col min="7952" max="7952" width="16.42578125" style="133" customWidth="1"/>
    <col min="7953" max="7953" width="17.7109375" style="133" customWidth="1"/>
    <col min="7954" max="8192" width="11.42578125" style="133"/>
    <col min="8193" max="8193" width="24.140625" style="133" customWidth="1"/>
    <col min="8194" max="8194" width="11" style="133" bestFit="1" customWidth="1"/>
    <col min="8195" max="8196" width="12.42578125" style="133" bestFit="1" customWidth="1"/>
    <col min="8197" max="8197" width="11.28515625" style="133" customWidth="1"/>
    <col min="8198" max="8198" width="13.42578125" style="133" customWidth="1"/>
    <col min="8199" max="8199" width="11.7109375" style="133" bestFit="1" customWidth="1"/>
    <col min="8200" max="8200" width="11" style="133" bestFit="1" customWidth="1"/>
    <col min="8201" max="8206" width="11.42578125" style="133" customWidth="1"/>
    <col min="8207" max="8207" width="20.42578125" style="133" customWidth="1"/>
    <col min="8208" max="8208" width="16.42578125" style="133" customWidth="1"/>
    <col min="8209" max="8209" width="17.7109375" style="133" customWidth="1"/>
    <col min="8210" max="8448" width="11.42578125" style="133"/>
    <col min="8449" max="8449" width="24.140625" style="133" customWidth="1"/>
    <col min="8450" max="8450" width="11" style="133" bestFit="1" customWidth="1"/>
    <col min="8451" max="8452" width="12.42578125" style="133" bestFit="1" customWidth="1"/>
    <col min="8453" max="8453" width="11.28515625" style="133" customWidth="1"/>
    <col min="8454" max="8454" width="13.42578125" style="133" customWidth="1"/>
    <col min="8455" max="8455" width="11.7109375" style="133" bestFit="1" customWidth="1"/>
    <col min="8456" max="8456" width="11" style="133" bestFit="1" customWidth="1"/>
    <col min="8457" max="8462" width="11.42578125" style="133" customWidth="1"/>
    <col min="8463" max="8463" width="20.42578125" style="133" customWidth="1"/>
    <col min="8464" max="8464" width="16.42578125" style="133" customWidth="1"/>
    <col min="8465" max="8465" width="17.7109375" style="133" customWidth="1"/>
    <col min="8466" max="8704" width="11.42578125" style="133"/>
    <col min="8705" max="8705" width="24.140625" style="133" customWidth="1"/>
    <col min="8706" max="8706" width="11" style="133" bestFit="1" customWidth="1"/>
    <col min="8707" max="8708" width="12.42578125" style="133" bestFit="1" customWidth="1"/>
    <col min="8709" max="8709" width="11.28515625" style="133" customWidth="1"/>
    <col min="8710" max="8710" width="13.42578125" style="133" customWidth="1"/>
    <col min="8711" max="8711" width="11.7109375" style="133" bestFit="1" customWidth="1"/>
    <col min="8712" max="8712" width="11" style="133" bestFit="1" customWidth="1"/>
    <col min="8713" max="8718" width="11.42578125" style="133" customWidth="1"/>
    <col min="8719" max="8719" width="20.42578125" style="133" customWidth="1"/>
    <col min="8720" max="8720" width="16.42578125" style="133" customWidth="1"/>
    <col min="8721" max="8721" width="17.7109375" style="133" customWidth="1"/>
    <col min="8722" max="8960" width="11.42578125" style="133"/>
    <col min="8961" max="8961" width="24.140625" style="133" customWidth="1"/>
    <col min="8962" max="8962" width="11" style="133" bestFit="1" customWidth="1"/>
    <col min="8963" max="8964" width="12.42578125" style="133" bestFit="1" customWidth="1"/>
    <col min="8965" max="8965" width="11.28515625" style="133" customWidth="1"/>
    <col min="8966" max="8966" width="13.42578125" style="133" customWidth="1"/>
    <col min="8967" max="8967" width="11.7109375" style="133" bestFit="1" customWidth="1"/>
    <col min="8968" max="8968" width="11" style="133" bestFit="1" customWidth="1"/>
    <col min="8969" max="8974" width="11.42578125" style="133" customWidth="1"/>
    <col min="8975" max="8975" width="20.42578125" style="133" customWidth="1"/>
    <col min="8976" max="8976" width="16.42578125" style="133" customWidth="1"/>
    <col min="8977" max="8977" width="17.7109375" style="133" customWidth="1"/>
    <col min="8978" max="9216" width="11.42578125" style="133"/>
    <col min="9217" max="9217" width="24.140625" style="133" customWidth="1"/>
    <col min="9218" max="9218" width="11" style="133" bestFit="1" customWidth="1"/>
    <col min="9219" max="9220" width="12.42578125" style="133" bestFit="1" customWidth="1"/>
    <col min="9221" max="9221" width="11.28515625" style="133" customWidth="1"/>
    <col min="9222" max="9222" width="13.42578125" style="133" customWidth="1"/>
    <col min="9223" max="9223" width="11.7109375" style="133" bestFit="1" customWidth="1"/>
    <col min="9224" max="9224" width="11" style="133" bestFit="1" customWidth="1"/>
    <col min="9225" max="9230" width="11.42578125" style="133" customWidth="1"/>
    <col min="9231" max="9231" width="20.42578125" style="133" customWidth="1"/>
    <col min="9232" max="9232" width="16.42578125" style="133" customWidth="1"/>
    <col min="9233" max="9233" width="17.7109375" style="133" customWidth="1"/>
    <col min="9234" max="9472" width="11.42578125" style="133"/>
    <col min="9473" max="9473" width="24.140625" style="133" customWidth="1"/>
    <col min="9474" max="9474" width="11" style="133" bestFit="1" customWidth="1"/>
    <col min="9475" max="9476" width="12.42578125" style="133" bestFit="1" customWidth="1"/>
    <col min="9477" max="9477" width="11.28515625" style="133" customWidth="1"/>
    <col min="9478" max="9478" width="13.42578125" style="133" customWidth="1"/>
    <col min="9479" max="9479" width="11.7109375" style="133" bestFit="1" customWidth="1"/>
    <col min="9480" max="9480" width="11" style="133" bestFit="1" customWidth="1"/>
    <col min="9481" max="9486" width="11.42578125" style="133" customWidth="1"/>
    <col min="9487" max="9487" width="20.42578125" style="133" customWidth="1"/>
    <col min="9488" max="9488" width="16.42578125" style="133" customWidth="1"/>
    <col min="9489" max="9489" width="17.7109375" style="133" customWidth="1"/>
    <col min="9490" max="9728" width="11.42578125" style="133"/>
    <col min="9729" max="9729" width="24.140625" style="133" customWidth="1"/>
    <col min="9730" max="9730" width="11" style="133" bestFit="1" customWidth="1"/>
    <col min="9731" max="9732" width="12.42578125" style="133" bestFit="1" customWidth="1"/>
    <col min="9733" max="9733" width="11.28515625" style="133" customWidth="1"/>
    <col min="9734" max="9734" width="13.42578125" style="133" customWidth="1"/>
    <col min="9735" max="9735" width="11.7109375" style="133" bestFit="1" customWidth="1"/>
    <col min="9736" max="9736" width="11" style="133" bestFit="1" customWidth="1"/>
    <col min="9737" max="9742" width="11.42578125" style="133" customWidth="1"/>
    <col min="9743" max="9743" width="20.42578125" style="133" customWidth="1"/>
    <col min="9744" max="9744" width="16.42578125" style="133" customWidth="1"/>
    <col min="9745" max="9745" width="17.7109375" style="133" customWidth="1"/>
    <col min="9746" max="9984" width="11.42578125" style="133"/>
    <col min="9985" max="9985" width="24.140625" style="133" customWidth="1"/>
    <col min="9986" max="9986" width="11" style="133" bestFit="1" customWidth="1"/>
    <col min="9987" max="9988" width="12.42578125" style="133" bestFit="1" customWidth="1"/>
    <col min="9989" max="9989" width="11.28515625" style="133" customWidth="1"/>
    <col min="9990" max="9990" width="13.42578125" style="133" customWidth="1"/>
    <col min="9991" max="9991" width="11.7109375" style="133" bestFit="1" customWidth="1"/>
    <col min="9992" max="9992" width="11" style="133" bestFit="1" customWidth="1"/>
    <col min="9993" max="9998" width="11.42578125" style="133" customWidth="1"/>
    <col min="9999" max="9999" width="20.42578125" style="133" customWidth="1"/>
    <col min="10000" max="10000" width="16.42578125" style="133" customWidth="1"/>
    <col min="10001" max="10001" width="17.7109375" style="133" customWidth="1"/>
    <col min="10002" max="10240" width="11.42578125" style="133"/>
    <col min="10241" max="10241" width="24.140625" style="133" customWidth="1"/>
    <col min="10242" max="10242" width="11" style="133" bestFit="1" customWidth="1"/>
    <col min="10243" max="10244" width="12.42578125" style="133" bestFit="1" customWidth="1"/>
    <col min="10245" max="10245" width="11.28515625" style="133" customWidth="1"/>
    <col min="10246" max="10246" width="13.42578125" style="133" customWidth="1"/>
    <col min="10247" max="10247" width="11.7109375" style="133" bestFit="1" customWidth="1"/>
    <col min="10248" max="10248" width="11" style="133" bestFit="1" customWidth="1"/>
    <col min="10249" max="10254" width="11.42578125" style="133" customWidth="1"/>
    <col min="10255" max="10255" width="20.42578125" style="133" customWidth="1"/>
    <col min="10256" max="10256" width="16.42578125" style="133" customWidth="1"/>
    <col min="10257" max="10257" width="17.7109375" style="133" customWidth="1"/>
    <col min="10258" max="10496" width="11.42578125" style="133"/>
    <col min="10497" max="10497" width="24.140625" style="133" customWidth="1"/>
    <col min="10498" max="10498" width="11" style="133" bestFit="1" customWidth="1"/>
    <col min="10499" max="10500" width="12.42578125" style="133" bestFit="1" customWidth="1"/>
    <col min="10501" max="10501" width="11.28515625" style="133" customWidth="1"/>
    <col min="10502" max="10502" width="13.42578125" style="133" customWidth="1"/>
    <col min="10503" max="10503" width="11.7109375" style="133" bestFit="1" customWidth="1"/>
    <col min="10504" max="10504" width="11" style="133" bestFit="1" customWidth="1"/>
    <col min="10505" max="10510" width="11.42578125" style="133" customWidth="1"/>
    <col min="10511" max="10511" width="20.42578125" style="133" customWidth="1"/>
    <col min="10512" max="10512" width="16.42578125" style="133" customWidth="1"/>
    <col min="10513" max="10513" width="17.7109375" style="133" customWidth="1"/>
    <col min="10514" max="10752" width="11.42578125" style="133"/>
    <col min="10753" max="10753" width="24.140625" style="133" customWidth="1"/>
    <col min="10754" max="10754" width="11" style="133" bestFit="1" customWidth="1"/>
    <col min="10755" max="10756" width="12.42578125" style="133" bestFit="1" customWidth="1"/>
    <col min="10757" max="10757" width="11.28515625" style="133" customWidth="1"/>
    <col min="10758" max="10758" width="13.42578125" style="133" customWidth="1"/>
    <col min="10759" max="10759" width="11.7109375" style="133" bestFit="1" customWidth="1"/>
    <col min="10760" max="10760" width="11" style="133" bestFit="1" customWidth="1"/>
    <col min="10761" max="10766" width="11.42578125" style="133" customWidth="1"/>
    <col min="10767" max="10767" width="20.42578125" style="133" customWidth="1"/>
    <col min="10768" max="10768" width="16.42578125" style="133" customWidth="1"/>
    <col min="10769" max="10769" width="17.7109375" style="133" customWidth="1"/>
    <col min="10770" max="11008" width="11.42578125" style="133"/>
    <col min="11009" max="11009" width="24.140625" style="133" customWidth="1"/>
    <col min="11010" max="11010" width="11" style="133" bestFit="1" customWidth="1"/>
    <col min="11011" max="11012" width="12.42578125" style="133" bestFit="1" customWidth="1"/>
    <col min="11013" max="11013" width="11.28515625" style="133" customWidth="1"/>
    <col min="11014" max="11014" width="13.42578125" style="133" customWidth="1"/>
    <col min="11015" max="11015" width="11.7109375" style="133" bestFit="1" customWidth="1"/>
    <col min="11016" max="11016" width="11" style="133" bestFit="1" customWidth="1"/>
    <col min="11017" max="11022" width="11.42578125" style="133" customWidth="1"/>
    <col min="11023" max="11023" width="20.42578125" style="133" customWidth="1"/>
    <col min="11024" max="11024" width="16.42578125" style="133" customWidth="1"/>
    <col min="11025" max="11025" width="17.7109375" style="133" customWidth="1"/>
    <col min="11026" max="11264" width="11.42578125" style="133"/>
    <col min="11265" max="11265" width="24.140625" style="133" customWidth="1"/>
    <col min="11266" max="11266" width="11" style="133" bestFit="1" customWidth="1"/>
    <col min="11267" max="11268" width="12.42578125" style="133" bestFit="1" customWidth="1"/>
    <col min="11269" max="11269" width="11.28515625" style="133" customWidth="1"/>
    <col min="11270" max="11270" width="13.42578125" style="133" customWidth="1"/>
    <col min="11271" max="11271" width="11.7109375" style="133" bestFit="1" customWidth="1"/>
    <col min="11272" max="11272" width="11" style="133" bestFit="1" customWidth="1"/>
    <col min="11273" max="11278" width="11.42578125" style="133" customWidth="1"/>
    <col min="11279" max="11279" width="20.42578125" style="133" customWidth="1"/>
    <col min="11280" max="11280" width="16.42578125" style="133" customWidth="1"/>
    <col min="11281" max="11281" width="17.7109375" style="133" customWidth="1"/>
    <col min="11282" max="11520" width="11.42578125" style="133"/>
    <col min="11521" max="11521" width="24.140625" style="133" customWidth="1"/>
    <col min="11522" max="11522" width="11" style="133" bestFit="1" customWidth="1"/>
    <col min="11523" max="11524" width="12.42578125" style="133" bestFit="1" customWidth="1"/>
    <col min="11525" max="11525" width="11.28515625" style="133" customWidth="1"/>
    <col min="11526" max="11526" width="13.42578125" style="133" customWidth="1"/>
    <col min="11527" max="11527" width="11.7109375" style="133" bestFit="1" customWidth="1"/>
    <col min="11528" max="11528" width="11" style="133" bestFit="1" customWidth="1"/>
    <col min="11529" max="11534" width="11.42578125" style="133" customWidth="1"/>
    <col min="11535" max="11535" width="20.42578125" style="133" customWidth="1"/>
    <col min="11536" max="11536" width="16.42578125" style="133" customWidth="1"/>
    <col min="11537" max="11537" width="17.7109375" style="133" customWidth="1"/>
    <col min="11538" max="11776" width="11.42578125" style="133"/>
    <col min="11777" max="11777" width="24.140625" style="133" customWidth="1"/>
    <col min="11778" max="11778" width="11" style="133" bestFit="1" customWidth="1"/>
    <col min="11779" max="11780" width="12.42578125" style="133" bestFit="1" customWidth="1"/>
    <col min="11781" max="11781" width="11.28515625" style="133" customWidth="1"/>
    <col min="11782" max="11782" width="13.42578125" style="133" customWidth="1"/>
    <col min="11783" max="11783" width="11.7109375" style="133" bestFit="1" customWidth="1"/>
    <col min="11784" max="11784" width="11" style="133" bestFit="1" customWidth="1"/>
    <col min="11785" max="11790" width="11.42578125" style="133" customWidth="1"/>
    <col min="11791" max="11791" width="20.42578125" style="133" customWidth="1"/>
    <col min="11792" max="11792" width="16.42578125" style="133" customWidth="1"/>
    <col min="11793" max="11793" width="17.7109375" style="133" customWidth="1"/>
    <col min="11794" max="12032" width="11.42578125" style="133"/>
    <col min="12033" max="12033" width="24.140625" style="133" customWidth="1"/>
    <col min="12034" max="12034" width="11" style="133" bestFit="1" customWidth="1"/>
    <col min="12035" max="12036" width="12.42578125" style="133" bestFit="1" customWidth="1"/>
    <col min="12037" max="12037" width="11.28515625" style="133" customWidth="1"/>
    <col min="12038" max="12038" width="13.42578125" style="133" customWidth="1"/>
    <col min="12039" max="12039" width="11.7109375" style="133" bestFit="1" customWidth="1"/>
    <col min="12040" max="12040" width="11" style="133" bestFit="1" customWidth="1"/>
    <col min="12041" max="12046" width="11.42578125" style="133" customWidth="1"/>
    <col min="12047" max="12047" width="20.42578125" style="133" customWidth="1"/>
    <col min="12048" max="12048" width="16.42578125" style="133" customWidth="1"/>
    <col min="12049" max="12049" width="17.7109375" style="133" customWidth="1"/>
    <col min="12050" max="12288" width="11.42578125" style="133"/>
    <col min="12289" max="12289" width="24.140625" style="133" customWidth="1"/>
    <col min="12290" max="12290" width="11" style="133" bestFit="1" customWidth="1"/>
    <col min="12291" max="12292" width="12.42578125" style="133" bestFit="1" customWidth="1"/>
    <col min="12293" max="12293" width="11.28515625" style="133" customWidth="1"/>
    <col min="12294" max="12294" width="13.42578125" style="133" customWidth="1"/>
    <col min="12295" max="12295" width="11.7109375" style="133" bestFit="1" customWidth="1"/>
    <col min="12296" max="12296" width="11" style="133" bestFit="1" customWidth="1"/>
    <col min="12297" max="12302" width="11.42578125" style="133" customWidth="1"/>
    <col min="12303" max="12303" width="20.42578125" style="133" customWidth="1"/>
    <col min="12304" max="12304" width="16.42578125" style="133" customWidth="1"/>
    <col min="12305" max="12305" width="17.7109375" style="133" customWidth="1"/>
    <col min="12306" max="12544" width="11.42578125" style="133"/>
    <col min="12545" max="12545" width="24.140625" style="133" customWidth="1"/>
    <col min="12546" max="12546" width="11" style="133" bestFit="1" customWidth="1"/>
    <col min="12547" max="12548" width="12.42578125" style="133" bestFit="1" customWidth="1"/>
    <col min="12549" max="12549" width="11.28515625" style="133" customWidth="1"/>
    <col min="12550" max="12550" width="13.42578125" style="133" customWidth="1"/>
    <col min="12551" max="12551" width="11.7109375" style="133" bestFit="1" customWidth="1"/>
    <col min="12552" max="12552" width="11" style="133" bestFit="1" customWidth="1"/>
    <col min="12553" max="12558" width="11.42578125" style="133" customWidth="1"/>
    <col min="12559" max="12559" width="20.42578125" style="133" customWidth="1"/>
    <col min="12560" max="12560" width="16.42578125" style="133" customWidth="1"/>
    <col min="12561" max="12561" width="17.7109375" style="133" customWidth="1"/>
    <col min="12562" max="12800" width="11.42578125" style="133"/>
    <col min="12801" max="12801" width="24.140625" style="133" customWidth="1"/>
    <col min="12802" max="12802" width="11" style="133" bestFit="1" customWidth="1"/>
    <col min="12803" max="12804" width="12.42578125" style="133" bestFit="1" customWidth="1"/>
    <col min="12805" max="12805" width="11.28515625" style="133" customWidth="1"/>
    <col min="12806" max="12806" width="13.42578125" style="133" customWidth="1"/>
    <col min="12807" max="12807" width="11.7109375" style="133" bestFit="1" customWidth="1"/>
    <col min="12808" max="12808" width="11" style="133" bestFit="1" customWidth="1"/>
    <col min="12809" max="12814" width="11.42578125" style="133" customWidth="1"/>
    <col min="12815" max="12815" width="20.42578125" style="133" customWidth="1"/>
    <col min="12816" max="12816" width="16.42578125" style="133" customWidth="1"/>
    <col min="12817" max="12817" width="17.7109375" style="133" customWidth="1"/>
    <col min="12818" max="13056" width="11.42578125" style="133"/>
    <col min="13057" max="13057" width="24.140625" style="133" customWidth="1"/>
    <col min="13058" max="13058" width="11" style="133" bestFit="1" customWidth="1"/>
    <col min="13059" max="13060" width="12.42578125" style="133" bestFit="1" customWidth="1"/>
    <col min="13061" max="13061" width="11.28515625" style="133" customWidth="1"/>
    <col min="13062" max="13062" width="13.42578125" style="133" customWidth="1"/>
    <col min="13063" max="13063" width="11.7109375" style="133" bestFit="1" customWidth="1"/>
    <col min="13064" max="13064" width="11" style="133" bestFit="1" customWidth="1"/>
    <col min="13065" max="13070" width="11.42578125" style="133" customWidth="1"/>
    <col min="13071" max="13071" width="20.42578125" style="133" customWidth="1"/>
    <col min="13072" max="13072" width="16.42578125" style="133" customWidth="1"/>
    <col min="13073" max="13073" width="17.7109375" style="133" customWidth="1"/>
    <col min="13074" max="13312" width="11.42578125" style="133"/>
    <col min="13313" max="13313" width="24.140625" style="133" customWidth="1"/>
    <col min="13314" max="13314" width="11" style="133" bestFit="1" customWidth="1"/>
    <col min="13315" max="13316" width="12.42578125" style="133" bestFit="1" customWidth="1"/>
    <col min="13317" max="13317" width="11.28515625" style="133" customWidth="1"/>
    <col min="13318" max="13318" width="13.42578125" style="133" customWidth="1"/>
    <col min="13319" max="13319" width="11.7109375" style="133" bestFit="1" customWidth="1"/>
    <col min="13320" max="13320" width="11" style="133" bestFit="1" customWidth="1"/>
    <col min="13321" max="13326" width="11.42578125" style="133" customWidth="1"/>
    <col min="13327" max="13327" width="20.42578125" style="133" customWidth="1"/>
    <col min="13328" max="13328" width="16.42578125" style="133" customWidth="1"/>
    <col min="13329" max="13329" width="17.7109375" style="133" customWidth="1"/>
    <col min="13330" max="13568" width="11.42578125" style="133"/>
    <col min="13569" max="13569" width="24.140625" style="133" customWidth="1"/>
    <col min="13570" max="13570" width="11" style="133" bestFit="1" customWidth="1"/>
    <col min="13571" max="13572" width="12.42578125" style="133" bestFit="1" customWidth="1"/>
    <col min="13573" max="13573" width="11.28515625" style="133" customWidth="1"/>
    <col min="13574" max="13574" width="13.42578125" style="133" customWidth="1"/>
    <col min="13575" max="13575" width="11.7109375" style="133" bestFit="1" customWidth="1"/>
    <col min="13576" max="13576" width="11" style="133" bestFit="1" customWidth="1"/>
    <col min="13577" max="13582" width="11.42578125" style="133" customWidth="1"/>
    <col min="13583" max="13583" width="20.42578125" style="133" customWidth="1"/>
    <col min="13584" max="13584" width="16.42578125" style="133" customWidth="1"/>
    <col min="13585" max="13585" width="17.7109375" style="133" customWidth="1"/>
    <col min="13586" max="13824" width="11.42578125" style="133"/>
    <col min="13825" max="13825" width="24.140625" style="133" customWidth="1"/>
    <col min="13826" max="13826" width="11" style="133" bestFit="1" customWidth="1"/>
    <col min="13827" max="13828" width="12.42578125" style="133" bestFit="1" customWidth="1"/>
    <col min="13829" max="13829" width="11.28515625" style="133" customWidth="1"/>
    <col min="13830" max="13830" width="13.42578125" style="133" customWidth="1"/>
    <col min="13831" max="13831" width="11.7109375" style="133" bestFit="1" customWidth="1"/>
    <col min="13832" max="13832" width="11" style="133" bestFit="1" customWidth="1"/>
    <col min="13833" max="13838" width="11.42578125" style="133" customWidth="1"/>
    <col min="13839" max="13839" width="20.42578125" style="133" customWidth="1"/>
    <col min="13840" max="13840" width="16.42578125" style="133" customWidth="1"/>
    <col min="13841" max="13841" width="17.7109375" style="133" customWidth="1"/>
    <col min="13842" max="14080" width="11.42578125" style="133"/>
    <col min="14081" max="14081" width="24.140625" style="133" customWidth="1"/>
    <col min="14082" max="14082" width="11" style="133" bestFit="1" customWidth="1"/>
    <col min="14083" max="14084" width="12.42578125" style="133" bestFit="1" customWidth="1"/>
    <col min="14085" max="14085" width="11.28515625" style="133" customWidth="1"/>
    <col min="14086" max="14086" width="13.42578125" style="133" customWidth="1"/>
    <col min="14087" max="14087" width="11.7109375" style="133" bestFit="1" customWidth="1"/>
    <col min="14088" max="14088" width="11" style="133" bestFit="1" customWidth="1"/>
    <col min="14089" max="14094" width="11.42578125" style="133" customWidth="1"/>
    <col min="14095" max="14095" width="20.42578125" style="133" customWidth="1"/>
    <col min="14096" max="14096" width="16.42578125" style="133" customWidth="1"/>
    <col min="14097" max="14097" width="17.7109375" style="133" customWidth="1"/>
    <col min="14098" max="14336" width="11.42578125" style="133"/>
    <col min="14337" max="14337" width="24.140625" style="133" customWidth="1"/>
    <col min="14338" max="14338" width="11" style="133" bestFit="1" customWidth="1"/>
    <col min="14339" max="14340" width="12.42578125" style="133" bestFit="1" customWidth="1"/>
    <col min="14341" max="14341" width="11.28515625" style="133" customWidth="1"/>
    <col min="14342" max="14342" width="13.42578125" style="133" customWidth="1"/>
    <col min="14343" max="14343" width="11.7109375" style="133" bestFit="1" customWidth="1"/>
    <col min="14344" max="14344" width="11" style="133" bestFit="1" customWidth="1"/>
    <col min="14345" max="14350" width="11.42578125" style="133" customWidth="1"/>
    <col min="14351" max="14351" width="20.42578125" style="133" customWidth="1"/>
    <col min="14352" max="14352" width="16.42578125" style="133" customWidth="1"/>
    <col min="14353" max="14353" width="17.7109375" style="133" customWidth="1"/>
    <col min="14354" max="14592" width="11.42578125" style="133"/>
    <col min="14593" max="14593" width="24.140625" style="133" customWidth="1"/>
    <col min="14594" max="14594" width="11" style="133" bestFit="1" customWidth="1"/>
    <col min="14595" max="14596" width="12.42578125" style="133" bestFit="1" customWidth="1"/>
    <col min="14597" max="14597" width="11.28515625" style="133" customWidth="1"/>
    <col min="14598" max="14598" width="13.42578125" style="133" customWidth="1"/>
    <col min="14599" max="14599" width="11.7109375" style="133" bestFit="1" customWidth="1"/>
    <col min="14600" max="14600" width="11" style="133" bestFit="1" customWidth="1"/>
    <col min="14601" max="14606" width="11.42578125" style="133" customWidth="1"/>
    <col min="14607" max="14607" width="20.42578125" style="133" customWidth="1"/>
    <col min="14608" max="14608" width="16.42578125" style="133" customWidth="1"/>
    <col min="14609" max="14609" width="17.7109375" style="133" customWidth="1"/>
    <col min="14610" max="14848" width="11.42578125" style="133"/>
    <col min="14849" max="14849" width="24.140625" style="133" customWidth="1"/>
    <col min="14850" max="14850" width="11" style="133" bestFit="1" customWidth="1"/>
    <col min="14851" max="14852" width="12.42578125" style="133" bestFit="1" customWidth="1"/>
    <col min="14853" max="14853" width="11.28515625" style="133" customWidth="1"/>
    <col min="14854" max="14854" width="13.42578125" style="133" customWidth="1"/>
    <col min="14855" max="14855" width="11.7109375" style="133" bestFit="1" customWidth="1"/>
    <col min="14856" max="14856" width="11" style="133" bestFit="1" customWidth="1"/>
    <col min="14857" max="14862" width="11.42578125" style="133" customWidth="1"/>
    <col min="14863" max="14863" width="20.42578125" style="133" customWidth="1"/>
    <col min="14864" max="14864" width="16.42578125" style="133" customWidth="1"/>
    <col min="14865" max="14865" width="17.7109375" style="133" customWidth="1"/>
    <col min="14866" max="15104" width="11.42578125" style="133"/>
    <col min="15105" max="15105" width="24.140625" style="133" customWidth="1"/>
    <col min="15106" max="15106" width="11" style="133" bestFit="1" customWidth="1"/>
    <col min="15107" max="15108" width="12.42578125" style="133" bestFit="1" customWidth="1"/>
    <col min="15109" max="15109" width="11.28515625" style="133" customWidth="1"/>
    <col min="15110" max="15110" width="13.42578125" style="133" customWidth="1"/>
    <col min="15111" max="15111" width="11.7109375" style="133" bestFit="1" customWidth="1"/>
    <col min="15112" max="15112" width="11" style="133" bestFit="1" customWidth="1"/>
    <col min="15113" max="15118" width="11.42578125" style="133" customWidth="1"/>
    <col min="15119" max="15119" width="20.42578125" style="133" customWidth="1"/>
    <col min="15120" max="15120" width="16.42578125" style="133" customWidth="1"/>
    <col min="15121" max="15121" width="17.7109375" style="133" customWidth="1"/>
    <col min="15122" max="15360" width="11.42578125" style="133"/>
    <col min="15361" max="15361" width="24.140625" style="133" customWidth="1"/>
    <col min="15362" max="15362" width="11" style="133" bestFit="1" customWidth="1"/>
    <col min="15363" max="15364" width="12.42578125" style="133" bestFit="1" customWidth="1"/>
    <col min="15365" max="15365" width="11.28515625" style="133" customWidth="1"/>
    <col min="15366" max="15366" width="13.42578125" style="133" customWidth="1"/>
    <col min="15367" max="15367" width="11.7109375" style="133" bestFit="1" customWidth="1"/>
    <col min="15368" max="15368" width="11" style="133" bestFit="1" customWidth="1"/>
    <col min="15369" max="15374" width="11.42578125" style="133" customWidth="1"/>
    <col min="15375" max="15375" width="20.42578125" style="133" customWidth="1"/>
    <col min="15376" max="15376" width="16.42578125" style="133" customWidth="1"/>
    <col min="15377" max="15377" width="17.7109375" style="133" customWidth="1"/>
    <col min="15378" max="15616" width="11.42578125" style="133"/>
    <col min="15617" max="15617" width="24.140625" style="133" customWidth="1"/>
    <col min="15618" max="15618" width="11" style="133" bestFit="1" customWidth="1"/>
    <col min="15619" max="15620" width="12.42578125" style="133" bestFit="1" customWidth="1"/>
    <col min="15621" max="15621" width="11.28515625" style="133" customWidth="1"/>
    <col min="15622" max="15622" width="13.42578125" style="133" customWidth="1"/>
    <col min="15623" max="15623" width="11.7109375" style="133" bestFit="1" customWidth="1"/>
    <col min="15624" max="15624" width="11" style="133" bestFit="1" customWidth="1"/>
    <col min="15625" max="15630" width="11.42578125" style="133" customWidth="1"/>
    <col min="15631" max="15631" width="20.42578125" style="133" customWidth="1"/>
    <col min="15632" max="15632" width="16.42578125" style="133" customWidth="1"/>
    <col min="15633" max="15633" width="17.7109375" style="133" customWidth="1"/>
    <col min="15634" max="15872" width="11.42578125" style="133"/>
    <col min="15873" max="15873" width="24.140625" style="133" customWidth="1"/>
    <col min="15874" max="15874" width="11" style="133" bestFit="1" customWidth="1"/>
    <col min="15875" max="15876" width="12.42578125" style="133" bestFit="1" customWidth="1"/>
    <col min="15877" max="15877" width="11.28515625" style="133" customWidth="1"/>
    <col min="15878" max="15878" width="13.42578125" style="133" customWidth="1"/>
    <col min="15879" max="15879" width="11.7109375" style="133" bestFit="1" customWidth="1"/>
    <col min="15880" max="15880" width="11" style="133" bestFit="1" customWidth="1"/>
    <col min="15881" max="15886" width="11.42578125" style="133" customWidth="1"/>
    <col min="15887" max="15887" width="20.42578125" style="133" customWidth="1"/>
    <col min="15888" max="15888" width="16.42578125" style="133" customWidth="1"/>
    <col min="15889" max="15889" width="17.7109375" style="133" customWidth="1"/>
    <col min="15890" max="16128" width="11.42578125" style="133"/>
    <col min="16129" max="16129" width="24.140625" style="133" customWidth="1"/>
    <col min="16130" max="16130" width="11" style="133" bestFit="1" customWidth="1"/>
    <col min="16131" max="16132" width="12.42578125" style="133" bestFit="1" customWidth="1"/>
    <col min="16133" max="16133" width="11.28515625" style="133" customWidth="1"/>
    <col min="16134" max="16134" width="13.42578125" style="133" customWidth="1"/>
    <col min="16135" max="16135" width="11.7109375" style="133" bestFit="1" customWidth="1"/>
    <col min="16136" max="16136" width="11" style="133" bestFit="1" customWidth="1"/>
    <col min="16137" max="16142" width="11.42578125" style="133" customWidth="1"/>
    <col min="16143" max="16143" width="20.42578125" style="133" customWidth="1"/>
    <col min="16144" max="16144" width="16.42578125" style="133" customWidth="1"/>
    <col min="16145" max="16145" width="17.7109375" style="133" customWidth="1"/>
    <col min="16146" max="16384" width="11.42578125" style="133"/>
  </cols>
  <sheetData>
    <row r="1" spans="1:26">
      <c r="A1" s="480" t="s">
        <v>366</v>
      </c>
      <c r="B1" s="481"/>
      <c r="C1" s="482"/>
      <c r="D1" s="482"/>
      <c r="E1" s="482"/>
      <c r="F1" s="482"/>
      <c r="G1" s="482"/>
      <c r="H1" s="483"/>
      <c r="J1" s="508" t="s">
        <v>854</v>
      </c>
      <c r="K1" s="509"/>
      <c r="L1" s="509"/>
      <c r="M1" s="509"/>
      <c r="N1" s="509"/>
      <c r="O1" s="509"/>
      <c r="P1" s="509"/>
      <c r="Q1" s="510"/>
      <c r="S1" s="529" t="s">
        <v>867</v>
      </c>
      <c r="T1" s="530"/>
      <c r="U1" s="530"/>
      <c r="V1" s="530"/>
      <c r="W1" s="530"/>
      <c r="X1" s="530"/>
      <c r="Y1" s="530"/>
      <c r="Z1" s="531"/>
    </row>
    <row r="2" spans="1:26">
      <c r="A2" s="484" t="s">
        <v>367</v>
      </c>
      <c r="B2" s="485"/>
      <c r="C2" s="486"/>
      <c r="D2" s="486"/>
      <c r="E2" s="486"/>
      <c r="F2" s="486"/>
      <c r="G2" s="486"/>
      <c r="H2" s="487"/>
      <c r="J2" s="511"/>
      <c r="K2" s="512"/>
      <c r="L2" s="512"/>
      <c r="M2" s="512"/>
      <c r="N2" s="512"/>
      <c r="O2" s="512"/>
      <c r="P2" s="512"/>
      <c r="Q2" s="513"/>
      <c r="S2" s="532"/>
      <c r="T2" s="533"/>
      <c r="U2" s="533"/>
      <c r="V2" s="533"/>
      <c r="W2" s="533"/>
      <c r="X2" s="533"/>
      <c r="Y2" s="533"/>
      <c r="Z2" s="534"/>
    </row>
    <row r="3" spans="1:26">
      <c r="A3" s="488" t="s">
        <v>368</v>
      </c>
      <c r="B3" s="485"/>
      <c r="C3" s="486"/>
      <c r="D3" s="486"/>
      <c r="E3" s="486"/>
      <c r="F3" s="486"/>
      <c r="G3" s="486"/>
      <c r="H3" s="487"/>
      <c r="J3" s="511"/>
      <c r="K3" s="512"/>
      <c r="L3" s="512"/>
      <c r="M3" s="512"/>
      <c r="N3" s="512"/>
      <c r="O3" s="512"/>
      <c r="P3" s="512"/>
      <c r="Q3" s="513"/>
      <c r="S3" s="532"/>
      <c r="T3" s="533"/>
      <c r="U3" s="533"/>
      <c r="V3" s="533"/>
      <c r="W3" s="533"/>
      <c r="X3" s="533"/>
      <c r="Y3" s="533"/>
      <c r="Z3" s="534"/>
    </row>
    <row r="4" spans="1:26">
      <c r="A4" s="489"/>
      <c r="B4" s="485"/>
      <c r="C4" s="486"/>
      <c r="D4" s="486"/>
      <c r="E4" s="486"/>
      <c r="F4" s="486"/>
      <c r="G4" s="486"/>
      <c r="H4" s="487"/>
      <c r="J4" s="511"/>
      <c r="K4" s="512"/>
      <c r="L4" s="512"/>
      <c r="M4" s="512"/>
      <c r="N4" s="512"/>
      <c r="O4" s="512"/>
      <c r="P4" s="512"/>
      <c r="Q4" s="513"/>
      <c r="S4" s="532"/>
      <c r="T4" s="533"/>
      <c r="U4" s="533"/>
      <c r="V4" s="533"/>
      <c r="W4" s="533"/>
      <c r="X4" s="533"/>
      <c r="Y4" s="533"/>
      <c r="Z4" s="534"/>
    </row>
    <row r="5" spans="1:26">
      <c r="A5" s="490"/>
      <c r="B5" s="491"/>
      <c r="C5" s="492"/>
      <c r="D5" s="492"/>
      <c r="E5" s="492"/>
      <c r="F5" s="493" t="s">
        <v>369</v>
      </c>
      <c r="G5" s="493" t="s">
        <v>370</v>
      </c>
      <c r="H5" s="494" t="s">
        <v>371</v>
      </c>
      <c r="J5" s="511"/>
      <c r="K5" s="512"/>
      <c r="L5" s="512"/>
      <c r="M5" s="512"/>
      <c r="N5" s="512"/>
      <c r="O5" s="512"/>
      <c r="P5" s="512"/>
      <c r="Q5" s="513"/>
      <c r="S5" s="532"/>
      <c r="T5" s="533"/>
      <c r="U5" s="533"/>
      <c r="V5" s="533"/>
      <c r="W5" s="533"/>
      <c r="X5" s="533"/>
      <c r="Y5" s="533"/>
      <c r="Z5" s="534"/>
    </row>
    <row r="6" spans="1:26">
      <c r="A6" s="495" t="s">
        <v>372</v>
      </c>
      <c r="B6" s="493" t="s">
        <v>373</v>
      </c>
      <c r="C6" s="493" t="s">
        <v>374</v>
      </c>
      <c r="D6" s="493" t="s">
        <v>346</v>
      </c>
      <c r="E6" s="493" t="s">
        <v>375</v>
      </c>
      <c r="F6" s="493" t="s">
        <v>376</v>
      </c>
      <c r="G6" s="493" t="s">
        <v>376</v>
      </c>
      <c r="H6" s="494" t="s">
        <v>377</v>
      </c>
      <c r="J6" s="511"/>
      <c r="K6" s="514"/>
      <c r="L6" s="514"/>
      <c r="M6" s="514"/>
      <c r="N6" s="515" t="s">
        <v>583</v>
      </c>
      <c r="O6" s="514"/>
      <c r="P6" s="514"/>
      <c r="Q6" s="516"/>
      <c r="R6" s="134"/>
      <c r="S6" s="532"/>
      <c r="T6" s="535"/>
      <c r="U6" s="535"/>
      <c r="V6" s="535"/>
      <c r="W6" s="536" t="s">
        <v>583</v>
      </c>
      <c r="X6" s="535"/>
      <c r="Y6" s="535"/>
      <c r="Z6" s="537"/>
    </row>
    <row r="7" spans="1:26">
      <c r="A7" s="495"/>
      <c r="B7" s="493"/>
      <c r="C7" s="493"/>
      <c r="D7" s="493" t="s">
        <v>373</v>
      </c>
      <c r="E7" s="493" t="s">
        <v>346</v>
      </c>
      <c r="F7" s="496">
        <v>43009</v>
      </c>
      <c r="G7" s="496">
        <v>43373</v>
      </c>
      <c r="H7" s="497">
        <f>G7</f>
        <v>43373</v>
      </c>
      <c r="J7" s="517" t="s">
        <v>13</v>
      </c>
      <c r="K7" s="515" t="s">
        <v>853</v>
      </c>
      <c r="L7" s="515" t="s">
        <v>850</v>
      </c>
      <c r="M7" s="515" t="s">
        <v>851</v>
      </c>
      <c r="N7" s="518" t="s">
        <v>3</v>
      </c>
      <c r="O7" s="519" t="s">
        <v>289</v>
      </c>
      <c r="P7" s="519" t="s">
        <v>299</v>
      </c>
      <c r="Q7" s="520" t="s">
        <v>855</v>
      </c>
      <c r="R7" s="134"/>
      <c r="S7" s="538" t="s">
        <v>13</v>
      </c>
      <c r="T7" s="536" t="s">
        <v>853</v>
      </c>
      <c r="U7" s="536" t="s">
        <v>850</v>
      </c>
      <c r="V7" s="536" t="s">
        <v>851</v>
      </c>
      <c r="W7" s="539" t="s">
        <v>3</v>
      </c>
      <c r="X7" s="540" t="s">
        <v>289</v>
      </c>
      <c r="Y7" s="540" t="s">
        <v>299</v>
      </c>
      <c r="Z7" s="541" t="s">
        <v>855</v>
      </c>
    </row>
    <row r="8" spans="1:26">
      <c r="A8" s="484" t="s">
        <v>378</v>
      </c>
      <c r="B8" s="498"/>
      <c r="C8" s="479"/>
      <c r="D8" s="479"/>
      <c r="E8" s="479"/>
      <c r="F8" s="479"/>
      <c r="G8" s="479"/>
      <c r="H8" s="499"/>
      <c r="J8" s="511"/>
      <c r="K8" s="514"/>
      <c r="L8" s="514"/>
      <c r="M8" s="514"/>
      <c r="N8" s="514"/>
      <c r="O8" s="514"/>
      <c r="P8" s="514"/>
      <c r="Q8" s="516"/>
      <c r="R8" s="134"/>
      <c r="S8" s="532"/>
      <c r="T8" s="535"/>
      <c r="U8" s="535"/>
      <c r="V8" s="535"/>
      <c r="W8" s="535"/>
      <c r="X8" s="535"/>
      <c r="Y8" s="535"/>
      <c r="Z8" s="537"/>
    </row>
    <row r="9" spans="1:26">
      <c r="A9" s="490" t="s">
        <v>379</v>
      </c>
      <c r="B9" s="500">
        <v>9907033.4407333322</v>
      </c>
      <c r="C9" s="500">
        <v>0</v>
      </c>
      <c r="D9" s="500">
        <v>9907033.4407333322</v>
      </c>
      <c r="E9" s="500">
        <v>988149.35616666672</v>
      </c>
      <c r="F9" s="500">
        <v>1751771.1618333336</v>
      </c>
      <c r="G9" s="500">
        <v>2739920.5179999992</v>
      </c>
      <c r="H9" s="501">
        <v>7167112.9227333358</v>
      </c>
      <c r="J9" s="521">
        <f>+E9</f>
        <v>988149.35616666672</v>
      </c>
      <c r="K9" s="514">
        <f>+$J9*'2183-2184-2185 Ratios'!C$62</f>
        <v>930269.66717559285</v>
      </c>
      <c r="L9" s="514">
        <f>+$J9*'2183-2184-2185 Ratios'!D$62</f>
        <v>47393.692261193988</v>
      </c>
      <c r="M9" s="514">
        <f>+$J9*'2183-2184-2185 Ratios'!E$62</f>
        <v>10485.996729879816</v>
      </c>
      <c r="N9" s="514">
        <v>0</v>
      </c>
      <c r="O9" s="514">
        <v>0</v>
      </c>
      <c r="P9" s="514">
        <v>0</v>
      </c>
      <c r="Q9" s="516" t="s">
        <v>856</v>
      </c>
      <c r="R9" s="134"/>
      <c r="S9" s="542">
        <f>+H9</f>
        <v>7167112.9227333358</v>
      </c>
      <c r="T9" s="535">
        <f>+$S9*'2183-2184-2185 Ratios'!C$62</f>
        <v>6747307.6935512163</v>
      </c>
      <c r="U9" s="535">
        <f>+$S9*'2183-2184-2185 Ratios'!D$62</f>
        <v>343749.59831877751</v>
      </c>
      <c r="V9" s="535">
        <f>+$S9*'2183-2184-2185 Ratios'!E$62</f>
        <v>76055.63086334207</v>
      </c>
      <c r="W9" s="535">
        <v>0</v>
      </c>
      <c r="X9" s="535">
        <v>0</v>
      </c>
      <c r="Y9" s="535">
        <v>0</v>
      </c>
      <c r="Z9" s="537" t="s">
        <v>856</v>
      </c>
    </row>
    <row r="10" spans="1:26">
      <c r="A10" s="490"/>
      <c r="B10" s="500"/>
      <c r="C10" s="500"/>
      <c r="D10" s="500"/>
      <c r="E10" s="500"/>
      <c r="F10" s="500"/>
      <c r="G10" s="500"/>
      <c r="H10" s="501"/>
      <c r="J10" s="521"/>
      <c r="K10" s="514"/>
      <c r="L10" s="514"/>
      <c r="M10" s="514"/>
      <c r="N10" s="514"/>
      <c r="O10" s="514"/>
      <c r="P10" s="514"/>
      <c r="Q10" s="516"/>
      <c r="R10" s="134"/>
      <c r="S10" s="542"/>
      <c r="T10" s="535"/>
      <c r="U10" s="535"/>
      <c r="V10" s="535"/>
      <c r="W10" s="535"/>
      <c r="X10" s="535"/>
      <c r="Y10" s="535"/>
      <c r="Z10" s="537"/>
    </row>
    <row r="11" spans="1:26">
      <c r="A11" s="490" t="s">
        <v>380</v>
      </c>
      <c r="B11" s="500">
        <v>2677806.6882666671</v>
      </c>
      <c r="C11" s="500">
        <v>0</v>
      </c>
      <c r="D11" s="500">
        <v>2677806.6882666671</v>
      </c>
      <c r="E11" s="500">
        <v>280711.00633333338</v>
      </c>
      <c r="F11" s="500">
        <v>1028238.2029333331</v>
      </c>
      <c r="G11" s="500">
        <v>1308949.2092666666</v>
      </c>
      <c r="H11" s="501">
        <v>1368857.4790000003</v>
      </c>
      <c r="J11" s="521">
        <f>+E11</f>
        <v>280711.00633333338</v>
      </c>
      <c r="K11" s="522">
        <f>+$J11*'2183-2184-2185 Ratios'!C$64</f>
        <v>134334.8591418126</v>
      </c>
      <c r="L11" s="522">
        <f>+$J11*'2183-2184-2185 Ratios'!D$64</f>
        <v>17007.542460302426</v>
      </c>
      <c r="M11" s="522">
        <f>+$J11*'2183-2184-2185 Ratios'!E$64</f>
        <v>2824.1421567532411</v>
      </c>
      <c r="N11" s="522">
        <f>+$J11*'2183-2184-2185 Ratios'!F$64</f>
        <v>126544.4625744651</v>
      </c>
      <c r="O11" s="514">
        <v>0</v>
      </c>
      <c r="P11" s="514">
        <v>0</v>
      </c>
      <c r="Q11" s="516" t="s">
        <v>858</v>
      </c>
      <c r="R11" s="134"/>
      <c r="S11" s="542">
        <f>+H11</f>
        <v>1368857.4790000003</v>
      </c>
      <c r="T11" s="543">
        <f>+$S11*'2183-2184-2185 Ratios'!C$64</f>
        <v>655069.70684407407</v>
      </c>
      <c r="U11" s="543">
        <f>+$S11*'2183-2184-2185 Ratios'!D$64</f>
        <v>82935.478734132281</v>
      </c>
      <c r="V11" s="543">
        <f>+$S11*'2183-2184-2185 Ratios'!E$64</f>
        <v>13771.629988887295</v>
      </c>
      <c r="W11" s="543">
        <f>+$S11*'2183-2184-2185 Ratios'!F$64</f>
        <v>617080.6634329065</v>
      </c>
      <c r="X11" s="535">
        <v>0</v>
      </c>
      <c r="Y11" s="535">
        <v>0</v>
      </c>
      <c r="Z11" s="537" t="s">
        <v>858</v>
      </c>
    </row>
    <row r="12" spans="1:26">
      <c r="A12" s="490"/>
      <c r="B12" s="500"/>
      <c r="C12" s="500"/>
      <c r="D12" s="500"/>
      <c r="E12" s="500"/>
      <c r="F12" s="500"/>
      <c r="G12" s="500"/>
      <c r="H12" s="501"/>
      <c r="J12" s="511"/>
      <c r="K12" s="514"/>
      <c r="L12" s="514"/>
      <c r="M12" s="514"/>
      <c r="N12" s="514"/>
      <c r="O12" s="514"/>
      <c r="P12" s="514"/>
      <c r="Q12" s="516"/>
      <c r="R12" s="134"/>
      <c r="S12" s="532"/>
      <c r="T12" s="535"/>
      <c r="U12" s="535"/>
      <c r="V12" s="535"/>
      <c r="W12" s="535"/>
      <c r="X12" s="535"/>
      <c r="Y12" s="535"/>
      <c r="Z12" s="537"/>
    </row>
    <row r="13" spans="1:26">
      <c r="A13" s="490" t="s">
        <v>1933</v>
      </c>
      <c r="B13" s="500">
        <v>4670530.9578666659</v>
      </c>
      <c r="C13" s="500">
        <v>0</v>
      </c>
      <c r="D13" s="500">
        <v>4670530.9578666659</v>
      </c>
      <c r="E13" s="500">
        <v>414414.45037777786</v>
      </c>
      <c r="F13" s="500">
        <v>2508192.2346222224</v>
      </c>
      <c r="G13" s="500">
        <v>2922606.6849999996</v>
      </c>
      <c r="H13" s="501">
        <v>1747924.2728666663</v>
      </c>
      <c r="J13" s="521">
        <f>+E13</f>
        <v>414414.45037777786</v>
      </c>
      <c r="K13" s="522">
        <f>+$J13*'2183-2184-2185 Ratios'!C$66</f>
        <v>395759.83090297331</v>
      </c>
      <c r="L13" s="522">
        <f>+$J13*'2183-2184-2185 Ratios'!D$66</f>
        <v>14146.327812015033</v>
      </c>
      <c r="M13" s="522">
        <f>+$J13*'2183-2184-2185 Ratios'!E$66</f>
        <v>4508.2916627894738</v>
      </c>
      <c r="N13" s="514">
        <v>0</v>
      </c>
      <c r="O13" s="514">
        <v>0</v>
      </c>
      <c r="P13" s="514">
        <v>0</v>
      </c>
      <c r="Q13" s="516" t="s">
        <v>1932</v>
      </c>
      <c r="R13" s="134"/>
      <c r="S13" s="542">
        <f>+H13</f>
        <v>1747924.2728666663</v>
      </c>
      <c r="T13" s="543">
        <f>+$S13*'2183-2184-2185 Ratios'!C$66</f>
        <v>1669242.5035621021</v>
      </c>
      <c r="U13" s="543">
        <f>+$S13*'2183-2184-2185 Ratios'!D$66</f>
        <v>59666.620534127491</v>
      </c>
      <c r="V13" s="543">
        <f>+$S13*'2183-2184-2185 Ratios'!E$66</f>
        <v>19015.148770436557</v>
      </c>
      <c r="W13" s="535">
        <v>0</v>
      </c>
      <c r="X13" s="535">
        <v>0</v>
      </c>
      <c r="Y13" s="535">
        <v>0</v>
      </c>
      <c r="Z13" s="537" t="s">
        <v>1932</v>
      </c>
    </row>
    <row r="14" spans="1:26">
      <c r="A14" s="490"/>
      <c r="B14" s="500"/>
      <c r="C14" s="500"/>
      <c r="D14" s="500"/>
      <c r="E14" s="500"/>
      <c r="F14" s="500"/>
      <c r="G14" s="500"/>
      <c r="H14" s="501"/>
      <c r="J14" s="511"/>
      <c r="K14" s="514"/>
      <c r="L14" s="514"/>
      <c r="M14" s="514"/>
      <c r="N14" s="514"/>
      <c r="O14" s="514"/>
      <c r="P14" s="514"/>
      <c r="Q14" s="516"/>
      <c r="R14" s="134"/>
      <c r="S14" s="532"/>
      <c r="T14" s="535"/>
      <c r="U14" s="535"/>
      <c r="V14" s="535"/>
      <c r="W14" s="535"/>
      <c r="X14" s="535"/>
      <c r="Y14" s="535"/>
      <c r="Z14" s="537"/>
    </row>
    <row r="15" spans="1:26">
      <c r="A15" s="490" t="s">
        <v>4</v>
      </c>
      <c r="B15" s="500">
        <v>1379356.7604000003</v>
      </c>
      <c r="C15" s="500">
        <v>0</v>
      </c>
      <c r="D15" s="500">
        <v>1379356.7604000003</v>
      </c>
      <c r="E15" s="500">
        <v>140606.53777777779</v>
      </c>
      <c r="F15" s="500">
        <v>920675.10595555557</v>
      </c>
      <c r="G15" s="500">
        <v>1061281.6437333336</v>
      </c>
      <c r="H15" s="501">
        <v>318075.1166666667</v>
      </c>
      <c r="J15" s="521">
        <f>+E15</f>
        <v>140606.53777777779</v>
      </c>
      <c r="K15" s="514">
        <f>+$J15*'2183-2184-2185 Ratios'!C$68</f>
        <v>131518.997666902</v>
      </c>
      <c r="L15" s="514">
        <f>+$J15*'2183-2184-2185 Ratios'!D$68</f>
        <v>8026.8648278520232</v>
      </c>
      <c r="M15" s="514">
        <f>+$J15*'2183-2184-2185 Ratios'!E$68</f>
        <v>1060.6752830237785</v>
      </c>
      <c r="N15" s="514">
        <f>+$J15*'2183-2184-2185 Ratios'!F$68</f>
        <v>0</v>
      </c>
      <c r="O15" s="514">
        <f>+$J15*'2183-2184-2185 Ratios'!G$68</f>
        <v>0</v>
      </c>
      <c r="P15" s="514">
        <f>+$J15*'2183-2184-2185 Ratios'!H$68</f>
        <v>0</v>
      </c>
      <c r="Q15" s="516" t="s">
        <v>860</v>
      </c>
      <c r="R15" s="134"/>
      <c r="S15" s="542">
        <f>+H15</f>
        <v>318075.1166666667</v>
      </c>
      <c r="T15" s="535">
        <f>+$S15*'2183-2184-2185 Ratios'!C$68</f>
        <v>297517.60613647953</v>
      </c>
      <c r="U15" s="535">
        <f>+$S15*'2183-2184-2185 Ratios'!D$68</f>
        <v>18158.088570687418</v>
      </c>
      <c r="V15" s="535">
        <f>+$S15*'2183-2184-2185 Ratios'!E$68</f>
        <v>2399.421959499799</v>
      </c>
      <c r="W15" s="535">
        <f>+$S15*'2183-2184-2185 Ratios'!F$68</f>
        <v>0</v>
      </c>
      <c r="X15" s="535">
        <f>+$S15*'2183-2184-2185 Ratios'!G$68</f>
        <v>0</v>
      </c>
      <c r="Y15" s="535">
        <f>+$S15*'2183-2184-2185 Ratios'!H$68</f>
        <v>0</v>
      </c>
      <c r="Z15" s="537" t="s">
        <v>860</v>
      </c>
    </row>
    <row r="16" spans="1:26">
      <c r="A16" s="490"/>
      <c r="B16" s="500"/>
      <c r="C16" s="500"/>
      <c r="D16" s="500"/>
      <c r="E16" s="500"/>
      <c r="F16" s="500"/>
      <c r="G16" s="500"/>
      <c r="H16" s="501"/>
      <c r="J16" s="511"/>
      <c r="K16" s="514"/>
      <c r="L16" s="514"/>
      <c r="M16" s="514"/>
      <c r="N16" s="514"/>
      <c r="O16" s="514"/>
      <c r="P16" s="514"/>
      <c r="Q16" s="516"/>
      <c r="R16" s="134"/>
      <c r="S16" s="532"/>
      <c r="T16" s="535"/>
      <c r="U16" s="535"/>
      <c r="V16" s="535"/>
      <c r="W16" s="535"/>
      <c r="X16" s="535"/>
      <c r="Y16" s="535"/>
      <c r="Z16" s="537"/>
    </row>
    <row r="17" spans="1:26">
      <c r="A17" s="490" t="s">
        <v>381</v>
      </c>
      <c r="B17" s="500">
        <v>1917539.1113333337</v>
      </c>
      <c r="C17" s="500">
        <v>0</v>
      </c>
      <c r="D17" s="500">
        <v>1917539.1113333337</v>
      </c>
      <c r="E17" s="500">
        <v>63698.602999999996</v>
      </c>
      <c r="F17" s="500">
        <v>1461321.6813333337</v>
      </c>
      <c r="G17" s="500">
        <v>1525020.2843333336</v>
      </c>
      <c r="H17" s="501">
        <v>392518.82700000005</v>
      </c>
      <c r="J17" s="521">
        <f>+E17</f>
        <v>63698.602999999996</v>
      </c>
      <c r="K17" s="514">
        <v>0</v>
      </c>
      <c r="L17" s="514">
        <v>0</v>
      </c>
      <c r="M17" s="514">
        <v>0</v>
      </c>
      <c r="N17" s="514">
        <f>+J17</f>
        <v>63698.602999999996</v>
      </c>
      <c r="O17" s="514">
        <v>0</v>
      </c>
      <c r="P17" s="514">
        <v>0</v>
      </c>
      <c r="Q17" s="516" t="s">
        <v>348</v>
      </c>
      <c r="R17" s="134"/>
      <c r="S17" s="542">
        <f>+H17</f>
        <v>392518.82700000005</v>
      </c>
      <c r="T17" s="535">
        <v>0</v>
      </c>
      <c r="U17" s="535">
        <v>0</v>
      </c>
      <c r="V17" s="535">
        <v>0</v>
      </c>
      <c r="W17" s="535">
        <f>+S17</f>
        <v>392518.82700000005</v>
      </c>
      <c r="X17" s="535">
        <v>0</v>
      </c>
      <c r="Y17" s="535">
        <v>0</v>
      </c>
      <c r="Z17" s="537" t="s">
        <v>348</v>
      </c>
    </row>
    <row r="18" spans="1:26">
      <c r="A18" s="490"/>
      <c r="B18" s="500"/>
      <c r="C18" s="500"/>
      <c r="D18" s="500"/>
      <c r="E18" s="500"/>
      <c r="F18" s="500"/>
      <c r="G18" s="500"/>
      <c r="H18" s="501"/>
      <c r="J18" s="511"/>
      <c r="K18" s="514"/>
      <c r="L18" s="514"/>
      <c r="M18" s="514"/>
      <c r="N18" s="514"/>
      <c r="O18" s="514"/>
      <c r="P18" s="514"/>
      <c r="Q18" s="516"/>
      <c r="R18" s="134"/>
      <c r="S18" s="532"/>
      <c r="T18" s="535"/>
      <c r="U18" s="535"/>
      <c r="V18" s="535"/>
      <c r="W18" s="535"/>
      <c r="X18" s="535"/>
      <c r="Y18" s="535"/>
      <c r="Z18" s="537"/>
    </row>
    <row r="19" spans="1:26">
      <c r="A19" s="484" t="s">
        <v>382</v>
      </c>
      <c r="B19" s="502">
        <f t="shared" ref="B19:H19" si="0">SUM(B9:B18)</f>
        <v>20552266.9586</v>
      </c>
      <c r="C19" s="502">
        <f t="shared" si="0"/>
        <v>0</v>
      </c>
      <c r="D19" s="502">
        <f t="shared" si="0"/>
        <v>20552266.9586</v>
      </c>
      <c r="E19" s="502">
        <f t="shared" si="0"/>
        <v>1887579.9536555556</v>
      </c>
      <c r="F19" s="502">
        <f t="shared" si="0"/>
        <v>7670198.3866777774</v>
      </c>
      <c r="G19" s="502">
        <f t="shared" si="0"/>
        <v>9557778.3403333332</v>
      </c>
      <c r="H19" s="503">
        <f t="shared" si="0"/>
        <v>10994488.618266668</v>
      </c>
      <c r="J19" s="523">
        <f t="shared" ref="J19:P19" si="1">+SUM(J9:J17)</f>
        <v>1887579.9536555556</v>
      </c>
      <c r="K19" s="524">
        <f t="shared" si="1"/>
        <v>1591883.3548872806</v>
      </c>
      <c r="L19" s="524">
        <f t="shared" si="1"/>
        <v>86574.427361363472</v>
      </c>
      <c r="M19" s="524">
        <f t="shared" si="1"/>
        <v>18879.105832446312</v>
      </c>
      <c r="N19" s="524">
        <f t="shared" si="1"/>
        <v>190243.06557446509</v>
      </c>
      <c r="O19" s="524">
        <f t="shared" si="1"/>
        <v>0</v>
      </c>
      <c r="P19" s="524">
        <f t="shared" si="1"/>
        <v>0</v>
      </c>
      <c r="Q19" s="516">
        <f>+SUM(K19:P19)-J19</f>
        <v>0</v>
      </c>
      <c r="R19" s="134"/>
      <c r="S19" s="544">
        <f t="shared" ref="S19:Y19" si="2">+SUM(S9:S17)</f>
        <v>10994488.618266668</v>
      </c>
      <c r="T19" s="545">
        <f t="shared" si="2"/>
        <v>9369137.5100938734</v>
      </c>
      <c r="U19" s="545">
        <f t="shared" si="2"/>
        <v>504509.78615772462</v>
      </c>
      <c r="V19" s="545">
        <f t="shared" si="2"/>
        <v>111241.83158216572</v>
      </c>
      <c r="W19" s="545">
        <f t="shared" si="2"/>
        <v>1009599.4904329065</v>
      </c>
      <c r="X19" s="545">
        <f t="shared" si="2"/>
        <v>0</v>
      </c>
      <c r="Y19" s="545">
        <f t="shared" si="2"/>
        <v>0</v>
      </c>
      <c r="Z19" s="537">
        <f>+SUM(T19:Y19)-S19</f>
        <v>0</v>
      </c>
    </row>
    <row r="20" spans="1:26">
      <c r="A20" s="490"/>
      <c r="B20" s="500"/>
      <c r="C20" s="500"/>
      <c r="D20" s="500"/>
      <c r="E20" s="500"/>
      <c r="F20" s="500"/>
      <c r="G20" s="500"/>
      <c r="H20" s="501"/>
      <c r="I20" s="135"/>
      <c r="J20" s="521">
        <f>+J19-E19</f>
        <v>0</v>
      </c>
      <c r="K20" s="514"/>
      <c r="L20" s="514"/>
      <c r="M20" s="514"/>
      <c r="N20" s="514"/>
      <c r="O20" s="514"/>
      <c r="P20" s="514"/>
      <c r="Q20" s="516"/>
      <c r="R20" s="134"/>
      <c r="S20" s="542">
        <f>+S19-H19</f>
        <v>0</v>
      </c>
      <c r="T20" s="535"/>
      <c r="U20" s="535"/>
      <c r="V20" s="535"/>
      <c r="W20" s="535"/>
      <c r="X20" s="535"/>
      <c r="Y20" s="535"/>
      <c r="Z20" s="537"/>
    </row>
    <row r="21" spans="1:26">
      <c r="A21" s="484" t="s">
        <v>328</v>
      </c>
      <c r="B21" s="500"/>
      <c r="C21" s="500"/>
      <c r="D21" s="500"/>
      <c r="E21" s="500"/>
      <c r="F21" s="500"/>
      <c r="G21" s="500"/>
      <c r="H21" s="501"/>
      <c r="J21" s="511"/>
      <c r="K21" s="514"/>
      <c r="L21" s="514"/>
      <c r="M21" s="514"/>
      <c r="N21" s="514"/>
      <c r="O21" s="514"/>
      <c r="P21" s="514"/>
      <c r="Q21" s="516"/>
      <c r="R21" s="134"/>
      <c r="S21" s="532"/>
      <c r="T21" s="535"/>
      <c r="U21" s="535"/>
      <c r="V21" s="535"/>
      <c r="W21" s="535"/>
      <c r="X21" s="535"/>
      <c r="Y21" s="535"/>
      <c r="Z21" s="537"/>
    </row>
    <row r="22" spans="1:26">
      <c r="A22" s="490" t="s">
        <v>383</v>
      </c>
      <c r="B22" s="500">
        <v>1287690.48</v>
      </c>
      <c r="C22" s="500">
        <v>0</v>
      </c>
      <c r="D22" s="500">
        <v>1287690.48</v>
      </c>
      <c r="E22" s="500">
        <v>44999.700500000014</v>
      </c>
      <c r="F22" s="500">
        <v>875945.20733333298</v>
      </c>
      <c r="G22" s="500">
        <v>920944.90783333289</v>
      </c>
      <c r="H22" s="501">
        <v>366745.57216666662</v>
      </c>
      <c r="J22" s="521">
        <f>+E22</f>
        <v>44999.700500000014</v>
      </c>
      <c r="K22" s="514">
        <f>+$J22*'2183-2184-2185 Ratios'!D$189</f>
        <v>24224.643568242514</v>
      </c>
      <c r="L22" s="514">
        <f>+$J22*'2183-2184-2185 Ratios'!E$189</f>
        <v>649.16901919380246</v>
      </c>
      <c r="M22" s="514">
        <f>+$J22*'2183-2184-2185 Ratios'!F$189</f>
        <v>189.14402745353706</v>
      </c>
      <c r="N22" s="514">
        <f>+$J22*'2183-2184-2185 Ratios'!G$189</f>
        <v>19936.743885110162</v>
      </c>
      <c r="O22" s="514">
        <v>0</v>
      </c>
      <c r="P22" s="514">
        <v>0</v>
      </c>
      <c r="Q22" s="516" t="s">
        <v>1946</v>
      </c>
      <c r="R22" s="134"/>
      <c r="S22" s="542">
        <f>+H22</f>
        <v>366745.57216666662</v>
      </c>
      <c r="T22" s="535">
        <f>+$S22*'2183-2184-2185 Ratios'!D$189</f>
        <v>197429.77547080914</v>
      </c>
      <c r="U22" s="535">
        <f>+$S22*'2183-2184-2185 Ratios'!E$189</f>
        <v>5290.698843142407</v>
      </c>
      <c r="V22" s="535">
        <f>+$S22*'2183-2184-2185 Ratios'!F$189</f>
        <v>1541.5154723164242</v>
      </c>
      <c r="W22" s="535">
        <f>+$S22*'2183-2184-2185 Ratios'!G$189</f>
        <v>162483.58238039864</v>
      </c>
      <c r="X22" s="535">
        <v>0</v>
      </c>
      <c r="Y22" s="535">
        <v>0</v>
      </c>
      <c r="Z22" s="537" t="s">
        <v>1946</v>
      </c>
    </row>
    <row r="23" spans="1:26">
      <c r="A23" s="490"/>
      <c r="B23" s="500"/>
      <c r="C23" s="500"/>
      <c r="D23" s="500"/>
      <c r="E23" s="500"/>
      <c r="F23" s="500"/>
      <c r="G23" s="500"/>
      <c r="H23" s="501"/>
      <c r="J23" s="521"/>
      <c r="K23" s="514"/>
      <c r="L23" s="514"/>
      <c r="M23" s="514"/>
      <c r="N23" s="514"/>
      <c r="O23" s="514"/>
      <c r="P23" s="514"/>
      <c r="Q23" s="516"/>
      <c r="R23" s="134"/>
      <c r="S23" s="542"/>
      <c r="T23" s="535"/>
      <c r="U23" s="535"/>
      <c r="V23" s="535"/>
      <c r="W23" s="535"/>
      <c r="X23" s="535"/>
      <c r="Y23" s="535"/>
      <c r="Z23" s="537"/>
    </row>
    <row r="24" spans="1:26">
      <c r="A24" s="490" t="s">
        <v>347</v>
      </c>
      <c r="B24" s="500">
        <v>3136158.7099999976</v>
      </c>
      <c r="C24" s="500">
        <v>0</v>
      </c>
      <c r="D24" s="500">
        <v>3136158.7099999976</v>
      </c>
      <c r="E24" s="500">
        <v>263483.01428571437</v>
      </c>
      <c r="F24" s="500">
        <v>1780638.2085714277</v>
      </c>
      <c r="G24" s="500">
        <v>2044121.2228571426</v>
      </c>
      <c r="H24" s="501">
        <v>1092037.4871428569</v>
      </c>
      <c r="J24" s="521">
        <f>+E24</f>
        <v>263483.01428571437</v>
      </c>
      <c r="K24" s="514">
        <f>+$J24*'2183-2184-2185 Ratios'!C$29</f>
        <v>249996.05414805008</v>
      </c>
      <c r="L24" s="514">
        <f>+$J24*'2183-2184-2185 Ratios'!D$29</f>
        <v>10531.570889946972</v>
      </c>
      <c r="M24" s="514">
        <f>+$J24*'2183-2184-2185 Ratios'!E$29</f>
        <v>2955.389247717319</v>
      </c>
      <c r="N24" s="514">
        <v>0</v>
      </c>
      <c r="O24" s="514">
        <v>0</v>
      </c>
      <c r="P24" s="514">
        <v>0</v>
      </c>
      <c r="Q24" s="516" t="s">
        <v>863</v>
      </c>
      <c r="R24" s="134"/>
      <c r="S24" s="542">
        <f>+H24</f>
        <v>1092037.4871428569</v>
      </c>
      <c r="T24" s="535">
        <f>+$S24*'2183-2184-2185 Ratios'!C$29</f>
        <v>1036139.1359802282</v>
      </c>
      <c r="U24" s="535">
        <f>+$S24*'2183-2184-2185 Ratios'!D$29</f>
        <v>43649.379985661231</v>
      </c>
      <c r="V24" s="535">
        <f>+$S24*'2183-2184-2185 Ratios'!E$29</f>
        <v>12248.97117696753</v>
      </c>
      <c r="W24" s="535">
        <v>0</v>
      </c>
      <c r="X24" s="535">
        <v>0</v>
      </c>
      <c r="Y24" s="535">
        <v>0</v>
      </c>
      <c r="Z24" s="537" t="s">
        <v>863</v>
      </c>
    </row>
    <row r="25" spans="1:26">
      <c r="A25" s="490"/>
      <c r="B25" s="500"/>
      <c r="C25" s="500"/>
      <c r="D25" s="500"/>
      <c r="E25" s="500"/>
      <c r="F25" s="500"/>
      <c r="G25" s="500"/>
      <c r="H25" s="501"/>
      <c r="J25" s="511"/>
      <c r="K25" s="514"/>
      <c r="L25" s="514"/>
      <c r="M25" s="514"/>
      <c r="N25" s="514"/>
      <c r="O25" s="514"/>
      <c r="P25" s="514"/>
      <c r="Q25" s="516"/>
      <c r="R25" s="134"/>
      <c r="S25" s="532"/>
      <c r="T25" s="535"/>
      <c r="U25" s="535"/>
      <c r="V25" s="535"/>
      <c r="W25" s="535"/>
      <c r="X25" s="535"/>
      <c r="Y25" s="535"/>
      <c r="Z25" s="537"/>
    </row>
    <row r="26" spans="1:26">
      <c r="A26" s="490" t="s">
        <v>384</v>
      </c>
      <c r="B26" s="500">
        <v>1928961.99</v>
      </c>
      <c r="C26" s="500">
        <v>0</v>
      </c>
      <c r="D26" s="500">
        <v>1928961.99</v>
      </c>
      <c r="E26" s="500">
        <v>58087.091314881487</v>
      </c>
      <c r="F26" s="500">
        <v>1436882.2821482148</v>
      </c>
      <c r="G26" s="500">
        <v>1494969.3734630963</v>
      </c>
      <c r="H26" s="501">
        <v>433992.61653690366</v>
      </c>
      <c r="J26" s="521">
        <f>+E26</f>
        <v>58087.091314881487</v>
      </c>
      <c r="K26" s="514">
        <f>+$J26*'2183-2184-2185 Ratios'!D$199</f>
        <v>41859.769957004668</v>
      </c>
      <c r="L26" s="514">
        <f>+$J26*'2183-2184-2185 Ratios'!E$199</f>
        <v>1944.5442431956974</v>
      </c>
      <c r="M26" s="514">
        <f>+$J26*'2183-2184-2185 Ratios'!F$199</f>
        <v>421.28221793252123</v>
      </c>
      <c r="N26" s="514">
        <f>+$J26*'2183-2184-2185 Ratios'!G$199</f>
        <v>13861.494896748611</v>
      </c>
      <c r="O26" s="514">
        <v>0</v>
      </c>
      <c r="P26" s="514">
        <v>0</v>
      </c>
      <c r="Q26" s="516" t="s">
        <v>1945</v>
      </c>
      <c r="R26" s="134"/>
      <c r="S26" s="542">
        <f>+H26</f>
        <v>433992.61653690366</v>
      </c>
      <c r="T26" s="535">
        <f>+$S26*'2183-2184-2185 Ratios'!D$199</f>
        <v>312751.60590833571</v>
      </c>
      <c r="U26" s="535">
        <f>+$S26*'2183-2184-2185 Ratios'!E$199</f>
        <v>14528.492044842127</v>
      </c>
      <c r="V26" s="535">
        <f>+$S26*'2183-2184-2185 Ratios'!F$199</f>
        <v>3147.5732029667734</v>
      </c>
      <c r="W26" s="535">
        <f>+$S26*'2183-2184-2185 Ratios'!G$199</f>
        <v>103564.94538075909</v>
      </c>
      <c r="X26" s="535">
        <v>0</v>
      </c>
      <c r="Y26" s="535">
        <v>0</v>
      </c>
      <c r="Z26" s="537" t="s">
        <v>1945</v>
      </c>
    </row>
    <row r="27" spans="1:26">
      <c r="A27" s="490"/>
      <c r="B27" s="500"/>
      <c r="C27" s="500"/>
      <c r="D27" s="500"/>
      <c r="E27" s="500"/>
      <c r="F27" s="500"/>
      <c r="G27" s="500"/>
      <c r="H27" s="501"/>
      <c r="J27" s="511"/>
      <c r="K27" s="514"/>
      <c r="L27" s="514"/>
      <c r="M27" s="514"/>
      <c r="N27" s="514"/>
      <c r="O27" s="514"/>
      <c r="P27" s="514"/>
      <c r="Q27" s="516"/>
      <c r="R27" s="134"/>
      <c r="S27" s="532"/>
      <c r="T27" s="535"/>
      <c r="U27" s="535"/>
      <c r="V27" s="535"/>
      <c r="W27" s="535"/>
      <c r="X27" s="535"/>
      <c r="Y27" s="535"/>
      <c r="Z27" s="537"/>
    </row>
    <row r="28" spans="1:26">
      <c r="A28" s="490" t="s">
        <v>385</v>
      </c>
      <c r="B28" s="500">
        <v>3560462.4400000009</v>
      </c>
      <c r="C28" s="500">
        <v>0</v>
      </c>
      <c r="D28" s="500">
        <v>3560462.4400000009</v>
      </c>
      <c r="E28" s="500">
        <v>126645.75714285717</v>
      </c>
      <c r="F28" s="500">
        <v>2912376.8900000011</v>
      </c>
      <c r="G28" s="500">
        <v>3039022.6471428573</v>
      </c>
      <c r="H28" s="501">
        <v>521439.79285714298</v>
      </c>
      <c r="J28" s="521">
        <f>+E28</f>
        <v>126645.75714285717</v>
      </c>
      <c r="K28" s="514">
        <f>+$J28*'2183-2184-2185 Ratios'!D$194</f>
        <v>115880.48029200301</v>
      </c>
      <c r="L28" s="514">
        <f>+$J28*'2183-2184-2185 Ratios'!E$194</f>
        <v>4641.5313410113258</v>
      </c>
      <c r="M28" s="514">
        <f>+$J28*'2183-2184-2185 Ratios'!F$194</f>
        <v>1308.3750352517768</v>
      </c>
      <c r="N28" s="514">
        <f>+$J28*'2183-2184-2185 Ratios'!G$194</f>
        <v>4815.3704745910572</v>
      </c>
      <c r="O28" s="514">
        <v>0</v>
      </c>
      <c r="P28" s="514">
        <v>0</v>
      </c>
      <c r="Q28" s="516" t="s">
        <v>1944</v>
      </c>
      <c r="R28" s="134"/>
      <c r="S28" s="542">
        <f>+H28</f>
        <v>521439.79285714298</v>
      </c>
      <c r="T28" s="535">
        <f>+$S28*'2183-2184-2185 Ratios'!D$194</f>
        <v>477115.81503270473</v>
      </c>
      <c r="U28" s="535">
        <f>+$S28*'2183-2184-2185 Ratios'!E$194</f>
        <v>19110.621592058495</v>
      </c>
      <c r="V28" s="535">
        <f>+$S28*'2183-2184-2185 Ratios'!F$194</f>
        <v>5386.985105166802</v>
      </c>
      <c r="W28" s="535">
        <f>+$S28*'2183-2184-2185 Ratios'!G$194</f>
        <v>19826.371127212922</v>
      </c>
      <c r="X28" s="535">
        <v>0</v>
      </c>
      <c r="Y28" s="535">
        <v>0</v>
      </c>
      <c r="Z28" s="537" t="s">
        <v>1944</v>
      </c>
    </row>
    <row r="29" spans="1:26">
      <c r="A29" s="490"/>
      <c r="B29" s="500"/>
      <c r="C29" s="500"/>
      <c r="D29" s="500"/>
      <c r="E29" s="500"/>
      <c r="F29" s="500"/>
      <c r="G29" s="500"/>
      <c r="H29" s="501"/>
      <c r="J29" s="511"/>
      <c r="K29" s="514"/>
      <c r="L29" s="514"/>
      <c r="M29" s="514"/>
      <c r="N29" s="514"/>
      <c r="O29" s="514"/>
      <c r="P29" s="514"/>
      <c r="Q29" s="516"/>
      <c r="R29" s="134"/>
      <c r="S29" s="532"/>
      <c r="T29" s="535"/>
      <c r="U29" s="535"/>
      <c r="V29" s="535"/>
      <c r="W29" s="535"/>
      <c r="X29" s="535"/>
      <c r="Y29" s="535"/>
      <c r="Z29" s="537"/>
    </row>
    <row r="30" spans="1:26">
      <c r="A30" s="490" t="s">
        <v>386</v>
      </c>
      <c r="B30" s="500">
        <v>1106454.31</v>
      </c>
      <c r="C30" s="500">
        <v>0</v>
      </c>
      <c r="D30" s="500">
        <v>1106454.31</v>
      </c>
      <c r="E30" s="500">
        <v>67130.804285714286</v>
      </c>
      <c r="F30" s="500">
        <v>727939.49428571423</v>
      </c>
      <c r="G30" s="500">
        <v>795070.29857142852</v>
      </c>
      <c r="H30" s="501">
        <v>311384.01142857142</v>
      </c>
      <c r="J30" s="521">
        <f>+E30</f>
        <v>67130.804285714286</v>
      </c>
      <c r="K30" s="514">
        <f>+$J30*'2183-2184-2185 Ratios'!C$33</f>
        <v>64873.279125187037</v>
      </c>
      <c r="L30" s="514">
        <f>+$J30*'2183-2184-2185 Ratios'!D$33</f>
        <v>1909.6385260092613</v>
      </c>
      <c r="M30" s="514">
        <f>+$J30*'2183-2184-2185 Ratios'!E$33</f>
        <v>347.88663451798931</v>
      </c>
      <c r="N30" s="514">
        <v>0</v>
      </c>
      <c r="O30" s="514">
        <v>0</v>
      </c>
      <c r="P30" s="514">
        <v>0</v>
      </c>
      <c r="Q30" s="516" t="s">
        <v>865</v>
      </c>
      <c r="R30" s="134"/>
      <c r="S30" s="542">
        <f>+H30</f>
        <v>311384.01142857142</v>
      </c>
      <c r="T30" s="535">
        <f>+$S30*'2183-2184-2185 Ratios'!C$33</f>
        <v>300912.55577024113</v>
      </c>
      <c r="U30" s="535">
        <f>+$S30*'2183-2184-2185 Ratios'!D$33</f>
        <v>8857.7950306763723</v>
      </c>
      <c r="V30" s="535">
        <f>+$S30*'2183-2184-2185 Ratios'!E$33</f>
        <v>1613.6606276539001</v>
      </c>
      <c r="W30" s="535">
        <v>0</v>
      </c>
      <c r="X30" s="535">
        <v>0</v>
      </c>
      <c r="Y30" s="535">
        <v>0</v>
      </c>
      <c r="Z30" s="537" t="s">
        <v>865</v>
      </c>
    </row>
    <row r="31" spans="1:26">
      <c r="A31" s="490"/>
      <c r="B31" s="500"/>
      <c r="C31" s="500"/>
      <c r="D31" s="500"/>
      <c r="E31" s="500"/>
      <c r="F31" s="500"/>
      <c r="G31" s="500"/>
      <c r="H31" s="501"/>
      <c r="J31" s="511"/>
      <c r="K31" s="514"/>
      <c r="L31" s="514"/>
      <c r="M31" s="514"/>
      <c r="N31" s="514"/>
      <c r="O31" s="514"/>
      <c r="P31" s="514"/>
      <c r="Q31" s="516"/>
      <c r="R31" s="134"/>
      <c r="S31" s="532"/>
      <c r="T31" s="535"/>
      <c r="U31" s="535"/>
      <c r="V31" s="535"/>
      <c r="W31" s="535"/>
      <c r="X31" s="535"/>
      <c r="Y31" s="535"/>
      <c r="Z31" s="537"/>
    </row>
    <row r="32" spans="1:26">
      <c r="A32" s="484" t="s">
        <v>387</v>
      </c>
      <c r="B32" s="502">
        <f t="shared" ref="B32:H32" si="3">SUM(B22:B31)</f>
        <v>11019727.93</v>
      </c>
      <c r="C32" s="502">
        <f t="shared" si="3"/>
        <v>0</v>
      </c>
      <c r="D32" s="502">
        <f t="shared" si="3"/>
        <v>11019727.93</v>
      </c>
      <c r="E32" s="502">
        <f t="shared" si="3"/>
        <v>560346.36752916733</v>
      </c>
      <c r="F32" s="502">
        <f t="shared" si="3"/>
        <v>7733782.0823386908</v>
      </c>
      <c r="G32" s="502">
        <f t="shared" si="3"/>
        <v>8294128.4498678576</v>
      </c>
      <c r="H32" s="503">
        <f t="shared" si="3"/>
        <v>2725599.4801321416</v>
      </c>
      <c r="J32" s="523">
        <f t="shared" ref="J32:P32" si="4">+SUM(J22:J31)</f>
        <v>560346.36752916733</v>
      </c>
      <c r="K32" s="524">
        <f t="shared" si="4"/>
        <v>496834.22709048731</v>
      </c>
      <c r="L32" s="524">
        <f t="shared" si="4"/>
        <v>19676.454019357061</v>
      </c>
      <c r="M32" s="524">
        <f t="shared" si="4"/>
        <v>5222.0771628731436</v>
      </c>
      <c r="N32" s="524">
        <f t="shared" si="4"/>
        <v>38613.609256449832</v>
      </c>
      <c r="O32" s="524">
        <f t="shared" si="4"/>
        <v>0</v>
      </c>
      <c r="P32" s="524">
        <f t="shared" si="4"/>
        <v>0</v>
      </c>
      <c r="Q32" s="516">
        <f>+SUM(K32:P32)-J32</f>
        <v>0</v>
      </c>
      <c r="R32" s="134"/>
      <c r="S32" s="544">
        <f t="shared" ref="S32:Y32" si="5">+SUM(S22:S31)</f>
        <v>2725599.4801321416</v>
      </c>
      <c r="T32" s="545">
        <f t="shared" si="5"/>
        <v>2324348.8881623186</v>
      </c>
      <c r="U32" s="545">
        <f t="shared" si="5"/>
        <v>91436.987496380621</v>
      </c>
      <c r="V32" s="545">
        <f t="shared" si="5"/>
        <v>23938.705585071428</v>
      </c>
      <c r="W32" s="545">
        <f t="shared" si="5"/>
        <v>285874.89888837066</v>
      </c>
      <c r="X32" s="545">
        <f t="shared" si="5"/>
        <v>0</v>
      </c>
      <c r="Y32" s="545">
        <f t="shared" si="5"/>
        <v>0</v>
      </c>
      <c r="Z32" s="537">
        <f>+SUM(T32:Y32)-S32</f>
        <v>0</v>
      </c>
    </row>
    <row r="33" spans="1:26">
      <c r="A33" s="490"/>
      <c r="B33" s="500"/>
      <c r="C33" s="500"/>
      <c r="D33" s="500"/>
      <c r="E33" s="500"/>
      <c r="F33" s="500"/>
      <c r="G33" s="500"/>
      <c r="H33" s="501"/>
      <c r="J33" s="521">
        <f>+J32-E32</f>
        <v>0</v>
      </c>
      <c r="K33" s="514"/>
      <c r="L33" s="514"/>
      <c r="M33" s="514"/>
      <c r="N33" s="514"/>
      <c r="O33" s="514"/>
      <c r="P33" s="514"/>
      <c r="Q33" s="516"/>
      <c r="R33" s="134"/>
      <c r="S33" s="542">
        <f>+S32-H32</f>
        <v>0</v>
      </c>
      <c r="T33" s="535"/>
      <c r="U33" s="535"/>
      <c r="V33" s="535"/>
      <c r="W33" s="535"/>
      <c r="X33" s="535"/>
      <c r="Y33" s="535"/>
      <c r="Z33" s="537"/>
    </row>
    <row r="34" spans="1:26">
      <c r="A34" s="490" t="s">
        <v>388</v>
      </c>
      <c r="B34" s="500">
        <v>176680.22999999998</v>
      </c>
      <c r="C34" s="500">
        <v>2369.6599999999744</v>
      </c>
      <c r="D34" s="500">
        <v>174310.57</v>
      </c>
      <c r="E34" s="500">
        <v>27304.815955555558</v>
      </c>
      <c r="F34" s="500">
        <v>83306.515966666659</v>
      </c>
      <c r="G34" s="500">
        <v>110611.33192222222</v>
      </c>
      <c r="H34" s="501">
        <v>66068.898077777776</v>
      </c>
      <c r="J34" s="525">
        <f>+E34</f>
        <v>27304.815955555558</v>
      </c>
      <c r="K34" s="522">
        <f>+$J34*'2183-2184-2185 Ratios'!C$58</f>
        <v>17055.751164479869</v>
      </c>
      <c r="L34" s="522">
        <f>+$J34*'2183-2184-2185 Ratios'!D$58</f>
        <v>868.92548525962275</v>
      </c>
      <c r="M34" s="522">
        <f>+$J34*'2183-2184-2185 Ratios'!E$58</f>
        <v>192.25237288385284</v>
      </c>
      <c r="N34" s="522">
        <f>+$J34*'2183-2184-2185 Ratios'!F$58</f>
        <v>4291.8830915220815</v>
      </c>
      <c r="O34" s="522">
        <f>+$J34*'2183-2184-2185 Ratios'!G$58</f>
        <v>0</v>
      </c>
      <c r="P34" s="522">
        <f>+$J34*'2183-2184-2185 Ratios'!H$58</f>
        <v>4896.0038414101309</v>
      </c>
      <c r="Q34" s="516" t="s">
        <v>566</v>
      </c>
      <c r="R34" s="134"/>
      <c r="S34" s="546">
        <f>+H34</f>
        <v>66068.898077777776</v>
      </c>
      <c r="T34" s="543">
        <f>+$S34*'2183-2184-2185 Ratios'!C$58</f>
        <v>41269.448113481434</v>
      </c>
      <c r="U34" s="543">
        <f>+$S34*'2183-2184-2185 Ratios'!D$58</f>
        <v>2102.5210137379058</v>
      </c>
      <c r="V34" s="543">
        <f>+$S34*'2183-2184-2185 Ratios'!E$58</f>
        <v>465.1890878865205</v>
      </c>
      <c r="W34" s="543">
        <f>+$S34*'2183-2184-2185 Ratios'!F$58</f>
        <v>10384.980693408257</v>
      </c>
      <c r="X34" s="543">
        <f>+$S34*'2183-2184-2185 Ratios'!G$58</f>
        <v>0</v>
      </c>
      <c r="Y34" s="543">
        <f>+$S34*'2183-2184-2185 Ratios'!H$58</f>
        <v>11846.759169263658</v>
      </c>
      <c r="Z34" s="537" t="s">
        <v>926</v>
      </c>
    </row>
    <row r="35" spans="1:26">
      <c r="A35" s="490"/>
      <c r="B35" s="500"/>
      <c r="C35" s="500"/>
      <c r="D35" s="500"/>
      <c r="E35" s="500"/>
      <c r="F35" s="500"/>
      <c r="G35" s="500"/>
      <c r="H35" s="501"/>
      <c r="J35" s="511"/>
      <c r="K35" s="514"/>
      <c r="L35" s="514"/>
      <c r="M35" s="514"/>
      <c r="N35" s="514"/>
      <c r="O35" s="514"/>
      <c r="P35" s="514"/>
      <c r="Q35" s="516"/>
      <c r="R35" s="134"/>
      <c r="S35" s="532"/>
      <c r="T35" s="535"/>
      <c r="U35" s="535"/>
      <c r="V35" s="535"/>
      <c r="W35" s="535"/>
      <c r="X35" s="535"/>
      <c r="Y35" s="535"/>
      <c r="Z35" s="537"/>
    </row>
    <row r="36" spans="1:26">
      <c r="A36" s="490" t="s">
        <v>389</v>
      </c>
      <c r="B36" s="500">
        <v>1605332.5700000005</v>
      </c>
      <c r="C36" s="500">
        <v>19764.868000000017</v>
      </c>
      <c r="D36" s="500">
        <v>1585567.7020000005</v>
      </c>
      <c r="E36" s="500">
        <v>30436.617099999996</v>
      </c>
      <c r="F36" s="500">
        <v>1464104.3931000002</v>
      </c>
      <c r="G36" s="500">
        <v>1494541.0102000006</v>
      </c>
      <c r="H36" s="501">
        <v>110791.55979999997</v>
      </c>
      <c r="J36" s="525">
        <f>+E36</f>
        <v>30436.617099999996</v>
      </c>
      <c r="K36" s="522">
        <f>+$J36*'2183-2184-2185 Ratios'!C$58</f>
        <v>19012.007566398941</v>
      </c>
      <c r="L36" s="522">
        <f>+$J36*'2183-2184-2185 Ratios'!D$58</f>
        <v>968.589289388628</v>
      </c>
      <c r="M36" s="522">
        <f>+$J36*'2183-2184-2185 Ratios'!E$58</f>
        <v>214.30328882483008</v>
      </c>
      <c r="N36" s="522">
        <f>+$J36*'2183-2184-2185 Ratios'!F$58</f>
        <v>4784.1524552756855</v>
      </c>
      <c r="O36" s="522">
        <f>+$J36*'2183-2184-2185 Ratios'!G$58</f>
        <v>0</v>
      </c>
      <c r="P36" s="522">
        <f>+$J36*'2183-2184-2185 Ratios'!H$58</f>
        <v>5457.5645001119101</v>
      </c>
      <c r="Q36" s="516" t="s">
        <v>566</v>
      </c>
      <c r="R36" s="134"/>
      <c r="S36" s="546">
        <f>+H36</f>
        <v>110791.55979999997</v>
      </c>
      <c r="T36" s="543">
        <f>+$S36*'2183-2184-2185 Ratios'!C$58</f>
        <v>69205.12770161769</v>
      </c>
      <c r="U36" s="543">
        <f>+$S36*'2183-2184-2185 Ratios'!D$58</f>
        <v>3525.7373651074931</v>
      </c>
      <c r="V36" s="543">
        <f>+$S36*'2183-2184-2185 Ratios'!E$58</f>
        <v>780.07997936054562</v>
      </c>
      <c r="W36" s="543">
        <f>+$S36*'2183-2184-2185 Ratios'!F$58</f>
        <v>17414.672304071297</v>
      </c>
      <c r="X36" s="543">
        <f>+$S36*'2183-2184-2185 Ratios'!G$58</f>
        <v>0</v>
      </c>
      <c r="Y36" s="543">
        <f>+$S36*'2183-2184-2185 Ratios'!H$58</f>
        <v>19865.942449842947</v>
      </c>
      <c r="Z36" s="537" t="s">
        <v>926</v>
      </c>
    </row>
    <row r="37" spans="1:26">
      <c r="A37" s="490"/>
      <c r="B37" s="500"/>
      <c r="C37" s="500"/>
      <c r="D37" s="500"/>
      <c r="E37" s="500"/>
      <c r="F37" s="500"/>
      <c r="G37" s="500"/>
      <c r="H37" s="501"/>
      <c r="J37" s="511"/>
      <c r="K37" s="514"/>
      <c r="L37" s="514"/>
      <c r="M37" s="514"/>
      <c r="N37" s="514"/>
      <c r="O37" s="514"/>
      <c r="P37" s="514"/>
      <c r="Q37" s="516"/>
      <c r="R37" s="134"/>
      <c r="S37" s="532"/>
      <c r="T37" s="535"/>
      <c r="U37" s="535"/>
      <c r="V37" s="535"/>
      <c r="W37" s="535"/>
      <c r="X37" s="535"/>
      <c r="Y37" s="535"/>
      <c r="Z37" s="537"/>
    </row>
    <row r="38" spans="1:26">
      <c r="A38" s="490" t="s">
        <v>390</v>
      </c>
      <c r="B38" s="500">
        <v>359753.84</v>
      </c>
      <c r="C38" s="500">
        <v>0</v>
      </c>
      <c r="D38" s="500">
        <v>359753.84</v>
      </c>
      <c r="E38" s="500">
        <v>1832.4833333333336</v>
      </c>
      <c r="F38" s="500">
        <v>353314.79000000004</v>
      </c>
      <c r="G38" s="500">
        <v>355147.27333333332</v>
      </c>
      <c r="H38" s="501">
        <v>4606.5666666666657</v>
      </c>
      <c r="J38" s="525">
        <f>+E38</f>
        <v>1832.4833333333336</v>
      </c>
      <c r="K38" s="522">
        <f>+$E38*'2183-2184-2185 Ratios'!C$19</f>
        <v>1655.9837426653694</v>
      </c>
      <c r="L38" s="522">
        <f>+$E38*'2183-2184-2185 Ratios'!D$19</f>
        <v>63.652620102199784</v>
      </c>
      <c r="M38" s="522">
        <f>+$E38*'2183-2184-2185 Ratios'!E$19</f>
        <v>16.66107849608419</v>
      </c>
      <c r="N38" s="522">
        <f>+$E38*'2183-2184-2185 Ratios'!F$19</f>
        <v>53.935816336969062</v>
      </c>
      <c r="O38" s="522">
        <f>+$E38*'2183-2184-2185 Ratios'!G$19</f>
        <v>2.2419780171244838E-2</v>
      </c>
      <c r="P38" s="522">
        <f>+$E38*'2183-2184-2185 Ratios'!H$19</f>
        <v>42.227655952539649</v>
      </c>
      <c r="Q38" s="516" t="s">
        <v>341</v>
      </c>
      <c r="R38" s="134"/>
      <c r="S38" s="546">
        <f>+H38</f>
        <v>4606.5666666666657</v>
      </c>
      <c r="T38" s="543">
        <f>+$S38*'2183-2184-2185 Ratios'!C$19</f>
        <v>4162.875247344241</v>
      </c>
      <c r="U38" s="543">
        <f>+$S38*'2183-2184-2185 Ratios'!D$19</f>
        <v>160.01239011293782</v>
      </c>
      <c r="V38" s="543">
        <f>+$S38*'2183-2184-2185 Ratios'!E$19</f>
        <v>41.883256144636995</v>
      </c>
      <c r="W38" s="543">
        <f>+$S38*'2183-2184-2185 Ratios'!F$19</f>
        <v>135.58591729474776</v>
      </c>
      <c r="X38" s="543">
        <f>+$S38*'2183-2184-2185 Ratios'!G$19</f>
        <v>5.6359700594375971E-2</v>
      </c>
      <c r="Y38" s="543">
        <f>+$S38*'2183-2184-2185 Ratios'!H$19</f>
        <v>106.15349606950714</v>
      </c>
      <c r="Z38" s="537" t="s">
        <v>341</v>
      </c>
    </row>
    <row r="39" spans="1:26">
      <c r="A39" s="490"/>
      <c r="B39" s="500"/>
      <c r="C39" s="500"/>
      <c r="D39" s="500"/>
      <c r="E39" s="500"/>
      <c r="F39" s="500"/>
      <c r="G39" s="500"/>
      <c r="H39" s="501"/>
      <c r="J39" s="511"/>
      <c r="K39" s="514"/>
      <c r="L39" s="514"/>
      <c r="M39" s="514"/>
      <c r="N39" s="514"/>
      <c r="O39" s="514"/>
      <c r="P39" s="514"/>
      <c r="Q39" s="516"/>
      <c r="R39" s="134"/>
      <c r="S39" s="532"/>
      <c r="T39" s="535"/>
      <c r="U39" s="535"/>
      <c r="V39" s="535"/>
      <c r="W39" s="535"/>
      <c r="X39" s="535"/>
      <c r="Y39" s="535"/>
      <c r="Z39" s="537"/>
    </row>
    <row r="40" spans="1:26">
      <c r="A40" s="504" t="s">
        <v>155</v>
      </c>
      <c r="B40" s="500">
        <v>2660769.8699999996</v>
      </c>
      <c r="C40" s="500">
        <v>0</v>
      </c>
      <c r="D40" s="500">
        <v>2660769.8699999996</v>
      </c>
      <c r="E40" s="500">
        <v>69348.317153846161</v>
      </c>
      <c r="F40" s="500">
        <v>2419300.9384615384</v>
      </c>
      <c r="G40" s="500">
        <v>2488649.2556153843</v>
      </c>
      <c r="H40" s="501">
        <v>172120.6143846155</v>
      </c>
      <c r="J40" s="525">
        <f>+E40</f>
        <v>69348.317153846161</v>
      </c>
      <c r="K40" s="522">
        <f>+$J40*'2183-2184-2185 Ratios'!C$35</f>
        <v>62669.65092603027</v>
      </c>
      <c r="L40" s="522">
        <f>+$J40*'2183-2184-2185 Ratios'!D$35</f>
        <v>2408.8929012741928</v>
      </c>
      <c r="M40" s="522">
        <f>+$J40*'2183-2184-2185 Ratios'!E$35</f>
        <v>630.52791310631835</v>
      </c>
      <c r="N40" s="522">
        <f>+$J40*'2183-2184-2185 Ratios'!F$35</f>
        <v>2041.1666462424739</v>
      </c>
      <c r="O40" s="522">
        <f>+$J40*'2183-2184-2185 Ratios'!G$35</f>
        <v>0</v>
      </c>
      <c r="P40" s="522">
        <f>+$J40*'2183-2184-2185 Ratios'!H$35</f>
        <v>1598.0787671929036</v>
      </c>
      <c r="Q40" s="516" t="s">
        <v>930</v>
      </c>
      <c r="R40" s="134"/>
      <c r="S40" s="546">
        <f>+H40</f>
        <v>172120.6143846155</v>
      </c>
      <c r="T40" s="543">
        <f>+$S40*'2183-2184-2185 Ratios'!C$35</f>
        <v>155544.34863542279</v>
      </c>
      <c r="U40" s="543">
        <f>+$S40*'2183-2184-2185 Ratios'!D$35</f>
        <v>5978.8058769218096</v>
      </c>
      <c r="V40" s="543">
        <f>+$S40*'2183-2184-2185 Ratios'!E$35</f>
        <v>1564.952925241819</v>
      </c>
      <c r="W40" s="543">
        <f>+$S40*'2183-2184-2185 Ratios'!F$35</f>
        <v>5066.1194334858437</v>
      </c>
      <c r="X40" s="543">
        <f>+$S40*'2183-2184-2185 Ratios'!G$35</f>
        <v>0</v>
      </c>
      <c r="Y40" s="543">
        <f>+$S40*'2183-2184-2185 Ratios'!H$35</f>
        <v>3966.3875135432345</v>
      </c>
      <c r="Z40" s="537" t="s">
        <v>930</v>
      </c>
    </row>
    <row r="41" spans="1:26">
      <c r="A41" s="490"/>
      <c r="B41" s="500"/>
      <c r="C41" s="500"/>
      <c r="D41" s="500"/>
      <c r="E41" s="500"/>
      <c r="F41" s="500"/>
      <c r="G41" s="500"/>
      <c r="H41" s="501"/>
      <c r="J41" s="511"/>
      <c r="K41" s="514"/>
      <c r="L41" s="514"/>
      <c r="M41" s="514"/>
      <c r="N41" s="514"/>
      <c r="O41" s="514"/>
      <c r="P41" s="514"/>
      <c r="Q41" s="516"/>
      <c r="R41" s="134"/>
      <c r="S41" s="532"/>
      <c r="T41" s="535"/>
      <c r="U41" s="535"/>
      <c r="V41" s="535"/>
      <c r="W41" s="535"/>
      <c r="X41" s="535"/>
      <c r="Y41" s="535"/>
      <c r="Z41" s="537"/>
    </row>
    <row r="42" spans="1:26">
      <c r="A42" s="490" t="s">
        <v>336</v>
      </c>
      <c r="B42" s="500">
        <v>997170.92</v>
      </c>
      <c r="C42" s="500">
        <v>0</v>
      </c>
      <c r="D42" s="500">
        <v>997170.92</v>
      </c>
      <c r="E42" s="500">
        <v>25835.315897435896</v>
      </c>
      <c r="F42" s="500">
        <v>452521.84128205129</v>
      </c>
      <c r="G42" s="500">
        <v>478357.15717948729</v>
      </c>
      <c r="H42" s="501">
        <v>518813.76282051275</v>
      </c>
      <c r="J42" s="525">
        <f>+E42</f>
        <v>25835.315897435896</v>
      </c>
      <c r="K42" s="522">
        <f>+$J42*'2183-2184-2185 Ratios'!C$35</f>
        <v>23347.217283790007</v>
      </c>
      <c r="L42" s="522">
        <f>+$J42*'2183-2184-2185 Ratios'!D$35</f>
        <v>897.41916778521295</v>
      </c>
      <c r="M42" s="522">
        <f>+$J42*'2183-2184-2185 Ratios'!E$35</f>
        <v>234.89954026013856</v>
      </c>
      <c r="N42" s="522">
        <f>+$J42*'2183-2184-2185 Ratios'!F$35</f>
        <v>760.42487070011589</v>
      </c>
      <c r="O42" s="522">
        <f>+$J42*'2183-2184-2185 Ratios'!G$35</f>
        <v>0</v>
      </c>
      <c r="P42" s="522">
        <f>+$J42*'2183-2184-2185 Ratios'!H$35</f>
        <v>595.35503490042151</v>
      </c>
      <c r="Q42" s="516" t="s">
        <v>930</v>
      </c>
      <c r="R42" s="134"/>
      <c r="S42" s="546">
        <f>+H42</f>
        <v>518813.76282051275</v>
      </c>
      <c r="T42" s="543">
        <f>+$S42*'2183-2184-2185 Ratios'!C35</f>
        <v>468848.83074309077</v>
      </c>
      <c r="U42" s="543">
        <f>+$S42*'2183-2184-2185 Ratios'!D35</f>
        <v>18021.587857267448</v>
      </c>
      <c r="V42" s="543">
        <f>+$S42*'2183-2184-2185 Ratios'!E35</f>
        <v>4717.1520894492442</v>
      </c>
      <c r="W42" s="543">
        <f>+$S42*'2183-2184-2185 Ratios'!F35</f>
        <v>15270.526982384768</v>
      </c>
      <c r="X42" s="543">
        <f>+$S42*'2183-2184-2185 Ratios'!G$58</f>
        <v>0</v>
      </c>
      <c r="Y42" s="543">
        <f>+$S42*'2183-2184-2185 Ratios'!H35</f>
        <v>11955.665148320519</v>
      </c>
      <c r="Z42" s="537" t="s">
        <v>930</v>
      </c>
    </row>
    <row r="43" spans="1:26">
      <c r="A43" s="490"/>
      <c r="B43" s="500"/>
      <c r="C43" s="500"/>
      <c r="D43" s="500"/>
      <c r="E43" s="500"/>
      <c r="F43" s="500"/>
      <c r="G43" s="500"/>
      <c r="H43" s="501"/>
      <c r="J43" s="511"/>
      <c r="K43" s="514"/>
      <c r="L43" s="514"/>
      <c r="M43" s="514"/>
      <c r="N43" s="514"/>
      <c r="O43" s="514"/>
      <c r="P43" s="514"/>
      <c r="Q43" s="516"/>
      <c r="R43" s="134"/>
      <c r="S43" s="532"/>
      <c r="T43" s="535"/>
      <c r="U43" s="535"/>
      <c r="V43" s="535"/>
      <c r="W43" s="535"/>
      <c r="X43" s="535"/>
      <c r="Y43" s="535"/>
      <c r="Z43" s="537"/>
    </row>
    <row r="44" spans="1:26">
      <c r="A44" s="490" t="s">
        <v>931</v>
      </c>
      <c r="B44" s="500">
        <v>1282967.4099999999</v>
      </c>
      <c r="C44" s="500">
        <v>0</v>
      </c>
      <c r="D44" s="500">
        <v>1282967.4099999999</v>
      </c>
      <c r="E44" s="500">
        <v>32770.025384615386</v>
      </c>
      <c r="F44" s="500">
        <v>594796.87692307704</v>
      </c>
      <c r="G44" s="500">
        <v>627566.90230769245</v>
      </c>
      <c r="H44" s="501">
        <v>655400.50769230758</v>
      </c>
      <c r="J44" s="525">
        <f>+E44</f>
        <v>32770.025384615386</v>
      </c>
      <c r="K44" s="514">
        <f>+($J44-$N$44)*'2183-2184-2185 Ratios'!C$173</f>
        <v>11754.910576334936</v>
      </c>
      <c r="L44" s="514">
        <f>+($J44-$N$44)*'2183-2184-2185 Ratios'!D$173</f>
        <v>451.83466357373277</v>
      </c>
      <c r="M44" s="514">
        <f>+($J44-$N$44)*'2183-2184-2185 Ratios'!E$173</f>
        <v>118.26775999113336</v>
      </c>
      <c r="N44" s="514">
        <f>+$J44*'2183-2184-2185 Ratios'!F$172</f>
        <v>20445.012384715585</v>
      </c>
      <c r="O44" s="514">
        <f>+$J44*'2183-2184-2185 Ratios'!G$172</f>
        <v>0</v>
      </c>
      <c r="P44" s="514">
        <f>+$J44*'2183-2184-2185 Ratios'!H$172</f>
        <v>0</v>
      </c>
      <c r="Q44" s="516" t="s">
        <v>932</v>
      </c>
      <c r="R44" s="134"/>
      <c r="S44" s="546">
        <f>+H44</f>
        <v>655400.50769230758</v>
      </c>
      <c r="T44" s="543">
        <f>+($S44-$W$44)*'2183-2184-2185 Ratios'!C$173</f>
        <v>235098.21152669869</v>
      </c>
      <c r="U44" s="543">
        <f>+($S44-$W$44)*'2183-2184-2185 Ratios'!D$173</f>
        <v>9036.6932714746526</v>
      </c>
      <c r="V44" s="543">
        <f>+($S44-$W$44)*'2183-2184-2185 Ratios'!E$173</f>
        <v>2365.3551998226667</v>
      </c>
      <c r="W44" s="543">
        <f>+$S44*'2183-2184-2185 Ratios'!F$172</f>
        <v>408900.24769431161</v>
      </c>
      <c r="X44" s="535">
        <f>+$S44*'2183-2184-2185 Ratios'!G$172</f>
        <v>0</v>
      </c>
      <c r="Y44" s="535">
        <f>+$S44*'2183-2184-2185 Ratios'!H$172</f>
        <v>0</v>
      </c>
      <c r="Z44" s="537" t="s">
        <v>932</v>
      </c>
    </row>
    <row r="45" spans="1:26">
      <c r="A45" s="490"/>
      <c r="B45" s="500"/>
      <c r="C45" s="500"/>
      <c r="D45" s="500"/>
      <c r="E45" s="500"/>
      <c r="F45" s="500"/>
      <c r="G45" s="500"/>
      <c r="H45" s="501"/>
      <c r="J45" s="511"/>
      <c r="K45" s="514"/>
      <c r="L45" s="514"/>
      <c r="M45" s="514"/>
      <c r="N45" s="514"/>
      <c r="O45" s="514"/>
      <c r="P45" s="514"/>
      <c r="Q45" s="516"/>
      <c r="R45" s="134"/>
      <c r="S45" s="532"/>
      <c r="T45" s="535"/>
      <c r="U45" s="535"/>
      <c r="V45" s="535"/>
      <c r="W45" s="535"/>
      <c r="X45" s="535"/>
      <c r="Y45" s="535"/>
      <c r="Z45" s="537"/>
    </row>
    <row r="46" spans="1:26">
      <c r="A46" s="490" t="s">
        <v>339</v>
      </c>
      <c r="B46" s="500">
        <v>1474904.23</v>
      </c>
      <c r="C46" s="500">
        <v>0</v>
      </c>
      <c r="D46" s="500">
        <v>1474904.23</v>
      </c>
      <c r="E46" s="500">
        <v>0</v>
      </c>
      <c r="F46" s="500">
        <v>0</v>
      </c>
      <c r="G46" s="500">
        <v>0</v>
      </c>
      <c r="H46" s="501">
        <v>1474904.23</v>
      </c>
      <c r="J46" s="525">
        <f>+E46</f>
        <v>0</v>
      </c>
      <c r="K46" s="514">
        <v>0</v>
      </c>
      <c r="L46" s="514">
        <v>0</v>
      </c>
      <c r="M46" s="514">
        <v>0</v>
      </c>
      <c r="N46" s="514">
        <v>0</v>
      </c>
      <c r="O46" s="514">
        <v>0</v>
      </c>
      <c r="P46" s="514">
        <v>0</v>
      </c>
      <c r="Q46" s="516" t="s">
        <v>348</v>
      </c>
      <c r="R46" s="134"/>
      <c r="S46" s="546">
        <f>+H46</f>
        <v>1474904.23</v>
      </c>
      <c r="T46" s="543">
        <f>(+$S46-$X$46)*'2183-2184-2185 Ratios'!C$58</f>
        <v>884436.48900964286</v>
      </c>
      <c r="U46" s="543">
        <f>(+$S46-$X$46)*'2183-2184-2185 Ratios'!D$58</f>
        <v>45058.666603585938</v>
      </c>
      <c r="V46" s="543">
        <f>(+$S46-$X$46)*'2183-2184-2185 Ratios'!E$58</f>
        <v>9969.3652913558362</v>
      </c>
      <c r="W46" s="543">
        <f>(+$S46-$X$46)*'2183-2184-2185 Ratios'!F$58</f>
        <v>222558.24302895198</v>
      </c>
      <c r="X46" s="543">
        <f>S46*(1/25)</f>
        <v>58996.169200000004</v>
      </c>
      <c r="Y46" s="543">
        <f>(+$S46-$X$46)*'2183-2184-2185 Ratios'!H$58</f>
        <v>253885.29686646344</v>
      </c>
      <c r="Z46" s="537" t="s">
        <v>926</v>
      </c>
    </row>
    <row r="47" spans="1:26">
      <c r="A47" s="490"/>
      <c r="B47" s="500"/>
      <c r="C47" s="500"/>
      <c r="D47" s="500"/>
      <c r="E47" s="500"/>
      <c r="F47" s="500"/>
      <c r="G47" s="500"/>
      <c r="H47" s="501"/>
      <c r="J47" s="511"/>
      <c r="K47" s="514"/>
      <c r="L47" s="514"/>
      <c r="M47" s="514"/>
      <c r="N47" s="514"/>
      <c r="O47" s="514"/>
      <c r="P47" s="514"/>
      <c r="Q47" s="516"/>
      <c r="R47" s="134"/>
      <c r="S47" s="532"/>
      <c r="T47" s="535"/>
      <c r="U47" s="535"/>
      <c r="V47" s="535"/>
      <c r="W47" s="535"/>
      <c r="X47" s="535"/>
      <c r="Y47" s="535"/>
      <c r="Z47" s="537"/>
    </row>
    <row r="48" spans="1:26">
      <c r="A48" s="484" t="s">
        <v>391</v>
      </c>
      <c r="B48" s="502">
        <f t="shared" ref="B48:H48" si="6">SUM(B34:B47)</f>
        <v>8557579.0700000003</v>
      </c>
      <c r="C48" s="502">
        <f t="shared" si="6"/>
        <v>22134.527999999991</v>
      </c>
      <c r="D48" s="502">
        <f t="shared" si="6"/>
        <v>8535444.5420000013</v>
      </c>
      <c r="E48" s="502">
        <f t="shared" si="6"/>
        <v>187527.57482478631</v>
      </c>
      <c r="F48" s="502">
        <f t="shared" si="6"/>
        <v>5367345.3557333332</v>
      </c>
      <c r="G48" s="502">
        <f t="shared" si="6"/>
        <v>5554872.930558119</v>
      </c>
      <c r="H48" s="503">
        <f t="shared" si="6"/>
        <v>3002706.1394418804</v>
      </c>
      <c r="J48" s="523">
        <f t="shared" ref="J48:P48" si="7">+SUM(J34:J47)</f>
        <v>187527.57482478631</v>
      </c>
      <c r="K48" s="524">
        <f t="shared" si="7"/>
        <v>135495.52125969937</v>
      </c>
      <c r="L48" s="524">
        <f t="shared" si="7"/>
        <v>5659.314127383589</v>
      </c>
      <c r="M48" s="524">
        <f t="shared" si="7"/>
        <v>1406.9119535623574</v>
      </c>
      <c r="N48" s="524">
        <f t="shared" si="7"/>
        <v>32376.575264792911</v>
      </c>
      <c r="O48" s="524">
        <f t="shared" si="7"/>
        <v>2.2419780171244838E-2</v>
      </c>
      <c r="P48" s="524">
        <f t="shared" si="7"/>
        <v>12589.229799567906</v>
      </c>
      <c r="Q48" s="516">
        <f>+SUM(K48:P48)-J48</f>
        <v>0</v>
      </c>
      <c r="R48" s="134"/>
      <c r="S48" s="544">
        <f>+SUM(S34:S47)</f>
        <v>3002706.1394418804</v>
      </c>
      <c r="T48" s="545">
        <f t="shared" ref="T48:Y48" si="8">+SUM(T34:T47)</f>
        <v>1858565.3309772983</v>
      </c>
      <c r="U48" s="545">
        <f t="shared" si="8"/>
        <v>83884.024378208182</v>
      </c>
      <c r="V48" s="545">
        <f t="shared" si="8"/>
        <v>19903.977829261268</v>
      </c>
      <c r="W48" s="545">
        <f t="shared" si="8"/>
        <v>679730.37605390849</v>
      </c>
      <c r="X48" s="545">
        <f t="shared" si="8"/>
        <v>58996.225559700601</v>
      </c>
      <c r="Y48" s="545">
        <f t="shared" si="8"/>
        <v>301626.2046435033</v>
      </c>
      <c r="Z48" s="537">
        <f>+SUM(T48:Y48)-S48</f>
        <v>0</v>
      </c>
    </row>
    <row r="49" spans="1:26">
      <c r="A49" s="490"/>
      <c r="B49" s="500"/>
      <c r="C49" s="500"/>
      <c r="D49" s="500"/>
      <c r="E49" s="500"/>
      <c r="F49" s="500"/>
      <c r="G49" s="500"/>
      <c r="H49" s="501"/>
      <c r="J49" s="521">
        <f>+J48-E48</f>
        <v>0</v>
      </c>
      <c r="K49" s="512"/>
      <c r="L49" s="512"/>
      <c r="M49" s="512"/>
      <c r="N49" s="512"/>
      <c r="O49" s="512"/>
      <c r="P49" s="512"/>
      <c r="Q49" s="513"/>
      <c r="S49" s="542">
        <f>+S48-H48</f>
        <v>0</v>
      </c>
      <c r="T49" s="533"/>
      <c r="U49" s="533"/>
      <c r="V49" s="533"/>
      <c r="W49" s="533"/>
      <c r="X49" s="533"/>
      <c r="Y49" s="533"/>
      <c r="Z49" s="534"/>
    </row>
    <row r="50" spans="1:26" ht="13.5" thickBot="1">
      <c r="A50" s="505" t="s">
        <v>392</v>
      </c>
      <c r="B50" s="506">
        <f t="shared" ref="B50:H50" si="9">B19+B32+B48</f>
        <v>40129573.9586</v>
      </c>
      <c r="C50" s="506">
        <f t="shared" si="9"/>
        <v>22134.527999999991</v>
      </c>
      <c r="D50" s="506">
        <f t="shared" si="9"/>
        <v>40107439.430600002</v>
      </c>
      <c r="E50" s="506">
        <f t="shared" si="9"/>
        <v>2635453.896009509</v>
      </c>
      <c r="F50" s="506">
        <f t="shared" si="9"/>
        <v>20771325.824749801</v>
      </c>
      <c r="G50" s="506">
        <f t="shared" si="9"/>
        <v>23406779.72075931</v>
      </c>
      <c r="H50" s="507">
        <f t="shared" si="9"/>
        <v>16722794.23784069</v>
      </c>
      <c r="I50" s="350"/>
      <c r="J50" s="526">
        <f t="shared" ref="J50:P50" si="10">+J48+J32+J19</f>
        <v>2635453.8960095095</v>
      </c>
      <c r="K50" s="527">
        <f t="shared" si="10"/>
        <v>2224213.1032374674</v>
      </c>
      <c r="L50" s="527">
        <f t="shared" si="10"/>
        <v>111910.19550810412</v>
      </c>
      <c r="M50" s="527">
        <f t="shared" si="10"/>
        <v>25508.094948881815</v>
      </c>
      <c r="N50" s="527">
        <f t="shared" si="10"/>
        <v>261233.25009570783</v>
      </c>
      <c r="O50" s="527">
        <f t="shared" si="10"/>
        <v>2.2419780171244838E-2</v>
      </c>
      <c r="P50" s="527">
        <f t="shared" si="10"/>
        <v>12589.229799567906</v>
      </c>
      <c r="Q50" s="528"/>
      <c r="R50" s="350"/>
      <c r="S50" s="547">
        <f t="shared" ref="S50:Y50" si="11">+S48+S32+S19</f>
        <v>16722794.23784069</v>
      </c>
      <c r="T50" s="548">
        <f t="shared" si="11"/>
        <v>13552051.72923349</v>
      </c>
      <c r="U50" s="548">
        <f t="shared" si="11"/>
        <v>679830.79803231335</v>
      </c>
      <c r="V50" s="548">
        <f t="shared" si="11"/>
        <v>155084.51499649842</v>
      </c>
      <c r="W50" s="548">
        <f t="shared" si="11"/>
        <v>1975204.7653751858</v>
      </c>
      <c r="X50" s="548">
        <f t="shared" si="11"/>
        <v>58996.225559700601</v>
      </c>
      <c r="Y50" s="548">
        <f t="shared" si="11"/>
        <v>301626.2046435033</v>
      </c>
      <c r="Z50" s="549"/>
    </row>
    <row r="51" spans="1:26" s="350" customFormat="1" ht="12.75">
      <c r="B51" s="136">
        <v>0</v>
      </c>
      <c r="C51" s="136">
        <v>0</v>
      </c>
      <c r="D51" s="136">
        <v>0</v>
      </c>
      <c r="E51" s="136">
        <v>0</v>
      </c>
      <c r="F51" s="136">
        <v>0</v>
      </c>
      <c r="G51" s="136">
        <v>0</v>
      </c>
      <c r="H51" s="136">
        <v>0</v>
      </c>
      <c r="I51" s="351" t="s">
        <v>288</v>
      </c>
    </row>
    <row r="52" spans="1:26" s="350" customFormat="1" ht="12.75">
      <c r="B52" s="135"/>
      <c r="H52" s="352"/>
    </row>
    <row r="53" spans="1:26" ht="12.75">
      <c r="B53" s="137"/>
      <c r="C53" s="137"/>
      <c r="D53" s="137"/>
      <c r="E53" s="137"/>
      <c r="F53" s="137"/>
      <c r="G53" s="137"/>
      <c r="H53" s="137"/>
      <c r="I53" s="350"/>
      <c r="J53" s="350"/>
      <c r="K53" s="350"/>
      <c r="L53" s="350"/>
      <c r="M53" s="350"/>
      <c r="N53" s="350"/>
      <c r="O53" s="350"/>
      <c r="P53" s="350"/>
      <c r="Q53" s="350"/>
      <c r="R53" s="350"/>
    </row>
    <row r="266" spans="1:13">
      <c r="A266" s="353"/>
      <c r="B266" s="353"/>
      <c r="C266" s="353"/>
      <c r="D266" s="353"/>
      <c r="E266" s="353"/>
      <c r="F266" s="353"/>
      <c r="G266" s="353"/>
      <c r="H266" s="353"/>
      <c r="I266" s="353"/>
      <c r="J266" s="353"/>
      <c r="M266" s="353"/>
    </row>
  </sheetData>
  <pageMargins left="0" right="0" top="0" bottom="0" header="0.5" footer="0.5"/>
  <pageSetup scale="77" orientation="portrait" r:id="rId1"/>
  <headerFooter alignWithMargins="0"/>
  <colBreaks count="2" manualBreakCount="2">
    <brk id="9" max="49" man="1"/>
    <brk id="18" max="49"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9" tint="0.59999389629810485"/>
  </sheetPr>
  <dimension ref="A1:AV112"/>
  <sheetViews>
    <sheetView showGridLines="0" tabSelected="1" showOutlineSymbols="0" view="pageBreakPreview" topLeftCell="A16" zoomScale="85" zoomScaleNormal="80" zoomScaleSheetLayoutView="85" workbookViewId="0">
      <selection activeCell="AR41" sqref="AR41"/>
    </sheetView>
  </sheetViews>
  <sheetFormatPr defaultColWidth="16.7109375" defaultRowHeight="15"/>
  <cols>
    <col min="1" max="1" width="7.42578125" style="161" customWidth="1"/>
    <col min="2" max="2" width="33.5703125" style="346" bestFit="1" customWidth="1"/>
    <col min="3" max="3" width="21.28515625" style="346" customWidth="1"/>
    <col min="4" max="4" width="21.28515625" style="346" hidden="1" customWidth="1"/>
    <col min="5" max="5" width="8.42578125" style="346" bestFit="1" customWidth="1"/>
    <col min="6" max="6" width="15.7109375" style="161" bestFit="1" customWidth="1"/>
    <col min="7" max="7" width="16.28515625" style="161" bestFit="1" customWidth="1"/>
    <col min="8" max="8" width="15" style="161" customWidth="1"/>
    <col min="9" max="9" width="17.7109375" style="161" customWidth="1"/>
    <col min="10" max="10" width="17" style="161" customWidth="1"/>
    <col min="11" max="11" width="15.140625" style="161" bestFit="1" customWidth="1"/>
    <col min="12" max="13" width="20.28515625" style="161" customWidth="1"/>
    <col min="14" max="14" width="2.42578125" style="161" customWidth="1"/>
    <col min="15" max="15" width="15" style="346" customWidth="1"/>
    <col min="16" max="16" width="40.42578125" style="346" customWidth="1"/>
    <col min="17" max="17" width="16.7109375" style="162"/>
    <col min="18" max="18" width="13.85546875" style="170" customWidth="1"/>
    <col min="19" max="19" width="16.7109375" style="161"/>
    <col min="20" max="20" width="13.42578125" style="161" customWidth="1"/>
    <col min="21" max="21" width="15.7109375" style="161" customWidth="1"/>
    <col min="22" max="22" width="16.7109375" style="161"/>
    <col min="23" max="26" width="17.7109375" style="161" customWidth="1"/>
    <col min="27" max="27" width="16" style="161" customWidth="1"/>
    <col min="28" max="28" width="16.7109375" style="161"/>
    <col min="29" max="29" width="15.85546875" style="161" customWidth="1"/>
    <col min="30" max="31" width="16.7109375" style="161"/>
    <col min="32" max="32" width="16.42578125" style="161" customWidth="1"/>
    <col min="33" max="33" width="17.28515625" style="161" customWidth="1"/>
    <col min="34" max="34" width="20.7109375" style="161" customWidth="1"/>
    <col min="35" max="35" width="18.140625" style="161" customWidth="1"/>
    <col min="36" max="36" width="16.42578125" style="161" customWidth="1"/>
    <col min="37" max="37" width="16.7109375" style="161"/>
    <col min="38" max="38" width="13.85546875" style="161" customWidth="1"/>
    <col min="39" max="39" width="16.42578125" style="161" customWidth="1"/>
    <col min="40" max="51" width="15.140625" style="161" customWidth="1"/>
    <col min="52" max="16384" width="16.7109375" style="161"/>
  </cols>
  <sheetData>
    <row r="1" spans="1:37" s="156" customFormat="1" ht="15.75" thickBot="1">
      <c r="A1" s="151"/>
      <c r="B1" s="152"/>
      <c r="C1" s="152"/>
      <c r="D1" s="152"/>
      <c r="E1" s="152"/>
      <c r="F1" s="152"/>
      <c r="G1" s="152"/>
      <c r="H1" s="152"/>
      <c r="I1" s="153"/>
      <c r="J1" s="153"/>
      <c r="K1" s="153"/>
      <c r="L1" s="153"/>
      <c r="M1" s="153"/>
      <c r="N1" s="153"/>
      <c r="O1" s="152"/>
      <c r="P1" s="152"/>
      <c r="Q1" s="154"/>
      <c r="R1" s="155"/>
    </row>
    <row r="2" spans="1:37" ht="19.5" thickBot="1">
      <c r="A2" s="151"/>
      <c r="B2" s="1271" t="s">
        <v>441</v>
      </c>
      <c r="C2" s="1271"/>
      <c r="D2" s="151"/>
      <c r="E2" s="151"/>
      <c r="F2" s="157" t="s">
        <v>442</v>
      </c>
      <c r="G2" s="158"/>
      <c r="H2" s="158"/>
      <c r="I2" s="159" t="s">
        <v>443</v>
      </c>
      <c r="J2" s="158"/>
      <c r="K2" s="158"/>
      <c r="L2" s="158"/>
      <c r="M2" s="160" t="s">
        <v>442</v>
      </c>
      <c r="O2" s="151"/>
      <c r="P2" s="152"/>
      <c r="R2" s="163" t="s">
        <v>444</v>
      </c>
      <c r="S2" s="164"/>
      <c r="T2" s="165"/>
      <c r="AH2" s="1272" t="s">
        <v>445</v>
      </c>
      <c r="AI2" s="1273"/>
      <c r="AJ2" s="1273"/>
      <c r="AK2" s="1274"/>
    </row>
    <row r="3" spans="1:37" ht="16.5" thickBot="1">
      <c r="A3" s="151"/>
      <c r="B3" s="151"/>
      <c r="C3" s="151"/>
      <c r="D3" s="151"/>
      <c r="E3" s="151"/>
      <c r="F3" s="166"/>
      <c r="G3" s="167"/>
      <c r="H3" s="168"/>
      <c r="I3" s="168"/>
      <c r="J3" s="168"/>
      <c r="K3" s="169" t="s">
        <v>446</v>
      </c>
      <c r="L3" s="168"/>
      <c r="M3" s="169" t="s">
        <v>447</v>
      </c>
      <c r="O3" s="151"/>
      <c r="P3" s="152"/>
      <c r="R3" s="161"/>
      <c r="T3" s="161" t="s">
        <v>448</v>
      </c>
      <c r="V3" s="170" t="s">
        <v>448</v>
      </c>
      <c r="W3" s="170" t="s">
        <v>448</v>
      </c>
      <c r="X3" s="170" t="s">
        <v>448</v>
      </c>
      <c r="Y3" s="170"/>
      <c r="Z3" s="170" t="s">
        <v>301</v>
      </c>
      <c r="AA3" s="170" t="s">
        <v>449</v>
      </c>
      <c r="AB3" s="170" t="s">
        <v>449</v>
      </c>
      <c r="AC3" s="170" t="s">
        <v>449</v>
      </c>
      <c r="AD3" s="170" t="s">
        <v>449</v>
      </c>
      <c r="AE3" s="170" t="s">
        <v>449</v>
      </c>
      <c r="AF3" s="170" t="s">
        <v>449</v>
      </c>
      <c r="AG3" s="170" t="s">
        <v>450</v>
      </c>
      <c r="AH3" s="170" t="s">
        <v>174</v>
      </c>
      <c r="AI3" s="170" t="s">
        <v>451</v>
      </c>
      <c r="AJ3" s="170"/>
    </row>
    <row r="4" spans="1:37" ht="19.5" thickBot="1">
      <c r="A4" s="151"/>
      <c r="B4" s="171" t="s">
        <v>452</v>
      </c>
      <c r="C4" s="159"/>
      <c r="D4" s="172"/>
      <c r="E4" s="151"/>
      <c r="F4" s="173"/>
      <c r="G4" s="167"/>
      <c r="H4" s="168" t="s">
        <v>453</v>
      </c>
      <c r="I4" s="168" t="s">
        <v>454</v>
      </c>
      <c r="J4" s="168" t="s">
        <v>455</v>
      </c>
      <c r="K4" s="168" t="s">
        <v>456</v>
      </c>
      <c r="L4" s="168" t="s">
        <v>457</v>
      </c>
      <c r="M4" s="168" t="s">
        <v>458</v>
      </c>
      <c r="O4" s="174"/>
      <c r="P4" s="175"/>
      <c r="R4" s="161"/>
      <c r="T4" s="170" t="s">
        <v>459</v>
      </c>
      <c r="V4" s="170" t="s">
        <v>460</v>
      </c>
      <c r="W4" s="170" t="s">
        <v>301</v>
      </c>
      <c r="X4" s="170" t="s">
        <v>461</v>
      </c>
      <c r="Y4" s="170" t="s">
        <v>462</v>
      </c>
      <c r="Z4" s="170" t="s">
        <v>461</v>
      </c>
      <c r="AA4" s="170" t="s">
        <v>463</v>
      </c>
      <c r="AB4" s="170" t="s">
        <v>463</v>
      </c>
      <c r="AC4" s="170" t="s">
        <v>463</v>
      </c>
      <c r="AD4" s="170" t="s">
        <v>301</v>
      </c>
      <c r="AE4" s="170" t="s">
        <v>459</v>
      </c>
      <c r="AF4" s="170" t="s">
        <v>459</v>
      </c>
      <c r="AG4" s="170" t="s">
        <v>464</v>
      </c>
      <c r="AH4" s="170" t="s">
        <v>465</v>
      </c>
      <c r="AI4" s="170" t="s">
        <v>466</v>
      </c>
      <c r="AJ4" s="170" t="s">
        <v>467</v>
      </c>
      <c r="AK4" s="170" t="s">
        <v>468</v>
      </c>
    </row>
    <row r="5" spans="1:37" ht="15.75">
      <c r="A5" s="151"/>
      <c r="B5" s="176" t="s">
        <v>469</v>
      </c>
      <c r="C5" s="473">
        <f>'2183 Pro Forma'!C23</f>
        <v>27790575.685174663</v>
      </c>
      <c r="D5" s="172"/>
      <c r="E5" s="151"/>
      <c r="F5" s="177" t="s">
        <v>470</v>
      </c>
      <c r="G5" s="178"/>
      <c r="H5" s="178"/>
      <c r="I5" s="168" t="s">
        <v>471</v>
      </c>
      <c r="J5" s="168" t="s">
        <v>174</v>
      </c>
      <c r="K5" s="179" t="s">
        <v>472</v>
      </c>
      <c r="L5" s="180" t="s">
        <v>473</v>
      </c>
      <c r="M5" s="179" t="s">
        <v>174</v>
      </c>
      <c r="O5" s="181"/>
      <c r="P5" s="175"/>
      <c r="R5" s="182"/>
      <c r="T5" s="170" t="s">
        <v>474</v>
      </c>
      <c r="U5" s="170" t="s">
        <v>475</v>
      </c>
      <c r="V5" s="170" t="s">
        <v>476</v>
      </c>
      <c r="W5" s="170" t="s">
        <v>477</v>
      </c>
      <c r="X5" s="170" t="s">
        <v>354</v>
      </c>
      <c r="Y5" s="170" t="s">
        <v>478</v>
      </c>
      <c r="Z5" s="170" t="s">
        <v>354</v>
      </c>
      <c r="AA5" s="170" t="s">
        <v>479</v>
      </c>
      <c r="AB5" s="170" t="s">
        <v>480</v>
      </c>
      <c r="AC5" s="170" t="s">
        <v>481</v>
      </c>
      <c r="AD5" s="170" t="s">
        <v>482</v>
      </c>
      <c r="AE5" s="170" t="s">
        <v>474</v>
      </c>
      <c r="AF5" s="170" t="s">
        <v>172</v>
      </c>
      <c r="AG5" s="170" t="s">
        <v>283</v>
      </c>
      <c r="AH5" s="170" t="s">
        <v>483</v>
      </c>
      <c r="AI5" s="170" t="s">
        <v>483</v>
      </c>
      <c r="AJ5" s="170" t="s">
        <v>283</v>
      </c>
      <c r="AK5" s="170" t="s">
        <v>450</v>
      </c>
    </row>
    <row r="6" spans="1:37" ht="15.75">
      <c r="A6" s="151"/>
      <c r="B6" s="176" t="s">
        <v>484</v>
      </c>
      <c r="C6" s="474">
        <f>'2183 Pro Forma'!C312</f>
        <v>26126932.512643237</v>
      </c>
      <c r="D6" s="172"/>
      <c r="E6" s="151"/>
      <c r="F6" s="183" t="s">
        <v>485</v>
      </c>
      <c r="G6" s="178"/>
      <c r="H6" s="178"/>
      <c r="I6" s="184"/>
      <c r="J6" s="185" t="s">
        <v>486</v>
      </c>
      <c r="K6" s="186"/>
      <c r="L6" s="185" t="s">
        <v>487</v>
      </c>
      <c r="M6" s="185" t="s">
        <v>488</v>
      </c>
      <c r="O6" s="181"/>
      <c r="P6" s="152"/>
      <c r="R6" s="187">
        <v>1</v>
      </c>
      <c r="S6" s="188">
        <f>Revenue/Investment*100</f>
        <v>205.06544868941779</v>
      </c>
      <c r="T6" s="189">
        <f>EXP(y_inter1-(slope*LN(+S6)))</f>
        <v>8.0301204882922157</v>
      </c>
      <c r="U6" s="190">
        <f>(+S6*T6/100)/100</f>
        <v>0.16467002609617298</v>
      </c>
      <c r="V6" s="190">
        <f>regDebt_weighted</f>
        <v>3.5860000000000003E-2</v>
      </c>
      <c r="W6" s="190">
        <f>+U6-V6</f>
        <v>0.12881002609617298</v>
      </c>
      <c r="X6" s="190">
        <f>+((W6*(1-0.34))-Pfd_weighted)/Equity_percent</f>
        <v>0.22914132913800628</v>
      </c>
      <c r="Y6" s="190">
        <f>+C15</f>
        <v>2.5000000000000001E-3</v>
      </c>
      <c r="Z6" s="190">
        <f>+X6+Y6</f>
        <v>0.23164132913800628</v>
      </c>
      <c r="AA6" s="190">
        <f>Z6*equityP</f>
        <v>0.13898479748280376</v>
      </c>
      <c r="AB6" s="190">
        <f>+AA6/(1-taxrate)</f>
        <v>0.17593012339595412</v>
      </c>
      <c r="AC6" s="190">
        <f>debtP*Debt_Rate</f>
        <v>1.2716825048595141E-2</v>
      </c>
      <c r="AD6" s="190">
        <f>AC6+AB6</f>
        <v>0.18864694844454927</v>
      </c>
      <c r="AE6" s="190">
        <f>AD6/(S6/100)</f>
        <v>9.1993531650602339E-2</v>
      </c>
      <c r="AF6" s="190">
        <f>1-AE6</f>
        <v>0.90800646834939769</v>
      </c>
      <c r="AG6" s="191">
        <f>expenses/(AF6)</f>
        <v>28773949.771676831</v>
      </c>
      <c r="AH6" s="192">
        <f>+AG6-Revenue</f>
        <v>983374.08650216833</v>
      </c>
      <c r="AI6" s="193">
        <f ca="1">+AH6/$J$49</f>
        <v>1103788.2859089267</v>
      </c>
      <c r="AJ6" s="193">
        <f ca="1">+AI6*$J$47</f>
        <v>23797.93450986861</v>
      </c>
      <c r="AK6" s="191">
        <f ca="1">ROUND(+AJ6+AG6,5)</f>
        <v>28797747.706190001</v>
      </c>
    </row>
    <row r="7" spans="1:37" ht="15.75">
      <c r="A7" s="151"/>
      <c r="B7" s="176" t="s">
        <v>377</v>
      </c>
      <c r="C7" s="474">
        <f>+'Deprec 2183 4.30.19'!T50</f>
        <v>13552051.72923349</v>
      </c>
      <c r="D7" s="172"/>
      <c r="E7" s="151"/>
      <c r="F7" s="194">
        <v>1</v>
      </c>
      <c r="G7" s="178"/>
      <c r="H7" s="195" t="s">
        <v>469</v>
      </c>
      <c r="I7" s="196">
        <f>IF(A64=TRUE,C5,0)</f>
        <v>27790575.685174663</v>
      </c>
      <c r="J7" s="196">
        <f ca="1">(+$I8/($R50))-I7</f>
        <v>844628.94154111296</v>
      </c>
      <c r="K7" s="196">
        <f ca="1">+I7+J7</f>
        <v>28635204.626715776</v>
      </c>
      <c r="L7" s="196">
        <f ca="1">((+J7/J49*K35)-J7)</f>
        <v>20440.262268280378</v>
      </c>
      <c r="M7" s="196">
        <f ca="1">IFERROR(+K7+L7,0.00001)</f>
        <v>28655644.888984054</v>
      </c>
      <c r="O7" s="181"/>
      <c r="P7" s="197"/>
      <c r="R7" s="198">
        <v>2</v>
      </c>
      <c r="S7" s="199">
        <f>Revenue/Investment*100</f>
        <v>205.06544868941779</v>
      </c>
      <c r="T7" s="200">
        <f>EXP(y_inter1-(slope*LN(+S7)))</f>
        <v>8.0301204882922157</v>
      </c>
      <c r="U7" s="201">
        <f>(+S7*T7/100)/100</f>
        <v>0.16467002609617298</v>
      </c>
      <c r="V7" s="201">
        <f>regDebt_weighted</f>
        <v>3.5860000000000003E-2</v>
      </c>
      <c r="W7" s="201">
        <f>+U7-V7</f>
        <v>0.12881002609617298</v>
      </c>
      <c r="X7" s="201">
        <f>+((W7*(1-0.34))-Pfd_weighted)/Equity_percent</f>
        <v>0.22914132913800628</v>
      </c>
      <c r="Y7" s="201">
        <f>+Y6</f>
        <v>2.5000000000000001E-3</v>
      </c>
      <c r="Z7" s="201">
        <f>+X7+Y7</f>
        <v>0.23164132913800628</v>
      </c>
      <c r="AA7" s="201">
        <f>Z7*equityP</f>
        <v>0.13898479748280376</v>
      </c>
      <c r="AB7" s="201">
        <f>+AA7/(1-taxrate)</f>
        <v>0.17593012339595412</v>
      </c>
      <c r="AC7" s="201">
        <f>debtP*Debt_Rate</f>
        <v>1.2716825048595141E-2</v>
      </c>
      <c r="AD7" s="201">
        <f>AC7+AB7</f>
        <v>0.18864694844454927</v>
      </c>
      <c r="AE7" s="201">
        <f>AD7/(S7/100)</f>
        <v>9.1993531650602339E-2</v>
      </c>
      <c r="AF7" s="201">
        <f>1-AE7</f>
        <v>0.90800646834939769</v>
      </c>
      <c r="AG7" s="202">
        <f>expenses/(AF7)</f>
        <v>28773949.771676831</v>
      </c>
      <c r="AH7" s="203">
        <f>+AG7-Revenue</f>
        <v>983374.08650216833</v>
      </c>
      <c r="AI7" s="204">
        <f ca="1">+AH7/$J$49</f>
        <v>1103788.2859089267</v>
      </c>
      <c r="AJ7" s="204">
        <f ca="1">+AI7*$J$47</f>
        <v>23797.93450986861</v>
      </c>
      <c r="AK7" s="202">
        <f ca="1">ROUND(+AJ7+AG7,5)</f>
        <v>28797747.706190001</v>
      </c>
    </row>
    <row r="8" spans="1:37" ht="15.75">
      <c r="A8" s="151"/>
      <c r="B8" s="176" t="s">
        <v>489</v>
      </c>
      <c r="C8" s="476">
        <f>+'Corporate BS'!D48</f>
        <v>0.4</v>
      </c>
      <c r="D8" s="172"/>
      <c r="E8" s="151"/>
      <c r="F8" s="205">
        <f>+F7+1</f>
        <v>2</v>
      </c>
      <c r="G8" s="178"/>
      <c r="H8" s="195" t="s">
        <v>484</v>
      </c>
      <c r="I8" s="196">
        <f>IF(A64=TRUE,C6,0)</f>
        <v>26126932.512643237</v>
      </c>
      <c r="J8" s="167"/>
      <c r="K8" s="196">
        <f>+I8</f>
        <v>26126932.512643237</v>
      </c>
      <c r="L8" s="196">
        <f ca="1">+L7</f>
        <v>20440.262268280378</v>
      </c>
      <c r="M8" s="196">
        <f ca="1">IFERROR(+K8+L8,0.00001)</f>
        <v>26147372.774911515</v>
      </c>
      <c r="O8" s="181"/>
      <c r="P8" s="197"/>
      <c r="R8" s="206">
        <v>3</v>
      </c>
      <c r="S8" s="199">
        <f>Revenue/Investment*100</f>
        <v>205.06544868941779</v>
      </c>
      <c r="T8" s="200">
        <f>EXP(y_inter1-(slope*LN(+S8)))</f>
        <v>8.0301204882922157</v>
      </c>
      <c r="U8" s="201">
        <f>(+S8*T8/100)/100</f>
        <v>0.16467002609617298</v>
      </c>
      <c r="V8" s="201">
        <f>regDebt_weighted</f>
        <v>3.5860000000000003E-2</v>
      </c>
      <c r="W8" s="201">
        <f>+U8-V8</f>
        <v>0.12881002609617298</v>
      </c>
      <c r="X8" s="201">
        <f>+((W8*(1-0.34))-Pfd_weighted)/Equity_percent</f>
        <v>0.22914132913800628</v>
      </c>
      <c r="Y8" s="201">
        <f>+Y7</f>
        <v>2.5000000000000001E-3</v>
      </c>
      <c r="Z8" s="201">
        <f>+X8+Y8</f>
        <v>0.23164132913800628</v>
      </c>
      <c r="AA8" s="201">
        <f>Z8*equityP</f>
        <v>0.13898479748280376</v>
      </c>
      <c r="AB8" s="201">
        <f>+AA8/(1-taxrate)</f>
        <v>0.17593012339595412</v>
      </c>
      <c r="AC8" s="201">
        <f>debtP*Debt_Rate</f>
        <v>1.2716825048595141E-2</v>
      </c>
      <c r="AD8" s="201">
        <f>AC8+AB8</f>
        <v>0.18864694844454927</v>
      </c>
      <c r="AE8" s="201">
        <f>AD8/(S8/100)</f>
        <v>9.1993531650602339E-2</v>
      </c>
      <c r="AF8" s="201">
        <f>1-AE8</f>
        <v>0.90800646834939769</v>
      </c>
      <c r="AG8" s="202">
        <f>expenses/(AF8)</f>
        <v>28773949.771676831</v>
      </c>
      <c r="AH8" s="203">
        <f>+AG8-Revenue</f>
        <v>983374.08650216833</v>
      </c>
      <c r="AI8" s="204">
        <f ca="1">+AH8/$J$49</f>
        <v>1103788.2859089267</v>
      </c>
      <c r="AJ8" s="204">
        <f ca="1">+AI8*$J$47</f>
        <v>23797.93450986861</v>
      </c>
      <c r="AK8" s="202">
        <f ca="1">ROUND(+AJ8+AG8,5)</f>
        <v>28797747.706190001</v>
      </c>
    </row>
    <row r="9" spans="1:37" ht="15.75">
      <c r="A9" s="151"/>
      <c r="B9" s="176" t="s">
        <v>490</v>
      </c>
      <c r="C9" s="476">
        <f>+'Corporate BS'!B57</f>
        <v>3.179206262148785E-2</v>
      </c>
      <c r="D9" s="172"/>
      <c r="E9" s="151"/>
      <c r="F9" s="205">
        <f t="shared" ref="F9:F49" si="0">+F8+1</f>
        <v>3</v>
      </c>
      <c r="G9" s="178"/>
      <c r="H9" s="195" t="s">
        <v>491</v>
      </c>
      <c r="I9" s="207">
        <f>+I7-I8</f>
        <v>1663643.172531426</v>
      </c>
      <c r="J9" s="167"/>
      <c r="K9" s="207">
        <f ca="1">+K7-K8</f>
        <v>2508272.1140725389</v>
      </c>
      <c r="L9" s="178"/>
      <c r="M9" s="208">
        <f ca="1">+M7-M8</f>
        <v>2508272.1140725389</v>
      </c>
      <c r="O9" s="209"/>
      <c r="P9" s="210"/>
      <c r="R9" s="211">
        <v>4</v>
      </c>
      <c r="S9" s="199">
        <f>Revenue/Investment*100</f>
        <v>205.06544868941779</v>
      </c>
      <c r="T9" s="200">
        <f>EXP(y_inter1-(slope*LN(+S9)))</f>
        <v>8.0301204882922157</v>
      </c>
      <c r="U9" s="201">
        <f>(+S9*T9/100)/100</f>
        <v>0.16467002609617298</v>
      </c>
      <c r="V9" s="201">
        <f>regDebt_weighted</f>
        <v>3.5860000000000003E-2</v>
      </c>
      <c r="W9" s="201">
        <f>+U9-V9</f>
        <v>0.12881002609617298</v>
      </c>
      <c r="X9" s="201">
        <f>+((W9*(1-0.34))-Pfd_weighted)/Equity_percent</f>
        <v>0.22914132913800628</v>
      </c>
      <c r="Y9" s="201">
        <f>+Y8</f>
        <v>2.5000000000000001E-3</v>
      </c>
      <c r="Z9" s="201">
        <f>+X9+Y9</f>
        <v>0.23164132913800628</v>
      </c>
      <c r="AA9" s="201">
        <f>Z9*equityP</f>
        <v>0.13898479748280376</v>
      </c>
      <c r="AB9" s="201">
        <f>+AA9/(1-taxrate)</f>
        <v>0.17593012339595412</v>
      </c>
      <c r="AC9" s="201">
        <f>debtP*Debt_Rate</f>
        <v>1.2716825048595141E-2</v>
      </c>
      <c r="AD9" s="201">
        <f>AC9+AB9</f>
        <v>0.18864694844454927</v>
      </c>
      <c r="AE9" s="201">
        <f>AD9/(S9/100)</f>
        <v>9.1993531650602339E-2</v>
      </c>
      <c r="AF9" s="201">
        <f>1-AE9</f>
        <v>0.90800646834939769</v>
      </c>
      <c r="AG9" s="202">
        <f>expenses/(AF9)</f>
        <v>28773949.771676831</v>
      </c>
      <c r="AH9" s="203">
        <f>+AG9-Revenue</f>
        <v>983374.08650216833</v>
      </c>
      <c r="AI9" s="204">
        <f ca="1">+AH9/$J$49</f>
        <v>1103788.2859089267</v>
      </c>
      <c r="AJ9" s="204">
        <f ca="1">+AI9*$J$47</f>
        <v>23797.93450986861</v>
      </c>
      <c r="AK9" s="202">
        <f ca="1">ROUND(+AJ9+AG9,5)</f>
        <v>28797747.706190001</v>
      </c>
    </row>
    <row r="10" spans="1:37" ht="15.75">
      <c r="A10" s="151"/>
      <c r="B10" s="212" t="s">
        <v>492</v>
      </c>
      <c r="C10" s="476">
        <v>0.21</v>
      </c>
      <c r="D10" s="172"/>
      <c r="E10" s="151"/>
      <c r="F10" s="205">
        <f t="shared" si="0"/>
        <v>4</v>
      </c>
      <c r="G10" s="178"/>
      <c r="H10" s="178"/>
      <c r="I10" s="167"/>
      <c r="J10" s="167"/>
      <c r="K10" s="196"/>
      <c r="L10" s="178"/>
      <c r="M10" s="178"/>
      <c r="O10" s="181"/>
      <c r="P10" s="151"/>
      <c r="R10" s="170" t="s">
        <v>493</v>
      </c>
    </row>
    <row r="11" spans="1:37" ht="15.75">
      <c r="A11" s="151"/>
      <c r="B11" s="176" t="s">
        <v>494</v>
      </c>
      <c r="C11" s="476">
        <f>'[52]LG Public 2018 V5.0z'!C11</f>
        <v>1.4999999999999999E-2</v>
      </c>
      <c r="D11" s="172"/>
      <c r="E11" s="151"/>
      <c r="F11" s="205">
        <f t="shared" si="0"/>
        <v>5</v>
      </c>
      <c r="G11" s="178"/>
      <c r="H11" s="195" t="s">
        <v>147</v>
      </c>
      <c r="I11" s="196">
        <f>+K11</f>
        <v>172339.07089017355</v>
      </c>
      <c r="J11" s="167"/>
      <c r="K11" s="196">
        <f>+M27</f>
        <v>172339.07089017355</v>
      </c>
      <c r="L11" s="178"/>
      <c r="M11" s="196">
        <f>+K11</f>
        <v>172339.07089017355</v>
      </c>
      <c r="O11" s="181"/>
      <c r="P11" s="181"/>
      <c r="R11" s="187">
        <v>1</v>
      </c>
      <c r="S11" s="188">
        <f ca="1">IF((AK6/Investment*100)&gt;0,(AK6/Investment*100),0)</f>
        <v>212.49732720595819</v>
      </c>
      <c r="T11" s="189">
        <f ca="1">EXP(y_inter1-(slope*LN(S11)))</f>
        <v>7.8370362219130119</v>
      </c>
      <c r="U11" s="190">
        <f ca="1">(+S11*T11/100)/100</f>
        <v>0.16653492503727957</v>
      </c>
      <c r="V11" s="190">
        <f>regDebt_weighted</f>
        <v>3.5860000000000003E-2</v>
      </c>
      <c r="W11" s="190">
        <f ca="1">+U11-V11</f>
        <v>0.13067492503727957</v>
      </c>
      <c r="X11" s="190">
        <f ca="1">+((W11*(1-0.34))-Pfd_weighted)/Equity_percent</f>
        <v>0.23271933292036193</v>
      </c>
      <c r="Y11" s="190">
        <f>+Y9</f>
        <v>2.5000000000000001E-3</v>
      </c>
      <c r="Z11" s="190">
        <f ca="1">+X11+Y11</f>
        <v>0.23521933292036193</v>
      </c>
      <c r="AA11" s="190">
        <f ca="1">Z11*equityP</f>
        <v>0.14113159975221715</v>
      </c>
      <c r="AB11" s="190">
        <f ca="1">+AA11/(1-taxrate)</f>
        <v>0.17864759462305968</v>
      </c>
      <c r="AC11" s="190">
        <f>debtP*Debt_Rate</f>
        <v>1.2716825048595141E-2</v>
      </c>
      <c r="AD11" s="190">
        <f ca="1">+AC11+AB11</f>
        <v>0.19136441967165482</v>
      </c>
      <c r="AE11" s="190">
        <f ca="1">+AD11/(S11/100)</f>
        <v>9.0054977249751117E-2</v>
      </c>
      <c r="AF11" s="190">
        <f ca="1">1-AE11</f>
        <v>0.90994502275024891</v>
      </c>
      <c r="AG11" s="191">
        <f ca="1">expenses/(AF11)</f>
        <v>28712649.511149921</v>
      </c>
      <c r="AH11" s="192">
        <f ca="1">+AG11-Revenue</f>
        <v>922073.8259752579</v>
      </c>
      <c r="AI11" s="193">
        <f ca="1">+AH11/$J$49</f>
        <v>1034981.8058302797</v>
      </c>
      <c r="AJ11" s="193">
        <f ca="1">+AI11*$J$47</f>
        <v>22314.450650083087</v>
      </c>
      <c r="AK11" s="191">
        <f ca="1">ROUND(+AJ11+AG11,5)</f>
        <v>28734963.961800002</v>
      </c>
    </row>
    <row r="12" spans="1:37" ht="15.75">
      <c r="A12" s="151"/>
      <c r="B12" s="176" t="s">
        <v>80</v>
      </c>
      <c r="C12" s="476">
        <f>'[52]LG Public 2018 V5.0z'!C12</f>
        <v>5.1000000000000004E-3</v>
      </c>
      <c r="D12" s="172"/>
      <c r="E12" s="151"/>
      <c r="F12" s="205">
        <f t="shared" si="0"/>
        <v>6</v>
      </c>
      <c r="G12" s="178"/>
      <c r="H12" s="195" t="s">
        <v>495</v>
      </c>
      <c r="I12" s="213">
        <f>+(I9-I11)*taxrate</f>
        <v>313173.86134466302</v>
      </c>
      <c r="J12" s="196">
        <f ca="1">+K12-I12</f>
        <v>177372.07772363373</v>
      </c>
      <c r="K12" s="196">
        <f ca="1">+(K9-K11)*taxrate</f>
        <v>490545.93906829675</v>
      </c>
      <c r="L12" s="178"/>
      <c r="M12" s="196">
        <f ca="1">+K12</f>
        <v>490545.93906829675</v>
      </c>
      <c r="O12" s="181"/>
      <c r="P12" s="181"/>
      <c r="R12" s="198">
        <v>2</v>
      </c>
      <c r="S12" s="199">
        <f ca="1">IF((AK7/Investment*100)&gt;0,(AK7/Investment*100),0)</f>
        <v>212.49732720595819</v>
      </c>
      <c r="T12" s="214">
        <f ca="1">EXP(y_inter2-(slope*LN(+S12)))</f>
        <v>7.7255323263583078</v>
      </c>
      <c r="U12" s="201">
        <f ca="1">(+S12*T12/100)/100</f>
        <v>0.16416549705943687</v>
      </c>
      <c r="V12" s="201">
        <f>regDebt_weighted</f>
        <v>3.5860000000000003E-2</v>
      </c>
      <c r="W12" s="201">
        <f ca="1">+U12-V12</f>
        <v>0.12830549705943686</v>
      </c>
      <c r="X12" s="201">
        <f ca="1">+((W12*(1-0.34))-Pfd_weighted)/Equity_percent</f>
        <v>0.22817333738147771</v>
      </c>
      <c r="Y12" s="201">
        <f>+Y11</f>
        <v>2.5000000000000001E-3</v>
      </c>
      <c r="Z12" s="201">
        <f ca="1">+X12+Y12</f>
        <v>0.23067333738147772</v>
      </c>
      <c r="AA12" s="201">
        <f ca="1">Z12*equityP</f>
        <v>0.13840400242888662</v>
      </c>
      <c r="AB12" s="201">
        <f ca="1">+AA12/(1-taxrate)</f>
        <v>0.17519493978340078</v>
      </c>
      <c r="AC12" s="201">
        <f>debtP*Debt_Rate</f>
        <v>1.2716825048595141E-2</v>
      </c>
      <c r="AD12" s="201">
        <f ca="1">+AC12+AB12</f>
        <v>0.18791176483199593</v>
      </c>
      <c r="AE12" s="201">
        <f ca="1">+AD12/(S12/100)</f>
        <v>8.8430178065188908E-2</v>
      </c>
      <c r="AF12" s="201">
        <f ca="1">1-AE12</f>
        <v>0.91156982193481106</v>
      </c>
      <c r="AG12" s="202">
        <f ca="1">expenses/(AF12)</f>
        <v>28661471.544975791</v>
      </c>
      <c r="AH12" s="203">
        <f ca="1">+AG12-Revenue</f>
        <v>870895.85980112851</v>
      </c>
      <c r="AI12" s="204">
        <f ca="1">+AH12/$J$49</f>
        <v>977537.09548553266</v>
      </c>
      <c r="AJ12" s="204">
        <f ca="1">+AI12*$J$47</f>
        <v>21075.929212435341</v>
      </c>
      <c r="AK12" s="202">
        <f ca="1">ROUND(+AJ12+AG12,5)</f>
        <v>28682547.47419</v>
      </c>
    </row>
    <row r="13" spans="1:37" ht="15.75">
      <c r="A13" s="151"/>
      <c r="B13" s="176" t="s">
        <v>496</v>
      </c>
      <c r="C13" s="476">
        <f>'[52]LG Public 2018 V5.0z'!C13</f>
        <v>0</v>
      </c>
      <c r="D13" s="172"/>
      <c r="E13" s="151"/>
      <c r="F13" s="205">
        <f t="shared" si="0"/>
        <v>7</v>
      </c>
      <c r="G13" s="178"/>
      <c r="H13" s="178"/>
      <c r="I13" s="167"/>
      <c r="J13" s="167"/>
      <c r="K13" s="196"/>
      <c r="L13" s="178"/>
      <c r="M13" s="178"/>
      <c r="O13" s="181"/>
      <c r="P13" s="215"/>
      <c r="R13" s="206">
        <v>3</v>
      </c>
      <c r="S13" s="199">
        <f ca="1">IF((AK8/Investment*100)&gt;0,(AK8/Investment*100),0)</f>
        <v>212.49732720595819</v>
      </c>
      <c r="T13" s="200">
        <f ca="1">EXP(y_inter3-(slope*LN(S13)))</f>
        <v>7.6504213899164162</v>
      </c>
      <c r="U13" s="201">
        <f ca="1">(+S13*T13/100)/100</f>
        <v>0.16256940973565304</v>
      </c>
      <c r="V13" s="201">
        <f>regDebt_weighted</f>
        <v>3.5860000000000003E-2</v>
      </c>
      <c r="W13" s="201">
        <f ca="1">+U13-V13</f>
        <v>0.12670940973565303</v>
      </c>
      <c r="X13" s="201">
        <f ca="1">+((W13*(1-0.34))-Pfd_weighted)/Equity_percent</f>
        <v>0.22511107681840406</v>
      </c>
      <c r="Y13" s="201">
        <f>+Y12</f>
        <v>2.5000000000000001E-3</v>
      </c>
      <c r="Z13" s="201">
        <f ca="1">+X13+Y13</f>
        <v>0.22761107681840406</v>
      </c>
      <c r="AA13" s="201">
        <f ca="1">Z13*equityP</f>
        <v>0.13656664609104244</v>
      </c>
      <c r="AB13" s="201">
        <f ca="1">+AA13/(1-taxrate)</f>
        <v>0.17286917226714232</v>
      </c>
      <c r="AC13" s="201">
        <f>debtP*Debt_Rate</f>
        <v>1.2716825048595141E-2</v>
      </c>
      <c r="AD13" s="201">
        <f ca="1">+AC13+AB13</f>
        <v>0.18558599731573747</v>
      </c>
      <c r="AE13" s="201">
        <f ca="1">+AD13/(S13/100)</f>
        <v>8.733568546764002E-2</v>
      </c>
      <c r="AF13" s="201">
        <f ca="1">1-AE13</f>
        <v>0.91266431453235997</v>
      </c>
      <c r="AG13" s="202">
        <f ca="1">expenses/(AF13)</f>
        <v>28627099.905873295</v>
      </c>
      <c r="AH13" s="203">
        <f ca="1">+AG13-Revenue</f>
        <v>836524.2206986323</v>
      </c>
      <c r="AI13" s="204">
        <f ca="1">+AH13/$J$49</f>
        <v>938956.64768893423</v>
      </c>
      <c r="AJ13" s="204">
        <f ca="1">+AI13*$J$47</f>
        <v>20244.125702880243</v>
      </c>
      <c r="AK13" s="202">
        <f ca="1">ROUND(+AJ13+AG13,5)</f>
        <v>28647344.031580001</v>
      </c>
    </row>
    <row r="14" spans="1:37" ht="16.5" thickBot="1">
      <c r="A14" s="151"/>
      <c r="B14" s="216" t="s">
        <v>122</v>
      </c>
      <c r="C14" s="476">
        <f>+'Restating Adj''s'!E87</f>
        <v>1.4602347059444768E-3</v>
      </c>
      <c r="D14" s="172"/>
      <c r="E14" s="151"/>
      <c r="F14" s="205">
        <f t="shared" si="0"/>
        <v>8</v>
      </c>
      <c r="G14" s="178"/>
      <c r="H14" s="178" t="s">
        <v>284</v>
      </c>
      <c r="I14" s="217">
        <f>+I9-SUM(I11:I13)</f>
        <v>1178130.2402965894</v>
      </c>
      <c r="J14" s="167"/>
      <c r="K14" s="217">
        <f ca="1">+K9-SUM(K11:K13)</f>
        <v>1845387.1041140687</v>
      </c>
      <c r="L14" s="178"/>
      <c r="M14" s="217">
        <f ca="1">+M9-SUM(M11:M13)</f>
        <v>1845387.1041140687</v>
      </c>
      <c r="O14" s="181"/>
      <c r="P14" s="151"/>
      <c r="R14" s="211">
        <v>4</v>
      </c>
      <c r="S14" s="199">
        <f ca="1">IF((AK9/Investment*100)&gt;0,(AK9/Investment*100),0)</f>
        <v>212.49732720595819</v>
      </c>
      <c r="T14" s="218">
        <f ca="1">EXP(y_inter4-(slope*LN(S14)))</f>
        <v>7.6023752394464577</v>
      </c>
      <c r="U14" s="201">
        <f ca="1">(+S14*T14/100)/100</f>
        <v>0.16154844187991288</v>
      </c>
      <c r="V14" s="201">
        <f>regDebt_weighted</f>
        <v>3.5860000000000003E-2</v>
      </c>
      <c r="W14" s="201">
        <f ca="1">+U14-V14</f>
        <v>0.12568844187991288</v>
      </c>
      <c r="X14" s="201">
        <f ca="1">+((W14*(1-0.34))-Pfd_weighted)/Equity_percent</f>
        <v>0.2231522431416933</v>
      </c>
      <c r="Y14" s="201">
        <f>+Y13</f>
        <v>2.5000000000000001E-3</v>
      </c>
      <c r="Z14" s="201">
        <f ca="1">+X14+Y14</f>
        <v>0.2256522431416933</v>
      </c>
      <c r="AA14" s="201">
        <f ca="1">Z14*equityP</f>
        <v>0.13539134588501597</v>
      </c>
      <c r="AB14" s="201">
        <f ca="1">+AA14/(1-taxrate)</f>
        <v>0.17138145048736197</v>
      </c>
      <c r="AC14" s="201">
        <f>debtP*Debt_Rate</f>
        <v>1.2716825048595141E-2</v>
      </c>
      <c r="AD14" s="201">
        <f ca="1">+AC14+AB14</f>
        <v>0.18409827553595712</v>
      </c>
      <c r="AE14" s="201">
        <f ca="1">+AD14/(S14/100)</f>
        <v>8.6635572294763069E-2</v>
      </c>
      <c r="AF14" s="201">
        <f ca="1">1-AE14</f>
        <v>0.91336442770523696</v>
      </c>
      <c r="AG14" s="202">
        <f ca="1">expenses/(AF14)</f>
        <v>28605156.627662074</v>
      </c>
      <c r="AH14" s="203">
        <f ca="1">+AG14-Revenue</f>
        <v>814580.9424874112</v>
      </c>
      <c r="AI14" s="204">
        <f ca="1">+AH14/$J$49</f>
        <v>914326.41411206743</v>
      </c>
      <c r="AJ14" s="204">
        <f ca="1">+AI14*$J$47</f>
        <v>19713.092086100758</v>
      </c>
      <c r="AK14" s="202">
        <f ca="1">ROUND(+AJ14+AG14,5)</f>
        <v>28624869.719749998</v>
      </c>
    </row>
    <row r="15" spans="1:37" ht="16.5" thickTop="1">
      <c r="A15" s="151"/>
      <c r="B15" s="216" t="s">
        <v>497</v>
      </c>
      <c r="C15" s="219">
        <v>2.5000000000000001E-3</v>
      </c>
      <c r="D15" s="151"/>
      <c r="E15" s="151"/>
      <c r="F15" s="205">
        <f t="shared" si="0"/>
        <v>9</v>
      </c>
      <c r="G15" s="167"/>
      <c r="H15" s="167"/>
      <c r="I15" s="220"/>
      <c r="J15" s="167"/>
      <c r="K15" s="221"/>
      <c r="L15" s="167"/>
      <c r="M15" s="167"/>
      <c r="O15" s="181"/>
      <c r="P15" s="151"/>
      <c r="R15" s="170" t="s">
        <v>498</v>
      </c>
    </row>
    <row r="16" spans="1:37" ht="15.75">
      <c r="A16" s="151"/>
      <c r="B16" s="151"/>
      <c r="C16" s="151"/>
      <c r="D16" s="172" t="s">
        <v>499</v>
      </c>
      <c r="E16" s="151"/>
      <c r="F16" s="205">
        <f t="shared" si="0"/>
        <v>10</v>
      </c>
      <c r="G16" s="167"/>
      <c r="H16" s="195" t="s">
        <v>500</v>
      </c>
      <c r="I16" s="222">
        <f>+I8/I7</f>
        <v>0.94013642641383199</v>
      </c>
      <c r="J16" s="223"/>
      <c r="K16" s="222">
        <f ca="1">+K8/K7</f>
        <v>0.91240600000000005</v>
      </c>
      <c r="L16" s="224"/>
      <c r="M16" s="222">
        <f ca="1">+M8/M7</f>
        <v>0.9124684813833388</v>
      </c>
      <c r="O16" s="181"/>
      <c r="P16" s="225"/>
      <c r="R16" s="226">
        <v>1</v>
      </c>
      <c r="S16" s="227">
        <f ca="1">AK11/Investment*100</f>
        <v>212.03404868810418</v>
      </c>
      <c r="T16" s="228">
        <f ca="1">EXP(y_inter1-(slope*LN(+S16)))</f>
        <v>7.8487388921777228</v>
      </c>
      <c r="U16" s="229">
        <f ca="1">(+S16*T16/100)/100</f>
        <v>0.1664199884404228</v>
      </c>
      <c r="V16" s="229">
        <f>regDebt_weighted</f>
        <v>3.5860000000000003E-2</v>
      </c>
      <c r="W16" s="229">
        <f ca="1">+U16-V16</f>
        <v>0.1305599884404228</v>
      </c>
      <c r="X16" s="229">
        <f ca="1">+((W16*(1-0.34))-Pfd_weighted)/Equity_percent</f>
        <v>0.23249881503104372</v>
      </c>
      <c r="Y16" s="229">
        <f>+Y14</f>
        <v>2.5000000000000001E-3</v>
      </c>
      <c r="Z16" s="229">
        <f ca="1">+X16+Y16</f>
        <v>0.23499881503104372</v>
      </c>
      <c r="AA16" s="229">
        <f ca="1">Z16*equityP</f>
        <v>0.14099928901862624</v>
      </c>
      <c r="AB16" s="229">
        <f ca="1">+AA16/(1-taxrate)</f>
        <v>0.17848011268180536</v>
      </c>
      <c r="AC16" s="229">
        <f>debtP*Debt_Rate</f>
        <v>1.2716825048595141E-2</v>
      </c>
      <c r="AD16" s="229">
        <f ca="1">+AC16+AB16</f>
        <v>0.1911969377304005</v>
      </c>
      <c r="AE16" s="229">
        <f ca="1">+AD16/(S16/100)</f>
        <v>9.0172752401500175E-2</v>
      </c>
      <c r="AF16" s="229">
        <f ca="1">1-AE16</f>
        <v>0.90982724759849987</v>
      </c>
      <c r="AG16" s="230">
        <f ca="1">expenses/(AF16)</f>
        <v>28716366.300971523</v>
      </c>
      <c r="AH16" s="231">
        <f ca="1">+AG16-Revenue</f>
        <v>925790.61579686031</v>
      </c>
      <c r="AI16" s="232">
        <f ca="1">+AH16/$J$49</f>
        <v>1039153.7167262267</v>
      </c>
      <c r="AJ16" s="232">
        <f ca="1">+AI16*$J$47</f>
        <v>22404.398028171989</v>
      </c>
      <c r="AK16" s="230">
        <f ca="1">ROUND(+AJ16+AG16,5)</f>
        <v>28738770.699000001</v>
      </c>
    </row>
    <row r="17" spans="1:37" ht="15.75">
      <c r="A17" s="151"/>
      <c r="B17" s="233" t="s">
        <v>501</v>
      </c>
      <c r="C17" s="234"/>
      <c r="D17" s="151" t="s">
        <v>502</v>
      </c>
      <c r="E17" s="151"/>
      <c r="F17" s="205">
        <f t="shared" si="0"/>
        <v>11</v>
      </c>
      <c r="G17" s="167"/>
      <c r="H17" s="167"/>
      <c r="I17" s="167"/>
      <c r="K17" s="167"/>
      <c r="L17" s="195"/>
      <c r="M17" s="195"/>
      <c r="N17" s="222"/>
      <c r="O17" s="151"/>
      <c r="P17" s="151"/>
      <c r="R17" s="198">
        <v>2</v>
      </c>
      <c r="S17" s="199">
        <f ca="1">AK12/Investment*100</f>
        <v>211.64726970690438</v>
      </c>
      <c r="T17" s="214">
        <f ca="1">EXP(y_inter2-(slope*LN(+S17)))</f>
        <v>7.7467322882929004</v>
      </c>
      <c r="U17" s="201">
        <f ca="1">(+S17*T17/100)/100</f>
        <v>0.16395747379675119</v>
      </c>
      <c r="V17" s="201">
        <f>regDebt_weighted</f>
        <v>3.5860000000000003E-2</v>
      </c>
      <c r="W17" s="201">
        <f ca="1">+U17-V17</f>
        <v>0.12809747379675118</v>
      </c>
      <c r="X17" s="201">
        <f ca="1">+((W17*(1-0.34))-Pfd_weighted)/Equity_percent</f>
        <v>0.2277742229821389</v>
      </c>
      <c r="Y17" s="201">
        <f>+Y16</f>
        <v>2.5000000000000001E-3</v>
      </c>
      <c r="Z17" s="201">
        <f ca="1">+X17+Y17</f>
        <v>0.2302742229821389</v>
      </c>
      <c r="AA17" s="201">
        <f ca="1">Z17*equityP</f>
        <v>0.13816453378928334</v>
      </c>
      <c r="AB17" s="201">
        <f ca="1">+AA17/(1-taxrate)</f>
        <v>0.17489181492314346</v>
      </c>
      <c r="AC17" s="201">
        <f>debtP*Debt_Rate</f>
        <v>1.2716825048595141E-2</v>
      </c>
      <c r="AD17" s="201">
        <f ca="1">+AC17+AB17</f>
        <v>0.1876086399717386</v>
      </c>
      <c r="AE17" s="201">
        <f ca="1">+AD17/(S17/100)</f>
        <v>8.8642126228013624E-2</v>
      </c>
      <c r="AF17" s="201">
        <f ca="1">1-AE17</f>
        <v>0.9113578737719864</v>
      </c>
      <c r="AG17" s="202">
        <f ca="1">expenses/(AF17)</f>
        <v>28668137.14409183</v>
      </c>
      <c r="AH17" s="203">
        <f ca="1">+AG17-Revenue</f>
        <v>877561.45891716704</v>
      </c>
      <c r="AI17" s="204">
        <f ca="1">+AH17/$J$49</f>
        <v>985018.89750150638</v>
      </c>
      <c r="AJ17" s="204">
        <f ca="1">+AI17*$J$47</f>
        <v>21237.238619923144</v>
      </c>
      <c r="AK17" s="202">
        <f ca="1">ROUND(+AJ17+AG17,5)</f>
        <v>28689374.382709999</v>
      </c>
    </row>
    <row r="18" spans="1:37" ht="15.75">
      <c r="A18" s="151"/>
      <c r="B18" s="1275"/>
      <c r="C18" s="1275"/>
      <c r="D18" s="151"/>
      <c r="E18" s="151"/>
      <c r="F18" s="205">
        <f t="shared" si="0"/>
        <v>12</v>
      </c>
      <c r="G18" s="167"/>
      <c r="H18" s="235" t="s">
        <v>355</v>
      </c>
      <c r="I18" s="236"/>
      <c r="J18" s="236"/>
      <c r="K18" s="236"/>
      <c r="L18" s="236"/>
      <c r="M18" s="237"/>
      <c r="O18" s="151"/>
      <c r="P18" s="151"/>
      <c r="R18" s="206">
        <v>3</v>
      </c>
      <c r="S18" s="199">
        <f ca="1">AK13/Investment*100</f>
        <v>211.38750503574343</v>
      </c>
      <c r="T18" s="200">
        <f ca="1">EXP(y_inter3-(slope*LN(S18)))</f>
        <v>7.6778589827384147</v>
      </c>
      <c r="U18" s="201">
        <f ca="1">(+S18*T18/100)/100</f>
        <v>0.16230034543773444</v>
      </c>
      <c r="V18" s="201">
        <f>regDebt_weighted</f>
        <v>3.5860000000000003E-2</v>
      </c>
      <c r="W18" s="201">
        <f ca="1">+U18-V18</f>
        <v>0.12644034543773444</v>
      </c>
      <c r="X18" s="201">
        <f ca="1">+((W18*(1-0.34))-Pfd_weighted)/Equity_percent</f>
        <v>0.22459484880495559</v>
      </c>
      <c r="Y18" s="201">
        <f>+Y17</f>
        <v>2.5000000000000001E-3</v>
      </c>
      <c r="Z18" s="201">
        <f ca="1">+X18+Y18</f>
        <v>0.22709484880495559</v>
      </c>
      <c r="AA18" s="201">
        <f ca="1">Z18*equityP</f>
        <v>0.13625690928297335</v>
      </c>
      <c r="AB18" s="201">
        <f ca="1">+AA18/(1-taxrate)</f>
        <v>0.17247710035819411</v>
      </c>
      <c r="AC18" s="201">
        <f>debtP*Debt_Rate</f>
        <v>1.2716825048595141E-2</v>
      </c>
      <c r="AD18" s="201">
        <f ca="1">+AC18+AB18</f>
        <v>0.18519392540678925</v>
      </c>
      <c r="AE18" s="201">
        <f ca="1">+AD18/(S18/100)</f>
        <v>8.7608737978848314E-2</v>
      </c>
      <c r="AF18" s="201">
        <f ca="1">1-AE18</f>
        <v>0.91239126202115173</v>
      </c>
      <c r="AG18" s="202">
        <f ca="1">expenses/(AF18)</f>
        <v>28635667.175029941</v>
      </c>
      <c r="AH18" s="203">
        <f ca="1">+AG18-Revenue</f>
        <v>845091.48985527828</v>
      </c>
      <c r="AI18" s="204">
        <f ca="1">+AH18/$J$49</f>
        <v>948572.97932420345</v>
      </c>
      <c r="AJ18" s="204">
        <f ca="1">+AI18*$J$47</f>
        <v>20451.456069946846</v>
      </c>
      <c r="AK18" s="202">
        <f ca="1">ROUND(+AJ18+AG18,5)</f>
        <v>28656118.631099999</v>
      </c>
    </row>
    <row r="19" spans="1:37" ht="15.75">
      <c r="A19" s="151"/>
      <c r="B19" s="1276" t="s">
        <v>503</v>
      </c>
      <c r="C19" s="1276"/>
      <c r="D19" s="151"/>
      <c r="E19" s="151"/>
      <c r="F19" s="205">
        <f t="shared" si="0"/>
        <v>13</v>
      </c>
      <c r="G19" s="167"/>
      <c r="H19" s="173"/>
      <c r="I19" s="238" t="s">
        <v>504</v>
      </c>
      <c r="J19" s="239">
        <f>+Revenue</f>
        <v>27790575.685174663</v>
      </c>
      <c r="K19" s="240"/>
      <c r="L19" s="238" t="s">
        <v>505</v>
      </c>
      <c r="M19" s="241">
        <f ca="1">+J7</f>
        <v>844628.94154111296</v>
      </c>
      <c r="O19" s="151"/>
      <c r="P19" s="151"/>
      <c r="R19" s="211">
        <v>4</v>
      </c>
      <c r="S19" s="199">
        <f ca="1">AK14/Investment*100</f>
        <v>211.22166806670708</v>
      </c>
      <c r="T19" s="218">
        <f ca="1">EXP(y_inter4-(slope*LN(S19)))</f>
        <v>7.6337353835899835</v>
      </c>
      <c r="U19" s="201">
        <f ca="1">(+S19*T19/100)/100</f>
        <v>0.16124103213017205</v>
      </c>
      <c r="V19" s="201">
        <f>regDebt_weighted</f>
        <v>3.5860000000000003E-2</v>
      </c>
      <c r="W19" s="201">
        <f ca="1">+U19-V19</f>
        <v>0.12538103213017204</v>
      </c>
      <c r="X19" s="201">
        <f ca="1">+((W19*(1-0.34))-Pfd_weighted)/Equity_percent</f>
        <v>0.22256244536602773</v>
      </c>
      <c r="Y19" s="201">
        <f>+Y18</f>
        <v>2.5000000000000001E-3</v>
      </c>
      <c r="Z19" s="201">
        <f ca="1">+X19+Y19</f>
        <v>0.22506244536602774</v>
      </c>
      <c r="AA19" s="201">
        <f ca="1">Z19*equityP</f>
        <v>0.13503746721961662</v>
      </c>
      <c r="AB19" s="201">
        <f ca="1">+AA19/(1-taxrate)</f>
        <v>0.17093350280964129</v>
      </c>
      <c r="AC19" s="201">
        <f>debtP*Debt_Rate</f>
        <v>1.2716825048595141E-2</v>
      </c>
      <c r="AD19" s="201">
        <f ca="1">+AC19+AB19</f>
        <v>0.18365032785823643</v>
      </c>
      <c r="AE19" s="201">
        <f ca="1">+AD19/(S19/100)</f>
        <v>8.6946727359541925E-2</v>
      </c>
      <c r="AF19" s="201">
        <f ca="1">1-AE19</f>
        <v>0.9130532726404581</v>
      </c>
      <c r="AG19" s="202">
        <f ca="1">expenses/(AF19)</f>
        <v>28614904.842394114</v>
      </c>
      <c r="AH19" s="203">
        <f ca="1">+AG19-Revenue</f>
        <v>824329.15721945092</v>
      </c>
      <c r="AI19" s="204">
        <f ca="1">+AH19/$J$49</f>
        <v>925268.2981594936</v>
      </c>
      <c r="AJ19" s="204">
        <f ca="1">+AI19*$J$47</f>
        <v>19949.001674288498</v>
      </c>
      <c r="AK19" s="202">
        <f ca="1">ROUND(+AJ19+AG19,5)</f>
        <v>28634853.844069999</v>
      </c>
    </row>
    <row r="20" spans="1:37" ht="15.75">
      <c r="A20" s="151"/>
      <c r="B20" s="242"/>
      <c r="C20" s="151"/>
      <c r="D20" s="151"/>
      <c r="E20" s="151"/>
      <c r="F20" s="205">
        <f t="shared" si="0"/>
        <v>14</v>
      </c>
      <c r="G20" s="167"/>
      <c r="H20" s="173"/>
      <c r="I20" s="238" t="s">
        <v>506</v>
      </c>
      <c r="J20" s="239">
        <f ca="1">+J21-J19</f>
        <v>865069.20380939171</v>
      </c>
      <c r="K20" s="243">
        <f ca="1">J20/J19</f>
        <v>3.1128149830695197E-2</v>
      </c>
      <c r="L20" s="238" t="s">
        <v>507</v>
      </c>
      <c r="M20" s="241">
        <f ca="1">+L8</f>
        <v>20440.262268280378</v>
      </c>
      <c r="O20" s="181"/>
      <c r="P20" s="151"/>
      <c r="R20" s="170" t="s">
        <v>508</v>
      </c>
    </row>
    <row r="21" spans="1:37" ht="16.5" thickBot="1">
      <c r="A21" s="151"/>
      <c r="B21" s="242"/>
      <c r="C21" s="242"/>
      <c r="D21" s="151"/>
      <c r="E21" s="151"/>
      <c r="F21" s="205">
        <f t="shared" si="0"/>
        <v>15</v>
      </c>
      <c r="G21" s="167"/>
      <c r="H21" s="173"/>
      <c r="I21" s="244" t="s">
        <v>355</v>
      </c>
      <c r="J21" s="245">
        <f ca="1">+M7</f>
        <v>28655644.888984054</v>
      </c>
      <c r="K21" s="246"/>
      <c r="L21" s="244" t="s">
        <v>506</v>
      </c>
      <c r="M21" s="247">
        <f ca="1">+M19+M20</f>
        <v>865069.20380939334</v>
      </c>
      <c r="O21" s="151"/>
      <c r="P21" s="151"/>
      <c r="R21" s="226">
        <v>1</v>
      </c>
      <c r="S21" s="227">
        <f ca="1">AK16/Investment*100</f>
        <v>212.06213843625491</v>
      </c>
      <c r="T21" s="228">
        <f ca="1">EXP(y_inter1-(slope*LN(+S21)))</f>
        <v>7.8480281039724682</v>
      </c>
      <c r="U21" s="229">
        <f ca="1">(+S21*T21/100)/100</f>
        <v>0.16642696222362288</v>
      </c>
      <c r="V21" s="229">
        <f>regDebt_weighted</f>
        <v>3.5860000000000003E-2</v>
      </c>
      <c r="W21" s="229">
        <f ca="1">+U21-V21</f>
        <v>0.13056696222362288</v>
      </c>
      <c r="X21" s="229">
        <f ca="1">+((W21*(1-0.34))-Pfd_weighted)/Equity_percent</f>
        <v>0.23251219496392761</v>
      </c>
      <c r="Y21" s="229">
        <f>+Y19</f>
        <v>2.5000000000000001E-3</v>
      </c>
      <c r="Z21" s="229">
        <f ca="1">+X21+Y21</f>
        <v>0.23501219496392761</v>
      </c>
      <c r="AA21" s="229">
        <f ca="1">Z21*equityP</f>
        <v>0.14100731697835656</v>
      </c>
      <c r="AB21" s="229">
        <f ca="1">+AA21/(1-taxrate)</f>
        <v>0.17849027465614753</v>
      </c>
      <c r="AC21" s="229">
        <f>debtP*Debt_Rate</f>
        <v>1.2716825048595141E-2</v>
      </c>
      <c r="AD21" s="229">
        <f ca="1">+AC21+AB21</f>
        <v>0.19120709970474267</v>
      </c>
      <c r="AE21" s="229">
        <f ca="1">+AD21/(S21/100)</f>
        <v>9.0165600099434445E-2</v>
      </c>
      <c r="AF21" s="229">
        <f ca="1">1-AE21</f>
        <v>0.90983439990056558</v>
      </c>
      <c r="AG21" s="230">
        <f ca="1">expenses/(AF21)</f>
        <v>28716140.55865398</v>
      </c>
      <c r="AH21" s="231">
        <f ca="1">+AG21-Revenue</f>
        <v>925564.87347931787</v>
      </c>
      <c r="AI21" s="232">
        <f ca="1">+AH21/$J$49</f>
        <v>1038900.3322521416</v>
      </c>
      <c r="AJ21" s="232">
        <f ca="1">+AI21*$J$47</f>
        <v>22398.934999439873</v>
      </c>
      <c r="AK21" s="230">
        <f ca="1">ROUND(+AJ21+AG21,5)</f>
        <v>28738539.493650001</v>
      </c>
    </row>
    <row r="22" spans="1:37" ht="16.5" thickTop="1">
      <c r="A22" s="151"/>
      <c r="B22" s="242"/>
      <c r="C22" s="151"/>
      <c r="D22" s="151"/>
      <c r="E22" s="151"/>
      <c r="F22" s="205">
        <f t="shared" si="0"/>
        <v>16</v>
      </c>
      <c r="G22" s="167"/>
      <c r="H22" s="248"/>
      <c r="I22" s="249"/>
      <c r="J22" s="948">
        <f ca="1">J20+'Restating Adj''s'!B133</f>
        <v>770651.4371026376</v>
      </c>
      <c r="K22" s="947">
        <f ca="1">J22/J19</f>
        <v>2.7730675529465704E-2</v>
      </c>
      <c r="L22" s="249"/>
      <c r="M22" s="250"/>
      <c r="O22" s="151"/>
      <c r="P22" s="151"/>
      <c r="R22" s="198">
        <v>2</v>
      </c>
      <c r="S22" s="199">
        <f ca="1">AK17/Investment*100</f>
        <v>211.69764516780427</v>
      </c>
      <c r="T22" s="214">
        <f ca="1">EXP(y_inter2-(slope*LN(+S22)))</f>
        <v>7.745471957859448</v>
      </c>
      <c r="U22" s="201">
        <f ca="1">(+S22*T22/100)/100</f>
        <v>0.16396981741921077</v>
      </c>
      <c r="V22" s="201">
        <f>regDebt_weighted</f>
        <v>3.5860000000000003E-2</v>
      </c>
      <c r="W22" s="201">
        <f ca="1">+U22-V22</f>
        <v>0.12810981741921076</v>
      </c>
      <c r="X22" s="201">
        <f ca="1">+((W22*(1-0.34))-Pfd_weighted)/Equity_percent</f>
        <v>0.22779790551360204</v>
      </c>
      <c r="Y22" s="201">
        <f>+Y21</f>
        <v>2.5000000000000001E-3</v>
      </c>
      <c r="Z22" s="201">
        <f ca="1">+X22+Y22</f>
        <v>0.23029790551360205</v>
      </c>
      <c r="AA22" s="201">
        <f ca="1">Z22*equityP</f>
        <v>0.13817874330816121</v>
      </c>
      <c r="AB22" s="201">
        <f ca="1">+AA22/(1-taxrate)</f>
        <v>0.17490980165590025</v>
      </c>
      <c r="AC22" s="201">
        <f>debtP*Debt_Rate</f>
        <v>1.2716825048595141E-2</v>
      </c>
      <c r="AD22" s="201">
        <f ca="1">+AC22+AB22</f>
        <v>0.1876266267044954</v>
      </c>
      <c r="AE22" s="201">
        <f ca="1">+AD22/(S22/100)</f>
        <v>8.8629529419550823E-2</v>
      </c>
      <c r="AF22" s="201">
        <f ca="1">1-AE22</f>
        <v>0.91137047058044918</v>
      </c>
      <c r="AG22" s="202">
        <f ca="1">expenses/(AF22)</f>
        <v>28667740.897950172</v>
      </c>
      <c r="AH22" s="203">
        <f ca="1">+AG22-Revenue</f>
        <v>877165.2127755098</v>
      </c>
      <c r="AI22" s="204">
        <f ca="1">+AH22/$J$49</f>
        <v>984574.13100267213</v>
      </c>
      <c r="AJ22" s="204">
        <f ca="1">+AI22*$J$47</f>
        <v>21227.649349818937</v>
      </c>
      <c r="AK22" s="202">
        <f ca="1">ROUND(+AJ22+AG22,5)</f>
        <v>28688968.5473</v>
      </c>
    </row>
    <row r="23" spans="1:37" ht="15.75">
      <c r="A23" s="151"/>
      <c r="B23" s="251" t="s">
        <v>509</v>
      </c>
      <c r="C23" s="252"/>
      <c r="D23" s="252"/>
      <c r="E23" s="252"/>
      <c r="F23" s="205">
        <f t="shared" si="0"/>
        <v>17</v>
      </c>
      <c r="H23" s="167"/>
      <c r="I23" s="167"/>
      <c r="J23" s="167"/>
      <c r="K23" s="167"/>
      <c r="L23" s="167"/>
      <c r="M23" s="167"/>
      <c r="N23" s="167"/>
      <c r="O23" s="151"/>
      <c r="P23" s="151"/>
      <c r="R23" s="206">
        <v>3</v>
      </c>
      <c r="S23" s="199">
        <f ca="1">AK18/Investment*100</f>
        <v>211.45225242377967</v>
      </c>
      <c r="T23" s="200">
        <f ca="1">EXP(y_inter3-(slope*LN(S23)))</f>
        <v>7.6762516061907027</v>
      </c>
      <c r="U23" s="201">
        <f ca="1">(+S23*T23/100)/100</f>
        <v>0.16231606923006808</v>
      </c>
      <c r="V23" s="201">
        <f>regDebt_weighted</f>
        <v>3.5860000000000003E-2</v>
      </c>
      <c r="W23" s="201">
        <f ca="1">+U23-V23</f>
        <v>0.12645606923006808</v>
      </c>
      <c r="X23" s="201">
        <f ca="1">+((W23*(1-0.34))-Pfd_weighted)/Equity_percent</f>
        <v>0.22462501654606082</v>
      </c>
      <c r="Y23" s="201">
        <f>+Y22</f>
        <v>2.5000000000000001E-3</v>
      </c>
      <c r="Z23" s="201">
        <f ca="1">+X23+Y23</f>
        <v>0.22712501654606082</v>
      </c>
      <c r="AA23" s="201">
        <f ca="1">Z23*equityP</f>
        <v>0.1362750099276365</v>
      </c>
      <c r="AB23" s="201">
        <f ca="1">+AA23/(1-taxrate)</f>
        <v>0.17250001256662847</v>
      </c>
      <c r="AC23" s="201">
        <f>debtP*Debt_Rate</f>
        <v>1.2716825048595141E-2</v>
      </c>
      <c r="AD23" s="201">
        <f ca="1">+AC23+AB23</f>
        <v>0.18521683761522362</v>
      </c>
      <c r="AE23" s="201">
        <f ca="1">+AD23/(S23/100)</f>
        <v>8.7592747531496304E-2</v>
      </c>
      <c r="AF23" s="201">
        <f ca="1">1-AE23</f>
        <v>0.91240725246850374</v>
      </c>
      <c r="AG23" s="202">
        <f ca="1">expenses/(AF23)</f>
        <v>28635165.318948556</v>
      </c>
      <c r="AH23" s="203">
        <f ca="1">+AG23-Revenue</f>
        <v>844589.63377389312</v>
      </c>
      <c r="AI23" s="204">
        <f ca="1">+AH23/$J$49</f>
        <v>948009.67094395566</v>
      </c>
      <c r="AJ23" s="204">
        <f ca="1">+AI23*$J$47</f>
        <v>20439.311009056877</v>
      </c>
      <c r="AK23" s="202">
        <f ca="1">ROUND(+AJ23+AG23,5)</f>
        <v>28655604.629960001</v>
      </c>
    </row>
    <row r="24" spans="1:37" ht="15.75">
      <c r="A24" s="151"/>
      <c r="B24" s="253" t="s">
        <v>510</v>
      </c>
      <c r="C24" s="252"/>
      <c r="D24" s="252"/>
      <c r="E24" s="252"/>
      <c r="F24" s="205">
        <f t="shared" si="0"/>
        <v>18</v>
      </c>
      <c r="H24" s="254" t="s">
        <v>511</v>
      </c>
      <c r="K24" s="255" t="s">
        <v>512</v>
      </c>
      <c r="L24" s="255"/>
      <c r="M24" s="255"/>
      <c r="N24" s="255"/>
      <c r="O24" s="151"/>
      <c r="P24" s="151"/>
      <c r="R24" s="211">
        <v>4</v>
      </c>
      <c r="S24" s="199">
        <f ca="1">AK19/Investment*100</f>
        <v>211.29534048561075</v>
      </c>
      <c r="T24" s="218">
        <f ca="1">EXP(y_inter4-(slope*LN(S24)))</f>
        <v>7.6319155880883622</v>
      </c>
      <c r="U24" s="201">
        <f ca="1">(+S24*T24/100)/100</f>
        <v>0.16125882027425706</v>
      </c>
      <c r="V24" s="201">
        <f>regDebt_weighted</f>
        <v>3.5860000000000003E-2</v>
      </c>
      <c r="W24" s="201">
        <f ca="1">+U24-V24</f>
        <v>0.12539882027425706</v>
      </c>
      <c r="X24" s="201">
        <f ca="1">+((W24*(1-0.34))-Pfd_weighted)/Equity_percent</f>
        <v>0.22259657378200481</v>
      </c>
      <c r="Y24" s="201">
        <f>+Y23</f>
        <v>2.5000000000000001E-3</v>
      </c>
      <c r="Z24" s="201">
        <f ca="1">+X24+Y24</f>
        <v>0.22509657378200482</v>
      </c>
      <c r="AA24" s="201">
        <f ca="1">Z24*equityP</f>
        <v>0.1350579442692029</v>
      </c>
      <c r="AB24" s="201">
        <f ca="1">+AA24/(1-taxrate)</f>
        <v>0.17095942312557327</v>
      </c>
      <c r="AC24" s="201">
        <f>debtP*Debt_Rate</f>
        <v>1.2716825048595141E-2</v>
      </c>
      <c r="AD24" s="201">
        <f ca="1">+AC24+AB24</f>
        <v>0.18367624817416842</v>
      </c>
      <c r="AE24" s="201">
        <f ca="1">+AD24/(S24/100)</f>
        <v>8.6928678953370864E-2</v>
      </c>
      <c r="AF24" s="201">
        <f ca="1">1-AE24</f>
        <v>0.91307132104662914</v>
      </c>
      <c r="AG24" s="202">
        <f ca="1">expenses/(AF24)</f>
        <v>28614339.220176838</v>
      </c>
      <c r="AH24" s="203">
        <f ca="1">+AG24-Revenue</f>
        <v>823763.53500217572</v>
      </c>
      <c r="AI24" s="204">
        <f ca="1">+AH24/$J$49</f>
        <v>924633.4154772592</v>
      </c>
      <c r="AJ24" s="204">
        <f ca="1">+AI24*$J$47</f>
        <v>19935.313454648782</v>
      </c>
      <c r="AK24" s="202">
        <f ca="1">ROUND(+AJ24+AG24,5)</f>
        <v>28634274.533629999</v>
      </c>
    </row>
    <row r="25" spans="1:37" ht="15.75">
      <c r="A25" s="151"/>
      <c r="B25" s="253" t="s">
        <v>513</v>
      </c>
      <c r="C25" s="252"/>
      <c r="D25" s="252"/>
      <c r="E25" s="252"/>
      <c r="F25" s="205">
        <f t="shared" si="0"/>
        <v>19</v>
      </c>
      <c r="H25" s="256" t="s">
        <v>514</v>
      </c>
      <c r="I25" s="257" t="s">
        <v>344</v>
      </c>
      <c r="J25" s="258" t="s">
        <v>515</v>
      </c>
      <c r="K25" s="256" t="s">
        <v>516</v>
      </c>
      <c r="L25" s="258" t="s">
        <v>517</v>
      </c>
      <c r="M25" s="258" t="s">
        <v>515</v>
      </c>
      <c r="O25" s="151"/>
      <c r="P25" s="151"/>
      <c r="R25" s="170" t="s">
        <v>518</v>
      </c>
      <c r="W25" s="259"/>
      <c r="X25" s="260"/>
      <c r="Y25" s="260"/>
      <c r="Z25" s="260"/>
      <c r="AA25" s="261"/>
      <c r="AB25" s="261"/>
      <c r="AC25" s="260"/>
      <c r="AE25" s="260"/>
      <c r="AF25" s="260"/>
      <c r="AG25" s="261"/>
      <c r="AH25" s="259"/>
    </row>
    <row r="26" spans="1:37" ht="15.75">
      <c r="A26" s="151"/>
      <c r="B26" s="253" t="s">
        <v>519</v>
      </c>
      <c r="C26" s="252"/>
      <c r="D26" s="252"/>
      <c r="E26" s="252"/>
      <c r="F26" s="205">
        <f t="shared" si="0"/>
        <v>20</v>
      </c>
      <c r="H26" s="195" t="s">
        <v>479</v>
      </c>
      <c r="I26" s="262">
        <f>1-I27</f>
        <v>0.6</v>
      </c>
      <c r="J26" s="263">
        <f>+I26*J28</f>
        <v>8131231.037540094</v>
      </c>
      <c r="K26" s="222">
        <f ca="1">+K34</f>
        <v>0.226950519004358</v>
      </c>
      <c r="L26" s="262">
        <f ca="1">+K26*I26</f>
        <v>0.13617031140261479</v>
      </c>
      <c r="M26" s="196">
        <f ca="1">+J26*K26</f>
        <v>1845387.1041140687</v>
      </c>
      <c r="O26" s="1079"/>
      <c r="P26" s="151"/>
      <c r="R26" s="226">
        <v>1</v>
      </c>
      <c r="S26" s="227">
        <f ca="1">AK21/Investment*100</f>
        <v>212.06043238203804</v>
      </c>
      <c r="T26" s="228">
        <f ca="1">EXP(y_inter1-(slope*LN(+S26)))</f>
        <v>7.8480712697637074</v>
      </c>
      <c r="U26" s="229">
        <f ca="1">(+S26*T26/100)/100</f>
        <v>0.16642653868311424</v>
      </c>
      <c r="V26" s="229">
        <f>regDebt_weighted</f>
        <v>3.5860000000000003E-2</v>
      </c>
      <c r="W26" s="229">
        <f ca="1">+U26-V26</f>
        <v>0.13056653868311424</v>
      </c>
      <c r="X26" s="229">
        <f ca="1">+((W26*(1-0.34))-Pfd_weighted)/Equity_percent</f>
        <v>0.23251138235713778</v>
      </c>
      <c r="Y26" s="229">
        <f>+Y24</f>
        <v>2.5000000000000001E-3</v>
      </c>
      <c r="Z26" s="229">
        <f ca="1">+X26+Y26</f>
        <v>0.23501138235713778</v>
      </c>
      <c r="AA26" s="229">
        <f ca="1">Z26*equityP</f>
        <v>0.14100682941428266</v>
      </c>
      <c r="AB26" s="229">
        <f ca="1">+AA26/(1-taxrate)</f>
        <v>0.17848965748643375</v>
      </c>
      <c r="AC26" s="229">
        <f>debtP*Debt_Rate</f>
        <v>1.2716825048595141E-2</v>
      </c>
      <c r="AD26" s="229">
        <f ca="1">+AC26+AB26</f>
        <v>0.19120648253502889</v>
      </c>
      <c r="AE26" s="229">
        <f ca="1">+AD26/(S26/100)</f>
        <v>9.0166034458781227E-2</v>
      </c>
      <c r="AF26" s="229">
        <f ca="1">1-AE26</f>
        <v>0.90983396554121876</v>
      </c>
      <c r="AG26" s="230">
        <f ca="1">expenses/(AF26)</f>
        <v>28716154.267885037</v>
      </c>
      <c r="AH26" s="231">
        <f ca="1">+AG26-Revenue</f>
        <v>925578.58271037415</v>
      </c>
      <c r="AI26" s="232">
        <f ca="1">+AH26/$J$49</f>
        <v>1038915.7201791334</v>
      </c>
      <c r="AJ26" s="232">
        <f ca="1">+AI26*$J$47</f>
        <v>22399.266766757453</v>
      </c>
      <c r="AK26" s="230">
        <f ca="1">ROUND(+AJ26+AG26,5)</f>
        <v>28738553.534650002</v>
      </c>
    </row>
    <row r="27" spans="1:37" ht="15.75">
      <c r="A27" s="151"/>
      <c r="B27" s="253" t="s">
        <v>520</v>
      </c>
      <c r="C27" s="252"/>
      <c r="D27" s="252"/>
      <c r="E27" s="252"/>
      <c r="F27" s="205">
        <f t="shared" si="0"/>
        <v>21</v>
      </c>
      <c r="H27" s="195" t="s">
        <v>481</v>
      </c>
      <c r="I27" s="262">
        <f>IF(A64=TRUE,C8,0)</f>
        <v>0.4</v>
      </c>
      <c r="J27" s="264">
        <f>+I27*J28</f>
        <v>5420820.6916933963</v>
      </c>
      <c r="K27" s="222">
        <f>IF(A64=TRUE,C9,0)</f>
        <v>3.179206262148785E-2</v>
      </c>
      <c r="L27" s="262">
        <f>+K27*I27</f>
        <v>1.2716825048595141E-2</v>
      </c>
      <c r="M27" s="239">
        <f>+K27*J27</f>
        <v>172339.07089017355</v>
      </c>
      <c r="O27" s="1079"/>
      <c r="P27" s="151"/>
      <c r="R27" s="198">
        <v>2</v>
      </c>
      <c r="S27" s="199">
        <f ca="1">AK22/Investment*100</f>
        <v>211.69465052597357</v>
      </c>
      <c r="T27" s="214">
        <f ca="1">EXP(y_inter2-(slope*LN(+S27)))</f>
        <v>7.7455468659006099</v>
      </c>
      <c r="U27" s="201">
        <f ca="1">(+S27*T27/100)/100</f>
        <v>0.16396908369093793</v>
      </c>
      <c r="V27" s="201">
        <f>regDebt_weighted</f>
        <v>3.5860000000000003E-2</v>
      </c>
      <c r="W27" s="201">
        <f ca="1">+U27-V27</f>
        <v>0.12810908369093793</v>
      </c>
      <c r="X27" s="201">
        <f ca="1">+((W27*(1-0.34))-Pfd_weighted)/Equity_percent</f>
        <v>0.22779649777912508</v>
      </c>
      <c r="Y27" s="201">
        <f>+Y26</f>
        <v>2.5000000000000001E-3</v>
      </c>
      <c r="Z27" s="201">
        <f ca="1">+X27+Y27</f>
        <v>0.23029649777912509</v>
      </c>
      <c r="AA27" s="201">
        <f ca="1">Z27*equityP</f>
        <v>0.13817789866747504</v>
      </c>
      <c r="AB27" s="201">
        <f ca="1">+AA27/(1-taxrate)</f>
        <v>0.17490873249047473</v>
      </c>
      <c r="AC27" s="201">
        <f>debtP*Debt_Rate</f>
        <v>1.2716825048595141E-2</v>
      </c>
      <c r="AD27" s="201">
        <f ca="1">+AC27+AB27</f>
        <v>0.18762555753906987</v>
      </c>
      <c r="AE27" s="201">
        <f ca="1">+AD27/(S27/100)</f>
        <v>8.8630278126016898E-2</v>
      </c>
      <c r="AF27" s="201">
        <f ca="1">1-AE27</f>
        <v>0.91136972187398313</v>
      </c>
      <c r="AG27" s="202">
        <f ca="1">expenses/(AF27)</f>
        <v>28667764.449010145</v>
      </c>
      <c r="AH27" s="203">
        <f ca="1">+AG27-Revenue</f>
        <v>877188.7638354823</v>
      </c>
      <c r="AI27" s="204">
        <f ca="1">+AH27/$J$49</f>
        <v>984600.56589095644</v>
      </c>
      <c r="AJ27" s="204">
        <f ca="1">+AI27*$J$47</f>
        <v>21228.21929221477</v>
      </c>
      <c r="AK27" s="202">
        <f ca="1">ROUND(+AJ27+AG27,5)</f>
        <v>28688992.668299999</v>
      </c>
    </row>
    <row r="28" spans="1:37" ht="16.5" thickBot="1">
      <c r="A28" s="151"/>
      <c r="B28" s="151"/>
      <c r="C28" s="151"/>
      <c r="D28" s="151"/>
      <c r="E28" s="151"/>
      <c r="F28" s="205">
        <f t="shared" si="0"/>
        <v>22</v>
      </c>
      <c r="H28" s="195" t="s">
        <v>13</v>
      </c>
      <c r="I28" s="262">
        <f>SUM(I26:I27)</f>
        <v>1</v>
      </c>
      <c r="J28" s="265">
        <f>IF(A64=TRUE,C7,0)</f>
        <v>13552051.72923349</v>
      </c>
      <c r="K28" s="266"/>
      <c r="L28" s="267">
        <f ca="1">SUM(L26:L27)</f>
        <v>0.14888713645120993</v>
      </c>
      <c r="M28" s="265">
        <f ca="1">SUM(M26:M27)</f>
        <v>2017726.1750042422</v>
      </c>
      <c r="O28" s="1081"/>
      <c r="P28" s="151"/>
      <c r="R28" s="206">
        <v>3</v>
      </c>
      <c r="S28" s="199">
        <f ca="1">AK23/Investment*100</f>
        <v>211.4484596317341</v>
      </c>
      <c r="T28" s="200">
        <f ca="1">EXP(y_inter3-(slope*LN(S28)))</f>
        <v>7.6763457407292535</v>
      </c>
      <c r="U28" s="201">
        <f ca="1">(+S28*T28/100)/100</f>
        <v>0.16231514824778234</v>
      </c>
      <c r="V28" s="201">
        <f>regDebt_weighted</f>
        <v>3.5860000000000003E-2</v>
      </c>
      <c r="W28" s="201">
        <f ca="1">+U28-V28</f>
        <v>0.12645514824778234</v>
      </c>
      <c r="X28" s="201">
        <f ca="1">+((W28*(1-0.34))-Pfd_weighted)/Equity_percent</f>
        <v>0.22462324954516377</v>
      </c>
      <c r="Y28" s="201">
        <f>+Y27</f>
        <v>2.5000000000000001E-3</v>
      </c>
      <c r="Z28" s="201">
        <f ca="1">+X28+Y28</f>
        <v>0.22712324954516377</v>
      </c>
      <c r="AA28" s="201">
        <f ca="1">Z28*equityP</f>
        <v>0.13627394972709825</v>
      </c>
      <c r="AB28" s="201">
        <f ca="1">+AA28/(1-taxrate)</f>
        <v>0.1724986705406307</v>
      </c>
      <c r="AC28" s="201">
        <f>debtP*Debt_Rate</f>
        <v>1.2716825048595141E-2</v>
      </c>
      <c r="AD28" s="201">
        <f ca="1">+AC28+AB28</f>
        <v>0.18521549558922584</v>
      </c>
      <c r="AE28" s="201">
        <f ca="1">+AD28/(S28/100)</f>
        <v>8.7593684017279447E-2</v>
      </c>
      <c r="AF28" s="201">
        <f ca="1">1-AE28</f>
        <v>0.91240631598272059</v>
      </c>
      <c r="AG28" s="202">
        <f ca="1">expenses/(AF28)</f>
        <v>28635194.709829293</v>
      </c>
      <c r="AH28" s="203">
        <f ca="1">+AG28-Revenue</f>
        <v>844619.02465463057</v>
      </c>
      <c r="AI28" s="204">
        <f ca="1">+AH28/$J$49</f>
        <v>948042.66073931009</v>
      </c>
      <c r="AJ28" s="204">
        <f ca="1">+AI28*$J$47</f>
        <v>20440.022276787618</v>
      </c>
      <c r="AK28" s="202">
        <f ca="1">ROUND(+AJ28+AG28,5)</f>
        <v>28655634.732110001</v>
      </c>
    </row>
    <row r="29" spans="1:37" ht="16.5" thickTop="1">
      <c r="A29" s="151"/>
      <c r="B29" s="151"/>
      <c r="C29" s="151"/>
      <c r="D29" s="151"/>
      <c r="E29" s="151"/>
      <c r="F29" s="205">
        <f t="shared" si="0"/>
        <v>23</v>
      </c>
      <c r="G29" s="167"/>
      <c r="H29" s="167"/>
      <c r="I29" s="167"/>
      <c r="J29" s="167"/>
      <c r="K29" s="167"/>
      <c r="L29" s="167"/>
      <c r="M29" s="167"/>
      <c r="N29" s="167"/>
      <c r="O29" s="1080"/>
      <c r="P29" s="151"/>
      <c r="R29" s="211">
        <v>4</v>
      </c>
      <c r="S29" s="199">
        <f ca="1">AK24/Investment*100</f>
        <v>211.29106577908234</v>
      </c>
      <c r="T29" s="218">
        <f ca="1">EXP(y_inter4-(slope*LN(S29)))</f>
        <v>7.6320211491774863</v>
      </c>
      <c r="U29" s="201">
        <f ca="1">(+S29*T29/100)/100</f>
        <v>0.16125778826582077</v>
      </c>
      <c r="V29" s="201">
        <f>regDebt_weighted</f>
        <v>3.5860000000000003E-2</v>
      </c>
      <c r="W29" s="201">
        <f ca="1">+U29-V29</f>
        <v>0.12539778826582076</v>
      </c>
      <c r="X29" s="201">
        <f ca="1">+((W29*(1-0.34))-Pfd_weighted)/Equity_percent</f>
        <v>0.22259459376581889</v>
      </c>
      <c r="Y29" s="201">
        <f>+Y28</f>
        <v>2.5000000000000001E-3</v>
      </c>
      <c r="Z29" s="201">
        <f ca="1">+X29+Y29</f>
        <v>0.22509459376581889</v>
      </c>
      <c r="AA29" s="201">
        <f ca="1">Z29*equityP</f>
        <v>0.13505675625949132</v>
      </c>
      <c r="AB29" s="201">
        <f ca="1">+AA29/(1-taxrate)</f>
        <v>0.17095791931581178</v>
      </c>
      <c r="AC29" s="201">
        <f>debtP*Debt_Rate</f>
        <v>1.2716825048595141E-2</v>
      </c>
      <c r="AD29" s="201">
        <f ca="1">+AC29+AB29</f>
        <v>0.18367474436440692</v>
      </c>
      <c r="AE29" s="201">
        <f ca="1">+AD29/(S29/100)</f>
        <v>8.692972591489033E-2</v>
      </c>
      <c r="AF29" s="201">
        <f ca="1">1-AE29</f>
        <v>0.91307027408510966</v>
      </c>
      <c r="AG29" s="202">
        <f ca="1">expenses/(AF29)</f>
        <v>28614372.030479524</v>
      </c>
      <c r="AH29" s="203">
        <f ca="1">+AG29-Revenue</f>
        <v>823796.34530486166</v>
      </c>
      <c r="AI29" s="204">
        <f ca="1">+AH29/$J$49</f>
        <v>924670.24340292765</v>
      </c>
      <c r="AJ29" s="204">
        <f ca="1">+AI29*$J$47</f>
        <v>19936.107473369928</v>
      </c>
      <c r="AK29" s="202">
        <f ca="1">ROUND(+AJ29+AG29,5)</f>
        <v>28634308.137949999</v>
      </c>
    </row>
    <row r="30" spans="1:37" ht="15.75">
      <c r="A30" s="151"/>
      <c r="B30" s="151"/>
      <c r="C30" s="151"/>
      <c r="D30" s="209"/>
      <c r="E30" s="151"/>
      <c r="F30" s="205">
        <f t="shared" si="0"/>
        <v>24</v>
      </c>
      <c r="G30" s="167"/>
      <c r="H30" s="167"/>
      <c r="I30" s="167"/>
      <c r="J30" s="268" t="s">
        <v>521</v>
      </c>
      <c r="K30" s="268" t="s">
        <v>522</v>
      </c>
      <c r="L30" s="167"/>
      <c r="M30" s="167"/>
      <c r="N30" s="167"/>
      <c r="O30" s="151"/>
      <c r="P30" s="151"/>
      <c r="R30" s="170" t="s">
        <v>523</v>
      </c>
      <c r="W30" s="259"/>
      <c r="X30" s="260"/>
      <c r="Z30" s="260"/>
      <c r="AA30" s="261"/>
      <c r="AB30" s="261"/>
      <c r="AC30" s="260"/>
      <c r="AE30" s="260"/>
      <c r="AF30" s="260"/>
      <c r="AG30" s="261"/>
      <c r="AH30" s="259"/>
      <c r="AJ30" s="261"/>
    </row>
    <row r="31" spans="1:37" ht="15.75">
      <c r="A31" s="151"/>
      <c r="B31" s="151"/>
      <c r="C31" s="151"/>
      <c r="D31" s="209"/>
      <c r="E31" s="151"/>
      <c r="F31" s="205">
        <f t="shared" si="0"/>
        <v>25</v>
      </c>
      <c r="G31" s="167"/>
      <c r="H31" s="269" t="s">
        <v>524</v>
      </c>
      <c r="I31" s="270"/>
      <c r="J31" s="271" t="s">
        <v>525</v>
      </c>
      <c r="K31" s="271" t="s">
        <v>525</v>
      </c>
      <c r="L31" s="1277"/>
      <c r="M31" s="1277"/>
      <c r="N31" s="1277"/>
      <c r="O31" s="151"/>
      <c r="P31" s="151"/>
      <c r="R31" s="226">
        <v>1</v>
      </c>
      <c r="S31" s="227">
        <f ca="1">AK26/Investment*100</f>
        <v>212.06053598996607</v>
      </c>
      <c r="T31" s="228">
        <f ca="1">EXP(y_inter1-(slope*LN(+S31)))</f>
        <v>7.8480686483073709</v>
      </c>
      <c r="U31" s="229">
        <f ca="1">(+S31*T31/100)/100</f>
        <v>0.16642656440461095</v>
      </c>
      <c r="V31" s="229">
        <f>regDebt_weighted</f>
        <v>3.5860000000000003E-2</v>
      </c>
      <c r="W31" s="229">
        <f ca="1">+U31-V31</f>
        <v>0.13056656440461095</v>
      </c>
      <c r="X31" s="229">
        <f ca="1">+((W31*(1-0.34))-Pfd_weighted)/Equity_percent</f>
        <v>0.232511431706521</v>
      </c>
      <c r="Y31" s="229">
        <f>+Y29</f>
        <v>2.5000000000000001E-3</v>
      </c>
      <c r="Z31" s="229">
        <f ca="1">+X31+Y31</f>
        <v>0.235011431706521</v>
      </c>
      <c r="AA31" s="229">
        <f ca="1">Z31*equityP</f>
        <v>0.14100685902391261</v>
      </c>
      <c r="AB31" s="229">
        <f ca="1">+AA31/(1-taxrate)</f>
        <v>0.17848969496697797</v>
      </c>
      <c r="AC31" s="229">
        <f>debtP*Debt_Rate</f>
        <v>1.2716825048595141E-2</v>
      </c>
      <c r="AD31" s="229">
        <f ca="1">+AC31+AB31</f>
        <v>0.19120652001557312</v>
      </c>
      <c r="AE31" s="229">
        <f ca="1">+AD31/(S31/100)</f>
        <v>9.0166008080174012E-2</v>
      </c>
      <c r="AF31" s="229">
        <f ca="1">1-AE31</f>
        <v>0.90983399191982595</v>
      </c>
      <c r="AG31" s="230">
        <f ca="1">expenses/(AF31)</f>
        <v>28716153.435324196</v>
      </c>
      <c r="AH31" s="231">
        <f ca="1">+AG31-Revenue</f>
        <v>925577.75014953315</v>
      </c>
      <c r="AI31" s="232">
        <f ca="1">+AH31/$J$49</f>
        <v>1038914.7856711814</v>
      </c>
      <c r="AJ31" s="232">
        <f ca="1">+AI31*$J$47</f>
        <v>22399.246618546673</v>
      </c>
      <c r="AK31" s="230">
        <f ca="1">ROUND(+AJ31+AG31,5)</f>
        <v>28738552.681940001</v>
      </c>
    </row>
    <row r="32" spans="1:37" ht="15.75">
      <c r="A32" s="151"/>
      <c r="B32" s="151"/>
      <c r="C32" s="151"/>
      <c r="D32" s="272"/>
      <c r="E32" s="151"/>
      <c r="F32" s="205">
        <f t="shared" si="0"/>
        <v>26</v>
      </c>
      <c r="G32" s="167"/>
      <c r="H32" s="178"/>
      <c r="I32" s="178"/>
      <c r="J32" s="178"/>
      <c r="K32" s="178"/>
      <c r="L32" s="167"/>
      <c r="M32" s="167"/>
      <c r="N32" s="167"/>
      <c r="O32" s="151"/>
      <c r="P32" s="151"/>
      <c r="R32" s="198">
        <v>2</v>
      </c>
      <c r="S32" s="199">
        <f ca="1">AK27/Investment*100</f>
        <v>211.69482851378299</v>
      </c>
      <c r="T32" s="214">
        <f ca="1">EXP(y_inter2-(slope*LN(+S32)))</f>
        <v>7.745542413659491</v>
      </c>
      <c r="U32" s="201">
        <f ca="1">(+S32*T32/100)/100</f>
        <v>0.16396912730058788</v>
      </c>
      <c r="V32" s="201">
        <f>regDebt_weighted</f>
        <v>3.5860000000000003E-2</v>
      </c>
      <c r="W32" s="201">
        <f ca="1">+U32-V32</f>
        <v>0.12810912730058788</v>
      </c>
      <c r="X32" s="201">
        <f ca="1">+((W32*(1-0.34))-Pfd_weighted)/Equity_percent</f>
        <v>0.2277965814488023</v>
      </c>
      <c r="Y32" s="201">
        <f>+Y31</f>
        <v>2.5000000000000001E-3</v>
      </c>
      <c r="Z32" s="201">
        <f ca="1">+X32+Y32</f>
        <v>0.2302965814488023</v>
      </c>
      <c r="AA32" s="201">
        <f ca="1">Z32*equityP</f>
        <v>0.13817794886928136</v>
      </c>
      <c r="AB32" s="201">
        <f ca="1">+AA32/(1-taxrate)</f>
        <v>0.17490879603706502</v>
      </c>
      <c r="AC32" s="201">
        <f>debtP*Debt_Rate</f>
        <v>1.2716825048595141E-2</v>
      </c>
      <c r="AD32" s="201">
        <f ca="1">+AC32+AB32</f>
        <v>0.18762562108566017</v>
      </c>
      <c r="AE32" s="201">
        <f ca="1">+AD32/(S32/100)</f>
        <v>8.8630233625874452E-2</v>
      </c>
      <c r="AF32" s="201">
        <f ca="1">1-AE32</f>
        <v>0.91136976637412559</v>
      </c>
      <c r="AG32" s="202">
        <f ca="1">expenses/(AF32)</f>
        <v>28667763.049227476</v>
      </c>
      <c r="AH32" s="203">
        <f ca="1">+AG32-Revenue</f>
        <v>877187.3640528135</v>
      </c>
      <c r="AI32" s="204">
        <f ca="1">+AH32/$J$49</f>
        <v>984598.99470483942</v>
      </c>
      <c r="AJ32" s="204">
        <f ca="1">+AI32*$J$47</f>
        <v>21228.18541707332</v>
      </c>
      <c r="AK32" s="202">
        <f ca="1">ROUND(+AJ32+AG32,5)</f>
        <v>28688991.234639999</v>
      </c>
    </row>
    <row r="33" spans="1:48" ht="15.75">
      <c r="A33" s="151"/>
      <c r="B33" s="151"/>
      <c r="C33" s="151"/>
      <c r="D33" s="151"/>
      <c r="E33" s="151"/>
      <c r="F33" s="205">
        <f t="shared" si="0"/>
        <v>27</v>
      </c>
      <c r="G33" s="167"/>
      <c r="H33" s="178" t="s">
        <v>526</v>
      </c>
      <c r="I33" s="178"/>
      <c r="J33" s="273">
        <f ca="1">+K9/J28</f>
        <v>0.18508430783671512</v>
      </c>
      <c r="K33" s="273">
        <f ca="1">+(M14+M11)/J28</f>
        <v>0.14888713645120993</v>
      </c>
      <c r="L33" s="195"/>
      <c r="M33" s="195"/>
      <c r="N33" s="196"/>
      <c r="O33" s="151"/>
      <c r="P33" s="151"/>
      <c r="R33" s="206">
        <v>3</v>
      </c>
      <c r="S33" s="199">
        <f ca="1">AK28/Investment*100</f>
        <v>211.4486817541891</v>
      </c>
      <c r="T33" s="200">
        <f ca="1">EXP(y_inter3-(slope*LN(S33)))</f>
        <v>7.6763402277214787</v>
      </c>
      <c r="U33" s="201">
        <f ca="1">(+S33*T33/100)/100</f>
        <v>0.16231520218483586</v>
      </c>
      <c r="V33" s="201">
        <f>regDebt_weighted</f>
        <v>3.5860000000000003E-2</v>
      </c>
      <c r="W33" s="201">
        <f ca="1">+U33-V33</f>
        <v>0.12645520218483586</v>
      </c>
      <c r="X33" s="201">
        <f ca="1">+((W33*(1-0.34))-Pfd_weighted)/Equity_percent</f>
        <v>0.22462335302904551</v>
      </c>
      <c r="Y33" s="201">
        <f>+Y32</f>
        <v>2.5000000000000001E-3</v>
      </c>
      <c r="Z33" s="201">
        <f ca="1">+X33+Y33</f>
        <v>0.22712335302904552</v>
      </c>
      <c r="AA33" s="201">
        <f ca="1">Z33*equityP</f>
        <v>0.13627401181742729</v>
      </c>
      <c r="AB33" s="201">
        <f ca="1">+AA33/(1-taxrate)</f>
        <v>0.1724987491359839</v>
      </c>
      <c r="AC33" s="201">
        <f>debtP*Debt_Rate</f>
        <v>1.2716825048595141E-2</v>
      </c>
      <c r="AD33" s="201">
        <f ca="1">+AC33+AB33</f>
        <v>0.18521557418457904</v>
      </c>
      <c r="AE33" s="201">
        <f ca="1">+AD33/(S33/100)</f>
        <v>8.7593629171873355E-2</v>
      </c>
      <c r="AF33" s="201">
        <f ca="1">1-AE33</f>
        <v>0.9124063708281267</v>
      </c>
      <c r="AG33" s="202">
        <f ca="1">expenses/(AF33)</f>
        <v>28635192.988547053</v>
      </c>
      <c r="AH33" s="203">
        <f ca="1">+AG33-Revenue</f>
        <v>844617.30337239057</v>
      </c>
      <c r="AI33" s="204">
        <f ca="1">+AH33/$J$49</f>
        <v>948040.72868598544</v>
      </c>
      <c r="AJ33" s="204">
        <f ca="1">+AI33*$J$47</f>
        <v>20439.980621264476</v>
      </c>
      <c r="AK33" s="202">
        <f ca="1">ROUND(+AJ33+AG33,5)</f>
        <v>28655632.96917</v>
      </c>
    </row>
    <row r="34" spans="1:48" ht="15.75">
      <c r="A34" s="151"/>
      <c r="B34" s="151"/>
      <c r="C34" s="151"/>
      <c r="D34" s="151"/>
      <c r="E34" s="151"/>
      <c r="F34" s="205">
        <f t="shared" si="0"/>
        <v>28</v>
      </c>
      <c r="G34" s="167"/>
      <c r="H34" s="178" t="s">
        <v>527</v>
      </c>
      <c r="I34" s="178"/>
      <c r="J34" s="273">
        <f ca="1">+(M9-M11)/J26</f>
        <v>0.28727913798019999</v>
      </c>
      <c r="K34" s="273">
        <f ca="1">+M14/J26</f>
        <v>0.226950519004358</v>
      </c>
      <c r="L34" s="195"/>
      <c r="M34" s="195"/>
      <c r="N34" s="196"/>
      <c r="O34" s="274"/>
      <c r="P34" s="151"/>
      <c r="R34" s="211">
        <v>4</v>
      </c>
      <c r="S34" s="199">
        <f ca="1">AK29/Investment*100</f>
        <v>211.29131374389735</v>
      </c>
      <c r="T34" s="218">
        <f ca="1">EXP(y_inter4-(slope*LN(S34)))</f>
        <v>7.6320150257498955</v>
      </c>
      <c r="U34" s="201">
        <f ca="1">(+S34*T34/100)/100</f>
        <v>0.16125784813038599</v>
      </c>
      <c r="V34" s="201">
        <f>regDebt_weighted</f>
        <v>3.5860000000000003E-2</v>
      </c>
      <c r="W34" s="201">
        <f ca="1">+U34-V34</f>
        <v>0.12539784813038599</v>
      </c>
      <c r="X34" s="201">
        <f ca="1">+((W34*(1-0.34))-Pfd_weighted)/Equity_percent</f>
        <v>0.22259470862225217</v>
      </c>
      <c r="Y34" s="201">
        <f>+Y33</f>
        <v>2.5000000000000001E-3</v>
      </c>
      <c r="Z34" s="201">
        <f ca="1">+X34+Y34</f>
        <v>0.22509470862225217</v>
      </c>
      <c r="AA34" s="201">
        <f ca="1">Z34*equityP</f>
        <v>0.1350568251733513</v>
      </c>
      <c r="AB34" s="201">
        <f ca="1">+AA34/(1-taxrate)</f>
        <v>0.17095800654854593</v>
      </c>
      <c r="AC34" s="201">
        <f>debtP*Debt_Rate</f>
        <v>1.2716825048595141E-2</v>
      </c>
      <c r="AD34" s="201">
        <f ca="1">+AC34+AB34</f>
        <v>0.18367483159714107</v>
      </c>
      <c r="AE34" s="201">
        <f ca="1">+AD34/(S34/100)</f>
        <v>8.6929665182436347E-2</v>
      </c>
      <c r="AF34" s="201">
        <f ca="1">1-AE34</f>
        <v>0.91307033481756361</v>
      </c>
      <c r="AG34" s="202">
        <f ca="1">expenses/(AF34)</f>
        <v>28614370.127207711</v>
      </c>
      <c r="AH34" s="203">
        <f ca="1">+AG34-Revenue</f>
        <v>823794.44203304872</v>
      </c>
      <c r="AI34" s="204">
        <f ca="1">+AH34/$J$49</f>
        <v>924668.1070753989</v>
      </c>
      <c r="AJ34" s="204">
        <f ca="1">+AI34*$J$47</f>
        <v>19936.061413646999</v>
      </c>
      <c r="AK34" s="202">
        <f ca="1">ROUND(+AJ34+AG34,5)</f>
        <v>28634306.188620001</v>
      </c>
    </row>
    <row r="35" spans="1:48" ht="15.75">
      <c r="A35" s="151"/>
      <c r="B35" s="151"/>
      <c r="C35" s="209"/>
      <c r="D35" s="151"/>
      <c r="E35" s="151"/>
      <c r="F35" s="205">
        <f t="shared" si="0"/>
        <v>29</v>
      </c>
      <c r="G35" s="167"/>
      <c r="H35" s="275" t="s">
        <v>172</v>
      </c>
      <c r="I35" s="178"/>
      <c r="J35" s="273">
        <f ca="1">+K8/K7</f>
        <v>0.91240600000000005</v>
      </c>
      <c r="K35" s="273">
        <f ca="1">+M8/M7</f>
        <v>0.9124684813833388</v>
      </c>
      <c r="L35" s="195"/>
      <c r="M35" s="195"/>
      <c r="N35" s="196"/>
      <c r="O35" s="151"/>
      <c r="P35" s="151"/>
      <c r="R35" s="170" t="s">
        <v>528</v>
      </c>
      <c r="X35" s="260"/>
      <c r="Y35" s="260"/>
      <c r="Z35" s="260"/>
      <c r="AA35" s="276"/>
      <c r="AB35" s="261"/>
      <c r="AC35" s="260"/>
      <c r="AE35" s="260"/>
      <c r="AF35" s="260"/>
      <c r="AG35" s="261"/>
      <c r="AH35" s="259"/>
      <c r="AJ35" s="261"/>
    </row>
    <row r="36" spans="1:48" ht="15.75">
      <c r="A36" s="151"/>
      <c r="B36" s="151"/>
      <c r="C36" s="151"/>
      <c r="D36" s="151"/>
      <c r="E36" s="151"/>
      <c r="F36" s="205">
        <f t="shared" si="0"/>
        <v>30</v>
      </c>
      <c r="G36" s="167"/>
      <c r="H36" s="178" t="s">
        <v>529</v>
      </c>
      <c r="I36" s="178"/>
      <c r="J36" s="273">
        <f ca="1">+K9/K7</f>
        <v>8.7593999999999908E-2</v>
      </c>
      <c r="K36" s="273">
        <f ca="1">+J36</f>
        <v>8.7593999999999908E-2</v>
      </c>
      <c r="L36" s="167"/>
      <c r="M36" s="167"/>
      <c r="N36" s="196"/>
      <c r="O36" s="151"/>
      <c r="P36" s="151"/>
      <c r="R36" s="226">
        <v>1</v>
      </c>
      <c r="S36" s="227">
        <f ca="1">AK31/Investment*100</f>
        <v>212.06052969785608</v>
      </c>
      <c r="T36" s="228">
        <f ca="1">EXP(y_inter1-(slope*LN(+S36)))</f>
        <v>7.8480688075083611</v>
      </c>
      <c r="U36" s="229">
        <f ca="1">(+S36*T36/100)/100</f>
        <v>0.16642656284254445</v>
      </c>
      <c r="V36" s="229">
        <f>regDebt_weighted</f>
        <v>3.5860000000000003E-2</v>
      </c>
      <c r="W36" s="229">
        <f ca="1">+U36-V36</f>
        <v>0.13056656284254445</v>
      </c>
      <c r="X36" s="229">
        <f ca="1">+((W36*(1-0.34))-Pfd_weighted)/Equity_percent</f>
        <v>0.23251142870953292</v>
      </c>
      <c r="Y36" s="229">
        <f>+Y34</f>
        <v>2.5000000000000001E-3</v>
      </c>
      <c r="Z36" s="229">
        <f ca="1">+X36+Y36</f>
        <v>0.23501142870953293</v>
      </c>
      <c r="AA36" s="229">
        <f ca="1">Z36*equityP</f>
        <v>0.14100685722571976</v>
      </c>
      <c r="AB36" s="229">
        <f ca="1">+AA36/(1-taxrate)</f>
        <v>0.17848969269078449</v>
      </c>
      <c r="AC36" s="229">
        <f>debtP*Debt_Rate</f>
        <v>1.2716825048595141E-2</v>
      </c>
      <c r="AD36" s="229">
        <f ca="1">+AC36+AB36</f>
        <v>0.19120651773937963</v>
      </c>
      <c r="AE36" s="229">
        <f ca="1">+AD36/(S36/100)</f>
        <v>9.0166009682146303E-2</v>
      </c>
      <c r="AF36" s="229">
        <f ca="1">1-AE36</f>
        <v>0.90983399031785372</v>
      </c>
      <c r="AG36" s="230">
        <f ca="1">expenses/(AF36)</f>
        <v>28716153.485885594</v>
      </c>
      <c r="AH36" s="231">
        <f ca="1">+AG36-Revenue</f>
        <v>925577.80071093142</v>
      </c>
      <c r="AI36" s="232">
        <f ca="1">+AH36/$J$49</f>
        <v>1038914.8424238251</v>
      </c>
      <c r="AJ36" s="232">
        <f ca="1">+AI36*$J$47</f>
        <v>22399.24784214699</v>
      </c>
      <c r="AK36" s="230">
        <f ca="1">ROUND(+AJ36+AG36,5)</f>
        <v>28738552.73373</v>
      </c>
    </row>
    <row r="37" spans="1:48" ht="15.75">
      <c r="A37" s="151"/>
      <c r="B37" s="151"/>
      <c r="C37" s="151"/>
      <c r="D37" s="181"/>
      <c r="E37" s="151"/>
      <c r="F37" s="205">
        <f t="shared" si="0"/>
        <v>31</v>
      </c>
      <c r="G37" s="167"/>
      <c r="H37" s="178" t="s">
        <v>530</v>
      </c>
      <c r="I37" s="277"/>
      <c r="J37" s="278">
        <f ca="1">+S39/100</f>
        <v>2.1129129935987612</v>
      </c>
      <c r="K37" s="278">
        <f ca="1">+J37</f>
        <v>2.1129129935987612</v>
      </c>
      <c r="L37" s="167"/>
      <c r="M37" s="167"/>
      <c r="N37" s="167"/>
      <c r="O37" s="151"/>
      <c r="P37" s="151"/>
      <c r="R37" s="198">
        <v>2</v>
      </c>
      <c r="S37" s="199">
        <f ca="1">AK32/Investment*100</f>
        <v>211.69481793486824</v>
      </c>
      <c r="T37" s="214">
        <f ca="1">EXP(y_inter2-(slope*LN(+S37)))</f>
        <v>7.7455426782835008</v>
      </c>
      <c r="U37" s="201">
        <f ca="1">(+S37*T37/100)/100</f>
        <v>0.16396912470859776</v>
      </c>
      <c r="V37" s="201">
        <f>regDebt_weighted</f>
        <v>3.5860000000000003E-2</v>
      </c>
      <c r="W37" s="201">
        <f ca="1">+U37-V37</f>
        <v>0.12810912470859775</v>
      </c>
      <c r="X37" s="201">
        <f ca="1">+((W37*(1-0.34))-Pfd_weighted)/Equity_percent</f>
        <v>0.22779657647579798</v>
      </c>
      <c r="Y37" s="201">
        <f>+Y36</f>
        <v>2.5000000000000001E-3</v>
      </c>
      <c r="Z37" s="201">
        <f ca="1">+X37+Y37</f>
        <v>0.23029657647579799</v>
      </c>
      <c r="AA37" s="201">
        <f ca="1">Z37*equityP</f>
        <v>0.1381779458854788</v>
      </c>
      <c r="AB37" s="201">
        <f ca="1">+AA37/(1-taxrate)</f>
        <v>0.17490879226009973</v>
      </c>
      <c r="AC37" s="201">
        <f>debtP*Debt_Rate</f>
        <v>1.2716825048595141E-2</v>
      </c>
      <c r="AD37" s="201">
        <f ca="1">+AC37+AB37</f>
        <v>0.18762561730869487</v>
      </c>
      <c r="AE37" s="201">
        <f ca="1">+AD37/(S37/100)</f>
        <v>8.8630236270791141E-2</v>
      </c>
      <c r="AF37" s="201">
        <f ca="1">1-AE37</f>
        <v>0.91136976372920886</v>
      </c>
      <c r="AG37" s="202">
        <f ca="1">expenses/(AF37)</f>
        <v>28667763.132425152</v>
      </c>
      <c r="AH37" s="203">
        <f ca="1">+AG37-Revenue</f>
        <v>877187.44725048915</v>
      </c>
      <c r="AI37" s="204">
        <f ca="1">+AH37/$J$49</f>
        <v>984599.08809007402</v>
      </c>
      <c r="AJ37" s="204">
        <f ca="1">+AI37*$J$47</f>
        <v>21228.187430480899</v>
      </c>
      <c r="AK37" s="202">
        <f ca="1">ROUND(+AJ37+AG37,5)</f>
        <v>28688991.31986</v>
      </c>
    </row>
    <row r="38" spans="1:48" ht="15.75">
      <c r="A38" s="151"/>
      <c r="B38" s="151"/>
      <c r="C38" s="151"/>
      <c r="D38" s="181"/>
      <c r="E38" s="151"/>
      <c r="F38" s="205">
        <f t="shared" si="0"/>
        <v>32</v>
      </c>
      <c r="G38" s="167"/>
      <c r="H38" s="178" t="s">
        <v>362</v>
      </c>
      <c r="I38" s="167"/>
      <c r="J38" s="273">
        <f>+C10</f>
        <v>0.21</v>
      </c>
      <c r="K38" s="273">
        <f>+J38</f>
        <v>0.21</v>
      </c>
      <c r="L38" s="167"/>
      <c r="M38" s="167"/>
      <c r="N38" s="167"/>
      <c r="O38" s="151"/>
      <c r="P38" s="151"/>
      <c r="Q38" s="279"/>
      <c r="R38" s="206">
        <v>3</v>
      </c>
      <c r="S38" s="199">
        <f ca="1">AK33/Investment*100</f>
        <v>211.44866874553151</v>
      </c>
      <c r="T38" s="200">
        <f ca="1">EXP(y_inter3-(slope*LN(S38)))</f>
        <v>7.6763405505918971</v>
      </c>
      <c r="U38" s="201">
        <f ca="1">(+S38*T38/100)/100</f>
        <v>0.1623151990259997</v>
      </c>
      <c r="V38" s="201">
        <f>regDebt_weighted</f>
        <v>3.5860000000000003E-2</v>
      </c>
      <c r="W38" s="201">
        <f ca="1">+U38-V38</f>
        <v>0.12645519902599969</v>
      </c>
      <c r="X38" s="201">
        <f ca="1">+((W38*(1-0.34))-Pfd_weighted)/Equity_percent</f>
        <v>0.22462334696848776</v>
      </c>
      <c r="Y38" s="201">
        <f>+Y37</f>
        <v>2.5000000000000001E-3</v>
      </c>
      <c r="Z38" s="201">
        <f ca="1">+X38+Y38</f>
        <v>0.22712334696848777</v>
      </c>
      <c r="AA38" s="201">
        <f ca="1">Z38*equityP</f>
        <v>0.13627400818109264</v>
      </c>
      <c r="AB38" s="201">
        <f ca="1">+AA38/(1-taxrate)</f>
        <v>0.17249874453302866</v>
      </c>
      <c r="AC38" s="201">
        <f>debtP*Debt_Rate</f>
        <v>1.2716825048595141E-2</v>
      </c>
      <c r="AD38" s="201">
        <f ca="1">+AC38+AB38</f>
        <v>0.1852155695816238</v>
      </c>
      <c r="AE38" s="201">
        <f ca="1">+AD38/(S38/100)</f>
        <v>8.7593632383905898E-2</v>
      </c>
      <c r="AF38" s="201">
        <f ca="1">1-AE38</f>
        <v>0.91240636761609406</v>
      </c>
      <c r="AG38" s="202">
        <f ca="1">expenses/(AF38)</f>
        <v>28635193.089354303</v>
      </c>
      <c r="AH38" s="203">
        <f ca="1">+AG38-Revenue</f>
        <v>844617.40417964011</v>
      </c>
      <c r="AI38" s="204">
        <f ca="1">+AH38/$J$49</f>
        <v>948040.84183708706</v>
      </c>
      <c r="AJ38" s="204">
        <f ca="1">+AI38*$J$47</f>
        <v>20439.983060828785</v>
      </c>
      <c r="AK38" s="202">
        <f ca="1">ROUND(+AJ38+AG38,5)</f>
        <v>28655633.072420001</v>
      </c>
    </row>
    <row r="39" spans="1:48" ht="15.75">
      <c r="A39" s="151"/>
      <c r="B39" s="151"/>
      <c r="C39" s="151"/>
      <c r="D39" s="272"/>
      <c r="E39" s="151"/>
      <c r="F39" s="205">
        <f t="shared" si="0"/>
        <v>33</v>
      </c>
      <c r="G39" s="167"/>
      <c r="H39" s="167"/>
      <c r="I39" s="167"/>
      <c r="J39" s="167"/>
      <c r="K39" s="167"/>
      <c r="L39" s="167"/>
      <c r="M39" s="167"/>
      <c r="N39" s="167"/>
      <c r="O39" s="151"/>
      <c r="P39" s="151"/>
      <c r="R39" s="211">
        <v>4</v>
      </c>
      <c r="S39" s="199">
        <f ca="1">AK34/Investment*100</f>
        <v>211.29129935987612</v>
      </c>
      <c r="T39" s="218">
        <f ca="1">EXP(y_inter4-(slope*LN(S39)))</f>
        <v>7.6320153809592863</v>
      </c>
      <c r="U39" s="201">
        <f ca="1">(+S39*T39/100)/100</f>
        <v>0.16125784465774476</v>
      </c>
      <c r="V39" s="201">
        <f>regDebt_weighted</f>
        <v>3.5860000000000003E-2</v>
      </c>
      <c r="W39" s="201">
        <f ca="1">+U39-V39</f>
        <v>0.12539784465774476</v>
      </c>
      <c r="X39" s="201">
        <f ca="1">+((W39*(1-0.34))-Pfd_weighted)/Equity_percent</f>
        <v>0.22259470195962655</v>
      </c>
      <c r="Y39" s="201">
        <f>+Y38</f>
        <v>2.5000000000000001E-3</v>
      </c>
      <c r="Z39" s="201">
        <f ca="1">+X39+Y39</f>
        <v>0.22509470195962655</v>
      </c>
      <c r="AA39" s="201">
        <f ca="1">Z39*equityP</f>
        <v>0.13505682117577592</v>
      </c>
      <c r="AB39" s="201">
        <f ca="1">+AA39/(1-taxrate)</f>
        <v>0.17095800148832394</v>
      </c>
      <c r="AC39" s="201">
        <f>debtP*Debt_Rate</f>
        <v>1.2716825048595141E-2</v>
      </c>
      <c r="AD39" s="201">
        <f ca="1">+AC39+AB39</f>
        <v>0.18367482653691908</v>
      </c>
      <c r="AE39" s="201">
        <f ca="1">+AD39/(S39/100)</f>
        <v>8.6929668705420737E-2</v>
      </c>
      <c r="AF39" s="201">
        <f ca="1">1-AE39</f>
        <v>0.91307033129457926</v>
      </c>
      <c r="AG39" s="202">
        <f ca="1">expenses/(AF39)</f>
        <v>28614370.237613205</v>
      </c>
      <c r="AH39" s="203">
        <f ca="1">+AG39-Revenue</f>
        <v>823794.55243854225</v>
      </c>
      <c r="AI39" s="204">
        <f ca="1">+AH39/$J$49</f>
        <v>924668.23100004985</v>
      </c>
      <c r="AJ39" s="204">
        <f ca="1">+AI39*$J$47</f>
        <v>19936.064085491562</v>
      </c>
      <c r="AK39" s="202">
        <f ca="1">ROUND(+AJ39+AG39,5)</f>
        <v>28634306.3017</v>
      </c>
    </row>
    <row r="40" spans="1:48" ht="15.75">
      <c r="A40" s="151"/>
      <c r="B40" s="151"/>
      <c r="C40" s="151"/>
      <c r="D40" s="151"/>
      <c r="E40" s="151"/>
      <c r="F40" s="205">
        <f t="shared" si="0"/>
        <v>34</v>
      </c>
      <c r="G40" s="277"/>
      <c r="H40" s="167"/>
      <c r="I40" s="167"/>
      <c r="J40" s="167"/>
      <c r="K40" s="167"/>
      <c r="L40" s="167"/>
      <c r="M40" s="167"/>
      <c r="N40" s="167"/>
      <c r="O40" s="151"/>
      <c r="P40" s="151"/>
      <c r="X40" s="260"/>
      <c r="Y40" s="260"/>
      <c r="Z40" s="260"/>
      <c r="AA40" s="276"/>
      <c r="AB40" s="261"/>
      <c r="AC40" s="260"/>
      <c r="AE40" s="260"/>
      <c r="AF40" s="260"/>
      <c r="AG40" s="261"/>
      <c r="AH40" s="259"/>
      <c r="AJ40" s="261"/>
    </row>
    <row r="41" spans="1:48" ht="15.75">
      <c r="A41" s="151"/>
      <c r="B41" s="151"/>
      <c r="C41" s="151"/>
      <c r="D41" s="151"/>
      <c r="E41" s="151"/>
      <c r="F41" s="205">
        <f t="shared" si="0"/>
        <v>35</v>
      </c>
      <c r="G41" s="167"/>
      <c r="H41" s="269" t="s">
        <v>531</v>
      </c>
      <c r="I41" s="280"/>
      <c r="J41" s="167"/>
      <c r="K41" s="167"/>
      <c r="L41" s="167"/>
      <c r="M41" s="167"/>
      <c r="N41" s="167"/>
      <c r="O41" s="151"/>
      <c r="P41" s="151"/>
      <c r="R41" s="281" t="s">
        <v>532</v>
      </c>
      <c r="S41" s="282"/>
      <c r="T41" s="236"/>
      <c r="U41" s="236"/>
      <c r="V41" s="237"/>
      <c r="X41" s="283"/>
      <c r="Y41" s="283"/>
      <c r="Z41" s="283"/>
      <c r="AA41" s="276"/>
      <c r="AB41" s="261"/>
      <c r="AC41" s="260"/>
      <c r="AE41" s="260"/>
      <c r="AF41" s="260"/>
      <c r="AG41" s="261"/>
      <c r="AH41" s="259"/>
      <c r="AJ41" s="261"/>
    </row>
    <row r="42" spans="1:48" ht="15.75">
      <c r="A42" s="151"/>
      <c r="B42" s="151"/>
      <c r="C42" s="151"/>
      <c r="D42" s="151"/>
      <c r="E42" s="151"/>
      <c r="F42" s="205">
        <f t="shared" si="0"/>
        <v>36</v>
      </c>
      <c r="G42" s="167"/>
      <c r="H42" s="167"/>
      <c r="I42" s="167"/>
      <c r="J42" s="284" t="s">
        <v>533</v>
      </c>
      <c r="K42" s="285" t="s">
        <v>283</v>
      </c>
      <c r="L42" s="167"/>
      <c r="M42" s="167"/>
      <c r="N42" s="167"/>
      <c r="O42" s="151"/>
      <c r="P42" s="151"/>
      <c r="R42" s="286" t="s">
        <v>534</v>
      </c>
      <c r="S42" s="287"/>
      <c r="T42" s="246"/>
      <c r="U42" s="246"/>
      <c r="V42" s="288"/>
      <c r="X42" s="260"/>
      <c r="Y42" s="260"/>
      <c r="Z42" s="260"/>
      <c r="AA42" s="276"/>
      <c r="AB42" s="261"/>
      <c r="AC42" s="260"/>
      <c r="AE42" s="260"/>
      <c r="AF42" s="260"/>
      <c r="AG42" s="261"/>
      <c r="AJ42" s="261"/>
    </row>
    <row r="43" spans="1:48" ht="15.75">
      <c r="A43" s="151"/>
      <c r="B43" s="151"/>
      <c r="C43" s="151"/>
      <c r="D43" s="151"/>
      <c r="E43" s="151"/>
      <c r="F43" s="205">
        <f t="shared" si="0"/>
        <v>37</v>
      </c>
      <c r="G43" s="167"/>
      <c r="H43" s="178" t="s">
        <v>360</v>
      </c>
      <c r="I43" s="289"/>
      <c r="J43" s="290">
        <f>IF(A64=TRUE,C11,0)</f>
        <v>1.4999999999999999E-2</v>
      </c>
      <c r="K43" s="291">
        <f ca="1">+J43*($J$7/$J$49)</f>
        <v>14220.806879234564</v>
      </c>
      <c r="L43" s="167"/>
      <c r="M43" s="167"/>
      <c r="N43" s="167"/>
      <c r="O43" s="151"/>
      <c r="P43" s="151"/>
      <c r="R43" s="206">
        <v>0</v>
      </c>
      <c r="S43" s="292">
        <v>1</v>
      </c>
      <c r="T43" s="246"/>
      <c r="U43" s="293" t="s">
        <v>529</v>
      </c>
      <c r="V43" s="294">
        <f ca="1">VLOOKUP(R48,R36:AG39,14)</f>
        <v>8.7593632383905898E-2</v>
      </c>
      <c r="AC43" s="260"/>
      <c r="AE43" s="260"/>
      <c r="AJ43" s="261"/>
      <c r="AN43" s="260"/>
      <c r="AO43" s="260"/>
      <c r="AP43" s="260"/>
      <c r="AQ43" s="260"/>
      <c r="AR43" s="260"/>
      <c r="AS43" s="260"/>
      <c r="AT43" s="260"/>
      <c r="AU43" s="260"/>
      <c r="AV43" s="260"/>
    </row>
    <row r="44" spans="1:48" ht="15.75">
      <c r="A44" s="151"/>
      <c r="B44" s="151"/>
      <c r="C44" s="151"/>
      <c r="D44" s="151"/>
      <c r="E44" s="151"/>
      <c r="F44" s="205">
        <f t="shared" si="0"/>
        <v>38</v>
      </c>
      <c r="G44" s="167"/>
      <c r="H44" s="178" t="s">
        <v>361</v>
      </c>
      <c r="I44" s="289"/>
      <c r="J44" s="290">
        <f>IF(A64=TRUE,C12,0)</f>
        <v>5.1000000000000004E-3</v>
      </c>
      <c r="K44" s="291">
        <f ca="1">+J44*($J$7/$J$49)</f>
        <v>4835.0743389397521</v>
      </c>
      <c r="L44" s="167"/>
      <c r="M44" s="167"/>
      <c r="N44" s="167"/>
      <c r="O44" s="151"/>
      <c r="P44" s="151"/>
      <c r="R44" s="206">
        <v>50</v>
      </c>
      <c r="S44" s="292">
        <v>2</v>
      </c>
      <c r="T44" s="246"/>
      <c r="U44" s="293" t="s">
        <v>172</v>
      </c>
      <c r="V44" s="294">
        <f ca="1">ROUND(1-V43,6)</f>
        <v>0.91240600000000005</v>
      </c>
      <c r="AA44" s="295"/>
      <c r="AB44" s="170"/>
      <c r="AC44" s="170"/>
      <c r="AE44" s="260"/>
      <c r="AH44" s="259"/>
      <c r="AJ44" s="261"/>
      <c r="AN44" s="260"/>
      <c r="AO44" s="260"/>
      <c r="AP44" s="260"/>
      <c r="AQ44" s="260"/>
      <c r="AR44" s="260"/>
      <c r="AS44" s="260"/>
      <c r="AT44" s="260"/>
      <c r="AU44" s="260"/>
      <c r="AV44" s="260"/>
    </row>
    <row r="45" spans="1:48" ht="15.75">
      <c r="A45" s="151"/>
      <c r="B45" s="151"/>
      <c r="C45" s="151"/>
      <c r="D45" s="151"/>
      <c r="E45" s="151"/>
      <c r="F45" s="205">
        <f t="shared" si="0"/>
        <v>39</v>
      </c>
      <c r="G45" s="167"/>
      <c r="H45" s="178" t="s">
        <v>535</v>
      </c>
      <c r="I45" s="289"/>
      <c r="J45" s="290">
        <f>IF(A64=TRUE,C13,0)</f>
        <v>0</v>
      </c>
      <c r="K45" s="291">
        <f ca="1">+J45*($J$7/$J$49)</f>
        <v>0</v>
      </c>
      <c r="L45" s="167"/>
      <c r="M45" s="167"/>
      <c r="N45" s="167"/>
      <c r="O45" s="151"/>
      <c r="P45" s="151"/>
      <c r="R45" s="206">
        <v>125</v>
      </c>
      <c r="S45" s="292">
        <v>3</v>
      </c>
      <c r="T45" s="246"/>
      <c r="U45" s="246" t="s">
        <v>536</v>
      </c>
      <c r="V45" s="296">
        <f ca="1">+M7/Revenue-1</f>
        <v>3.1128149830695229E-2</v>
      </c>
      <c r="W45" s="297"/>
      <c r="X45" s="260"/>
      <c r="Y45" s="260"/>
      <c r="Z45" s="260"/>
      <c r="AA45" s="295"/>
      <c r="AB45" s="261"/>
      <c r="AC45" s="260"/>
      <c r="AE45" s="260"/>
      <c r="AF45" s="260"/>
      <c r="AG45" s="261"/>
      <c r="AH45" s="259"/>
      <c r="AJ45" s="261"/>
      <c r="AN45" s="260"/>
      <c r="AO45" s="260"/>
      <c r="AP45" s="260"/>
      <c r="AQ45" s="260"/>
      <c r="AR45" s="260"/>
      <c r="AS45" s="260"/>
      <c r="AT45" s="260"/>
      <c r="AU45" s="260"/>
      <c r="AV45" s="260"/>
    </row>
    <row r="46" spans="1:48" ht="15.75">
      <c r="A46" s="151"/>
      <c r="B46" s="151"/>
      <c r="C46" s="151"/>
      <c r="D46" s="151"/>
      <c r="E46" s="151"/>
      <c r="F46" s="205">
        <f t="shared" si="0"/>
        <v>40</v>
      </c>
      <c r="G46" s="167"/>
      <c r="H46" s="178" t="s">
        <v>363</v>
      </c>
      <c r="I46" s="289"/>
      <c r="J46" s="290">
        <f>IF(A64=TRUE,C14,0)</f>
        <v>1.4602347059444768E-3</v>
      </c>
      <c r="K46" s="291">
        <f ca="1">+J46*($J$7/$J$49)</f>
        <v>1384.3810501061519</v>
      </c>
      <c r="L46" s="167"/>
      <c r="M46" s="167"/>
      <c r="N46" s="167"/>
      <c r="O46" s="151"/>
      <c r="P46" s="151"/>
      <c r="R46" s="211">
        <v>401</v>
      </c>
      <c r="S46" s="298">
        <v>4</v>
      </c>
      <c r="T46" s="249"/>
      <c r="U46" s="249"/>
      <c r="V46" s="250"/>
      <c r="X46" s="260"/>
      <c r="Y46" s="260"/>
      <c r="Z46" s="260"/>
      <c r="AA46" s="276"/>
      <c r="AB46" s="261"/>
      <c r="AC46" s="260"/>
      <c r="AE46" s="260"/>
      <c r="AF46" s="260"/>
      <c r="AG46" s="261"/>
      <c r="AH46" s="259"/>
      <c r="AJ46" s="261"/>
      <c r="AN46" s="260"/>
      <c r="AO46" s="260"/>
      <c r="AP46" s="260"/>
      <c r="AQ46" s="260"/>
      <c r="AR46" s="260"/>
      <c r="AS46" s="260"/>
      <c r="AT46" s="260"/>
      <c r="AU46" s="260"/>
      <c r="AV46" s="260"/>
    </row>
    <row r="47" spans="1:48" ht="16.5" thickBot="1">
      <c r="A47" s="151"/>
      <c r="B47" s="151"/>
      <c r="C47" s="151"/>
      <c r="D47" s="151"/>
      <c r="E47" s="151"/>
      <c r="F47" s="205">
        <f t="shared" si="0"/>
        <v>41</v>
      </c>
      <c r="G47" s="167"/>
      <c r="H47" s="178" t="s">
        <v>364</v>
      </c>
      <c r="I47" s="277"/>
      <c r="J47" s="299">
        <f>SUM(J43:J46)</f>
        <v>2.1560234705944478E-2</v>
      </c>
      <c r="K47" s="265">
        <f ca="1">+K43+K44+K45+K46</f>
        <v>20440.262268280469</v>
      </c>
      <c r="L47" s="167"/>
      <c r="M47" s="167"/>
      <c r="N47" s="167"/>
      <c r="O47" s="151"/>
      <c r="P47" s="151"/>
      <c r="R47" s="227">
        <f ca="1">VLOOKUP(R48,R36:S39,2)</f>
        <v>211.44866874553151</v>
      </c>
      <c r="S47" s="300" t="s">
        <v>537</v>
      </c>
      <c r="T47" s="237"/>
      <c r="X47" s="161" t="s">
        <v>356</v>
      </c>
      <c r="AE47" s="260"/>
      <c r="AH47" s="259"/>
      <c r="AJ47" s="261"/>
    </row>
    <row r="48" spans="1:48" ht="16.5" thickTop="1">
      <c r="A48" s="151"/>
      <c r="B48" s="151"/>
      <c r="C48" s="151"/>
      <c r="D48" s="151"/>
      <c r="E48" s="151"/>
      <c r="F48" s="205">
        <f t="shared" si="0"/>
        <v>42</v>
      </c>
      <c r="G48" s="167"/>
      <c r="H48" s="167"/>
      <c r="I48" s="167"/>
      <c r="J48" s="301"/>
      <c r="K48" s="167"/>
      <c r="L48" s="167"/>
      <c r="M48" s="167"/>
      <c r="N48" s="167"/>
      <c r="O48" s="151"/>
      <c r="P48" s="151"/>
      <c r="R48" s="206">
        <f ca="1">VLOOKUP(S36,R43:S46,2)</f>
        <v>3</v>
      </c>
      <c r="S48" s="302" t="s">
        <v>538</v>
      </c>
      <c r="T48" s="288"/>
      <c r="X48" s="161" t="s">
        <v>357</v>
      </c>
      <c r="AC48" s="170"/>
      <c r="AE48" s="260"/>
      <c r="AJ48" s="261"/>
    </row>
    <row r="49" spans="1:48" ht="15.75">
      <c r="A49" s="151"/>
      <c r="B49" s="151"/>
      <c r="C49" s="151"/>
      <c r="D49" s="151"/>
      <c r="E49" s="151"/>
      <c r="F49" s="205">
        <f t="shared" si="0"/>
        <v>43</v>
      </c>
      <c r="G49" s="173"/>
      <c r="H49" s="303" t="s">
        <v>365</v>
      </c>
      <c r="I49" s="304"/>
      <c r="J49" s="305">
        <f ca="1">((K35)-J47)</f>
        <v>0.89090824667739432</v>
      </c>
      <c r="K49" s="304"/>
      <c r="L49" s="304"/>
      <c r="M49" s="304"/>
      <c r="N49" s="304"/>
      <c r="O49" s="151"/>
      <c r="P49" s="151"/>
      <c r="R49" s="206"/>
      <c r="S49" s="302"/>
      <c r="T49" s="288"/>
      <c r="X49" s="161" t="s">
        <v>358</v>
      </c>
      <c r="AC49" s="260"/>
      <c r="AE49" s="260"/>
      <c r="AF49" s="260"/>
      <c r="AG49" s="261"/>
      <c r="AJ49" s="261"/>
    </row>
    <row r="50" spans="1:48">
      <c r="A50" s="151"/>
      <c r="B50" s="151"/>
      <c r="C50" s="151"/>
      <c r="D50" s="151"/>
      <c r="E50" s="151"/>
      <c r="F50" s="151"/>
      <c r="G50" s="151"/>
      <c r="H50" s="151"/>
      <c r="I50" s="151"/>
      <c r="J50" s="151"/>
      <c r="K50" s="306"/>
      <c r="L50" s="151"/>
      <c r="M50" s="151"/>
      <c r="N50" s="307"/>
      <c r="O50" s="151"/>
      <c r="P50" s="151"/>
      <c r="R50" s="308">
        <f ca="1">+V44</f>
        <v>0.91240600000000005</v>
      </c>
      <c r="S50" s="309" t="s">
        <v>172</v>
      </c>
      <c r="T50" s="310"/>
      <c r="X50" s="161" t="s">
        <v>359</v>
      </c>
      <c r="AC50" s="260"/>
      <c r="AE50" s="260"/>
      <c r="AF50" s="260"/>
      <c r="AG50" s="261"/>
      <c r="AH50" s="260"/>
      <c r="AJ50" s="261"/>
      <c r="AN50" s="260"/>
      <c r="AO50" s="260"/>
      <c r="AP50" s="260"/>
      <c r="AQ50" s="260"/>
      <c r="AR50" s="260"/>
      <c r="AS50" s="260"/>
      <c r="AT50" s="260"/>
      <c r="AU50" s="260"/>
      <c r="AV50" s="260"/>
    </row>
    <row r="51" spans="1:48">
      <c r="A51" s="151"/>
      <c r="B51" s="151"/>
      <c r="C51" s="151"/>
      <c r="D51" s="151"/>
      <c r="E51" s="151"/>
      <c r="F51" s="151"/>
      <c r="G51" s="151"/>
      <c r="H51" s="151"/>
      <c r="I51" s="151"/>
      <c r="J51" s="151"/>
      <c r="K51" s="151"/>
      <c r="L51" s="151"/>
      <c r="M51" s="151"/>
      <c r="N51" s="151"/>
      <c r="O51" s="151"/>
      <c r="P51" s="151"/>
      <c r="R51" s="161"/>
      <c r="AB51" s="261"/>
      <c r="AC51" s="260"/>
      <c r="AE51" s="260"/>
      <c r="AF51" s="260"/>
      <c r="AG51" s="261"/>
      <c r="AH51" s="259"/>
      <c r="AJ51" s="261"/>
      <c r="AN51" s="260"/>
      <c r="AO51" s="260"/>
      <c r="AP51" s="260"/>
      <c r="AQ51" s="260"/>
      <c r="AR51" s="260"/>
      <c r="AS51" s="260"/>
      <c r="AT51" s="260"/>
      <c r="AU51" s="260"/>
      <c r="AV51" s="260"/>
    </row>
    <row r="52" spans="1:48">
      <c r="A52" s="151"/>
      <c r="B52" s="151"/>
      <c r="C52" s="151"/>
      <c r="D52" s="151"/>
      <c r="E52" s="151"/>
      <c r="F52" s="151"/>
      <c r="G52" s="151"/>
      <c r="H52" s="151"/>
      <c r="I52" s="151"/>
      <c r="J52" s="311"/>
      <c r="K52" s="311"/>
      <c r="L52" s="311"/>
      <c r="M52" s="311"/>
      <c r="N52" s="151"/>
      <c r="O52" s="151"/>
      <c r="P52" s="151"/>
      <c r="R52" s="161"/>
      <c r="AB52" s="261"/>
      <c r="AC52" s="260"/>
      <c r="AE52" s="260"/>
      <c r="AF52" s="260"/>
      <c r="AG52" s="261"/>
      <c r="AH52" s="259"/>
      <c r="AJ52" s="261"/>
      <c r="AN52" s="260"/>
      <c r="AO52" s="260"/>
      <c r="AP52" s="260"/>
      <c r="AQ52" s="260"/>
      <c r="AR52" s="260"/>
      <c r="AS52" s="260"/>
      <c r="AT52" s="260"/>
      <c r="AU52" s="260"/>
      <c r="AV52" s="260"/>
    </row>
    <row r="53" spans="1:48" ht="15.75">
      <c r="A53" s="151"/>
      <c r="B53" s="151"/>
      <c r="C53" s="151"/>
      <c r="D53" s="151"/>
      <c r="E53" s="151"/>
      <c r="F53" s="151"/>
      <c r="G53" s="151"/>
      <c r="H53" s="151"/>
      <c r="I53" s="151"/>
      <c r="J53" s="151"/>
      <c r="K53" s="311"/>
      <c r="L53" s="311"/>
      <c r="M53" s="311"/>
      <c r="N53" s="151"/>
      <c r="O53" s="151"/>
      <c r="P53" s="151"/>
      <c r="R53" s="161"/>
      <c r="S53" s="161" t="s">
        <v>539</v>
      </c>
      <c r="T53" s="260"/>
      <c r="U53" s="312"/>
      <c r="W53" s="313" t="s">
        <v>540</v>
      </c>
      <c r="X53" s="314"/>
      <c r="Y53" s="314"/>
      <c r="Z53" s="314"/>
      <c r="AA53" s="314"/>
      <c r="AB53" s="314"/>
      <c r="AE53" s="260"/>
      <c r="AH53" s="259"/>
      <c r="AJ53" s="261"/>
      <c r="AN53" s="260"/>
      <c r="AO53" s="260"/>
      <c r="AP53" s="260"/>
      <c r="AQ53" s="260"/>
      <c r="AR53" s="260"/>
      <c r="AS53" s="260"/>
      <c r="AT53" s="260"/>
      <c r="AU53" s="260"/>
      <c r="AV53" s="260"/>
    </row>
    <row r="54" spans="1:48">
      <c r="A54" s="151"/>
      <c r="B54" s="151"/>
      <c r="C54" s="151"/>
      <c r="D54" s="151"/>
      <c r="E54" s="151"/>
      <c r="F54" s="151"/>
      <c r="G54" s="151"/>
      <c r="H54" s="151"/>
      <c r="I54" s="151"/>
      <c r="J54" s="151"/>
      <c r="K54" s="151"/>
      <c r="L54" s="315"/>
      <c r="M54" s="315"/>
      <c r="N54" s="151"/>
      <c r="O54" s="151"/>
      <c r="P54" s="151"/>
      <c r="R54" s="316"/>
      <c r="S54" s="317" t="s">
        <v>344</v>
      </c>
      <c r="T54" s="317" t="s">
        <v>373</v>
      </c>
      <c r="U54" s="318" t="s">
        <v>517</v>
      </c>
      <c r="W54" s="319" t="s">
        <v>541</v>
      </c>
      <c r="X54" s="320">
        <v>5.7225999999999999</v>
      </c>
      <c r="Y54" s="321" t="s">
        <v>542</v>
      </c>
      <c r="Z54" s="322">
        <v>5.6985000000000001</v>
      </c>
      <c r="AC54" s="170"/>
      <c r="AE54" s="260"/>
      <c r="AJ54" s="261"/>
    </row>
    <row r="55" spans="1:48">
      <c r="A55" s="151"/>
      <c r="B55" s="151"/>
      <c r="C55" s="151"/>
      <c r="D55" s="151"/>
      <c r="E55" s="151"/>
      <c r="F55" s="151"/>
      <c r="G55" s="151"/>
      <c r="H55" s="151"/>
      <c r="I55" s="151"/>
      <c r="J55" s="315"/>
      <c r="K55" s="151"/>
      <c r="L55" s="315"/>
      <c r="M55" s="315"/>
      <c r="N55" s="151"/>
      <c r="O55" s="151"/>
      <c r="P55" s="151"/>
      <c r="R55" s="162" t="s">
        <v>481</v>
      </c>
      <c r="S55" s="323">
        <v>0.56200000000000006</v>
      </c>
      <c r="T55" s="323">
        <v>6.3799999999999996E-2</v>
      </c>
      <c r="U55" s="324">
        <f>ROUND(+S55*T55,5)</f>
        <v>3.5860000000000003E-2</v>
      </c>
      <c r="W55" s="325" t="s">
        <v>543</v>
      </c>
      <c r="X55" s="326">
        <v>5.7082699999999997</v>
      </c>
      <c r="Y55" s="327" t="s">
        <v>544</v>
      </c>
      <c r="Z55" s="328">
        <v>5.6921999999999997</v>
      </c>
      <c r="AC55" s="260"/>
      <c r="AE55" s="260"/>
      <c r="AF55" s="260"/>
      <c r="AG55" s="261"/>
      <c r="AJ55" s="261"/>
    </row>
    <row r="56" spans="1:48">
      <c r="A56" s="151"/>
      <c r="B56" s="151"/>
      <c r="C56" s="151"/>
      <c r="D56" s="151"/>
      <c r="E56" s="151"/>
      <c r="F56" s="151"/>
      <c r="G56" s="151"/>
      <c r="H56" s="151"/>
      <c r="I56" s="151"/>
      <c r="J56" s="315"/>
      <c r="K56" s="151"/>
      <c r="L56" s="315"/>
      <c r="M56" s="315"/>
      <c r="N56" s="151"/>
      <c r="O56" s="151"/>
      <c r="P56" s="151"/>
      <c r="R56" s="162" t="s">
        <v>545</v>
      </c>
      <c r="S56" s="323">
        <v>9.4E-2</v>
      </c>
      <c r="T56" s="323">
        <v>6.59E-2</v>
      </c>
      <c r="U56" s="324">
        <f>ROUND(+S56*T56,5)</f>
        <v>6.1900000000000002E-3</v>
      </c>
      <c r="W56" s="162"/>
      <c r="X56" s="246"/>
      <c r="Y56" s="329"/>
      <c r="Z56" s="330"/>
      <c r="AC56" s="260"/>
      <c r="AE56" s="260"/>
      <c r="AF56" s="260"/>
      <c r="AG56" s="261"/>
      <c r="AH56" s="259"/>
      <c r="AJ56" s="261"/>
      <c r="AN56" s="260"/>
    </row>
    <row r="57" spans="1:48" ht="15.75">
      <c r="A57" s="151"/>
      <c r="B57" s="151"/>
      <c r="C57" s="151"/>
      <c r="D57" s="151"/>
      <c r="E57" s="151"/>
      <c r="F57" s="151"/>
      <c r="G57" s="151"/>
      <c r="H57" s="331"/>
      <c r="I57" s="311"/>
      <c r="J57" s="315"/>
      <c r="K57" s="151"/>
      <c r="L57" s="151"/>
      <c r="M57" s="151"/>
      <c r="N57" s="151"/>
      <c r="O57" s="151"/>
      <c r="P57" s="151"/>
      <c r="R57" s="162" t="s">
        <v>479</v>
      </c>
      <c r="S57" s="332">
        <v>0.34399999999999997</v>
      </c>
      <c r="T57" s="333"/>
      <c r="U57" s="334"/>
      <c r="W57" s="248"/>
      <c r="X57" s="335" t="s">
        <v>546</v>
      </c>
      <c r="Y57" s="336">
        <v>0.68367</v>
      </c>
      <c r="Z57" s="337"/>
      <c r="AC57" s="260"/>
      <c r="AE57" s="260"/>
      <c r="AF57" s="260"/>
      <c r="AG57" s="261"/>
      <c r="AH57" s="259"/>
      <c r="AJ57" s="261"/>
    </row>
    <row r="58" spans="1:48" ht="15.75">
      <c r="A58" s="151"/>
      <c r="B58" s="151"/>
      <c r="C58" s="151"/>
      <c r="D58" s="151"/>
      <c r="E58" s="151"/>
      <c r="F58" s="151"/>
      <c r="G58" s="151"/>
      <c r="H58" s="151"/>
      <c r="I58" s="151"/>
      <c r="J58" s="151"/>
      <c r="K58" s="151"/>
      <c r="L58" s="151"/>
      <c r="M58" s="151"/>
      <c r="N58" s="151"/>
      <c r="O58" s="151"/>
      <c r="P58" s="151"/>
      <c r="R58" s="248"/>
      <c r="S58" s="332">
        <f>SUM(S55:S57)</f>
        <v>1</v>
      </c>
      <c r="T58" s="338"/>
      <c r="U58" s="339"/>
      <c r="X58" s="260"/>
      <c r="Y58" s="260"/>
      <c r="Z58" s="260"/>
      <c r="AA58" s="276"/>
      <c r="AB58" s="261"/>
      <c r="AC58" s="260"/>
      <c r="AE58" s="260"/>
      <c r="AF58" s="260"/>
      <c r="AG58" s="261"/>
      <c r="AH58" s="259"/>
      <c r="AJ58" s="261"/>
    </row>
    <row r="59" spans="1:48">
      <c r="A59" s="151"/>
      <c r="B59" s="151"/>
      <c r="C59" s="151"/>
      <c r="D59" s="151"/>
      <c r="E59" s="151"/>
      <c r="F59" s="151"/>
      <c r="G59" s="151"/>
      <c r="H59" s="151"/>
      <c r="I59" s="151"/>
      <c r="J59" s="151"/>
      <c r="K59" s="151"/>
      <c r="L59" s="151"/>
      <c r="M59" s="151"/>
      <c r="N59" s="151"/>
      <c r="O59" s="151"/>
      <c r="P59" s="151"/>
      <c r="X59" s="340"/>
      <c r="Y59" s="340"/>
      <c r="Z59" s="340"/>
      <c r="AE59" s="260"/>
      <c r="AH59" s="259"/>
      <c r="AJ59" s="261"/>
      <c r="AN59" s="259"/>
      <c r="AO59" s="259"/>
      <c r="AP59" s="259"/>
      <c r="AQ59" s="259"/>
      <c r="AR59" s="259"/>
      <c r="AS59" s="259"/>
      <c r="AT59" s="259"/>
      <c r="AU59" s="259"/>
      <c r="AV59" s="259"/>
    </row>
    <row r="60" spans="1:48">
      <c r="A60" s="151"/>
      <c r="B60" s="151"/>
      <c r="C60" s="151"/>
      <c r="D60" s="151"/>
      <c r="E60" s="151"/>
      <c r="F60" s="151"/>
      <c r="G60" s="151"/>
      <c r="H60" s="151"/>
      <c r="I60" s="151"/>
      <c r="J60" s="151"/>
      <c r="K60" s="151"/>
      <c r="L60" s="151"/>
      <c r="M60" s="151"/>
      <c r="N60" s="151"/>
      <c r="O60" s="151"/>
      <c r="P60" s="151"/>
      <c r="R60" s="161"/>
      <c r="S60" s="341"/>
      <c r="W60" s="316"/>
      <c r="X60" s="342" t="s">
        <v>524</v>
      </c>
      <c r="Y60" s="342" t="s">
        <v>547</v>
      </c>
      <c r="Z60" s="343" t="s">
        <v>461</v>
      </c>
      <c r="AE60" s="260"/>
      <c r="AJ60" s="261"/>
      <c r="AN60" s="259"/>
      <c r="AO60" s="259"/>
      <c r="AP60" s="259"/>
      <c r="AQ60" s="259"/>
      <c r="AR60" s="259"/>
      <c r="AS60" s="259"/>
      <c r="AT60" s="259"/>
      <c r="AU60" s="259"/>
      <c r="AV60" s="259"/>
    </row>
    <row r="61" spans="1:48">
      <c r="A61" s="151"/>
      <c r="B61" s="151"/>
      <c r="C61" s="151"/>
      <c r="D61" s="151"/>
      <c r="E61" s="151"/>
      <c r="F61" s="151"/>
      <c r="G61" s="151"/>
      <c r="H61" s="311"/>
      <c r="I61" s="311"/>
      <c r="J61" s="311"/>
      <c r="K61" s="311"/>
      <c r="L61" s="311"/>
      <c r="M61" s="311"/>
      <c r="N61" s="311"/>
      <c r="O61" s="151"/>
      <c r="P61" s="151"/>
      <c r="R61" s="161"/>
      <c r="W61" s="162"/>
      <c r="X61" s="344"/>
      <c r="Y61" s="344"/>
      <c r="Z61" s="345"/>
      <c r="AE61" s="260"/>
      <c r="AF61" s="260"/>
      <c r="AG61" s="261"/>
      <c r="AJ61" s="261"/>
      <c r="AN61" s="259"/>
      <c r="AO61" s="259"/>
      <c r="AP61" s="259"/>
      <c r="AQ61" s="259"/>
      <c r="AR61" s="259"/>
      <c r="AS61" s="259"/>
      <c r="AT61" s="259"/>
      <c r="AU61" s="259"/>
      <c r="AV61" s="259"/>
    </row>
    <row r="62" spans="1:48">
      <c r="A62" s="151"/>
      <c r="B62" s="151"/>
      <c r="C62" s="151"/>
      <c r="D62" s="151"/>
      <c r="E62" s="151"/>
      <c r="F62" s="151"/>
      <c r="G62" s="151"/>
      <c r="H62" s="151"/>
      <c r="I62" s="151"/>
      <c r="J62" s="151"/>
      <c r="K62" s="151"/>
      <c r="L62" s="151"/>
      <c r="M62" s="151"/>
      <c r="N62" s="151"/>
      <c r="O62" s="151"/>
      <c r="P62" s="151"/>
      <c r="R62" s="161"/>
      <c r="S62" s="341"/>
      <c r="W62" s="162"/>
      <c r="X62" s="293" t="s">
        <v>526</v>
      </c>
      <c r="Y62" s="294">
        <f ca="1">+J33</f>
        <v>0.18508430783671512</v>
      </c>
      <c r="Z62" s="294">
        <f ca="1">+K33</f>
        <v>0.14888713645120993</v>
      </c>
      <c r="AE62" s="260"/>
      <c r="AF62" s="260"/>
      <c r="AG62" s="261"/>
      <c r="AH62" s="259"/>
      <c r="AJ62" s="261"/>
      <c r="AN62" s="259"/>
      <c r="AO62" s="259"/>
      <c r="AP62" s="259"/>
      <c r="AQ62" s="259"/>
      <c r="AR62" s="259"/>
      <c r="AS62" s="259"/>
      <c r="AT62" s="259"/>
      <c r="AU62" s="259"/>
      <c r="AV62" s="259"/>
    </row>
    <row r="63" spans="1:48">
      <c r="A63" s="151"/>
      <c r="B63" s="151"/>
      <c r="C63" s="151"/>
      <c r="D63" s="151"/>
      <c r="E63" s="151"/>
      <c r="F63" s="151"/>
      <c r="G63" s="151"/>
      <c r="H63" s="151"/>
      <c r="I63" s="151"/>
      <c r="J63" s="151"/>
      <c r="K63" s="151"/>
      <c r="L63" s="151"/>
      <c r="M63" s="151"/>
      <c r="N63" s="151"/>
      <c r="O63" s="151"/>
      <c r="P63" s="151"/>
      <c r="R63" s="161"/>
      <c r="W63" s="162"/>
      <c r="X63" s="293" t="s">
        <v>527</v>
      </c>
      <c r="Y63" s="294">
        <f t="shared" ref="Y63:Z67" ca="1" si="1">+J34</f>
        <v>0.28727913798019999</v>
      </c>
      <c r="Z63" s="294">
        <f t="shared" ca="1" si="1"/>
        <v>0.226950519004358</v>
      </c>
      <c r="AE63" s="260"/>
      <c r="AF63" s="260"/>
      <c r="AG63" s="261"/>
      <c r="AH63" s="259"/>
      <c r="AJ63" s="261"/>
    </row>
    <row r="64" spans="1:48">
      <c r="A64" s="161" t="b">
        <v>1</v>
      </c>
      <c r="B64" s="151"/>
      <c r="C64" s="151"/>
      <c r="F64" s="151"/>
      <c r="G64" s="151"/>
      <c r="H64" s="151"/>
      <c r="I64" s="151"/>
      <c r="J64" s="151"/>
      <c r="K64" s="151"/>
      <c r="L64" s="151"/>
      <c r="M64" s="151"/>
      <c r="N64" s="151"/>
      <c r="R64" s="161"/>
      <c r="S64" s="341"/>
      <c r="W64" s="162"/>
      <c r="X64" s="293" t="s">
        <v>172</v>
      </c>
      <c r="Y64" s="294">
        <f t="shared" ca="1" si="1"/>
        <v>0.91240600000000005</v>
      </c>
      <c r="Z64" s="294">
        <f t="shared" ca="1" si="1"/>
        <v>0.9124684813833388</v>
      </c>
      <c r="AE64" s="260"/>
      <c r="AF64" s="260"/>
      <c r="AG64" s="261"/>
      <c r="AH64" s="259"/>
      <c r="AJ64" s="261"/>
    </row>
    <row r="65" spans="8:40">
      <c r="H65" s="259"/>
      <c r="I65" s="259"/>
      <c r="J65" s="259"/>
      <c r="K65" s="259"/>
      <c r="L65" s="259"/>
      <c r="M65" s="259"/>
      <c r="N65" s="259"/>
      <c r="O65" s="259"/>
      <c r="R65" s="161"/>
      <c r="W65" s="162"/>
      <c r="X65" s="293" t="s">
        <v>529</v>
      </c>
      <c r="Y65" s="294">
        <f t="shared" ca="1" si="1"/>
        <v>8.7593999999999908E-2</v>
      </c>
      <c r="Z65" s="294">
        <f t="shared" ca="1" si="1"/>
        <v>8.7593999999999908E-2</v>
      </c>
      <c r="AE65" s="260"/>
      <c r="AH65" s="259"/>
      <c r="AJ65" s="261"/>
      <c r="AN65" s="259"/>
    </row>
    <row r="66" spans="8:40">
      <c r="H66" s="259"/>
      <c r="I66" s="259"/>
      <c r="J66" s="259"/>
      <c r="K66" s="259"/>
      <c r="L66" s="259"/>
      <c r="M66" s="259"/>
      <c r="N66" s="259"/>
      <c r="O66" s="259"/>
      <c r="R66" s="161"/>
      <c r="S66" s="341"/>
      <c r="W66" s="162"/>
      <c r="X66" s="293" t="s">
        <v>530</v>
      </c>
      <c r="Y66" s="294">
        <f t="shared" ca="1" si="1"/>
        <v>2.1129129935987612</v>
      </c>
      <c r="Z66" s="294">
        <f t="shared" ca="1" si="1"/>
        <v>2.1129129935987612</v>
      </c>
      <c r="AE66" s="260"/>
      <c r="AJ66" s="261"/>
    </row>
    <row r="67" spans="8:40">
      <c r="O67" s="259"/>
      <c r="W67" s="248"/>
      <c r="X67" s="347" t="s">
        <v>362</v>
      </c>
      <c r="Y67" s="348">
        <f t="shared" si="1"/>
        <v>0.21</v>
      </c>
      <c r="Z67" s="348">
        <f t="shared" si="1"/>
        <v>0.21</v>
      </c>
      <c r="AE67" s="260"/>
      <c r="AF67" s="260"/>
      <c r="AG67" s="261"/>
      <c r="AJ67" s="261"/>
    </row>
    <row r="68" spans="8:40">
      <c r="O68" s="259"/>
      <c r="W68" s="293"/>
      <c r="AE68" s="260"/>
      <c r="AF68" s="260"/>
      <c r="AG68" s="261"/>
      <c r="AH68" s="259"/>
      <c r="AJ68" s="261"/>
    </row>
    <row r="69" spans="8:40">
      <c r="O69" s="259"/>
      <c r="X69" s="260"/>
      <c r="Y69" s="260"/>
      <c r="Z69" s="260"/>
      <c r="AA69" s="276"/>
      <c r="AB69" s="261"/>
      <c r="AC69" s="260"/>
      <c r="AE69" s="260"/>
      <c r="AF69" s="260"/>
      <c r="AG69" s="261"/>
      <c r="AH69" s="259"/>
      <c r="AJ69" s="261"/>
    </row>
    <row r="70" spans="8:40">
      <c r="X70" s="260"/>
      <c r="Y70" s="260"/>
      <c r="Z70" s="260"/>
      <c r="AA70" s="276"/>
      <c r="AB70" s="261"/>
      <c r="AC70" s="260"/>
      <c r="AE70" s="260"/>
      <c r="AF70" s="260"/>
      <c r="AG70" s="261"/>
      <c r="AH70" s="259"/>
      <c r="AJ70" s="261"/>
    </row>
    <row r="71" spans="8:40">
      <c r="AE71" s="260"/>
      <c r="AH71" s="259"/>
      <c r="AJ71" s="261"/>
    </row>
    <row r="72" spans="8:40">
      <c r="AA72" s="170"/>
      <c r="AB72" s="170"/>
      <c r="AC72" s="170"/>
      <c r="AE72" s="260"/>
      <c r="AJ72" s="261"/>
    </row>
    <row r="73" spans="8:40">
      <c r="X73" s="260"/>
      <c r="Y73" s="260"/>
      <c r="Z73" s="260"/>
      <c r="AA73" s="276"/>
      <c r="AB73" s="261"/>
      <c r="AC73" s="260"/>
      <c r="AE73" s="260"/>
      <c r="AF73" s="260"/>
      <c r="AG73" s="261"/>
      <c r="AJ73" s="261"/>
    </row>
    <row r="74" spans="8:40">
      <c r="X74" s="260"/>
      <c r="Y74" s="260"/>
      <c r="Z74" s="260"/>
      <c r="AA74" s="276"/>
      <c r="AB74" s="261"/>
      <c r="AC74" s="260"/>
      <c r="AE74" s="260"/>
      <c r="AF74" s="260"/>
      <c r="AG74" s="261"/>
      <c r="AH74" s="259"/>
      <c r="AJ74" s="261"/>
    </row>
    <row r="75" spans="8:40">
      <c r="X75" s="260"/>
      <c r="Y75" s="260"/>
      <c r="Z75" s="260"/>
      <c r="AA75" s="276"/>
      <c r="AB75" s="261"/>
      <c r="AC75" s="260"/>
      <c r="AE75" s="260"/>
      <c r="AF75" s="260"/>
      <c r="AG75" s="261"/>
      <c r="AH75" s="259"/>
      <c r="AJ75" s="261"/>
    </row>
    <row r="76" spans="8:40">
      <c r="X76" s="260"/>
      <c r="Y76" s="260"/>
      <c r="Z76" s="260"/>
      <c r="AA76" s="276"/>
      <c r="AB76" s="261"/>
      <c r="AC76" s="260"/>
      <c r="AE76" s="260"/>
      <c r="AF76" s="260"/>
      <c r="AG76" s="261"/>
      <c r="AH76" s="259"/>
      <c r="AJ76" s="261"/>
    </row>
    <row r="77" spans="8:40">
      <c r="AE77" s="260"/>
      <c r="AH77" s="259"/>
      <c r="AJ77" s="261"/>
    </row>
    <row r="79" spans="8:40">
      <c r="X79" s="260"/>
      <c r="Y79" s="260"/>
      <c r="Z79" s="260"/>
      <c r="AA79" s="276"/>
      <c r="AB79" s="261"/>
      <c r="AC79" s="260"/>
      <c r="AF79" s="260"/>
      <c r="AG79" s="261"/>
    </row>
    <row r="80" spans="8:40">
      <c r="X80" s="260"/>
      <c r="Y80" s="260"/>
      <c r="Z80" s="260"/>
      <c r="AA80" s="276"/>
      <c r="AB80" s="261"/>
      <c r="AC80" s="260"/>
      <c r="AF80" s="260"/>
      <c r="AG80" s="261"/>
      <c r="AH80" s="259"/>
    </row>
    <row r="81" spans="24:34">
      <c r="X81" s="260"/>
      <c r="Y81" s="260"/>
      <c r="Z81" s="260"/>
      <c r="AA81" s="276"/>
      <c r="AB81" s="261"/>
      <c r="AC81" s="260"/>
      <c r="AF81" s="260"/>
      <c r="AG81" s="261"/>
      <c r="AH81" s="259"/>
    </row>
    <row r="82" spans="24:34">
      <c r="X82" s="260"/>
      <c r="Y82" s="260"/>
      <c r="Z82" s="260"/>
      <c r="AA82" s="276"/>
      <c r="AB82" s="261"/>
      <c r="AC82" s="260"/>
      <c r="AF82" s="260"/>
      <c r="AG82" s="261"/>
      <c r="AH82" s="259"/>
    </row>
    <row r="83" spans="24:34">
      <c r="AH83" s="259"/>
    </row>
    <row r="85" spans="24:34">
      <c r="X85" s="260"/>
      <c r="Y85" s="260"/>
      <c r="Z85" s="260"/>
      <c r="AA85" s="276"/>
      <c r="AB85" s="261"/>
      <c r="AC85" s="260"/>
      <c r="AF85" s="260"/>
      <c r="AG85" s="261"/>
    </row>
    <row r="86" spans="24:34">
      <c r="X86" s="260"/>
      <c r="Y86" s="260"/>
      <c r="Z86" s="260"/>
      <c r="AA86" s="276"/>
      <c r="AB86" s="261"/>
      <c r="AC86" s="260"/>
      <c r="AF86" s="260"/>
      <c r="AG86" s="261"/>
      <c r="AH86" s="259"/>
    </row>
    <row r="87" spans="24:34">
      <c r="X87" s="260"/>
      <c r="Y87" s="260"/>
      <c r="Z87" s="260"/>
      <c r="AA87" s="276"/>
      <c r="AB87" s="261"/>
      <c r="AC87" s="260"/>
      <c r="AF87" s="260"/>
      <c r="AG87" s="261"/>
      <c r="AH87" s="259"/>
    </row>
    <row r="88" spans="24:34">
      <c r="X88" s="260"/>
      <c r="Y88" s="260"/>
      <c r="Z88" s="260"/>
      <c r="AA88" s="276"/>
      <c r="AB88" s="261"/>
      <c r="AC88" s="260"/>
      <c r="AF88" s="260"/>
      <c r="AG88" s="261"/>
      <c r="AH88" s="259"/>
    </row>
    <row r="89" spans="24:34">
      <c r="AH89" s="259"/>
    </row>
    <row r="91" spans="24:34">
      <c r="X91" s="260"/>
      <c r="Y91" s="260"/>
      <c r="Z91" s="260"/>
      <c r="AA91" s="276"/>
      <c r="AB91" s="261"/>
      <c r="AC91" s="260"/>
      <c r="AF91" s="260"/>
      <c r="AG91" s="261"/>
    </row>
    <row r="92" spans="24:34">
      <c r="X92" s="260"/>
      <c r="Y92" s="260"/>
      <c r="Z92" s="260"/>
      <c r="AA92" s="276"/>
      <c r="AB92" s="261"/>
      <c r="AC92" s="260"/>
      <c r="AF92" s="260"/>
      <c r="AG92" s="261"/>
      <c r="AH92" s="259"/>
    </row>
    <row r="93" spans="24:34">
      <c r="X93" s="260"/>
      <c r="Y93" s="260"/>
      <c r="Z93" s="260"/>
      <c r="AA93" s="276"/>
      <c r="AB93" s="261"/>
      <c r="AC93" s="260"/>
      <c r="AF93" s="260"/>
      <c r="AG93" s="261"/>
      <c r="AH93" s="259"/>
    </row>
    <row r="94" spans="24:34">
      <c r="X94" s="260"/>
      <c r="Y94" s="260"/>
      <c r="Z94" s="260"/>
      <c r="AA94" s="276"/>
      <c r="AB94" s="261"/>
      <c r="AC94" s="260"/>
      <c r="AF94" s="260"/>
      <c r="AG94" s="261"/>
      <c r="AH94" s="259"/>
    </row>
    <row r="95" spans="24:34">
      <c r="AH95" s="259"/>
    </row>
    <row r="97" spans="24:34">
      <c r="X97" s="260"/>
      <c r="Y97" s="260"/>
      <c r="Z97" s="260"/>
      <c r="AA97" s="276"/>
      <c r="AB97" s="261"/>
      <c r="AC97" s="260"/>
      <c r="AF97" s="260"/>
      <c r="AG97" s="261"/>
    </row>
    <row r="98" spans="24:34">
      <c r="X98" s="260"/>
      <c r="Y98" s="260"/>
      <c r="Z98" s="260"/>
      <c r="AA98" s="276"/>
      <c r="AB98" s="261"/>
      <c r="AC98" s="260"/>
      <c r="AF98" s="260"/>
      <c r="AG98" s="261"/>
      <c r="AH98" s="259"/>
    </row>
    <row r="99" spans="24:34">
      <c r="X99" s="260"/>
      <c r="Y99" s="260"/>
      <c r="Z99" s="260"/>
      <c r="AA99" s="276"/>
      <c r="AB99" s="261"/>
      <c r="AC99" s="260"/>
      <c r="AF99" s="260"/>
      <c r="AG99" s="261"/>
      <c r="AH99" s="259"/>
    </row>
    <row r="100" spans="24:34">
      <c r="X100" s="260"/>
      <c r="Y100" s="260"/>
      <c r="Z100" s="260"/>
      <c r="AA100" s="276"/>
      <c r="AB100" s="261"/>
      <c r="AC100" s="260"/>
      <c r="AF100" s="260"/>
      <c r="AG100" s="261"/>
      <c r="AH100" s="259"/>
    </row>
    <row r="101" spans="24:34">
      <c r="AH101" s="259"/>
    </row>
    <row r="103" spans="24:34">
      <c r="X103" s="260"/>
      <c r="Y103" s="260"/>
      <c r="Z103" s="260"/>
      <c r="AA103" s="276"/>
      <c r="AB103" s="261"/>
      <c r="AC103" s="260"/>
      <c r="AF103" s="260"/>
      <c r="AG103" s="261"/>
    </row>
    <row r="104" spans="24:34">
      <c r="X104" s="260"/>
      <c r="Y104" s="260"/>
      <c r="Z104" s="260"/>
      <c r="AA104" s="276"/>
      <c r="AB104" s="261"/>
      <c r="AC104" s="260"/>
      <c r="AF104" s="260"/>
      <c r="AG104" s="261"/>
      <c r="AH104" s="259"/>
    </row>
    <row r="105" spans="24:34">
      <c r="X105" s="260"/>
      <c r="Y105" s="260"/>
      <c r="Z105" s="260"/>
      <c r="AA105" s="276"/>
      <c r="AB105" s="261"/>
      <c r="AC105" s="260"/>
      <c r="AF105" s="260"/>
      <c r="AG105" s="261"/>
      <c r="AH105" s="259"/>
    </row>
    <row r="106" spans="24:34">
      <c r="X106" s="260"/>
      <c r="Y106" s="260"/>
      <c r="Z106" s="260"/>
      <c r="AA106" s="276"/>
      <c r="AB106" s="261"/>
      <c r="AC106" s="260"/>
      <c r="AF106" s="260"/>
      <c r="AG106" s="261"/>
      <c r="AH106" s="259"/>
    </row>
    <row r="107" spans="24:34">
      <c r="AH107" s="259"/>
    </row>
    <row r="109" spans="24:34">
      <c r="X109" s="260"/>
      <c r="Y109" s="260"/>
      <c r="Z109" s="260"/>
      <c r="AA109" s="276"/>
      <c r="AB109" s="261"/>
      <c r="AC109" s="260"/>
      <c r="AF109" s="260"/>
      <c r="AG109" s="261"/>
    </row>
    <row r="110" spans="24:34">
      <c r="X110" s="260"/>
      <c r="Y110" s="260"/>
      <c r="Z110" s="260"/>
      <c r="AA110" s="276"/>
      <c r="AB110" s="261"/>
      <c r="AC110" s="260"/>
      <c r="AF110" s="260"/>
      <c r="AG110" s="261"/>
    </row>
    <row r="111" spans="24:34">
      <c r="X111" s="260"/>
      <c r="Y111" s="260"/>
      <c r="Z111" s="260"/>
      <c r="AA111" s="276"/>
      <c r="AB111" s="261"/>
      <c r="AC111" s="260"/>
      <c r="AF111" s="260"/>
      <c r="AG111" s="261"/>
    </row>
    <row r="112" spans="24:34">
      <c r="X112" s="260"/>
      <c r="Y112" s="260"/>
      <c r="Z112" s="260"/>
      <c r="AA112" s="276"/>
      <c r="AB112" s="261"/>
      <c r="AC112" s="260"/>
      <c r="AF112" s="260"/>
      <c r="AG112" s="261"/>
    </row>
  </sheetData>
  <mergeCells count="5">
    <mergeCell ref="B2:C2"/>
    <mergeCell ref="AH2:AK2"/>
    <mergeCell ref="B18:C18"/>
    <mergeCell ref="B19:C19"/>
    <mergeCell ref="L31:N31"/>
  </mergeCells>
  <pageMargins left="0.25" right="0.25" top="0.3" bottom="0.44" header="0.23" footer="0.21"/>
  <pageSetup scale="73" orientation="portrait" r:id="rId1"/>
  <headerFooter alignWithMargins="0"/>
  <colBreaks count="1" manualBreakCount="1">
    <brk id="13" min="1" max="48" man="1"/>
  </colBreaks>
  <drawing r:id="rId2"/>
  <legacyDrawing r:id="rId3"/>
  <controls>
    <mc:AlternateContent xmlns:mc="http://schemas.openxmlformats.org/markup-compatibility/2006">
      <mc:Choice Requires="x14">
        <control shapeId="20481" r:id="rId4" name="DataCompleted">
          <controlPr defaultSize="0" autoFill="0" autoLine="0" autoPict="0" linkedCell="A64" r:id="rId5">
            <anchor moveWithCells="1">
              <from>
                <xdr:col>2</xdr:col>
                <xdr:colOff>114300</xdr:colOff>
                <xdr:row>15</xdr:row>
                <xdr:rowOff>180975</xdr:rowOff>
              </from>
              <to>
                <xdr:col>2</xdr:col>
                <xdr:colOff>342900</xdr:colOff>
                <xdr:row>17</xdr:row>
                <xdr:rowOff>9525</xdr:rowOff>
              </to>
            </anchor>
          </controlPr>
        </control>
      </mc:Choice>
      <mc:Fallback>
        <control shapeId="20481" r:id="rId4" name="DataCompleted"/>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9" tint="0.59999389629810485"/>
  </sheetPr>
  <dimension ref="A1:AV112"/>
  <sheetViews>
    <sheetView showGridLines="0" tabSelected="1" showOutlineSymbols="0" view="pageBreakPreview" zoomScale="60" zoomScaleNormal="80" workbookViewId="0">
      <selection activeCell="AR41" sqref="AR41"/>
    </sheetView>
  </sheetViews>
  <sheetFormatPr defaultColWidth="16.7109375" defaultRowHeight="15"/>
  <cols>
    <col min="1" max="1" width="7.42578125" style="161" customWidth="1"/>
    <col min="2" max="2" width="33.5703125" style="346" bestFit="1" customWidth="1"/>
    <col min="3" max="3" width="21.28515625" style="346" customWidth="1"/>
    <col min="4" max="4" width="21.28515625" style="346" hidden="1" customWidth="1"/>
    <col min="5" max="5" width="8.42578125" style="346" bestFit="1" customWidth="1"/>
    <col min="6" max="6" width="15.7109375" style="161" bestFit="1" customWidth="1"/>
    <col min="7" max="7" width="16.28515625" style="161" bestFit="1" customWidth="1"/>
    <col min="8" max="8" width="15" style="161" customWidth="1"/>
    <col min="9" max="9" width="17.7109375" style="161" customWidth="1"/>
    <col min="10" max="10" width="17" style="161" customWidth="1"/>
    <col min="11" max="11" width="15.140625" style="161" bestFit="1" customWidth="1"/>
    <col min="12" max="13" width="20.28515625" style="161" customWidth="1"/>
    <col min="14" max="14" width="2.42578125" style="161" customWidth="1"/>
    <col min="15" max="15" width="15" style="346" customWidth="1"/>
    <col min="16" max="16" width="40.42578125" style="346" customWidth="1"/>
    <col min="17" max="17" width="16.7109375" style="162"/>
    <col min="18" max="18" width="13.85546875" style="170" customWidth="1"/>
    <col min="19" max="19" width="16.7109375" style="161"/>
    <col min="20" max="20" width="13.42578125" style="161" customWidth="1"/>
    <col min="21" max="21" width="15.7109375" style="161" customWidth="1"/>
    <col min="22" max="22" width="16.7109375" style="161"/>
    <col min="23" max="26" width="17.7109375" style="161" customWidth="1"/>
    <col min="27" max="27" width="16" style="161" customWidth="1"/>
    <col min="28" max="28" width="16.7109375" style="161"/>
    <col min="29" max="29" width="15.85546875" style="161" customWidth="1"/>
    <col min="30" max="31" width="16.7109375" style="161"/>
    <col min="32" max="32" width="16.42578125" style="161" customWidth="1"/>
    <col min="33" max="33" width="17.28515625" style="161" customWidth="1"/>
    <col min="34" max="34" width="20.7109375" style="161" customWidth="1"/>
    <col min="35" max="35" width="18.140625" style="161" customWidth="1"/>
    <col min="36" max="36" width="16.42578125" style="161" customWidth="1"/>
    <col min="37" max="37" width="16.7109375" style="161"/>
    <col min="38" max="38" width="13.85546875" style="161" customWidth="1"/>
    <col min="39" max="39" width="16.42578125" style="161" customWidth="1"/>
    <col min="40" max="51" width="15.140625" style="161" customWidth="1"/>
    <col min="52" max="16384" width="16.7109375" style="161"/>
  </cols>
  <sheetData>
    <row r="1" spans="1:37" s="156" customFormat="1" ht="15.75" thickBot="1">
      <c r="A1" s="151"/>
      <c r="B1" s="152"/>
      <c r="C1" s="152"/>
      <c r="D1" s="152"/>
      <c r="E1" s="152"/>
      <c r="F1" s="152"/>
      <c r="G1" s="152"/>
      <c r="H1" s="152"/>
      <c r="I1" s="153"/>
      <c r="J1" s="153"/>
      <c r="K1" s="153"/>
      <c r="L1" s="153"/>
      <c r="M1" s="153"/>
      <c r="N1" s="153"/>
      <c r="O1" s="152"/>
      <c r="P1" s="152"/>
      <c r="Q1" s="154"/>
      <c r="R1" s="155"/>
    </row>
    <row r="2" spans="1:37" ht="19.5" thickBot="1">
      <c r="A2" s="151"/>
      <c r="B2" s="1271" t="s">
        <v>441</v>
      </c>
      <c r="C2" s="1271"/>
      <c r="D2" s="151"/>
      <c r="E2" s="151"/>
      <c r="F2" s="157" t="s">
        <v>442</v>
      </c>
      <c r="G2" s="158"/>
      <c r="H2" s="158"/>
      <c r="I2" s="159" t="s">
        <v>443</v>
      </c>
      <c r="J2" s="158"/>
      <c r="K2" s="158"/>
      <c r="L2" s="158"/>
      <c r="M2" s="160" t="s">
        <v>442</v>
      </c>
      <c r="O2" s="151"/>
      <c r="P2" s="152"/>
      <c r="R2" s="163" t="s">
        <v>444</v>
      </c>
      <c r="S2" s="164"/>
      <c r="T2" s="165"/>
      <c r="AH2" s="1272" t="s">
        <v>445</v>
      </c>
      <c r="AI2" s="1273"/>
      <c r="AJ2" s="1273"/>
      <c r="AK2" s="1274"/>
    </row>
    <row r="3" spans="1:37" ht="16.5" thickBot="1">
      <c r="A3" s="151"/>
      <c r="B3" s="151"/>
      <c r="C3" s="151"/>
      <c r="D3" s="151"/>
      <c r="E3" s="151"/>
      <c r="F3" s="166"/>
      <c r="G3" s="167"/>
      <c r="H3" s="168"/>
      <c r="I3" s="168"/>
      <c r="J3" s="168"/>
      <c r="K3" s="169" t="s">
        <v>446</v>
      </c>
      <c r="L3" s="168"/>
      <c r="M3" s="169" t="s">
        <v>447</v>
      </c>
      <c r="O3" s="151"/>
      <c r="P3" s="152"/>
      <c r="R3" s="161"/>
      <c r="T3" s="161" t="s">
        <v>448</v>
      </c>
      <c r="V3" s="170" t="s">
        <v>448</v>
      </c>
      <c r="W3" s="170" t="s">
        <v>448</v>
      </c>
      <c r="X3" s="170" t="s">
        <v>448</v>
      </c>
      <c r="Y3" s="170"/>
      <c r="Z3" s="170" t="s">
        <v>301</v>
      </c>
      <c r="AA3" s="170" t="s">
        <v>449</v>
      </c>
      <c r="AB3" s="170" t="s">
        <v>449</v>
      </c>
      <c r="AC3" s="170" t="s">
        <v>449</v>
      </c>
      <c r="AD3" s="170" t="s">
        <v>449</v>
      </c>
      <c r="AE3" s="170" t="s">
        <v>449</v>
      </c>
      <c r="AF3" s="170" t="s">
        <v>449</v>
      </c>
      <c r="AG3" s="170" t="s">
        <v>450</v>
      </c>
      <c r="AH3" s="170" t="s">
        <v>174</v>
      </c>
      <c r="AI3" s="170" t="s">
        <v>451</v>
      </c>
      <c r="AJ3" s="170"/>
    </row>
    <row r="4" spans="1:37" ht="19.5" thickBot="1">
      <c r="A4" s="151"/>
      <c r="B4" s="171" t="s">
        <v>452</v>
      </c>
      <c r="C4" s="159"/>
      <c r="D4" s="172"/>
      <c r="E4" s="151"/>
      <c r="F4" s="173"/>
      <c r="G4" s="167"/>
      <c r="H4" s="168" t="s">
        <v>453</v>
      </c>
      <c r="I4" s="168" t="s">
        <v>454</v>
      </c>
      <c r="J4" s="168" t="s">
        <v>455</v>
      </c>
      <c r="K4" s="168" t="s">
        <v>456</v>
      </c>
      <c r="L4" s="168" t="s">
        <v>457</v>
      </c>
      <c r="M4" s="168" t="s">
        <v>458</v>
      </c>
      <c r="O4" s="174">
        <v>733714.03539771901</v>
      </c>
      <c r="P4" s="175">
        <v>0.34</v>
      </c>
      <c r="R4" s="161"/>
      <c r="T4" s="170" t="s">
        <v>459</v>
      </c>
      <c r="V4" s="170" t="s">
        <v>460</v>
      </c>
      <c r="W4" s="170" t="s">
        <v>301</v>
      </c>
      <c r="X4" s="170" t="s">
        <v>461</v>
      </c>
      <c r="Y4" s="170" t="s">
        <v>462</v>
      </c>
      <c r="Z4" s="170" t="s">
        <v>461</v>
      </c>
      <c r="AA4" s="170" t="s">
        <v>463</v>
      </c>
      <c r="AB4" s="170" t="s">
        <v>463</v>
      </c>
      <c r="AC4" s="170" t="s">
        <v>463</v>
      </c>
      <c r="AD4" s="170" t="s">
        <v>301</v>
      </c>
      <c r="AE4" s="170" t="s">
        <v>459</v>
      </c>
      <c r="AF4" s="170" t="s">
        <v>459</v>
      </c>
      <c r="AG4" s="170" t="s">
        <v>464</v>
      </c>
      <c r="AH4" s="170" t="s">
        <v>465</v>
      </c>
      <c r="AI4" s="170" t="s">
        <v>466</v>
      </c>
      <c r="AJ4" s="170" t="s">
        <v>467</v>
      </c>
      <c r="AK4" s="170" t="s">
        <v>468</v>
      </c>
    </row>
    <row r="5" spans="1:37" ht="15.75">
      <c r="A5" s="151"/>
      <c r="B5" s="176" t="s">
        <v>469</v>
      </c>
      <c r="C5" s="473">
        <f>+'2183 Pro Forma'!E23</f>
        <v>21260136.741338629</v>
      </c>
      <c r="D5" s="172"/>
      <c r="E5" s="151"/>
      <c r="F5" s="177" t="s">
        <v>470</v>
      </c>
      <c r="G5" s="178"/>
      <c r="H5" s="178"/>
      <c r="I5" s="168" t="s">
        <v>471</v>
      </c>
      <c r="J5" s="168" t="s">
        <v>174</v>
      </c>
      <c r="K5" s="179" t="s">
        <v>472</v>
      </c>
      <c r="L5" s="180" t="s">
        <v>473</v>
      </c>
      <c r="M5" s="179" t="s">
        <v>174</v>
      </c>
      <c r="O5" s="181">
        <v>453176.31598094403</v>
      </c>
      <c r="P5" s="175">
        <v>0.21</v>
      </c>
      <c r="R5" s="182"/>
      <c r="T5" s="170" t="s">
        <v>474</v>
      </c>
      <c r="U5" s="170" t="s">
        <v>475</v>
      </c>
      <c r="V5" s="170" t="s">
        <v>476</v>
      </c>
      <c r="W5" s="170" t="s">
        <v>477</v>
      </c>
      <c r="X5" s="170" t="s">
        <v>354</v>
      </c>
      <c r="Y5" s="170" t="s">
        <v>478</v>
      </c>
      <c r="Z5" s="170" t="s">
        <v>354</v>
      </c>
      <c r="AA5" s="170" t="s">
        <v>479</v>
      </c>
      <c r="AB5" s="170" t="s">
        <v>480</v>
      </c>
      <c r="AC5" s="170" t="s">
        <v>481</v>
      </c>
      <c r="AD5" s="170" t="s">
        <v>482</v>
      </c>
      <c r="AE5" s="170" t="s">
        <v>474</v>
      </c>
      <c r="AF5" s="170" t="s">
        <v>172</v>
      </c>
      <c r="AG5" s="170" t="s">
        <v>283</v>
      </c>
      <c r="AH5" s="170" t="s">
        <v>483</v>
      </c>
      <c r="AI5" s="170" t="s">
        <v>483</v>
      </c>
      <c r="AJ5" s="170" t="s">
        <v>283</v>
      </c>
      <c r="AK5" s="170" t="s">
        <v>450</v>
      </c>
    </row>
    <row r="6" spans="1:37" ht="15.75">
      <c r="A6" s="151"/>
      <c r="B6" s="176" t="s">
        <v>484</v>
      </c>
      <c r="C6" s="474">
        <f>+'2183 Pro Forma'!E312</f>
        <v>19905405.402006157</v>
      </c>
      <c r="D6" s="172"/>
      <c r="E6" s="151"/>
      <c r="F6" s="183" t="s">
        <v>485</v>
      </c>
      <c r="G6" s="178"/>
      <c r="H6" s="178"/>
      <c r="I6" s="184"/>
      <c r="J6" s="185" t="s">
        <v>486</v>
      </c>
      <c r="K6" s="186"/>
      <c r="L6" s="185" t="s">
        <v>487</v>
      </c>
      <c r="M6" s="185" t="s">
        <v>488</v>
      </c>
      <c r="O6" s="181">
        <f>O4-O5</f>
        <v>280537.71941677498</v>
      </c>
      <c r="P6" s="152"/>
      <c r="R6" s="187">
        <v>1</v>
      </c>
      <c r="S6" s="188">
        <f>Revenue/Investment*100</f>
        <v>215.9381241277917</v>
      </c>
      <c r="T6" s="189">
        <f>EXP(y_inter1-(slope*LN(+S6)))</f>
        <v>7.7514450558595041</v>
      </c>
      <c r="U6" s="190">
        <f>(+S6*T6/100)/100</f>
        <v>0.16738325046419469</v>
      </c>
      <c r="V6" s="190">
        <f>regDebt_weighted</f>
        <v>3.5860000000000003E-2</v>
      </c>
      <c r="W6" s="190">
        <f>+U6-V6</f>
        <v>0.13152325046419469</v>
      </c>
      <c r="X6" s="190">
        <f>+((W6*(1-0.34))-Pfd_weighted)/Equity_percent</f>
        <v>0.23434693403014098</v>
      </c>
      <c r="Y6" s="190">
        <f>+C15</f>
        <v>2.5000000000000001E-3</v>
      </c>
      <c r="Z6" s="190">
        <f>+X6+Y6</f>
        <v>0.23684693403014098</v>
      </c>
      <c r="AA6" s="190">
        <f>Z6*equityP</f>
        <v>0.14210816041808458</v>
      </c>
      <c r="AB6" s="190">
        <f>+AA6/(1-taxrate)</f>
        <v>0.179883747364664</v>
      </c>
      <c r="AC6" s="190">
        <f>debtP*Debt_Rate</f>
        <v>1.2716825048595141E-2</v>
      </c>
      <c r="AD6" s="190">
        <f>AC6+AB6</f>
        <v>0.19260057241325915</v>
      </c>
      <c r="AE6" s="190">
        <f>AD6/(S6/100)</f>
        <v>8.9192481962693429E-2</v>
      </c>
      <c r="AF6" s="190">
        <f>1-AE6</f>
        <v>0.91080751803730653</v>
      </c>
      <c r="AG6" s="191">
        <f>expenses/(AF6)</f>
        <v>21854678.412075683</v>
      </c>
      <c r="AH6" s="192">
        <f>+AG6-Revenue</f>
        <v>594541.6707370542</v>
      </c>
      <c r="AI6" s="193">
        <f ca="1">+AH6/$J$49</f>
        <v>665625.75043014449</v>
      </c>
      <c r="AJ6" s="193">
        <f ca="1">+AI6*$J$47</f>
        <v>14351.047405594338</v>
      </c>
      <c r="AK6" s="191">
        <f ca="1">ROUND(+AJ6+AG6,5)</f>
        <v>21869029.459479999</v>
      </c>
    </row>
    <row r="7" spans="1:37" ht="15.75">
      <c r="A7" s="151"/>
      <c r="B7" s="176" t="s">
        <v>377</v>
      </c>
      <c r="C7" s="475">
        <f>+'2183 Pro Forma'!E318</f>
        <v>9845476.2572434545</v>
      </c>
      <c r="D7" s="172"/>
      <c r="E7" s="151"/>
      <c r="F7" s="194">
        <v>1</v>
      </c>
      <c r="G7" s="178"/>
      <c r="H7" s="195" t="s">
        <v>469</v>
      </c>
      <c r="I7" s="196">
        <f>IF(A64=TRUE,C5,0)</f>
        <v>21260136.741338629</v>
      </c>
      <c r="J7" s="196">
        <f ca="1">(+$I8/($R50))-I7</f>
        <v>501063.84682622552</v>
      </c>
      <c r="K7" s="196">
        <f ca="1">+I7+J7</f>
        <v>21761200.588164855</v>
      </c>
      <c r="L7" s="196">
        <f ca="1">((+J7/J49*K35)-J7)</f>
        <v>12094.679604405537</v>
      </c>
      <c r="M7" s="196">
        <f ca="1">IFERROR(+K7+L7,0.00001)</f>
        <v>21773295.267769262</v>
      </c>
      <c r="O7" s="181"/>
      <c r="P7" s="197">
        <v>497844.54650202766</v>
      </c>
      <c r="R7" s="198">
        <v>2</v>
      </c>
      <c r="S7" s="199">
        <f>Revenue/Investment*100</f>
        <v>215.9381241277917</v>
      </c>
      <c r="T7" s="200">
        <f>EXP(y_inter1-(slope*LN(+S7)))</f>
        <v>7.7514450558595041</v>
      </c>
      <c r="U7" s="201">
        <f>(+S7*T7/100)/100</f>
        <v>0.16738325046419469</v>
      </c>
      <c r="V7" s="201">
        <f>regDebt_weighted</f>
        <v>3.5860000000000003E-2</v>
      </c>
      <c r="W7" s="201">
        <f>+U7-V7</f>
        <v>0.13152325046419469</v>
      </c>
      <c r="X7" s="201">
        <f>+((W7*(1-0.34))-Pfd_weighted)/Equity_percent</f>
        <v>0.23434693403014098</v>
      </c>
      <c r="Y7" s="201">
        <f>+Y6</f>
        <v>2.5000000000000001E-3</v>
      </c>
      <c r="Z7" s="201">
        <f>+X7+Y7</f>
        <v>0.23684693403014098</v>
      </c>
      <c r="AA7" s="201">
        <f>Z7*equityP</f>
        <v>0.14210816041808458</v>
      </c>
      <c r="AB7" s="201">
        <f>+AA7/(1-taxrate)</f>
        <v>0.179883747364664</v>
      </c>
      <c r="AC7" s="201">
        <f>debtP*Debt_Rate</f>
        <v>1.2716825048595141E-2</v>
      </c>
      <c r="AD7" s="201">
        <f>AC7+AB7</f>
        <v>0.19260057241325915</v>
      </c>
      <c r="AE7" s="201">
        <f>AD7/(S7/100)</f>
        <v>8.9192481962693429E-2</v>
      </c>
      <c r="AF7" s="201">
        <f>1-AE7</f>
        <v>0.91080751803730653</v>
      </c>
      <c r="AG7" s="202">
        <f>expenses/(AF7)</f>
        <v>21854678.412075683</v>
      </c>
      <c r="AH7" s="203">
        <f>+AG7-Revenue</f>
        <v>594541.6707370542</v>
      </c>
      <c r="AI7" s="204">
        <f ca="1">+AH7/$J$49</f>
        <v>665625.75043014449</v>
      </c>
      <c r="AJ7" s="204">
        <f ca="1">+AI7*$J$47</f>
        <v>14351.047405594338</v>
      </c>
      <c r="AK7" s="202">
        <f ca="1">ROUND(+AJ7+AG7,5)</f>
        <v>21869029.459479999</v>
      </c>
    </row>
    <row r="8" spans="1:37" ht="15.75">
      <c r="A8" s="151"/>
      <c r="B8" s="176" t="s">
        <v>489</v>
      </c>
      <c r="C8" s="476">
        <f>+'Corporate BS'!D48</f>
        <v>0.4</v>
      </c>
      <c r="D8" s="172"/>
      <c r="E8" s="151"/>
      <c r="F8" s="205">
        <f>+F7+1</f>
        <v>2</v>
      </c>
      <c r="G8" s="178"/>
      <c r="H8" s="195" t="s">
        <v>484</v>
      </c>
      <c r="I8" s="196">
        <f>IF(A64=TRUE,C6,0)</f>
        <v>19905405.402006157</v>
      </c>
      <c r="J8" s="167"/>
      <c r="K8" s="196">
        <f>+I8</f>
        <v>19905405.402006157</v>
      </c>
      <c r="L8" s="196">
        <f ca="1">+L7</f>
        <v>12094.679604405537</v>
      </c>
      <c r="M8" s="196">
        <f ca="1">IFERROR(+K8+L8,0.00001)</f>
        <v>19917500.08161056</v>
      </c>
      <c r="O8" s="181"/>
      <c r="P8" s="197">
        <v>25115.958784233429</v>
      </c>
      <c r="R8" s="206">
        <v>3</v>
      </c>
      <c r="S8" s="199">
        <f>Revenue/Investment*100</f>
        <v>215.9381241277917</v>
      </c>
      <c r="T8" s="200">
        <f>EXP(y_inter1-(slope*LN(+S8)))</f>
        <v>7.7514450558595041</v>
      </c>
      <c r="U8" s="201">
        <f>(+S8*T8/100)/100</f>
        <v>0.16738325046419469</v>
      </c>
      <c r="V8" s="201">
        <f>regDebt_weighted</f>
        <v>3.5860000000000003E-2</v>
      </c>
      <c r="W8" s="201">
        <f>+U8-V8</f>
        <v>0.13152325046419469</v>
      </c>
      <c r="X8" s="201">
        <f>+((W8*(1-0.34))-Pfd_weighted)/Equity_percent</f>
        <v>0.23434693403014098</v>
      </c>
      <c r="Y8" s="201">
        <f>+Y7</f>
        <v>2.5000000000000001E-3</v>
      </c>
      <c r="Z8" s="201">
        <f>+X8+Y8</f>
        <v>0.23684693403014098</v>
      </c>
      <c r="AA8" s="201">
        <f>Z8*equityP</f>
        <v>0.14210816041808458</v>
      </c>
      <c r="AB8" s="201">
        <f>+AA8/(1-taxrate)</f>
        <v>0.179883747364664</v>
      </c>
      <c r="AC8" s="201">
        <f>debtP*Debt_Rate</f>
        <v>1.2716825048595141E-2</v>
      </c>
      <c r="AD8" s="201">
        <f>AC8+AB8</f>
        <v>0.19260057241325915</v>
      </c>
      <c r="AE8" s="201">
        <f>AD8/(S8/100)</f>
        <v>8.9192481962693429E-2</v>
      </c>
      <c r="AF8" s="201">
        <f>1-AE8</f>
        <v>0.91080751803730653</v>
      </c>
      <c r="AG8" s="202">
        <f>expenses/(AF8)</f>
        <v>21854678.412075683</v>
      </c>
      <c r="AH8" s="203">
        <f>+AG8-Revenue</f>
        <v>594541.6707370542</v>
      </c>
      <c r="AI8" s="204">
        <f ca="1">+AH8/$J$49</f>
        <v>665625.75043014449</v>
      </c>
      <c r="AJ8" s="204">
        <f ca="1">+AI8*$J$47</f>
        <v>14351.047405594338</v>
      </c>
      <c r="AK8" s="202">
        <f ca="1">ROUND(+AJ8+AG8,5)</f>
        <v>21869029.459479999</v>
      </c>
    </row>
    <row r="9" spans="1:37" ht="15.75">
      <c r="A9" s="151"/>
      <c r="B9" s="176" t="s">
        <v>490</v>
      </c>
      <c r="C9" s="476">
        <f>+'Corporate BS'!B57</f>
        <v>3.179206262148785E-2</v>
      </c>
      <c r="D9" s="172"/>
      <c r="E9" s="151"/>
      <c r="F9" s="205">
        <f t="shared" ref="F9:F49" si="0">+F8+1</f>
        <v>3</v>
      </c>
      <c r="G9" s="178"/>
      <c r="H9" s="195" t="s">
        <v>491</v>
      </c>
      <c r="I9" s="207">
        <f>+I7-I8</f>
        <v>1354731.3393324725</v>
      </c>
      <c r="J9" s="167"/>
      <c r="K9" s="207">
        <f ca="1">+K7-K8</f>
        <v>1855795.1861586981</v>
      </c>
      <c r="L9" s="178"/>
      <c r="M9" s="208">
        <f ca="1">+M7-M8</f>
        <v>1855795.1861587018</v>
      </c>
      <c r="O9" s="209">
        <f ca="1">M9-M11</f>
        <v>1730591.9870752394</v>
      </c>
      <c r="P9" s="210">
        <v>5.3129765021164649E-2</v>
      </c>
      <c r="R9" s="211">
        <v>4</v>
      </c>
      <c r="S9" s="199">
        <f>Revenue/Investment*100</f>
        <v>215.9381241277917</v>
      </c>
      <c r="T9" s="200">
        <f>EXP(y_inter1-(slope*LN(+S9)))</f>
        <v>7.7514450558595041</v>
      </c>
      <c r="U9" s="201">
        <f>(+S9*T9/100)/100</f>
        <v>0.16738325046419469</v>
      </c>
      <c r="V9" s="201">
        <f>regDebt_weighted</f>
        <v>3.5860000000000003E-2</v>
      </c>
      <c r="W9" s="201">
        <f>+U9-V9</f>
        <v>0.13152325046419469</v>
      </c>
      <c r="X9" s="201">
        <f>+((W9*(1-0.34))-Pfd_weighted)/Equity_percent</f>
        <v>0.23434693403014098</v>
      </c>
      <c r="Y9" s="201">
        <f>+Y8</f>
        <v>2.5000000000000001E-3</v>
      </c>
      <c r="Z9" s="201">
        <f>+X9+Y9</f>
        <v>0.23684693403014098</v>
      </c>
      <c r="AA9" s="201">
        <f>Z9*equityP</f>
        <v>0.14210816041808458</v>
      </c>
      <c r="AB9" s="201">
        <f>+AA9/(1-taxrate)</f>
        <v>0.179883747364664</v>
      </c>
      <c r="AC9" s="201">
        <f>debtP*Debt_Rate</f>
        <v>1.2716825048595141E-2</v>
      </c>
      <c r="AD9" s="201">
        <f>AC9+AB9</f>
        <v>0.19260057241325915</v>
      </c>
      <c r="AE9" s="201">
        <f>AD9/(S9/100)</f>
        <v>8.9192481962693429E-2</v>
      </c>
      <c r="AF9" s="201">
        <f>1-AE9</f>
        <v>0.91080751803730653</v>
      </c>
      <c r="AG9" s="202">
        <f>expenses/(AF9)</f>
        <v>21854678.412075683</v>
      </c>
      <c r="AH9" s="203">
        <f>+AG9-Revenue</f>
        <v>594541.6707370542</v>
      </c>
      <c r="AI9" s="204">
        <f ca="1">+AH9/$J$49</f>
        <v>665625.75043014449</v>
      </c>
      <c r="AJ9" s="204">
        <f ca="1">+AI9*$J$47</f>
        <v>14351.047405594338</v>
      </c>
      <c r="AK9" s="202">
        <f ca="1">ROUND(+AJ9+AG9,5)</f>
        <v>21869029.459479999</v>
      </c>
    </row>
    <row r="10" spans="1:37" ht="15.75">
      <c r="A10" s="151"/>
      <c r="B10" s="212" t="s">
        <v>492</v>
      </c>
      <c r="C10" s="476">
        <v>0.21</v>
      </c>
      <c r="D10" s="172"/>
      <c r="E10" s="151"/>
      <c r="F10" s="205">
        <f t="shared" si="0"/>
        <v>4</v>
      </c>
      <c r="G10" s="178"/>
      <c r="H10" s="178"/>
      <c r="I10" s="167"/>
      <c r="J10" s="167"/>
      <c r="K10" s="196"/>
      <c r="L10" s="178"/>
      <c r="M10" s="178"/>
      <c r="O10" s="181"/>
      <c r="P10" s="151"/>
      <c r="R10" s="170" t="s">
        <v>493</v>
      </c>
    </row>
    <row r="11" spans="1:37" ht="15.75">
      <c r="A11" s="151"/>
      <c r="B11" s="176" t="s">
        <v>494</v>
      </c>
      <c r="C11" s="476">
        <f>'[52]LG Public 2018 V5.0z'!C11</f>
        <v>1.4999999999999999E-2</v>
      </c>
      <c r="D11" s="172"/>
      <c r="E11" s="151"/>
      <c r="F11" s="205">
        <f t="shared" si="0"/>
        <v>5</v>
      </c>
      <c r="G11" s="178"/>
      <c r="H11" s="195" t="s">
        <v>147</v>
      </c>
      <c r="I11" s="196">
        <f>+K11</f>
        <v>125203.19908346228</v>
      </c>
      <c r="J11" s="167"/>
      <c r="K11" s="196">
        <f>+M27</f>
        <v>125203.19908346228</v>
      </c>
      <c r="L11" s="178"/>
      <c r="M11" s="196">
        <f>+K11</f>
        <v>125203.19908346228</v>
      </c>
      <c r="O11" s="181"/>
      <c r="P11" s="181">
        <f ca="1">M7-28899130</f>
        <v>-7125834.7322307378</v>
      </c>
      <c r="R11" s="187">
        <v>1</v>
      </c>
      <c r="S11" s="188">
        <f ca="1">IF((AK6/Investment*100)&gt;0,(AK6/Investment*100),0)</f>
        <v>222.12261639847691</v>
      </c>
      <c r="T11" s="189">
        <f ca="1">EXP(y_inter1-(slope*LN(S11)))</f>
        <v>7.603236787978771</v>
      </c>
      <c r="U11" s="190">
        <f ca="1">(+S11*T11/100)/100</f>
        <v>0.16888508484429962</v>
      </c>
      <c r="V11" s="190">
        <f>regDebt_weighted</f>
        <v>3.5860000000000003E-2</v>
      </c>
      <c r="W11" s="190">
        <f ca="1">+U11-V11</f>
        <v>0.13302508484429962</v>
      </c>
      <c r="X11" s="190">
        <f ca="1">+((W11*(1-0.34))-Pfd_weighted)/Equity_percent</f>
        <v>0.23722836045708645</v>
      </c>
      <c r="Y11" s="190">
        <f>+Y9</f>
        <v>2.5000000000000001E-3</v>
      </c>
      <c r="Z11" s="190">
        <f ca="1">+X11+Y11</f>
        <v>0.23972836045708645</v>
      </c>
      <c r="AA11" s="190">
        <f ca="1">Z11*equityP</f>
        <v>0.14383701627425186</v>
      </c>
      <c r="AB11" s="190">
        <f ca="1">+AA11/(1-taxrate)</f>
        <v>0.18207217249905297</v>
      </c>
      <c r="AC11" s="190">
        <f>debtP*Debt_Rate</f>
        <v>1.2716825048595141E-2</v>
      </c>
      <c r="AD11" s="190">
        <f ca="1">+AC11+AB11</f>
        <v>0.19478899754764811</v>
      </c>
      <c r="AE11" s="190">
        <f ca="1">+AD11/(S11/100)</f>
        <v>8.7694355804906587E-2</v>
      </c>
      <c r="AF11" s="190">
        <f ca="1">1-AE11</f>
        <v>0.91230564419509341</v>
      </c>
      <c r="AG11" s="191">
        <f ca="1">expenses/(AF11)</f>
        <v>21818790.148523353</v>
      </c>
      <c r="AH11" s="192">
        <f ca="1">+AG11-Revenue</f>
        <v>558653.40718472376</v>
      </c>
      <c r="AI11" s="193">
        <f ca="1">+AH11/$J$49</f>
        <v>625446.64518922742</v>
      </c>
      <c r="AJ11" s="193">
        <f ca="1">+AI11*$J$47</f>
        <v>13484.776466325322</v>
      </c>
      <c r="AK11" s="191">
        <f ca="1">ROUND(+AJ11+AG11,5)</f>
        <v>21832274.924989998</v>
      </c>
    </row>
    <row r="12" spans="1:37" ht="15.75">
      <c r="A12" s="151"/>
      <c r="B12" s="176" t="s">
        <v>80</v>
      </c>
      <c r="C12" s="476">
        <f>'[52]LG Public 2018 V5.0z'!C12</f>
        <v>5.1000000000000004E-3</v>
      </c>
      <c r="D12" s="172"/>
      <c r="E12" s="151"/>
      <c r="F12" s="205">
        <f t="shared" si="0"/>
        <v>6</v>
      </c>
      <c r="G12" s="178"/>
      <c r="H12" s="195" t="s">
        <v>495</v>
      </c>
      <c r="I12" s="213">
        <f>+(I9-I11)*taxrate</f>
        <v>258200.90945229214</v>
      </c>
      <c r="J12" s="196">
        <f ca="1">+K12-I12</f>
        <v>105223.40783350734</v>
      </c>
      <c r="K12" s="196">
        <f ca="1">+(K9-K11)*taxrate</f>
        <v>363424.31728579948</v>
      </c>
      <c r="L12" s="178"/>
      <c r="M12" s="196">
        <f ca="1">+K12</f>
        <v>363424.31728579948</v>
      </c>
      <c r="O12" s="181">
        <f ca="1">J7*0.34</f>
        <v>170361.7079209167</v>
      </c>
      <c r="P12" s="181">
        <f ca="1">P11-M12</f>
        <v>-7489259.0495165372</v>
      </c>
      <c r="R12" s="198">
        <v>2</v>
      </c>
      <c r="S12" s="199">
        <f ca="1">IF((AK7/Investment*100)&gt;0,(AK7/Investment*100),0)</f>
        <v>222.12261639847691</v>
      </c>
      <c r="T12" s="214">
        <f ca="1">EXP(y_inter2-(slope*LN(+S12)))</f>
        <v>7.4950593473394163</v>
      </c>
      <c r="U12" s="201">
        <f ca="1">(+S12*T12/100)/100</f>
        <v>0.16648221922928919</v>
      </c>
      <c r="V12" s="201">
        <f>regDebt_weighted</f>
        <v>3.5860000000000003E-2</v>
      </c>
      <c r="W12" s="201">
        <f ca="1">+U12-V12</f>
        <v>0.13062221922928918</v>
      </c>
      <c r="X12" s="201">
        <f ca="1">+((W12*(1-0.34))-Pfd_weighted)/Equity_percent</f>
        <v>0.2326182113120083</v>
      </c>
      <c r="Y12" s="201">
        <f>+Y11</f>
        <v>2.5000000000000001E-3</v>
      </c>
      <c r="Z12" s="201">
        <f ca="1">+X12+Y12</f>
        <v>0.2351182113120083</v>
      </c>
      <c r="AA12" s="201">
        <f ca="1">Z12*equityP</f>
        <v>0.14107092678720498</v>
      </c>
      <c r="AB12" s="201">
        <f ca="1">+AA12/(1-taxrate)</f>
        <v>0.17857079340152529</v>
      </c>
      <c r="AC12" s="201">
        <f>debtP*Debt_Rate</f>
        <v>1.2716825048595141E-2</v>
      </c>
      <c r="AD12" s="201">
        <f ca="1">+AC12+AB12</f>
        <v>0.19128761845012043</v>
      </c>
      <c r="AE12" s="201">
        <f ca="1">+AD12/(S12/100)</f>
        <v>8.6118028659882148E-2</v>
      </c>
      <c r="AF12" s="201">
        <f ca="1">1-AE12</f>
        <v>0.91388197134011784</v>
      </c>
      <c r="AG12" s="202">
        <f ca="1">expenses/(AF12)</f>
        <v>21781155.582724586</v>
      </c>
      <c r="AH12" s="203">
        <f ca="1">+AG12-Revenue</f>
        <v>521018.84138595685</v>
      </c>
      <c r="AI12" s="204">
        <f ca="1">+AH12/$J$49</f>
        <v>583312.44781520369</v>
      </c>
      <c r="AJ12" s="204">
        <f ca="1">+AI12*$J$47</f>
        <v>12576.353281794782</v>
      </c>
      <c r="AK12" s="202">
        <f ca="1">ROUND(+AJ12+AG12,5)</f>
        <v>21793731.936009999</v>
      </c>
    </row>
    <row r="13" spans="1:37" ht="15.75">
      <c r="A13" s="151"/>
      <c r="B13" s="176" t="s">
        <v>496</v>
      </c>
      <c r="C13" s="476">
        <f>'[52]LG Public 2018 V5.0z'!C13</f>
        <v>0</v>
      </c>
      <c r="D13" s="172"/>
      <c r="E13" s="151"/>
      <c r="F13" s="205">
        <f t="shared" si="0"/>
        <v>7</v>
      </c>
      <c r="G13" s="178"/>
      <c r="H13" s="178"/>
      <c r="I13" s="167"/>
      <c r="J13" s="167"/>
      <c r="K13" s="196"/>
      <c r="L13" s="178"/>
      <c r="M13" s="178"/>
      <c r="O13" s="181"/>
      <c r="P13" s="215">
        <f ca="1">P12/M12</f>
        <v>-20.607479173241263</v>
      </c>
      <c r="R13" s="206">
        <v>3</v>
      </c>
      <c r="S13" s="199">
        <f ca="1">IF((AK8/Investment*100)&gt;0,(AK8/Investment*100),0)</f>
        <v>222.12261639847691</v>
      </c>
      <c r="T13" s="200">
        <f ca="1">EXP(y_inter3-(slope*LN(S13)))</f>
        <v>7.4221891679803216</v>
      </c>
      <c r="U13" s="201">
        <f ca="1">(+S13*T13/100)/100</f>
        <v>0.16486360773962236</v>
      </c>
      <c r="V13" s="201">
        <f>regDebt_weighted</f>
        <v>3.5860000000000003E-2</v>
      </c>
      <c r="W13" s="201">
        <f ca="1">+U13-V13</f>
        <v>0.12900360773962236</v>
      </c>
      <c r="X13" s="201">
        <f ca="1">+((W13*(1-0.34))-Pfd_weighted)/Equity_percent</f>
        <v>0.22951273577950798</v>
      </c>
      <c r="Y13" s="201">
        <f>+Y12</f>
        <v>2.5000000000000001E-3</v>
      </c>
      <c r="Z13" s="201">
        <f ca="1">+X13+Y13</f>
        <v>0.23201273577950798</v>
      </c>
      <c r="AA13" s="201">
        <f ca="1">Z13*equityP</f>
        <v>0.13920764146770478</v>
      </c>
      <c r="AB13" s="201">
        <f ca="1">+AA13/(1-taxrate)</f>
        <v>0.17621220438949972</v>
      </c>
      <c r="AC13" s="201">
        <f>debtP*Debt_Rate</f>
        <v>1.2716825048595141E-2</v>
      </c>
      <c r="AD13" s="201">
        <f ca="1">+AC13+AB13</f>
        <v>0.18892902943809486</v>
      </c>
      <c r="AE13" s="201">
        <f ca="1">+AD13/(S13/100)</f>
        <v>8.505618765950676E-2</v>
      </c>
      <c r="AF13" s="201">
        <f ca="1">1-AE13</f>
        <v>0.91494381234049327</v>
      </c>
      <c r="AG13" s="202">
        <f ca="1">expenses/(AF13)</f>
        <v>21755877.392171953</v>
      </c>
      <c r="AH13" s="203">
        <f ca="1">+AG13-Revenue</f>
        <v>495740.6508333236</v>
      </c>
      <c r="AI13" s="204">
        <f ca="1">+AH13/$J$49</f>
        <v>555011.96799306828</v>
      </c>
      <c r="AJ13" s="204">
        <f ca="1">+AI13*$J$47</f>
        <v>11966.188294538697</v>
      </c>
      <c r="AK13" s="202">
        <f ca="1">ROUND(+AJ13+AG13,5)</f>
        <v>21767843.580469999</v>
      </c>
    </row>
    <row r="14" spans="1:37" ht="16.5" thickBot="1">
      <c r="A14" s="151"/>
      <c r="B14" s="216" t="s">
        <v>122</v>
      </c>
      <c r="C14" s="476">
        <f>+'Restating Adj''s'!E87</f>
        <v>1.4602347059444768E-3</v>
      </c>
      <c r="D14" s="172"/>
      <c r="E14" s="151"/>
      <c r="F14" s="205">
        <f t="shared" si="0"/>
        <v>8</v>
      </c>
      <c r="G14" s="178"/>
      <c r="H14" s="178" t="s">
        <v>284</v>
      </c>
      <c r="I14" s="217">
        <f>+I9-SUM(I11:I13)</f>
        <v>971327.23079671804</v>
      </c>
      <c r="J14" s="167"/>
      <c r="K14" s="217">
        <f ca="1">+K9-SUM(K11:K13)</f>
        <v>1367167.6697894363</v>
      </c>
      <c r="L14" s="178"/>
      <c r="M14" s="217">
        <f ca="1">+M9-SUM(M11:M13)</f>
        <v>1367167.66978944</v>
      </c>
      <c r="O14" s="181"/>
      <c r="P14" s="151"/>
      <c r="R14" s="211">
        <v>4</v>
      </c>
      <c r="S14" s="199">
        <f ca="1">IF((AK9/Investment*100)&gt;0,(AK9/Investment*100),0)</f>
        <v>222.12261639847691</v>
      </c>
      <c r="T14" s="218">
        <f ca="1">EXP(y_inter4-(slope*LN(S14)))</f>
        <v>7.375576360736618</v>
      </c>
      <c r="U14" s="201">
        <f ca="1">(+S14*T14/100)/100</f>
        <v>0.16382823186935741</v>
      </c>
      <c r="V14" s="201">
        <f>regDebt_weighted</f>
        <v>3.5860000000000003E-2</v>
      </c>
      <c r="W14" s="201">
        <f ca="1">+U14-V14</f>
        <v>0.12796823186935741</v>
      </c>
      <c r="X14" s="201">
        <f ca="1">+((W14*(1-0.34))-Pfd_weighted)/Equity_percent</f>
        <v>0.22752625881911592</v>
      </c>
      <c r="Y14" s="201">
        <f>+Y13</f>
        <v>2.5000000000000001E-3</v>
      </c>
      <c r="Z14" s="201">
        <f ca="1">+X14+Y14</f>
        <v>0.23002625881911593</v>
      </c>
      <c r="AA14" s="201">
        <f ca="1">Z14*equityP</f>
        <v>0.13801575529146956</v>
      </c>
      <c r="AB14" s="201">
        <f ca="1">+AA14/(1-taxrate)</f>
        <v>0.17470348771072094</v>
      </c>
      <c r="AC14" s="201">
        <f>debtP*Debt_Rate</f>
        <v>1.2716825048595141E-2</v>
      </c>
      <c r="AD14" s="201">
        <f ca="1">+AC14+AB14</f>
        <v>0.18742031275931609</v>
      </c>
      <c r="AE14" s="201">
        <f ca="1">+AD14/(S14/100)</f>
        <v>8.4376960706735685E-2</v>
      </c>
      <c r="AF14" s="201">
        <f ca="1">1-AE14</f>
        <v>0.91562303929326427</v>
      </c>
      <c r="AG14" s="202">
        <f ca="1">expenses/(AF14)</f>
        <v>21739738.459803727</v>
      </c>
      <c r="AH14" s="203">
        <f ca="1">+AG14-Revenue</f>
        <v>479601.71846509725</v>
      </c>
      <c r="AI14" s="204">
        <f ca="1">+AH14/$J$49</f>
        <v>536943.44647896721</v>
      </c>
      <c r="AJ14" s="204">
        <f ca="1">+AI14*$J$47</f>
        <v>11576.626729905271</v>
      </c>
      <c r="AK14" s="202">
        <f ca="1">ROUND(+AJ14+AG14,5)</f>
        <v>21751315.08653</v>
      </c>
    </row>
    <row r="15" spans="1:37" ht="16.5" thickTop="1">
      <c r="A15" s="151"/>
      <c r="B15" s="216" t="s">
        <v>497</v>
      </c>
      <c r="C15" s="219">
        <v>2.5000000000000001E-3</v>
      </c>
      <c r="D15" s="151"/>
      <c r="E15" s="151"/>
      <c r="F15" s="205">
        <f t="shared" si="0"/>
        <v>9</v>
      </c>
      <c r="G15" s="167"/>
      <c r="H15" s="167"/>
      <c r="I15" s="220"/>
      <c r="J15" s="167"/>
      <c r="K15" s="221"/>
      <c r="L15" s="167"/>
      <c r="M15" s="167"/>
      <c r="O15" s="181"/>
      <c r="P15" s="151">
        <f>34-21</f>
        <v>13</v>
      </c>
      <c r="R15" s="170" t="s">
        <v>498</v>
      </c>
    </row>
    <row r="16" spans="1:37" ht="15.75">
      <c r="A16" s="151"/>
      <c r="B16" s="151"/>
      <c r="C16" s="151"/>
      <c r="D16" s="172" t="s">
        <v>499</v>
      </c>
      <c r="E16" s="151"/>
      <c r="F16" s="205">
        <f t="shared" si="0"/>
        <v>10</v>
      </c>
      <c r="G16" s="167"/>
      <c r="H16" s="195" t="s">
        <v>500</v>
      </c>
      <c r="I16" s="222">
        <f>+I8/I7</f>
        <v>0.9362783336807845</v>
      </c>
      <c r="J16" s="223"/>
      <c r="K16" s="222">
        <f ca="1">+K8/K7</f>
        <v>0.91472000000000009</v>
      </c>
      <c r="L16" s="224"/>
      <c r="M16" s="222">
        <f ca="1">+M8/M7</f>
        <v>0.91476737152846987</v>
      </c>
      <c r="O16" s="181"/>
      <c r="P16" s="225">
        <f>P15/34</f>
        <v>0.38235294117647056</v>
      </c>
      <c r="R16" s="226">
        <v>1</v>
      </c>
      <c r="S16" s="227">
        <f ca="1">AK11/Investment*100</f>
        <v>221.74930246698517</v>
      </c>
      <c r="T16" s="228">
        <f ca="1">EXP(y_inter1-(slope*LN(+S16)))</f>
        <v>7.6119854452716629</v>
      </c>
      <c r="U16" s="229">
        <f ca="1">(+S16*T16/100)/100</f>
        <v>0.16879524628778347</v>
      </c>
      <c r="V16" s="229">
        <f>regDebt_weighted</f>
        <v>3.5860000000000003E-2</v>
      </c>
      <c r="W16" s="229">
        <f ca="1">+U16-V16</f>
        <v>0.13293524628778347</v>
      </c>
      <c r="X16" s="229">
        <f ca="1">+((W16*(1-0.34))-Pfd_weighted)/Equity_percent</f>
        <v>0.23705599578470082</v>
      </c>
      <c r="Y16" s="229">
        <f>+Y14</f>
        <v>2.5000000000000001E-3</v>
      </c>
      <c r="Z16" s="229">
        <f ca="1">+X16+Y16</f>
        <v>0.23955599578470083</v>
      </c>
      <c r="AA16" s="229">
        <f ca="1">Z16*equityP</f>
        <v>0.14373359747082048</v>
      </c>
      <c r="AB16" s="229">
        <f ca="1">+AA16/(1-taxrate)</f>
        <v>0.18194126262129173</v>
      </c>
      <c r="AC16" s="229">
        <f>debtP*Debt_Rate</f>
        <v>1.2716825048595141E-2</v>
      </c>
      <c r="AD16" s="229">
        <f ca="1">+AC16+AB16</f>
        <v>0.19465808766988688</v>
      </c>
      <c r="AE16" s="229">
        <f ca="1">+AD16/(S16/100)</f>
        <v>8.7782953769998118E-2</v>
      </c>
      <c r="AF16" s="229">
        <f ca="1">1-AE16</f>
        <v>0.91221704623000188</v>
      </c>
      <c r="AG16" s="230">
        <f ca="1">expenses/(AF16)</f>
        <v>21820909.27183497</v>
      </c>
      <c r="AH16" s="231">
        <f ca="1">+AG16-Revenue</f>
        <v>560772.53049634025</v>
      </c>
      <c r="AI16" s="232">
        <f ca="1">+AH16/$J$49</f>
        <v>627819.13329893397</v>
      </c>
      <c r="AJ16" s="232">
        <f ca="1">+AI16*$J$47</f>
        <v>13535.927866807659</v>
      </c>
      <c r="AK16" s="230">
        <f ca="1">ROUND(+AJ16+AG16,5)</f>
        <v>21834445.199700002</v>
      </c>
    </row>
    <row r="17" spans="1:37" ht="15.75">
      <c r="A17" s="151"/>
      <c r="B17" s="233" t="s">
        <v>501</v>
      </c>
      <c r="C17" s="234"/>
      <c r="D17" s="151" t="s">
        <v>502</v>
      </c>
      <c r="E17" s="151"/>
      <c r="F17" s="205">
        <f t="shared" si="0"/>
        <v>11</v>
      </c>
      <c r="G17" s="167"/>
      <c r="H17" s="167"/>
      <c r="I17" s="167"/>
      <c r="K17" s="167"/>
      <c r="L17" s="195"/>
      <c r="M17" s="195"/>
      <c r="N17" s="222"/>
      <c r="O17" s="151"/>
      <c r="P17" s="151"/>
      <c r="R17" s="198">
        <v>2</v>
      </c>
      <c r="S17" s="199">
        <f ca="1">AK12/Investment*100</f>
        <v>221.35782329449066</v>
      </c>
      <c r="T17" s="214">
        <f ca="1">EXP(y_inter2-(slope*LN(+S17)))</f>
        <v>7.5127536583339767</v>
      </c>
      <c r="U17" s="201">
        <f ca="1">(+S17*T17/100)/100</f>
        <v>0.16630067967565307</v>
      </c>
      <c r="V17" s="201">
        <f>regDebt_weighted</f>
        <v>3.5860000000000003E-2</v>
      </c>
      <c r="W17" s="201">
        <f ca="1">+U17-V17</f>
        <v>0.13044067967565307</v>
      </c>
      <c r="X17" s="201">
        <f ca="1">+((W17*(1-0.34))-Pfd_weighted)/Equity_percent</f>
        <v>0.23226990868003203</v>
      </c>
      <c r="Y17" s="201">
        <f>+Y16</f>
        <v>2.5000000000000001E-3</v>
      </c>
      <c r="Z17" s="201">
        <f ca="1">+X17+Y17</f>
        <v>0.23476990868003203</v>
      </c>
      <c r="AA17" s="201">
        <f ca="1">Z17*equityP</f>
        <v>0.1408619452080192</v>
      </c>
      <c r="AB17" s="201">
        <f ca="1">+AA17/(1-taxrate)</f>
        <v>0.17830625975698633</v>
      </c>
      <c r="AC17" s="201">
        <f>debtP*Debt_Rate</f>
        <v>1.2716825048595141E-2</v>
      </c>
      <c r="AD17" s="201">
        <f ca="1">+AC17+AB17</f>
        <v>0.19102308480558147</v>
      </c>
      <c r="AE17" s="201">
        <f ca="1">+AD17/(S17/100)</f>
        <v>8.6296062168739182E-2</v>
      </c>
      <c r="AF17" s="201">
        <f ca="1">1-AE17</f>
        <v>0.9137039378312608</v>
      </c>
      <c r="AG17" s="202">
        <f ca="1">expenses/(AF17)</f>
        <v>21785399.600283004</v>
      </c>
      <c r="AH17" s="203">
        <f ca="1">+AG17-Revenue</f>
        <v>525262.85894437507</v>
      </c>
      <c r="AI17" s="204">
        <f ca="1">+AH17/$J$49</f>
        <v>588063.88494938938</v>
      </c>
      <c r="AJ17" s="204">
        <f ca="1">+AI17*$J$47</f>
        <v>12678.795381598366</v>
      </c>
      <c r="AK17" s="202">
        <f ca="1">ROUND(+AJ17+AG17,5)</f>
        <v>21798078.395660002</v>
      </c>
    </row>
    <row r="18" spans="1:37" ht="15.75">
      <c r="A18" s="151"/>
      <c r="B18" s="1275"/>
      <c r="C18" s="1275"/>
      <c r="D18" s="151"/>
      <c r="E18" s="151"/>
      <c r="F18" s="205">
        <f t="shared" si="0"/>
        <v>12</v>
      </c>
      <c r="G18" s="167"/>
      <c r="H18" s="235" t="s">
        <v>355</v>
      </c>
      <c r="I18" s="236"/>
      <c r="J18" s="236"/>
      <c r="K18" s="236"/>
      <c r="L18" s="236"/>
      <c r="M18" s="237"/>
      <c r="O18" s="151"/>
      <c r="P18" s="151"/>
      <c r="R18" s="206">
        <v>3</v>
      </c>
      <c r="S18" s="199">
        <f ca="1">AK13/Investment*100</f>
        <v>221.09487658817005</v>
      </c>
      <c r="T18" s="200">
        <f ca="1">EXP(y_inter3-(slope*LN(S18)))</f>
        <v>7.4457594226600792</v>
      </c>
      <c r="U18" s="201">
        <f ca="1">(+S18*T18/100)/100</f>
        <v>0.16462192606582346</v>
      </c>
      <c r="V18" s="201">
        <f>regDebt_weighted</f>
        <v>3.5860000000000003E-2</v>
      </c>
      <c r="W18" s="201">
        <f ca="1">+U18-V18</f>
        <v>0.12876192606582346</v>
      </c>
      <c r="X18" s="201">
        <f ca="1">+((W18*(1-0.34))-Pfd_weighted)/Equity_percent</f>
        <v>0.22904904419605662</v>
      </c>
      <c r="Y18" s="201">
        <f>+Y17</f>
        <v>2.5000000000000001E-3</v>
      </c>
      <c r="Z18" s="201">
        <f ca="1">+X18+Y18</f>
        <v>0.23154904419605662</v>
      </c>
      <c r="AA18" s="201">
        <f ca="1">Z18*equityP</f>
        <v>0.13892942651763396</v>
      </c>
      <c r="AB18" s="201">
        <f ca="1">+AA18/(1-taxrate)</f>
        <v>0.17586003356662525</v>
      </c>
      <c r="AC18" s="201">
        <f>debtP*Debt_Rate</f>
        <v>1.2716825048595141E-2</v>
      </c>
      <c r="AD18" s="201">
        <f ca="1">+AC18+AB18</f>
        <v>0.18857685861522039</v>
      </c>
      <c r="AE18" s="201">
        <f ca="1">+AD18/(S18/100)</f>
        <v>8.529227882854995E-2</v>
      </c>
      <c r="AF18" s="201">
        <f ca="1">1-AE18</f>
        <v>0.91470772117145005</v>
      </c>
      <c r="AG18" s="202">
        <f ca="1">expenses/(AF18)</f>
        <v>21761492.705575563</v>
      </c>
      <c r="AH18" s="203">
        <f ca="1">+AG18-Revenue</f>
        <v>501355.96423693374</v>
      </c>
      <c r="AI18" s="204">
        <f ca="1">+AH18/$J$49</f>
        <v>561298.65466642589</v>
      </c>
      <c r="AJ18" s="204">
        <f ca="1">+AI18*$J$47</f>
        <v>12101.73073473902</v>
      </c>
      <c r="AK18" s="202">
        <f ca="1">ROUND(+AJ18+AG18,5)</f>
        <v>21773594.436310001</v>
      </c>
    </row>
    <row r="19" spans="1:37" ht="15.75">
      <c r="A19" s="151"/>
      <c r="B19" s="1276" t="s">
        <v>503</v>
      </c>
      <c r="C19" s="1276"/>
      <c r="D19" s="151"/>
      <c r="E19" s="151"/>
      <c r="F19" s="205">
        <f t="shared" si="0"/>
        <v>13</v>
      </c>
      <c r="G19" s="167"/>
      <c r="H19" s="173"/>
      <c r="I19" s="238" t="s">
        <v>504</v>
      </c>
      <c r="J19" s="239">
        <f>+Revenue</f>
        <v>21260136.741338629</v>
      </c>
      <c r="K19" s="240"/>
      <c r="L19" s="238" t="s">
        <v>505</v>
      </c>
      <c r="M19" s="241">
        <f ca="1">+J7</f>
        <v>501063.84682622552</v>
      </c>
      <c r="O19" s="151"/>
      <c r="P19" s="151"/>
      <c r="R19" s="211">
        <v>4</v>
      </c>
      <c r="S19" s="199">
        <f ca="1">AK14/Investment*100</f>
        <v>220.92699751855326</v>
      </c>
      <c r="T19" s="218">
        <f ca="1">EXP(y_inter4-(slope*LN(S19)))</f>
        <v>7.4028419848288127</v>
      </c>
      <c r="U19" s="201">
        <f ca="1">(+S19*T19/100)/100</f>
        <v>0.1635487652812517</v>
      </c>
      <c r="V19" s="201">
        <f>regDebt_weighted</f>
        <v>3.5860000000000003E-2</v>
      </c>
      <c r="W19" s="201">
        <f ca="1">+U19-V19</f>
        <v>0.1276887652812517</v>
      </c>
      <c r="X19" s="201">
        <f ca="1">+((W19*(1-0.34))-Pfd_weighted)/Equity_percent</f>
        <v>0.22699007292333176</v>
      </c>
      <c r="Y19" s="201">
        <f>+Y18</f>
        <v>2.5000000000000001E-3</v>
      </c>
      <c r="Z19" s="201">
        <f ca="1">+X19+Y19</f>
        <v>0.22949007292333176</v>
      </c>
      <c r="AA19" s="201">
        <f ca="1">Z19*equityP</f>
        <v>0.13769404375399905</v>
      </c>
      <c r="AB19" s="201">
        <f ca="1">+AA19/(1-taxrate)</f>
        <v>0.17429625791645448</v>
      </c>
      <c r="AC19" s="201">
        <f>debtP*Debt_Rate</f>
        <v>1.2716825048595141E-2</v>
      </c>
      <c r="AD19" s="201">
        <f ca="1">+AC19+AB19</f>
        <v>0.18701308296504962</v>
      </c>
      <c r="AE19" s="201">
        <f ca="1">+AD19/(S19/100)</f>
        <v>8.4649266529476283E-2</v>
      </c>
      <c r="AF19" s="201">
        <f ca="1">1-AE19</f>
        <v>0.91535073347052376</v>
      </c>
      <c r="AG19" s="202">
        <f ca="1">expenses/(AF19)</f>
        <v>21746205.770257521</v>
      </c>
      <c r="AH19" s="203">
        <f ca="1">+AG19-Revenue</f>
        <v>486069.02891889215</v>
      </c>
      <c r="AI19" s="204">
        <f ca="1">+AH19/$J$49</f>
        <v>544183.99594076572</v>
      </c>
      <c r="AJ19" s="204">
        <f ca="1">+AI19*$J$47</f>
        <v>11732.734675701646</v>
      </c>
      <c r="AK19" s="202">
        <f ca="1">ROUND(+AJ19+AG19,5)</f>
        <v>21757938.504930001</v>
      </c>
    </row>
    <row r="20" spans="1:37" ht="15.75">
      <c r="A20" s="151"/>
      <c r="B20" s="242"/>
      <c r="C20" s="151"/>
      <c r="D20" s="151"/>
      <c r="E20" s="151"/>
      <c r="F20" s="205">
        <f t="shared" si="0"/>
        <v>14</v>
      </c>
      <c r="G20" s="167"/>
      <c r="H20" s="173"/>
      <c r="I20" s="238" t="s">
        <v>506</v>
      </c>
      <c r="J20" s="239">
        <f ca="1">+J21-J19</f>
        <v>513158.52643063292</v>
      </c>
      <c r="K20" s="243">
        <f ca="1">J20/J19</f>
        <v>2.4137122572350976E-2</v>
      </c>
      <c r="L20" s="238" t="s">
        <v>507</v>
      </c>
      <c r="M20" s="241">
        <f ca="1">+L8</f>
        <v>12094.679604405537</v>
      </c>
      <c r="O20" s="151"/>
      <c r="P20" s="151"/>
      <c r="R20" s="170" t="s">
        <v>508</v>
      </c>
    </row>
    <row r="21" spans="1:37" ht="16.5" thickBot="1">
      <c r="A21" s="151"/>
      <c r="B21" s="242"/>
      <c r="C21" s="242"/>
      <c r="D21" s="151"/>
      <c r="E21" s="151"/>
      <c r="F21" s="205">
        <f t="shared" si="0"/>
        <v>15</v>
      </c>
      <c r="G21" s="167"/>
      <c r="H21" s="173"/>
      <c r="I21" s="244" t="s">
        <v>355</v>
      </c>
      <c r="J21" s="245">
        <f ca="1">+M7</f>
        <v>21773295.267769262</v>
      </c>
      <c r="K21" s="246"/>
      <c r="L21" s="244" t="s">
        <v>506</v>
      </c>
      <c r="M21" s="247">
        <f ca="1">+M19+M20</f>
        <v>513158.52643063106</v>
      </c>
      <c r="O21" s="151"/>
      <c r="P21" s="151"/>
      <c r="R21" s="226">
        <v>1</v>
      </c>
      <c r="S21" s="227">
        <f ca="1">AK16/Investment*100</f>
        <v>221.77134583648095</v>
      </c>
      <c r="T21" s="228">
        <f ca="1">EXP(y_inter1-(slope*LN(+S21)))</f>
        <v>7.6114681674616875</v>
      </c>
      <c r="U21" s="229">
        <f ca="1">(+S21*T21/100)/100</f>
        <v>0.16880055392895116</v>
      </c>
      <c r="V21" s="229">
        <f>regDebt_weighted</f>
        <v>3.5860000000000003E-2</v>
      </c>
      <c r="W21" s="229">
        <f ca="1">+U21-V21</f>
        <v>0.13294055392895116</v>
      </c>
      <c r="X21" s="229">
        <f ca="1">+((W21*(1-0.34))-Pfd_weighted)/Equity_percent</f>
        <v>0.23706617904973187</v>
      </c>
      <c r="Y21" s="229">
        <f>+Y19</f>
        <v>2.5000000000000001E-3</v>
      </c>
      <c r="Z21" s="229">
        <f ca="1">+X21+Y21</f>
        <v>0.23956617904973188</v>
      </c>
      <c r="AA21" s="229">
        <f ca="1">Z21*equityP</f>
        <v>0.14373970742983913</v>
      </c>
      <c r="AB21" s="229">
        <f ca="1">+AA21/(1-taxrate)</f>
        <v>0.18194899674663181</v>
      </c>
      <c r="AC21" s="229">
        <f>debtP*Debt_Rate</f>
        <v>1.2716825048595141E-2</v>
      </c>
      <c r="AD21" s="229">
        <f ca="1">+AC21+AB21</f>
        <v>0.19466582179522696</v>
      </c>
      <c r="AE21" s="229">
        <f ca="1">+AD21/(S21/100)</f>
        <v>8.7777715854581245E-2</v>
      </c>
      <c r="AF21" s="229">
        <f ca="1">1-AE21</f>
        <v>0.91222228414541873</v>
      </c>
      <c r="AG21" s="230">
        <f ca="1">expenses/(AF21)</f>
        <v>21820783.977727305</v>
      </c>
      <c r="AH21" s="231">
        <f ca="1">+AG21-Revenue</f>
        <v>560647.23638867587</v>
      </c>
      <c r="AI21" s="232">
        <f ca="1">+AH21/$J$49</f>
        <v>627678.85888497205</v>
      </c>
      <c r="AJ21" s="232">
        <f ca="1">+AI21*$J$47</f>
        <v>13532.9035175194</v>
      </c>
      <c r="AK21" s="230">
        <f ca="1">ROUND(+AJ21+AG21,5)</f>
        <v>21834316.881239999</v>
      </c>
    </row>
    <row r="22" spans="1:37" ht="16.5" thickTop="1">
      <c r="A22" s="151"/>
      <c r="B22" s="242"/>
      <c r="C22" s="151"/>
      <c r="D22" s="151"/>
      <c r="E22" s="151"/>
      <c r="F22" s="205">
        <f t="shared" si="0"/>
        <v>16</v>
      </c>
      <c r="G22" s="167"/>
      <c r="H22" s="248"/>
      <c r="I22" s="249"/>
      <c r="J22" s="1078">
        <f ca="1">J20+'Rural - Price Out '!AN39+'Rural - Price Out '!AN120+'Rural - Price Out '!AN158</f>
        <v>466242.44157875364</v>
      </c>
      <c r="K22" s="947">
        <f ca="1">J22/J19</f>
        <v>2.1930359491629359E-2</v>
      </c>
      <c r="L22" s="249"/>
      <c r="M22" s="250"/>
      <c r="O22" s="151"/>
      <c r="P22" s="151"/>
      <c r="R22" s="198">
        <v>2</v>
      </c>
      <c r="S22" s="199">
        <f ca="1">AK17/Investment*100</f>
        <v>221.40197006338673</v>
      </c>
      <c r="T22" s="214">
        <f ca="1">EXP(y_inter2-(slope*LN(+S22)))</f>
        <v>7.511729477106158</v>
      </c>
      <c r="U22" s="201">
        <f ca="1">(+S22*T22/100)/100</f>
        <v>0.16631117048145172</v>
      </c>
      <c r="V22" s="201">
        <f>regDebt_weighted</f>
        <v>3.5860000000000003E-2</v>
      </c>
      <c r="W22" s="201">
        <f ca="1">+U22-V22</f>
        <v>0.13045117048145172</v>
      </c>
      <c r="X22" s="201">
        <f ca="1">+((W22*(1-0.34))-Pfd_weighted)/Equity_percent</f>
        <v>0.23229003638883175</v>
      </c>
      <c r="Y22" s="201">
        <f>+Y21</f>
        <v>2.5000000000000001E-3</v>
      </c>
      <c r="Z22" s="201">
        <f ca="1">+X22+Y22</f>
        <v>0.23479003638883175</v>
      </c>
      <c r="AA22" s="201">
        <f ca="1">Z22*equityP</f>
        <v>0.14087402183329906</v>
      </c>
      <c r="AB22" s="201">
        <f ca="1">+AA22/(1-taxrate)</f>
        <v>0.17832154662442917</v>
      </c>
      <c r="AC22" s="201">
        <f>debtP*Debt_Rate</f>
        <v>1.2716825048595141E-2</v>
      </c>
      <c r="AD22" s="201">
        <f ca="1">+AC22+AB22</f>
        <v>0.19103837167302432</v>
      </c>
      <c r="AE22" s="201">
        <f ca="1">+AD22/(S22/100)</f>
        <v>8.6285759615567378E-2</v>
      </c>
      <c r="AF22" s="201">
        <f ca="1">1-AE22</f>
        <v>0.91371424038443261</v>
      </c>
      <c r="AG22" s="202">
        <f ca="1">expenses/(AF22)</f>
        <v>21785153.959766712</v>
      </c>
      <c r="AH22" s="203">
        <f ca="1">+AG22-Revenue</f>
        <v>525017.21842808276</v>
      </c>
      <c r="AI22" s="204">
        <f ca="1">+AH22/$J$49</f>
        <v>587788.87537303718</v>
      </c>
      <c r="AJ22" s="204">
        <f ca="1">+AI22*$J$47</f>
        <v>12672.86611058583</v>
      </c>
      <c r="AK22" s="202">
        <f ca="1">ROUND(+AJ22+AG22,5)</f>
        <v>21797826.825879999</v>
      </c>
    </row>
    <row r="23" spans="1:37" ht="15.75">
      <c r="A23" s="151"/>
      <c r="B23" s="251" t="s">
        <v>509</v>
      </c>
      <c r="C23" s="252"/>
      <c r="D23" s="252"/>
      <c r="E23" s="252"/>
      <c r="F23" s="205">
        <f t="shared" si="0"/>
        <v>17</v>
      </c>
      <c r="H23" s="167"/>
      <c r="I23" s="167"/>
      <c r="J23" s="167"/>
      <c r="K23" s="167"/>
      <c r="L23" s="167"/>
      <c r="M23" s="167"/>
      <c r="N23" s="167"/>
      <c r="O23" s="151"/>
      <c r="P23" s="151"/>
      <c r="R23" s="206">
        <v>3</v>
      </c>
      <c r="S23" s="199">
        <f ca="1">AK18/Investment*100</f>
        <v>221.15328773751156</v>
      </c>
      <c r="T23" s="200">
        <f ca="1">EXP(y_inter3-(slope*LN(S23)))</f>
        <v>7.4444148755647452</v>
      </c>
      <c r="U23" s="201">
        <f ca="1">(+S23*T23/100)/100</f>
        <v>0.16463568250131813</v>
      </c>
      <c r="V23" s="201">
        <f>regDebt_weighted</f>
        <v>3.5860000000000003E-2</v>
      </c>
      <c r="W23" s="201">
        <f ca="1">+U23-V23</f>
        <v>0.12877568250131813</v>
      </c>
      <c r="X23" s="201">
        <f ca="1">+((W23*(1-0.34))-Pfd_weighted)/Equity_percent</f>
        <v>0.22907543735718011</v>
      </c>
      <c r="Y23" s="201">
        <f>+Y22</f>
        <v>2.5000000000000001E-3</v>
      </c>
      <c r="Z23" s="201">
        <f ca="1">+X23+Y23</f>
        <v>0.23157543735718011</v>
      </c>
      <c r="AA23" s="201">
        <f ca="1">Z23*equityP</f>
        <v>0.13894526241430807</v>
      </c>
      <c r="AB23" s="201">
        <f ca="1">+AA23/(1-taxrate)</f>
        <v>0.17588007900545324</v>
      </c>
      <c r="AC23" s="201">
        <f>debtP*Debt_Rate</f>
        <v>1.2716825048595141E-2</v>
      </c>
      <c r="AD23" s="201">
        <f ca="1">+AC23+AB23</f>
        <v>0.18859690405404839</v>
      </c>
      <c r="AE23" s="201">
        <f ca="1">+AD23/(S23/100)</f>
        <v>8.5278815424121301E-2</v>
      </c>
      <c r="AF23" s="201">
        <f ca="1">1-AE23</f>
        <v>0.9147211845758787</v>
      </c>
      <c r="AG23" s="202">
        <f ca="1">expenses/(AF23)</f>
        <v>21761172.407125931</v>
      </c>
      <c r="AH23" s="203">
        <f ca="1">+AG23-Revenue</f>
        <v>501035.66578730196</v>
      </c>
      <c r="AI23" s="204">
        <f ca="1">+AH23/$J$49</f>
        <v>560940.06096914399</v>
      </c>
      <c r="AJ23" s="204">
        <f ca="1">+AI23*$J$47</f>
        <v>12093.99937046155</v>
      </c>
      <c r="AK23" s="202">
        <f ca="1">ROUND(+AJ23+AG23,5)</f>
        <v>21773266.406500001</v>
      </c>
    </row>
    <row r="24" spans="1:37" ht="15.75">
      <c r="A24" s="151"/>
      <c r="B24" s="253" t="s">
        <v>510</v>
      </c>
      <c r="C24" s="252"/>
      <c r="D24" s="252"/>
      <c r="E24" s="252"/>
      <c r="F24" s="205">
        <f t="shared" si="0"/>
        <v>18</v>
      </c>
      <c r="H24" s="254" t="s">
        <v>511</v>
      </c>
      <c r="K24" s="255" t="s">
        <v>512</v>
      </c>
      <c r="L24" s="255"/>
      <c r="M24" s="255"/>
      <c r="N24" s="255"/>
      <c r="O24" s="151"/>
      <c r="P24" s="151"/>
      <c r="R24" s="211">
        <v>4</v>
      </c>
      <c r="S24" s="199">
        <f ca="1">AK19/Investment*100</f>
        <v>220.99427124129605</v>
      </c>
      <c r="T24" s="218">
        <f ca="1">EXP(y_inter4-(slope*LN(S24)))</f>
        <v>7.4013012412718737</v>
      </c>
      <c r="U24" s="201">
        <f ca="1">(+S24*T24/100)/100</f>
        <v>0.16356451740521774</v>
      </c>
      <c r="V24" s="201">
        <f>regDebt_weighted</f>
        <v>3.5860000000000003E-2</v>
      </c>
      <c r="W24" s="201">
        <f ca="1">+U24-V24</f>
        <v>0.12770451740521774</v>
      </c>
      <c r="X24" s="201">
        <f ca="1">+((W24*(1-0.34))-Pfd_weighted)/Equity_percent</f>
        <v>0.22702029502163865</v>
      </c>
      <c r="Y24" s="201">
        <f>+Y23</f>
        <v>2.5000000000000001E-3</v>
      </c>
      <c r="Z24" s="201">
        <f ca="1">+X24+Y24</f>
        <v>0.22952029502163865</v>
      </c>
      <c r="AA24" s="201">
        <f ca="1">Z24*equityP</f>
        <v>0.13771217701298319</v>
      </c>
      <c r="AB24" s="201">
        <f ca="1">+AA24/(1-taxrate)</f>
        <v>0.17431921140883946</v>
      </c>
      <c r="AC24" s="201">
        <f>debtP*Debt_Rate</f>
        <v>1.2716825048595141E-2</v>
      </c>
      <c r="AD24" s="201">
        <f ca="1">+AC24+AB24</f>
        <v>0.18703603645743461</v>
      </c>
      <c r="AE24" s="201">
        <f ca="1">+AD24/(S24/100)</f>
        <v>8.4633884583015448E-2</v>
      </c>
      <c r="AF24" s="201">
        <f ca="1">1-AE24</f>
        <v>0.91536611541698454</v>
      </c>
      <c r="AG24" s="202">
        <f ca="1">expenses/(AF24)</f>
        <v>21745840.343826227</v>
      </c>
      <c r="AH24" s="203">
        <f ca="1">+AG24-Revenue</f>
        <v>485703.60248759761</v>
      </c>
      <c r="AI24" s="204">
        <f ca="1">+AH24/$J$49</f>
        <v>543774.87870890566</v>
      </c>
      <c r="AJ24" s="204">
        <f ca="1">+AI24*$J$47</f>
        <v>11723.914012160496</v>
      </c>
      <c r="AK24" s="202">
        <f ca="1">ROUND(+AJ24+AG24,5)</f>
        <v>21757564.25784</v>
      </c>
    </row>
    <row r="25" spans="1:37" ht="15.75">
      <c r="A25" s="151"/>
      <c r="B25" s="253" t="s">
        <v>513</v>
      </c>
      <c r="C25" s="252"/>
      <c r="D25" s="252"/>
      <c r="E25" s="252"/>
      <c r="F25" s="205">
        <f t="shared" si="0"/>
        <v>19</v>
      </c>
      <c r="H25" s="256" t="s">
        <v>514</v>
      </c>
      <c r="I25" s="257" t="s">
        <v>344</v>
      </c>
      <c r="J25" s="258" t="s">
        <v>515</v>
      </c>
      <c r="K25" s="256" t="s">
        <v>516</v>
      </c>
      <c r="L25" s="258" t="s">
        <v>517</v>
      </c>
      <c r="M25" s="258" t="s">
        <v>515</v>
      </c>
      <c r="O25" s="151"/>
      <c r="P25" s="151"/>
      <c r="R25" s="170" t="s">
        <v>518</v>
      </c>
      <c r="W25" s="259"/>
      <c r="X25" s="260"/>
      <c r="Y25" s="260"/>
      <c r="Z25" s="260"/>
      <c r="AA25" s="261"/>
      <c r="AB25" s="261"/>
      <c r="AC25" s="260"/>
      <c r="AE25" s="260"/>
      <c r="AF25" s="260"/>
      <c r="AG25" s="261"/>
      <c r="AH25" s="259"/>
    </row>
    <row r="26" spans="1:37" ht="15.75">
      <c r="A26" s="151"/>
      <c r="B26" s="253" t="s">
        <v>519</v>
      </c>
      <c r="C26" s="252"/>
      <c r="D26" s="252"/>
      <c r="E26" s="252"/>
      <c r="F26" s="205">
        <f t="shared" si="0"/>
        <v>20</v>
      </c>
      <c r="H26" s="195" t="s">
        <v>479</v>
      </c>
      <c r="I26" s="262">
        <f>1-I27</f>
        <v>0.6</v>
      </c>
      <c r="J26" s="263">
        <f>+I26*J28</f>
        <v>5907285.7543460727</v>
      </c>
      <c r="K26" s="222">
        <f ca="1">+K34</f>
        <v>0.23143753775303583</v>
      </c>
      <c r="L26" s="262">
        <f ca="1">+K26*I26</f>
        <v>0.1388625226518215</v>
      </c>
      <c r="M26" s="196">
        <f ca="1">+J26*K26</f>
        <v>1367167.66978944</v>
      </c>
      <c r="O26" s="151"/>
      <c r="P26" s="151"/>
      <c r="R26" s="226">
        <v>1</v>
      </c>
      <c r="S26" s="227">
        <f ca="1">AK21/Investment*100</f>
        <v>221.77004251242985</v>
      </c>
      <c r="T26" s="228">
        <f ca="1">EXP(y_inter1-(slope*LN(+S26)))</f>
        <v>7.6114987493349915</v>
      </c>
      <c r="U26" s="229">
        <f ca="1">(+S26*T26/100)/100</f>
        <v>0.16880024012233277</v>
      </c>
      <c r="V26" s="229">
        <f>regDebt_weighted</f>
        <v>3.5860000000000003E-2</v>
      </c>
      <c r="W26" s="229">
        <f ca="1">+U26-V26</f>
        <v>0.13294024012233277</v>
      </c>
      <c r="X26" s="229">
        <f ca="1">+((W26*(1-0.34))-Pfd_weighted)/Equity_percent</f>
        <v>0.23706557697889424</v>
      </c>
      <c r="Y26" s="229">
        <f>+Y24</f>
        <v>2.5000000000000001E-3</v>
      </c>
      <c r="Z26" s="229">
        <f ca="1">+X26+Y26</f>
        <v>0.23956557697889425</v>
      </c>
      <c r="AA26" s="229">
        <f ca="1">Z26*equityP</f>
        <v>0.14373934618733655</v>
      </c>
      <c r="AB26" s="229">
        <f ca="1">+AA26/(1-taxrate)</f>
        <v>0.1819485394776412</v>
      </c>
      <c r="AC26" s="229">
        <f>debtP*Debt_Rate</f>
        <v>1.2716825048595141E-2</v>
      </c>
      <c r="AD26" s="229">
        <f ca="1">+AC26+AB26</f>
        <v>0.19466536452623634</v>
      </c>
      <c r="AE26" s="229">
        <f ca="1">+AD26/(S26/100)</f>
        <v>8.777802552629517E-2</v>
      </c>
      <c r="AF26" s="229">
        <f ca="1">1-AE26</f>
        <v>0.91222197447370479</v>
      </c>
      <c r="AG26" s="230">
        <f ca="1">expenses/(AF26)</f>
        <v>21820791.385222148</v>
      </c>
      <c r="AH26" s="231">
        <f ca="1">+AG26-Revenue</f>
        <v>560654.64388351887</v>
      </c>
      <c r="AI26" s="232">
        <f ca="1">+AH26/$J$49</f>
        <v>627687.15202834015</v>
      </c>
      <c r="AJ26" s="232">
        <f ca="1">+AI26*$J$47</f>
        <v>13533.082319636867</v>
      </c>
      <c r="AK26" s="230">
        <f ca="1">ROUND(+AJ26+AG26,5)</f>
        <v>21834324.46754</v>
      </c>
    </row>
    <row r="27" spans="1:37" ht="15.75">
      <c r="A27" s="151"/>
      <c r="B27" s="253" t="s">
        <v>520</v>
      </c>
      <c r="C27" s="252"/>
      <c r="D27" s="252"/>
      <c r="E27" s="252"/>
      <c r="F27" s="205">
        <f t="shared" si="0"/>
        <v>21</v>
      </c>
      <c r="H27" s="195" t="s">
        <v>481</v>
      </c>
      <c r="I27" s="262">
        <f>IF(A64=TRUE,C8,0)</f>
        <v>0.4</v>
      </c>
      <c r="J27" s="264">
        <f>+I27*J28</f>
        <v>3938190.5028973818</v>
      </c>
      <c r="K27" s="222">
        <f>IF(A64=TRUE,C9,0)</f>
        <v>3.179206262148785E-2</v>
      </c>
      <c r="L27" s="262">
        <f>+K27*I27</f>
        <v>1.2716825048595141E-2</v>
      </c>
      <c r="M27" s="239">
        <f>+K27*J27</f>
        <v>125203.19908346228</v>
      </c>
      <c r="O27" s="151"/>
      <c r="P27" s="151"/>
      <c r="R27" s="198">
        <v>2</v>
      </c>
      <c r="S27" s="199">
        <f ca="1">AK22/Investment*100</f>
        <v>221.39941488196709</v>
      </c>
      <c r="T27" s="214">
        <f ca="1">EXP(y_inter2-(slope*LN(+S27)))</f>
        <v>7.5117887465622051</v>
      </c>
      <c r="U27" s="201">
        <f ca="1">(+S27*T27/100)/100</f>
        <v>0.16631056332058172</v>
      </c>
      <c r="V27" s="201">
        <f>regDebt_weighted</f>
        <v>3.5860000000000003E-2</v>
      </c>
      <c r="W27" s="201">
        <f ca="1">+U27-V27</f>
        <v>0.13045056332058172</v>
      </c>
      <c r="X27" s="201">
        <f ca="1">+((W27*(1-0.34))-Pfd_weighted)/Equity_percent</f>
        <v>0.2322888714871626</v>
      </c>
      <c r="Y27" s="201">
        <f>+Y26</f>
        <v>2.5000000000000001E-3</v>
      </c>
      <c r="Z27" s="201">
        <f ca="1">+X27+Y27</f>
        <v>0.2347888714871626</v>
      </c>
      <c r="AA27" s="201">
        <f ca="1">Z27*equityP</f>
        <v>0.14087332289229756</v>
      </c>
      <c r="AB27" s="201">
        <f ca="1">+AA27/(1-taxrate)</f>
        <v>0.17832066188898424</v>
      </c>
      <c r="AC27" s="201">
        <f>debtP*Debt_Rate</f>
        <v>1.2716825048595141E-2</v>
      </c>
      <c r="AD27" s="201">
        <f ca="1">+AC27+AB27</f>
        <v>0.19103748693757938</v>
      </c>
      <c r="AE27" s="201">
        <f ca="1">+AD27/(S27/100)</f>
        <v>8.628635583315597E-2</v>
      </c>
      <c r="AF27" s="201">
        <f ca="1">1-AE27</f>
        <v>0.91371364416684409</v>
      </c>
      <c r="AG27" s="202">
        <f ca="1">expenses/(AF27)</f>
        <v>21785168.175043065</v>
      </c>
      <c r="AH27" s="203">
        <f ca="1">+AG27-Revenue</f>
        <v>525031.43370443583</v>
      </c>
      <c r="AI27" s="204">
        <f ca="1">+AH27/$J$49</f>
        <v>587804.79024403077</v>
      </c>
      <c r="AJ27" s="204">
        <f ca="1">+AI27*$J$47</f>
        <v>12673.209238939766</v>
      </c>
      <c r="AK27" s="202">
        <f ca="1">ROUND(+AJ27+AG27,5)</f>
        <v>21797841.38428</v>
      </c>
    </row>
    <row r="28" spans="1:37" ht="16.5" thickBot="1">
      <c r="A28" s="151"/>
      <c r="B28" s="151"/>
      <c r="C28" s="151"/>
      <c r="D28" s="151"/>
      <c r="E28" s="151"/>
      <c r="F28" s="205">
        <f t="shared" si="0"/>
        <v>22</v>
      </c>
      <c r="H28" s="195" t="s">
        <v>13</v>
      </c>
      <c r="I28" s="262">
        <f>SUM(I26:I27)</f>
        <v>1</v>
      </c>
      <c r="J28" s="265">
        <f>IF(A64=TRUE,C7,0)</f>
        <v>9845476.2572434545</v>
      </c>
      <c r="K28" s="266"/>
      <c r="L28" s="267">
        <f ca="1">SUM(L26:L27)</f>
        <v>0.15157934770041664</v>
      </c>
      <c r="M28" s="265">
        <f ca="1">SUM(M26:M27)</f>
        <v>1492370.8688729024</v>
      </c>
      <c r="O28" s="151"/>
      <c r="P28" s="151"/>
      <c r="R28" s="206">
        <v>3</v>
      </c>
      <c r="S28" s="199">
        <f ca="1">AK23/Investment*100</f>
        <v>221.14995595546841</v>
      </c>
      <c r="T28" s="200">
        <f ca="1">EXP(y_inter3-(slope*LN(S28)))</f>
        <v>7.4444915526830027</v>
      </c>
      <c r="U28" s="201">
        <f ca="1">(+S28*T28/100)/100</f>
        <v>0.16463489789867025</v>
      </c>
      <c r="V28" s="201">
        <f>regDebt_weighted</f>
        <v>3.5860000000000003E-2</v>
      </c>
      <c r="W28" s="201">
        <f ca="1">+U28-V28</f>
        <v>0.12877489789867025</v>
      </c>
      <c r="X28" s="201">
        <f ca="1">+((W28*(1-0.34))-Pfd_weighted)/Equity_percent</f>
        <v>0.22907393201489057</v>
      </c>
      <c r="Y28" s="201">
        <f>+Y27</f>
        <v>2.5000000000000001E-3</v>
      </c>
      <c r="Z28" s="201">
        <f ca="1">+X28+Y28</f>
        <v>0.23157393201489057</v>
      </c>
      <c r="AA28" s="201">
        <f ca="1">Z28*equityP</f>
        <v>0.13894435920893433</v>
      </c>
      <c r="AB28" s="201">
        <f ca="1">+AA28/(1-taxrate)</f>
        <v>0.17587893570751181</v>
      </c>
      <c r="AC28" s="201">
        <f>debtP*Debt_Rate</f>
        <v>1.2716825048595141E-2</v>
      </c>
      <c r="AD28" s="201">
        <f ca="1">+AC28+AB28</f>
        <v>0.18859576075610696</v>
      </c>
      <c r="AE28" s="201">
        <f ca="1">+AD28/(S28/100)</f>
        <v>8.5279583231788345E-2</v>
      </c>
      <c r="AF28" s="201">
        <f ca="1">1-AE28</f>
        <v>0.9147204167682117</v>
      </c>
      <c r="AG28" s="202">
        <f ca="1">expenses/(AF28)</f>
        <v>21761190.673248246</v>
      </c>
      <c r="AH28" s="203">
        <f ca="1">+AG28-Revenue</f>
        <v>501053.93190961704</v>
      </c>
      <c r="AI28" s="204">
        <f ca="1">+AH28/$J$49</f>
        <v>560960.51100985915</v>
      </c>
      <c r="AJ28" s="204">
        <f ca="1">+AI28*$J$47</f>
        <v>12094.440278139115</v>
      </c>
      <c r="AK28" s="202">
        <f ca="1">ROUND(+AJ28+AG28,5)</f>
        <v>21773285.113529999</v>
      </c>
    </row>
    <row r="29" spans="1:37" ht="16.5" thickTop="1">
      <c r="A29" s="151"/>
      <c r="B29" s="151"/>
      <c r="C29" s="151"/>
      <c r="D29" s="151"/>
      <c r="E29" s="151"/>
      <c r="F29" s="205">
        <f t="shared" si="0"/>
        <v>23</v>
      </c>
      <c r="G29" s="167"/>
      <c r="H29" s="167"/>
      <c r="I29" s="167"/>
      <c r="J29" s="167"/>
      <c r="K29" s="167"/>
      <c r="L29" s="167"/>
      <c r="M29" s="167"/>
      <c r="N29" s="167"/>
      <c r="O29" s="151"/>
      <c r="P29" s="151"/>
      <c r="R29" s="211">
        <v>4</v>
      </c>
      <c r="S29" s="199">
        <f ca="1">AK24/Investment*100</f>
        <v>220.99047003269808</v>
      </c>
      <c r="T29" s="218">
        <f ca="1">EXP(y_inter4-(slope*LN(S29)))</f>
        <v>7.4013882778042062</v>
      </c>
      <c r="U29" s="201">
        <f ca="1">(+S29*T29/100)/100</f>
        <v>0.16356362744064534</v>
      </c>
      <c r="V29" s="201">
        <f>regDebt_weighted</f>
        <v>3.5860000000000003E-2</v>
      </c>
      <c r="W29" s="201">
        <f ca="1">+U29-V29</f>
        <v>0.12770362744064534</v>
      </c>
      <c r="X29" s="201">
        <f ca="1">+((W29*(1-0.34))-Pfd_weighted)/Equity_percent</f>
        <v>0.22701858753147069</v>
      </c>
      <c r="Y29" s="201">
        <f>+Y28</f>
        <v>2.5000000000000001E-3</v>
      </c>
      <c r="Z29" s="201">
        <f ca="1">+X29+Y29</f>
        <v>0.2295185875314707</v>
      </c>
      <c r="AA29" s="201">
        <f ca="1">Z29*equityP</f>
        <v>0.13771115251888241</v>
      </c>
      <c r="AB29" s="201">
        <f ca="1">+AA29/(1-taxrate)</f>
        <v>0.17431791458086379</v>
      </c>
      <c r="AC29" s="201">
        <f>debtP*Debt_Rate</f>
        <v>1.2716825048595141E-2</v>
      </c>
      <c r="AD29" s="201">
        <f ca="1">+AC29+AB29</f>
        <v>0.18703473962945893</v>
      </c>
      <c r="AE29" s="201">
        <f ca="1">+AD29/(S29/100)</f>
        <v>8.4634753526604559E-2</v>
      </c>
      <c r="AF29" s="201">
        <f ca="1">1-AE29</f>
        <v>0.91536524647339546</v>
      </c>
      <c r="AG29" s="202">
        <f ca="1">expenses/(AF29)</f>
        <v>21745860.986852199</v>
      </c>
      <c r="AH29" s="203">
        <f ca="1">+AG29-Revenue</f>
        <v>485724.24551356956</v>
      </c>
      <c r="AI29" s="204">
        <f ca="1">+AH29/$J$49</f>
        <v>543797.98983858759</v>
      </c>
      <c r="AJ29" s="204">
        <f ca="1">+AI29*$J$47</f>
        <v>11724.412293540758</v>
      </c>
      <c r="AK29" s="202">
        <f ca="1">ROUND(+AJ29+AG29,5)</f>
        <v>21757585.399149999</v>
      </c>
    </row>
    <row r="30" spans="1:37" ht="15.75">
      <c r="A30" s="151"/>
      <c r="B30" s="151"/>
      <c r="C30" s="151"/>
      <c r="D30" s="209"/>
      <c r="E30" s="151"/>
      <c r="F30" s="205">
        <f t="shared" si="0"/>
        <v>24</v>
      </c>
      <c r="G30" s="167"/>
      <c r="H30" s="167"/>
      <c r="I30" s="167"/>
      <c r="J30" s="268" t="s">
        <v>521</v>
      </c>
      <c r="K30" s="268" t="s">
        <v>522</v>
      </c>
      <c r="L30" s="167"/>
      <c r="M30" s="167"/>
      <c r="N30" s="167"/>
      <c r="O30" s="151"/>
      <c r="P30" s="151"/>
      <c r="R30" s="170" t="s">
        <v>523</v>
      </c>
      <c r="W30" s="259"/>
      <c r="X30" s="260"/>
      <c r="Z30" s="260"/>
      <c r="AA30" s="261"/>
      <c r="AB30" s="261"/>
      <c r="AC30" s="260"/>
      <c r="AE30" s="260"/>
      <c r="AF30" s="260"/>
      <c r="AG30" s="261"/>
      <c r="AH30" s="259"/>
      <c r="AJ30" s="261"/>
    </row>
    <row r="31" spans="1:37" ht="15.75">
      <c r="A31" s="151"/>
      <c r="B31" s="151"/>
      <c r="C31" s="151"/>
      <c r="D31" s="209"/>
      <c r="E31" s="151"/>
      <c r="F31" s="205">
        <f t="shared" si="0"/>
        <v>25</v>
      </c>
      <c r="G31" s="167"/>
      <c r="H31" s="269" t="s">
        <v>524</v>
      </c>
      <c r="I31" s="270"/>
      <c r="J31" s="271" t="s">
        <v>525</v>
      </c>
      <c r="K31" s="271" t="s">
        <v>525</v>
      </c>
      <c r="L31" s="1277"/>
      <c r="M31" s="1277"/>
      <c r="N31" s="1277"/>
      <c r="O31" s="151"/>
      <c r="P31" s="151"/>
      <c r="R31" s="226">
        <v>1</v>
      </c>
      <c r="S31" s="227">
        <f ca="1">AK26/Investment*100</f>
        <v>221.77011956609189</v>
      </c>
      <c r="T31" s="228">
        <f ca="1">EXP(y_inter1-(slope*LN(+S31)))</f>
        <v>7.6114969412993796</v>
      </c>
      <c r="U31" s="229">
        <f ca="1">(+S31*T31/100)/100</f>
        <v>0.16880025867489062</v>
      </c>
      <c r="V31" s="229">
        <f>regDebt_weighted</f>
        <v>3.5860000000000003E-2</v>
      </c>
      <c r="W31" s="229">
        <f ca="1">+U31-V31</f>
        <v>0.13294025867489062</v>
      </c>
      <c r="X31" s="229">
        <f ca="1">+((W31*(1-0.34))-Pfd_weighted)/Equity_percent</f>
        <v>0.23706561257391806</v>
      </c>
      <c r="Y31" s="229">
        <f>+Y29</f>
        <v>2.5000000000000001E-3</v>
      </c>
      <c r="Z31" s="229">
        <f ca="1">+X31+Y31</f>
        <v>0.23956561257391806</v>
      </c>
      <c r="AA31" s="229">
        <f ca="1">Z31*equityP</f>
        <v>0.14373936754435082</v>
      </c>
      <c r="AB31" s="229">
        <f ca="1">+AA31/(1-taxrate)</f>
        <v>0.18194856651183647</v>
      </c>
      <c r="AC31" s="229">
        <f>debtP*Debt_Rate</f>
        <v>1.2716825048595141E-2</v>
      </c>
      <c r="AD31" s="229">
        <f ca="1">+AC31+AB31</f>
        <v>0.19466539156043161</v>
      </c>
      <c r="AE31" s="229">
        <f ca="1">+AD31/(S31/100)</f>
        <v>8.7778007218153417E-2</v>
      </c>
      <c r="AF31" s="229">
        <f ca="1">1-AE31</f>
        <v>0.91222199278184657</v>
      </c>
      <c r="AG31" s="230">
        <f ca="1">expenses/(AF31)</f>
        <v>21820790.947282542</v>
      </c>
      <c r="AH31" s="231">
        <f ca="1">+AG31-Revenue</f>
        <v>560654.20594391227</v>
      </c>
      <c r="AI31" s="232">
        <f ca="1">+AH31/$J$49</f>
        <v>627686.66172817501</v>
      </c>
      <c r="AJ31" s="232">
        <f ca="1">+AI31*$J$47</f>
        <v>13533.071748650231</v>
      </c>
      <c r="AK31" s="230">
        <f ca="1">ROUND(+AJ31+AG31,5)</f>
        <v>21834324.019030001</v>
      </c>
    </row>
    <row r="32" spans="1:37" ht="15.75">
      <c r="A32" s="151"/>
      <c r="B32" s="151"/>
      <c r="C32" s="151"/>
      <c r="D32" s="272"/>
      <c r="E32" s="151"/>
      <c r="F32" s="205">
        <f t="shared" si="0"/>
        <v>26</v>
      </c>
      <c r="G32" s="167"/>
      <c r="H32" s="178"/>
      <c r="I32" s="178"/>
      <c r="J32" s="178"/>
      <c r="K32" s="178"/>
      <c r="L32" s="167"/>
      <c r="M32" s="167"/>
      <c r="N32" s="167"/>
      <c r="O32" s="151"/>
      <c r="P32" s="151"/>
      <c r="R32" s="198">
        <v>2</v>
      </c>
      <c r="S32" s="199">
        <f ca="1">AK27/Investment*100</f>
        <v>221.39956275089307</v>
      </c>
      <c r="T32" s="214">
        <f ca="1">EXP(y_inter2-(slope*LN(+S32)))</f>
        <v>7.5117853165940005</v>
      </c>
      <c r="U32" s="201">
        <f ca="1">(+S32*T32/100)/100</f>
        <v>0.16631059845724905</v>
      </c>
      <c r="V32" s="201">
        <f>regDebt_weighted</f>
        <v>3.5860000000000003E-2</v>
      </c>
      <c r="W32" s="201">
        <f ca="1">+U32-V32</f>
        <v>0.13045059845724905</v>
      </c>
      <c r="X32" s="201">
        <f ca="1">+((W32*(1-0.34))-Pfd_weighted)/Equity_percent</f>
        <v>0.23228893890053592</v>
      </c>
      <c r="Y32" s="201">
        <f>+Y31</f>
        <v>2.5000000000000001E-3</v>
      </c>
      <c r="Z32" s="201">
        <f ca="1">+X32+Y32</f>
        <v>0.23478893890053593</v>
      </c>
      <c r="AA32" s="201">
        <f ca="1">Z32*equityP</f>
        <v>0.14087336334032155</v>
      </c>
      <c r="AB32" s="201">
        <f ca="1">+AA32/(1-taxrate)</f>
        <v>0.17832071308901462</v>
      </c>
      <c r="AC32" s="201">
        <f>debtP*Debt_Rate</f>
        <v>1.2716825048595141E-2</v>
      </c>
      <c r="AD32" s="201">
        <f ca="1">+AC32+AB32</f>
        <v>0.19103753813760976</v>
      </c>
      <c r="AE32" s="201">
        <f ca="1">+AD32/(S32/100)</f>
        <v>8.6286321329620219E-2</v>
      </c>
      <c r="AF32" s="201">
        <f ca="1">1-AE32</f>
        <v>0.91371367867037978</v>
      </c>
      <c r="AG32" s="202">
        <f ca="1">expenses/(AF32)</f>
        <v>21785167.352394413</v>
      </c>
      <c r="AH32" s="203">
        <f ca="1">+AG32-Revenue</f>
        <v>525030.61105578393</v>
      </c>
      <c r="AI32" s="204">
        <f ca="1">+AH32/$J$49</f>
        <v>587803.86923856859</v>
      </c>
      <c r="AJ32" s="204">
        <f ca="1">+AI32*$J$47</f>
        <v>12673.189381845836</v>
      </c>
      <c r="AK32" s="202">
        <f ca="1">ROUND(+AJ32+AG32,5)</f>
        <v>21797840.541779999</v>
      </c>
    </row>
    <row r="33" spans="1:48" ht="15.75">
      <c r="A33" s="151"/>
      <c r="B33" s="151"/>
      <c r="C33" s="151"/>
      <c r="D33" s="151"/>
      <c r="E33" s="151"/>
      <c r="F33" s="205">
        <f t="shared" si="0"/>
        <v>27</v>
      </c>
      <c r="G33" s="167"/>
      <c r="H33" s="178" t="s">
        <v>526</v>
      </c>
      <c r="I33" s="178"/>
      <c r="J33" s="273">
        <f ca="1">+K9/J28</f>
        <v>0.18849217017748263</v>
      </c>
      <c r="K33" s="273">
        <f ca="1">+(M14+M11)/J28</f>
        <v>0.15157934770041664</v>
      </c>
      <c r="L33" s="195"/>
      <c r="M33" s="195"/>
      <c r="N33" s="196"/>
      <c r="O33" s="151"/>
      <c r="P33" s="151"/>
      <c r="R33" s="206">
        <v>3</v>
      </c>
      <c r="S33" s="199">
        <f ca="1">AK28/Investment*100</f>
        <v>221.1501459618176</v>
      </c>
      <c r="T33" s="200">
        <f ca="1">EXP(y_inter3-(slope*LN(S33)))</f>
        <v>7.444487179853879</v>
      </c>
      <c r="U33" s="201">
        <f ca="1">(+S33*T33/100)/100</f>
        <v>0.16463494264355652</v>
      </c>
      <c r="V33" s="201">
        <f>regDebt_weighted</f>
        <v>3.5860000000000003E-2</v>
      </c>
      <c r="W33" s="201">
        <f ca="1">+U33-V33</f>
        <v>0.12877494264355652</v>
      </c>
      <c r="X33" s="201">
        <f ca="1">+((W33*(1-0.34))-Pfd_weighted)/Equity_percent</f>
        <v>0.22907401786263748</v>
      </c>
      <c r="Y33" s="201">
        <f>+Y32</f>
        <v>2.5000000000000001E-3</v>
      </c>
      <c r="Z33" s="201">
        <f ca="1">+X33+Y33</f>
        <v>0.23157401786263748</v>
      </c>
      <c r="AA33" s="201">
        <f ca="1">Z33*equityP</f>
        <v>0.13894441071758248</v>
      </c>
      <c r="AB33" s="201">
        <f ca="1">+AA33/(1-taxrate)</f>
        <v>0.17587900090833225</v>
      </c>
      <c r="AC33" s="201">
        <f>debtP*Debt_Rate</f>
        <v>1.2716825048595141E-2</v>
      </c>
      <c r="AD33" s="201">
        <f ca="1">+AC33+AB33</f>
        <v>0.18859582595692739</v>
      </c>
      <c r="AE33" s="201">
        <f ca="1">+AD33/(S33/100)</f>
        <v>8.527953944443209E-2</v>
      </c>
      <c r="AF33" s="201">
        <f ca="1">1-AE33</f>
        <v>0.91472046055556788</v>
      </c>
      <c r="AG33" s="202">
        <f ca="1">expenses/(AF33)</f>
        <v>21761189.631547477</v>
      </c>
      <c r="AH33" s="203">
        <f ca="1">+AG33-Revenue</f>
        <v>501052.89020884782</v>
      </c>
      <c r="AI33" s="204">
        <f ca="1">+AH33/$J$49</f>
        <v>560959.34476215881</v>
      </c>
      <c r="AJ33" s="204">
        <f ca="1">+AI33*$J$47</f>
        <v>12094.415133564969</v>
      </c>
      <c r="AK33" s="202">
        <f ca="1">ROUND(+AJ33+AG33,5)</f>
        <v>21773284.04668</v>
      </c>
    </row>
    <row r="34" spans="1:48" ht="15.75">
      <c r="A34" s="151"/>
      <c r="B34" s="151"/>
      <c r="C34" s="151"/>
      <c r="D34" s="151"/>
      <c r="E34" s="151"/>
      <c r="F34" s="205">
        <f t="shared" si="0"/>
        <v>28</v>
      </c>
      <c r="G34" s="167"/>
      <c r="H34" s="178" t="s">
        <v>527</v>
      </c>
      <c r="I34" s="178"/>
      <c r="J34" s="273">
        <f ca="1">+(M9-M11)/J26</f>
        <v>0.29295890854814644</v>
      </c>
      <c r="K34" s="273">
        <f ca="1">+M14/J26</f>
        <v>0.23143753775303583</v>
      </c>
      <c r="L34" s="195"/>
      <c r="M34" s="195"/>
      <c r="N34" s="196"/>
      <c r="O34" s="274"/>
      <c r="P34" s="151"/>
      <c r="R34" s="211">
        <v>4</v>
      </c>
      <c r="S34" s="199">
        <f ca="1">AK29/Investment*100</f>
        <v>220.99068476390502</v>
      </c>
      <c r="T34" s="218">
        <f ca="1">EXP(y_inter4-(slope*LN(S34)))</f>
        <v>7.4013833610219528</v>
      </c>
      <c r="U34" s="201">
        <f ca="1">(+S34*T34/100)/100</f>
        <v>0.16356367771524141</v>
      </c>
      <c r="V34" s="201">
        <f>regDebt_weighted</f>
        <v>3.5860000000000003E-2</v>
      </c>
      <c r="W34" s="201">
        <f ca="1">+U34-V34</f>
        <v>0.12770367771524141</v>
      </c>
      <c r="X34" s="201">
        <f ca="1">+((W34*(1-0.34))-Pfd_weighted)/Equity_percent</f>
        <v>0.22701868398854455</v>
      </c>
      <c r="Y34" s="201">
        <f>+Y33</f>
        <v>2.5000000000000001E-3</v>
      </c>
      <c r="Z34" s="201">
        <f ca="1">+X34+Y34</f>
        <v>0.22951868398854455</v>
      </c>
      <c r="AA34" s="201">
        <f ca="1">Z34*equityP</f>
        <v>0.13771121039312673</v>
      </c>
      <c r="AB34" s="201">
        <f ca="1">+AA34/(1-taxrate)</f>
        <v>0.17431798783940092</v>
      </c>
      <c r="AC34" s="201">
        <f>debtP*Debt_Rate</f>
        <v>1.2716825048595141E-2</v>
      </c>
      <c r="AD34" s="201">
        <f ca="1">+AC34+AB34</f>
        <v>0.18703481288799606</v>
      </c>
      <c r="AE34" s="201">
        <f ca="1">+AD34/(S34/100)</f>
        <v>8.4634704439155134E-2</v>
      </c>
      <c r="AF34" s="201">
        <f ca="1">1-AE34</f>
        <v>0.91536529556084489</v>
      </c>
      <c r="AG34" s="202">
        <f ca="1">expenses/(AF34)</f>
        <v>21745859.82070699</v>
      </c>
      <c r="AH34" s="203">
        <f ca="1">+AG34-Revenue</f>
        <v>485723.07936836034</v>
      </c>
      <c r="AI34" s="204">
        <f ca="1">+AH34/$J$49</f>
        <v>543796.68426772824</v>
      </c>
      <c r="AJ34" s="204">
        <f ca="1">+AI34*$J$47</f>
        <v>11724.384145126605</v>
      </c>
      <c r="AK34" s="202">
        <f ca="1">ROUND(+AJ34+AG34,5)</f>
        <v>21757584.204849999</v>
      </c>
    </row>
    <row r="35" spans="1:48" ht="15.75">
      <c r="A35" s="151"/>
      <c r="B35" s="151"/>
      <c r="C35" s="209"/>
      <c r="D35" s="151"/>
      <c r="E35" s="151"/>
      <c r="F35" s="205">
        <f t="shared" si="0"/>
        <v>29</v>
      </c>
      <c r="G35" s="167"/>
      <c r="H35" s="275" t="s">
        <v>172</v>
      </c>
      <c r="I35" s="178"/>
      <c r="J35" s="273">
        <f ca="1">+K8/K7</f>
        <v>0.91472000000000009</v>
      </c>
      <c r="K35" s="273">
        <f ca="1">+M8/M7</f>
        <v>0.91476737152846987</v>
      </c>
      <c r="L35" s="195"/>
      <c r="M35" s="195"/>
      <c r="N35" s="196"/>
      <c r="O35" s="151"/>
      <c r="P35" s="151"/>
      <c r="R35" s="170" t="s">
        <v>528</v>
      </c>
      <c r="X35" s="260"/>
      <c r="Y35" s="260"/>
      <c r="Z35" s="260"/>
      <c r="AA35" s="276"/>
      <c r="AB35" s="261"/>
      <c r="AC35" s="260"/>
      <c r="AE35" s="260"/>
      <c r="AF35" s="260"/>
      <c r="AG35" s="261"/>
      <c r="AH35" s="259"/>
      <c r="AJ35" s="261"/>
    </row>
    <row r="36" spans="1:48" ht="15.75">
      <c r="A36" s="151"/>
      <c r="B36" s="151"/>
      <c r="C36" s="151"/>
      <c r="D36" s="151"/>
      <c r="E36" s="151"/>
      <c r="F36" s="205">
        <f t="shared" si="0"/>
        <v>30</v>
      </c>
      <c r="G36" s="167"/>
      <c r="H36" s="178" t="s">
        <v>529</v>
      </c>
      <c r="I36" s="178"/>
      <c r="J36" s="273">
        <f ca="1">+K9/K7</f>
        <v>8.5279999999999967E-2</v>
      </c>
      <c r="K36" s="273">
        <f ca="1">+J36</f>
        <v>8.5279999999999967E-2</v>
      </c>
      <c r="L36" s="167"/>
      <c r="M36" s="167"/>
      <c r="N36" s="196"/>
      <c r="O36" s="151"/>
      <c r="P36" s="151"/>
      <c r="R36" s="226">
        <v>1</v>
      </c>
      <c r="S36" s="227">
        <f ca="1">AK31/Investment*100</f>
        <v>221.77011501059874</v>
      </c>
      <c r="T36" s="228">
        <f ca="1">EXP(y_inter1-(slope*LN(+S36)))</f>
        <v>7.6114970481923079</v>
      </c>
      <c r="U36" s="229">
        <f ca="1">(+S36*T36/100)/100</f>
        <v>0.16880025757804412</v>
      </c>
      <c r="V36" s="229">
        <f>regDebt_weighted</f>
        <v>3.5860000000000003E-2</v>
      </c>
      <c r="W36" s="229">
        <f ca="1">+U36-V36</f>
        <v>0.13294025757804412</v>
      </c>
      <c r="X36" s="229">
        <f ca="1">+((W36*(1-0.34))-Pfd_weighted)/Equity_percent</f>
        <v>0.23706561046950322</v>
      </c>
      <c r="Y36" s="229">
        <f>+Y34</f>
        <v>2.5000000000000001E-3</v>
      </c>
      <c r="Z36" s="229">
        <f ca="1">+X36+Y36</f>
        <v>0.23956561046950323</v>
      </c>
      <c r="AA36" s="229">
        <f ca="1">Z36*equityP</f>
        <v>0.14373936628170192</v>
      </c>
      <c r="AB36" s="229">
        <f ca="1">+AA36/(1-taxrate)</f>
        <v>0.18194856491354672</v>
      </c>
      <c r="AC36" s="229">
        <f>debtP*Debt_Rate</f>
        <v>1.2716825048595141E-2</v>
      </c>
      <c r="AD36" s="229">
        <f ca="1">+AC36+AB36</f>
        <v>0.19466538996214186</v>
      </c>
      <c r="AE36" s="229">
        <f ca="1">+AD36/(S36/100)</f>
        <v>8.7778008300549645E-2</v>
      </c>
      <c r="AF36" s="229">
        <f ca="1">1-AE36</f>
        <v>0.9122219916994504</v>
      </c>
      <c r="AG36" s="230">
        <f ca="1">expenses/(AF36)</f>
        <v>21820790.97317398</v>
      </c>
      <c r="AH36" s="231">
        <f ca="1">+AG36-Revenue</f>
        <v>560654.23183535039</v>
      </c>
      <c r="AI36" s="232">
        <f ca="1">+AH36/$J$49</f>
        <v>627686.69071522309</v>
      </c>
      <c r="AJ36" s="232">
        <f ca="1">+AI36*$J$47</f>
        <v>13533.07237361779</v>
      </c>
      <c r="AK36" s="230">
        <f ca="1">ROUND(+AJ36+AG36,5)</f>
        <v>21834324.04555</v>
      </c>
    </row>
    <row r="37" spans="1:48" ht="15.75">
      <c r="A37" s="151"/>
      <c r="B37" s="151"/>
      <c r="C37" s="151"/>
      <c r="D37" s="181"/>
      <c r="E37" s="151"/>
      <c r="F37" s="205">
        <f t="shared" si="0"/>
        <v>31</v>
      </c>
      <c r="G37" s="167"/>
      <c r="H37" s="178" t="s">
        <v>530</v>
      </c>
      <c r="I37" s="277"/>
      <c r="J37" s="278">
        <f ca="1">+S39/100</f>
        <v>2.2099067263346086</v>
      </c>
      <c r="K37" s="278">
        <f ca="1">+J37</f>
        <v>2.2099067263346086</v>
      </c>
      <c r="L37" s="167"/>
      <c r="M37" s="167"/>
      <c r="N37" s="167"/>
      <c r="O37" s="151"/>
      <c r="P37" s="151"/>
      <c r="R37" s="198">
        <v>2</v>
      </c>
      <c r="S37" s="199">
        <f ca="1">AK32/Investment*100</f>
        <v>221.39955419366353</v>
      </c>
      <c r="T37" s="214">
        <f ca="1">EXP(y_inter2-(slope*LN(+S37)))</f>
        <v>7.5117855150874249</v>
      </c>
      <c r="U37" s="201">
        <f ca="1">(+S37*T37/100)/100</f>
        <v>0.16631059642387749</v>
      </c>
      <c r="V37" s="201">
        <f>regDebt_weighted</f>
        <v>3.5860000000000003E-2</v>
      </c>
      <c r="W37" s="201">
        <f ca="1">+U37-V37</f>
        <v>0.13045059642387749</v>
      </c>
      <c r="X37" s="201">
        <f ca="1">+((W37*(1-0.34))-Pfd_weighted)/Equity_percent</f>
        <v>0.23228893499929981</v>
      </c>
      <c r="Y37" s="201">
        <f>+Y36</f>
        <v>2.5000000000000001E-3</v>
      </c>
      <c r="Z37" s="201">
        <f ca="1">+X37+Y37</f>
        <v>0.23478893499929981</v>
      </c>
      <c r="AA37" s="201">
        <f ca="1">Z37*equityP</f>
        <v>0.14087336099957989</v>
      </c>
      <c r="AB37" s="201">
        <f ca="1">+AA37/(1-taxrate)</f>
        <v>0.1783207101260505</v>
      </c>
      <c r="AC37" s="201">
        <f>debtP*Debt_Rate</f>
        <v>1.2716825048595141E-2</v>
      </c>
      <c r="AD37" s="201">
        <f ca="1">+AC37+AB37</f>
        <v>0.19103753517464564</v>
      </c>
      <c r="AE37" s="201">
        <f ca="1">+AD37/(S37/100)</f>
        <v>8.6286323326351638E-2</v>
      </c>
      <c r="AF37" s="201">
        <f ca="1">1-AE37</f>
        <v>0.91371367667364833</v>
      </c>
      <c r="AG37" s="202">
        <f ca="1">expenses/(AF37)</f>
        <v>21785167.400001369</v>
      </c>
      <c r="AH37" s="203">
        <f ca="1">+AG37-Revenue</f>
        <v>525030.65866274014</v>
      </c>
      <c r="AI37" s="204">
        <f ca="1">+AH37/$J$49</f>
        <v>587803.92253746674</v>
      </c>
      <c r="AJ37" s="204">
        <f ca="1">+AI37*$J$47</f>
        <v>12673.190530982591</v>
      </c>
      <c r="AK37" s="202">
        <f ca="1">ROUND(+AJ37+AG37,5)</f>
        <v>21797840.590530001</v>
      </c>
    </row>
    <row r="38" spans="1:48" ht="15.75">
      <c r="A38" s="151"/>
      <c r="B38" s="151"/>
      <c r="C38" s="151"/>
      <c r="D38" s="181"/>
      <c r="E38" s="151"/>
      <c r="F38" s="205">
        <f t="shared" si="0"/>
        <v>32</v>
      </c>
      <c r="G38" s="167"/>
      <c r="H38" s="178" t="s">
        <v>362</v>
      </c>
      <c r="I38" s="167"/>
      <c r="J38" s="273">
        <f>+C10</f>
        <v>0.21</v>
      </c>
      <c r="K38" s="273">
        <f>+J38</f>
        <v>0.21</v>
      </c>
      <c r="L38" s="167"/>
      <c r="M38" s="167"/>
      <c r="N38" s="167"/>
      <c r="O38" s="151"/>
      <c r="P38" s="151"/>
      <c r="Q38" s="279"/>
      <c r="R38" s="206">
        <v>3</v>
      </c>
      <c r="S38" s="199">
        <f ca="1">AK33/Investment*100</f>
        <v>221.15013512587663</v>
      </c>
      <c r="T38" s="200">
        <f ca="1">EXP(y_inter3-(slope*LN(S38)))</f>
        <v>7.4444874292333676</v>
      </c>
      <c r="U38" s="201">
        <f ca="1">(+S38*T38/100)/100</f>
        <v>0.16463494009178489</v>
      </c>
      <c r="V38" s="201">
        <f>regDebt_weighted</f>
        <v>3.5860000000000003E-2</v>
      </c>
      <c r="W38" s="201">
        <f ca="1">+U38-V38</f>
        <v>0.12877494009178489</v>
      </c>
      <c r="X38" s="201">
        <f ca="1">+((W38*(1-0.34))-Pfd_weighted)/Equity_percent</f>
        <v>0.22907401296679655</v>
      </c>
      <c r="Y38" s="201">
        <f>+Y37</f>
        <v>2.5000000000000001E-3</v>
      </c>
      <c r="Z38" s="201">
        <f ca="1">+X38+Y38</f>
        <v>0.23157401296679656</v>
      </c>
      <c r="AA38" s="201">
        <f ca="1">Z38*equityP</f>
        <v>0.13894440778007794</v>
      </c>
      <c r="AB38" s="201">
        <f ca="1">+AA38/(1-taxrate)</f>
        <v>0.17587899718997207</v>
      </c>
      <c r="AC38" s="201">
        <f>debtP*Debt_Rate</f>
        <v>1.2716825048595141E-2</v>
      </c>
      <c r="AD38" s="201">
        <f ca="1">+AC38+AB38</f>
        <v>0.18859582223856722</v>
      </c>
      <c r="AE38" s="201">
        <f ca="1">+AD38/(S38/100)</f>
        <v>8.5279541941595566E-2</v>
      </c>
      <c r="AF38" s="201">
        <f ca="1">1-AE38</f>
        <v>0.91472045805840441</v>
      </c>
      <c r="AG38" s="202">
        <f ca="1">expenses/(AF38)</f>
        <v>21761189.690954968</v>
      </c>
      <c r="AH38" s="203">
        <f ca="1">+AG38-Revenue</f>
        <v>501052.94961633906</v>
      </c>
      <c r="AI38" s="204">
        <f ca="1">+AH38/$J$49</f>
        <v>560959.41127247747</v>
      </c>
      <c r="AJ38" s="204">
        <f ca="1">+AI38*$J$47</f>
        <v>12094.41656754305</v>
      </c>
      <c r="AK38" s="202">
        <f ca="1">ROUND(+AJ38+AG38,5)</f>
        <v>21773284.107519999</v>
      </c>
    </row>
    <row r="39" spans="1:48" ht="15.75">
      <c r="A39" s="151"/>
      <c r="B39" s="151"/>
      <c r="C39" s="151"/>
      <c r="D39" s="272"/>
      <c r="E39" s="151"/>
      <c r="F39" s="205">
        <f t="shared" si="0"/>
        <v>33</v>
      </c>
      <c r="G39" s="167"/>
      <c r="H39" s="167"/>
      <c r="I39" s="167"/>
      <c r="J39" s="167"/>
      <c r="K39" s="167"/>
      <c r="L39" s="167"/>
      <c r="M39" s="167"/>
      <c r="N39" s="167"/>
      <c r="O39" s="151"/>
      <c r="P39" s="151"/>
      <c r="R39" s="211">
        <v>4</v>
      </c>
      <c r="S39" s="199">
        <f ca="1">AK34/Investment*100</f>
        <v>220.99067263346086</v>
      </c>
      <c r="T39" s="218">
        <f ca="1">EXP(y_inter4-(slope*LN(S39)))</f>
        <v>7.4013836387771406</v>
      </c>
      <c r="U39" s="201">
        <f ca="1">(+S39*T39/100)/100</f>
        <v>0.16356367487516527</v>
      </c>
      <c r="V39" s="201">
        <f>regDebt_weighted</f>
        <v>3.5860000000000003E-2</v>
      </c>
      <c r="W39" s="201">
        <f ca="1">+U39-V39</f>
        <v>0.12770367487516526</v>
      </c>
      <c r="X39" s="201">
        <f ca="1">+((W39*(1-0.34))-Pfd_weighted)/Equity_percent</f>
        <v>0.22701867853956126</v>
      </c>
      <c r="Y39" s="201">
        <f>+Y38</f>
        <v>2.5000000000000001E-3</v>
      </c>
      <c r="Z39" s="201">
        <f ca="1">+X39+Y39</f>
        <v>0.22951867853956126</v>
      </c>
      <c r="AA39" s="201">
        <f ca="1">Z39*equityP</f>
        <v>0.13771120712373675</v>
      </c>
      <c r="AB39" s="201">
        <f ca="1">+AA39/(1-taxrate)</f>
        <v>0.17431798370093257</v>
      </c>
      <c r="AC39" s="201">
        <f>debtP*Debt_Rate</f>
        <v>1.2716825048595141E-2</v>
      </c>
      <c r="AD39" s="201">
        <f ca="1">+AC39+AB39</f>
        <v>0.18703480874952771</v>
      </c>
      <c r="AE39" s="201">
        <f ca="1">+AD39/(S39/100)</f>
        <v>8.4634707212166843E-2</v>
      </c>
      <c r="AF39" s="201">
        <f ca="1">1-AE39</f>
        <v>0.91536529278783318</v>
      </c>
      <c r="AG39" s="202">
        <f ca="1">expenses/(AF39)</f>
        <v>21745859.886583995</v>
      </c>
      <c r="AH39" s="203">
        <f ca="1">+AG39-Revenue</f>
        <v>485723.1452453658</v>
      </c>
      <c r="AI39" s="204">
        <f ca="1">+AH39/$J$49</f>
        <v>543796.75802106352</v>
      </c>
      <c r="AJ39" s="204">
        <f ca="1">+AI39*$J$47</f>
        <v>11724.385735265825</v>
      </c>
      <c r="AK39" s="202">
        <f ca="1">ROUND(+AJ39+AG39,5)</f>
        <v>21757584.272319999</v>
      </c>
    </row>
    <row r="40" spans="1:48" ht="15.75">
      <c r="A40" s="151"/>
      <c r="B40" s="151"/>
      <c r="C40" s="151"/>
      <c r="D40" s="151"/>
      <c r="E40" s="151"/>
      <c r="F40" s="205">
        <f t="shared" si="0"/>
        <v>34</v>
      </c>
      <c r="G40" s="277"/>
      <c r="H40" s="167"/>
      <c r="I40" s="167"/>
      <c r="J40" s="167"/>
      <c r="K40" s="167"/>
      <c r="L40" s="167"/>
      <c r="M40" s="167"/>
      <c r="N40" s="167"/>
      <c r="O40" s="151"/>
      <c r="P40" s="151"/>
      <c r="X40" s="260"/>
      <c r="Y40" s="260"/>
      <c r="Z40" s="260"/>
      <c r="AA40" s="276"/>
      <c r="AB40" s="261"/>
      <c r="AC40" s="260"/>
      <c r="AE40" s="260"/>
      <c r="AF40" s="260"/>
      <c r="AG40" s="261"/>
      <c r="AH40" s="259"/>
      <c r="AJ40" s="261"/>
    </row>
    <row r="41" spans="1:48" ht="15.75">
      <c r="A41" s="151"/>
      <c r="B41" s="151"/>
      <c r="C41" s="151"/>
      <c r="D41" s="151"/>
      <c r="E41" s="151"/>
      <c r="F41" s="205">
        <f t="shared" si="0"/>
        <v>35</v>
      </c>
      <c r="G41" s="167"/>
      <c r="H41" s="269" t="s">
        <v>531</v>
      </c>
      <c r="I41" s="280"/>
      <c r="J41" s="167"/>
      <c r="K41" s="167"/>
      <c r="L41" s="167"/>
      <c r="M41" s="167"/>
      <c r="N41" s="167"/>
      <c r="O41" s="151"/>
      <c r="P41" s="151"/>
      <c r="R41" s="281" t="s">
        <v>532</v>
      </c>
      <c r="S41" s="282"/>
      <c r="T41" s="236"/>
      <c r="U41" s="236"/>
      <c r="V41" s="237"/>
      <c r="X41" s="283"/>
      <c r="Y41" s="283"/>
      <c r="Z41" s="283"/>
      <c r="AA41" s="276"/>
      <c r="AB41" s="261"/>
      <c r="AC41" s="260"/>
      <c r="AE41" s="260"/>
      <c r="AF41" s="260"/>
      <c r="AG41" s="261"/>
      <c r="AH41" s="259"/>
      <c r="AJ41" s="261"/>
    </row>
    <row r="42" spans="1:48" ht="15.75">
      <c r="A42" s="151"/>
      <c r="B42" s="151"/>
      <c r="C42" s="151"/>
      <c r="D42" s="151"/>
      <c r="E42" s="151"/>
      <c r="F42" s="205">
        <f t="shared" si="0"/>
        <v>36</v>
      </c>
      <c r="G42" s="167"/>
      <c r="H42" s="167"/>
      <c r="I42" s="167"/>
      <c r="J42" s="284" t="s">
        <v>533</v>
      </c>
      <c r="K42" s="285" t="s">
        <v>283</v>
      </c>
      <c r="L42" s="167"/>
      <c r="M42" s="167"/>
      <c r="N42" s="167"/>
      <c r="O42" s="151"/>
      <c r="P42" s="151"/>
      <c r="R42" s="286" t="s">
        <v>534</v>
      </c>
      <c r="S42" s="287"/>
      <c r="T42" s="246"/>
      <c r="U42" s="246"/>
      <c r="V42" s="288"/>
      <c r="X42" s="260"/>
      <c r="Y42" s="260"/>
      <c r="Z42" s="260"/>
      <c r="AA42" s="276"/>
      <c r="AB42" s="261"/>
      <c r="AC42" s="260"/>
      <c r="AE42" s="260"/>
      <c r="AF42" s="260"/>
      <c r="AG42" s="261"/>
      <c r="AJ42" s="261"/>
    </row>
    <row r="43" spans="1:48" ht="15.75">
      <c r="A43" s="151"/>
      <c r="B43" s="151"/>
      <c r="C43" s="151"/>
      <c r="D43" s="151"/>
      <c r="E43" s="151"/>
      <c r="F43" s="205">
        <f t="shared" si="0"/>
        <v>37</v>
      </c>
      <c r="G43" s="167"/>
      <c r="H43" s="178" t="s">
        <v>360</v>
      </c>
      <c r="I43" s="289"/>
      <c r="J43" s="290">
        <f>IF(A64=TRUE,C11,0)</f>
        <v>1.4999999999999999E-2</v>
      </c>
      <c r="K43" s="291">
        <f ca="1">+J43*($J$7/$J$49)</f>
        <v>8414.5741704779466</v>
      </c>
      <c r="L43" s="167"/>
      <c r="M43" s="167"/>
      <c r="N43" s="167"/>
      <c r="O43" s="151"/>
      <c r="P43" s="151"/>
      <c r="R43" s="206">
        <v>0</v>
      </c>
      <c r="S43" s="292">
        <v>1</v>
      </c>
      <c r="T43" s="246"/>
      <c r="U43" s="293" t="s">
        <v>529</v>
      </c>
      <c r="V43" s="294">
        <f ca="1">VLOOKUP(R48,R36:AG39,14)</f>
        <v>8.5279541941595566E-2</v>
      </c>
      <c r="AC43" s="260"/>
      <c r="AE43" s="260"/>
      <c r="AJ43" s="261"/>
      <c r="AN43" s="260"/>
      <c r="AO43" s="260"/>
      <c r="AP43" s="260"/>
      <c r="AQ43" s="260"/>
      <c r="AR43" s="260"/>
      <c r="AS43" s="260"/>
      <c r="AT43" s="260"/>
      <c r="AU43" s="260"/>
      <c r="AV43" s="260"/>
    </row>
    <row r="44" spans="1:48" ht="15.75">
      <c r="A44" s="151"/>
      <c r="B44" s="151"/>
      <c r="C44" s="151"/>
      <c r="D44" s="151"/>
      <c r="E44" s="151"/>
      <c r="F44" s="205">
        <f t="shared" si="0"/>
        <v>38</v>
      </c>
      <c r="G44" s="167"/>
      <c r="H44" s="178" t="s">
        <v>361</v>
      </c>
      <c r="I44" s="289"/>
      <c r="J44" s="290">
        <f>IF(A64=TRUE,C12,0)</f>
        <v>5.1000000000000004E-3</v>
      </c>
      <c r="K44" s="291">
        <f ca="1">+J44*($J$7/$J$49)</f>
        <v>2860.955217962502</v>
      </c>
      <c r="L44" s="167"/>
      <c r="M44" s="167"/>
      <c r="N44" s="167"/>
      <c r="O44" s="151"/>
      <c r="P44" s="151"/>
      <c r="R44" s="206">
        <v>50</v>
      </c>
      <c r="S44" s="292">
        <v>2</v>
      </c>
      <c r="T44" s="246"/>
      <c r="U44" s="293" t="s">
        <v>172</v>
      </c>
      <c r="V44" s="294">
        <f ca="1">ROUND(1-V43,6)</f>
        <v>0.91471999999999998</v>
      </c>
      <c r="AA44" s="295"/>
      <c r="AB44" s="170"/>
      <c r="AC44" s="170"/>
      <c r="AE44" s="260"/>
      <c r="AH44" s="259"/>
      <c r="AJ44" s="261"/>
      <c r="AN44" s="260"/>
      <c r="AO44" s="260"/>
      <c r="AP44" s="260"/>
      <c r="AQ44" s="260"/>
      <c r="AR44" s="260"/>
      <c r="AS44" s="260"/>
      <c r="AT44" s="260"/>
      <c r="AU44" s="260"/>
      <c r="AV44" s="260"/>
    </row>
    <row r="45" spans="1:48" ht="15.75">
      <c r="A45" s="151"/>
      <c r="B45" s="151"/>
      <c r="C45" s="151"/>
      <c r="D45" s="151"/>
      <c r="E45" s="151"/>
      <c r="F45" s="205">
        <f t="shared" si="0"/>
        <v>39</v>
      </c>
      <c r="G45" s="167"/>
      <c r="H45" s="178" t="s">
        <v>535</v>
      </c>
      <c r="I45" s="289"/>
      <c r="J45" s="290">
        <f>IF(A64=TRUE,C13,0)</f>
        <v>0</v>
      </c>
      <c r="K45" s="291">
        <f ca="1">+J45*($J$7/$J$49)</f>
        <v>0</v>
      </c>
      <c r="L45" s="167"/>
      <c r="M45" s="167"/>
      <c r="N45" s="167"/>
      <c r="O45" s="151"/>
      <c r="P45" s="151"/>
      <c r="R45" s="206">
        <v>125</v>
      </c>
      <c r="S45" s="292">
        <v>3</v>
      </c>
      <c r="T45" s="246"/>
      <c r="U45" s="246" t="s">
        <v>536</v>
      </c>
      <c r="V45" s="296">
        <f ca="1">+M7/Revenue-1</f>
        <v>2.4137122572351011E-2</v>
      </c>
      <c r="W45" s="297"/>
      <c r="X45" s="260"/>
      <c r="Y45" s="260"/>
      <c r="Z45" s="260"/>
      <c r="AA45" s="295"/>
      <c r="AB45" s="261"/>
      <c r="AC45" s="260"/>
      <c r="AE45" s="260"/>
      <c r="AF45" s="260"/>
      <c r="AG45" s="261"/>
      <c r="AH45" s="259"/>
      <c r="AJ45" s="261"/>
      <c r="AN45" s="260"/>
      <c r="AO45" s="260"/>
      <c r="AP45" s="260"/>
      <c r="AQ45" s="260"/>
      <c r="AR45" s="260"/>
      <c r="AS45" s="260"/>
      <c r="AT45" s="260"/>
      <c r="AU45" s="260"/>
      <c r="AV45" s="260"/>
    </row>
    <row r="46" spans="1:48" ht="15.75">
      <c r="A46" s="151"/>
      <c r="B46" s="151"/>
      <c r="C46" s="151"/>
      <c r="D46" s="151"/>
      <c r="E46" s="151"/>
      <c r="F46" s="205">
        <f t="shared" si="0"/>
        <v>40</v>
      </c>
      <c r="G46" s="167"/>
      <c r="H46" s="178" t="s">
        <v>363</v>
      </c>
      <c r="I46" s="289"/>
      <c r="J46" s="290">
        <f>IF(A64=TRUE,C14,0)</f>
        <v>1.4602347059444768E-3</v>
      </c>
      <c r="K46" s="291">
        <f ca="1">+J46*($J$7/$J$49)</f>
        <v>819.15021596505687</v>
      </c>
      <c r="L46" s="167"/>
      <c r="M46" s="167"/>
      <c r="N46" s="167"/>
      <c r="O46" s="151"/>
      <c r="P46" s="151"/>
      <c r="R46" s="211">
        <v>401</v>
      </c>
      <c r="S46" s="298">
        <v>4</v>
      </c>
      <c r="T46" s="249"/>
      <c r="U46" s="249"/>
      <c r="V46" s="250"/>
      <c r="X46" s="260"/>
      <c r="Y46" s="260"/>
      <c r="Z46" s="260"/>
      <c r="AA46" s="276"/>
      <c r="AB46" s="261"/>
      <c r="AC46" s="260"/>
      <c r="AE46" s="260"/>
      <c r="AF46" s="260"/>
      <c r="AG46" s="261"/>
      <c r="AH46" s="259"/>
      <c r="AJ46" s="261"/>
      <c r="AN46" s="260"/>
      <c r="AO46" s="260"/>
      <c r="AP46" s="260"/>
      <c r="AQ46" s="260"/>
      <c r="AR46" s="260"/>
      <c r="AS46" s="260"/>
      <c r="AT46" s="260"/>
      <c r="AU46" s="260"/>
      <c r="AV46" s="260"/>
    </row>
    <row r="47" spans="1:48" ht="16.5" thickBot="1">
      <c r="A47" s="151"/>
      <c r="B47" s="151"/>
      <c r="C47" s="151"/>
      <c r="D47" s="151"/>
      <c r="E47" s="151"/>
      <c r="F47" s="205">
        <f t="shared" si="0"/>
        <v>41</v>
      </c>
      <c r="G47" s="167"/>
      <c r="H47" s="178" t="s">
        <v>364</v>
      </c>
      <c r="I47" s="277"/>
      <c r="J47" s="299">
        <f>SUM(J43:J46)</f>
        <v>2.1560234705944478E-2</v>
      </c>
      <c r="K47" s="265">
        <f ca="1">+K43+K44+K45+K46</f>
        <v>12094.679604405506</v>
      </c>
      <c r="L47" s="167"/>
      <c r="M47" s="167"/>
      <c r="N47" s="167"/>
      <c r="O47" s="151"/>
      <c r="P47" s="151"/>
      <c r="R47" s="227">
        <f ca="1">VLOOKUP(R48,R36:S39,2)</f>
        <v>221.15013512587663</v>
      </c>
      <c r="S47" s="300" t="s">
        <v>537</v>
      </c>
      <c r="T47" s="237"/>
      <c r="X47" s="161" t="s">
        <v>356</v>
      </c>
      <c r="AE47" s="260"/>
      <c r="AH47" s="259"/>
      <c r="AJ47" s="261"/>
    </row>
    <row r="48" spans="1:48" ht="16.5" thickTop="1">
      <c r="A48" s="151"/>
      <c r="B48" s="151"/>
      <c r="C48" s="151"/>
      <c r="D48" s="151"/>
      <c r="E48" s="151"/>
      <c r="F48" s="205">
        <f t="shared" si="0"/>
        <v>42</v>
      </c>
      <c r="G48" s="167"/>
      <c r="H48" s="167"/>
      <c r="I48" s="167"/>
      <c r="J48" s="301"/>
      <c r="K48" s="167"/>
      <c r="L48" s="167"/>
      <c r="M48" s="167"/>
      <c r="N48" s="167"/>
      <c r="O48" s="151"/>
      <c r="P48" s="151"/>
      <c r="R48" s="206">
        <f ca="1">VLOOKUP(S36,R43:S46,2)</f>
        <v>3</v>
      </c>
      <c r="S48" s="302" t="s">
        <v>538</v>
      </c>
      <c r="T48" s="288"/>
      <c r="X48" s="161" t="s">
        <v>357</v>
      </c>
      <c r="AC48" s="170"/>
      <c r="AE48" s="260"/>
      <c r="AJ48" s="261"/>
    </row>
    <row r="49" spans="1:48" ht="15.75">
      <c r="A49" s="151"/>
      <c r="B49" s="151"/>
      <c r="C49" s="151"/>
      <c r="D49" s="151"/>
      <c r="E49" s="151"/>
      <c r="F49" s="205">
        <f t="shared" si="0"/>
        <v>43</v>
      </c>
      <c r="G49" s="173"/>
      <c r="H49" s="303" t="s">
        <v>365</v>
      </c>
      <c r="I49" s="304"/>
      <c r="J49" s="305">
        <f ca="1">((K35)-J47)</f>
        <v>0.89320713682252539</v>
      </c>
      <c r="K49" s="304"/>
      <c r="L49" s="304"/>
      <c r="M49" s="304"/>
      <c r="N49" s="304"/>
      <c r="O49" s="151"/>
      <c r="P49" s="151"/>
      <c r="R49" s="206"/>
      <c r="S49" s="302"/>
      <c r="T49" s="288"/>
      <c r="X49" s="161" t="s">
        <v>358</v>
      </c>
      <c r="AC49" s="260"/>
      <c r="AE49" s="260"/>
      <c r="AF49" s="260"/>
      <c r="AG49" s="261"/>
      <c r="AJ49" s="261"/>
    </row>
    <row r="50" spans="1:48">
      <c r="A50" s="151"/>
      <c r="B50" s="151"/>
      <c r="C50" s="151"/>
      <c r="D50" s="151"/>
      <c r="E50" s="151"/>
      <c r="F50" s="151"/>
      <c r="G50" s="151"/>
      <c r="H50" s="151"/>
      <c r="I50" s="151"/>
      <c r="J50" s="151"/>
      <c r="K50" s="306"/>
      <c r="L50" s="151"/>
      <c r="M50" s="151"/>
      <c r="N50" s="307"/>
      <c r="O50" s="151"/>
      <c r="P50" s="151"/>
      <c r="R50" s="308">
        <f ca="1">+V44</f>
        <v>0.91471999999999998</v>
      </c>
      <c r="S50" s="309" t="s">
        <v>172</v>
      </c>
      <c r="T50" s="310"/>
      <c r="X50" s="161" t="s">
        <v>359</v>
      </c>
      <c r="AC50" s="260"/>
      <c r="AE50" s="260"/>
      <c r="AF50" s="260"/>
      <c r="AG50" s="261"/>
      <c r="AH50" s="260"/>
      <c r="AJ50" s="261"/>
      <c r="AN50" s="260"/>
      <c r="AO50" s="260"/>
      <c r="AP50" s="260"/>
      <c r="AQ50" s="260"/>
      <c r="AR50" s="260"/>
      <c r="AS50" s="260"/>
      <c r="AT50" s="260"/>
      <c r="AU50" s="260"/>
      <c r="AV50" s="260"/>
    </row>
    <row r="51" spans="1:48">
      <c r="A51" s="151"/>
      <c r="B51" s="151"/>
      <c r="C51" s="151"/>
      <c r="D51" s="151"/>
      <c r="E51" s="151"/>
      <c r="F51" s="151"/>
      <c r="G51" s="151"/>
      <c r="H51" s="151"/>
      <c r="I51" s="151"/>
      <c r="J51" s="151"/>
      <c r="K51" s="151"/>
      <c r="L51" s="151"/>
      <c r="M51" s="151"/>
      <c r="N51" s="151"/>
      <c r="O51" s="151"/>
      <c r="P51" s="151"/>
      <c r="R51" s="161"/>
      <c r="AB51" s="261"/>
      <c r="AC51" s="260"/>
      <c r="AE51" s="260"/>
      <c r="AF51" s="260"/>
      <c r="AG51" s="261"/>
      <c r="AH51" s="259"/>
      <c r="AJ51" s="261"/>
      <c r="AN51" s="260"/>
      <c r="AO51" s="260"/>
      <c r="AP51" s="260"/>
      <c r="AQ51" s="260"/>
      <c r="AR51" s="260"/>
      <c r="AS51" s="260"/>
      <c r="AT51" s="260"/>
      <c r="AU51" s="260"/>
      <c r="AV51" s="260"/>
    </row>
    <row r="52" spans="1:48">
      <c r="A52" s="151"/>
      <c r="B52" s="151"/>
      <c r="C52" s="151"/>
      <c r="D52" s="151"/>
      <c r="E52" s="151"/>
      <c r="F52" s="151"/>
      <c r="G52" s="151"/>
      <c r="H52" s="151"/>
      <c r="I52" s="151"/>
      <c r="J52" s="311"/>
      <c r="K52" s="311"/>
      <c r="L52" s="311"/>
      <c r="M52" s="311"/>
      <c r="N52" s="151"/>
      <c r="O52" s="151"/>
      <c r="P52" s="151"/>
      <c r="R52" s="161"/>
      <c r="AB52" s="261"/>
      <c r="AC52" s="260"/>
      <c r="AE52" s="260"/>
      <c r="AF52" s="260"/>
      <c r="AG52" s="261"/>
      <c r="AH52" s="259"/>
      <c r="AJ52" s="261"/>
      <c r="AN52" s="260"/>
      <c r="AO52" s="260"/>
      <c r="AP52" s="260"/>
      <c r="AQ52" s="260"/>
      <c r="AR52" s="260"/>
      <c r="AS52" s="260"/>
      <c r="AT52" s="260"/>
      <c r="AU52" s="260"/>
      <c r="AV52" s="260"/>
    </row>
    <row r="53" spans="1:48" ht="15.75">
      <c r="A53" s="151"/>
      <c r="B53" s="151"/>
      <c r="C53" s="151"/>
      <c r="D53" s="151"/>
      <c r="E53" s="151"/>
      <c r="F53" s="151"/>
      <c r="G53" s="151"/>
      <c r="H53" s="151"/>
      <c r="I53" s="151"/>
      <c r="J53" s="151"/>
      <c r="K53" s="311"/>
      <c r="L53" s="311"/>
      <c r="M53" s="311"/>
      <c r="N53" s="151"/>
      <c r="O53" s="151"/>
      <c r="P53" s="151"/>
      <c r="R53" s="161"/>
      <c r="S53" s="161" t="s">
        <v>539</v>
      </c>
      <c r="T53" s="260"/>
      <c r="U53" s="312"/>
      <c r="W53" s="313" t="s">
        <v>540</v>
      </c>
      <c r="X53" s="314"/>
      <c r="Y53" s="314"/>
      <c r="Z53" s="314"/>
      <c r="AA53" s="314"/>
      <c r="AB53" s="314"/>
      <c r="AE53" s="260"/>
      <c r="AH53" s="259"/>
      <c r="AJ53" s="261"/>
      <c r="AN53" s="260"/>
      <c r="AO53" s="260"/>
      <c r="AP53" s="260"/>
      <c r="AQ53" s="260"/>
      <c r="AR53" s="260"/>
      <c r="AS53" s="260"/>
      <c r="AT53" s="260"/>
      <c r="AU53" s="260"/>
      <c r="AV53" s="260"/>
    </row>
    <row r="54" spans="1:48">
      <c r="A54" s="151"/>
      <c r="B54" s="151"/>
      <c r="C54" s="151"/>
      <c r="D54" s="151"/>
      <c r="E54" s="151"/>
      <c r="F54" s="151"/>
      <c r="G54" s="151"/>
      <c r="H54" s="151"/>
      <c r="I54" s="151"/>
      <c r="J54" s="151"/>
      <c r="K54" s="151"/>
      <c r="L54" s="315"/>
      <c r="M54" s="315"/>
      <c r="N54" s="151"/>
      <c r="O54" s="151"/>
      <c r="P54" s="151"/>
      <c r="R54" s="316"/>
      <c r="S54" s="317" t="s">
        <v>344</v>
      </c>
      <c r="T54" s="317" t="s">
        <v>373</v>
      </c>
      <c r="U54" s="318" t="s">
        <v>517</v>
      </c>
      <c r="W54" s="319" t="s">
        <v>541</v>
      </c>
      <c r="X54" s="320">
        <v>5.7225999999999999</v>
      </c>
      <c r="Y54" s="321" t="s">
        <v>542</v>
      </c>
      <c r="Z54" s="322">
        <v>5.6985000000000001</v>
      </c>
      <c r="AC54" s="170"/>
      <c r="AE54" s="260"/>
      <c r="AJ54" s="261"/>
    </row>
    <row r="55" spans="1:48">
      <c r="A55" s="151"/>
      <c r="B55" s="151"/>
      <c r="C55" s="151"/>
      <c r="D55" s="151"/>
      <c r="E55" s="151"/>
      <c r="F55" s="151"/>
      <c r="G55" s="151"/>
      <c r="H55" s="151"/>
      <c r="I55" s="151"/>
      <c r="J55" s="315"/>
      <c r="K55" s="151"/>
      <c r="L55" s="315"/>
      <c r="M55" s="315"/>
      <c r="N55" s="151"/>
      <c r="O55" s="151"/>
      <c r="P55" s="151"/>
      <c r="R55" s="162" t="s">
        <v>481</v>
      </c>
      <c r="S55" s="323">
        <v>0.56200000000000006</v>
      </c>
      <c r="T55" s="323">
        <v>6.3799999999999996E-2</v>
      </c>
      <c r="U55" s="324">
        <f>ROUND(+S55*T55,5)</f>
        <v>3.5860000000000003E-2</v>
      </c>
      <c r="W55" s="325" t="s">
        <v>543</v>
      </c>
      <c r="X55" s="326">
        <v>5.7082699999999997</v>
      </c>
      <c r="Y55" s="327" t="s">
        <v>544</v>
      </c>
      <c r="Z55" s="328">
        <v>5.6921999999999997</v>
      </c>
      <c r="AC55" s="260"/>
      <c r="AE55" s="260"/>
      <c r="AF55" s="260"/>
      <c r="AG55" s="261"/>
      <c r="AJ55" s="261"/>
    </row>
    <row r="56" spans="1:48">
      <c r="A56" s="151"/>
      <c r="B56" s="151"/>
      <c r="C56" s="151"/>
      <c r="D56" s="151"/>
      <c r="E56" s="151"/>
      <c r="F56" s="151"/>
      <c r="G56" s="151"/>
      <c r="H56" s="151"/>
      <c r="I56" s="151"/>
      <c r="J56" s="315"/>
      <c r="K56" s="151"/>
      <c r="L56" s="315"/>
      <c r="M56" s="315"/>
      <c r="N56" s="151"/>
      <c r="O56" s="151"/>
      <c r="P56" s="151"/>
      <c r="R56" s="162" t="s">
        <v>545</v>
      </c>
      <c r="S56" s="323">
        <v>9.4E-2</v>
      </c>
      <c r="T56" s="323">
        <v>6.59E-2</v>
      </c>
      <c r="U56" s="324">
        <f>ROUND(+S56*T56,5)</f>
        <v>6.1900000000000002E-3</v>
      </c>
      <c r="W56" s="162"/>
      <c r="X56" s="246"/>
      <c r="Y56" s="329"/>
      <c r="Z56" s="330"/>
      <c r="AC56" s="260"/>
      <c r="AE56" s="260"/>
      <c r="AF56" s="260"/>
      <c r="AG56" s="261"/>
      <c r="AH56" s="259"/>
      <c r="AJ56" s="261"/>
      <c r="AN56" s="260"/>
    </row>
    <row r="57" spans="1:48" ht="15.75">
      <c r="A57" s="151"/>
      <c r="B57" s="151"/>
      <c r="C57" s="151"/>
      <c r="D57" s="151"/>
      <c r="E57" s="151"/>
      <c r="F57" s="151"/>
      <c r="G57" s="151"/>
      <c r="H57" s="331"/>
      <c r="I57" s="311"/>
      <c r="J57" s="315"/>
      <c r="K57" s="151"/>
      <c r="L57" s="151"/>
      <c r="M57" s="151"/>
      <c r="N57" s="151"/>
      <c r="O57" s="151"/>
      <c r="P57" s="151"/>
      <c r="R57" s="162" t="s">
        <v>479</v>
      </c>
      <c r="S57" s="332">
        <v>0.34399999999999997</v>
      </c>
      <c r="T57" s="333"/>
      <c r="U57" s="334"/>
      <c r="W57" s="248"/>
      <c r="X57" s="335" t="s">
        <v>546</v>
      </c>
      <c r="Y57" s="336">
        <v>0.68367</v>
      </c>
      <c r="Z57" s="337"/>
      <c r="AC57" s="260"/>
      <c r="AE57" s="260"/>
      <c r="AF57" s="260"/>
      <c r="AG57" s="261"/>
      <c r="AH57" s="259"/>
      <c r="AJ57" s="261"/>
    </row>
    <row r="58" spans="1:48" ht="15.75">
      <c r="A58" s="151"/>
      <c r="B58" s="151"/>
      <c r="C58" s="151"/>
      <c r="D58" s="151"/>
      <c r="E58" s="151"/>
      <c r="F58" s="151"/>
      <c r="G58" s="151"/>
      <c r="H58" s="151"/>
      <c r="I58" s="151"/>
      <c r="J58" s="151"/>
      <c r="K58" s="151"/>
      <c r="L58" s="151"/>
      <c r="M58" s="151"/>
      <c r="N58" s="151"/>
      <c r="O58" s="151"/>
      <c r="P58" s="151"/>
      <c r="R58" s="248"/>
      <c r="S58" s="332">
        <f>SUM(S55:S57)</f>
        <v>1</v>
      </c>
      <c r="T58" s="338"/>
      <c r="U58" s="339"/>
      <c r="X58" s="260"/>
      <c r="Y58" s="260"/>
      <c r="Z58" s="260"/>
      <c r="AA58" s="276"/>
      <c r="AB58" s="261"/>
      <c r="AC58" s="260"/>
      <c r="AE58" s="260"/>
      <c r="AF58" s="260"/>
      <c r="AG58" s="261"/>
      <c r="AH58" s="259"/>
      <c r="AJ58" s="261"/>
    </row>
    <row r="59" spans="1:48">
      <c r="A59" s="151"/>
      <c r="B59" s="151"/>
      <c r="C59" s="151"/>
      <c r="D59" s="151"/>
      <c r="E59" s="151"/>
      <c r="F59" s="151"/>
      <c r="G59" s="151"/>
      <c r="H59" s="151"/>
      <c r="I59" s="151"/>
      <c r="J59" s="151"/>
      <c r="K59" s="151"/>
      <c r="L59" s="151"/>
      <c r="M59" s="151"/>
      <c r="N59" s="151"/>
      <c r="O59" s="151"/>
      <c r="P59" s="151"/>
      <c r="X59" s="340"/>
      <c r="Y59" s="340"/>
      <c r="Z59" s="340"/>
      <c r="AE59" s="260"/>
      <c r="AH59" s="259"/>
      <c r="AJ59" s="261"/>
      <c r="AN59" s="259"/>
      <c r="AO59" s="259"/>
      <c r="AP59" s="259"/>
      <c r="AQ59" s="259"/>
      <c r="AR59" s="259"/>
      <c r="AS59" s="259"/>
      <c r="AT59" s="259"/>
      <c r="AU59" s="259"/>
      <c r="AV59" s="259"/>
    </row>
    <row r="60" spans="1:48">
      <c r="A60" s="151"/>
      <c r="B60" s="151"/>
      <c r="C60" s="151"/>
      <c r="D60" s="151"/>
      <c r="E60" s="151"/>
      <c r="F60" s="151"/>
      <c r="G60" s="151"/>
      <c r="H60" s="151"/>
      <c r="I60" s="151"/>
      <c r="J60" s="151"/>
      <c r="K60" s="151"/>
      <c r="L60" s="151"/>
      <c r="M60" s="151"/>
      <c r="N60" s="151"/>
      <c r="O60" s="151"/>
      <c r="P60" s="151"/>
      <c r="R60" s="161"/>
      <c r="S60" s="341"/>
      <c r="W60" s="316"/>
      <c r="X60" s="342" t="s">
        <v>524</v>
      </c>
      <c r="Y60" s="342" t="s">
        <v>547</v>
      </c>
      <c r="Z60" s="343" t="s">
        <v>461</v>
      </c>
      <c r="AE60" s="260"/>
      <c r="AJ60" s="261"/>
      <c r="AN60" s="259"/>
      <c r="AO60" s="259"/>
      <c r="AP60" s="259"/>
      <c r="AQ60" s="259"/>
      <c r="AR60" s="259"/>
      <c r="AS60" s="259"/>
      <c r="AT60" s="259"/>
      <c r="AU60" s="259"/>
      <c r="AV60" s="259"/>
    </row>
    <row r="61" spans="1:48">
      <c r="A61" s="151"/>
      <c r="B61" s="151"/>
      <c r="C61" s="151"/>
      <c r="D61" s="151"/>
      <c r="E61" s="151"/>
      <c r="F61" s="151"/>
      <c r="G61" s="151"/>
      <c r="H61" s="311"/>
      <c r="I61" s="311"/>
      <c r="J61" s="311"/>
      <c r="K61" s="311"/>
      <c r="L61" s="311"/>
      <c r="M61" s="311"/>
      <c r="N61" s="311"/>
      <c r="O61" s="151"/>
      <c r="P61" s="151"/>
      <c r="R61" s="161"/>
      <c r="W61" s="162"/>
      <c r="X61" s="344"/>
      <c r="Y61" s="344"/>
      <c r="Z61" s="345"/>
      <c r="AE61" s="260"/>
      <c r="AF61" s="260"/>
      <c r="AG61" s="261"/>
      <c r="AJ61" s="261"/>
      <c r="AN61" s="259"/>
      <c r="AO61" s="259"/>
      <c r="AP61" s="259"/>
      <c r="AQ61" s="259"/>
      <c r="AR61" s="259"/>
      <c r="AS61" s="259"/>
      <c r="AT61" s="259"/>
      <c r="AU61" s="259"/>
      <c r="AV61" s="259"/>
    </row>
    <row r="62" spans="1:48">
      <c r="A62" s="151"/>
      <c r="B62" s="151"/>
      <c r="C62" s="151"/>
      <c r="D62" s="151"/>
      <c r="E62" s="151"/>
      <c r="F62" s="151"/>
      <c r="G62" s="151"/>
      <c r="H62" s="151"/>
      <c r="I62" s="151"/>
      <c r="J62" s="151"/>
      <c r="K62" s="151"/>
      <c r="L62" s="151"/>
      <c r="M62" s="151"/>
      <c r="N62" s="151"/>
      <c r="O62" s="151"/>
      <c r="P62" s="151"/>
      <c r="R62" s="161"/>
      <c r="S62" s="341"/>
      <c r="W62" s="162"/>
      <c r="X62" s="293" t="s">
        <v>526</v>
      </c>
      <c r="Y62" s="294">
        <f ca="1">+J33</f>
        <v>0.18849217017748263</v>
      </c>
      <c r="Z62" s="294">
        <f ca="1">+K33</f>
        <v>0.15157934770041664</v>
      </c>
      <c r="AE62" s="260"/>
      <c r="AF62" s="260"/>
      <c r="AG62" s="261"/>
      <c r="AH62" s="259"/>
      <c r="AJ62" s="261"/>
      <c r="AN62" s="259"/>
      <c r="AO62" s="259"/>
      <c r="AP62" s="259"/>
      <c r="AQ62" s="259"/>
      <c r="AR62" s="259"/>
      <c r="AS62" s="259"/>
      <c r="AT62" s="259"/>
      <c r="AU62" s="259"/>
      <c r="AV62" s="259"/>
    </row>
    <row r="63" spans="1:48">
      <c r="A63" s="151"/>
      <c r="B63" s="151"/>
      <c r="C63" s="151"/>
      <c r="D63" s="151"/>
      <c r="E63" s="151"/>
      <c r="F63" s="151"/>
      <c r="G63" s="151"/>
      <c r="H63" s="151"/>
      <c r="I63" s="151"/>
      <c r="J63" s="151"/>
      <c r="K63" s="151"/>
      <c r="L63" s="151"/>
      <c r="M63" s="151"/>
      <c r="N63" s="151"/>
      <c r="O63" s="151"/>
      <c r="P63" s="151"/>
      <c r="R63" s="161"/>
      <c r="W63" s="162"/>
      <c r="X63" s="293" t="s">
        <v>527</v>
      </c>
      <c r="Y63" s="294">
        <f t="shared" ref="Y63:Z67" ca="1" si="1">+J34</f>
        <v>0.29295890854814644</v>
      </c>
      <c r="Z63" s="294">
        <f t="shared" ca="1" si="1"/>
        <v>0.23143753775303583</v>
      </c>
      <c r="AE63" s="260"/>
      <c r="AF63" s="260"/>
      <c r="AG63" s="261"/>
      <c r="AH63" s="259"/>
      <c r="AJ63" s="261"/>
    </row>
    <row r="64" spans="1:48">
      <c r="A64" s="161" t="b">
        <v>1</v>
      </c>
      <c r="B64" s="151"/>
      <c r="C64" s="151"/>
      <c r="F64" s="151"/>
      <c r="G64" s="151"/>
      <c r="H64" s="151"/>
      <c r="I64" s="151"/>
      <c r="J64" s="151"/>
      <c r="K64" s="151"/>
      <c r="L64" s="151"/>
      <c r="M64" s="151"/>
      <c r="N64" s="151"/>
      <c r="R64" s="161"/>
      <c r="S64" s="341"/>
      <c r="W64" s="162"/>
      <c r="X64" s="293" t="s">
        <v>172</v>
      </c>
      <c r="Y64" s="294">
        <f t="shared" ca="1" si="1"/>
        <v>0.91472000000000009</v>
      </c>
      <c r="Z64" s="294">
        <f t="shared" ca="1" si="1"/>
        <v>0.91476737152846987</v>
      </c>
      <c r="AE64" s="260"/>
      <c r="AF64" s="260"/>
      <c r="AG64" s="261"/>
      <c r="AH64" s="259"/>
      <c r="AJ64" s="261"/>
    </row>
    <row r="65" spans="8:40">
      <c r="H65" s="259"/>
      <c r="I65" s="259"/>
      <c r="J65" s="259"/>
      <c r="K65" s="259"/>
      <c r="L65" s="259"/>
      <c r="M65" s="259"/>
      <c r="N65" s="259"/>
      <c r="O65" s="259"/>
      <c r="R65" s="161"/>
      <c r="W65" s="162"/>
      <c r="X65" s="293" t="s">
        <v>529</v>
      </c>
      <c r="Y65" s="294">
        <f t="shared" ca="1" si="1"/>
        <v>8.5279999999999967E-2</v>
      </c>
      <c r="Z65" s="294">
        <f t="shared" ca="1" si="1"/>
        <v>8.5279999999999967E-2</v>
      </c>
      <c r="AE65" s="260"/>
      <c r="AH65" s="259"/>
      <c r="AJ65" s="261"/>
      <c r="AN65" s="259"/>
    </row>
    <row r="66" spans="8:40">
      <c r="H66" s="259"/>
      <c r="I66" s="259"/>
      <c r="J66" s="259"/>
      <c r="K66" s="259"/>
      <c r="L66" s="259"/>
      <c r="M66" s="259"/>
      <c r="N66" s="259"/>
      <c r="O66" s="259"/>
      <c r="R66" s="161"/>
      <c r="S66" s="341"/>
      <c r="W66" s="162"/>
      <c r="X66" s="293" t="s">
        <v>530</v>
      </c>
      <c r="Y66" s="294">
        <f t="shared" ca="1" si="1"/>
        <v>2.2099067263346086</v>
      </c>
      <c r="Z66" s="294">
        <f t="shared" ca="1" si="1"/>
        <v>2.2099067263346086</v>
      </c>
      <c r="AE66" s="260"/>
      <c r="AJ66" s="261"/>
    </row>
    <row r="67" spans="8:40">
      <c r="O67" s="259"/>
      <c r="W67" s="248"/>
      <c r="X67" s="347" t="s">
        <v>362</v>
      </c>
      <c r="Y67" s="348">
        <f t="shared" si="1"/>
        <v>0.21</v>
      </c>
      <c r="Z67" s="348">
        <f t="shared" si="1"/>
        <v>0.21</v>
      </c>
      <c r="AE67" s="260"/>
      <c r="AF67" s="260"/>
      <c r="AG67" s="261"/>
      <c r="AJ67" s="261"/>
    </row>
    <row r="68" spans="8:40">
      <c r="O68" s="259"/>
      <c r="W68" s="293"/>
      <c r="AE68" s="260"/>
      <c r="AF68" s="260"/>
      <c r="AG68" s="261"/>
      <c r="AH68" s="259"/>
      <c r="AJ68" s="261"/>
    </row>
    <row r="69" spans="8:40">
      <c r="O69" s="259"/>
      <c r="X69" s="260"/>
      <c r="Y69" s="260"/>
      <c r="Z69" s="260"/>
      <c r="AA69" s="276"/>
      <c r="AB69" s="261"/>
      <c r="AC69" s="260"/>
      <c r="AE69" s="260"/>
      <c r="AF69" s="260"/>
      <c r="AG69" s="261"/>
      <c r="AH69" s="259"/>
      <c r="AJ69" s="261"/>
    </row>
    <row r="70" spans="8:40">
      <c r="X70" s="260"/>
      <c r="Y70" s="260"/>
      <c r="Z70" s="260"/>
      <c r="AA70" s="276"/>
      <c r="AB70" s="261"/>
      <c r="AC70" s="260"/>
      <c r="AE70" s="260"/>
      <c r="AF70" s="260"/>
      <c r="AG70" s="261"/>
      <c r="AH70" s="259"/>
      <c r="AJ70" s="261"/>
    </row>
    <row r="71" spans="8:40">
      <c r="AE71" s="260"/>
      <c r="AH71" s="259"/>
      <c r="AJ71" s="261"/>
    </row>
    <row r="72" spans="8:40">
      <c r="AA72" s="170"/>
      <c r="AB72" s="170"/>
      <c r="AC72" s="170"/>
      <c r="AE72" s="260"/>
      <c r="AJ72" s="261"/>
    </row>
    <row r="73" spans="8:40">
      <c r="X73" s="260"/>
      <c r="Y73" s="260"/>
      <c r="Z73" s="260"/>
      <c r="AA73" s="276"/>
      <c r="AB73" s="261"/>
      <c r="AC73" s="260"/>
      <c r="AE73" s="260"/>
      <c r="AF73" s="260"/>
      <c r="AG73" s="261"/>
      <c r="AJ73" s="261"/>
    </row>
    <row r="74" spans="8:40">
      <c r="X74" s="260"/>
      <c r="Y74" s="260"/>
      <c r="Z74" s="260"/>
      <c r="AA74" s="276"/>
      <c r="AB74" s="261"/>
      <c r="AC74" s="260"/>
      <c r="AE74" s="260"/>
      <c r="AF74" s="260"/>
      <c r="AG74" s="261"/>
      <c r="AH74" s="259"/>
      <c r="AJ74" s="261"/>
    </row>
    <row r="75" spans="8:40">
      <c r="X75" s="260"/>
      <c r="Y75" s="260"/>
      <c r="Z75" s="260"/>
      <c r="AA75" s="276"/>
      <c r="AB75" s="261"/>
      <c r="AC75" s="260"/>
      <c r="AE75" s="260"/>
      <c r="AF75" s="260"/>
      <c r="AG75" s="261"/>
      <c r="AH75" s="259"/>
      <c r="AJ75" s="261"/>
    </row>
    <row r="76" spans="8:40">
      <c r="X76" s="260"/>
      <c r="Y76" s="260"/>
      <c r="Z76" s="260"/>
      <c r="AA76" s="276"/>
      <c r="AB76" s="261"/>
      <c r="AC76" s="260"/>
      <c r="AE76" s="260"/>
      <c r="AF76" s="260"/>
      <c r="AG76" s="261"/>
      <c r="AH76" s="259"/>
      <c r="AJ76" s="261"/>
    </row>
    <row r="77" spans="8:40">
      <c r="AE77" s="260"/>
      <c r="AH77" s="259"/>
      <c r="AJ77" s="261"/>
    </row>
    <row r="79" spans="8:40">
      <c r="X79" s="260"/>
      <c r="Y79" s="260"/>
      <c r="Z79" s="260"/>
      <c r="AA79" s="276"/>
      <c r="AB79" s="261"/>
      <c r="AC79" s="260"/>
      <c r="AF79" s="260"/>
      <c r="AG79" s="261"/>
    </row>
    <row r="80" spans="8:40">
      <c r="X80" s="260"/>
      <c r="Y80" s="260"/>
      <c r="Z80" s="260"/>
      <c r="AA80" s="276"/>
      <c r="AB80" s="261"/>
      <c r="AC80" s="260"/>
      <c r="AF80" s="260"/>
      <c r="AG80" s="261"/>
      <c r="AH80" s="259"/>
    </row>
    <row r="81" spans="24:34">
      <c r="X81" s="260"/>
      <c r="Y81" s="260"/>
      <c r="Z81" s="260"/>
      <c r="AA81" s="276"/>
      <c r="AB81" s="261"/>
      <c r="AC81" s="260"/>
      <c r="AF81" s="260"/>
      <c r="AG81" s="261"/>
      <c r="AH81" s="259"/>
    </row>
    <row r="82" spans="24:34">
      <c r="X82" s="260"/>
      <c r="Y82" s="260"/>
      <c r="Z82" s="260"/>
      <c r="AA82" s="276"/>
      <c r="AB82" s="261"/>
      <c r="AC82" s="260"/>
      <c r="AF82" s="260"/>
      <c r="AG82" s="261"/>
      <c r="AH82" s="259"/>
    </row>
    <row r="83" spans="24:34">
      <c r="AH83" s="259"/>
    </row>
    <row r="85" spans="24:34">
      <c r="X85" s="260"/>
      <c r="Y85" s="260"/>
      <c r="Z85" s="260"/>
      <c r="AA85" s="276"/>
      <c r="AB85" s="261"/>
      <c r="AC85" s="260"/>
      <c r="AF85" s="260"/>
      <c r="AG85" s="261"/>
    </row>
    <row r="86" spans="24:34">
      <c r="X86" s="260"/>
      <c r="Y86" s="260"/>
      <c r="Z86" s="260"/>
      <c r="AA86" s="276"/>
      <c r="AB86" s="261"/>
      <c r="AC86" s="260"/>
      <c r="AF86" s="260"/>
      <c r="AG86" s="261"/>
      <c r="AH86" s="259"/>
    </row>
    <row r="87" spans="24:34">
      <c r="X87" s="260"/>
      <c r="Y87" s="260"/>
      <c r="Z87" s="260"/>
      <c r="AA87" s="276"/>
      <c r="AB87" s="261"/>
      <c r="AC87" s="260"/>
      <c r="AF87" s="260"/>
      <c r="AG87" s="261"/>
      <c r="AH87" s="259"/>
    </row>
    <row r="88" spans="24:34">
      <c r="X88" s="260"/>
      <c r="Y88" s="260"/>
      <c r="Z88" s="260"/>
      <c r="AA88" s="276"/>
      <c r="AB88" s="261"/>
      <c r="AC88" s="260"/>
      <c r="AF88" s="260"/>
      <c r="AG88" s="261"/>
      <c r="AH88" s="259"/>
    </row>
    <row r="89" spans="24:34">
      <c r="AH89" s="259"/>
    </row>
    <row r="91" spans="24:34">
      <c r="X91" s="260"/>
      <c r="Y91" s="260"/>
      <c r="Z91" s="260"/>
      <c r="AA91" s="276"/>
      <c r="AB91" s="261"/>
      <c r="AC91" s="260"/>
      <c r="AF91" s="260"/>
      <c r="AG91" s="261"/>
    </row>
    <row r="92" spans="24:34">
      <c r="X92" s="260"/>
      <c r="Y92" s="260"/>
      <c r="Z92" s="260"/>
      <c r="AA92" s="276"/>
      <c r="AB92" s="261"/>
      <c r="AC92" s="260"/>
      <c r="AF92" s="260"/>
      <c r="AG92" s="261"/>
      <c r="AH92" s="259"/>
    </row>
    <row r="93" spans="24:34">
      <c r="X93" s="260"/>
      <c r="Y93" s="260"/>
      <c r="Z93" s="260"/>
      <c r="AA93" s="276"/>
      <c r="AB93" s="261"/>
      <c r="AC93" s="260"/>
      <c r="AF93" s="260"/>
      <c r="AG93" s="261"/>
      <c r="AH93" s="259"/>
    </row>
    <row r="94" spans="24:34">
      <c r="X94" s="260"/>
      <c r="Y94" s="260"/>
      <c r="Z94" s="260"/>
      <c r="AA94" s="276"/>
      <c r="AB94" s="261"/>
      <c r="AC94" s="260"/>
      <c r="AF94" s="260"/>
      <c r="AG94" s="261"/>
      <c r="AH94" s="259"/>
    </row>
    <row r="95" spans="24:34">
      <c r="AH95" s="259"/>
    </row>
    <row r="97" spans="24:34">
      <c r="X97" s="260"/>
      <c r="Y97" s="260"/>
      <c r="Z97" s="260"/>
      <c r="AA97" s="276"/>
      <c r="AB97" s="261"/>
      <c r="AC97" s="260"/>
      <c r="AF97" s="260"/>
      <c r="AG97" s="261"/>
    </row>
    <row r="98" spans="24:34">
      <c r="X98" s="260"/>
      <c r="Y98" s="260"/>
      <c r="Z98" s="260"/>
      <c r="AA98" s="276"/>
      <c r="AB98" s="261"/>
      <c r="AC98" s="260"/>
      <c r="AF98" s="260"/>
      <c r="AG98" s="261"/>
      <c r="AH98" s="259"/>
    </row>
    <row r="99" spans="24:34">
      <c r="X99" s="260"/>
      <c r="Y99" s="260"/>
      <c r="Z99" s="260"/>
      <c r="AA99" s="276"/>
      <c r="AB99" s="261"/>
      <c r="AC99" s="260"/>
      <c r="AF99" s="260"/>
      <c r="AG99" s="261"/>
      <c r="AH99" s="259"/>
    </row>
    <row r="100" spans="24:34">
      <c r="X100" s="260"/>
      <c r="Y100" s="260"/>
      <c r="Z100" s="260"/>
      <c r="AA100" s="276"/>
      <c r="AB100" s="261"/>
      <c r="AC100" s="260"/>
      <c r="AF100" s="260"/>
      <c r="AG100" s="261"/>
      <c r="AH100" s="259"/>
    </row>
    <row r="101" spans="24:34">
      <c r="AH101" s="259"/>
    </row>
    <row r="103" spans="24:34">
      <c r="X103" s="260"/>
      <c r="Y103" s="260"/>
      <c r="Z103" s="260"/>
      <c r="AA103" s="276"/>
      <c r="AB103" s="261"/>
      <c r="AC103" s="260"/>
      <c r="AF103" s="260"/>
      <c r="AG103" s="261"/>
    </row>
    <row r="104" spans="24:34">
      <c r="X104" s="260"/>
      <c r="Y104" s="260"/>
      <c r="Z104" s="260"/>
      <c r="AA104" s="276"/>
      <c r="AB104" s="261"/>
      <c r="AC104" s="260"/>
      <c r="AF104" s="260"/>
      <c r="AG104" s="261"/>
      <c r="AH104" s="259"/>
    </row>
    <row r="105" spans="24:34">
      <c r="X105" s="260"/>
      <c r="Y105" s="260"/>
      <c r="Z105" s="260"/>
      <c r="AA105" s="276"/>
      <c r="AB105" s="261"/>
      <c r="AC105" s="260"/>
      <c r="AF105" s="260"/>
      <c r="AG105" s="261"/>
      <c r="AH105" s="259"/>
    </row>
    <row r="106" spans="24:34">
      <c r="X106" s="260"/>
      <c r="Y106" s="260"/>
      <c r="Z106" s="260"/>
      <c r="AA106" s="276"/>
      <c r="AB106" s="261"/>
      <c r="AC106" s="260"/>
      <c r="AF106" s="260"/>
      <c r="AG106" s="261"/>
      <c r="AH106" s="259"/>
    </row>
    <row r="107" spans="24:34">
      <c r="AH107" s="259"/>
    </row>
    <row r="109" spans="24:34">
      <c r="X109" s="260"/>
      <c r="Y109" s="260"/>
      <c r="Z109" s="260"/>
      <c r="AA109" s="276"/>
      <c r="AB109" s="261"/>
      <c r="AC109" s="260"/>
      <c r="AF109" s="260"/>
      <c r="AG109" s="261"/>
    </row>
    <row r="110" spans="24:34">
      <c r="X110" s="260"/>
      <c r="Y110" s="260"/>
      <c r="Z110" s="260"/>
      <c r="AA110" s="276"/>
      <c r="AB110" s="261"/>
      <c r="AC110" s="260"/>
      <c r="AF110" s="260"/>
      <c r="AG110" s="261"/>
    </row>
    <row r="111" spans="24:34">
      <c r="X111" s="260"/>
      <c r="Y111" s="260"/>
      <c r="Z111" s="260"/>
      <c r="AA111" s="276"/>
      <c r="AB111" s="261"/>
      <c r="AC111" s="260"/>
      <c r="AF111" s="260"/>
      <c r="AG111" s="261"/>
    </row>
    <row r="112" spans="24:34">
      <c r="X112" s="260"/>
      <c r="Y112" s="260"/>
      <c r="Z112" s="260"/>
      <c r="AA112" s="276"/>
      <c r="AB112" s="261"/>
      <c r="AC112" s="260"/>
      <c r="AF112" s="260"/>
      <c r="AG112" s="261"/>
    </row>
  </sheetData>
  <mergeCells count="5">
    <mergeCell ref="B2:C2"/>
    <mergeCell ref="AH2:AK2"/>
    <mergeCell ref="B18:C18"/>
    <mergeCell ref="B19:C19"/>
    <mergeCell ref="L31:N31"/>
  </mergeCells>
  <pageMargins left="0.25" right="0.25" top="0.3" bottom="0.44" header="0.23" footer="0.21"/>
  <pageSetup scale="74" orientation="portrait" r:id="rId1"/>
  <headerFooter alignWithMargins="0"/>
  <colBreaks count="1" manualBreakCount="1">
    <brk id="13" min="1" max="48" man="1"/>
  </colBreaks>
  <drawing r:id="rId2"/>
  <legacyDrawing r:id="rId3"/>
  <controls>
    <mc:AlternateContent xmlns:mc="http://schemas.openxmlformats.org/markup-compatibility/2006">
      <mc:Choice Requires="x14">
        <control shapeId="171009" r:id="rId4" name="DataCompleted">
          <controlPr defaultSize="0" autoFill="0" autoLine="0" autoPict="0" linkedCell="A64" r:id="rId5">
            <anchor moveWithCells="1">
              <from>
                <xdr:col>2</xdr:col>
                <xdr:colOff>114300</xdr:colOff>
                <xdr:row>15</xdr:row>
                <xdr:rowOff>180975</xdr:rowOff>
              </from>
              <to>
                <xdr:col>2</xdr:col>
                <xdr:colOff>342900</xdr:colOff>
                <xdr:row>17</xdr:row>
                <xdr:rowOff>9525</xdr:rowOff>
              </to>
            </anchor>
          </controlPr>
        </control>
      </mc:Choice>
      <mc:Fallback>
        <control shapeId="171009" r:id="rId4" name="DataCompleted"/>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9" tint="0.59999389629810485"/>
  </sheetPr>
  <dimension ref="A1:AV112"/>
  <sheetViews>
    <sheetView showGridLines="0" tabSelected="1" showOutlineSymbols="0" view="pageBreakPreview" topLeftCell="A3" zoomScale="60" zoomScaleNormal="80" workbookViewId="0">
      <selection activeCell="AR41" sqref="AR41"/>
    </sheetView>
  </sheetViews>
  <sheetFormatPr defaultColWidth="16.7109375" defaultRowHeight="15"/>
  <cols>
    <col min="1" max="1" width="7.42578125" style="161" customWidth="1"/>
    <col min="2" max="2" width="33.5703125" style="346" bestFit="1" customWidth="1"/>
    <col min="3" max="3" width="21.28515625" style="346" customWidth="1"/>
    <col min="4" max="4" width="21.28515625" style="346" hidden="1" customWidth="1"/>
    <col min="5" max="5" width="8.42578125" style="346" bestFit="1" customWidth="1"/>
    <col min="6" max="6" width="15.7109375" style="161" bestFit="1" customWidth="1"/>
    <col min="7" max="7" width="16.28515625" style="161" bestFit="1" customWidth="1"/>
    <col min="8" max="8" width="15" style="161" customWidth="1"/>
    <col min="9" max="9" width="17.7109375" style="161" customWidth="1"/>
    <col min="10" max="10" width="17" style="161" customWidth="1"/>
    <col min="11" max="11" width="15.140625" style="161" bestFit="1" customWidth="1"/>
    <col min="12" max="13" width="20.28515625" style="161" customWidth="1"/>
    <col min="14" max="14" width="2.42578125" style="161" customWidth="1"/>
    <col min="15" max="15" width="15" style="346" customWidth="1"/>
    <col min="16" max="16" width="40.42578125" style="346" customWidth="1"/>
    <col min="17" max="17" width="16.7109375" style="162"/>
    <col min="18" max="18" width="13.85546875" style="170" customWidth="1"/>
    <col min="19" max="19" width="16.7109375" style="161"/>
    <col min="20" max="20" width="13.42578125" style="161" customWidth="1"/>
    <col min="21" max="21" width="15.7109375" style="161" customWidth="1"/>
    <col min="22" max="22" width="16.7109375" style="161"/>
    <col min="23" max="26" width="17.7109375" style="161" customWidth="1"/>
    <col min="27" max="27" width="16" style="161" customWidth="1"/>
    <col min="28" max="28" width="16.7109375" style="161"/>
    <col min="29" max="29" width="15.85546875" style="161" customWidth="1"/>
    <col min="30" max="31" width="16.7109375" style="161"/>
    <col min="32" max="32" width="16.42578125" style="161" customWidth="1"/>
    <col min="33" max="33" width="17.28515625" style="161" customWidth="1"/>
    <col min="34" max="34" width="20.7109375" style="161" customWidth="1"/>
    <col min="35" max="35" width="18.140625" style="161" customWidth="1"/>
    <col min="36" max="36" width="16.42578125" style="161" customWidth="1"/>
    <col min="37" max="37" width="16.7109375" style="161"/>
    <col min="38" max="38" width="13.85546875" style="161" customWidth="1"/>
    <col min="39" max="39" width="16.42578125" style="161" customWidth="1"/>
    <col min="40" max="51" width="15.140625" style="161" customWidth="1"/>
    <col min="52" max="16384" width="16.7109375" style="161"/>
  </cols>
  <sheetData>
    <row r="1" spans="1:37" s="156" customFormat="1" ht="15.75" thickBot="1">
      <c r="A1" s="151"/>
      <c r="B1" s="152"/>
      <c r="C1" s="152"/>
      <c r="D1" s="152"/>
      <c r="E1" s="152"/>
      <c r="F1" s="152"/>
      <c r="G1" s="152"/>
      <c r="H1" s="152"/>
      <c r="I1" s="153"/>
      <c r="J1" s="153"/>
      <c r="K1" s="153"/>
      <c r="L1" s="153"/>
      <c r="M1" s="153"/>
      <c r="N1" s="153"/>
      <c r="O1" s="152"/>
      <c r="P1" s="152"/>
      <c r="Q1" s="154"/>
      <c r="R1" s="155"/>
    </row>
    <row r="2" spans="1:37" ht="19.5" thickBot="1">
      <c r="A2" s="151"/>
      <c r="B2" s="1271" t="s">
        <v>441</v>
      </c>
      <c r="C2" s="1271"/>
      <c r="D2" s="151"/>
      <c r="E2" s="151"/>
      <c r="F2" s="157" t="s">
        <v>442</v>
      </c>
      <c r="G2" s="158"/>
      <c r="H2" s="158"/>
      <c r="I2" s="159" t="s">
        <v>443</v>
      </c>
      <c r="J2" s="158"/>
      <c r="K2" s="158"/>
      <c r="L2" s="158"/>
      <c r="M2" s="160" t="s">
        <v>442</v>
      </c>
      <c r="O2" s="151"/>
      <c r="P2" s="152"/>
      <c r="R2" s="163" t="s">
        <v>444</v>
      </c>
      <c r="S2" s="164"/>
      <c r="T2" s="165"/>
      <c r="AH2" s="1272" t="s">
        <v>445</v>
      </c>
      <c r="AI2" s="1273"/>
      <c r="AJ2" s="1273"/>
      <c r="AK2" s="1274"/>
    </row>
    <row r="3" spans="1:37" ht="16.5" thickBot="1">
      <c r="A3" s="151"/>
      <c r="B3" s="151"/>
      <c r="C3" s="151"/>
      <c r="D3" s="151"/>
      <c r="E3" s="151"/>
      <c r="F3" s="166"/>
      <c r="G3" s="167"/>
      <c r="H3" s="168"/>
      <c r="I3" s="168"/>
      <c r="J3" s="168"/>
      <c r="K3" s="169" t="s">
        <v>446</v>
      </c>
      <c r="L3" s="168"/>
      <c r="M3" s="169" t="s">
        <v>447</v>
      </c>
      <c r="O3" s="151"/>
      <c r="P3" s="152"/>
      <c r="R3" s="161"/>
      <c r="T3" s="161" t="s">
        <v>448</v>
      </c>
      <c r="V3" s="170" t="s">
        <v>448</v>
      </c>
      <c r="W3" s="170" t="s">
        <v>448</v>
      </c>
      <c r="X3" s="170" t="s">
        <v>448</v>
      </c>
      <c r="Y3" s="170"/>
      <c r="Z3" s="170" t="s">
        <v>301</v>
      </c>
      <c r="AA3" s="170" t="s">
        <v>449</v>
      </c>
      <c r="AB3" s="170" t="s">
        <v>449</v>
      </c>
      <c r="AC3" s="170" t="s">
        <v>449</v>
      </c>
      <c r="AD3" s="170" t="s">
        <v>449</v>
      </c>
      <c r="AE3" s="170" t="s">
        <v>449</v>
      </c>
      <c r="AF3" s="170" t="s">
        <v>449</v>
      </c>
      <c r="AG3" s="170" t="s">
        <v>450</v>
      </c>
      <c r="AH3" s="170" t="s">
        <v>174</v>
      </c>
      <c r="AI3" s="170" t="s">
        <v>451</v>
      </c>
      <c r="AJ3" s="170"/>
    </row>
    <row r="4" spans="1:37" ht="19.5" thickBot="1">
      <c r="A4" s="151"/>
      <c r="B4" s="171" t="s">
        <v>452</v>
      </c>
      <c r="C4" s="159"/>
      <c r="D4" s="172"/>
      <c r="E4" s="151"/>
      <c r="F4" s="173"/>
      <c r="G4" s="167"/>
      <c r="H4" s="168" t="s">
        <v>453</v>
      </c>
      <c r="I4" s="168" t="s">
        <v>454</v>
      </c>
      <c r="J4" s="168" t="s">
        <v>455</v>
      </c>
      <c r="K4" s="168" t="s">
        <v>456</v>
      </c>
      <c r="L4" s="168" t="s">
        <v>457</v>
      </c>
      <c r="M4" s="168" t="s">
        <v>458</v>
      </c>
      <c r="O4" s="174">
        <v>733714.03539771901</v>
      </c>
      <c r="P4" s="175">
        <v>0.34</v>
      </c>
      <c r="R4" s="161"/>
      <c r="T4" s="170" t="s">
        <v>459</v>
      </c>
      <c r="V4" s="170" t="s">
        <v>460</v>
      </c>
      <c r="W4" s="170" t="s">
        <v>301</v>
      </c>
      <c r="X4" s="170" t="s">
        <v>461</v>
      </c>
      <c r="Y4" s="170" t="s">
        <v>462</v>
      </c>
      <c r="Z4" s="170" t="s">
        <v>461</v>
      </c>
      <c r="AA4" s="170" t="s">
        <v>463</v>
      </c>
      <c r="AB4" s="170" t="s">
        <v>463</v>
      </c>
      <c r="AC4" s="170" t="s">
        <v>463</v>
      </c>
      <c r="AD4" s="170" t="s">
        <v>301</v>
      </c>
      <c r="AE4" s="170" t="s">
        <v>459</v>
      </c>
      <c r="AF4" s="170" t="s">
        <v>459</v>
      </c>
      <c r="AG4" s="170" t="s">
        <v>464</v>
      </c>
      <c r="AH4" s="170" t="s">
        <v>465</v>
      </c>
      <c r="AI4" s="170" t="s">
        <v>466</v>
      </c>
      <c r="AJ4" s="170" t="s">
        <v>467</v>
      </c>
      <c r="AK4" s="170" t="s">
        <v>468</v>
      </c>
    </row>
    <row r="5" spans="1:37" ht="15.75">
      <c r="A5" s="151"/>
      <c r="B5" s="176" t="s">
        <v>469</v>
      </c>
      <c r="C5" s="473">
        <f>+'2183 Pro Forma'!F23</f>
        <v>4684753.8740177304</v>
      </c>
      <c r="D5" s="172"/>
      <c r="E5" s="151"/>
      <c r="F5" s="177" t="s">
        <v>470</v>
      </c>
      <c r="G5" s="178"/>
      <c r="H5" s="178"/>
      <c r="I5" s="168" t="s">
        <v>471</v>
      </c>
      <c r="J5" s="168" t="s">
        <v>174</v>
      </c>
      <c r="K5" s="179" t="s">
        <v>472</v>
      </c>
      <c r="L5" s="180" t="s">
        <v>473</v>
      </c>
      <c r="M5" s="179" t="s">
        <v>174</v>
      </c>
      <c r="O5" s="181">
        <v>453176.31598094403</v>
      </c>
      <c r="P5" s="175">
        <v>0.21</v>
      </c>
      <c r="R5" s="182"/>
      <c r="T5" s="170" t="s">
        <v>474</v>
      </c>
      <c r="U5" s="170" t="s">
        <v>475</v>
      </c>
      <c r="V5" s="170" t="s">
        <v>476</v>
      </c>
      <c r="W5" s="170" t="s">
        <v>477</v>
      </c>
      <c r="X5" s="170" t="s">
        <v>354</v>
      </c>
      <c r="Y5" s="170" t="s">
        <v>478</v>
      </c>
      <c r="Z5" s="170" t="s">
        <v>354</v>
      </c>
      <c r="AA5" s="170" t="s">
        <v>479</v>
      </c>
      <c r="AB5" s="170" t="s">
        <v>480</v>
      </c>
      <c r="AC5" s="170" t="s">
        <v>481</v>
      </c>
      <c r="AD5" s="170" t="s">
        <v>482</v>
      </c>
      <c r="AE5" s="170" t="s">
        <v>474</v>
      </c>
      <c r="AF5" s="170" t="s">
        <v>172</v>
      </c>
      <c r="AG5" s="170" t="s">
        <v>283</v>
      </c>
      <c r="AH5" s="170" t="s">
        <v>483</v>
      </c>
      <c r="AI5" s="170" t="s">
        <v>483</v>
      </c>
      <c r="AJ5" s="170" t="s">
        <v>283</v>
      </c>
      <c r="AK5" s="170" t="s">
        <v>450</v>
      </c>
    </row>
    <row r="6" spans="1:37" ht="15.75">
      <c r="A6" s="151"/>
      <c r="B6" s="176" t="s">
        <v>484</v>
      </c>
      <c r="C6" s="474">
        <f>+'2183 Pro Forma'!F312</f>
        <v>4501207.7643597005</v>
      </c>
      <c r="D6" s="172"/>
      <c r="E6" s="151"/>
      <c r="F6" s="183" t="s">
        <v>485</v>
      </c>
      <c r="G6" s="178"/>
      <c r="H6" s="178"/>
      <c r="I6" s="184"/>
      <c r="J6" s="185" t="s">
        <v>486</v>
      </c>
      <c r="K6" s="186"/>
      <c r="L6" s="185" t="s">
        <v>487</v>
      </c>
      <c r="M6" s="185" t="s">
        <v>488</v>
      </c>
      <c r="O6" s="181">
        <f>O4-O5</f>
        <v>280537.71941677498</v>
      </c>
      <c r="P6" s="152"/>
      <c r="R6" s="187">
        <v>1</v>
      </c>
      <c r="S6" s="188">
        <f>Revenue/Investment*100</f>
        <v>158.85496228569747</v>
      </c>
      <c r="T6" s="189">
        <f>EXP(y_inter1-(slope*LN(+S6)))</f>
        <v>9.5617061956068046</v>
      </c>
      <c r="U6" s="190">
        <f>(+S6*T6/100)/100</f>
        <v>0.1518924477090039</v>
      </c>
      <c r="V6" s="190">
        <f>regDebt_weighted</f>
        <v>3.5860000000000003E-2</v>
      </c>
      <c r="W6" s="190">
        <f>+U6-V6</f>
        <v>0.11603244770900389</v>
      </c>
      <c r="X6" s="190">
        <f>+((W6*(1-0.34))-Pfd_weighted)/Equity_percent</f>
        <v>0.20462620781378651</v>
      </c>
      <c r="Y6" s="190">
        <f>+C15</f>
        <v>2.5000000000000001E-3</v>
      </c>
      <c r="Z6" s="190">
        <f>+X6+Y6</f>
        <v>0.20712620781378652</v>
      </c>
      <c r="AA6" s="190">
        <f>Z6*equityP</f>
        <v>0.1242757246882719</v>
      </c>
      <c r="AB6" s="190">
        <f>+AA6/(1-taxrate)</f>
        <v>0.15731104390920495</v>
      </c>
      <c r="AC6" s="190">
        <f>debtP*Debt_Rate</f>
        <v>1.2716825048595141E-2</v>
      </c>
      <c r="AD6" s="190">
        <f>AC6+AB6</f>
        <v>0.17002786895780009</v>
      </c>
      <c r="AE6" s="190">
        <f>AD6/(S6/100)</f>
        <v>0.10703340110459274</v>
      </c>
      <c r="AF6" s="190">
        <f>1-AE6</f>
        <v>0.8929665988954073</v>
      </c>
      <c r="AG6" s="191">
        <f>expenses/(AF6)</f>
        <v>5040734.748564682</v>
      </c>
      <c r="AH6" s="192">
        <f>+AG6-Revenue</f>
        <v>355980.87454695161</v>
      </c>
      <c r="AI6" s="193">
        <f ca="1">+AH6/$J$49</f>
        <v>405051.32260279654</v>
      </c>
      <c r="AJ6" s="193">
        <f ca="1">+AI6*$J$47</f>
        <v>8733.0015832695262</v>
      </c>
      <c r="AK6" s="191">
        <f ca="1">ROUND(+AJ6+AG6,5)</f>
        <v>5049467.7501499997</v>
      </c>
    </row>
    <row r="7" spans="1:37" ht="15.75">
      <c r="A7" s="151"/>
      <c r="B7" s="176" t="s">
        <v>377</v>
      </c>
      <c r="C7" s="475">
        <f>+'2183 Pro Forma'!F318</f>
        <v>2949076.1929062651</v>
      </c>
      <c r="D7" s="172"/>
      <c r="E7" s="151"/>
      <c r="F7" s="194">
        <v>1</v>
      </c>
      <c r="G7" s="178"/>
      <c r="H7" s="195" t="s">
        <v>469</v>
      </c>
      <c r="I7" s="196">
        <f>IF(A64=TRUE,C5,0)</f>
        <v>4684753.8740177304</v>
      </c>
      <c r="J7" s="196">
        <f ca="1">(+$I8/($R50))-I7</f>
        <v>315143.67153544445</v>
      </c>
      <c r="K7" s="196">
        <f ca="1">+I7+J7</f>
        <v>4999897.5455531748</v>
      </c>
      <c r="L7" s="196">
        <f ca="1">((+J7/J49*K35)-J7)</f>
        <v>7731.1742828291026</v>
      </c>
      <c r="M7" s="196">
        <f ca="1">IFERROR(+K7+L7,0.00001)</f>
        <v>5007628.7198360041</v>
      </c>
      <c r="O7" s="181"/>
      <c r="P7" s="197">
        <v>497844.54650202766</v>
      </c>
      <c r="R7" s="198">
        <v>2</v>
      </c>
      <c r="S7" s="199">
        <f>Revenue/Investment*100</f>
        <v>158.85496228569747</v>
      </c>
      <c r="T7" s="200">
        <f>EXP(y_inter1-(slope*LN(+S7)))</f>
        <v>9.5617061956068046</v>
      </c>
      <c r="U7" s="201">
        <f>(+S7*T7/100)/100</f>
        <v>0.1518924477090039</v>
      </c>
      <c r="V7" s="201">
        <f>regDebt_weighted</f>
        <v>3.5860000000000003E-2</v>
      </c>
      <c r="W7" s="201">
        <f>+U7-V7</f>
        <v>0.11603244770900389</v>
      </c>
      <c r="X7" s="201">
        <f>+((W7*(1-0.34))-Pfd_weighted)/Equity_percent</f>
        <v>0.20462620781378651</v>
      </c>
      <c r="Y7" s="201">
        <f>+Y6</f>
        <v>2.5000000000000001E-3</v>
      </c>
      <c r="Z7" s="201">
        <f>+X7+Y7</f>
        <v>0.20712620781378652</v>
      </c>
      <c r="AA7" s="201">
        <f>Z7*equityP</f>
        <v>0.1242757246882719</v>
      </c>
      <c r="AB7" s="201">
        <f>+AA7/(1-taxrate)</f>
        <v>0.15731104390920495</v>
      </c>
      <c r="AC7" s="201">
        <f>debtP*Debt_Rate</f>
        <v>1.2716825048595141E-2</v>
      </c>
      <c r="AD7" s="201">
        <f>AC7+AB7</f>
        <v>0.17002786895780009</v>
      </c>
      <c r="AE7" s="201">
        <f>AD7/(S7/100)</f>
        <v>0.10703340110459274</v>
      </c>
      <c r="AF7" s="201">
        <f>1-AE7</f>
        <v>0.8929665988954073</v>
      </c>
      <c r="AG7" s="202">
        <f>expenses/(AF7)</f>
        <v>5040734.748564682</v>
      </c>
      <c r="AH7" s="203">
        <f>+AG7-Revenue</f>
        <v>355980.87454695161</v>
      </c>
      <c r="AI7" s="204">
        <f ca="1">+AH7/$J$49</f>
        <v>405051.32260279654</v>
      </c>
      <c r="AJ7" s="204">
        <f ca="1">+AI7*$J$47</f>
        <v>8733.0015832695262</v>
      </c>
      <c r="AK7" s="202">
        <f ca="1">ROUND(+AJ7+AG7,5)</f>
        <v>5049467.7501499997</v>
      </c>
    </row>
    <row r="8" spans="1:37" ht="15.75">
      <c r="A8" s="151"/>
      <c r="B8" s="176" t="s">
        <v>489</v>
      </c>
      <c r="C8" s="476">
        <f>+'Corporate BS'!D48</f>
        <v>0.4</v>
      </c>
      <c r="D8" s="172"/>
      <c r="E8" s="151"/>
      <c r="F8" s="205">
        <f>+F7+1</f>
        <v>2</v>
      </c>
      <c r="G8" s="178"/>
      <c r="H8" s="195" t="s">
        <v>484</v>
      </c>
      <c r="I8" s="196">
        <f>IF(A64=TRUE,C6,0)</f>
        <v>4501207.7643597005</v>
      </c>
      <c r="J8" s="167"/>
      <c r="K8" s="196">
        <f>+I8</f>
        <v>4501207.7643597005</v>
      </c>
      <c r="L8" s="196">
        <f ca="1">+L7</f>
        <v>7731.1742828291026</v>
      </c>
      <c r="M8" s="196">
        <f ca="1">IFERROR(+K8+L8,0.00001)</f>
        <v>4508938.9386425298</v>
      </c>
      <c r="O8" s="181"/>
      <c r="P8" s="197">
        <v>25115.958784233429</v>
      </c>
      <c r="R8" s="206">
        <v>3</v>
      </c>
      <c r="S8" s="199">
        <f>Revenue/Investment*100</f>
        <v>158.85496228569747</v>
      </c>
      <c r="T8" s="200">
        <f>EXP(y_inter1-(slope*LN(+S8)))</f>
        <v>9.5617061956068046</v>
      </c>
      <c r="U8" s="201">
        <f>(+S8*T8/100)/100</f>
        <v>0.1518924477090039</v>
      </c>
      <c r="V8" s="201">
        <f>regDebt_weighted</f>
        <v>3.5860000000000003E-2</v>
      </c>
      <c r="W8" s="201">
        <f>+U8-V8</f>
        <v>0.11603244770900389</v>
      </c>
      <c r="X8" s="201">
        <f>+((W8*(1-0.34))-Pfd_weighted)/Equity_percent</f>
        <v>0.20462620781378651</v>
      </c>
      <c r="Y8" s="201">
        <f>+Y7</f>
        <v>2.5000000000000001E-3</v>
      </c>
      <c r="Z8" s="201">
        <f>+X8+Y8</f>
        <v>0.20712620781378652</v>
      </c>
      <c r="AA8" s="201">
        <f>Z8*equityP</f>
        <v>0.1242757246882719</v>
      </c>
      <c r="AB8" s="201">
        <f>+AA8/(1-taxrate)</f>
        <v>0.15731104390920495</v>
      </c>
      <c r="AC8" s="201">
        <f>debtP*Debt_Rate</f>
        <v>1.2716825048595141E-2</v>
      </c>
      <c r="AD8" s="201">
        <f>AC8+AB8</f>
        <v>0.17002786895780009</v>
      </c>
      <c r="AE8" s="201">
        <f>AD8/(S8/100)</f>
        <v>0.10703340110459274</v>
      </c>
      <c r="AF8" s="201">
        <f>1-AE8</f>
        <v>0.8929665988954073</v>
      </c>
      <c r="AG8" s="202">
        <f>expenses/(AF8)</f>
        <v>5040734.748564682</v>
      </c>
      <c r="AH8" s="203">
        <f>+AG8-Revenue</f>
        <v>355980.87454695161</v>
      </c>
      <c r="AI8" s="204">
        <f ca="1">+AH8/$J$49</f>
        <v>405051.32260279654</v>
      </c>
      <c r="AJ8" s="204">
        <f ca="1">+AI8*$J$47</f>
        <v>8733.0015832695262</v>
      </c>
      <c r="AK8" s="202">
        <f ca="1">ROUND(+AJ8+AG8,5)</f>
        <v>5049467.7501499997</v>
      </c>
    </row>
    <row r="9" spans="1:37" ht="15.75">
      <c r="A9" s="151"/>
      <c r="B9" s="176" t="s">
        <v>490</v>
      </c>
      <c r="C9" s="476">
        <f>+'Corporate BS'!B57</f>
        <v>3.179206262148785E-2</v>
      </c>
      <c r="D9" s="172"/>
      <c r="E9" s="151"/>
      <c r="F9" s="205">
        <f t="shared" ref="F9:F49" si="0">+F8+1</f>
        <v>3</v>
      </c>
      <c r="G9" s="178"/>
      <c r="H9" s="195" t="s">
        <v>491</v>
      </c>
      <c r="I9" s="207">
        <f>+I7-I8</f>
        <v>183546.10965802986</v>
      </c>
      <c r="J9" s="167"/>
      <c r="K9" s="207">
        <f ca="1">+K7-K8</f>
        <v>498689.78119347431</v>
      </c>
      <c r="L9" s="178"/>
      <c r="M9" s="208">
        <f ca="1">+M7-M8</f>
        <v>498689.78119347431</v>
      </c>
      <c r="O9" s="209">
        <f ca="1">M9-M11</f>
        <v>461186.8951933083</v>
      </c>
      <c r="P9" s="210">
        <v>5.3129765021164649E-2</v>
      </c>
      <c r="R9" s="211">
        <v>4</v>
      </c>
      <c r="S9" s="199">
        <f>Revenue/Investment*100</f>
        <v>158.85496228569747</v>
      </c>
      <c r="T9" s="200">
        <f>EXP(y_inter1-(slope*LN(+S9)))</f>
        <v>9.5617061956068046</v>
      </c>
      <c r="U9" s="201">
        <f>(+S9*T9/100)/100</f>
        <v>0.1518924477090039</v>
      </c>
      <c r="V9" s="201">
        <f>regDebt_weighted</f>
        <v>3.5860000000000003E-2</v>
      </c>
      <c r="W9" s="201">
        <f>+U9-V9</f>
        <v>0.11603244770900389</v>
      </c>
      <c r="X9" s="201">
        <f>+((W9*(1-0.34))-Pfd_weighted)/Equity_percent</f>
        <v>0.20462620781378651</v>
      </c>
      <c r="Y9" s="201">
        <f>+Y8</f>
        <v>2.5000000000000001E-3</v>
      </c>
      <c r="Z9" s="201">
        <f>+X9+Y9</f>
        <v>0.20712620781378652</v>
      </c>
      <c r="AA9" s="201">
        <f>Z9*equityP</f>
        <v>0.1242757246882719</v>
      </c>
      <c r="AB9" s="201">
        <f>+AA9/(1-taxrate)</f>
        <v>0.15731104390920495</v>
      </c>
      <c r="AC9" s="201">
        <f>debtP*Debt_Rate</f>
        <v>1.2716825048595141E-2</v>
      </c>
      <c r="AD9" s="201">
        <f>AC9+AB9</f>
        <v>0.17002786895780009</v>
      </c>
      <c r="AE9" s="201">
        <f>AD9/(S9/100)</f>
        <v>0.10703340110459274</v>
      </c>
      <c r="AF9" s="201">
        <f>1-AE9</f>
        <v>0.8929665988954073</v>
      </c>
      <c r="AG9" s="202">
        <f>expenses/(AF9)</f>
        <v>5040734.748564682</v>
      </c>
      <c r="AH9" s="203">
        <f>+AG9-Revenue</f>
        <v>355980.87454695161</v>
      </c>
      <c r="AI9" s="204">
        <f ca="1">+AH9/$J$49</f>
        <v>405051.32260279654</v>
      </c>
      <c r="AJ9" s="204">
        <f ca="1">+AI9*$J$47</f>
        <v>8733.0015832695262</v>
      </c>
      <c r="AK9" s="202">
        <f ca="1">ROUND(+AJ9+AG9,5)</f>
        <v>5049467.7501499997</v>
      </c>
    </row>
    <row r="10" spans="1:37" ht="15.75">
      <c r="A10" s="151"/>
      <c r="B10" s="212" t="s">
        <v>492</v>
      </c>
      <c r="C10" s="476">
        <v>0.21</v>
      </c>
      <c r="D10" s="172"/>
      <c r="E10" s="151"/>
      <c r="F10" s="205">
        <f t="shared" si="0"/>
        <v>4</v>
      </c>
      <c r="G10" s="178"/>
      <c r="H10" s="178"/>
      <c r="I10" s="167"/>
      <c r="J10" s="167"/>
      <c r="K10" s="196"/>
      <c r="L10" s="178"/>
      <c r="M10" s="178"/>
      <c r="O10" s="181"/>
      <c r="P10" s="151"/>
      <c r="R10" s="170" t="s">
        <v>493</v>
      </c>
    </row>
    <row r="11" spans="1:37" ht="15.75">
      <c r="A11" s="151"/>
      <c r="B11" s="176" t="s">
        <v>494</v>
      </c>
      <c r="C11" s="476">
        <f>'[52]LG Public 2018 V5.0z'!C11</f>
        <v>1.4999999999999999E-2</v>
      </c>
      <c r="D11" s="172"/>
      <c r="E11" s="151"/>
      <c r="F11" s="205">
        <f t="shared" si="0"/>
        <v>5</v>
      </c>
      <c r="G11" s="178"/>
      <c r="H11" s="195" t="s">
        <v>147</v>
      </c>
      <c r="I11" s="196">
        <f>+K11</f>
        <v>37502.886000165992</v>
      </c>
      <c r="J11" s="167"/>
      <c r="K11" s="196">
        <f>+M27</f>
        <v>37502.886000165992</v>
      </c>
      <c r="L11" s="178"/>
      <c r="M11" s="196">
        <f>+K11</f>
        <v>37502.886000165992</v>
      </c>
      <c r="O11" s="181"/>
      <c r="P11" s="181">
        <f ca="1">M7-28899130</f>
        <v>-23891501.280163996</v>
      </c>
      <c r="R11" s="187">
        <v>1</v>
      </c>
      <c r="S11" s="188">
        <f ca="1">IF((AK6/Investment*100)&gt;0,(AK6/Investment*100),0)</f>
        <v>171.22201733193722</v>
      </c>
      <c r="T11" s="189">
        <f ca="1">EXP(y_inter1-(slope*LN(S11)))</f>
        <v>9.083974446234361</v>
      </c>
      <c r="U11" s="190">
        <f ca="1">(+S11*T11/100)/100</f>
        <v>0.15553764300760148</v>
      </c>
      <c r="V11" s="190">
        <f>regDebt_weighted</f>
        <v>3.5860000000000003E-2</v>
      </c>
      <c r="W11" s="190">
        <f ca="1">+U11-V11</f>
        <v>0.11967764300760148</v>
      </c>
      <c r="X11" s="190">
        <f ca="1">+((W11*(1-0.34))-Pfd_weighted)/Equity_percent</f>
        <v>0.21161989646807258</v>
      </c>
      <c r="Y11" s="190">
        <f>+Y9</f>
        <v>2.5000000000000001E-3</v>
      </c>
      <c r="Z11" s="190">
        <f ca="1">+X11+Y11</f>
        <v>0.21411989646807258</v>
      </c>
      <c r="AA11" s="190">
        <f ca="1">Z11*equityP</f>
        <v>0.12847193788084355</v>
      </c>
      <c r="AB11" s="190">
        <f ca="1">+AA11/(1-taxrate)</f>
        <v>0.16262270617828295</v>
      </c>
      <c r="AC11" s="190">
        <f>debtP*Debt_Rate</f>
        <v>1.2716825048595141E-2</v>
      </c>
      <c r="AD11" s="190">
        <f ca="1">+AC11+AB11</f>
        <v>0.17533953122687809</v>
      </c>
      <c r="AE11" s="190">
        <f ca="1">+AD11/(S11/100)</f>
        <v>0.10240478062290231</v>
      </c>
      <c r="AF11" s="190">
        <f ca="1">1-AE11</f>
        <v>0.89759521937709774</v>
      </c>
      <c r="AG11" s="191">
        <f ca="1">expenses/(AF11)</f>
        <v>5014741.2410277696</v>
      </c>
      <c r="AH11" s="192">
        <f ca="1">+AG11-Revenue</f>
        <v>329987.36701003928</v>
      </c>
      <c r="AI11" s="193">
        <f ca="1">+AH11/$J$49</f>
        <v>375474.72071284463</v>
      </c>
      <c r="AJ11" s="193">
        <f ca="1">+AI11*$J$47</f>
        <v>8095.3231047178824</v>
      </c>
      <c r="AK11" s="191">
        <f ca="1">ROUND(+AJ11+AG11,5)</f>
        <v>5022836.5641299998</v>
      </c>
    </row>
    <row r="12" spans="1:37" ht="15.75">
      <c r="A12" s="151"/>
      <c r="B12" s="176" t="s">
        <v>80</v>
      </c>
      <c r="C12" s="476">
        <f>'[52]LG Public 2018 V5.0z'!C12</f>
        <v>5.1000000000000004E-3</v>
      </c>
      <c r="D12" s="172"/>
      <c r="E12" s="151"/>
      <c r="F12" s="205">
        <f t="shared" si="0"/>
        <v>6</v>
      </c>
      <c r="G12" s="178"/>
      <c r="H12" s="195" t="s">
        <v>495</v>
      </c>
      <c r="I12" s="213">
        <f>+(I9-I11)*taxrate</f>
        <v>30669.076968151407</v>
      </c>
      <c r="J12" s="196">
        <f ca="1">+K12-I12</f>
        <v>66180.171022443334</v>
      </c>
      <c r="K12" s="196">
        <f ca="1">+(K9-K11)*taxrate</f>
        <v>96849.24799059474</v>
      </c>
      <c r="L12" s="178"/>
      <c r="M12" s="196">
        <f ca="1">+K12</f>
        <v>96849.24799059474</v>
      </c>
      <c r="O12" s="181">
        <f ca="1">J7*0.34</f>
        <v>107148.84832205113</v>
      </c>
      <c r="P12" s="181">
        <f ca="1">P11-M12</f>
        <v>-23988350.528154589</v>
      </c>
      <c r="R12" s="198">
        <v>2</v>
      </c>
      <c r="S12" s="199">
        <f ca="1">IF((AK7/Investment*100)&gt;0,(AK7/Investment*100),0)</f>
        <v>171.22201733193722</v>
      </c>
      <c r="T12" s="214">
        <f ca="1">EXP(y_inter2-(slope*LN(+S12)))</f>
        <v>8.9547293452557071</v>
      </c>
      <c r="U12" s="201">
        <f ca="1">(+S12*T12/100)/100</f>
        <v>0.15332468231561797</v>
      </c>
      <c r="V12" s="201">
        <f>regDebt_weighted</f>
        <v>3.5860000000000003E-2</v>
      </c>
      <c r="W12" s="201">
        <f ca="1">+U12-V12</f>
        <v>0.11746468231561796</v>
      </c>
      <c r="X12" s="201">
        <f ca="1">+((W12*(1-0.34))-Pfd_weighted)/Equity_percent</f>
        <v>0.2073740997915926</v>
      </c>
      <c r="Y12" s="201">
        <f>+Y11</f>
        <v>2.5000000000000001E-3</v>
      </c>
      <c r="Z12" s="201">
        <f ca="1">+X12+Y12</f>
        <v>0.20987409979159261</v>
      </c>
      <c r="AA12" s="201">
        <f ca="1">Z12*equityP</f>
        <v>0.12592445987495557</v>
      </c>
      <c r="AB12" s="201">
        <f ca="1">+AA12/(1-taxrate)</f>
        <v>0.1593980504746273</v>
      </c>
      <c r="AC12" s="201">
        <f>debtP*Debt_Rate</f>
        <v>1.2716825048595141E-2</v>
      </c>
      <c r="AD12" s="201">
        <f ca="1">+AC12+AB12</f>
        <v>0.17211487552322244</v>
      </c>
      <c r="AE12" s="201">
        <f ca="1">+AD12/(S12/100)</f>
        <v>0.10052146225421131</v>
      </c>
      <c r="AF12" s="201">
        <f ca="1">1-AE12</f>
        <v>0.89947853774578868</v>
      </c>
      <c r="AG12" s="202">
        <f ca="1">expenses/(AF12)</f>
        <v>5004241.4304184718</v>
      </c>
      <c r="AH12" s="203">
        <f ca="1">+AG12-Revenue</f>
        <v>319487.55640074145</v>
      </c>
      <c r="AI12" s="204">
        <f ca="1">+AH12/$J$49</f>
        <v>363527.5559113996</v>
      </c>
      <c r="AJ12" s="204">
        <f ca="1">+AI12*$J$47</f>
        <v>7837.7394275281295</v>
      </c>
      <c r="AK12" s="202">
        <f ca="1">ROUND(+AJ12+AG12,5)</f>
        <v>5012079.1698500002</v>
      </c>
    </row>
    <row r="13" spans="1:37" ht="15.75">
      <c r="A13" s="151"/>
      <c r="B13" s="176" t="s">
        <v>496</v>
      </c>
      <c r="C13" s="476">
        <f>'[52]LG Public 2018 V5.0z'!C13</f>
        <v>0</v>
      </c>
      <c r="D13" s="172"/>
      <c r="E13" s="151"/>
      <c r="F13" s="205">
        <f t="shared" si="0"/>
        <v>7</v>
      </c>
      <c r="G13" s="178"/>
      <c r="H13" s="178"/>
      <c r="I13" s="167"/>
      <c r="J13" s="167"/>
      <c r="K13" s="196"/>
      <c r="L13" s="178"/>
      <c r="M13" s="178"/>
      <c r="O13" s="181"/>
      <c r="P13" s="215">
        <f ca="1">P12/M12</f>
        <v>-247.68752495098522</v>
      </c>
      <c r="R13" s="206">
        <v>3</v>
      </c>
      <c r="S13" s="199">
        <f ca="1">IF((AK8/Investment*100)&gt;0,(AK8/Investment*100),0)</f>
        <v>171.22201733193722</v>
      </c>
      <c r="T13" s="200">
        <f ca="1">EXP(y_inter3-(slope*LN(S13)))</f>
        <v>8.8676676285619536</v>
      </c>
      <c r="U13" s="201">
        <f ca="1">(+S13*T13/100)/100</f>
        <v>0.15183399403914935</v>
      </c>
      <c r="V13" s="201">
        <f>regDebt_weighted</f>
        <v>3.5860000000000003E-2</v>
      </c>
      <c r="W13" s="201">
        <f ca="1">+U13-V13</f>
        <v>0.11597399403914935</v>
      </c>
      <c r="X13" s="201">
        <f ca="1">+((W13*(1-0.34))-Pfd_weighted)/Equity_percent</f>
        <v>0.20451405833092606</v>
      </c>
      <c r="Y13" s="201">
        <f>+Y12</f>
        <v>2.5000000000000001E-3</v>
      </c>
      <c r="Z13" s="201">
        <f ca="1">+X13+Y13</f>
        <v>0.20701405833092607</v>
      </c>
      <c r="AA13" s="201">
        <f ca="1">Z13*equityP</f>
        <v>0.12420843499855563</v>
      </c>
      <c r="AB13" s="201">
        <f ca="1">+AA13/(1-taxrate)</f>
        <v>0.15722586708677927</v>
      </c>
      <c r="AC13" s="201">
        <f>debtP*Debt_Rate</f>
        <v>1.2716825048595141E-2</v>
      </c>
      <c r="AD13" s="201">
        <f ca="1">+AC13+AB13</f>
        <v>0.16994269213537441</v>
      </c>
      <c r="AE13" s="201">
        <f ca="1">+AD13/(S13/100)</f>
        <v>9.9252826700387098E-2</v>
      </c>
      <c r="AF13" s="201">
        <f ca="1">1-AE13</f>
        <v>0.90074717329961285</v>
      </c>
      <c r="AG13" s="202">
        <f ca="1">expenses/(AF13)</f>
        <v>4997193.327702486</v>
      </c>
      <c r="AH13" s="203">
        <f ca="1">+AG13-Revenue</f>
        <v>312439.4536847556</v>
      </c>
      <c r="AI13" s="204">
        <f ca="1">+AH13/$J$49</f>
        <v>355507.90224156767</v>
      </c>
      <c r="AJ13" s="204">
        <f ca="1">+AI13*$J$47</f>
        <v>7664.8338121461638</v>
      </c>
      <c r="AK13" s="202">
        <f ca="1">ROUND(+AJ13+AG13,5)</f>
        <v>5004858.16151</v>
      </c>
    </row>
    <row r="14" spans="1:37" ht="16.5" thickBot="1">
      <c r="A14" s="151"/>
      <c r="B14" s="216" t="s">
        <v>122</v>
      </c>
      <c r="C14" s="476">
        <f>+'Restating Adj''s'!E87</f>
        <v>1.4602347059444768E-3</v>
      </c>
      <c r="D14" s="172"/>
      <c r="E14" s="151"/>
      <c r="F14" s="205">
        <f t="shared" si="0"/>
        <v>8</v>
      </c>
      <c r="G14" s="178"/>
      <c r="H14" s="178" t="s">
        <v>284</v>
      </c>
      <c r="I14" s="217">
        <f>+I9-SUM(I11:I13)</f>
        <v>115374.14668971246</v>
      </c>
      <c r="J14" s="167"/>
      <c r="K14" s="217">
        <f ca="1">+K9-SUM(K11:K13)</f>
        <v>364337.64720271359</v>
      </c>
      <c r="L14" s="178"/>
      <c r="M14" s="217">
        <f ca="1">+M9-SUM(M11:M13)</f>
        <v>364337.64720271359</v>
      </c>
      <c r="O14" s="181"/>
      <c r="P14" s="151"/>
      <c r="R14" s="211">
        <v>4</v>
      </c>
      <c r="S14" s="199">
        <f ca="1">IF((AK9/Investment*100)&gt;0,(AK9/Investment*100),0)</f>
        <v>171.22201733193722</v>
      </c>
      <c r="T14" s="218">
        <f ca="1">EXP(y_inter4-(slope*LN(S14)))</f>
        <v>8.8119769323918025</v>
      </c>
      <c r="U14" s="201">
        <f ca="1">(+S14*T14/100)/100</f>
        <v>0.15088044670466202</v>
      </c>
      <c r="V14" s="201">
        <f>regDebt_weighted</f>
        <v>3.5860000000000003E-2</v>
      </c>
      <c r="W14" s="201">
        <f ca="1">+U14-V14</f>
        <v>0.11502044670466202</v>
      </c>
      <c r="X14" s="201">
        <f ca="1">+((W14*(1-0.34))-Pfd_weighted)/Equity_percent</f>
        <v>0.2026845779798748</v>
      </c>
      <c r="Y14" s="201">
        <f>+Y13</f>
        <v>2.5000000000000001E-3</v>
      </c>
      <c r="Z14" s="201">
        <f ca="1">+X14+Y14</f>
        <v>0.2051845779798748</v>
      </c>
      <c r="AA14" s="201">
        <f ca="1">Z14*equityP</f>
        <v>0.12311074678792487</v>
      </c>
      <c r="AB14" s="201">
        <f ca="1">+AA14/(1-taxrate)</f>
        <v>0.1558363883391454</v>
      </c>
      <c r="AC14" s="201">
        <f>debtP*Debt_Rate</f>
        <v>1.2716825048595141E-2</v>
      </c>
      <c r="AD14" s="201">
        <f ca="1">+AC14+AB14</f>
        <v>0.16855321338774054</v>
      </c>
      <c r="AE14" s="201">
        <f ca="1">+AD14/(S14/100)</f>
        <v>9.8441319646980427E-2</v>
      </c>
      <c r="AF14" s="201">
        <f ca="1">1-AE14</f>
        <v>0.90155868035301956</v>
      </c>
      <c r="AG14" s="202">
        <f ca="1">expenses/(AF14)</f>
        <v>4992695.2759161294</v>
      </c>
      <c r="AH14" s="203">
        <f ca="1">+AG14-Revenue</f>
        <v>307941.401898399</v>
      </c>
      <c r="AI14" s="204">
        <f ca="1">+AH14/$J$49</f>
        <v>350389.81316580385</v>
      </c>
      <c r="AJ14" s="204">
        <f ca="1">+AI14*$J$47</f>
        <v>7554.4866104267658</v>
      </c>
      <c r="AK14" s="202">
        <f ca="1">ROUND(+AJ14+AG14,5)</f>
        <v>5000249.7625299999</v>
      </c>
    </row>
    <row r="15" spans="1:37" ht="16.5" thickTop="1">
      <c r="A15" s="151"/>
      <c r="B15" s="216" t="s">
        <v>497</v>
      </c>
      <c r="C15" s="219">
        <v>2.5000000000000001E-3</v>
      </c>
      <c r="D15" s="151"/>
      <c r="E15" s="151"/>
      <c r="F15" s="205">
        <f t="shared" si="0"/>
        <v>9</v>
      </c>
      <c r="G15" s="167"/>
      <c r="H15" s="167"/>
      <c r="I15" s="220"/>
      <c r="J15" s="167"/>
      <c r="K15" s="221"/>
      <c r="L15" s="167"/>
      <c r="M15" s="167"/>
      <c r="O15" s="181"/>
      <c r="P15" s="151">
        <f>34-21</f>
        <v>13</v>
      </c>
      <c r="R15" s="170" t="s">
        <v>498</v>
      </c>
    </row>
    <row r="16" spans="1:37" ht="15.75">
      <c r="A16" s="151"/>
      <c r="B16" s="151"/>
      <c r="C16" s="151"/>
      <c r="D16" s="172" t="s">
        <v>499</v>
      </c>
      <c r="E16" s="151"/>
      <c r="F16" s="205">
        <f t="shared" si="0"/>
        <v>10</v>
      </c>
      <c r="G16" s="167"/>
      <c r="H16" s="195" t="s">
        <v>500</v>
      </c>
      <c r="I16" s="222">
        <f>+I8/I7</f>
        <v>0.96082054370540126</v>
      </c>
      <c r="J16" s="223"/>
      <c r="K16" s="222">
        <f ca="1">+K8/K7</f>
        <v>0.90025999999999984</v>
      </c>
      <c r="L16" s="224"/>
      <c r="M16" s="222">
        <f ca="1">+M8/M7</f>
        <v>0.9004139865205889</v>
      </c>
      <c r="O16" s="181"/>
      <c r="P16" s="225">
        <f>P15/34</f>
        <v>0.38235294117647056</v>
      </c>
      <c r="R16" s="226">
        <v>1</v>
      </c>
      <c r="S16" s="227">
        <f ca="1">AK11/Investment*100</f>
        <v>170.31898247362943</v>
      </c>
      <c r="T16" s="228">
        <f ca="1">EXP(y_inter1-(slope*LN(+S16)))</f>
        <v>9.116874786065134</v>
      </c>
      <c r="U16" s="229">
        <f ca="1">(+S16*T16/100)/100</f>
        <v>0.15527768369021017</v>
      </c>
      <c r="V16" s="229">
        <f>regDebt_weighted</f>
        <v>3.5860000000000003E-2</v>
      </c>
      <c r="W16" s="229">
        <f ca="1">+U16-V16</f>
        <v>0.11941768369021016</v>
      </c>
      <c r="X16" s="229">
        <f ca="1">+((W16*(1-0.34))-Pfd_weighted)/Equity_percent</f>
        <v>0.21112113731261253</v>
      </c>
      <c r="Y16" s="229">
        <f>+Y14</f>
        <v>2.5000000000000001E-3</v>
      </c>
      <c r="Z16" s="229">
        <f ca="1">+X16+Y16</f>
        <v>0.21362113731261254</v>
      </c>
      <c r="AA16" s="229">
        <f ca="1">Z16*equityP</f>
        <v>0.12817268238756752</v>
      </c>
      <c r="AB16" s="229">
        <f ca="1">+AA16/(1-taxrate)</f>
        <v>0.16224390175641457</v>
      </c>
      <c r="AC16" s="229">
        <f>debtP*Debt_Rate</f>
        <v>1.2716825048595141E-2</v>
      </c>
      <c r="AD16" s="229">
        <f ca="1">+AC16+AB16</f>
        <v>0.17496072680500971</v>
      </c>
      <c r="AE16" s="229">
        <f ca="1">+AD16/(S16/100)</f>
        <v>0.10272532413238139</v>
      </c>
      <c r="AF16" s="229">
        <f ca="1">1-AE16</f>
        <v>0.89727467586761867</v>
      </c>
      <c r="AG16" s="230">
        <f ca="1">expenses/(AF16)</f>
        <v>5016532.7133603357</v>
      </c>
      <c r="AH16" s="231">
        <f ca="1">+AG16-Revenue</f>
        <v>331778.83934260532</v>
      </c>
      <c r="AI16" s="232">
        <f ca="1">+AH16/$J$49</f>
        <v>377513.13987970492</v>
      </c>
      <c r="AJ16" s="232">
        <f ca="1">+AI16*$J$47</f>
        <v>8139.2719003844859</v>
      </c>
      <c r="AK16" s="230">
        <f ca="1">ROUND(+AJ16+AG16,5)</f>
        <v>5024671.9852600005</v>
      </c>
    </row>
    <row r="17" spans="1:37" ht="15.75">
      <c r="A17" s="151"/>
      <c r="B17" s="233" t="s">
        <v>501</v>
      </c>
      <c r="C17" s="234"/>
      <c r="D17" s="151" t="s">
        <v>502</v>
      </c>
      <c r="E17" s="151"/>
      <c r="F17" s="205">
        <f t="shared" si="0"/>
        <v>11</v>
      </c>
      <c r="G17" s="167"/>
      <c r="H17" s="167"/>
      <c r="I17" s="167"/>
      <c r="K17" s="167"/>
      <c r="L17" s="195"/>
      <c r="M17" s="195"/>
      <c r="N17" s="222"/>
      <c r="O17" s="151"/>
      <c r="P17" s="151"/>
      <c r="R17" s="198">
        <v>2</v>
      </c>
      <c r="S17" s="199">
        <f ca="1">AK12/Investment*100</f>
        <v>169.95421081035823</v>
      </c>
      <c r="T17" s="214">
        <f ca="1">EXP(y_inter2-(slope*LN(+S17)))</f>
        <v>9.0003444840769724</v>
      </c>
      <c r="U17" s="201">
        <f ca="1">(+S17*T17/100)/100</f>
        <v>0.15296464438126628</v>
      </c>
      <c r="V17" s="201">
        <f>regDebt_weighted</f>
        <v>3.5860000000000003E-2</v>
      </c>
      <c r="W17" s="201">
        <f ca="1">+U17-V17</f>
        <v>0.11710464438126628</v>
      </c>
      <c r="X17" s="201">
        <f ca="1">+((W17*(1-0.34))-Pfd_weighted)/Equity_percent</f>
        <v>0.20668332933615041</v>
      </c>
      <c r="Y17" s="201">
        <f>+Y16</f>
        <v>2.5000000000000001E-3</v>
      </c>
      <c r="Z17" s="201">
        <f ca="1">+X17+Y17</f>
        <v>0.20918332933615041</v>
      </c>
      <c r="AA17" s="201">
        <f ca="1">Z17*equityP</f>
        <v>0.12550999760169024</v>
      </c>
      <c r="AB17" s="201">
        <f ca="1">+AA17/(1-taxrate)</f>
        <v>0.15887341468568383</v>
      </c>
      <c r="AC17" s="201">
        <f>debtP*Debt_Rate</f>
        <v>1.2716825048595141E-2</v>
      </c>
      <c r="AD17" s="201">
        <f ca="1">+AC17+AB17</f>
        <v>0.17159023973427898</v>
      </c>
      <c r="AE17" s="201">
        <f ca="1">+AD17/(S17/100)</f>
        <v>0.10096262923767525</v>
      </c>
      <c r="AF17" s="201">
        <f ca="1">1-AE17</f>
        <v>0.89903737076232471</v>
      </c>
      <c r="AG17" s="202">
        <f ca="1">expenses/(AF17)</f>
        <v>5006697.0637082327</v>
      </c>
      <c r="AH17" s="203">
        <f ca="1">+AG17-Revenue</f>
        <v>321943.18969050236</v>
      </c>
      <c r="AI17" s="204">
        <f ca="1">+AH17/$J$49</f>
        <v>366321.68779590318</v>
      </c>
      <c r="AJ17" s="204">
        <f ca="1">+AI17*$J$47</f>
        <v>7897.9815667573894</v>
      </c>
      <c r="AK17" s="202">
        <f ca="1">ROUND(+AJ17+AG17,5)</f>
        <v>5014595.0452699997</v>
      </c>
    </row>
    <row r="18" spans="1:37" ht="15.75">
      <c r="A18" s="151"/>
      <c r="B18" s="1275"/>
      <c r="C18" s="1275"/>
      <c r="D18" s="151"/>
      <c r="E18" s="151"/>
      <c r="F18" s="205">
        <f t="shared" si="0"/>
        <v>12</v>
      </c>
      <c r="G18" s="167"/>
      <c r="H18" s="235" t="s">
        <v>355</v>
      </c>
      <c r="I18" s="236"/>
      <c r="J18" s="236"/>
      <c r="K18" s="236"/>
      <c r="L18" s="236"/>
      <c r="M18" s="237"/>
      <c r="O18" s="151"/>
      <c r="P18" s="151"/>
      <c r="R18" s="206">
        <v>3</v>
      </c>
      <c r="S18" s="199">
        <f ca="1">AK13/Investment*100</f>
        <v>169.70935418856698</v>
      </c>
      <c r="T18" s="200">
        <f ca="1">EXP(y_inter3-(slope*LN(S18)))</f>
        <v>8.9216288876631324</v>
      </c>
      <c r="U18" s="201">
        <f ca="1">(+S18*T18/100)/100</f>
        <v>0.15140838768353734</v>
      </c>
      <c r="V18" s="201">
        <f>regDebt_weighted</f>
        <v>3.5860000000000003E-2</v>
      </c>
      <c r="W18" s="201">
        <f ca="1">+U18-V18</f>
        <v>0.11554838768353734</v>
      </c>
      <c r="X18" s="201">
        <f ca="1">+((W18*(1-0.34))-Pfd_weighted)/Equity_percent</f>
        <v>0.20369748799748444</v>
      </c>
      <c r="Y18" s="201">
        <f>+Y17</f>
        <v>2.5000000000000001E-3</v>
      </c>
      <c r="Z18" s="201">
        <f ca="1">+X18+Y18</f>
        <v>0.20619748799748444</v>
      </c>
      <c r="AA18" s="201">
        <f ca="1">Z18*equityP</f>
        <v>0.12371849279849066</v>
      </c>
      <c r="AB18" s="201">
        <f ca="1">+AA18/(1-taxrate)</f>
        <v>0.15660568708669703</v>
      </c>
      <c r="AC18" s="201">
        <f>debtP*Debt_Rate</f>
        <v>1.2716825048595141E-2</v>
      </c>
      <c r="AD18" s="201">
        <f ca="1">+AC18+AB18</f>
        <v>0.16932251213529217</v>
      </c>
      <c r="AE18" s="201">
        <f ca="1">+AD18/(S18/100)</f>
        <v>9.9772056139672188E-2</v>
      </c>
      <c r="AF18" s="201">
        <f ca="1">1-AE18</f>
        <v>0.90022794386032778</v>
      </c>
      <c r="AG18" s="202">
        <f ca="1">expenses/(AF18)</f>
        <v>5000075.5864762096</v>
      </c>
      <c r="AH18" s="203">
        <f ca="1">+AG18-Revenue</f>
        <v>315321.71245847922</v>
      </c>
      <c r="AI18" s="204">
        <f ca="1">+AH18/$J$49</f>
        <v>358787.46811674588</v>
      </c>
      <c r="AJ18" s="204">
        <f ca="1">+AI18*$J$47</f>
        <v>7735.542022148612</v>
      </c>
      <c r="AK18" s="202">
        <f ca="1">ROUND(+AJ18+AG18,5)</f>
        <v>5007811.1284999996</v>
      </c>
    </row>
    <row r="19" spans="1:37" ht="15.75">
      <c r="A19" s="151"/>
      <c r="B19" s="1276" t="s">
        <v>503</v>
      </c>
      <c r="C19" s="1276"/>
      <c r="D19" s="151"/>
      <c r="E19" s="151"/>
      <c r="F19" s="205">
        <f t="shared" si="0"/>
        <v>13</v>
      </c>
      <c r="G19" s="167"/>
      <c r="H19" s="173"/>
      <c r="I19" s="238" t="s">
        <v>504</v>
      </c>
      <c r="J19" s="239">
        <f>+Revenue</f>
        <v>4684753.8740177304</v>
      </c>
      <c r="K19" s="240"/>
      <c r="L19" s="238" t="s">
        <v>505</v>
      </c>
      <c r="M19" s="241">
        <f ca="1">+J7</f>
        <v>315143.67153544445</v>
      </c>
      <c r="O19" s="151"/>
      <c r="P19" s="151"/>
      <c r="R19" s="211">
        <v>4</v>
      </c>
      <c r="S19" s="199">
        <f ca="1">AK14/Investment*100</f>
        <v>169.55308833856674</v>
      </c>
      <c r="T19" s="218">
        <f ca="1">EXP(y_inter4-(slope*LN(S19)))</f>
        <v>8.8711846453883432</v>
      </c>
      <c r="U19" s="201">
        <f ca="1">(+S19*T19/100)/100</f>
        <v>0.15041367538472666</v>
      </c>
      <c r="V19" s="201">
        <f>regDebt_weighted</f>
        <v>3.5860000000000003E-2</v>
      </c>
      <c r="W19" s="201">
        <f ca="1">+U19-V19</f>
        <v>0.11455367538472666</v>
      </c>
      <c r="X19" s="201">
        <f ca="1">+((W19*(1-0.34))-Pfd_weighted)/Equity_percent</f>
        <v>0.20178902835441739</v>
      </c>
      <c r="Y19" s="201">
        <f>+Y18</f>
        <v>2.5000000000000001E-3</v>
      </c>
      <c r="Z19" s="201">
        <f ca="1">+X19+Y19</f>
        <v>0.2042890283544174</v>
      </c>
      <c r="AA19" s="201">
        <f ca="1">Z19*equityP</f>
        <v>0.12257341701265043</v>
      </c>
      <c r="AB19" s="201">
        <f ca="1">+AA19/(1-taxrate)</f>
        <v>0.15515622406664611</v>
      </c>
      <c r="AC19" s="201">
        <f>debtP*Debt_Rate</f>
        <v>1.2716825048595141E-2</v>
      </c>
      <c r="AD19" s="201">
        <f ca="1">+AC19+AB19</f>
        <v>0.16787304911524126</v>
      </c>
      <c r="AE19" s="201">
        <f ca="1">+AD19/(S19/100)</f>
        <v>9.9009136760770319E-2</v>
      </c>
      <c r="AF19" s="201">
        <f ca="1">1-AE19</f>
        <v>0.90099086323922972</v>
      </c>
      <c r="AG19" s="202">
        <f ca="1">expenses/(AF19)</f>
        <v>4995841.7426976133</v>
      </c>
      <c r="AH19" s="203">
        <f ca="1">+AG19-Revenue</f>
        <v>311087.86867988296</v>
      </c>
      <c r="AI19" s="204">
        <f ca="1">+AH19/$J$49</f>
        <v>353970.00699781196</v>
      </c>
      <c r="AJ19" s="204">
        <f ca="1">+AI19*$J$47</f>
        <v>7631.6764297376349</v>
      </c>
      <c r="AK19" s="202">
        <f ca="1">ROUND(+AJ19+AG19,5)</f>
        <v>5003473.4191300003</v>
      </c>
    </row>
    <row r="20" spans="1:37" ht="15.75">
      <c r="A20" s="151"/>
      <c r="B20" s="242"/>
      <c r="C20" s="151"/>
      <c r="D20" s="151"/>
      <c r="E20" s="151"/>
      <c r="F20" s="205">
        <f t="shared" si="0"/>
        <v>14</v>
      </c>
      <c r="G20" s="167"/>
      <c r="H20" s="173"/>
      <c r="I20" s="238" t="s">
        <v>506</v>
      </c>
      <c r="J20" s="239">
        <f ca="1">+J21-J19</f>
        <v>322874.84581827372</v>
      </c>
      <c r="K20" s="243">
        <f ca="1">J20/J19</f>
        <v>6.8920343416327731E-2</v>
      </c>
      <c r="L20" s="238" t="s">
        <v>507</v>
      </c>
      <c r="M20" s="241">
        <f ca="1">+L8</f>
        <v>7731.1742828291026</v>
      </c>
      <c r="O20" s="151"/>
      <c r="P20" s="151"/>
      <c r="R20" s="170" t="s">
        <v>508</v>
      </c>
    </row>
    <row r="21" spans="1:37" ht="16.5" thickBot="1">
      <c r="A21" s="151"/>
      <c r="B21" s="242"/>
      <c r="C21" s="242"/>
      <c r="D21" s="151"/>
      <c r="E21" s="151"/>
      <c r="F21" s="205">
        <f t="shared" si="0"/>
        <v>15</v>
      </c>
      <c r="G21" s="167"/>
      <c r="H21" s="173"/>
      <c r="I21" s="244" t="s">
        <v>355</v>
      </c>
      <c r="J21" s="245">
        <f ca="1">+M7</f>
        <v>5007628.7198360041</v>
      </c>
      <c r="K21" s="246"/>
      <c r="L21" s="244" t="s">
        <v>506</v>
      </c>
      <c r="M21" s="247">
        <f ca="1">+M19+M20</f>
        <v>322874.84581827355</v>
      </c>
      <c r="O21" s="151"/>
      <c r="P21" s="151"/>
      <c r="R21" s="226">
        <v>1</v>
      </c>
      <c r="S21" s="227">
        <f ca="1">AK16/Investment*100</f>
        <v>170.38121962892626</v>
      </c>
      <c r="T21" s="228">
        <f ca="1">EXP(y_inter1-(slope*LN(+S21)))</f>
        <v>9.1145978773520113</v>
      </c>
      <c r="U21" s="229">
        <f ca="1">(+S21*T21/100)/100</f>
        <v>0.15529563027704579</v>
      </c>
      <c r="V21" s="229">
        <f>regDebt_weighted</f>
        <v>3.5860000000000003E-2</v>
      </c>
      <c r="W21" s="229">
        <f ca="1">+U21-V21</f>
        <v>0.11943563027704579</v>
      </c>
      <c r="X21" s="229">
        <f ca="1">+((W21*(1-0.34))-Pfd_weighted)/Equity_percent</f>
        <v>0.21115556971758787</v>
      </c>
      <c r="Y21" s="229">
        <f>+Y19</f>
        <v>2.5000000000000001E-3</v>
      </c>
      <c r="Z21" s="229">
        <f ca="1">+X21+Y21</f>
        <v>0.21365556971758787</v>
      </c>
      <c r="AA21" s="229">
        <f ca="1">Z21*equityP</f>
        <v>0.12819334183055273</v>
      </c>
      <c r="AB21" s="229">
        <f ca="1">+AA21/(1-taxrate)</f>
        <v>0.16227005295006675</v>
      </c>
      <c r="AC21" s="229">
        <f>debtP*Debt_Rate</f>
        <v>1.2716825048595141E-2</v>
      </c>
      <c r="AD21" s="229">
        <f ca="1">+AC21+AB21</f>
        <v>0.17498687799866189</v>
      </c>
      <c r="AE21" s="229">
        <f ca="1">+AD21/(S21/100)</f>
        <v>0.10270314907932125</v>
      </c>
      <c r="AF21" s="229">
        <f ca="1">1-AE21</f>
        <v>0.89729685092067879</v>
      </c>
      <c r="AG21" s="230">
        <f ca="1">expenses/(AF21)</f>
        <v>5016408.7389153317</v>
      </c>
      <c r="AH21" s="231">
        <f ca="1">+AG21-Revenue</f>
        <v>331654.86489760131</v>
      </c>
      <c r="AI21" s="232">
        <f ca="1">+AH21/$J$49</f>
        <v>377372.07608524762</v>
      </c>
      <c r="AJ21" s="232">
        <f ca="1">+AI21*$J$47</f>
        <v>8136.2305318674762</v>
      </c>
      <c r="AK21" s="230">
        <f ca="1">ROUND(+AJ21+AG21,5)</f>
        <v>5024544.9694499997</v>
      </c>
    </row>
    <row r="22" spans="1:37" ht="16.5" thickTop="1">
      <c r="A22" s="151"/>
      <c r="B22" s="242"/>
      <c r="C22" s="151"/>
      <c r="D22" s="151"/>
      <c r="E22" s="151"/>
      <c r="F22" s="205">
        <f t="shared" si="0"/>
        <v>16</v>
      </c>
      <c r="G22" s="167"/>
      <c r="H22" s="248"/>
      <c r="I22" s="249"/>
      <c r="J22" s="1078">
        <f ca="1">J20+'Rural - Price Out '!AN45</f>
        <v>296377.35315050156</v>
      </c>
      <c r="K22" s="947">
        <f ca="1">J22/J19</f>
        <v>6.3264231402689025E-2</v>
      </c>
      <c r="L22" s="249"/>
      <c r="M22" s="250"/>
      <c r="O22" s="151"/>
      <c r="P22" s="151"/>
      <c r="R22" s="198">
        <v>2</v>
      </c>
      <c r="S22" s="199">
        <f ca="1">AK17/Investment*100</f>
        <v>170.03952143834576</v>
      </c>
      <c r="T22" s="214">
        <f ca="1">EXP(y_inter2-(slope*LN(+S22)))</f>
        <v>8.997257080599443</v>
      </c>
      <c r="U22" s="201">
        <f ca="1">(+S22*T22/100)/100</f>
        <v>0.15298892882428972</v>
      </c>
      <c r="V22" s="201">
        <f>regDebt_weighted</f>
        <v>3.5860000000000003E-2</v>
      </c>
      <c r="W22" s="201">
        <f ca="1">+U22-V22</f>
        <v>0.11712892882428971</v>
      </c>
      <c r="X22" s="201">
        <f ca="1">+((W22*(1-0.34))-Pfd_weighted)/Equity_percent</f>
        <v>0.20672992158148606</v>
      </c>
      <c r="Y22" s="201">
        <f>+Y21</f>
        <v>2.5000000000000001E-3</v>
      </c>
      <c r="Z22" s="201">
        <f ca="1">+X22+Y22</f>
        <v>0.20922992158148607</v>
      </c>
      <c r="AA22" s="201">
        <f ca="1">Z22*equityP</f>
        <v>0.12553795294889164</v>
      </c>
      <c r="AB22" s="201">
        <f ca="1">+AA22/(1-taxrate)</f>
        <v>0.15890880120112866</v>
      </c>
      <c r="AC22" s="201">
        <f>debtP*Debt_Rate</f>
        <v>1.2716825048595141E-2</v>
      </c>
      <c r="AD22" s="201">
        <f ca="1">+AC22+AB22</f>
        <v>0.1716256262497238</v>
      </c>
      <c r="AE22" s="201">
        <f ca="1">+AD22/(S22/100)</f>
        <v>0.10093278597702543</v>
      </c>
      <c r="AF22" s="201">
        <f ca="1">1-AE22</f>
        <v>0.89906721402297451</v>
      </c>
      <c r="AG22" s="202">
        <f ca="1">expenses/(AF22)</f>
        <v>5006530.8735022759</v>
      </c>
      <c r="AH22" s="203">
        <f ca="1">+AG22-Revenue</f>
        <v>321776.99948454555</v>
      </c>
      <c r="AI22" s="204">
        <f ca="1">+AH22/$J$49</f>
        <v>366132.5889775689</v>
      </c>
      <c r="AJ22" s="204">
        <f ca="1">+AI22*$J$47</f>
        <v>7893.9045518514858</v>
      </c>
      <c r="AK22" s="202">
        <f ca="1">ROUND(+AJ22+AG22,5)</f>
        <v>5014424.7780499998</v>
      </c>
    </row>
    <row r="23" spans="1:37" ht="15.75">
      <c r="A23" s="151"/>
      <c r="B23" s="251" t="s">
        <v>509</v>
      </c>
      <c r="C23" s="252"/>
      <c r="D23" s="252"/>
      <c r="E23" s="252"/>
      <c r="F23" s="205">
        <f t="shared" si="0"/>
        <v>17</v>
      </c>
      <c r="H23" s="167"/>
      <c r="I23" s="167"/>
      <c r="J23" s="167"/>
      <c r="K23" s="167"/>
      <c r="L23" s="167"/>
      <c r="M23" s="167"/>
      <c r="N23" s="167"/>
      <c r="O23" s="151"/>
      <c r="P23" s="151"/>
      <c r="R23" s="206">
        <v>3</v>
      </c>
      <c r="S23" s="199">
        <f ca="1">AK18/Investment*100</f>
        <v>169.80948612130925</v>
      </c>
      <c r="T23" s="200">
        <f ca="1">EXP(y_inter3-(slope*LN(S23)))</f>
        <v>8.9180318760361317</v>
      </c>
      <c r="U23" s="201">
        <f ca="1">(+S23*T23/100)/100</f>
        <v>0.15143664100831511</v>
      </c>
      <c r="V23" s="201">
        <f>regDebt_weighted</f>
        <v>3.5860000000000003E-2</v>
      </c>
      <c r="W23" s="201">
        <f ca="1">+U23-V23</f>
        <v>0.11557664100831511</v>
      </c>
      <c r="X23" s="201">
        <f ca="1">+((W23*(1-0.34))-Pfd_weighted)/Equity_percent</f>
        <v>0.20375169495781387</v>
      </c>
      <c r="Y23" s="201">
        <f>+Y22</f>
        <v>2.5000000000000001E-3</v>
      </c>
      <c r="Z23" s="201">
        <f ca="1">+X23+Y23</f>
        <v>0.20625169495781387</v>
      </c>
      <c r="AA23" s="201">
        <f ca="1">Z23*equityP</f>
        <v>0.12375101697468832</v>
      </c>
      <c r="AB23" s="201">
        <f ca="1">+AA23/(1-taxrate)</f>
        <v>0.1566468569299852</v>
      </c>
      <c r="AC23" s="201">
        <f>debtP*Debt_Rate</f>
        <v>1.2716825048595141E-2</v>
      </c>
      <c r="AD23" s="201">
        <f ca="1">+AC23+AB23</f>
        <v>0.16936368197858034</v>
      </c>
      <c r="AE23" s="201">
        <f ca="1">+AD23/(S23/100)</f>
        <v>9.9737468057343737E-2</v>
      </c>
      <c r="AF23" s="201">
        <f ca="1">1-AE23</f>
        <v>0.90026253194265626</v>
      </c>
      <c r="AG23" s="202">
        <f ca="1">expenses/(AF23)</f>
        <v>4999883.4835952194</v>
      </c>
      <c r="AH23" s="203">
        <f ca="1">+AG23-Revenue</f>
        <v>315129.60957748909</v>
      </c>
      <c r="AI23" s="204">
        <f ca="1">+AH23/$J$49</f>
        <v>358568.88467144169</v>
      </c>
      <c r="AJ23" s="204">
        <f ca="1">+AI23*$J$47</f>
        <v>7730.8293117650201</v>
      </c>
      <c r="AK23" s="202">
        <f ca="1">ROUND(+AJ23+AG23,5)</f>
        <v>5007614.3129099999</v>
      </c>
    </row>
    <row r="24" spans="1:37" ht="15.75">
      <c r="A24" s="151"/>
      <c r="B24" s="253" t="s">
        <v>510</v>
      </c>
      <c r="C24" s="252"/>
      <c r="D24" s="252"/>
      <c r="E24" s="252"/>
      <c r="F24" s="205">
        <f t="shared" si="0"/>
        <v>18</v>
      </c>
      <c r="H24" s="254" t="s">
        <v>511</v>
      </c>
      <c r="K24" s="255" t="s">
        <v>512</v>
      </c>
      <c r="L24" s="255"/>
      <c r="M24" s="255"/>
      <c r="N24" s="255"/>
      <c r="O24" s="151"/>
      <c r="P24" s="151"/>
      <c r="R24" s="211">
        <v>4</v>
      </c>
      <c r="S24" s="199">
        <f ca="1">AK19/Investment*100</f>
        <v>169.66239906467661</v>
      </c>
      <c r="T24" s="218">
        <f ca="1">EXP(y_inter4-(slope*LN(S24)))</f>
        <v>8.8672766901240418</v>
      </c>
      <c r="U24" s="201">
        <f ca="1">(+S24*T24/100)/100</f>
        <v>0.15044434364167297</v>
      </c>
      <c r="V24" s="201">
        <f>regDebt_weighted</f>
        <v>3.5860000000000003E-2</v>
      </c>
      <c r="W24" s="201">
        <f ca="1">+U24-V24</f>
        <v>0.11458434364167297</v>
      </c>
      <c r="X24" s="201">
        <f ca="1">+((W24*(1-0.34))-Pfd_weighted)/Equity_percent</f>
        <v>0.20184786861483764</v>
      </c>
      <c r="Y24" s="201">
        <f>+Y23</f>
        <v>2.5000000000000001E-3</v>
      </c>
      <c r="Z24" s="201">
        <f ca="1">+X24+Y24</f>
        <v>0.20434786861483764</v>
      </c>
      <c r="AA24" s="201">
        <f ca="1">Z24*equityP</f>
        <v>0.12260872116890258</v>
      </c>
      <c r="AB24" s="201">
        <f ca="1">+AA24/(1-taxrate)</f>
        <v>0.15520091287202856</v>
      </c>
      <c r="AC24" s="201">
        <f>debtP*Debt_Rate</f>
        <v>1.2716825048595141E-2</v>
      </c>
      <c r="AD24" s="201">
        <f ca="1">+AC24+AB24</f>
        <v>0.1679177379206237</v>
      </c>
      <c r="AE24" s="201">
        <f ca="1">+AD24/(S24/100)</f>
        <v>9.8971686623747529E-2</v>
      </c>
      <c r="AF24" s="201">
        <f ca="1">1-AE24</f>
        <v>0.90102831337625244</v>
      </c>
      <c r="AG24" s="202">
        <f ca="1">expenses/(AF24)</f>
        <v>4995634.0966613786</v>
      </c>
      <c r="AH24" s="203">
        <f ca="1">+AG24-Revenue</f>
        <v>310880.22264364827</v>
      </c>
      <c r="AI24" s="204">
        <f ca="1">+AH24/$J$49</f>
        <v>353733.73783948389</v>
      </c>
      <c r="AJ24" s="204">
        <f ca="1">+AI24*$J$47</f>
        <v>7626.5824112303062</v>
      </c>
      <c r="AK24" s="202">
        <f ca="1">ROUND(+AJ24+AG24,5)</f>
        <v>5003260.6790699996</v>
      </c>
    </row>
    <row r="25" spans="1:37" ht="15.75">
      <c r="A25" s="151"/>
      <c r="B25" s="253" t="s">
        <v>513</v>
      </c>
      <c r="C25" s="252"/>
      <c r="D25" s="252"/>
      <c r="E25" s="252"/>
      <c r="F25" s="205">
        <f t="shared" si="0"/>
        <v>19</v>
      </c>
      <c r="H25" s="256" t="s">
        <v>514</v>
      </c>
      <c r="I25" s="257" t="s">
        <v>344</v>
      </c>
      <c r="J25" s="258" t="s">
        <v>515</v>
      </c>
      <c r="K25" s="256" t="s">
        <v>516</v>
      </c>
      <c r="L25" s="258" t="s">
        <v>517</v>
      </c>
      <c r="M25" s="258" t="s">
        <v>515</v>
      </c>
      <c r="O25" s="151"/>
      <c r="P25" s="151"/>
      <c r="R25" s="170" t="s">
        <v>518</v>
      </c>
      <c r="W25" s="259"/>
      <c r="X25" s="260"/>
      <c r="Y25" s="260"/>
      <c r="Z25" s="260"/>
      <c r="AA25" s="261"/>
      <c r="AB25" s="261"/>
      <c r="AC25" s="260"/>
      <c r="AE25" s="260"/>
      <c r="AF25" s="260"/>
      <c r="AG25" s="261"/>
      <c r="AH25" s="259"/>
    </row>
    <row r="26" spans="1:37" ht="15.75">
      <c r="A26" s="151"/>
      <c r="B26" s="253" t="s">
        <v>519</v>
      </c>
      <c r="C26" s="252"/>
      <c r="D26" s="252"/>
      <c r="E26" s="252"/>
      <c r="F26" s="205">
        <f t="shared" si="0"/>
        <v>20</v>
      </c>
      <c r="H26" s="195" t="s">
        <v>479</v>
      </c>
      <c r="I26" s="262">
        <f>1-I27</f>
        <v>0.6</v>
      </c>
      <c r="J26" s="263">
        <f>+I26*J28</f>
        <v>1769445.7157437589</v>
      </c>
      <c r="K26" s="222">
        <f ca="1">+K34</f>
        <v>0.20590495880206752</v>
      </c>
      <c r="L26" s="262">
        <f ca="1">+K26*I26</f>
        <v>0.1235429752812405</v>
      </c>
      <c r="M26" s="196">
        <f ca="1">+J26*K26</f>
        <v>364337.64720271359</v>
      </c>
      <c r="O26" s="151"/>
      <c r="P26" s="151"/>
      <c r="R26" s="226">
        <v>1</v>
      </c>
      <c r="S26" s="227">
        <f ca="1">AK21/Investment*100</f>
        <v>170.37691265949948</v>
      </c>
      <c r="T26" s="228">
        <f ca="1">EXP(y_inter1-(slope*LN(+S26)))</f>
        <v>9.1147554001235225</v>
      </c>
      <c r="U26" s="229">
        <f ca="1">(+S26*T26/100)/100</f>
        <v>0.15529438847195465</v>
      </c>
      <c r="V26" s="229">
        <f>regDebt_weighted</f>
        <v>3.5860000000000003E-2</v>
      </c>
      <c r="W26" s="229">
        <f ca="1">+U26-V26</f>
        <v>0.11943438847195464</v>
      </c>
      <c r="X26" s="229">
        <f ca="1">+((W26*(1-0.34))-Pfd_weighted)/Equity_percent</f>
        <v>0.21115318718456411</v>
      </c>
      <c r="Y26" s="229">
        <f>+Y24</f>
        <v>2.5000000000000001E-3</v>
      </c>
      <c r="Z26" s="229">
        <f ca="1">+X26+Y26</f>
        <v>0.21365318718456411</v>
      </c>
      <c r="AA26" s="229">
        <f ca="1">Z26*equityP</f>
        <v>0.12819191231073845</v>
      </c>
      <c r="AB26" s="229">
        <f ca="1">+AA26/(1-taxrate)</f>
        <v>0.16226824343131449</v>
      </c>
      <c r="AC26" s="229">
        <f>debtP*Debt_Rate</f>
        <v>1.2716825048595141E-2</v>
      </c>
      <c r="AD26" s="229">
        <f ca="1">+AC26+AB26</f>
        <v>0.17498506847990963</v>
      </c>
      <c r="AE26" s="229">
        <f ca="1">+AD26/(S26/100)</f>
        <v>0.10270468325108087</v>
      </c>
      <c r="AF26" s="229">
        <f ca="1">1-AE26</f>
        <v>0.89729531674891916</v>
      </c>
      <c r="AG26" s="230">
        <f ca="1">expenses/(AF26)</f>
        <v>5016417.3158380883</v>
      </c>
      <c r="AH26" s="231">
        <f ca="1">+AG26-Revenue</f>
        <v>331663.44182035793</v>
      </c>
      <c r="AI26" s="232">
        <f ca="1">+AH26/$J$49</f>
        <v>377381.83530029212</v>
      </c>
      <c r="AJ26" s="232">
        <f ca="1">+AI26*$J$47</f>
        <v>8136.4409428343806</v>
      </c>
      <c r="AK26" s="230">
        <f ca="1">ROUND(+AJ26+AG26,5)</f>
        <v>5024553.7567800004</v>
      </c>
    </row>
    <row r="27" spans="1:37" ht="15.75">
      <c r="A27" s="151"/>
      <c r="B27" s="253" t="s">
        <v>520</v>
      </c>
      <c r="C27" s="252"/>
      <c r="D27" s="252"/>
      <c r="E27" s="252"/>
      <c r="F27" s="205">
        <f t="shared" si="0"/>
        <v>21</v>
      </c>
      <c r="H27" s="195" t="s">
        <v>481</v>
      </c>
      <c r="I27" s="262">
        <f>IF(A64=TRUE,C8,0)</f>
        <v>0.4</v>
      </c>
      <c r="J27" s="264">
        <f>+I27*J28</f>
        <v>1179630.4771625062</v>
      </c>
      <c r="K27" s="222">
        <f>IF(A64=TRUE,C9,0)</f>
        <v>3.179206262148785E-2</v>
      </c>
      <c r="L27" s="262">
        <f>+K27*I27</f>
        <v>1.2716825048595141E-2</v>
      </c>
      <c r="M27" s="239">
        <f>+K27*J27</f>
        <v>37502.886000165992</v>
      </c>
      <c r="O27" s="151"/>
      <c r="P27" s="151"/>
      <c r="R27" s="198">
        <v>2</v>
      </c>
      <c r="S27" s="199">
        <f ca="1">AK22/Investment*100</f>
        <v>170.03374786015172</v>
      </c>
      <c r="T27" s="214">
        <f ca="1">EXP(y_inter2-(slope*LN(+S27)))</f>
        <v>8.9974659449139729</v>
      </c>
      <c r="U27" s="201">
        <f ca="1">(+S27*T27/100)/100</f>
        <v>0.15298728558578042</v>
      </c>
      <c r="V27" s="201">
        <f>regDebt_weighted</f>
        <v>3.5860000000000003E-2</v>
      </c>
      <c r="W27" s="201">
        <f ca="1">+U27-V27</f>
        <v>0.11712728558578042</v>
      </c>
      <c r="X27" s="201">
        <f ca="1">+((W27*(1-0.34))-Pfd_weighted)/Equity_percent</f>
        <v>0.20672676885643917</v>
      </c>
      <c r="Y27" s="201">
        <f>+Y26</f>
        <v>2.5000000000000001E-3</v>
      </c>
      <c r="Z27" s="201">
        <f ca="1">+X27+Y27</f>
        <v>0.20922676885643918</v>
      </c>
      <c r="AA27" s="201">
        <f ca="1">Z27*equityP</f>
        <v>0.1255360613138635</v>
      </c>
      <c r="AB27" s="201">
        <f ca="1">+AA27/(1-taxrate)</f>
        <v>0.15890640672640949</v>
      </c>
      <c r="AC27" s="201">
        <f>debtP*Debt_Rate</f>
        <v>1.2716825048595141E-2</v>
      </c>
      <c r="AD27" s="201">
        <f ca="1">+AC27+AB27</f>
        <v>0.17162323177500463</v>
      </c>
      <c r="AE27" s="201">
        <f ca="1">+AD27/(S27/100)</f>
        <v>0.10093480496363592</v>
      </c>
      <c r="AF27" s="201">
        <f ca="1">1-AE27</f>
        <v>0.89906519503636406</v>
      </c>
      <c r="AG27" s="202">
        <f ca="1">expenses/(AF27)</f>
        <v>5006542.1164230946</v>
      </c>
      <c r="AH27" s="203">
        <f ca="1">+AG27-Revenue</f>
        <v>321788.24240536429</v>
      </c>
      <c r="AI27" s="204">
        <f ca="1">+AH27/$J$49</f>
        <v>366145.38168715854</v>
      </c>
      <c r="AJ27" s="204">
        <f ca="1">+AI27*$J$47</f>
        <v>7894.1803656727634</v>
      </c>
      <c r="AK27" s="202">
        <f ca="1">ROUND(+AJ27+AG27,5)</f>
        <v>5014436.2967900001</v>
      </c>
    </row>
    <row r="28" spans="1:37" ht="16.5" thickBot="1">
      <c r="A28" s="151"/>
      <c r="B28" s="151"/>
      <c r="C28" s="151"/>
      <c r="D28" s="151"/>
      <c r="E28" s="151"/>
      <c r="F28" s="205">
        <f t="shared" si="0"/>
        <v>22</v>
      </c>
      <c r="H28" s="195" t="s">
        <v>13</v>
      </c>
      <c r="I28" s="262">
        <f>SUM(I26:I27)</f>
        <v>1</v>
      </c>
      <c r="J28" s="265">
        <f>IF(A64=TRUE,C7,0)</f>
        <v>2949076.1929062651</v>
      </c>
      <c r="K28" s="266"/>
      <c r="L28" s="267">
        <f ca="1">SUM(L26:L27)</f>
        <v>0.13625980032983565</v>
      </c>
      <c r="M28" s="265">
        <f ca="1">SUM(M26:M27)</f>
        <v>401840.5332028796</v>
      </c>
      <c r="O28" s="151"/>
      <c r="P28" s="151"/>
      <c r="R28" s="206">
        <v>3</v>
      </c>
      <c r="S28" s="199">
        <f ca="1">AK23/Investment*100</f>
        <v>169.80281231645898</v>
      </c>
      <c r="T28" s="200">
        <f ca="1">EXP(y_inter3-(slope*LN(S28)))</f>
        <v>8.9182715061908233</v>
      </c>
      <c r="U28" s="201">
        <f ca="1">(+S28*T28/100)/100</f>
        <v>0.15143475827529446</v>
      </c>
      <c r="V28" s="201">
        <f>regDebt_weighted</f>
        <v>3.5860000000000003E-2</v>
      </c>
      <c r="W28" s="201">
        <f ca="1">+U28-V28</f>
        <v>0.11557475827529445</v>
      </c>
      <c r="X28" s="201">
        <f ca="1">+((W28*(1-0.34))-Pfd_weighted)/Equity_percent</f>
        <v>0.20374808273748354</v>
      </c>
      <c r="Y28" s="201">
        <f>+Y27</f>
        <v>2.5000000000000001E-3</v>
      </c>
      <c r="Z28" s="201">
        <f ca="1">+X28+Y28</f>
        <v>0.20624808273748355</v>
      </c>
      <c r="AA28" s="201">
        <f ca="1">Z28*equityP</f>
        <v>0.12374884964249012</v>
      </c>
      <c r="AB28" s="201">
        <f ca="1">+AA28/(1-taxrate)</f>
        <v>0.15664411347150647</v>
      </c>
      <c r="AC28" s="201">
        <f>debtP*Debt_Rate</f>
        <v>1.2716825048595141E-2</v>
      </c>
      <c r="AD28" s="201">
        <f ca="1">+AC28+AB28</f>
        <v>0.16936093852010162</v>
      </c>
      <c r="AE28" s="201">
        <f ca="1">+AD28/(S28/100)</f>
        <v>9.9739772392265308E-2</v>
      </c>
      <c r="AF28" s="201">
        <f ca="1">1-AE28</f>
        <v>0.90026022760773472</v>
      </c>
      <c r="AG28" s="202">
        <f ca="1">expenses/(AF28)</f>
        <v>4999896.2814571727</v>
      </c>
      <c r="AH28" s="203">
        <f ca="1">+AG28-Revenue</f>
        <v>315142.40743944235</v>
      </c>
      <c r="AI28" s="204">
        <f ca="1">+AH28/$J$49</f>
        <v>358583.44666418148</v>
      </c>
      <c r="AJ28" s="204">
        <f ca="1">+AI28*$J$47</f>
        <v>7731.1432717462758</v>
      </c>
      <c r="AK28" s="202">
        <f ca="1">ROUND(+AJ28+AG28,5)</f>
        <v>5007627.4247300001</v>
      </c>
    </row>
    <row r="29" spans="1:37" ht="16.5" thickTop="1">
      <c r="A29" s="151"/>
      <c r="B29" s="151"/>
      <c r="C29" s="151"/>
      <c r="D29" s="151"/>
      <c r="E29" s="151"/>
      <c r="F29" s="205">
        <f t="shared" si="0"/>
        <v>23</v>
      </c>
      <c r="G29" s="167"/>
      <c r="H29" s="167"/>
      <c r="I29" s="167"/>
      <c r="J29" s="167"/>
      <c r="K29" s="167"/>
      <c r="L29" s="167"/>
      <c r="M29" s="167"/>
      <c r="N29" s="167"/>
      <c r="O29" s="151"/>
      <c r="P29" s="151"/>
      <c r="R29" s="211">
        <v>4</v>
      </c>
      <c r="S29" s="199">
        <f ca="1">AK24/Investment*100</f>
        <v>169.65518527818605</v>
      </c>
      <c r="T29" s="218">
        <f ca="1">EXP(y_inter4-(slope*LN(S29)))</f>
        <v>8.8675344587217904</v>
      </c>
      <c r="U29" s="201">
        <f ca="1">(+S29*T29/100)/100</f>
        <v>0.15044232015551448</v>
      </c>
      <c r="V29" s="201">
        <f>regDebt_weighted</f>
        <v>3.5860000000000003E-2</v>
      </c>
      <c r="W29" s="201">
        <f ca="1">+U29-V29</f>
        <v>0.11458232015551448</v>
      </c>
      <c r="X29" s="201">
        <f ca="1">+((W29*(1-0.34))-Pfd_weighted)/Equity_percent</f>
        <v>0.2018439863448824</v>
      </c>
      <c r="Y29" s="201">
        <f>+Y28</f>
        <v>2.5000000000000001E-3</v>
      </c>
      <c r="Z29" s="201">
        <f ca="1">+X29+Y29</f>
        <v>0.20434398634488241</v>
      </c>
      <c r="AA29" s="201">
        <f ca="1">Z29*equityP</f>
        <v>0.12260639180692944</v>
      </c>
      <c r="AB29" s="201">
        <f ca="1">+AA29/(1-taxrate)</f>
        <v>0.15519796431256891</v>
      </c>
      <c r="AC29" s="201">
        <f>debtP*Debt_Rate</f>
        <v>1.2716825048595141E-2</v>
      </c>
      <c r="AD29" s="201">
        <f ca="1">+AC29+AB29</f>
        <v>0.16791478936116405</v>
      </c>
      <c r="AE29" s="201">
        <f ca="1">+AD29/(S29/100)</f>
        <v>9.8974156955964385E-2</v>
      </c>
      <c r="AF29" s="201">
        <f ca="1">1-AE29</f>
        <v>0.90102584304403566</v>
      </c>
      <c r="AG29" s="202">
        <f ca="1">expenses/(AF29)</f>
        <v>4995647.7931340691</v>
      </c>
      <c r="AH29" s="203">
        <f ca="1">+AG29-Revenue</f>
        <v>310893.91911633871</v>
      </c>
      <c r="AI29" s="204">
        <f ca="1">+AH29/$J$49</f>
        <v>353749.32231262536</v>
      </c>
      <c r="AJ29" s="204">
        <f ca="1">+AI29*$J$47</f>
        <v>7626.9184161290041</v>
      </c>
      <c r="AK29" s="202">
        <f ca="1">ROUND(+AJ29+AG29,5)</f>
        <v>5003274.7115500001</v>
      </c>
    </row>
    <row r="30" spans="1:37" ht="15.75">
      <c r="A30" s="151"/>
      <c r="B30" s="151"/>
      <c r="C30" s="151"/>
      <c r="D30" s="209"/>
      <c r="E30" s="151"/>
      <c r="F30" s="205">
        <f t="shared" si="0"/>
        <v>24</v>
      </c>
      <c r="G30" s="167"/>
      <c r="H30" s="167"/>
      <c r="I30" s="167"/>
      <c r="J30" s="268" t="s">
        <v>521</v>
      </c>
      <c r="K30" s="268" t="s">
        <v>522</v>
      </c>
      <c r="L30" s="167"/>
      <c r="M30" s="167"/>
      <c r="N30" s="167"/>
      <c r="O30" s="151"/>
      <c r="P30" s="151"/>
      <c r="R30" s="170" t="s">
        <v>523</v>
      </c>
      <c r="W30" s="259"/>
      <c r="X30" s="260"/>
      <c r="Z30" s="260"/>
      <c r="AA30" s="261"/>
      <c r="AB30" s="261"/>
      <c r="AC30" s="260"/>
      <c r="AE30" s="260"/>
      <c r="AF30" s="260"/>
      <c r="AG30" s="261"/>
      <c r="AH30" s="259"/>
      <c r="AJ30" s="261"/>
    </row>
    <row r="31" spans="1:37" ht="15.75">
      <c r="A31" s="151"/>
      <c r="B31" s="151"/>
      <c r="C31" s="151"/>
      <c r="D31" s="209"/>
      <c r="E31" s="151"/>
      <c r="F31" s="205">
        <f t="shared" si="0"/>
        <v>25</v>
      </c>
      <c r="G31" s="167"/>
      <c r="H31" s="269" t="s">
        <v>524</v>
      </c>
      <c r="I31" s="270"/>
      <c r="J31" s="271" t="s">
        <v>525</v>
      </c>
      <c r="K31" s="271" t="s">
        <v>525</v>
      </c>
      <c r="L31" s="1277"/>
      <c r="M31" s="1277"/>
      <c r="N31" s="1277"/>
      <c r="O31" s="151"/>
      <c r="P31" s="151"/>
      <c r="R31" s="226">
        <v>1</v>
      </c>
      <c r="S31" s="227">
        <f ca="1">AK26/Investment*100</f>
        <v>170.37721062840316</v>
      </c>
      <c r="T31" s="228">
        <f ca="1">EXP(y_inter1-(slope*LN(+S31)))</f>
        <v>9.1147445020156788</v>
      </c>
      <c r="U31" s="229">
        <f ca="1">(+S31*T31/100)/100</f>
        <v>0.1552944743844005</v>
      </c>
      <c r="V31" s="229">
        <f>regDebt_weighted</f>
        <v>3.5860000000000003E-2</v>
      </c>
      <c r="W31" s="229">
        <f ca="1">+U31-V31</f>
        <v>0.1194344743844005</v>
      </c>
      <c r="X31" s="229">
        <f ca="1">+((W31*(1-0.34))-Pfd_weighted)/Equity_percent</f>
        <v>0.21115335201658234</v>
      </c>
      <c r="Y31" s="229">
        <f>+Y29</f>
        <v>2.5000000000000001E-3</v>
      </c>
      <c r="Z31" s="229">
        <f ca="1">+X31+Y31</f>
        <v>0.21365335201658234</v>
      </c>
      <c r="AA31" s="229">
        <f ca="1">Z31*equityP</f>
        <v>0.12819201120994939</v>
      </c>
      <c r="AB31" s="229">
        <f ca="1">+AA31/(1-taxrate)</f>
        <v>0.16226836862018909</v>
      </c>
      <c r="AC31" s="229">
        <f>debtP*Debt_Rate</f>
        <v>1.2716825048595141E-2</v>
      </c>
      <c r="AD31" s="229">
        <f ca="1">+AC31+AB31</f>
        <v>0.17498519366878423</v>
      </c>
      <c r="AE31" s="229">
        <f ca="1">+AD31/(S31/100)</f>
        <v>0.1027045771106273</v>
      </c>
      <c r="AF31" s="229">
        <f ca="1">1-AE31</f>
        <v>0.8972954228893727</v>
      </c>
      <c r="AG31" s="230">
        <f ca="1">expenses/(AF31)</f>
        <v>5016416.7224495616</v>
      </c>
      <c r="AH31" s="231">
        <f ca="1">+AG31-Revenue</f>
        <v>331662.84843183123</v>
      </c>
      <c r="AI31" s="232">
        <f ca="1">+AH31/$J$49</f>
        <v>377381.16011568322</v>
      </c>
      <c r="AJ31" s="232">
        <f ca="1">+AI31*$J$47</f>
        <v>8136.4263856957432</v>
      </c>
      <c r="AK31" s="230">
        <f ca="1">ROUND(+AJ31+AG31,5)</f>
        <v>5024553.1488399999</v>
      </c>
    </row>
    <row r="32" spans="1:37" ht="15.75">
      <c r="A32" s="151"/>
      <c r="B32" s="151"/>
      <c r="C32" s="151"/>
      <c r="D32" s="272"/>
      <c r="E32" s="151"/>
      <c r="F32" s="205">
        <f t="shared" si="0"/>
        <v>26</v>
      </c>
      <c r="G32" s="167"/>
      <c r="H32" s="178"/>
      <c r="I32" s="178"/>
      <c r="J32" s="178"/>
      <c r="K32" s="178"/>
      <c r="L32" s="167"/>
      <c r="M32" s="167"/>
      <c r="N32" s="167"/>
      <c r="O32" s="151"/>
      <c r="P32" s="151"/>
      <c r="R32" s="198">
        <v>2</v>
      </c>
      <c r="S32" s="199">
        <f ca="1">AK27/Investment*100</f>
        <v>170.03413844822902</v>
      </c>
      <c r="T32" s="214">
        <f ca="1">EXP(y_inter2-(slope*LN(+S32)))</f>
        <v>8.997451814667107</v>
      </c>
      <c r="U32" s="201">
        <f ca="1">(+S32*T32/100)/100</f>
        <v>0.15298739675363762</v>
      </c>
      <c r="V32" s="201">
        <f>regDebt_weighted</f>
        <v>3.5860000000000003E-2</v>
      </c>
      <c r="W32" s="201">
        <f ca="1">+U32-V32</f>
        <v>0.11712739675363762</v>
      </c>
      <c r="X32" s="201">
        <f ca="1">+((W32*(1-0.34))-Pfd_weighted)/Equity_percent</f>
        <v>0.20672698214360702</v>
      </c>
      <c r="Y32" s="201">
        <f>+Y31</f>
        <v>2.5000000000000001E-3</v>
      </c>
      <c r="Z32" s="201">
        <f ca="1">+X32+Y32</f>
        <v>0.20922698214360702</v>
      </c>
      <c r="AA32" s="201">
        <f ca="1">Z32*equityP</f>
        <v>0.1255361892861642</v>
      </c>
      <c r="AB32" s="201">
        <f ca="1">+AA32/(1-taxrate)</f>
        <v>0.15890656871666353</v>
      </c>
      <c r="AC32" s="201">
        <f>debtP*Debt_Rate</f>
        <v>1.2716825048595141E-2</v>
      </c>
      <c r="AD32" s="201">
        <f ca="1">+AC32+AB32</f>
        <v>0.17162339376525867</v>
      </c>
      <c r="AE32" s="201">
        <f ca="1">+AD32/(S32/100)</f>
        <v>0.100934668373971</v>
      </c>
      <c r="AF32" s="201">
        <f ca="1">1-AE32</f>
        <v>0.89906533162602897</v>
      </c>
      <c r="AG32" s="202">
        <f ca="1">expenses/(AF32)</f>
        <v>5006541.3558088364</v>
      </c>
      <c r="AH32" s="203">
        <f ca="1">+AG32-Revenue</f>
        <v>321787.48179110605</v>
      </c>
      <c r="AI32" s="204">
        <f ca="1">+AH32/$J$49</f>
        <v>366144.51622546295</v>
      </c>
      <c r="AJ32" s="204">
        <f ca="1">+AI32*$J$47</f>
        <v>7894.1617061154775</v>
      </c>
      <c r="AK32" s="202">
        <f ca="1">ROUND(+AJ32+AG32,5)</f>
        <v>5014435.5175099997</v>
      </c>
    </row>
    <row r="33" spans="1:48" ht="15.75">
      <c r="A33" s="151"/>
      <c r="B33" s="151"/>
      <c r="C33" s="151"/>
      <c r="D33" s="151"/>
      <c r="E33" s="151"/>
      <c r="F33" s="205">
        <f t="shared" si="0"/>
        <v>27</v>
      </c>
      <c r="G33" s="167"/>
      <c r="H33" s="178" t="s">
        <v>526</v>
      </c>
      <c r="I33" s="178"/>
      <c r="J33" s="273">
        <f ca="1">+K9/J28</f>
        <v>0.16910033806282362</v>
      </c>
      <c r="K33" s="273">
        <f ca="1">+(M14+M11)/J28</f>
        <v>0.13625980032983565</v>
      </c>
      <c r="L33" s="195"/>
      <c r="M33" s="195"/>
      <c r="N33" s="196"/>
      <c r="O33" s="151"/>
      <c r="P33" s="151"/>
      <c r="R33" s="206">
        <v>3</v>
      </c>
      <c r="S33" s="199">
        <f ca="1">AK28/Investment*100</f>
        <v>169.80325692416469</v>
      </c>
      <c r="T33" s="200">
        <f ca="1">EXP(y_inter3-(slope*LN(S33)))</f>
        <v>8.9182555415790397</v>
      </c>
      <c r="U33" s="201">
        <f ca="1">(+S33*T33/100)/100</f>
        <v>0.15143488370421013</v>
      </c>
      <c r="V33" s="201">
        <f>regDebt_weighted</f>
        <v>3.5860000000000003E-2</v>
      </c>
      <c r="W33" s="201">
        <f ca="1">+U33-V33</f>
        <v>0.11557488370421012</v>
      </c>
      <c r="X33" s="201">
        <f ca="1">+((W33*(1-0.34))-Pfd_weighted)/Equity_percent</f>
        <v>0.2037483233859845</v>
      </c>
      <c r="Y33" s="201">
        <f>+Y32</f>
        <v>2.5000000000000001E-3</v>
      </c>
      <c r="Z33" s="201">
        <f ca="1">+X33+Y33</f>
        <v>0.20624832338598451</v>
      </c>
      <c r="AA33" s="201">
        <f ca="1">Z33*equityP</f>
        <v>0.1237489940315907</v>
      </c>
      <c r="AB33" s="201">
        <f ca="1">+AA33/(1-taxrate)</f>
        <v>0.15664429624251988</v>
      </c>
      <c r="AC33" s="201">
        <f>debtP*Debt_Rate</f>
        <v>1.2716825048595141E-2</v>
      </c>
      <c r="AD33" s="201">
        <f ca="1">+AC33+AB33</f>
        <v>0.16936112129111502</v>
      </c>
      <c r="AE33" s="201">
        <f ca="1">+AD33/(S33/100)</f>
        <v>9.9739618873596086E-2</v>
      </c>
      <c r="AF33" s="201">
        <f ca="1">1-AE33</f>
        <v>0.90026038112640394</v>
      </c>
      <c r="AG33" s="202">
        <f ca="1">expenses/(AF33)</f>
        <v>4999895.4288400412</v>
      </c>
      <c r="AH33" s="203">
        <f ca="1">+AG33-Revenue</f>
        <v>315141.55482231081</v>
      </c>
      <c r="AI33" s="204">
        <f ca="1">+AH33/$J$49</f>
        <v>358582.47651740815</v>
      </c>
      <c r="AJ33" s="204">
        <f ca="1">+AI33*$J$47</f>
        <v>7731.1223551541443</v>
      </c>
      <c r="AK33" s="202">
        <f ca="1">ROUND(+AJ33+AG33,5)</f>
        <v>5007626.5511999996</v>
      </c>
    </row>
    <row r="34" spans="1:48" ht="15.75">
      <c r="A34" s="151"/>
      <c r="B34" s="151"/>
      <c r="C34" s="151"/>
      <c r="D34" s="151"/>
      <c r="E34" s="151"/>
      <c r="F34" s="205">
        <f t="shared" si="0"/>
        <v>28</v>
      </c>
      <c r="G34" s="167"/>
      <c r="H34" s="178" t="s">
        <v>527</v>
      </c>
      <c r="I34" s="178"/>
      <c r="J34" s="273">
        <f ca="1">+(M9-M11)/J26</f>
        <v>0.26063918835704747</v>
      </c>
      <c r="K34" s="273">
        <f ca="1">+M14/J26</f>
        <v>0.20590495880206752</v>
      </c>
      <c r="L34" s="195"/>
      <c r="M34" s="195"/>
      <c r="N34" s="196"/>
      <c r="O34" s="274"/>
      <c r="P34" s="151"/>
      <c r="R34" s="211">
        <v>4</v>
      </c>
      <c r="S34" s="199">
        <f ca="1">AK29/Investment*100</f>
        <v>169.65566110448157</v>
      </c>
      <c r="T34" s="218">
        <f ca="1">EXP(y_inter4-(slope*LN(S34)))</f>
        <v>8.8675174555601526</v>
      </c>
      <c r="U34" s="201">
        <f ca="1">(+S34*T34/100)/100</f>
        <v>0.1504424536278588</v>
      </c>
      <c r="V34" s="201">
        <f>regDebt_weighted</f>
        <v>3.5860000000000003E-2</v>
      </c>
      <c r="W34" s="201">
        <f ca="1">+U34-V34</f>
        <v>0.11458245362785879</v>
      </c>
      <c r="X34" s="201">
        <f ca="1">+((W34*(1-0.34))-Pfd_weighted)/Equity_percent</f>
        <v>0.20184424242554302</v>
      </c>
      <c r="Y34" s="201">
        <f>+Y33</f>
        <v>2.5000000000000001E-3</v>
      </c>
      <c r="Z34" s="201">
        <f ca="1">+X34+Y34</f>
        <v>0.20434424242554303</v>
      </c>
      <c r="AA34" s="201">
        <f ca="1">Z34*equityP</f>
        <v>0.12260654545532582</v>
      </c>
      <c r="AB34" s="201">
        <f ca="1">+AA34/(1-taxrate)</f>
        <v>0.1551981588042099</v>
      </c>
      <c r="AC34" s="201">
        <f>debtP*Debt_Rate</f>
        <v>1.2716825048595141E-2</v>
      </c>
      <c r="AD34" s="201">
        <f ca="1">+AC34+AB34</f>
        <v>0.16791498385280504</v>
      </c>
      <c r="AE34" s="201">
        <f ca="1">+AD34/(S34/100)</f>
        <v>9.8973994006245083E-2</v>
      </c>
      <c r="AF34" s="201">
        <f ca="1">1-AE34</f>
        <v>0.90102600599375493</v>
      </c>
      <c r="AG34" s="202">
        <f ca="1">expenses/(AF34)</f>
        <v>4995646.8896757886</v>
      </c>
      <c r="AH34" s="203">
        <f ca="1">+AG34-Revenue</f>
        <v>310893.01565805823</v>
      </c>
      <c r="AI34" s="204">
        <f ca="1">+AH34/$J$49</f>
        <v>353748.29431646719</v>
      </c>
      <c r="AJ34" s="204">
        <f ca="1">+AI34*$J$47</f>
        <v>7626.8962522905576</v>
      </c>
      <c r="AK34" s="202">
        <f ca="1">ROUND(+AJ34+AG34,5)</f>
        <v>5003273.7859300002</v>
      </c>
    </row>
    <row r="35" spans="1:48" ht="15.75">
      <c r="A35" s="151"/>
      <c r="B35" s="151"/>
      <c r="C35" s="209"/>
      <c r="D35" s="151"/>
      <c r="E35" s="151"/>
      <c r="F35" s="205">
        <f t="shared" si="0"/>
        <v>29</v>
      </c>
      <c r="G35" s="167"/>
      <c r="H35" s="275" t="s">
        <v>172</v>
      </c>
      <c r="I35" s="178"/>
      <c r="J35" s="273">
        <f ca="1">+K8/K7</f>
        <v>0.90025999999999984</v>
      </c>
      <c r="K35" s="273">
        <f ca="1">+M8/M7</f>
        <v>0.9004139865205889</v>
      </c>
      <c r="L35" s="195"/>
      <c r="M35" s="195"/>
      <c r="N35" s="196"/>
      <c r="O35" s="151"/>
      <c r="P35" s="151"/>
      <c r="R35" s="170" t="s">
        <v>528</v>
      </c>
      <c r="X35" s="260"/>
      <c r="Y35" s="260"/>
      <c r="Z35" s="260"/>
      <c r="AA35" s="276"/>
      <c r="AB35" s="261"/>
      <c r="AC35" s="260"/>
      <c r="AE35" s="260"/>
      <c r="AF35" s="260"/>
      <c r="AG35" s="261"/>
      <c r="AH35" s="259"/>
      <c r="AJ35" s="261"/>
    </row>
    <row r="36" spans="1:48" ht="15.75">
      <c r="A36" s="151"/>
      <c r="B36" s="151"/>
      <c r="C36" s="151"/>
      <c r="D36" s="151"/>
      <c r="E36" s="151"/>
      <c r="F36" s="205">
        <f t="shared" si="0"/>
        <v>30</v>
      </c>
      <c r="G36" s="167"/>
      <c r="H36" s="178" t="s">
        <v>529</v>
      </c>
      <c r="I36" s="178"/>
      <c r="J36" s="273">
        <f ca="1">+K9/K7</f>
        <v>9.9740000000000134E-2</v>
      </c>
      <c r="K36" s="273">
        <f ca="1">+J36</f>
        <v>9.9740000000000134E-2</v>
      </c>
      <c r="L36" s="167"/>
      <c r="M36" s="167"/>
      <c r="N36" s="196"/>
      <c r="O36" s="151"/>
      <c r="P36" s="151"/>
      <c r="R36" s="226">
        <v>1</v>
      </c>
      <c r="S36" s="227">
        <f ca="1">AK31/Investment*100</f>
        <v>170.377190013812</v>
      </c>
      <c r="T36" s="228">
        <f ca="1">EXP(y_inter1-(slope*LN(+S36)))</f>
        <v>9.1147452559860689</v>
      </c>
      <c r="U36" s="229">
        <f ca="1">(+S36*T36/100)/100</f>
        <v>0.155294468440663</v>
      </c>
      <c r="V36" s="229">
        <f>regDebt_weighted</f>
        <v>3.5860000000000003E-2</v>
      </c>
      <c r="W36" s="229">
        <f ca="1">+U36-V36</f>
        <v>0.11943446844066299</v>
      </c>
      <c r="X36" s="229">
        <f ca="1">+((W36*(1-0.34))-Pfd_weighted)/Equity_percent</f>
        <v>0.21115334061289992</v>
      </c>
      <c r="Y36" s="229">
        <f>+Y34</f>
        <v>2.5000000000000001E-3</v>
      </c>
      <c r="Z36" s="229">
        <f ca="1">+X36+Y36</f>
        <v>0.21365334061289992</v>
      </c>
      <c r="AA36" s="229">
        <f ca="1">Z36*equityP</f>
        <v>0.12819200436773995</v>
      </c>
      <c r="AB36" s="229">
        <f ca="1">+AA36/(1-taxrate)</f>
        <v>0.16226835995916447</v>
      </c>
      <c r="AC36" s="229">
        <f>debtP*Debt_Rate</f>
        <v>1.2716825048595141E-2</v>
      </c>
      <c r="AD36" s="229">
        <f ca="1">+AC36+AB36</f>
        <v>0.17498518500775961</v>
      </c>
      <c r="AE36" s="229">
        <f ca="1">+AD36/(S36/100)</f>
        <v>0.10270458445380749</v>
      </c>
      <c r="AF36" s="229">
        <f ca="1">1-AE36</f>
        <v>0.89729541554619252</v>
      </c>
      <c r="AG36" s="230">
        <f ca="1">expenses/(AF36)</f>
        <v>5016416.7635023203</v>
      </c>
      <c r="AH36" s="231">
        <f ca="1">+AG36-Revenue</f>
        <v>331662.88948458992</v>
      </c>
      <c r="AI36" s="232">
        <f ca="1">+AH36/$J$49</f>
        <v>377381.20682738989</v>
      </c>
      <c r="AJ36" s="232">
        <f ca="1">+AI36*$J$47</f>
        <v>8136.4273928111024</v>
      </c>
      <c r="AK36" s="230">
        <f ca="1">ROUND(+AJ36+AG36,5)</f>
        <v>5024553.1908999998</v>
      </c>
    </row>
    <row r="37" spans="1:48" ht="15.75">
      <c r="A37" s="151"/>
      <c r="B37" s="151"/>
      <c r="C37" s="151"/>
      <c r="D37" s="181"/>
      <c r="E37" s="151"/>
      <c r="F37" s="205">
        <f t="shared" si="0"/>
        <v>31</v>
      </c>
      <c r="G37" s="167"/>
      <c r="H37" s="178" t="s">
        <v>530</v>
      </c>
      <c r="I37" s="277"/>
      <c r="J37" s="278">
        <f ca="1">+S39/100</f>
        <v>1.6965562971770352</v>
      </c>
      <c r="K37" s="278">
        <f ca="1">+J37</f>
        <v>1.6965562971770352</v>
      </c>
      <c r="L37" s="167"/>
      <c r="M37" s="167"/>
      <c r="N37" s="167"/>
      <c r="O37" s="151"/>
      <c r="P37" s="151"/>
      <c r="R37" s="198">
        <v>2</v>
      </c>
      <c r="S37" s="199">
        <f ca="1">AK32/Investment*100</f>
        <v>170.03411202368284</v>
      </c>
      <c r="T37" s="214">
        <f ca="1">EXP(y_inter2-(slope*LN(+S37)))</f>
        <v>8.9974527706222673</v>
      </c>
      <c r="U37" s="201">
        <f ca="1">(+S37*T37/100)/100</f>
        <v>0.15298738923277821</v>
      </c>
      <c r="V37" s="201">
        <f>regDebt_weighted</f>
        <v>3.5860000000000003E-2</v>
      </c>
      <c r="W37" s="201">
        <f ca="1">+U37-V37</f>
        <v>0.11712738923277821</v>
      </c>
      <c r="X37" s="201">
        <f ca="1">+((W37*(1-0.34))-Pfd_weighted)/Equity_percent</f>
        <v>0.20672696771405122</v>
      </c>
      <c r="Y37" s="201">
        <f>+Y36</f>
        <v>2.5000000000000001E-3</v>
      </c>
      <c r="Z37" s="201">
        <f ca="1">+X37+Y37</f>
        <v>0.20922696771405122</v>
      </c>
      <c r="AA37" s="201">
        <f ca="1">Z37*equityP</f>
        <v>0.12553618062843072</v>
      </c>
      <c r="AB37" s="201">
        <f ca="1">+AA37/(1-taxrate)</f>
        <v>0.15890655775750723</v>
      </c>
      <c r="AC37" s="201">
        <f>debtP*Debt_Rate</f>
        <v>1.2716825048595141E-2</v>
      </c>
      <c r="AD37" s="201">
        <f ca="1">+AC37+AB37</f>
        <v>0.17162338280610237</v>
      </c>
      <c r="AE37" s="201">
        <f ca="1">+AD37/(S37/100)</f>
        <v>0.10093467761468838</v>
      </c>
      <c r="AF37" s="201">
        <f ca="1">1-AE37</f>
        <v>0.89906532238531156</v>
      </c>
      <c r="AG37" s="202">
        <f ca="1">expenses/(AF37)</f>
        <v>5006541.4072667593</v>
      </c>
      <c r="AH37" s="203">
        <f ca="1">+AG37-Revenue</f>
        <v>321787.53324902896</v>
      </c>
      <c r="AI37" s="204">
        <f ca="1">+AH37/$J$49</f>
        <v>366144.57477664144</v>
      </c>
      <c r="AJ37" s="204">
        <f ca="1">+AI37*$J$47</f>
        <v>7894.1629684926274</v>
      </c>
      <c r="AK37" s="202">
        <f ca="1">ROUND(+AJ37+AG37,5)</f>
        <v>5014435.5702400003</v>
      </c>
    </row>
    <row r="38" spans="1:48" ht="15.75">
      <c r="A38" s="151"/>
      <c r="B38" s="151"/>
      <c r="C38" s="151"/>
      <c r="D38" s="181"/>
      <c r="E38" s="151"/>
      <c r="F38" s="205">
        <f t="shared" si="0"/>
        <v>32</v>
      </c>
      <c r="G38" s="167"/>
      <c r="H38" s="178" t="s">
        <v>362</v>
      </c>
      <c r="I38" s="167"/>
      <c r="J38" s="273">
        <f>+C10</f>
        <v>0.21</v>
      </c>
      <c r="K38" s="273">
        <f>+J38</f>
        <v>0.21</v>
      </c>
      <c r="L38" s="167"/>
      <c r="M38" s="167"/>
      <c r="N38" s="167"/>
      <c r="O38" s="151"/>
      <c r="P38" s="151"/>
      <c r="Q38" s="279"/>
      <c r="R38" s="206">
        <v>3</v>
      </c>
      <c r="S38" s="199">
        <f ca="1">AK33/Investment*100</f>
        <v>169.80322730370244</v>
      </c>
      <c r="T38" s="200">
        <f ca="1">EXP(y_inter3-(slope*LN(S38)))</f>
        <v>8.9182566051643111</v>
      </c>
      <c r="U38" s="201">
        <f ca="1">(+S38*T38/100)/100</f>
        <v>0.15143487534794611</v>
      </c>
      <c r="V38" s="201">
        <f>regDebt_weighted</f>
        <v>3.5860000000000003E-2</v>
      </c>
      <c r="W38" s="201">
        <f ca="1">+U38-V38</f>
        <v>0.11557487534794611</v>
      </c>
      <c r="X38" s="201">
        <f ca="1">+((W38*(1-0.34))-Pfd_weighted)/Equity_percent</f>
        <v>0.20374830735361751</v>
      </c>
      <c r="Y38" s="201">
        <f>+Y37</f>
        <v>2.5000000000000001E-3</v>
      </c>
      <c r="Z38" s="201">
        <f ca="1">+X38+Y38</f>
        <v>0.20624830735361752</v>
      </c>
      <c r="AA38" s="201">
        <f ca="1">Z38*equityP</f>
        <v>0.1237489844121705</v>
      </c>
      <c r="AB38" s="201">
        <f ca="1">+AA38/(1-taxrate)</f>
        <v>0.15664428406603859</v>
      </c>
      <c r="AC38" s="201">
        <f>debtP*Debt_Rate</f>
        <v>1.2716825048595141E-2</v>
      </c>
      <c r="AD38" s="201">
        <f ca="1">+AC38+AB38</f>
        <v>0.16936110911463373</v>
      </c>
      <c r="AE38" s="201">
        <f ca="1">+AD38/(S38/100)</f>
        <v>9.9739629101231408E-2</v>
      </c>
      <c r="AF38" s="201">
        <f ca="1">1-AE38</f>
        <v>0.90026037089876865</v>
      </c>
      <c r="AG38" s="202">
        <f ca="1">expenses/(AF38)</f>
        <v>4999895.4856426157</v>
      </c>
      <c r="AH38" s="203">
        <f ca="1">+AG38-Revenue</f>
        <v>315141.61162488535</v>
      </c>
      <c r="AI38" s="204">
        <f ca="1">+AH38/$J$49</f>
        <v>358582.54114997579</v>
      </c>
      <c r="AJ38" s="204">
        <f ca="1">+AI38*$J$47</f>
        <v>7731.123748647472</v>
      </c>
      <c r="AK38" s="202">
        <f ca="1">ROUND(+AJ38+AG38,5)</f>
        <v>5007626.6093899999</v>
      </c>
    </row>
    <row r="39" spans="1:48" ht="15.75">
      <c r="A39" s="151"/>
      <c r="B39" s="151"/>
      <c r="C39" s="151"/>
      <c r="D39" s="272"/>
      <c r="E39" s="151"/>
      <c r="F39" s="205">
        <f t="shared" si="0"/>
        <v>33</v>
      </c>
      <c r="G39" s="167"/>
      <c r="H39" s="167"/>
      <c r="I39" s="167"/>
      <c r="J39" s="167"/>
      <c r="K39" s="167"/>
      <c r="L39" s="167"/>
      <c r="M39" s="167"/>
      <c r="N39" s="167"/>
      <c r="O39" s="151"/>
      <c r="P39" s="151"/>
      <c r="R39" s="211">
        <v>4</v>
      </c>
      <c r="S39" s="199">
        <f ca="1">AK34/Investment*100</f>
        <v>169.6556297177035</v>
      </c>
      <c r="T39" s="218">
        <f ca="1">EXP(y_inter4-(slope*LN(S39)))</f>
        <v>8.8675185771317988</v>
      </c>
      <c r="U39" s="201">
        <f ca="1">(+S39*T39/100)/100</f>
        <v>0.15044244482367294</v>
      </c>
      <c r="V39" s="201">
        <f>regDebt_weighted</f>
        <v>3.5860000000000003E-2</v>
      </c>
      <c r="W39" s="201">
        <f ca="1">+U39-V39</f>
        <v>0.11458244482367294</v>
      </c>
      <c r="X39" s="201">
        <f ca="1">+((W39*(1-0.34))-Pfd_weighted)/Equity_percent</f>
        <v>0.20184422553379111</v>
      </c>
      <c r="Y39" s="201">
        <f>+Y38</f>
        <v>2.5000000000000001E-3</v>
      </c>
      <c r="Z39" s="201">
        <f ca="1">+X39+Y39</f>
        <v>0.20434422553379111</v>
      </c>
      <c r="AA39" s="201">
        <f ca="1">Z39*equityP</f>
        <v>0.12260653532027466</v>
      </c>
      <c r="AB39" s="201">
        <f ca="1">+AA39/(1-taxrate)</f>
        <v>0.1551981459750312</v>
      </c>
      <c r="AC39" s="201">
        <f>debtP*Debt_Rate</f>
        <v>1.2716825048595141E-2</v>
      </c>
      <c r="AD39" s="201">
        <f ca="1">+AC39+AB39</f>
        <v>0.16791497102362635</v>
      </c>
      <c r="AE39" s="201">
        <f ca="1">+AD39/(S39/100)</f>
        <v>9.897400475482393E-2</v>
      </c>
      <c r="AF39" s="201">
        <f ca="1">1-AE39</f>
        <v>0.90102599524517601</v>
      </c>
      <c r="AG39" s="202">
        <f ca="1">expenses/(AF39)</f>
        <v>4995646.9492701907</v>
      </c>
      <c r="AH39" s="203">
        <f ca="1">+AG39-Revenue</f>
        <v>310893.07525246032</v>
      </c>
      <c r="AI39" s="204">
        <f ca="1">+AH39/$J$49</f>
        <v>353748.36212570389</v>
      </c>
      <c r="AJ39" s="204">
        <f ca="1">+AI39*$J$47</f>
        <v>7626.8977142736157</v>
      </c>
      <c r="AK39" s="202">
        <f ca="1">ROUND(+AJ39+AG39,5)</f>
        <v>5003273.8469799999</v>
      </c>
    </row>
    <row r="40" spans="1:48" ht="15.75">
      <c r="A40" s="151"/>
      <c r="B40" s="151"/>
      <c r="C40" s="151"/>
      <c r="D40" s="151"/>
      <c r="E40" s="151"/>
      <c r="F40" s="205">
        <f t="shared" si="0"/>
        <v>34</v>
      </c>
      <c r="G40" s="277"/>
      <c r="H40" s="167"/>
      <c r="I40" s="167"/>
      <c r="J40" s="167"/>
      <c r="K40" s="167"/>
      <c r="L40" s="167"/>
      <c r="M40" s="167"/>
      <c r="N40" s="167"/>
      <c r="O40" s="151"/>
      <c r="P40" s="151"/>
      <c r="X40" s="260"/>
      <c r="Y40" s="260"/>
      <c r="Z40" s="260"/>
      <c r="AA40" s="276"/>
      <c r="AB40" s="261"/>
      <c r="AC40" s="260"/>
      <c r="AE40" s="260"/>
      <c r="AF40" s="260"/>
      <c r="AG40" s="261"/>
      <c r="AH40" s="259"/>
      <c r="AJ40" s="261"/>
    </row>
    <row r="41" spans="1:48" ht="15.75">
      <c r="A41" s="151"/>
      <c r="B41" s="151"/>
      <c r="C41" s="151"/>
      <c r="D41" s="151"/>
      <c r="E41" s="151"/>
      <c r="F41" s="205">
        <f t="shared" si="0"/>
        <v>35</v>
      </c>
      <c r="G41" s="167"/>
      <c r="H41" s="269" t="s">
        <v>531</v>
      </c>
      <c r="I41" s="280"/>
      <c r="J41" s="167"/>
      <c r="K41" s="167"/>
      <c r="L41" s="167"/>
      <c r="M41" s="167"/>
      <c r="N41" s="167"/>
      <c r="O41" s="151"/>
      <c r="P41" s="151"/>
      <c r="R41" s="281" t="s">
        <v>532</v>
      </c>
      <c r="S41" s="282"/>
      <c r="T41" s="236"/>
      <c r="U41" s="236"/>
      <c r="V41" s="237"/>
      <c r="X41" s="283"/>
      <c r="Y41" s="283"/>
      <c r="Z41" s="283"/>
      <c r="AA41" s="276"/>
      <c r="AB41" s="261"/>
      <c r="AC41" s="260"/>
      <c r="AE41" s="260"/>
      <c r="AF41" s="260"/>
      <c r="AG41" s="261"/>
      <c r="AH41" s="259"/>
      <c r="AJ41" s="261"/>
    </row>
    <row r="42" spans="1:48" ht="15.75">
      <c r="A42" s="151"/>
      <c r="B42" s="151"/>
      <c r="C42" s="151"/>
      <c r="D42" s="151"/>
      <c r="E42" s="151"/>
      <c r="F42" s="205">
        <f t="shared" si="0"/>
        <v>36</v>
      </c>
      <c r="G42" s="167"/>
      <c r="H42" s="167"/>
      <c r="I42" s="167"/>
      <c r="J42" s="284" t="s">
        <v>533</v>
      </c>
      <c r="K42" s="285" t="s">
        <v>283</v>
      </c>
      <c r="L42" s="167"/>
      <c r="M42" s="167"/>
      <c r="N42" s="167"/>
      <c r="O42" s="151"/>
      <c r="P42" s="151"/>
      <c r="R42" s="286" t="s">
        <v>534</v>
      </c>
      <c r="S42" s="287"/>
      <c r="T42" s="246"/>
      <c r="U42" s="246"/>
      <c r="V42" s="288"/>
      <c r="X42" s="260"/>
      <c r="Y42" s="260"/>
      <c r="Z42" s="260"/>
      <c r="AA42" s="276"/>
      <c r="AB42" s="261"/>
      <c r="AC42" s="260"/>
      <c r="AE42" s="260"/>
      <c r="AF42" s="260"/>
      <c r="AG42" s="261"/>
      <c r="AJ42" s="261"/>
    </row>
    <row r="43" spans="1:48" ht="15.75">
      <c r="A43" s="151"/>
      <c r="B43" s="151"/>
      <c r="C43" s="151"/>
      <c r="D43" s="151"/>
      <c r="E43" s="151"/>
      <c r="F43" s="205">
        <f t="shared" si="0"/>
        <v>37</v>
      </c>
      <c r="G43" s="167"/>
      <c r="H43" s="178" t="s">
        <v>360</v>
      </c>
      <c r="I43" s="289"/>
      <c r="J43" s="290">
        <f>IF(A64=TRUE,C11,0)</f>
        <v>1.4999999999999999E-2</v>
      </c>
      <c r="K43" s="291">
        <f ca="1">+J43*($J$7/$J$49)</f>
        <v>5378.7732751565381</v>
      </c>
      <c r="L43" s="167"/>
      <c r="M43" s="167"/>
      <c r="N43" s="167"/>
      <c r="O43" s="151"/>
      <c r="P43" s="151"/>
      <c r="R43" s="206">
        <v>0</v>
      </c>
      <c r="S43" s="292">
        <v>1</v>
      </c>
      <c r="T43" s="246"/>
      <c r="U43" s="293" t="s">
        <v>529</v>
      </c>
      <c r="V43" s="294">
        <f ca="1">VLOOKUP(R48,R36:AG39,14)</f>
        <v>9.9739629101231408E-2</v>
      </c>
      <c r="AC43" s="260"/>
      <c r="AE43" s="260"/>
      <c r="AJ43" s="261"/>
      <c r="AN43" s="260"/>
      <c r="AO43" s="260"/>
      <c r="AP43" s="260"/>
      <c r="AQ43" s="260"/>
      <c r="AR43" s="260"/>
      <c r="AS43" s="260"/>
      <c r="AT43" s="260"/>
      <c r="AU43" s="260"/>
      <c r="AV43" s="260"/>
    </row>
    <row r="44" spans="1:48" ht="15.75">
      <c r="A44" s="151"/>
      <c r="B44" s="151"/>
      <c r="C44" s="151"/>
      <c r="D44" s="151"/>
      <c r="E44" s="151"/>
      <c r="F44" s="205">
        <f t="shared" si="0"/>
        <v>38</v>
      </c>
      <c r="G44" s="167"/>
      <c r="H44" s="178" t="s">
        <v>361</v>
      </c>
      <c r="I44" s="289"/>
      <c r="J44" s="290">
        <f>IF(A64=TRUE,C12,0)</f>
        <v>5.1000000000000004E-3</v>
      </c>
      <c r="K44" s="291">
        <f ca="1">+J44*($J$7/$J$49)</f>
        <v>1828.7829135532231</v>
      </c>
      <c r="L44" s="167"/>
      <c r="M44" s="167"/>
      <c r="N44" s="167"/>
      <c r="O44" s="151"/>
      <c r="P44" s="151"/>
      <c r="R44" s="206">
        <v>50</v>
      </c>
      <c r="S44" s="292">
        <v>2</v>
      </c>
      <c r="T44" s="246"/>
      <c r="U44" s="293" t="s">
        <v>172</v>
      </c>
      <c r="V44" s="294">
        <f ca="1">ROUND(1-V43,6)</f>
        <v>0.90025999999999995</v>
      </c>
      <c r="AA44" s="295"/>
      <c r="AB44" s="170"/>
      <c r="AC44" s="170"/>
      <c r="AE44" s="260"/>
      <c r="AH44" s="259"/>
      <c r="AJ44" s="261"/>
      <c r="AN44" s="260"/>
      <c r="AO44" s="260"/>
      <c r="AP44" s="260"/>
      <c r="AQ44" s="260"/>
      <c r="AR44" s="260"/>
      <c r="AS44" s="260"/>
      <c r="AT44" s="260"/>
      <c r="AU44" s="260"/>
      <c r="AV44" s="260"/>
    </row>
    <row r="45" spans="1:48" ht="15.75">
      <c r="A45" s="151"/>
      <c r="B45" s="151"/>
      <c r="C45" s="151"/>
      <c r="D45" s="151"/>
      <c r="E45" s="151"/>
      <c r="F45" s="205">
        <f t="shared" si="0"/>
        <v>39</v>
      </c>
      <c r="G45" s="167"/>
      <c r="H45" s="178" t="s">
        <v>535</v>
      </c>
      <c r="I45" s="289"/>
      <c r="J45" s="290">
        <f>IF(A64=TRUE,C13,0)</f>
        <v>0</v>
      </c>
      <c r="K45" s="291">
        <f ca="1">+J45*($J$7/$J$49)</f>
        <v>0</v>
      </c>
      <c r="L45" s="167"/>
      <c r="M45" s="167"/>
      <c r="N45" s="167"/>
      <c r="O45" s="151"/>
      <c r="P45" s="151"/>
      <c r="R45" s="206">
        <v>125</v>
      </c>
      <c r="S45" s="292">
        <v>3</v>
      </c>
      <c r="T45" s="246"/>
      <c r="U45" s="246" t="s">
        <v>536</v>
      </c>
      <c r="V45" s="296">
        <f ca="1">+M7/Revenue-1</f>
        <v>6.892034341632769E-2</v>
      </c>
      <c r="W45" s="297"/>
      <c r="X45" s="260"/>
      <c r="Y45" s="260"/>
      <c r="Z45" s="260"/>
      <c r="AA45" s="295"/>
      <c r="AB45" s="261"/>
      <c r="AC45" s="260"/>
      <c r="AE45" s="260"/>
      <c r="AF45" s="260"/>
      <c r="AG45" s="261"/>
      <c r="AH45" s="259"/>
      <c r="AJ45" s="261"/>
      <c r="AN45" s="260"/>
      <c r="AO45" s="260"/>
      <c r="AP45" s="260"/>
      <c r="AQ45" s="260"/>
      <c r="AR45" s="260"/>
      <c r="AS45" s="260"/>
      <c r="AT45" s="260"/>
      <c r="AU45" s="260"/>
      <c r="AV45" s="260"/>
    </row>
    <row r="46" spans="1:48" ht="15.75">
      <c r="A46" s="151"/>
      <c r="B46" s="151"/>
      <c r="C46" s="151"/>
      <c r="D46" s="151"/>
      <c r="E46" s="151"/>
      <c r="F46" s="205">
        <f t="shared" si="0"/>
        <v>40</v>
      </c>
      <c r="G46" s="167"/>
      <c r="H46" s="178" t="s">
        <v>363</v>
      </c>
      <c r="I46" s="289"/>
      <c r="J46" s="290">
        <f>IF(A64=TRUE,C14,0)</f>
        <v>1.4602347059444768E-3</v>
      </c>
      <c r="K46" s="291">
        <f ca="1">+J46*($J$7/$J$49)</f>
        <v>523.61809411934792</v>
      </c>
      <c r="L46" s="167"/>
      <c r="M46" s="167"/>
      <c r="N46" s="167"/>
      <c r="O46" s="151"/>
      <c r="P46" s="151"/>
      <c r="R46" s="211">
        <v>401</v>
      </c>
      <c r="S46" s="298">
        <v>4</v>
      </c>
      <c r="T46" s="249"/>
      <c r="U46" s="249"/>
      <c r="V46" s="250"/>
      <c r="X46" s="260"/>
      <c r="Y46" s="260"/>
      <c r="Z46" s="260"/>
      <c r="AA46" s="276"/>
      <c r="AB46" s="261"/>
      <c r="AC46" s="260"/>
      <c r="AE46" s="260"/>
      <c r="AF46" s="260"/>
      <c r="AG46" s="261"/>
      <c r="AH46" s="259"/>
      <c r="AJ46" s="261"/>
      <c r="AN46" s="260"/>
      <c r="AO46" s="260"/>
      <c r="AP46" s="260"/>
      <c r="AQ46" s="260"/>
      <c r="AR46" s="260"/>
      <c r="AS46" s="260"/>
      <c r="AT46" s="260"/>
      <c r="AU46" s="260"/>
      <c r="AV46" s="260"/>
    </row>
    <row r="47" spans="1:48" ht="16.5" thickBot="1">
      <c r="A47" s="151"/>
      <c r="B47" s="151"/>
      <c r="C47" s="151"/>
      <c r="D47" s="151"/>
      <c r="E47" s="151"/>
      <c r="F47" s="205">
        <f t="shared" si="0"/>
        <v>41</v>
      </c>
      <c r="G47" s="167"/>
      <c r="H47" s="178" t="s">
        <v>364</v>
      </c>
      <c r="I47" s="277"/>
      <c r="J47" s="299">
        <f>SUM(J43:J46)</f>
        <v>2.1560234705944478E-2</v>
      </c>
      <c r="K47" s="265">
        <f ca="1">+K43+K44+K45+K46</f>
        <v>7731.174282829109</v>
      </c>
      <c r="L47" s="167"/>
      <c r="M47" s="167"/>
      <c r="N47" s="167"/>
      <c r="O47" s="151"/>
      <c r="P47" s="151"/>
      <c r="R47" s="227">
        <f ca="1">VLOOKUP(R48,R36:S39,2)</f>
        <v>169.80322730370244</v>
      </c>
      <c r="S47" s="300" t="s">
        <v>537</v>
      </c>
      <c r="T47" s="237"/>
      <c r="X47" s="161" t="s">
        <v>356</v>
      </c>
      <c r="AE47" s="260"/>
      <c r="AH47" s="259"/>
      <c r="AJ47" s="261"/>
    </row>
    <row r="48" spans="1:48" ht="16.5" thickTop="1">
      <c r="A48" s="151"/>
      <c r="B48" s="151"/>
      <c r="C48" s="151"/>
      <c r="D48" s="151"/>
      <c r="E48" s="151"/>
      <c r="F48" s="205">
        <f t="shared" si="0"/>
        <v>42</v>
      </c>
      <c r="G48" s="167"/>
      <c r="H48" s="167"/>
      <c r="I48" s="167"/>
      <c r="J48" s="301"/>
      <c r="K48" s="167"/>
      <c r="L48" s="167"/>
      <c r="M48" s="167"/>
      <c r="N48" s="167"/>
      <c r="O48" s="151"/>
      <c r="P48" s="151"/>
      <c r="R48" s="206">
        <f ca="1">VLOOKUP(S36,R43:S46,2)</f>
        <v>3</v>
      </c>
      <c r="S48" s="302" t="s">
        <v>538</v>
      </c>
      <c r="T48" s="288"/>
      <c r="X48" s="161" t="s">
        <v>357</v>
      </c>
      <c r="AC48" s="170"/>
      <c r="AE48" s="260"/>
      <c r="AJ48" s="261"/>
    </row>
    <row r="49" spans="1:48" ht="15.75">
      <c r="A49" s="151"/>
      <c r="B49" s="151"/>
      <c r="C49" s="151"/>
      <c r="D49" s="151"/>
      <c r="E49" s="151"/>
      <c r="F49" s="205">
        <f t="shared" si="0"/>
        <v>43</v>
      </c>
      <c r="G49" s="173"/>
      <c r="H49" s="303" t="s">
        <v>365</v>
      </c>
      <c r="I49" s="304"/>
      <c r="J49" s="305">
        <f ca="1">((K35)-J47)</f>
        <v>0.87885375181464442</v>
      </c>
      <c r="K49" s="304"/>
      <c r="L49" s="304"/>
      <c r="M49" s="304"/>
      <c r="N49" s="304"/>
      <c r="O49" s="151"/>
      <c r="P49" s="151"/>
      <c r="R49" s="206"/>
      <c r="S49" s="302"/>
      <c r="T49" s="288"/>
      <c r="X49" s="161" t="s">
        <v>358</v>
      </c>
      <c r="AC49" s="260"/>
      <c r="AE49" s="260"/>
      <c r="AF49" s="260"/>
      <c r="AG49" s="261"/>
      <c r="AJ49" s="261"/>
    </row>
    <row r="50" spans="1:48">
      <c r="A50" s="151"/>
      <c r="B50" s="151"/>
      <c r="C50" s="151"/>
      <c r="D50" s="151"/>
      <c r="E50" s="151"/>
      <c r="F50" s="151"/>
      <c r="G50" s="151"/>
      <c r="H50" s="151"/>
      <c r="I50" s="151"/>
      <c r="J50" s="151"/>
      <c r="K50" s="306"/>
      <c r="L50" s="151"/>
      <c r="M50" s="151"/>
      <c r="N50" s="307"/>
      <c r="O50" s="151"/>
      <c r="P50" s="151"/>
      <c r="R50" s="308">
        <f ca="1">+V44</f>
        <v>0.90025999999999995</v>
      </c>
      <c r="S50" s="309" t="s">
        <v>172</v>
      </c>
      <c r="T50" s="310"/>
      <c r="X50" s="161" t="s">
        <v>359</v>
      </c>
      <c r="AC50" s="260"/>
      <c r="AE50" s="260"/>
      <c r="AF50" s="260"/>
      <c r="AG50" s="261"/>
      <c r="AH50" s="260"/>
      <c r="AJ50" s="261"/>
      <c r="AN50" s="260"/>
      <c r="AO50" s="260"/>
      <c r="AP50" s="260"/>
      <c r="AQ50" s="260"/>
      <c r="AR50" s="260"/>
      <c r="AS50" s="260"/>
      <c r="AT50" s="260"/>
      <c r="AU50" s="260"/>
      <c r="AV50" s="260"/>
    </row>
    <row r="51" spans="1:48">
      <c r="A51" s="151"/>
      <c r="B51" s="151"/>
      <c r="C51" s="151"/>
      <c r="D51" s="151"/>
      <c r="E51" s="151"/>
      <c r="F51" s="151"/>
      <c r="G51" s="151"/>
      <c r="H51" s="151"/>
      <c r="I51" s="151"/>
      <c r="J51" s="151"/>
      <c r="K51" s="151"/>
      <c r="L51" s="151"/>
      <c r="M51" s="151"/>
      <c r="N51" s="151"/>
      <c r="O51" s="151"/>
      <c r="P51" s="151"/>
      <c r="R51" s="161"/>
      <c r="AB51" s="261"/>
      <c r="AC51" s="260"/>
      <c r="AE51" s="260"/>
      <c r="AF51" s="260"/>
      <c r="AG51" s="261"/>
      <c r="AH51" s="259"/>
      <c r="AJ51" s="261"/>
      <c r="AN51" s="260"/>
      <c r="AO51" s="260"/>
      <c r="AP51" s="260"/>
      <c r="AQ51" s="260"/>
      <c r="AR51" s="260"/>
      <c r="AS51" s="260"/>
      <c r="AT51" s="260"/>
      <c r="AU51" s="260"/>
      <c r="AV51" s="260"/>
    </row>
    <row r="52" spans="1:48">
      <c r="A52" s="151"/>
      <c r="B52" s="151"/>
      <c r="C52" s="151"/>
      <c r="D52" s="151"/>
      <c r="E52" s="151"/>
      <c r="F52" s="151"/>
      <c r="G52" s="151"/>
      <c r="H52" s="151"/>
      <c r="I52" s="151"/>
      <c r="J52" s="311"/>
      <c r="K52" s="311"/>
      <c r="L52" s="311"/>
      <c r="M52" s="311"/>
      <c r="N52" s="151"/>
      <c r="O52" s="151"/>
      <c r="P52" s="151"/>
      <c r="R52" s="161"/>
      <c r="AB52" s="261"/>
      <c r="AC52" s="260"/>
      <c r="AE52" s="260"/>
      <c r="AF52" s="260"/>
      <c r="AG52" s="261"/>
      <c r="AH52" s="259"/>
      <c r="AJ52" s="261"/>
      <c r="AN52" s="260"/>
      <c r="AO52" s="260"/>
      <c r="AP52" s="260"/>
      <c r="AQ52" s="260"/>
      <c r="AR52" s="260"/>
      <c r="AS52" s="260"/>
      <c r="AT52" s="260"/>
      <c r="AU52" s="260"/>
      <c r="AV52" s="260"/>
    </row>
    <row r="53" spans="1:48" ht="15.75">
      <c r="A53" s="151"/>
      <c r="B53" s="151"/>
      <c r="C53" s="151"/>
      <c r="D53" s="151"/>
      <c r="E53" s="151"/>
      <c r="F53" s="151"/>
      <c r="G53" s="151"/>
      <c r="H53" s="151"/>
      <c r="I53" s="151"/>
      <c r="J53" s="151"/>
      <c r="K53" s="311"/>
      <c r="L53" s="311"/>
      <c r="M53" s="311"/>
      <c r="N53" s="151"/>
      <c r="O53" s="151"/>
      <c r="P53" s="151"/>
      <c r="R53" s="161"/>
      <c r="S53" s="161" t="s">
        <v>539</v>
      </c>
      <c r="T53" s="260"/>
      <c r="U53" s="312"/>
      <c r="W53" s="313" t="s">
        <v>540</v>
      </c>
      <c r="X53" s="314"/>
      <c r="Y53" s="314"/>
      <c r="Z53" s="314"/>
      <c r="AA53" s="314"/>
      <c r="AB53" s="314"/>
      <c r="AE53" s="260"/>
      <c r="AH53" s="259"/>
      <c r="AJ53" s="261"/>
      <c r="AN53" s="260"/>
      <c r="AO53" s="260"/>
      <c r="AP53" s="260"/>
      <c r="AQ53" s="260"/>
      <c r="AR53" s="260"/>
      <c r="AS53" s="260"/>
      <c r="AT53" s="260"/>
      <c r="AU53" s="260"/>
      <c r="AV53" s="260"/>
    </row>
    <row r="54" spans="1:48">
      <c r="A54" s="151"/>
      <c r="B54" s="151"/>
      <c r="C54" s="151"/>
      <c r="D54" s="151"/>
      <c r="E54" s="151"/>
      <c r="F54" s="151"/>
      <c r="G54" s="151"/>
      <c r="H54" s="151"/>
      <c r="I54" s="151"/>
      <c r="J54" s="151"/>
      <c r="K54" s="151"/>
      <c r="L54" s="315"/>
      <c r="M54" s="315"/>
      <c r="N54" s="151"/>
      <c r="O54" s="151"/>
      <c r="P54" s="151"/>
      <c r="R54" s="316"/>
      <c r="S54" s="317" t="s">
        <v>344</v>
      </c>
      <c r="T54" s="317" t="s">
        <v>373</v>
      </c>
      <c r="U54" s="318" t="s">
        <v>517</v>
      </c>
      <c r="W54" s="319" t="s">
        <v>541</v>
      </c>
      <c r="X54" s="320">
        <v>5.7225999999999999</v>
      </c>
      <c r="Y54" s="321" t="s">
        <v>542</v>
      </c>
      <c r="Z54" s="322">
        <v>5.6985000000000001</v>
      </c>
      <c r="AC54" s="170"/>
      <c r="AE54" s="260"/>
      <c r="AJ54" s="261"/>
    </row>
    <row r="55" spans="1:48">
      <c r="A55" s="151"/>
      <c r="B55" s="151"/>
      <c r="C55" s="151"/>
      <c r="D55" s="151"/>
      <c r="E55" s="151"/>
      <c r="F55" s="151"/>
      <c r="G55" s="151"/>
      <c r="H55" s="151"/>
      <c r="I55" s="151"/>
      <c r="J55" s="315"/>
      <c r="K55" s="151"/>
      <c r="L55" s="315"/>
      <c r="M55" s="315"/>
      <c r="N55" s="151"/>
      <c r="O55" s="151"/>
      <c r="P55" s="151"/>
      <c r="R55" s="162" t="s">
        <v>481</v>
      </c>
      <c r="S55" s="323">
        <v>0.56200000000000006</v>
      </c>
      <c r="T55" s="323">
        <v>6.3799999999999996E-2</v>
      </c>
      <c r="U55" s="324">
        <f>ROUND(+S55*T55,5)</f>
        <v>3.5860000000000003E-2</v>
      </c>
      <c r="W55" s="325" t="s">
        <v>543</v>
      </c>
      <c r="X55" s="326">
        <v>5.7082699999999997</v>
      </c>
      <c r="Y55" s="327" t="s">
        <v>544</v>
      </c>
      <c r="Z55" s="328">
        <v>5.6921999999999997</v>
      </c>
      <c r="AC55" s="260"/>
      <c r="AE55" s="260"/>
      <c r="AF55" s="260"/>
      <c r="AG55" s="261"/>
      <c r="AJ55" s="261"/>
    </row>
    <row r="56" spans="1:48">
      <c r="A56" s="151"/>
      <c r="B56" s="151"/>
      <c r="C56" s="151"/>
      <c r="D56" s="151"/>
      <c r="E56" s="151"/>
      <c r="F56" s="151"/>
      <c r="G56" s="151"/>
      <c r="H56" s="151"/>
      <c r="I56" s="151"/>
      <c r="J56" s="315"/>
      <c r="K56" s="151"/>
      <c r="L56" s="315"/>
      <c r="M56" s="315"/>
      <c r="N56" s="151"/>
      <c r="O56" s="151"/>
      <c r="P56" s="151"/>
      <c r="R56" s="162" t="s">
        <v>545</v>
      </c>
      <c r="S56" s="323">
        <v>9.4E-2</v>
      </c>
      <c r="T56" s="323">
        <v>6.59E-2</v>
      </c>
      <c r="U56" s="324">
        <f>ROUND(+S56*T56,5)</f>
        <v>6.1900000000000002E-3</v>
      </c>
      <c r="W56" s="162"/>
      <c r="X56" s="246"/>
      <c r="Y56" s="329"/>
      <c r="Z56" s="330"/>
      <c r="AC56" s="260"/>
      <c r="AE56" s="260"/>
      <c r="AF56" s="260"/>
      <c r="AG56" s="261"/>
      <c r="AH56" s="259"/>
      <c r="AJ56" s="261"/>
      <c r="AN56" s="260"/>
    </row>
    <row r="57" spans="1:48" ht="15.75">
      <c r="A57" s="151"/>
      <c r="B57" s="151"/>
      <c r="C57" s="151"/>
      <c r="D57" s="151"/>
      <c r="E57" s="151"/>
      <c r="F57" s="151"/>
      <c r="G57" s="151"/>
      <c r="H57" s="331"/>
      <c r="I57" s="311"/>
      <c r="J57" s="315"/>
      <c r="K57" s="151"/>
      <c r="L57" s="151"/>
      <c r="M57" s="151"/>
      <c r="N57" s="151"/>
      <c r="O57" s="151"/>
      <c r="P57" s="151"/>
      <c r="R57" s="162" t="s">
        <v>479</v>
      </c>
      <c r="S57" s="332">
        <v>0.34399999999999997</v>
      </c>
      <c r="T57" s="333"/>
      <c r="U57" s="334"/>
      <c r="W57" s="248"/>
      <c r="X57" s="335" t="s">
        <v>546</v>
      </c>
      <c r="Y57" s="336">
        <v>0.68367</v>
      </c>
      <c r="Z57" s="337"/>
      <c r="AC57" s="260"/>
      <c r="AE57" s="260"/>
      <c r="AF57" s="260"/>
      <c r="AG57" s="261"/>
      <c r="AH57" s="259"/>
      <c r="AJ57" s="261"/>
    </row>
    <row r="58" spans="1:48" ht="15.75">
      <c r="A58" s="151"/>
      <c r="B58" s="151"/>
      <c r="C58" s="151"/>
      <c r="D58" s="151"/>
      <c r="E58" s="151"/>
      <c r="F58" s="151"/>
      <c r="G58" s="151"/>
      <c r="H58" s="151"/>
      <c r="I58" s="151"/>
      <c r="J58" s="151"/>
      <c r="K58" s="151"/>
      <c r="L58" s="151"/>
      <c r="M58" s="151"/>
      <c r="N58" s="151"/>
      <c r="O58" s="151"/>
      <c r="P58" s="151"/>
      <c r="R58" s="248"/>
      <c r="S58" s="332">
        <f>SUM(S55:S57)</f>
        <v>1</v>
      </c>
      <c r="T58" s="338"/>
      <c r="U58" s="339"/>
      <c r="X58" s="260"/>
      <c r="Y58" s="260"/>
      <c r="Z58" s="260"/>
      <c r="AA58" s="276"/>
      <c r="AB58" s="261"/>
      <c r="AC58" s="260"/>
      <c r="AE58" s="260"/>
      <c r="AF58" s="260"/>
      <c r="AG58" s="261"/>
      <c r="AH58" s="259"/>
      <c r="AJ58" s="261"/>
    </row>
    <row r="59" spans="1:48">
      <c r="A59" s="151"/>
      <c r="B59" s="151"/>
      <c r="C59" s="151"/>
      <c r="D59" s="151"/>
      <c r="E59" s="151"/>
      <c r="F59" s="151"/>
      <c r="G59" s="151"/>
      <c r="H59" s="151"/>
      <c r="I59" s="151"/>
      <c r="J59" s="151"/>
      <c r="K59" s="151"/>
      <c r="L59" s="151"/>
      <c r="M59" s="151"/>
      <c r="N59" s="151"/>
      <c r="O59" s="151"/>
      <c r="P59" s="151"/>
      <c r="X59" s="340"/>
      <c r="Y59" s="340"/>
      <c r="Z59" s="340"/>
      <c r="AE59" s="260"/>
      <c r="AH59" s="259"/>
      <c r="AJ59" s="261"/>
      <c r="AN59" s="259"/>
      <c r="AO59" s="259"/>
      <c r="AP59" s="259"/>
      <c r="AQ59" s="259"/>
      <c r="AR59" s="259"/>
      <c r="AS59" s="259"/>
      <c r="AT59" s="259"/>
      <c r="AU59" s="259"/>
      <c r="AV59" s="259"/>
    </row>
    <row r="60" spans="1:48">
      <c r="A60" s="151"/>
      <c r="B60" s="151"/>
      <c r="C60" s="151"/>
      <c r="D60" s="151"/>
      <c r="E60" s="151"/>
      <c r="F60" s="151"/>
      <c r="G60" s="151"/>
      <c r="H60" s="151"/>
      <c r="I60" s="151"/>
      <c r="J60" s="151"/>
      <c r="K60" s="151"/>
      <c r="L60" s="151"/>
      <c r="M60" s="151"/>
      <c r="N60" s="151"/>
      <c r="O60" s="151"/>
      <c r="P60" s="151"/>
      <c r="R60" s="161"/>
      <c r="S60" s="341"/>
      <c r="W60" s="316"/>
      <c r="X60" s="342" t="s">
        <v>524</v>
      </c>
      <c r="Y60" s="342" t="s">
        <v>547</v>
      </c>
      <c r="Z60" s="343" t="s">
        <v>461</v>
      </c>
      <c r="AE60" s="260"/>
      <c r="AJ60" s="261"/>
      <c r="AN60" s="259"/>
      <c r="AO60" s="259"/>
      <c r="AP60" s="259"/>
      <c r="AQ60" s="259"/>
      <c r="AR60" s="259"/>
      <c r="AS60" s="259"/>
      <c r="AT60" s="259"/>
      <c r="AU60" s="259"/>
      <c r="AV60" s="259"/>
    </row>
    <row r="61" spans="1:48">
      <c r="A61" s="151"/>
      <c r="B61" s="151"/>
      <c r="C61" s="151"/>
      <c r="D61" s="151"/>
      <c r="E61" s="151"/>
      <c r="F61" s="151"/>
      <c r="G61" s="151"/>
      <c r="H61" s="311"/>
      <c r="I61" s="311"/>
      <c r="J61" s="311"/>
      <c r="K61" s="311"/>
      <c r="L61" s="311"/>
      <c r="M61" s="311"/>
      <c r="N61" s="311"/>
      <c r="O61" s="151"/>
      <c r="P61" s="151"/>
      <c r="R61" s="161"/>
      <c r="W61" s="162"/>
      <c r="X61" s="344"/>
      <c r="Y61" s="344"/>
      <c r="Z61" s="345"/>
      <c r="AE61" s="260"/>
      <c r="AF61" s="260"/>
      <c r="AG61" s="261"/>
      <c r="AJ61" s="261"/>
      <c r="AN61" s="259"/>
      <c r="AO61" s="259"/>
      <c r="AP61" s="259"/>
      <c r="AQ61" s="259"/>
      <c r="AR61" s="259"/>
      <c r="AS61" s="259"/>
      <c r="AT61" s="259"/>
      <c r="AU61" s="259"/>
      <c r="AV61" s="259"/>
    </row>
    <row r="62" spans="1:48">
      <c r="A62" s="151"/>
      <c r="B62" s="151"/>
      <c r="C62" s="151"/>
      <c r="D62" s="151"/>
      <c r="E62" s="151"/>
      <c r="F62" s="151"/>
      <c r="G62" s="151"/>
      <c r="H62" s="151"/>
      <c r="I62" s="151"/>
      <c r="J62" s="151"/>
      <c r="K62" s="151"/>
      <c r="L62" s="151"/>
      <c r="M62" s="151"/>
      <c r="N62" s="151"/>
      <c r="O62" s="151"/>
      <c r="P62" s="151"/>
      <c r="R62" s="161"/>
      <c r="S62" s="341"/>
      <c r="W62" s="162"/>
      <c r="X62" s="293" t="s">
        <v>526</v>
      </c>
      <c r="Y62" s="294">
        <f ca="1">+J33</f>
        <v>0.16910033806282362</v>
      </c>
      <c r="Z62" s="294">
        <f ca="1">+K33</f>
        <v>0.13625980032983565</v>
      </c>
      <c r="AE62" s="260"/>
      <c r="AF62" s="260"/>
      <c r="AG62" s="261"/>
      <c r="AH62" s="259"/>
      <c r="AJ62" s="261"/>
      <c r="AN62" s="259"/>
      <c r="AO62" s="259"/>
      <c r="AP62" s="259"/>
      <c r="AQ62" s="259"/>
      <c r="AR62" s="259"/>
      <c r="AS62" s="259"/>
      <c r="AT62" s="259"/>
      <c r="AU62" s="259"/>
      <c r="AV62" s="259"/>
    </row>
    <row r="63" spans="1:48">
      <c r="A63" s="151"/>
      <c r="B63" s="151"/>
      <c r="C63" s="151"/>
      <c r="D63" s="151"/>
      <c r="E63" s="151"/>
      <c r="F63" s="151"/>
      <c r="G63" s="151"/>
      <c r="H63" s="151"/>
      <c r="I63" s="151"/>
      <c r="J63" s="151"/>
      <c r="K63" s="151"/>
      <c r="L63" s="151"/>
      <c r="M63" s="151"/>
      <c r="N63" s="151"/>
      <c r="O63" s="151"/>
      <c r="P63" s="151"/>
      <c r="R63" s="161"/>
      <c r="W63" s="162"/>
      <c r="X63" s="293" t="s">
        <v>527</v>
      </c>
      <c r="Y63" s="294">
        <f t="shared" ref="Y63:Z67" ca="1" si="1">+J34</f>
        <v>0.26063918835704747</v>
      </c>
      <c r="Z63" s="294">
        <f t="shared" ca="1" si="1"/>
        <v>0.20590495880206752</v>
      </c>
      <c r="AE63" s="260"/>
      <c r="AF63" s="260"/>
      <c r="AG63" s="261"/>
      <c r="AH63" s="259"/>
      <c r="AJ63" s="261"/>
    </row>
    <row r="64" spans="1:48">
      <c r="A64" s="161" t="b">
        <v>1</v>
      </c>
      <c r="B64" s="151"/>
      <c r="C64" s="151"/>
      <c r="F64" s="151"/>
      <c r="G64" s="151"/>
      <c r="H64" s="151"/>
      <c r="I64" s="151"/>
      <c r="J64" s="151"/>
      <c r="K64" s="151"/>
      <c r="L64" s="151"/>
      <c r="M64" s="151"/>
      <c r="N64" s="151"/>
      <c r="R64" s="161"/>
      <c r="S64" s="341"/>
      <c r="W64" s="162"/>
      <c r="X64" s="293" t="s">
        <v>172</v>
      </c>
      <c r="Y64" s="294">
        <f t="shared" ca="1" si="1"/>
        <v>0.90025999999999984</v>
      </c>
      <c r="Z64" s="294">
        <f t="shared" ca="1" si="1"/>
        <v>0.9004139865205889</v>
      </c>
      <c r="AE64" s="260"/>
      <c r="AF64" s="260"/>
      <c r="AG64" s="261"/>
      <c r="AH64" s="259"/>
      <c r="AJ64" s="261"/>
    </row>
    <row r="65" spans="8:40">
      <c r="H65" s="259"/>
      <c r="I65" s="259"/>
      <c r="J65" s="259"/>
      <c r="K65" s="259"/>
      <c r="L65" s="259"/>
      <c r="M65" s="259"/>
      <c r="N65" s="259"/>
      <c r="O65" s="259"/>
      <c r="R65" s="161"/>
      <c r="W65" s="162"/>
      <c r="X65" s="293" t="s">
        <v>529</v>
      </c>
      <c r="Y65" s="294">
        <f t="shared" ca="1" si="1"/>
        <v>9.9740000000000134E-2</v>
      </c>
      <c r="Z65" s="294">
        <f t="shared" ca="1" si="1"/>
        <v>9.9740000000000134E-2</v>
      </c>
      <c r="AE65" s="260"/>
      <c r="AH65" s="259"/>
      <c r="AJ65" s="261"/>
      <c r="AN65" s="259"/>
    </row>
    <row r="66" spans="8:40">
      <c r="H66" s="259"/>
      <c r="I66" s="259"/>
      <c r="J66" s="259"/>
      <c r="K66" s="259"/>
      <c r="L66" s="259"/>
      <c r="M66" s="259"/>
      <c r="N66" s="259"/>
      <c r="O66" s="259"/>
      <c r="R66" s="161"/>
      <c r="S66" s="341"/>
      <c r="W66" s="162"/>
      <c r="X66" s="293" t="s">
        <v>530</v>
      </c>
      <c r="Y66" s="294">
        <f t="shared" ca="1" si="1"/>
        <v>1.6965562971770352</v>
      </c>
      <c r="Z66" s="294">
        <f t="shared" ca="1" si="1"/>
        <v>1.6965562971770352</v>
      </c>
      <c r="AE66" s="260"/>
      <c r="AJ66" s="261"/>
    </row>
    <row r="67" spans="8:40">
      <c r="O67" s="259"/>
      <c r="W67" s="248"/>
      <c r="X67" s="347" t="s">
        <v>362</v>
      </c>
      <c r="Y67" s="348">
        <f t="shared" si="1"/>
        <v>0.21</v>
      </c>
      <c r="Z67" s="348">
        <f t="shared" si="1"/>
        <v>0.21</v>
      </c>
      <c r="AE67" s="260"/>
      <c r="AF67" s="260"/>
      <c r="AG67" s="261"/>
      <c r="AJ67" s="261"/>
    </row>
    <row r="68" spans="8:40">
      <c r="O68" s="259"/>
      <c r="W68" s="293"/>
      <c r="AE68" s="260"/>
      <c r="AF68" s="260"/>
      <c r="AG68" s="261"/>
      <c r="AH68" s="259"/>
      <c r="AJ68" s="261"/>
    </row>
    <row r="69" spans="8:40">
      <c r="O69" s="259"/>
      <c r="X69" s="260"/>
      <c r="Y69" s="260"/>
      <c r="Z69" s="260"/>
      <c r="AA69" s="276"/>
      <c r="AB69" s="261"/>
      <c r="AC69" s="260"/>
      <c r="AE69" s="260"/>
      <c r="AF69" s="260"/>
      <c r="AG69" s="261"/>
      <c r="AH69" s="259"/>
      <c r="AJ69" s="261"/>
    </row>
    <row r="70" spans="8:40">
      <c r="X70" s="260"/>
      <c r="Y70" s="260"/>
      <c r="Z70" s="260"/>
      <c r="AA70" s="276"/>
      <c r="AB70" s="261"/>
      <c r="AC70" s="260"/>
      <c r="AE70" s="260"/>
      <c r="AF70" s="260"/>
      <c r="AG70" s="261"/>
      <c r="AH70" s="259"/>
      <c r="AJ70" s="261"/>
    </row>
    <row r="71" spans="8:40">
      <c r="AE71" s="260"/>
      <c r="AH71" s="259"/>
      <c r="AJ71" s="261"/>
    </row>
    <row r="72" spans="8:40">
      <c r="AA72" s="170"/>
      <c r="AB72" s="170"/>
      <c r="AC72" s="170"/>
      <c r="AE72" s="260"/>
      <c r="AJ72" s="261"/>
    </row>
    <row r="73" spans="8:40">
      <c r="X73" s="260"/>
      <c r="Y73" s="260"/>
      <c r="Z73" s="260"/>
      <c r="AA73" s="276"/>
      <c r="AB73" s="261"/>
      <c r="AC73" s="260"/>
      <c r="AE73" s="260"/>
      <c r="AF73" s="260"/>
      <c r="AG73" s="261"/>
      <c r="AJ73" s="261"/>
    </row>
    <row r="74" spans="8:40">
      <c r="X74" s="260"/>
      <c r="Y74" s="260"/>
      <c r="Z74" s="260"/>
      <c r="AA74" s="276"/>
      <c r="AB74" s="261"/>
      <c r="AC74" s="260"/>
      <c r="AE74" s="260"/>
      <c r="AF74" s="260"/>
      <c r="AG74" s="261"/>
      <c r="AH74" s="259"/>
      <c r="AJ74" s="261"/>
    </row>
    <row r="75" spans="8:40">
      <c r="X75" s="260"/>
      <c r="Y75" s="260"/>
      <c r="Z75" s="260"/>
      <c r="AA75" s="276"/>
      <c r="AB75" s="261"/>
      <c r="AC75" s="260"/>
      <c r="AE75" s="260"/>
      <c r="AF75" s="260"/>
      <c r="AG75" s="261"/>
      <c r="AH75" s="259"/>
      <c r="AJ75" s="261"/>
    </row>
    <row r="76" spans="8:40">
      <c r="X76" s="260"/>
      <c r="Y76" s="260"/>
      <c r="Z76" s="260"/>
      <c r="AA76" s="276"/>
      <c r="AB76" s="261"/>
      <c r="AC76" s="260"/>
      <c r="AE76" s="260"/>
      <c r="AF76" s="260"/>
      <c r="AG76" s="261"/>
      <c r="AH76" s="259"/>
      <c r="AJ76" s="261"/>
    </row>
    <row r="77" spans="8:40">
      <c r="AE77" s="260"/>
      <c r="AH77" s="259"/>
      <c r="AJ77" s="261"/>
    </row>
    <row r="79" spans="8:40">
      <c r="X79" s="260"/>
      <c r="Y79" s="260"/>
      <c r="Z79" s="260"/>
      <c r="AA79" s="276"/>
      <c r="AB79" s="261"/>
      <c r="AC79" s="260"/>
      <c r="AF79" s="260"/>
      <c r="AG79" s="261"/>
    </row>
    <row r="80" spans="8:40">
      <c r="X80" s="260"/>
      <c r="Y80" s="260"/>
      <c r="Z80" s="260"/>
      <c r="AA80" s="276"/>
      <c r="AB80" s="261"/>
      <c r="AC80" s="260"/>
      <c r="AF80" s="260"/>
      <c r="AG80" s="261"/>
      <c r="AH80" s="259"/>
    </row>
    <row r="81" spans="24:34">
      <c r="X81" s="260"/>
      <c r="Y81" s="260"/>
      <c r="Z81" s="260"/>
      <c r="AA81" s="276"/>
      <c r="AB81" s="261"/>
      <c r="AC81" s="260"/>
      <c r="AF81" s="260"/>
      <c r="AG81" s="261"/>
      <c r="AH81" s="259"/>
    </row>
    <row r="82" spans="24:34">
      <c r="X82" s="260"/>
      <c r="Y82" s="260"/>
      <c r="Z82" s="260"/>
      <c r="AA82" s="276"/>
      <c r="AB82" s="261"/>
      <c r="AC82" s="260"/>
      <c r="AF82" s="260"/>
      <c r="AG82" s="261"/>
      <c r="AH82" s="259"/>
    </row>
    <row r="83" spans="24:34">
      <c r="AH83" s="259"/>
    </row>
    <row r="85" spans="24:34">
      <c r="X85" s="260"/>
      <c r="Y85" s="260"/>
      <c r="Z85" s="260"/>
      <c r="AA85" s="276"/>
      <c r="AB85" s="261"/>
      <c r="AC85" s="260"/>
      <c r="AF85" s="260"/>
      <c r="AG85" s="261"/>
    </row>
    <row r="86" spans="24:34">
      <c r="X86" s="260"/>
      <c r="Y86" s="260"/>
      <c r="Z86" s="260"/>
      <c r="AA86" s="276"/>
      <c r="AB86" s="261"/>
      <c r="AC86" s="260"/>
      <c r="AF86" s="260"/>
      <c r="AG86" s="261"/>
      <c r="AH86" s="259"/>
    </row>
    <row r="87" spans="24:34">
      <c r="X87" s="260"/>
      <c r="Y87" s="260"/>
      <c r="Z87" s="260"/>
      <c r="AA87" s="276"/>
      <c r="AB87" s="261"/>
      <c r="AC87" s="260"/>
      <c r="AF87" s="260"/>
      <c r="AG87" s="261"/>
      <c r="AH87" s="259"/>
    </row>
    <row r="88" spans="24:34">
      <c r="X88" s="260"/>
      <c r="Y88" s="260"/>
      <c r="Z88" s="260"/>
      <c r="AA88" s="276"/>
      <c r="AB88" s="261"/>
      <c r="AC88" s="260"/>
      <c r="AF88" s="260"/>
      <c r="AG88" s="261"/>
      <c r="AH88" s="259"/>
    </row>
    <row r="89" spans="24:34">
      <c r="AH89" s="259"/>
    </row>
    <row r="91" spans="24:34">
      <c r="X91" s="260"/>
      <c r="Y91" s="260"/>
      <c r="Z91" s="260"/>
      <c r="AA91" s="276"/>
      <c r="AB91" s="261"/>
      <c r="AC91" s="260"/>
      <c r="AF91" s="260"/>
      <c r="AG91" s="261"/>
    </row>
    <row r="92" spans="24:34">
      <c r="X92" s="260"/>
      <c r="Y92" s="260"/>
      <c r="Z92" s="260"/>
      <c r="AA92" s="276"/>
      <c r="AB92" s="261"/>
      <c r="AC92" s="260"/>
      <c r="AF92" s="260"/>
      <c r="AG92" s="261"/>
      <c r="AH92" s="259"/>
    </row>
    <row r="93" spans="24:34">
      <c r="X93" s="260"/>
      <c r="Y93" s="260"/>
      <c r="Z93" s="260"/>
      <c r="AA93" s="276"/>
      <c r="AB93" s="261"/>
      <c r="AC93" s="260"/>
      <c r="AF93" s="260"/>
      <c r="AG93" s="261"/>
      <c r="AH93" s="259"/>
    </row>
    <row r="94" spans="24:34">
      <c r="X94" s="260"/>
      <c r="Y94" s="260"/>
      <c r="Z94" s="260"/>
      <c r="AA94" s="276"/>
      <c r="AB94" s="261"/>
      <c r="AC94" s="260"/>
      <c r="AF94" s="260"/>
      <c r="AG94" s="261"/>
      <c r="AH94" s="259"/>
    </row>
    <row r="95" spans="24:34">
      <c r="AH95" s="259"/>
    </row>
    <row r="97" spans="24:34">
      <c r="X97" s="260"/>
      <c r="Y97" s="260"/>
      <c r="Z97" s="260"/>
      <c r="AA97" s="276"/>
      <c r="AB97" s="261"/>
      <c r="AC97" s="260"/>
      <c r="AF97" s="260"/>
      <c r="AG97" s="261"/>
    </row>
    <row r="98" spans="24:34">
      <c r="X98" s="260"/>
      <c r="Y98" s="260"/>
      <c r="Z98" s="260"/>
      <c r="AA98" s="276"/>
      <c r="AB98" s="261"/>
      <c r="AC98" s="260"/>
      <c r="AF98" s="260"/>
      <c r="AG98" s="261"/>
      <c r="AH98" s="259"/>
    </row>
    <row r="99" spans="24:34">
      <c r="X99" s="260"/>
      <c r="Y99" s="260"/>
      <c r="Z99" s="260"/>
      <c r="AA99" s="276"/>
      <c r="AB99" s="261"/>
      <c r="AC99" s="260"/>
      <c r="AF99" s="260"/>
      <c r="AG99" s="261"/>
      <c r="AH99" s="259"/>
    </row>
    <row r="100" spans="24:34">
      <c r="X100" s="260"/>
      <c r="Y100" s="260"/>
      <c r="Z100" s="260"/>
      <c r="AA100" s="276"/>
      <c r="AB100" s="261"/>
      <c r="AC100" s="260"/>
      <c r="AF100" s="260"/>
      <c r="AG100" s="261"/>
      <c r="AH100" s="259"/>
    </row>
    <row r="101" spans="24:34">
      <c r="AH101" s="259"/>
    </row>
    <row r="103" spans="24:34">
      <c r="X103" s="260"/>
      <c r="Y103" s="260"/>
      <c r="Z103" s="260"/>
      <c r="AA103" s="276"/>
      <c r="AB103" s="261"/>
      <c r="AC103" s="260"/>
      <c r="AF103" s="260"/>
      <c r="AG103" s="261"/>
    </row>
    <row r="104" spans="24:34">
      <c r="X104" s="260"/>
      <c r="Y104" s="260"/>
      <c r="Z104" s="260"/>
      <c r="AA104" s="276"/>
      <c r="AB104" s="261"/>
      <c r="AC104" s="260"/>
      <c r="AF104" s="260"/>
      <c r="AG104" s="261"/>
      <c r="AH104" s="259"/>
    </row>
    <row r="105" spans="24:34">
      <c r="X105" s="260"/>
      <c r="Y105" s="260"/>
      <c r="Z105" s="260"/>
      <c r="AA105" s="276"/>
      <c r="AB105" s="261"/>
      <c r="AC105" s="260"/>
      <c r="AF105" s="260"/>
      <c r="AG105" s="261"/>
      <c r="AH105" s="259"/>
    </row>
    <row r="106" spans="24:34">
      <c r="X106" s="260"/>
      <c r="Y106" s="260"/>
      <c r="Z106" s="260"/>
      <c r="AA106" s="276"/>
      <c r="AB106" s="261"/>
      <c r="AC106" s="260"/>
      <c r="AF106" s="260"/>
      <c r="AG106" s="261"/>
      <c r="AH106" s="259"/>
    </row>
    <row r="107" spans="24:34">
      <c r="AH107" s="259"/>
    </row>
    <row r="109" spans="24:34">
      <c r="X109" s="260"/>
      <c r="Y109" s="260"/>
      <c r="Z109" s="260"/>
      <c r="AA109" s="276"/>
      <c r="AB109" s="261"/>
      <c r="AC109" s="260"/>
      <c r="AF109" s="260"/>
      <c r="AG109" s="261"/>
    </row>
    <row r="110" spans="24:34">
      <c r="X110" s="260"/>
      <c r="Y110" s="260"/>
      <c r="Z110" s="260"/>
      <c r="AA110" s="276"/>
      <c r="AB110" s="261"/>
      <c r="AC110" s="260"/>
      <c r="AF110" s="260"/>
      <c r="AG110" s="261"/>
    </row>
    <row r="111" spans="24:34">
      <c r="X111" s="260"/>
      <c r="Y111" s="260"/>
      <c r="Z111" s="260"/>
      <c r="AA111" s="276"/>
      <c r="AB111" s="261"/>
      <c r="AC111" s="260"/>
      <c r="AF111" s="260"/>
      <c r="AG111" s="261"/>
    </row>
    <row r="112" spans="24:34">
      <c r="X112" s="260"/>
      <c r="Y112" s="260"/>
      <c r="Z112" s="260"/>
      <c r="AA112" s="276"/>
      <c r="AB112" s="261"/>
      <c r="AC112" s="260"/>
      <c r="AF112" s="260"/>
      <c r="AG112" s="261"/>
    </row>
  </sheetData>
  <mergeCells count="5">
    <mergeCell ref="B2:C2"/>
    <mergeCell ref="AH2:AK2"/>
    <mergeCell ref="B18:C18"/>
    <mergeCell ref="B19:C19"/>
    <mergeCell ref="L31:N31"/>
  </mergeCells>
  <pageMargins left="0.25" right="0.25" top="0.3" bottom="0.44" header="0.23" footer="0.21"/>
  <pageSetup scale="74" orientation="portrait" r:id="rId1"/>
  <headerFooter alignWithMargins="0"/>
  <drawing r:id="rId2"/>
  <legacyDrawing r:id="rId3"/>
  <controls>
    <mc:AlternateContent xmlns:mc="http://schemas.openxmlformats.org/markup-compatibility/2006">
      <mc:Choice Requires="x14">
        <control shapeId="169985" r:id="rId4" name="DataCompleted">
          <controlPr defaultSize="0" autoFill="0" autoLine="0" autoPict="0" linkedCell="A64" r:id="rId5">
            <anchor moveWithCells="1">
              <from>
                <xdr:col>2</xdr:col>
                <xdr:colOff>114300</xdr:colOff>
                <xdr:row>15</xdr:row>
                <xdr:rowOff>180975</xdr:rowOff>
              </from>
              <to>
                <xdr:col>2</xdr:col>
                <xdr:colOff>342900</xdr:colOff>
                <xdr:row>17</xdr:row>
                <xdr:rowOff>9525</xdr:rowOff>
              </to>
            </anchor>
          </controlPr>
        </control>
      </mc:Choice>
      <mc:Fallback>
        <control shapeId="169985" r:id="rId4" name="DataCompleted"/>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9" tint="0.59999389629810485"/>
  </sheetPr>
  <dimension ref="A1:AV112"/>
  <sheetViews>
    <sheetView showGridLines="0" tabSelected="1" showOutlineSymbols="0" view="pageBreakPreview" zoomScale="60" zoomScaleNormal="80" workbookViewId="0">
      <selection activeCell="AR41" sqref="AR41"/>
    </sheetView>
  </sheetViews>
  <sheetFormatPr defaultColWidth="16.7109375" defaultRowHeight="15"/>
  <cols>
    <col min="1" max="1" width="7.42578125" style="161" customWidth="1"/>
    <col min="2" max="2" width="33.5703125" style="346" bestFit="1" customWidth="1"/>
    <col min="3" max="3" width="21.28515625" style="346" customWidth="1"/>
    <col min="4" max="4" width="21.28515625" style="346" hidden="1" customWidth="1"/>
    <col min="5" max="5" width="8.42578125" style="346" bestFit="1" customWidth="1"/>
    <col min="6" max="6" width="15.7109375" style="161" bestFit="1" customWidth="1"/>
    <col min="7" max="7" width="16.28515625" style="161" bestFit="1" customWidth="1"/>
    <col min="8" max="8" width="15" style="161" customWidth="1"/>
    <col min="9" max="9" width="17.7109375" style="161" customWidth="1"/>
    <col min="10" max="10" width="17" style="161" customWidth="1"/>
    <col min="11" max="11" width="15.140625" style="161" bestFit="1" customWidth="1"/>
    <col min="12" max="13" width="20.28515625" style="161" customWidth="1"/>
    <col min="14" max="14" width="2.42578125" style="161" customWidth="1"/>
    <col min="15" max="15" width="15" style="346" customWidth="1"/>
    <col min="16" max="16" width="40.42578125" style="346" customWidth="1"/>
    <col min="17" max="17" width="16.7109375" style="162"/>
    <col min="18" max="18" width="13.85546875" style="170" customWidth="1"/>
    <col min="19" max="19" width="16.7109375" style="161"/>
    <col min="20" max="20" width="13.42578125" style="161" customWidth="1"/>
    <col min="21" max="21" width="15.7109375" style="161" customWidth="1"/>
    <col min="22" max="22" width="16.7109375" style="161"/>
    <col min="23" max="26" width="17.7109375" style="161" customWidth="1"/>
    <col min="27" max="27" width="16" style="161" customWidth="1"/>
    <col min="28" max="28" width="16.7109375" style="161"/>
    <col min="29" max="29" width="15.85546875" style="161" customWidth="1"/>
    <col min="30" max="31" width="16.7109375" style="161"/>
    <col min="32" max="32" width="16.42578125" style="161" customWidth="1"/>
    <col min="33" max="33" width="17.28515625" style="161" customWidth="1"/>
    <col min="34" max="34" width="20.7109375" style="161" customWidth="1"/>
    <col min="35" max="35" width="18.140625" style="161" customWidth="1"/>
    <col min="36" max="36" width="16.42578125" style="161" customWidth="1"/>
    <col min="37" max="37" width="16.7109375" style="161"/>
    <col min="38" max="38" width="13.85546875" style="161" customWidth="1"/>
    <col min="39" max="39" width="16.42578125" style="161" customWidth="1"/>
    <col min="40" max="51" width="15.140625" style="161" customWidth="1"/>
    <col min="52" max="16384" width="16.7109375" style="161"/>
  </cols>
  <sheetData>
    <row r="1" spans="1:37" s="156" customFormat="1" ht="15.75" thickBot="1">
      <c r="A1" s="151"/>
      <c r="B1" s="152"/>
      <c r="C1" s="152"/>
      <c r="D1" s="152"/>
      <c r="E1" s="152"/>
      <c r="F1" s="152"/>
      <c r="G1" s="152"/>
      <c r="H1" s="152"/>
      <c r="I1" s="153"/>
      <c r="J1" s="153"/>
      <c r="K1" s="153"/>
      <c r="L1" s="153"/>
      <c r="M1" s="153"/>
      <c r="N1" s="153"/>
      <c r="O1" s="152"/>
      <c r="P1" s="152"/>
      <c r="Q1" s="154"/>
      <c r="R1" s="155"/>
    </row>
    <row r="2" spans="1:37" ht="19.5" thickBot="1">
      <c r="A2" s="151"/>
      <c r="B2" s="1271" t="s">
        <v>441</v>
      </c>
      <c r="C2" s="1271"/>
      <c r="D2" s="151"/>
      <c r="E2" s="151"/>
      <c r="F2" s="157" t="s">
        <v>442</v>
      </c>
      <c r="G2" s="158"/>
      <c r="H2" s="158"/>
      <c r="I2" s="159" t="s">
        <v>443</v>
      </c>
      <c r="J2" s="158"/>
      <c r="K2" s="158"/>
      <c r="L2" s="158"/>
      <c r="M2" s="160" t="s">
        <v>442</v>
      </c>
      <c r="O2" s="151"/>
      <c r="P2" s="152"/>
      <c r="R2" s="163" t="s">
        <v>444</v>
      </c>
      <c r="S2" s="164"/>
      <c r="T2" s="165"/>
      <c r="AH2" s="1272" t="s">
        <v>445</v>
      </c>
      <c r="AI2" s="1273"/>
      <c r="AJ2" s="1273"/>
      <c r="AK2" s="1274"/>
    </row>
    <row r="3" spans="1:37" ht="16.5" thickBot="1">
      <c r="A3" s="151"/>
      <c r="B3" s="151"/>
      <c r="C3" s="151"/>
      <c r="D3" s="151"/>
      <c r="E3" s="151"/>
      <c r="F3" s="166"/>
      <c r="G3" s="167"/>
      <c r="H3" s="168"/>
      <c r="I3" s="168"/>
      <c r="J3" s="168"/>
      <c r="K3" s="169" t="s">
        <v>446</v>
      </c>
      <c r="L3" s="168"/>
      <c r="M3" s="169" t="s">
        <v>447</v>
      </c>
      <c r="O3" s="151"/>
      <c r="P3" s="152"/>
      <c r="R3" s="161"/>
      <c r="T3" s="161" t="s">
        <v>448</v>
      </c>
      <c r="V3" s="170" t="s">
        <v>448</v>
      </c>
      <c r="W3" s="170" t="s">
        <v>448</v>
      </c>
      <c r="X3" s="170" t="s">
        <v>448</v>
      </c>
      <c r="Y3" s="170"/>
      <c r="Z3" s="170" t="s">
        <v>301</v>
      </c>
      <c r="AA3" s="170" t="s">
        <v>449</v>
      </c>
      <c r="AB3" s="170" t="s">
        <v>449</v>
      </c>
      <c r="AC3" s="170" t="s">
        <v>449</v>
      </c>
      <c r="AD3" s="170" t="s">
        <v>449</v>
      </c>
      <c r="AE3" s="170" t="s">
        <v>449</v>
      </c>
      <c r="AF3" s="170" t="s">
        <v>449</v>
      </c>
      <c r="AG3" s="170" t="s">
        <v>450</v>
      </c>
      <c r="AH3" s="170" t="s">
        <v>174</v>
      </c>
      <c r="AI3" s="170" t="s">
        <v>451</v>
      </c>
      <c r="AJ3" s="170"/>
    </row>
    <row r="4" spans="1:37" ht="19.5" thickBot="1">
      <c r="A4" s="151"/>
      <c r="B4" s="171" t="s">
        <v>452</v>
      </c>
      <c r="C4" s="159"/>
      <c r="D4" s="172"/>
      <c r="E4" s="151"/>
      <c r="F4" s="173"/>
      <c r="G4" s="167"/>
      <c r="H4" s="168" t="s">
        <v>453</v>
      </c>
      <c r="I4" s="168" t="s">
        <v>454</v>
      </c>
      <c r="J4" s="168" t="s">
        <v>455</v>
      </c>
      <c r="K4" s="168" t="s">
        <v>456</v>
      </c>
      <c r="L4" s="168" t="s">
        <v>457</v>
      </c>
      <c r="M4" s="168" t="s">
        <v>458</v>
      </c>
      <c r="O4" s="174">
        <v>733714.03539771901</v>
      </c>
      <c r="P4" s="175">
        <v>0.34</v>
      </c>
      <c r="R4" s="161"/>
      <c r="T4" s="170" t="s">
        <v>459</v>
      </c>
      <c r="V4" s="170" t="s">
        <v>460</v>
      </c>
      <c r="W4" s="170" t="s">
        <v>301</v>
      </c>
      <c r="X4" s="170" t="s">
        <v>461</v>
      </c>
      <c r="Y4" s="170" t="s">
        <v>462</v>
      </c>
      <c r="Z4" s="170" t="s">
        <v>461</v>
      </c>
      <c r="AA4" s="170" t="s">
        <v>463</v>
      </c>
      <c r="AB4" s="170" t="s">
        <v>463</v>
      </c>
      <c r="AC4" s="170" t="s">
        <v>463</v>
      </c>
      <c r="AD4" s="170" t="s">
        <v>301</v>
      </c>
      <c r="AE4" s="170" t="s">
        <v>459</v>
      </c>
      <c r="AF4" s="170" t="s">
        <v>459</v>
      </c>
      <c r="AG4" s="170" t="s">
        <v>464</v>
      </c>
      <c r="AH4" s="170" t="s">
        <v>465</v>
      </c>
      <c r="AI4" s="170" t="s">
        <v>466</v>
      </c>
      <c r="AJ4" s="170" t="s">
        <v>467</v>
      </c>
      <c r="AK4" s="170" t="s">
        <v>468</v>
      </c>
    </row>
    <row r="5" spans="1:37" ht="15.75">
      <c r="A5" s="151"/>
      <c r="B5" s="176" t="s">
        <v>469</v>
      </c>
      <c r="C5" s="473">
        <f>+'2183 Pro Forma'!G23</f>
        <v>1845685.0698183018</v>
      </c>
      <c r="D5" s="172"/>
      <c r="E5" s="151"/>
      <c r="F5" s="177" t="s">
        <v>470</v>
      </c>
      <c r="G5" s="178"/>
      <c r="H5" s="178"/>
      <c r="I5" s="168" t="s">
        <v>471</v>
      </c>
      <c r="J5" s="168" t="s">
        <v>174</v>
      </c>
      <c r="K5" s="179" t="s">
        <v>472</v>
      </c>
      <c r="L5" s="180" t="s">
        <v>473</v>
      </c>
      <c r="M5" s="179" t="s">
        <v>174</v>
      </c>
      <c r="O5" s="181">
        <v>453176.31598094403</v>
      </c>
      <c r="P5" s="175">
        <v>0.21</v>
      </c>
      <c r="R5" s="182"/>
      <c r="T5" s="170" t="s">
        <v>474</v>
      </c>
      <c r="U5" s="170" t="s">
        <v>475</v>
      </c>
      <c r="V5" s="170" t="s">
        <v>476</v>
      </c>
      <c r="W5" s="170" t="s">
        <v>477</v>
      </c>
      <c r="X5" s="170" t="s">
        <v>354</v>
      </c>
      <c r="Y5" s="170" t="s">
        <v>478</v>
      </c>
      <c r="Z5" s="170" t="s">
        <v>354</v>
      </c>
      <c r="AA5" s="170" t="s">
        <v>479</v>
      </c>
      <c r="AB5" s="170" t="s">
        <v>480</v>
      </c>
      <c r="AC5" s="170" t="s">
        <v>481</v>
      </c>
      <c r="AD5" s="170" t="s">
        <v>482</v>
      </c>
      <c r="AE5" s="170" t="s">
        <v>474</v>
      </c>
      <c r="AF5" s="170" t="s">
        <v>172</v>
      </c>
      <c r="AG5" s="170" t="s">
        <v>283</v>
      </c>
      <c r="AH5" s="170" t="s">
        <v>483</v>
      </c>
      <c r="AI5" s="170" t="s">
        <v>483</v>
      </c>
      <c r="AJ5" s="170" t="s">
        <v>283</v>
      </c>
      <c r="AK5" s="170" t="s">
        <v>450</v>
      </c>
    </row>
    <row r="6" spans="1:37" ht="15.75">
      <c r="A6" s="151"/>
      <c r="B6" s="176" t="s">
        <v>484</v>
      </c>
      <c r="C6" s="474">
        <f>+'2183 Pro Forma'!G312</f>
        <v>1720319.3462773755</v>
      </c>
      <c r="D6" s="172"/>
      <c r="E6" s="151"/>
      <c r="F6" s="183" t="s">
        <v>485</v>
      </c>
      <c r="G6" s="178"/>
      <c r="H6" s="178"/>
      <c r="I6" s="184"/>
      <c r="J6" s="185" t="s">
        <v>486</v>
      </c>
      <c r="K6" s="186"/>
      <c r="L6" s="185" t="s">
        <v>487</v>
      </c>
      <c r="M6" s="185" t="s">
        <v>488</v>
      </c>
      <c r="O6" s="181">
        <f>O4-O5</f>
        <v>280537.71941677498</v>
      </c>
      <c r="P6" s="152"/>
      <c r="R6" s="187">
        <v>1</v>
      </c>
      <c r="S6" s="188">
        <f>Revenue/Investment*100</f>
        <v>243.6550265830939</v>
      </c>
      <c r="T6" s="189">
        <f>EXP(y_inter1-(slope*LN(+S6)))</f>
        <v>7.1371838045947955</v>
      </c>
      <c r="U6" s="190">
        <f>(+S6*T6/100)/100</f>
        <v>0.17390107096369722</v>
      </c>
      <c r="V6" s="190">
        <f>regDebt_weighted</f>
        <v>3.5860000000000003E-2</v>
      </c>
      <c r="W6" s="190">
        <f>+U6-V6</f>
        <v>0.13804107096369722</v>
      </c>
      <c r="X6" s="190">
        <f>+((W6*(1-0.34))-Pfd_weighted)/Equity_percent</f>
        <v>0.24685205475593072</v>
      </c>
      <c r="Y6" s="190">
        <f>+C15</f>
        <v>2.5000000000000001E-3</v>
      </c>
      <c r="Z6" s="190">
        <f>+X6+Y6</f>
        <v>0.24935205475593072</v>
      </c>
      <c r="AA6" s="190">
        <f>Z6*equityP</f>
        <v>0.14961123285355843</v>
      </c>
      <c r="AB6" s="190">
        <f>+AA6/(1-taxrate)</f>
        <v>0.18938130740956763</v>
      </c>
      <c r="AC6" s="190">
        <f>debtP*Debt_Rate</f>
        <v>1.2716825048595141E-2</v>
      </c>
      <c r="AD6" s="190">
        <f>AC6+AB6</f>
        <v>0.20209813245816277</v>
      </c>
      <c r="AE6" s="190">
        <f>AD6/(S6/100)</f>
        <v>8.2944372333415034E-2</v>
      </c>
      <c r="AF6" s="190">
        <f>1-AE6</f>
        <v>0.91705562766658499</v>
      </c>
      <c r="AG6" s="191">
        <f>expenses/(AF6)</f>
        <v>1875916.0233874428</v>
      </c>
      <c r="AH6" s="192">
        <f>+AG6-Revenue</f>
        <v>30230.953569140984</v>
      </c>
      <c r="AI6" s="193">
        <f ca="1">+AH6/$J$49</f>
        <v>33641.148992997558</v>
      </c>
      <c r="AJ6" s="193">
        <f ca="1">+AI6*$J$47</f>
        <v>725.31106806667503</v>
      </c>
      <c r="AK6" s="191">
        <f ca="1">ROUND(+AJ6+AG6,5)</f>
        <v>1876641.33446</v>
      </c>
    </row>
    <row r="7" spans="1:37" ht="15.75">
      <c r="A7" s="151"/>
      <c r="B7" s="176" t="s">
        <v>377</v>
      </c>
      <c r="C7" s="475">
        <f>+'2183 Pro Forma'!G318</f>
        <v>757499.27908376895</v>
      </c>
      <c r="D7" s="172"/>
      <c r="E7" s="151"/>
      <c r="F7" s="194">
        <v>1</v>
      </c>
      <c r="G7" s="178"/>
      <c r="H7" s="195" t="s">
        <v>469</v>
      </c>
      <c r="I7" s="196">
        <f>IF(A64=TRUE,C5,0)</f>
        <v>1845685.0698183018</v>
      </c>
      <c r="J7" s="196">
        <f ca="1">(+$I8/($R50))-I7</f>
        <v>23889.926733815344</v>
      </c>
      <c r="K7" s="196">
        <f ca="1">+I7+J7</f>
        <v>1869574.9965521172</v>
      </c>
      <c r="L7" s="196">
        <f ca="1">((+J7/J49*K35)-J7)</f>
        <v>573.1750484055483</v>
      </c>
      <c r="M7" s="196">
        <f ca="1">IFERROR(+K7+L7,0.00001)</f>
        <v>1870148.1716005227</v>
      </c>
      <c r="O7" s="181"/>
      <c r="P7" s="197">
        <v>497844.54650202766</v>
      </c>
      <c r="R7" s="198">
        <v>2</v>
      </c>
      <c r="S7" s="199">
        <f>Revenue/Investment*100</f>
        <v>243.6550265830939</v>
      </c>
      <c r="T7" s="200">
        <f>EXP(y_inter1-(slope*LN(+S7)))</f>
        <v>7.1371838045947955</v>
      </c>
      <c r="U7" s="201">
        <f>(+S7*T7/100)/100</f>
        <v>0.17390107096369722</v>
      </c>
      <c r="V7" s="201">
        <f>regDebt_weighted</f>
        <v>3.5860000000000003E-2</v>
      </c>
      <c r="W7" s="201">
        <f>+U7-V7</f>
        <v>0.13804107096369722</v>
      </c>
      <c r="X7" s="201">
        <f>+((W7*(1-0.34))-Pfd_weighted)/Equity_percent</f>
        <v>0.24685205475593072</v>
      </c>
      <c r="Y7" s="201">
        <f>+Y6</f>
        <v>2.5000000000000001E-3</v>
      </c>
      <c r="Z7" s="201">
        <f>+X7+Y7</f>
        <v>0.24935205475593072</v>
      </c>
      <c r="AA7" s="201">
        <f>Z7*equityP</f>
        <v>0.14961123285355843</v>
      </c>
      <c r="AB7" s="201">
        <f>+AA7/(1-taxrate)</f>
        <v>0.18938130740956763</v>
      </c>
      <c r="AC7" s="201">
        <f>debtP*Debt_Rate</f>
        <v>1.2716825048595141E-2</v>
      </c>
      <c r="AD7" s="201">
        <f>AC7+AB7</f>
        <v>0.20209813245816277</v>
      </c>
      <c r="AE7" s="201">
        <f>AD7/(S7/100)</f>
        <v>8.2944372333415034E-2</v>
      </c>
      <c r="AF7" s="201">
        <f>1-AE7</f>
        <v>0.91705562766658499</v>
      </c>
      <c r="AG7" s="202">
        <f>expenses/(AF7)</f>
        <v>1875916.0233874428</v>
      </c>
      <c r="AH7" s="203">
        <f>+AG7-Revenue</f>
        <v>30230.953569140984</v>
      </c>
      <c r="AI7" s="204">
        <f ca="1">+AH7/$J$49</f>
        <v>33641.148992997558</v>
      </c>
      <c r="AJ7" s="204">
        <f ca="1">+AI7*$J$47</f>
        <v>725.31106806667503</v>
      </c>
      <c r="AK7" s="202">
        <f ca="1">ROUND(+AJ7+AG7,5)</f>
        <v>1876641.33446</v>
      </c>
    </row>
    <row r="8" spans="1:37" ht="15.75">
      <c r="A8" s="151"/>
      <c r="B8" s="176" t="s">
        <v>489</v>
      </c>
      <c r="C8" s="476">
        <f>+'Corporate BS'!D48</f>
        <v>0.4</v>
      </c>
      <c r="D8" s="172"/>
      <c r="E8" s="151"/>
      <c r="F8" s="205">
        <f>+F7+1</f>
        <v>2</v>
      </c>
      <c r="G8" s="178"/>
      <c r="H8" s="195" t="s">
        <v>484</v>
      </c>
      <c r="I8" s="196">
        <f>IF(A64=TRUE,C6,0)</f>
        <v>1720319.3462773755</v>
      </c>
      <c r="J8" s="167"/>
      <c r="K8" s="196">
        <f>+I8</f>
        <v>1720319.3462773755</v>
      </c>
      <c r="L8" s="196">
        <f ca="1">+L7</f>
        <v>573.1750484055483</v>
      </c>
      <c r="M8" s="196">
        <f ca="1">IFERROR(+K8+L8,0.00001)</f>
        <v>1720892.521325781</v>
      </c>
      <c r="O8" s="181"/>
      <c r="P8" s="197">
        <v>25115.958784233429</v>
      </c>
      <c r="R8" s="206">
        <v>3</v>
      </c>
      <c r="S8" s="199">
        <f>Revenue/Investment*100</f>
        <v>243.6550265830939</v>
      </c>
      <c r="T8" s="200">
        <f>EXP(y_inter1-(slope*LN(+S8)))</f>
        <v>7.1371838045947955</v>
      </c>
      <c r="U8" s="201">
        <f>(+S8*T8/100)/100</f>
        <v>0.17390107096369722</v>
      </c>
      <c r="V8" s="201">
        <f>regDebt_weighted</f>
        <v>3.5860000000000003E-2</v>
      </c>
      <c r="W8" s="201">
        <f>+U8-V8</f>
        <v>0.13804107096369722</v>
      </c>
      <c r="X8" s="201">
        <f>+((W8*(1-0.34))-Pfd_weighted)/Equity_percent</f>
        <v>0.24685205475593072</v>
      </c>
      <c r="Y8" s="201">
        <f>+Y7</f>
        <v>2.5000000000000001E-3</v>
      </c>
      <c r="Z8" s="201">
        <f>+X8+Y8</f>
        <v>0.24935205475593072</v>
      </c>
      <c r="AA8" s="201">
        <f>Z8*equityP</f>
        <v>0.14961123285355843</v>
      </c>
      <c r="AB8" s="201">
        <f>+AA8/(1-taxrate)</f>
        <v>0.18938130740956763</v>
      </c>
      <c r="AC8" s="201">
        <f>debtP*Debt_Rate</f>
        <v>1.2716825048595141E-2</v>
      </c>
      <c r="AD8" s="201">
        <f>AC8+AB8</f>
        <v>0.20209813245816277</v>
      </c>
      <c r="AE8" s="201">
        <f>AD8/(S8/100)</f>
        <v>8.2944372333415034E-2</v>
      </c>
      <c r="AF8" s="201">
        <f>1-AE8</f>
        <v>0.91705562766658499</v>
      </c>
      <c r="AG8" s="202">
        <f>expenses/(AF8)</f>
        <v>1875916.0233874428</v>
      </c>
      <c r="AH8" s="203">
        <f>+AG8-Revenue</f>
        <v>30230.953569140984</v>
      </c>
      <c r="AI8" s="204">
        <f ca="1">+AH8/$J$49</f>
        <v>33641.148992997558</v>
      </c>
      <c r="AJ8" s="204">
        <f ca="1">+AI8*$J$47</f>
        <v>725.31106806667503</v>
      </c>
      <c r="AK8" s="202">
        <f ca="1">ROUND(+AJ8+AG8,5)</f>
        <v>1876641.33446</v>
      </c>
    </row>
    <row r="9" spans="1:37" ht="15.75">
      <c r="A9" s="151"/>
      <c r="B9" s="176" t="s">
        <v>490</v>
      </c>
      <c r="C9" s="476">
        <f>+'Corporate BS'!B57</f>
        <v>3.179206262148785E-2</v>
      </c>
      <c r="D9" s="172"/>
      <c r="E9" s="151"/>
      <c r="F9" s="205">
        <f t="shared" ref="F9:F49" si="0">+F8+1</f>
        <v>3</v>
      </c>
      <c r="G9" s="178"/>
      <c r="H9" s="195" t="s">
        <v>491</v>
      </c>
      <c r="I9" s="207">
        <f>+I7-I8</f>
        <v>125365.72354092635</v>
      </c>
      <c r="J9" s="167"/>
      <c r="K9" s="207">
        <f ca="1">+K7-K8</f>
        <v>149255.6502747417</v>
      </c>
      <c r="L9" s="178"/>
      <c r="M9" s="208">
        <f ca="1">+M7-M8</f>
        <v>149255.6502747417</v>
      </c>
      <c r="O9" s="209">
        <f ca="1">M9-M11</f>
        <v>139622.66446819645</v>
      </c>
      <c r="P9" s="210">
        <v>5.3129765021164649E-2</v>
      </c>
      <c r="R9" s="211">
        <v>4</v>
      </c>
      <c r="S9" s="199">
        <f>Revenue/Investment*100</f>
        <v>243.6550265830939</v>
      </c>
      <c r="T9" s="200">
        <f>EXP(y_inter1-(slope*LN(+S9)))</f>
        <v>7.1371838045947955</v>
      </c>
      <c r="U9" s="201">
        <f>(+S9*T9/100)/100</f>
        <v>0.17390107096369722</v>
      </c>
      <c r="V9" s="201">
        <f>regDebt_weighted</f>
        <v>3.5860000000000003E-2</v>
      </c>
      <c r="W9" s="201">
        <f>+U9-V9</f>
        <v>0.13804107096369722</v>
      </c>
      <c r="X9" s="201">
        <f>+((W9*(1-0.34))-Pfd_weighted)/Equity_percent</f>
        <v>0.24685205475593072</v>
      </c>
      <c r="Y9" s="201">
        <f>+Y8</f>
        <v>2.5000000000000001E-3</v>
      </c>
      <c r="Z9" s="201">
        <f>+X9+Y9</f>
        <v>0.24935205475593072</v>
      </c>
      <c r="AA9" s="201">
        <f>Z9*equityP</f>
        <v>0.14961123285355843</v>
      </c>
      <c r="AB9" s="201">
        <f>+AA9/(1-taxrate)</f>
        <v>0.18938130740956763</v>
      </c>
      <c r="AC9" s="201">
        <f>debtP*Debt_Rate</f>
        <v>1.2716825048595141E-2</v>
      </c>
      <c r="AD9" s="201">
        <f>AC9+AB9</f>
        <v>0.20209813245816277</v>
      </c>
      <c r="AE9" s="201">
        <f>AD9/(S9/100)</f>
        <v>8.2944372333415034E-2</v>
      </c>
      <c r="AF9" s="201">
        <f>1-AE9</f>
        <v>0.91705562766658499</v>
      </c>
      <c r="AG9" s="202">
        <f>expenses/(AF9)</f>
        <v>1875916.0233874428</v>
      </c>
      <c r="AH9" s="203">
        <f>+AG9-Revenue</f>
        <v>30230.953569140984</v>
      </c>
      <c r="AI9" s="204">
        <f ca="1">+AH9/$J$49</f>
        <v>33641.148992997558</v>
      </c>
      <c r="AJ9" s="204">
        <f ca="1">+AI9*$J$47</f>
        <v>725.31106806667503</v>
      </c>
      <c r="AK9" s="202">
        <f ca="1">ROUND(+AJ9+AG9,5)</f>
        <v>1876641.33446</v>
      </c>
    </row>
    <row r="10" spans="1:37" ht="15.75">
      <c r="A10" s="151"/>
      <c r="B10" s="212" t="s">
        <v>492</v>
      </c>
      <c r="C10" s="476">
        <v>0.21</v>
      </c>
      <c r="D10" s="172"/>
      <c r="E10" s="151"/>
      <c r="F10" s="205">
        <f t="shared" si="0"/>
        <v>4</v>
      </c>
      <c r="G10" s="178"/>
      <c r="H10" s="178"/>
      <c r="I10" s="167"/>
      <c r="J10" s="167"/>
      <c r="K10" s="196"/>
      <c r="L10" s="178"/>
      <c r="M10" s="178"/>
      <c r="O10" s="181"/>
      <c r="P10" s="151"/>
      <c r="R10" s="170" t="s">
        <v>493</v>
      </c>
    </row>
    <row r="11" spans="1:37" ht="15.75">
      <c r="A11" s="151"/>
      <c r="B11" s="176" t="s">
        <v>494</v>
      </c>
      <c r="C11" s="476">
        <f>'[52]LG Public 2018 V5.0z'!C11</f>
        <v>1.4999999999999999E-2</v>
      </c>
      <c r="D11" s="172"/>
      <c r="E11" s="151"/>
      <c r="F11" s="205">
        <f t="shared" si="0"/>
        <v>5</v>
      </c>
      <c r="G11" s="178"/>
      <c r="H11" s="195" t="s">
        <v>147</v>
      </c>
      <c r="I11" s="196">
        <f>+K11</f>
        <v>9632.9858065452336</v>
      </c>
      <c r="J11" s="167"/>
      <c r="K11" s="196">
        <f>+M27</f>
        <v>9632.9858065452336</v>
      </c>
      <c r="L11" s="178"/>
      <c r="M11" s="196">
        <f>+K11</f>
        <v>9632.9858065452336</v>
      </c>
      <c r="O11" s="181"/>
      <c r="P11" s="181">
        <f ca="1">M7-28899130</f>
        <v>-27028981.828399476</v>
      </c>
      <c r="R11" s="187">
        <v>1</v>
      </c>
      <c r="S11" s="188">
        <f ca="1">IF((AK6/Investment*100)&gt;0,(AK6/Investment*100),0)</f>
        <v>247.74166606863128</v>
      </c>
      <c r="T11" s="189">
        <f ca="1">EXP(y_inter1-(slope*LN(S11)))</f>
        <v>7.0564825020913267</v>
      </c>
      <c r="U11" s="190">
        <f ca="1">(+S11*T11/100)/100</f>
        <v>0.17481847316522489</v>
      </c>
      <c r="V11" s="190">
        <f>regDebt_weighted</f>
        <v>3.5860000000000003E-2</v>
      </c>
      <c r="W11" s="190">
        <f ca="1">+U11-V11</f>
        <v>0.13895847316522489</v>
      </c>
      <c r="X11" s="190">
        <f ca="1">+((W11*(1-0.34))-Pfd_weighted)/Equity_percent</f>
        <v>0.24861218688676867</v>
      </c>
      <c r="Y11" s="190">
        <f>+Y9</f>
        <v>2.5000000000000001E-3</v>
      </c>
      <c r="Z11" s="190">
        <f ca="1">+X11+Y11</f>
        <v>0.25111218688676867</v>
      </c>
      <c r="AA11" s="190">
        <f ca="1">Z11*equityP</f>
        <v>0.15066731213206119</v>
      </c>
      <c r="AB11" s="190">
        <f ca="1">+AA11/(1-taxrate)</f>
        <v>0.19071811662286225</v>
      </c>
      <c r="AC11" s="190">
        <f>debtP*Debt_Rate</f>
        <v>1.2716825048595141E-2</v>
      </c>
      <c r="AD11" s="190">
        <f ca="1">+AC11+AB11</f>
        <v>0.2034349416714574</v>
      </c>
      <c r="AE11" s="190">
        <f ca="1">+AD11/(S11/100)</f>
        <v>8.211575585961399E-2</v>
      </c>
      <c r="AF11" s="190">
        <f ca="1">1-AE11</f>
        <v>0.91788424414038605</v>
      </c>
      <c r="AG11" s="191">
        <f ca="1">expenses/(AF11)</f>
        <v>1874222.5474068173</v>
      </c>
      <c r="AH11" s="192">
        <f ca="1">+AG11-Revenue</f>
        <v>28537.477588515496</v>
      </c>
      <c r="AI11" s="193">
        <f ca="1">+AH11/$J$49</f>
        <v>31756.640862945093</v>
      </c>
      <c r="AJ11" s="193">
        <f ca="1">+AI11*$J$47</f>
        <v>684.68063047748342</v>
      </c>
      <c r="AK11" s="191">
        <f ca="1">ROUND(+AJ11+AG11,5)</f>
        <v>1874907.22804</v>
      </c>
    </row>
    <row r="12" spans="1:37" ht="15.75">
      <c r="A12" s="151"/>
      <c r="B12" s="176" t="s">
        <v>80</v>
      </c>
      <c r="C12" s="476">
        <f>'[52]LG Public 2018 V5.0z'!C12</f>
        <v>5.1000000000000004E-3</v>
      </c>
      <c r="D12" s="172"/>
      <c r="E12" s="151"/>
      <c r="F12" s="205">
        <f t="shared" si="0"/>
        <v>6</v>
      </c>
      <c r="G12" s="178"/>
      <c r="H12" s="195" t="s">
        <v>495</v>
      </c>
      <c r="I12" s="213">
        <f>+(I9-I11)*taxrate</f>
        <v>24303.874924220036</v>
      </c>
      <c r="J12" s="196">
        <f ca="1">+K12-I12</f>
        <v>5016.8846141012182</v>
      </c>
      <c r="K12" s="196">
        <f ca="1">+(K9-K11)*taxrate</f>
        <v>29320.759538321254</v>
      </c>
      <c r="L12" s="178"/>
      <c r="M12" s="196">
        <f ca="1">+K12</f>
        <v>29320.759538321254</v>
      </c>
      <c r="O12" s="181">
        <f ca="1">J7*0.34</f>
        <v>8122.575089497218</v>
      </c>
      <c r="P12" s="181">
        <f ca="1">P11-M12</f>
        <v>-27058302.587937798</v>
      </c>
      <c r="R12" s="198">
        <v>2</v>
      </c>
      <c r="S12" s="199">
        <f ca="1">IF((AK7/Investment*100)&gt;0,(AK7/Investment*100),0)</f>
        <v>247.74166606863128</v>
      </c>
      <c r="T12" s="214">
        <f ca="1">EXP(y_inter2-(slope*LN(+S12)))</f>
        <v>6.9560841798663056</v>
      </c>
      <c r="U12" s="201">
        <f ca="1">(+S12*T12/100)/100</f>
        <v>0.17233118840337272</v>
      </c>
      <c r="V12" s="201">
        <f>regDebt_weighted</f>
        <v>3.5860000000000003E-2</v>
      </c>
      <c r="W12" s="201">
        <f ca="1">+U12-V12</f>
        <v>0.13647118840337272</v>
      </c>
      <c r="X12" s="201">
        <f ca="1">+((W12*(1-0.34))-Pfd_weighted)/Equity_percent</f>
        <v>0.24384007077391276</v>
      </c>
      <c r="Y12" s="201">
        <f>+Y11</f>
        <v>2.5000000000000001E-3</v>
      </c>
      <c r="Z12" s="201">
        <f ca="1">+X12+Y12</f>
        <v>0.24634007077391276</v>
      </c>
      <c r="AA12" s="201">
        <f ca="1">Z12*equityP</f>
        <v>0.14780404246434764</v>
      </c>
      <c r="AB12" s="201">
        <f ca="1">+AA12/(1-taxrate)</f>
        <v>0.18709372463841473</v>
      </c>
      <c r="AC12" s="201">
        <f>debtP*Debt_Rate</f>
        <v>1.2716825048595141E-2</v>
      </c>
      <c r="AD12" s="201">
        <f ca="1">+AC12+AB12</f>
        <v>0.19981054968700987</v>
      </c>
      <c r="AE12" s="201">
        <f ca="1">+AD12/(S12/100)</f>
        <v>8.0652783545766923E-2</v>
      </c>
      <c r="AF12" s="201">
        <f ca="1">1-AE12</f>
        <v>0.91934721645423312</v>
      </c>
      <c r="AG12" s="202">
        <f ca="1">expenses/(AF12)</f>
        <v>1871240.0663074355</v>
      </c>
      <c r="AH12" s="203">
        <f ca="1">+AG12-Revenue</f>
        <v>25554.996489133686</v>
      </c>
      <c r="AI12" s="204">
        <f ca="1">+AH12/$J$49</f>
        <v>28437.721702699972</v>
      </c>
      <c r="AJ12" s="204">
        <f ca="1">+AI12*$J$47</f>
        <v>613.12395441254239</v>
      </c>
      <c r="AK12" s="202">
        <f ca="1">ROUND(+AJ12+AG12,5)</f>
        <v>1871853.1902600001</v>
      </c>
    </row>
    <row r="13" spans="1:37" ht="15.75">
      <c r="A13" s="151"/>
      <c r="B13" s="176" t="s">
        <v>496</v>
      </c>
      <c r="C13" s="476">
        <f>'[52]LG Public 2018 V5.0z'!C13</f>
        <v>0</v>
      </c>
      <c r="D13" s="172"/>
      <c r="E13" s="151"/>
      <c r="F13" s="205">
        <f t="shared" si="0"/>
        <v>7</v>
      </c>
      <c r="G13" s="178"/>
      <c r="H13" s="178"/>
      <c r="I13" s="167"/>
      <c r="J13" s="167"/>
      <c r="K13" s="196"/>
      <c r="L13" s="178"/>
      <c r="M13" s="178"/>
      <c r="O13" s="181"/>
      <c r="P13" s="215">
        <f ca="1">P12/M12</f>
        <v>-922.83771000452771</v>
      </c>
      <c r="R13" s="206">
        <v>3</v>
      </c>
      <c r="S13" s="199">
        <f ca="1">IF((AK8/Investment*100)&gt;0,(AK8/Investment*100),0)</f>
        <v>247.74166606863128</v>
      </c>
      <c r="T13" s="200">
        <f ca="1">EXP(y_inter3-(slope*LN(S13)))</f>
        <v>6.8884541480902728</v>
      </c>
      <c r="U13" s="201">
        <f ca="1">(+S13*T13/100)/100</f>
        <v>0.17065571072852584</v>
      </c>
      <c r="V13" s="201">
        <f>regDebt_weighted</f>
        <v>3.5860000000000003E-2</v>
      </c>
      <c r="W13" s="201">
        <f ca="1">+U13-V13</f>
        <v>0.13479571072852584</v>
      </c>
      <c r="X13" s="201">
        <f ca="1">+((W13*(1-0.34))-Pfd_weighted)/Equity_percent</f>
        <v>0.24062549151403209</v>
      </c>
      <c r="Y13" s="201">
        <f>+Y12</f>
        <v>2.5000000000000001E-3</v>
      </c>
      <c r="Z13" s="201">
        <f ca="1">+X13+Y13</f>
        <v>0.24312549151403209</v>
      </c>
      <c r="AA13" s="201">
        <f ca="1">Z13*equityP</f>
        <v>0.14587529490841925</v>
      </c>
      <c r="AB13" s="201">
        <f ca="1">+AA13/(1-taxrate)</f>
        <v>0.18465227203597373</v>
      </c>
      <c r="AC13" s="201">
        <f>debtP*Debt_Rate</f>
        <v>1.2716825048595141E-2</v>
      </c>
      <c r="AD13" s="201">
        <f ca="1">+AC13+AB13</f>
        <v>0.19736909708456887</v>
      </c>
      <c r="AE13" s="201">
        <f ca="1">+AD13/(S13/100)</f>
        <v>7.9667300303814137E-2</v>
      </c>
      <c r="AF13" s="201">
        <f ca="1">1-AE13</f>
        <v>0.92033269969618581</v>
      </c>
      <c r="AG13" s="202">
        <f ca="1">expenses/(AF13)</f>
        <v>1869236.3607696174</v>
      </c>
      <c r="AH13" s="203">
        <f ca="1">+AG13-Revenue</f>
        <v>23551.290951315546</v>
      </c>
      <c r="AI13" s="204">
        <f ca="1">+AH13/$J$49</f>
        <v>26207.988645101628</v>
      </c>
      <c r="AJ13" s="204">
        <f ca="1">+AI13*$J$47</f>
        <v>565.05038635911887</v>
      </c>
      <c r="AK13" s="202">
        <f ca="1">ROUND(+AJ13+AG13,5)</f>
        <v>1869801.4111599999</v>
      </c>
    </row>
    <row r="14" spans="1:37" ht="16.5" thickBot="1">
      <c r="A14" s="151"/>
      <c r="B14" s="216" t="s">
        <v>122</v>
      </c>
      <c r="C14" s="476">
        <f>+'Restating Adj''s'!E87</f>
        <v>1.4602347059444768E-3</v>
      </c>
      <c r="D14" s="172"/>
      <c r="E14" s="151"/>
      <c r="F14" s="205">
        <f t="shared" si="0"/>
        <v>8</v>
      </c>
      <c r="G14" s="178"/>
      <c r="H14" s="178" t="s">
        <v>284</v>
      </c>
      <c r="I14" s="217">
        <f>+I9-SUM(I11:I13)</f>
        <v>91428.862810161081</v>
      </c>
      <c r="J14" s="167"/>
      <c r="K14" s="217">
        <f ca="1">+K9-SUM(K11:K13)</f>
        <v>110301.90492987521</v>
      </c>
      <c r="L14" s="178"/>
      <c r="M14" s="217">
        <f ca="1">+M9-SUM(M11:M13)</f>
        <v>110301.90492987521</v>
      </c>
      <c r="O14" s="181"/>
      <c r="P14" s="151"/>
      <c r="R14" s="211">
        <v>4</v>
      </c>
      <c r="S14" s="199">
        <f ca="1">IF((AK9/Investment*100)&gt;0,(AK9/Investment*100),0)</f>
        <v>247.74166606863128</v>
      </c>
      <c r="T14" s="218">
        <f ca="1">EXP(y_inter4-(slope*LN(S14)))</f>
        <v>6.8451933017085578</v>
      </c>
      <c r="U14" s="201">
        <f ca="1">(+S14*T14/100)/100</f>
        <v>0.16958395931271131</v>
      </c>
      <c r="V14" s="201">
        <f>regDebt_weighted</f>
        <v>3.5860000000000003E-2</v>
      </c>
      <c r="W14" s="201">
        <f ca="1">+U14-V14</f>
        <v>0.1337239593127113</v>
      </c>
      <c r="X14" s="201">
        <f ca="1">+((W14*(1-0.34))-Pfd_weighted)/Equity_percent</f>
        <v>0.23856922426276003</v>
      </c>
      <c r="Y14" s="201">
        <f>+Y13</f>
        <v>2.5000000000000001E-3</v>
      </c>
      <c r="Z14" s="201">
        <f ca="1">+X14+Y14</f>
        <v>0.24106922426276003</v>
      </c>
      <c r="AA14" s="201">
        <f ca="1">Z14*equityP</f>
        <v>0.14464153455765602</v>
      </c>
      <c r="AB14" s="201">
        <f ca="1">+AA14/(1-taxrate)</f>
        <v>0.18309055007298231</v>
      </c>
      <c r="AC14" s="201">
        <f>debtP*Debt_Rate</f>
        <v>1.2716825048595141E-2</v>
      </c>
      <c r="AD14" s="201">
        <f ca="1">+AC14+AB14</f>
        <v>0.19580737512157745</v>
      </c>
      <c r="AE14" s="201">
        <f ca="1">+AD14/(S14/100)</f>
        <v>7.9036917055096176E-2</v>
      </c>
      <c r="AF14" s="201">
        <f ca="1">1-AE14</f>
        <v>0.92096308294490381</v>
      </c>
      <c r="AG14" s="202">
        <f ca="1">expenses/(AF14)</f>
        <v>1867956.9009177024</v>
      </c>
      <c r="AH14" s="203">
        <f ca="1">+AG14-Revenue</f>
        <v>22271.83109940053</v>
      </c>
      <c r="AI14" s="204">
        <f ca="1">+AH14/$J$49</f>
        <v>24784.19963327342</v>
      </c>
      <c r="AJ14" s="204">
        <f ca="1">+AI14*$J$47</f>
        <v>534.35316109235794</v>
      </c>
      <c r="AK14" s="202">
        <f ca="1">ROUND(+AJ14+AG14,5)</f>
        <v>1868491.2540800001</v>
      </c>
    </row>
    <row r="15" spans="1:37" ht="16.5" thickTop="1">
      <c r="A15" s="151"/>
      <c r="B15" s="216" t="s">
        <v>497</v>
      </c>
      <c r="C15" s="219">
        <v>2.5000000000000001E-3</v>
      </c>
      <c r="D15" s="151"/>
      <c r="E15" s="151"/>
      <c r="F15" s="205">
        <f t="shared" si="0"/>
        <v>9</v>
      </c>
      <c r="G15" s="167"/>
      <c r="H15" s="167"/>
      <c r="I15" s="220"/>
      <c r="J15" s="167"/>
      <c r="K15" s="221"/>
      <c r="L15" s="167"/>
      <c r="M15" s="167"/>
      <c r="O15" s="181"/>
      <c r="P15" s="151">
        <f>34-21</f>
        <v>13</v>
      </c>
      <c r="R15" s="170" t="s">
        <v>498</v>
      </c>
    </row>
    <row r="16" spans="1:37" ht="15.75">
      <c r="A16" s="151"/>
      <c r="B16" s="151"/>
      <c r="C16" s="151"/>
      <c r="D16" s="172" t="s">
        <v>499</v>
      </c>
      <c r="E16" s="151"/>
      <c r="F16" s="205">
        <f t="shared" si="0"/>
        <v>10</v>
      </c>
      <c r="G16" s="167"/>
      <c r="H16" s="195" t="s">
        <v>500</v>
      </c>
      <c r="I16" s="222">
        <f>+I8/I7</f>
        <v>0.93207631919931611</v>
      </c>
      <c r="J16" s="223"/>
      <c r="K16" s="222">
        <f ca="1">+K8/K7</f>
        <v>0.92016600000000004</v>
      </c>
      <c r="L16" s="224"/>
      <c r="M16" s="222">
        <f ca="1">+M8/M7</f>
        <v>0.92019046803815296</v>
      </c>
      <c r="O16" s="181"/>
      <c r="P16" s="225">
        <f>P15/34</f>
        <v>0.38235294117647056</v>
      </c>
      <c r="R16" s="226">
        <v>1</v>
      </c>
      <c r="S16" s="227">
        <f ca="1">AK11/Investment*100</f>
        <v>247.51274091082811</v>
      </c>
      <c r="T16" s="228">
        <f ca="1">EXP(y_inter1-(slope*LN(+S16)))</f>
        <v>7.0609438618353284</v>
      </c>
      <c r="U16" s="229">
        <f ca="1">(+S16*T16/100)/100</f>
        <v>0.17476735686603498</v>
      </c>
      <c r="V16" s="229">
        <f>regDebt_weighted</f>
        <v>3.5860000000000003E-2</v>
      </c>
      <c r="W16" s="229">
        <f ca="1">+U16-V16</f>
        <v>0.13890735686603498</v>
      </c>
      <c r="X16" s="229">
        <f ca="1">+((W16*(1-0.34))-Pfd_weighted)/Equity_percent</f>
        <v>0.24851411491739267</v>
      </c>
      <c r="Y16" s="229">
        <f>+Y14</f>
        <v>2.5000000000000001E-3</v>
      </c>
      <c r="Z16" s="229">
        <f ca="1">+X16+Y16</f>
        <v>0.25101411491739267</v>
      </c>
      <c r="AA16" s="229">
        <f ca="1">Z16*equityP</f>
        <v>0.15060846895043559</v>
      </c>
      <c r="AB16" s="229">
        <f ca="1">+AA16/(1-taxrate)</f>
        <v>0.19064363158282985</v>
      </c>
      <c r="AC16" s="229">
        <f>debtP*Debt_Rate</f>
        <v>1.2716825048595141E-2</v>
      </c>
      <c r="AD16" s="229">
        <f ca="1">+AC16+AB16</f>
        <v>0.20336045663142499</v>
      </c>
      <c r="AE16" s="229">
        <f ca="1">+AD16/(S16/100)</f>
        <v>8.2161611512633223E-2</v>
      </c>
      <c r="AF16" s="229">
        <f ca="1">1-AE16</f>
        <v>0.91783838848736676</v>
      </c>
      <c r="AG16" s="230">
        <f ca="1">expenses/(AF16)</f>
        <v>1874316.1844783246</v>
      </c>
      <c r="AH16" s="231">
        <f ca="1">+AG16-Revenue</f>
        <v>28631.11466002278</v>
      </c>
      <c r="AI16" s="232">
        <f ca="1">+AH16/$J$49</f>
        <v>31860.840641712908</v>
      </c>
      <c r="AJ16" s="232">
        <f ca="1">+AI16*$J$47</f>
        <v>686.92720216402495</v>
      </c>
      <c r="AK16" s="230">
        <f ca="1">ROUND(+AJ16+AG16,5)</f>
        <v>1875003.1116800001</v>
      </c>
    </row>
    <row r="17" spans="1:37" ht="15.75">
      <c r="A17" s="151"/>
      <c r="B17" s="233" t="s">
        <v>501</v>
      </c>
      <c r="C17" s="234"/>
      <c r="D17" s="151" t="s">
        <v>502</v>
      </c>
      <c r="E17" s="151"/>
      <c r="F17" s="205">
        <f t="shared" si="0"/>
        <v>11</v>
      </c>
      <c r="G17" s="167"/>
      <c r="H17" s="167"/>
      <c r="I17" s="167"/>
      <c r="K17" s="167"/>
      <c r="L17" s="195"/>
      <c r="M17" s="195"/>
      <c r="N17" s="222"/>
      <c r="O17" s="151"/>
      <c r="P17" s="151"/>
      <c r="R17" s="198">
        <v>2</v>
      </c>
      <c r="S17" s="199">
        <f ca="1">AK12/Investment*100</f>
        <v>247.10956722283549</v>
      </c>
      <c r="T17" s="214">
        <f ca="1">EXP(y_inter2-(slope*LN(+S17)))</f>
        <v>6.9682441145840155</v>
      </c>
      <c r="U17" s="201">
        <f ca="1">(+S17*T17/100)/100</f>
        <v>0.17219197874579265</v>
      </c>
      <c r="V17" s="201">
        <f>regDebt_weighted</f>
        <v>3.5860000000000003E-2</v>
      </c>
      <c r="W17" s="201">
        <f ca="1">+U17-V17</f>
        <v>0.13633197874579264</v>
      </c>
      <c r="X17" s="201">
        <f ca="1">+((W17*(1-0.34))-Pfd_weighted)/Equity_percent</f>
        <v>0.24357298247739287</v>
      </c>
      <c r="Y17" s="201">
        <f>+Y16</f>
        <v>2.5000000000000001E-3</v>
      </c>
      <c r="Z17" s="201">
        <f ca="1">+X17+Y17</f>
        <v>0.24607298247739287</v>
      </c>
      <c r="AA17" s="201">
        <f ca="1">Z17*equityP</f>
        <v>0.14764378948643572</v>
      </c>
      <c r="AB17" s="201">
        <f ca="1">+AA17/(1-taxrate)</f>
        <v>0.18689087276764016</v>
      </c>
      <c r="AC17" s="201">
        <f>debtP*Debt_Rate</f>
        <v>1.2716825048595141E-2</v>
      </c>
      <c r="AD17" s="201">
        <f ca="1">+AC17+AB17</f>
        <v>0.1996076978162353</v>
      </c>
      <c r="AE17" s="201">
        <f ca="1">+AD17/(S17/100)</f>
        <v>8.0777001092893944E-2</v>
      </c>
      <c r="AF17" s="201">
        <f ca="1">1-AE17</f>
        <v>0.91922299890710601</v>
      </c>
      <c r="AG17" s="202">
        <f ca="1">expenses/(AF17)</f>
        <v>1871492.9329691695</v>
      </c>
      <c r="AH17" s="203">
        <f ca="1">+AG17-Revenue</f>
        <v>25807.863150867634</v>
      </c>
      <c r="AI17" s="204">
        <f ca="1">+AH17/$J$49</f>
        <v>28719.112927204285</v>
      </c>
      <c r="AJ17" s="204">
        <f ca="1">+AI17*$J$47</f>
        <v>619.19081525704848</v>
      </c>
      <c r="AK17" s="202">
        <f ca="1">ROUND(+AJ17+AG17,5)</f>
        <v>1872112.12378</v>
      </c>
    </row>
    <row r="18" spans="1:37" ht="15.75">
      <c r="A18" s="151"/>
      <c r="B18" s="1275"/>
      <c r="C18" s="1275"/>
      <c r="D18" s="151"/>
      <c r="E18" s="151"/>
      <c r="F18" s="205">
        <f t="shared" si="0"/>
        <v>12</v>
      </c>
      <c r="G18" s="167"/>
      <c r="H18" s="235" t="s">
        <v>355</v>
      </c>
      <c r="I18" s="236"/>
      <c r="J18" s="236"/>
      <c r="K18" s="236"/>
      <c r="L18" s="236"/>
      <c r="M18" s="237"/>
      <c r="O18" s="151"/>
      <c r="P18" s="151"/>
      <c r="R18" s="206">
        <v>3</v>
      </c>
      <c r="S18" s="199">
        <f ca="1">AK13/Investment*100</f>
        <v>246.83870503766192</v>
      </c>
      <c r="T18" s="200">
        <f ca="1">EXP(y_inter3-(slope*LN(S18)))</f>
        <v>6.9056717672727865</v>
      </c>
      <c r="U18" s="201">
        <f ca="1">(+S18*T18/100)/100</f>
        <v>0.1704587076448757</v>
      </c>
      <c r="V18" s="201">
        <f>regDebt_weighted</f>
        <v>3.5860000000000003E-2</v>
      </c>
      <c r="W18" s="201">
        <f ca="1">+U18-V18</f>
        <v>0.13459870764487569</v>
      </c>
      <c r="X18" s="201">
        <f ca="1">+((W18*(1-0.34))-Pfd_weighted)/Equity_percent</f>
        <v>0.24024752048144751</v>
      </c>
      <c r="Y18" s="201">
        <f>+Y17</f>
        <v>2.5000000000000001E-3</v>
      </c>
      <c r="Z18" s="201">
        <f ca="1">+X18+Y18</f>
        <v>0.24274752048144752</v>
      </c>
      <c r="AA18" s="201">
        <f ca="1">Z18*equityP</f>
        <v>0.14564851228886849</v>
      </c>
      <c r="AB18" s="201">
        <f ca="1">+AA18/(1-taxrate)</f>
        <v>0.18436520542894744</v>
      </c>
      <c r="AC18" s="201">
        <f>debtP*Debt_Rate</f>
        <v>1.2716825048595141E-2</v>
      </c>
      <c r="AD18" s="201">
        <f ca="1">+AC18+AB18</f>
        <v>0.19708203047754258</v>
      </c>
      <c r="AE18" s="201">
        <f ca="1">+AD18/(S18/100)</f>
        <v>7.9842434130203518E-2</v>
      </c>
      <c r="AF18" s="201">
        <f ca="1">1-AE18</f>
        <v>0.92015756586979647</v>
      </c>
      <c r="AG18" s="202">
        <f ca="1">expenses/(AF18)</f>
        <v>1869592.1330073625</v>
      </c>
      <c r="AH18" s="203">
        <f ca="1">+AG18-Revenue</f>
        <v>23907.06318906066</v>
      </c>
      <c r="AI18" s="204">
        <f ca="1">+AH18/$J$49</f>
        <v>26603.893684292081</v>
      </c>
      <c r="AJ18" s="204">
        <f ca="1">+AI18*$J$47</f>
        <v>573.58619192533126</v>
      </c>
      <c r="AK18" s="202">
        <f ca="1">ROUND(+AJ18+AG18,5)</f>
        <v>1870165.7191999999</v>
      </c>
    </row>
    <row r="19" spans="1:37" ht="15.75">
      <c r="A19" s="151"/>
      <c r="B19" s="1276" t="s">
        <v>503</v>
      </c>
      <c r="C19" s="1276"/>
      <c r="D19" s="151"/>
      <c r="E19" s="151"/>
      <c r="F19" s="205">
        <f t="shared" si="0"/>
        <v>13</v>
      </c>
      <c r="G19" s="167"/>
      <c r="H19" s="173"/>
      <c r="I19" s="238" t="s">
        <v>504</v>
      </c>
      <c r="J19" s="239">
        <f>+Revenue</f>
        <v>1845685.0698183018</v>
      </c>
      <c r="K19" s="240"/>
      <c r="L19" s="238" t="s">
        <v>505</v>
      </c>
      <c r="M19" s="241">
        <f ca="1">+J7</f>
        <v>23889.926733815344</v>
      </c>
      <c r="O19" s="151"/>
      <c r="P19" s="151"/>
      <c r="R19" s="211">
        <v>4</v>
      </c>
      <c r="S19" s="199">
        <f ca="1">AK14/Investment*100</f>
        <v>246.66574684269378</v>
      </c>
      <c r="T19" s="218">
        <f ca="1">EXP(y_inter4-(slope*LN(S19)))</f>
        <v>6.8655920686002601</v>
      </c>
      <c r="U19" s="201">
        <f ca="1">(+S19*T19/100)/100</f>
        <v>0.1693506395118558</v>
      </c>
      <c r="V19" s="201">
        <f>regDebt_weighted</f>
        <v>3.5860000000000003E-2</v>
      </c>
      <c r="W19" s="201">
        <f ca="1">+U19-V19</f>
        <v>0.1334906395118558</v>
      </c>
      <c r="X19" s="201">
        <f ca="1">+((W19*(1-0.34))-Pfd_weighted)/Equity_percent</f>
        <v>0.2381215758076303</v>
      </c>
      <c r="Y19" s="201">
        <f>+Y18</f>
        <v>2.5000000000000001E-3</v>
      </c>
      <c r="Z19" s="201">
        <f ca="1">+X19+Y19</f>
        <v>0.2406215758076303</v>
      </c>
      <c r="AA19" s="201">
        <f ca="1">Z19*equityP</f>
        <v>0.14437294548457819</v>
      </c>
      <c r="AB19" s="201">
        <f ca="1">+AA19/(1-taxrate)</f>
        <v>0.18275056390452935</v>
      </c>
      <c r="AC19" s="201">
        <f>debtP*Debt_Rate</f>
        <v>1.2716825048595141E-2</v>
      </c>
      <c r="AD19" s="201">
        <f ca="1">+AC19+AB19</f>
        <v>0.19546738895312449</v>
      </c>
      <c r="AE19" s="201">
        <f ca="1">+AD19/(S19/100)</f>
        <v>7.9243831563601722E-2</v>
      </c>
      <c r="AF19" s="201">
        <f ca="1">1-AE19</f>
        <v>0.92075616843639829</v>
      </c>
      <c r="AG19" s="202">
        <f ca="1">expenses/(AF19)</f>
        <v>1868376.6726198234</v>
      </c>
      <c r="AH19" s="203">
        <f ca="1">+AG19-Revenue</f>
        <v>22691.602801521542</v>
      </c>
      <c r="AI19" s="204">
        <f ca="1">+AH19/$J$49</f>
        <v>25251.323580978205</v>
      </c>
      <c r="AJ19" s="204">
        <f ca="1">+AI19*$J$47</f>
        <v>544.42446304164048</v>
      </c>
      <c r="AK19" s="202">
        <f ca="1">ROUND(+AJ19+AG19,5)</f>
        <v>1868921.09708</v>
      </c>
    </row>
    <row r="20" spans="1:37" ht="15.75">
      <c r="A20" s="151"/>
      <c r="B20" s="242"/>
      <c r="C20" s="151"/>
      <c r="D20" s="151"/>
      <c r="E20" s="151"/>
      <c r="F20" s="205">
        <f t="shared" si="0"/>
        <v>14</v>
      </c>
      <c r="G20" s="167"/>
      <c r="H20" s="173"/>
      <c r="I20" s="238" t="s">
        <v>506</v>
      </c>
      <c r="J20" s="239">
        <f ca="1">+J21-J19</f>
        <v>24463.101782220881</v>
      </c>
      <c r="K20" s="243">
        <f ca="1">J20/J19</f>
        <v>1.3254212315121099E-2</v>
      </c>
      <c r="L20" s="238" t="s">
        <v>507</v>
      </c>
      <c r="M20" s="241">
        <f ca="1">+L8</f>
        <v>573.1750484055483</v>
      </c>
      <c r="O20" s="151"/>
      <c r="P20" s="151"/>
      <c r="R20" s="170" t="s">
        <v>508</v>
      </c>
    </row>
    <row r="21" spans="1:37" ht="16.5" thickBot="1">
      <c r="A21" s="151"/>
      <c r="B21" s="242"/>
      <c r="C21" s="242"/>
      <c r="D21" s="151"/>
      <c r="E21" s="151"/>
      <c r="F21" s="205">
        <f t="shared" si="0"/>
        <v>15</v>
      </c>
      <c r="G21" s="167"/>
      <c r="H21" s="173"/>
      <c r="I21" s="244" t="s">
        <v>355</v>
      </c>
      <c r="J21" s="245">
        <f ca="1">+M7</f>
        <v>1870148.1716005227</v>
      </c>
      <c r="K21" s="246"/>
      <c r="L21" s="244" t="s">
        <v>506</v>
      </c>
      <c r="M21" s="247">
        <f ca="1">+M19+M20</f>
        <v>24463.101782220892</v>
      </c>
      <c r="O21" s="151"/>
      <c r="P21" s="151"/>
      <c r="R21" s="226">
        <v>1</v>
      </c>
      <c r="S21" s="227">
        <f ca="1">AK16/Investment*100</f>
        <v>247.52539882914539</v>
      </c>
      <c r="T21" s="228">
        <f ca="1">EXP(y_inter1-(slope*LN(+S21)))</f>
        <v>7.0606969992264554</v>
      </c>
      <c r="U21" s="229">
        <f ca="1">(+S21*T21/100)/100</f>
        <v>0.17477018407452782</v>
      </c>
      <c r="V21" s="229">
        <f>regDebt_weighted</f>
        <v>3.5860000000000003E-2</v>
      </c>
      <c r="W21" s="229">
        <f ca="1">+U21-V21</f>
        <v>0.13891018407452782</v>
      </c>
      <c r="X21" s="229">
        <f ca="1">+((W21*(1-0.34))-Pfd_weighted)/Equity_percent</f>
        <v>0.24851953921275685</v>
      </c>
      <c r="Y21" s="229">
        <f>+Y19</f>
        <v>2.5000000000000001E-3</v>
      </c>
      <c r="Z21" s="229">
        <f ca="1">+X21+Y21</f>
        <v>0.25101953921275683</v>
      </c>
      <c r="AA21" s="229">
        <f ca="1">Z21*equityP</f>
        <v>0.15061172352765409</v>
      </c>
      <c r="AB21" s="229">
        <f ca="1">+AA21/(1-taxrate)</f>
        <v>0.19064775130082795</v>
      </c>
      <c r="AC21" s="229">
        <f>debtP*Debt_Rate</f>
        <v>1.2716825048595141E-2</v>
      </c>
      <c r="AD21" s="229">
        <f ca="1">+AC21+AB21</f>
        <v>0.20336457634942309</v>
      </c>
      <c r="AE21" s="229">
        <f ca="1">+AD21/(S21/100)</f>
        <v>8.2159074305661717E-2</v>
      </c>
      <c r="AF21" s="229">
        <f ca="1">1-AE21</f>
        <v>0.91784092569433828</v>
      </c>
      <c r="AG21" s="230">
        <f ca="1">expenses/(AF21)</f>
        <v>1874311.0032666821</v>
      </c>
      <c r="AH21" s="231">
        <f ca="1">+AG21-Revenue</f>
        <v>28625.933448380325</v>
      </c>
      <c r="AI21" s="232">
        <f ca="1">+AH21/$J$49</f>
        <v>31855.074964741143</v>
      </c>
      <c r="AJ21" s="232">
        <f ca="1">+AI21*$J$47</f>
        <v>686.80289281527507</v>
      </c>
      <c r="AK21" s="230">
        <f ca="1">ROUND(+AJ21+AG21,5)</f>
        <v>1874997.8061599999</v>
      </c>
    </row>
    <row r="22" spans="1:37" ht="16.5" thickTop="1">
      <c r="A22" s="151"/>
      <c r="B22" s="242"/>
      <c r="C22" s="151"/>
      <c r="D22" s="151"/>
      <c r="E22" s="151"/>
      <c r="F22" s="205">
        <f t="shared" si="0"/>
        <v>16</v>
      </c>
      <c r="G22" s="167"/>
      <c r="H22" s="248"/>
      <c r="I22" s="249"/>
      <c r="J22" s="249"/>
      <c r="K22" s="249"/>
      <c r="L22" s="249"/>
      <c r="M22" s="250"/>
      <c r="O22" s="151"/>
      <c r="P22" s="151"/>
      <c r="R22" s="198">
        <v>2</v>
      </c>
      <c r="S22" s="199">
        <f ca="1">AK17/Investment*100</f>
        <v>247.14374989827155</v>
      </c>
      <c r="T22" s="214">
        <f ca="1">EXP(y_inter2-(slope*LN(+S22)))</f>
        <v>6.9675851898645442</v>
      </c>
      <c r="U22" s="201">
        <f ca="1">(+S22*T22/100)/100</f>
        <v>0.17219951315587839</v>
      </c>
      <c r="V22" s="201">
        <f>regDebt_weighted</f>
        <v>3.5860000000000003E-2</v>
      </c>
      <c r="W22" s="201">
        <f ca="1">+U22-V22</f>
        <v>0.13633951315587839</v>
      </c>
      <c r="X22" s="201">
        <f ca="1">+((W22*(1-0.34))-Pfd_weighted)/Equity_percent</f>
        <v>0.24358743803162711</v>
      </c>
      <c r="Y22" s="201">
        <f>+Y21</f>
        <v>2.5000000000000001E-3</v>
      </c>
      <c r="Z22" s="201">
        <f ca="1">+X22+Y22</f>
        <v>0.24608743803162711</v>
      </c>
      <c r="AA22" s="201">
        <f ca="1">Z22*equityP</f>
        <v>0.14765246281897626</v>
      </c>
      <c r="AB22" s="201">
        <f ca="1">+AA22/(1-taxrate)</f>
        <v>0.1869018516695902</v>
      </c>
      <c r="AC22" s="201">
        <f>debtP*Debt_Rate</f>
        <v>1.2716825048595141E-2</v>
      </c>
      <c r="AD22" s="201">
        <f ca="1">+AC22+AB22</f>
        <v>0.19961867671818534</v>
      </c>
      <c r="AE22" s="201">
        <f ca="1">+AD22/(S22/100)</f>
        <v>8.0770271067082081E-2</v>
      </c>
      <c r="AF22" s="201">
        <f ca="1">1-AE22</f>
        <v>0.91922972893291788</v>
      </c>
      <c r="AG22" s="202">
        <f ca="1">expenses/(AF22)</f>
        <v>1871479.2310670777</v>
      </c>
      <c r="AH22" s="203">
        <f ca="1">+AG22-Revenue</f>
        <v>25794.161248775898</v>
      </c>
      <c r="AI22" s="204">
        <f ca="1">+AH22/$J$49</f>
        <v>28703.865385352809</v>
      </c>
      <c r="AJ22" s="204">
        <f ca="1">+AI22*$J$47</f>
        <v>618.86207467604197</v>
      </c>
      <c r="AK22" s="202">
        <f ca="1">ROUND(+AJ22+AG22,5)</f>
        <v>1872098.09314</v>
      </c>
    </row>
    <row r="23" spans="1:37" ht="15.75">
      <c r="A23" s="151"/>
      <c r="B23" s="251" t="s">
        <v>509</v>
      </c>
      <c r="C23" s="252"/>
      <c r="D23" s="252"/>
      <c r="E23" s="252"/>
      <c r="F23" s="205">
        <f t="shared" si="0"/>
        <v>17</v>
      </c>
      <c r="H23" s="167"/>
      <c r="I23" s="167"/>
      <c r="J23" s="167"/>
      <c r="K23" s="167"/>
      <c r="L23" s="167"/>
      <c r="M23" s="167"/>
      <c r="N23" s="167"/>
      <c r="O23" s="151"/>
      <c r="P23" s="151"/>
      <c r="R23" s="206">
        <v>3</v>
      </c>
      <c r="S23" s="199">
        <f ca="1">AK18/Investment*100</f>
        <v>246.88679855405979</v>
      </c>
      <c r="T23" s="200">
        <f ca="1">EXP(y_inter3-(slope*LN(S23)))</f>
        <v>6.9047520496652215</v>
      </c>
      <c r="U23" s="201">
        <f ca="1">(+S23*T23/100)/100</f>
        <v>0.17046921283514291</v>
      </c>
      <c r="V23" s="201">
        <f>regDebt_weighted</f>
        <v>3.5860000000000003E-2</v>
      </c>
      <c r="W23" s="201">
        <f ca="1">+U23-V23</f>
        <v>0.13460921283514291</v>
      </c>
      <c r="X23" s="201">
        <f ca="1">+((W23*(1-0.34))-Pfd_weighted)/Equity_percent</f>
        <v>0.24026767578835556</v>
      </c>
      <c r="Y23" s="201">
        <f>+Y22</f>
        <v>2.5000000000000001E-3</v>
      </c>
      <c r="Z23" s="201">
        <f ca="1">+X23+Y23</f>
        <v>0.24276767578835556</v>
      </c>
      <c r="AA23" s="201">
        <f ca="1">Z23*equityP</f>
        <v>0.14566060547301332</v>
      </c>
      <c r="AB23" s="201">
        <f ca="1">+AA23/(1-taxrate)</f>
        <v>0.18438051325697888</v>
      </c>
      <c r="AC23" s="201">
        <f>debtP*Debt_Rate</f>
        <v>1.2716825048595141E-2</v>
      </c>
      <c r="AD23" s="201">
        <f ca="1">+AC23+AB23</f>
        <v>0.19709733830557402</v>
      </c>
      <c r="AE23" s="201">
        <f ca="1">+AD23/(S23/100)</f>
        <v>7.9833081177249104E-2</v>
      </c>
      <c r="AF23" s="201">
        <f ca="1">1-AE23</f>
        <v>0.92016691882275092</v>
      </c>
      <c r="AG23" s="202">
        <f ca="1">expenses/(AF23)</f>
        <v>1869573.1297081716</v>
      </c>
      <c r="AH23" s="203">
        <f ca="1">+AG23-Revenue</f>
        <v>23888.059889869764</v>
      </c>
      <c r="AI23" s="204">
        <f ca="1">+AH23/$J$49</f>
        <v>26582.746722520686</v>
      </c>
      <c r="AJ23" s="204">
        <f ca="1">+AI23*$J$47</f>
        <v>573.13025846622224</v>
      </c>
      <c r="AK23" s="202">
        <f ca="1">ROUND(+AJ23+AG23,5)</f>
        <v>1870146.25997</v>
      </c>
    </row>
    <row r="24" spans="1:37" ht="15.75">
      <c r="A24" s="151"/>
      <c r="B24" s="253" t="s">
        <v>510</v>
      </c>
      <c r="C24" s="252"/>
      <c r="D24" s="252"/>
      <c r="E24" s="252"/>
      <c r="F24" s="205">
        <f t="shared" si="0"/>
        <v>18</v>
      </c>
      <c r="H24" s="254" t="s">
        <v>511</v>
      </c>
      <c r="K24" s="255" t="s">
        <v>512</v>
      </c>
      <c r="L24" s="255"/>
      <c r="M24" s="255"/>
      <c r="N24" s="255"/>
      <c r="O24" s="151"/>
      <c r="P24" s="151"/>
      <c r="R24" s="211">
        <v>4</v>
      </c>
      <c r="S24" s="199">
        <f ca="1">AK19/Investment*100</f>
        <v>246.72249184719331</v>
      </c>
      <c r="T24" s="218">
        <f ca="1">EXP(y_inter4-(slope*LN(S24)))</f>
        <v>6.8645124777120792</v>
      </c>
      <c r="U24" s="201">
        <f ca="1">(+S24*T24/100)/100</f>
        <v>0.16936296238172752</v>
      </c>
      <c r="V24" s="201">
        <f>regDebt_weighted</f>
        <v>3.5860000000000003E-2</v>
      </c>
      <c r="W24" s="201">
        <f ca="1">+U24-V24</f>
        <v>0.13350296238172751</v>
      </c>
      <c r="X24" s="201">
        <f ca="1">+((W24*(1-0.34))-Pfd_weighted)/Equity_percent</f>
        <v>0.23814521852308185</v>
      </c>
      <c r="Y24" s="201">
        <f>+Y23</f>
        <v>2.5000000000000001E-3</v>
      </c>
      <c r="Z24" s="201">
        <f ca="1">+X24+Y24</f>
        <v>0.24064521852308185</v>
      </c>
      <c r="AA24" s="201">
        <f ca="1">Z24*equityP</f>
        <v>0.1443871311138491</v>
      </c>
      <c r="AB24" s="201">
        <f ca="1">+AA24/(1-taxrate)</f>
        <v>0.18276852039727734</v>
      </c>
      <c r="AC24" s="201">
        <f>debtP*Debt_Rate</f>
        <v>1.2716825048595141E-2</v>
      </c>
      <c r="AD24" s="201">
        <f ca="1">+AC24+AB24</f>
        <v>0.19548534544587248</v>
      </c>
      <c r="AE24" s="201">
        <f ca="1">+AD24/(S24/100)</f>
        <v>7.9232883869763127E-2</v>
      </c>
      <c r="AF24" s="201">
        <f ca="1">1-AE24</f>
        <v>0.92076711613023687</v>
      </c>
      <c r="AG24" s="202">
        <f ca="1">expenses/(AF24)</f>
        <v>1868354.458082153</v>
      </c>
      <c r="AH24" s="203">
        <f ca="1">+AG24-Revenue</f>
        <v>22669.388263851171</v>
      </c>
      <c r="AI24" s="204">
        <f ca="1">+AH24/$J$49</f>
        <v>25226.603137745398</v>
      </c>
      <c r="AJ24" s="204">
        <f ca="1">+AI24*$J$47</f>
        <v>543.89148448350625</v>
      </c>
      <c r="AK24" s="202">
        <f ca="1">ROUND(+AJ24+AG24,5)</f>
        <v>1868898.3495700001</v>
      </c>
    </row>
    <row r="25" spans="1:37" ht="15.75">
      <c r="A25" s="151"/>
      <c r="B25" s="253" t="s">
        <v>513</v>
      </c>
      <c r="C25" s="252"/>
      <c r="D25" s="252"/>
      <c r="E25" s="252"/>
      <c r="F25" s="205">
        <f t="shared" si="0"/>
        <v>19</v>
      </c>
      <c r="H25" s="256" t="s">
        <v>514</v>
      </c>
      <c r="I25" s="257" t="s">
        <v>344</v>
      </c>
      <c r="J25" s="258" t="s">
        <v>515</v>
      </c>
      <c r="K25" s="256" t="s">
        <v>516</v>
      </c>
      <c r="L25" s="258" t="s">
        <v>517</v>
      </c>
      <c r="M25" s="258" t="s">
        <v>515</v>
      </c>
      <c r="O25" s="151"/>
      <c r="P25" s="151"/>
      <c r="R25" s="170" t="s">
        <v>518</v>
      </c>
      <c r="W25" s="259"/>
      <c r="X25" s="260"/>
      <c r="Y25" s="260"/>
      <c r="Z25" s="260"/>
      <c r="AA25" s="261"/>
      <c r="AB25" s="261"/>
      <c r="AC25" s="260"/>
      <c r="AE25" s="260"/>
      <c r="AF25" s="260"/>
      <c r="AG25" s="261"/>
      <c r="AH25" s="259"/>
    </row>
    <row r="26" spans="1:37" ht="15.75">
      <c r="A26" s="151"/>
      <c r="B26" s="253" t="s">
        <v>519</v>
      </c>
      <c r="C26" s="252"/>
      <c r="D26" s="252"/>
      <c r="E26" s="252"/>
      <c r="F26" s="205">
        <f t="shared" si="0"/>
        <v>20</v>
      </c>
      <c r="H26" s="195" t="s">
        <v>479</v>
      </c>
      <c r="I26" s="262">
        <f>1-I27</f>
        <v>0.6</v>
      </c>
      <c r="J26" s="263">
        <f>+I26*J28</f>
        <v>454499.56745026138</v>
      </c>
      <c r="K26" s="222">
        <f ca="1">+K34</f>
        <v>0.24268869065963677</v>
      </c>
      <c r="L26" s="262">
        <f ca="1">+K26*I26</f>
        <v>0.14561321439578206</v>
      </c>
      <c r="M26" s="196">
        <f ca="1">+J26*K26</f>
        <v>110301.90492987521</v>
      </c>
      <c r="O26" s="151"/>
      <c r="P26" s="151"/>
      <c r="R26" s="226">
        <v>1</v>
      </c>
      <c r="S26" s="227">
        <f ca="1">AK21/Investment*100</f>
        <v>247.52469842979892</v>
      </c>
      <c r="T26" s="228">
        <f ca="1">EXP(y_inter1-(slope*LN(+S26)))</f>
        <v>7.0607106582953483</v>
      </c>
      <c r="U26" s="229">
        <f ca="1">(+S26*T26/100)/100</f>
        <v>0.17477002763946231</v>
      </c>
      <c r="V26" s="229">
        <f>regDebt_weighted</f>
        <v>3.5860000000000003E-2</v>
      </c>
      <c r="W26" s="229">
        <f ca="1">+U26-V26</f>
        <v>0.13891002763946231</v>
      </c>
      <c r="X26" s="229">
        <f ca="1">+((W26*(1-0.34))-Pfd_weighted)/Equity_percent</f>
        <v>0.24851923907571255</v>
      </c>
      <c r="Y26" s="229">
        <f>+Y24</f>
        <v>2.5000000000000001E-3</v>
      </c>
      <c r="Z26" s="229">
        <f ca="1">+X26+Y26</f>
        <v>0.25101923907571255</v>
      </c>
      <c r="AA26" s="229">
        <f ca="1">Z26*equityP</f>
        <v>0.15061154344542751</v>
      </c>
      <c r="AB26" s="229">
        <f ca="1">+AA26/(1-taxrate)</f>
        <v>0.19064752334864241</v>
      </c>
      <c r="AC26" s="229">
        <f>debtP*Debt_Rate</f>
        <v>1.2716825048595141E-2</v>
      </c>
      <c r="AD26" s="229">
        <f ca="1">+AC26+AB26</f>
        <v>0.20336434839723755</v>
      </c>
      <c r="AE26" s="229">
        <f ca="1">+AD26/(S26/100)</f>
        <v>8.215921469142369E-2</v>
      </c>
      <c r="AF26" s="229">
        <f ca="1">1-AE26</f>
        <v>0.91784078530857627</v>
      </c>
      <c r="AG26" s="230">
        <f ca="1">expenses/(AF26)</f>
        <v>1874311.2899466627</v>
      </c>
      <c r="AH26" s="231">
        <f ca="1">+AG26-Revenue</f>
        <v>28626.220128360903</v>
      </c>
      <c r="AI26" s="232">
        <f ca="1">+AH26/$J$49</f>
        <v>31855.393983587765</v>
      </c>
      <c r="AJ26" s="232">
        <f ca="1">+AI26*$J$47</f>
        <v>686.8097709364838</v>
      </c>
      <c r="AK26" s="230">
        <f ca="1">ROUND(+AJ26+AG26,5)</f>
        <v>1874998.0997200001</v>
      </c>
    </row>
    <row r="27" spans="1:37" ht="15.75">
      <c r="A27" s="151"/>
      <c r="B27" s="253" t="s">
        <v>520</v>
      </c>
      <c r="C27" s="252"/>
      <c r="D27" s="252"/>
      <c r="E27" s="252"/>
      <c r="F27" s="205">
        <f t="shared" si="0"/>
        <v>21</v>
      </c>
      <c r="H27" s="195" t="s">
        <v>481</v>
      </c>
      <c r="I27" s="262">
        <f>IF(A64=TRUE,C8,0)</f>
        <v>0.4</v>
      </c>
      <c r="J27" s="264">
        <f>+I27*J28</f>
        <v>302999.71163350757</v>
      </c>
      <c r="K27" s="222">
        <f>IF(A64=TRUE,C9,0)</f>
        <v>3.179206262148785E-2</v>
      </c>
      <c r="L27" s="262">
        <f>+K27*I27</f>
        <v>1.2716825048595141E-2</v>
      </c>
      <c r="M27" s="239">
        <f>+K27*J27</f>
        <v>9632.9858065452336</v>
      </c>
      <c r="O27" s="151"/>
      <c r="P27" s="151"/>
      <c r="R27" s="198">
        <v>2</v>
      </c>
      <c r="S27" s="199">
        <f ca="1">AK22/Investment*100</f>
        <v>247.14189766680579</v>
      </c>
      <c r="T27" s="214">
        <f ca="1">EXP(y_inter2-(slope*LN(+S27)))</f>
        <v>6.9676208906011059</v>
      </c>
      <c r="U27" s="201">
        <f ca="1">(+S27*T27/100)/100</f>
        <v>0.17219910491260368</v>
      </c>
      <c r="V27" s="201">
        <f>regDebt_weighted</f>
        <v>3.5860000000000003E-2</v>
      </c>
      <c r="W27" s="201">
        <f ca="1">+U27-V27</f>
        <v>0.13633910491260368</v>
      </c>
      <c r="X27" s="201">
        <f ca="1">+((W27*(1-0.34))-Pfd_weighted)/Equity_percent</f>
        <v>0.24358665477418145</v>
      </c>
      <c r="Y27" s="201">
        <f>+Y26</f>
        <v>2.5000000000000001E-3</v>
      </c>
      <c r="Z27" s="201">
        <f ca="1">+X27+Y27</f>
        <v>0.24608665477418146</v>
      </c>
      <c r="AA27" s="201">
        <f ca="1">Z27*equityP</f>
        <v>0.14765199286450886</v>
      </c>
      <c r="AB27" s="201">
        <f ca="1">+AA27/(1-taxrate)</f>
        <v>0.18690125679051753</v>
      </c>
      <c r="AC27" s="201">
        <f>debtP*Debt_Rate</f>
        <v>1.2716825048595141E-2</v>
      </c>
      <c r="AD27" s="201">
        <f ca="1">+AC27+AB27</f>
        <v>0.19961808183911267</v>
      </c>
      <c r="AE27" s="201">
        <f ca="1">+AD27/(S27/100)</f>
        <v>8.077063570509431E-2</v>
      </c>
      <c r="AF27" s="201">
        <f ca="1">1-AE27</f>
        <v>0.91922936429490565</v>
      </c>
      <c r="AG27" s="202">
        <f ca="1">expenses/(AF27)</f>
        <v>1871479.9734416071</v>
      </c>
      <c r="AH27" s="203">
        <f ca="1">+AG27-Revenue</f>
        <v>25794.903623305261</v>
      </c>
      <c r="AI27" s="204">
        <f ca="1">+AH27/$J$49</f>
        <v>28704.691503261853</v>
      </c>
      <c r="AJ27" s="204">
        <f ca="1">+AI27*$J$47</f>
        <v>618.87988597205572</v>
      </c>
      <c r="AK27" s="202">
        <f ca="1">ROUND(+AJ27+AG27,5)</f>
        <v>1872098.8533300001</v>
      </c>
    </row>
    <row r="28" spans="1:37" ht="16.5" thickBot="1">
      <c r="A28" s="151"/>
      <c r="B28" s="151"/>
      <c r="C28" s="151"/>
      <c r="D28" s="151"/>
      <c r="E28" s="151"/>
      <c r="F28" s="205">
        <f t="shared" si="0"/>
        <v>22</v>
      </c>
      <c r="H28" s="195" t="s">
        <v>13</v>
      </c>
      <c r="I28" s="262">
        <f>SUM(I26:I27)</f>
        <v>1</v>
      </c>
      <c r="J28" s="265">
        <f>IF(A64=TRUE,C7,0)</f>
        <v>757499.27908376895</v>
      </c>
      <c r="K28" s="266"/>
      <c r="L28" s="267">
        <f ca="1">SUM(L26:L27)</f>
        <v>0.15833003944437721</v>
      </c>
      <c r="M28" s="265">
        <f ca="1">SUM(M26:M27)</f>
        <v>119934.89073642044</v>
      </c>
      <c r="O28" s="151"/>
      <c r="P28" s="151"/>
      <c r="R28" s="206">
        <v>3</v>
      </c>
      <c r="S28" s="199">
        <f ca="1">AK23/Investment*100</f>
        <v>246.88422967636748</v>
      </c>
      <c r="T28" s="200">
        <f ca="1">EXP(y_inter3-(slope*LN(S28)))</f>
        <v>6.9048011680383876</v>
      </c>
      <c r="U28" s="201">
        <f ca="1">(+S28*T28/100)/100</f>
        <v>0.17046865174396397</v>
      </c>
      <c r="V28" s="201">
        <f>regDebt_weighted</f>
        <v>3.5860000000000003E-2</v>
      </c>
      <c r="W28" s="201">
        <f ca="1">+U28-V28</f>
        <v>0.13460865174396397</v>
      </c>
      <c r="X28" s="201">
        <f ca="1">+((W28*(1-0.34))-Pfd_weighted)/Equity_percent</f>
        <v>0.24026659927620991</v>
      </c>
      <c r="Y28" s="201">
        <f>+Y27</f>
        <v>2.5000000000000001E-3</v>
      </c>
      <c r="Z28" s="201">
        <f ca="1">+X28+Y28</f>
        <v>0.24276659927620992</v>
      </c>
      <c r="AA28" s="201">
        <f ca="1">Z28*equityP</f>
        <v>0.14565995956572594</v>
      </c>
      <c r="AB28" s="201">
        <f ca="1">+AA28/(1-taxrate)</f>
        <v>0.18437969565281764</v>
      </c>
      <c r="AC28" s="201">
        <f>debtP*Debt_Rate</f>
        <v>1.2716825048595141E-2</v>
      </c>
      <c r="AD28" s="201">
        <f ca="1">+AC28+AB28</f>
        <v>0.19709652070141279</v>
      </c>
      <c r="AE28" s="201">
        <f ca="1">+AD28/(S28/100)</f>
        <v>7.9833580686696839E-2</v>
      </c>
      <c r="AF28" s="201">
        <f ca="1">1-AE28</f>
        <v>0.92016641931330312</v>
      </c>
      <c r="AG28" s="202">
        <f ca="1">expenses/(AF28)</f>
        <v>1869574.1446000673</v>
      </c>
      <c r="AH28" s="203">
        <f ca="1">+AG28-Revenue</f>
        <v>23889.074781765463</v>
      </c>
      <c r="AI28" s="204">
        <f ca="1">+AH28/$J$49</f>
        <v>26583.876099051828</v>
      </c>
      <c r="AJ28" s="204">
        <f ca="1">+AI28*$J$47</f>
        <v>573.15460808930516</v>
      </c>
      <c r="AK28" s="202">
        <f ca="1">ROUND(+AJ28+AG28,5)</f>
        <v>1870147.2992100001</v>
      </c>
    </row>
    <row r="29" spans="1:37" ht="16.5" thickTop="1">
      <c r="A29" s="151"/>
      <c r="B29" s="151"/>
      <c r="C29" s="151"/>
      <c r="D29" s="151"/>
      <c r="E29" s="151"/>
      <c r="F29" s="205">
        <f t="shared" si="0"/>
        <v>23</v>
      </c>
      <c r="G29" s="167"/>
      <c r="H29" s="167"/>
      <c r="I29" s="167"/>
      <c r="J29" s="167"/>
      <c r="K29" s="167"/>
      <c r="L29" s="167"/>
      <c r="M29" s="167"/>
      <c r="N29" s="167"/>
      <c r="O29" s="151"/>
      <c r="P29" s="151"/>
      <c r="R29" s="211">
        <v>4</v>
      </c>
      <c r="S29" s="199">
        <f ca="1">AK24/Investment*100</f>
        <v>246.71948887271822</v>
      </c>
      <c r="T29" s="218">
        <f ca="1">EXP(y_inter4-(slope*LN(S29)))</f>
        <v>6.8645695997337883</v>
      </c>
      <c r="U29" s="201">
        <f ca="1">(+S29*T29/100)/100</f>
        <v>0.16936231029775201</v>
      </c>
      <c r="V29" s="201">
        <f>regDebt_weighted</f>
        <v>3.5860000000000003E-2</v>
      </c>
      <c r="W29" s="201">
        <f ca="1">+U29-V29</f>
        <v>0.133502310297752</v>
      </c>
      <c r="X29" s="201">
        <f ca="1">+((W29*(1-0.34))-Pfd_weighted)/Equity_percent</f>
        <v>0.23814396743173347</v>
      </c>
      <c r="Y29" s="201">
        <f>+Y28</f>
        <v>2.5000000000000001E-3</v>
      </c>
      <c r="Z29" s="201">
        <f ca="1">+X29+Y29</f>
        <v>0.24064396743173347</v>
      </c>
      <c r="AA29" s="201">
        <f ca="1">Z29*equityP</f>
        <v>0.14438638045904006</v>
      </c>
      <c r="AB29" s="201">
        <f ca="1">+AA29/(1-taxrate)</f>
        <v>0.18276757020131654</v>
      </c>
      <c r="AC29" s="201">
        <f>debtP*Debt_Rate</f>
        <v>1.2716825048595141E-2</v>
      </c>
      <c r="AD29" s="201">
        <f ca="1">+AC29+AB29</f>
        <v>0.19548439524991168</v>
      </c>
      <c r="AE29" s="201">
        <f ca="1">+AD29/(S29/100)</f>
        <v>7.9233463129765744E-2</v>
      </c>
      <c r="AF29" s="201">
        <f ca="1">1-AE29</f>
        <v>0.92076653687023424</v>
      </c>
      <c r="AG29" s="202">
        <f ca="1">expenses/(AF29)</f>
        <v>1868355.6334756592</v>
      </c>
      <c r="AH29" s="203">
        <f ca="1">+AG29-Revenue</f>
        <v>22670.563657357357</v>
      </c>
      <c r="AI29" s="204">
        <f ca="1">+AH29/$J$49</f>
        <v>25227.911121232475</v>
      </c>
      <c r="AJ29" s="204">
        <f ca="1">+AI29*$J$47</f>
        <v>543.91968491447903</v>
      </c>
      <c r="AK29" s="202">
        <f ca="1">ROUND(+AJ29+AG29,5)</f>
        <v>1868899.5531599999</v>
      </c>
    </row>
    <row r="30" spans="1:37" ht="15.75">
      <c r="A30" s="151"/>
      <c r="B30" s="151"/>
      <c r="C30" s="151"/>
      <c r="D30" s="209"/>
      <c r="E30" s="151"/>
      <c r="F30" s="205">
        <f t="shared" si="0"/>
        <v>24</v>
      </c>
      <c r="G30" s="167"/>
      <c r="H30" s="167"/>
      <c r="I30" s="167"/>
      <c r="J30" s="268" t="s">
        <v>521</v>
      </c>
      <c r="K30" s="268" t="s">
        <v>522</v>
      </c>
      <c r="L30" s="167"/>
      <c r="M30" s="167"/>
      <c r="N30" s="167"/>
      <c r="O30" s="151"/>
      <c r="P30" s="151"/>
      <c r="R30" s="170" t="s">
        <v>523</v>
      </c>
      <c r="W30" s="259"/>
      <c r="X30" s="260"/>
      <c r="Z30" s="260"/>
      <c r="AA30" s="261"/>
      <c r="AB30" s="261"/>
      <c r="AC30" s="260"/>
      <c r="AE30" s="260"/>
      <c r="AF30" s="260"/>
      <c r="AG30" s="261"/>
      <c r="AH30" s="259"/>
      <c r="AJ30" s="261"/>
    </row>
    <row r="31" spans="1:37" ht="15.75">
      <c r="A31" s="151"/>
      <c r="B31" s="151"/>
      <c r="C31" s="151"/>
      <c r="D31" s="209"/>
      <c r="E31" s="151"/>
      <c r="F31" s="205">
        <f t="shared" si="0"/>
        <v>25</v>
      </c>
      <c r="G31" s="167"/>
      <c r="H31" s="269" t="s">
        <v>524</v>
      </c>
      <c r="I31" s="270"/>
      <c r="J31" s="271" t="s">
        <v>525</v>
      </c>
      <c r="K31" s="271" t="s">
        <v>525</v>
      </c>
      <c r="L31" s="1277"/>
      <c r="M31" s="1277"/>
      <c r="N31" s="1277"/>
      <c r="O31" s="151"/>
      <c r="P31" s="151"/>
      <c r="R31" s="226">
        <v>1</v>
      </c>
      <c r="S31" s="227">
        <f ca="1">AK26/Investment*100</f>
        <v>247.5247371836312</v>
      </c>
      <c r="T31" s="228">
        <f ca="1">EXP(y_inter1-(slope*LN(+S31)))</f>
        <v>7.0607099025230093</v>
      </c>
      <c r="U31" s="229">
        <f ca="1">(+S31*T31/100)/100</f>
        <v>0.17477003629518703</v>
      </c>
      <c r="V31" s="229">
        <f>regDebt_weighted</f>
        <v>3.5860000000000003E-2</v>
      </c>
      <c r="W31" s="229">
        <f ca="1">+U31-V31</f>
        <v>0.13891003629518703</v>
      </c>
      <c r="X31" s="229">
        <f ca="1">+((W31*(1-0.34))-Pfd_weighted)/Equity_percent</f>
        <v>0.24851925568262628</v>
      </c>
      <c r="Y31" s="229">
        <f>+Y29</f>
        <v>2.5000000000000001E-3</v>
      </c>
      <c r="Z31" s="229">
        <f ca="1">+X31+Y31</f>
        <v>0.25101925568262629</v>
      </c>
      <c r="AA31" s="229">
        <f ca="1">Z31*equityP</f>
        <v>0.15061155340957577</v>
      </c>
      <c r="AB31" s="229">
        <f ca="1">+AA31/(1-taxrate)</f>
        <v>0.19064753596148831</v>
      </c>
      <c r="AC31" s="229">
        <f>debtP*Debt_Rate</f>
        <v>1.2716825048595141E-2</v>
      </c>
      <c r="AD31" s="229">
        <f ca="1">+AC31+AB31</f>
        <v>0.20336436101008346</v>
      </c>
      <c r="AE31" s="229">
        <f ca="1">+AD31/(S31/100)</f>
        <v>8.215920692371588E-2</v>
      </c>
      <c r="AF31" s="229">
        <f ca="1">1-AE31</f>
        <v>0.91784079307628408</v>
      </c>
      <c r="AG31" s="230">
        <f ca="1">expenses/(AF31)</f>
        <v>1874311.2740843231</v>
      </c>
      <c r="AH31" s="231">
        <f ca="1">+AG31-Revenue</f>
        <v>28626.204266021261</v>
      </c>
      <c r="AI31" s="232">
        <f ca="1">+AH31/$J$49</f>
        <v>31855.376331900727</v>
      </c>
      <c r="AJ31" s="232">
        <f ca="1">+AI31*$J$47</f>
        <v>686.80939036196833</v>
      </c>
      <c r="AK31" s="230">
        <f ca="1">ROUND(+AJ31+AG31,5)</f>
        <v>1874998.08347</v>
      </c>
    </row>
    <row r="32" spans="1:37" ht="15.75">
      <c r="A32" s="151"/>
      <c r="B32" s="151"/>
      <c r="C32" s="151"/>
      <c r="D32" s="272"/>
      <c r="E32" s="151"/>
      <c r="F32" s="205">
        <f t="shared" si="0"/>
        <v>26</v>
      </c>
      <c r="G32" s="167"/>
      <c r="H32" s="178"/>
      <c r="I32" s="178"/>
      <c r="J32" s="178"/>
      <c r="K32" s="178"/>
      <c r="L32" s="167"/>
      <c r="M32" s="167"/>
      <c r="N32" s="167"/>
      <c r="O32" s="151"/>
      <c r="P32" s="151"/>
      <c r="R32" s="198">
        <v>2</v>
      </c>
      <c r="S32" s="199">
        <f ca="1">AK27/Investment*100</f>
        <v>247.14199802201682</v>
      </c>
      <c r="T32" s="214">
        <f ca="1">EXP(y_inter2-(slope*LN(+S32)))</f>
        <v>6.9676189562983994</v>
      </c>
      <c r="U32" s="201">
        <f ca="1">(+S32*T32/100)/100</f>
        <v>0.17219912703156659</v>
      </c>
      <c r="V32" s="201">
        <f>regDebt_weighted</f>
        <v>3.5860000000000003E-2</v>
      </c>
      <c r="W32" s="201">
        <f ca="1">+U32-V32</f>
        <v>0.13633912703156659</v>
      </c>
      <c r="X32" s="201">
        <f ca="1">+((W32*(1-0.34))-Pfd_weighted)/Equity_percent</f>
        <v>0.24358669721172657</v>
      </c>
      <c r="Y32" s="201">
        <f>+Y31</f>
        <v>2.5000000000000001E-3</v>
      </c>
      <c r="Z32" s="201">
        <f ca="1">+X32+Y32</f>
        <v>0.24608669721172657</v>
      </c>
      <c r="AA32" s="201">
        <f ca="1">Z32*equityP</f>
        <v>0.14765201832703595</v>
      </c>
      <c r="AB32" s="201">
        <f ca="1">+AA32/(1-taxrate)</f>
        <v>0.1869012890215645</v>
      </c>
      <c r="AC32" s="201">
        <f>debtP*Debt_Rate</f>
        <v>1.2716825048595141E-2</v>
      </c>
      <c r="AD32" s="201">
        <f ca="1">+AC32+AB32</f>
        <v>0.19961811407015964</v>
      </c>
      <c r="AE32" s="201">
        <f ca="1">+AD32/(S32/100)</f>
        <v>8.0770615948640392E-2</v>
      </c>
      <c r="AF32" s="201">
        <f ca="1">1-AE32</f>
        <v>0.91922938405135957</v>
      </c>
      <c r="AG32" s="202">
        <f ca="1">expenses/(AF32)</f>
        <v>1871479.9332189942</v>
      </c>
      <c r="AH32" s="203">
        <f ca="1">+AG32-Revenue</f>
        <v>25794.863400692353</v>
      </c>
      <c r="AI32" s="204">
        <f ca="1">+AH32/$J$49</f>
        <v>28704.646743346799</v>
      </c>
      <c r="AJ32" s="204">
        <f ca="1">+AI32*$J$47</f>
        <v>618.8789209377818</v>
      </c>
      <c r="AK32" s="202">
        <f ca="1">ROUND(+AJ32+AG32,5)</f>
        <v>1872098.8121400001</v>
      </c>
    </row>
    <row r="33" spans="1:48" ht="15.75">
      <c r="A33" s="151"/>
      <c r="B33" s="151"/>
      <c r="C33" s="151"/>
      <c r="D33" s="151"/>
      <c r="E33" s="151"/>
      <c r="F33" s="205">
        <f t="shared" si="0"/>
        <v>27</v>
      </c>
      <c r="G33" s="167"/>
      <c r="H33" s="178" t="s">
        <v>526</v>
      </c>
      <c r="I33" s="178"/>
      <c r="J33" s="273">
        <f ca="1">+K9/J28</f>
        <v>0.19703734960021801</v>
      </c>
      <c r="K33" s="273">
        <f ca="1">+(M14+M11)/J28</f>
        <v>0.15833003944437721</v>
      </c>
      <c r="L33" s="195"/>
      <c r="M33" s="195"/>
      <c r="N33" s="196"/>
      <c r="O33" s="151"/>
      <c r="P33" s="151"/>
      <c r="R33" s="206">
        <v>3</v>
      </c>
      <c r="S33" s="199">
        <f ca="1">AK28/Investment*100</f>
        <v>246.88436686989741</v>
      </c>
      <c r="T33" s="200">
        <f ca="1">EXP(y_inter3-(slope*LN(S33)))</f>
        <v>6.9047985447998848</v>
      </c>
      <c r="U33" s="201">
        <f ca="1">(+S33*T33/100)/100</f>
        <v>0.17046868170971086</v>
      </c>
      <c r="V33" s="201">
        <f>regDebt_weighted</f>
        <v>3.5860000000000003E-2</v>
      </c>
      <c r="W33" s="201">
        <f ca="1">+U33-V33</f>
        <v>0.13460868170971085</v>
      </c>
      <c r="X33" s="201">
        <f ca="1">+((W33*(1-0.34))-Pfd_weighted)/Equity_percent</f>
        <v>0.24026665676863126</v>
      </c>
      <c r="Y33" s="201">
        <f>+Y32</f>
        <v>2.5000000000000001E-3</v>
      </c>
      <c r="Z33" s="201">
        <f ca="1">+X33+Y33</f>
        <v>0.24276665676863127</v>
      </c>
      <c r="AA33" s="201">
        <f ca="1">Z33*equityP</f>
        <v>0.14565999406117874</v>
      </c>
      <c r="AB33" s="201">
        <f ca="1">+AA33/(1-taxrate)</f>
        <v>0.18437973931794777</v>
      </c>
      <c r="AC33" s="201">
        <f>debtP*Debt_Rate</f>
        <v>1.2716825048595141E-2</v>
      </c>
      <c r="AD33" s="201">
        <f ca="1">+AC33+AB33</f>
        <v>0.19709656436654291</v>
      </c>
      <c r="AE33" s="201">
        <f ca="1">+AD33/(S33/100)</f>
        <v>7.9833554009682769E-2</v>
      </c>
      <c r="AF33" s="201">
        <f ca="1">1-AE33</f>
        <v>0.92016644599031727</v>
      </c>
      <c r="AG33" s="202">
        <f ca="1">expenses/(AF33)</f>
        <v>1869574.0903982909</v>
      </c>
      <c r="AH33" s="203">
        <f ca="1">+AG33-Revenue</f>
        <v>23889.020579989068</v>
      </c>
      <c r="AI33" s="204">
        <f ca="1">+AH33/$J$49</f>
        <v>26583.815783057122</v>
      </c>
      <c r="AJ33" s="204">
        <f ca="1">+AI33*$J$47</f>
        <v>573.15330766230272</v>
      </c>
      <c r="AK33" s="202">
        <f ca="1">ROUND(+AJ33+AG33,5)</f>
        <v>1870147.2437100001</v>
      </c>
    </row>
    <row r="34" spans="1:48" ht="15.75">
      <c r="A34" s="151"/>
      <c r="B34" s="151"/>
      <c r="C34" s="151"/>
      <c r="D34" s="151"/>
      <c r="E34" s="151"/>
      <c r="F34" s="205">
        <f t="shared" si="0"/>
        <v>28</v>
      </c>
      <c r="G34" s="167"/>
      <c r="H34" s="178" t="s">
        <v>527</v>
      </c>
      <c r="I34" s="178"/>
      <c r="J34" s="273">
        <f ca="1">+(M9-M11)/J26</f>
        <v>0.30720087425270476</v>
      </c>
      <c r="K34" s="273">
        <f ca="1">+M14/J26</f>
        <v>0.24268869065963677</v>
      </c>
      <c r="L34" s="195"/>
      <c r="M34" s="195"/>
      <c r="N34" s="196"/>
      <c r="O34" s="274"/>
      <c r="P34" s="151"/>
      <c r="R34" s="211">
        <v>4</v>
      </c>
      <c r="S34" s="199">
        <f ca="1">AK29/Investment*100</f>
        <v>246.71964776263837</v>
      </c>
      <c r="T34" s="218">
        <f ca="1">EXP(y_inter4-(slope*LN(S34)))</f>
        <v>6.8645665773299642</v>
      </c>
      <c r="U34" s="201">
        <f ca="1">(+S34*T34/100)/100</f>
        <v>0.1693623448002029</v>
      </c>
      <c r="V34" s="201">
        <f>regDebt_weighted</f>
        <v>3.5860000000000003E-2</v>
      </c>
      <c r="W34" s="201">
        <f ca="1">+U34-V34</f>
        <v>0.1335023448002029</v>
      </c>
      <c r="X34" s="201">
        <f ca="1">+((W34*(1-0.34))-Pfd_weighted)/Equity_percent</f>
        <v>0.23814403362829623</v>
      </c>
      <c r="Y34" s="201">
        <f>+Y33</f>
        <v>2.5000000000000001E-3</v>
      </c>
      <c r="Z34" s="201">
        <f ca="1">+X34+Y34</f>
        <v>0.24064403362829623</v>
      </c>
      <c r="AA34" s="201">
        <f ca="1">Z34*equityP</f>
        <v>0.14438642017697773</v>
      </c>
      <c r="AB34" s="201">
        <f ca="1">+AA34/(1-taxrate)</f>
        <v>0.18276762047718698</v>
      </c>
      <c r="AC34" s="201">
        <f>debtP*Debt_Rate</f>
        <v>1.2716825048595141E-2</v>
      </c>
      <c r="AD34" s="201">
        <f ca="1">+AC34+AB34</f>
        <v>0.19548444552578212</v>
      </c>
      <c r="AE34" s="201">
        <f ca="1">+AD34/(S34/100)</f>
        <v>7.9233432480355956E-2</v>
      </c>
      <c r="AF34" s="201">
        <f ca="1">1-AE34</f>
        <v>0.92076656751964403</v>
      </c>
      <c r="AG34" s="202">
        <f ca="1">expenses/(AF34)</f>
        <v>1868355.5712840036</v>
      </c>
      <c r="AH34" s="203">
        <f ca="1">+AG34-Revenue</f>
        <v>22670.501465701731</v>
      </c>
      <c r="AI34" s="204">
        <f ca="1">+AH34/$J$49</f>
        <v>25227.841914062141</v>
      </c>
      <c r="AJ34" s="204">
        <f ca="1">+AI34*$J$47</f>
        <v>543.91819279164338</v>
      </c>
      <c r="AK34" s="202">
        <f ca="1">ROUND(+AJ34+AG34,5)</f>
        <v>1868899.48948</v>
      </c>
    </row>
    <row r="35" spans="1:48" ht="15.75">
      <c r="A35" s="151"/>
      <c r="B35" s="151"/>
      <c r="C35" s="209"/>
      <c r="D35" s="151"/>
      <c r="E35" s="151"/>
      <c r="F35" s="205">
        <f t="shared" si="0"/>
        <v>29</v>
      </c>
      <c r="G35" s="167"/>
      <c r="H35" s="275" t="s">
        <v>172</v>
      </c>
      <c r="I35" s="178"/>
      <c r="J35" s="273">
        <f ca="1">+K8/K7</f>
        <v>0.92016600000000004</v>
      </c>
      <c r="K35" s="273">
        <f ca="1">+M8/M7</f>
        <v>0.92019046803815296</v>
      </c>
      <c r="L35" s="195"/>
      <c r="M35" s="195"/>
      <c r="N35" s="196"/>
      <c r="O35" s="151"/>
      <c r="P35" s="151"/>
      <c r="R35" s="170" t="s">
        <v>528</v>
      </c>
      <c r="X35" s="260"/>
      <c r="Y35" s="260"/>
      <c r="Z35" s="260"/>
      <c r="AA35" s="276"/>
      <c r="AB35" s="261"/>
      <c r="AC35" s="260"/>
      <c r="AE35" s="260"/>
      <c r="AF35" s="260"/>
      <c r="AG35" s="261"/>
      <c r="AH35" s="259"/>
      <c r="AJ35" s="261"/>
    </row>
    <row r="36" spans="1:48" ht="15.75">
      <c r="A36" s="151"/>
      <c r="B36" s="151"/>
      <c r="C36" s="151"/>
      <c r="D36" s="151"/>
      <c r="E36" s="151"/>
      <c r="F36" s="205">
        <f t="shared" si="0"/>
        <v>30</v>
      </c>
      <c r="G36" s="167"/>
      <c r="H36" s="178" t="s">
        <v>529</v>
      </c>
      <c r="I36" s="178"/>
      <c r="J36" s="273">
        <f ca="1">+K9/K7</f>
        <v>7.9833999999999988E-2</v>
      </c>
      <c r="K36" s="273">
        <f ca="1">+J36</f>
        <v>7.9833999999999988E-2</v>
      </c>
      <c r="L36" s="167"/>
      <c r="M36" s="167"/>
      <c r="N36" s="196"/>
      <c r="O36" s="151"/>
      <c r="P36" s="151"/>
      <c r="R36" s="226">
        <v>1</v>
      </c>
      <c r="S36" s="227">
        <f ca="1">AK31/Investment*100</f>
        <v>247.5247350384146</v>
      </c>
      <c r="T36" s="228">
        <f ca="1">EXP(y_inter1-(slope*LN(+S36)))</f>
        <v>7.0607099443587451</v>
      </c>
      <c r="U36" s="229">
        <f ca="1">(+S36*T36/100)/100</f>
        <v>0.17477003581604975</v>
      </c>
      <c r="V36" s="229">
        <f>regDebt_weighted</f>
        <v>3.5860000000000003E-2</v>
      </c>
      <c r="W36" s="229">
        <f ca="1">+U36-V36</f>
        <v>0.13891003581604974</v>
      </c>
      <c r="X36" s="229">
        <f ca="1">+((W36*(1-0.34))-Pfd_weighted)/Equity_percent</f>
        <v>0.24851925476335124</v>
      </c>
      <c r="Y36" s="229">
        <f>+Y34</f>
        <v>2.5000000000000001E-3</v>
      </c>
      <c r="Z36" s="229">
        <f ca="1">+X36+Y36</f>
        <v>0.25101925476335124</v>
      </c>
      <c r="AA36" s="229">
        <f ca="1">Z36*equityP</f>
        <v>0.15061155285801073</v>
      </c>
      <c r="AB36" s="229">
        <f ca="1">+AA36/(1-taxrate)</f>
        <v>0.19064753526330472</v>
      </c>
      <c r="AC36" s="229">
        <f>debtP*Debt_Rate</f>
        <v>1.2716825048595141E-2</v>
      </c>
      <c r="AD36" s="229">
        <f ca="1">+AC36+AB36</f>
        <v>0.20336436031189986</v>
      </c>
      <c r="AE36" s="229">
        <f ca="1">+AD36/(S36/100)</f>
        <v>8.2159207353696889E-2</v>
      </c>
      <c r="AF36" s="229">
        <f ca="1">1-AE36</f>
        <v>0.91784079264630314</v>
      </c>
      <c r="AG36" s="230">
        <f ca="1">expenses/(AF36)</f>
        <v>1874311.2749623817</v>
      </c>
      <c r="AH36" s="231">
        <f ca="1">+AG36-Revenue</f>
        <v>28626.205144079868</v>
      </c>
      <c r="AI36" s="232">
        <f ca="1">+AH36/$J$49</f>
        <v>31855.377309008523</v>
      </c>
      <c r="AJ36" s="232">
        <f ca="1">+AI36*$J$47</f>
        <v>686.80941142864174</v>
      </c>
      <c r="AK36" s="230">
        <f ca="1">ROUND(+AJ36+AG36,5)</f>
        <v>1874998.0843700001</v>
      </c>
    </row>
    <row r="37" spans="1:48" ht="15.75">
      <c r="A37" s="151"/>
      <c r="B37" s="151"/>
      <c r="C37" s="151"/>
      <c r="D37" s="181"/>
      <c r="E37" s="151"/>
      <c r="F37" s="205">
        <f t="shared" si="0"/>
        <v>31</v>
      </c>
      <c r="G37" s="167"/>
      <c r="H37" s="178" t="s">
        <v>530</v>
      </c>
      <c r="I37" s="277"/>
      <c r="J37" s="278">
        <f ca="1">+S39/100</f>
        <v>2.4671963935602976</v>
      </c>
      <c r="K37" s="278">
        <f ca="1">+J37</f>
        <v>2.4671963935602976</v>
      </c>
      <c r="L37" s="167"/>
      <c r="M37" s="167"/>
      <c r="N37" s="167"/>
      <c r="O37" s="151"/>
      <c r="P37" s="151"/>
      <c r="R37" s="198">
        <v>2</v>
      </c>
      <c r="S37" s="199">
        <f ca="1">AK32/Investment*100</f>
        <v>247.14199258438788</v>
      </c>
      <c r="T37" s="214">
        <f ca="1">EXP(y_inter2-(slope*LN(+S37)))</f>
        <v>6.9676190611062809</v>
      </c>
      <c r="U37" s="201">
        <f ca="1">(+S37*T37/100)/100</f>
        <v>0.17219912583307678</v>
      </c>
      <c r="V37" s="201">
        <f>regDebt_weighted</f>
        <v>3.5860000000000003E-2</v>
      </c>
      <c r="W37" s="201">
        <f ca="1">+U37-V37</f>
        <v>0.13633912583307678</v>
      </c>
      <c r="X37" s="201">
        <f ca="1">+((W37*(1-0.34))-Pfd_weighted)/Equity_percent</f>
        <v>0.24358669491229845</v>
      </c>
      <c r="Y37" s="201">
        <f>+Y36</f>
        <v>2.5000000000000001E-3</v>
      </c>
      <c r="Z37" s="201">
        <f ca="1">+X37+Y37</f>
        <v>0.24608669491229845</v>
      </c>
      <c r="AA37" s="201">
        <f ca="1">Z37*equityP</f>
        <v>0.14765201694737906</v>
      </c>
      <c r="AB37" s="201">
        <f ca="1">+AA37/(1-taxrate)</f>
        <v>0.18690128727516336</v>
      </c>
      <c r="AC37" s="201">
        <f>debtP*Debt_Rate</f>
        <v>1.2716825048595141E-2</v>
      </c>
      <c r="AD37" s="201">
        <f ca="1">+AC37+AB37</f>
        <v>0.19961811232375851</v>
      </c>
      <c r="AE37" s="201">
        <f ca="1">+AD37/(S37/100)</f>
        <v>8.077061701912025E-2</v>
      </c>
      <c r="AF37" s="201">
        <f ca="1">1-AE37</f>
        <v>0.91922938298087975</v>
      </c>
      <c r="AG37" s="202">
        <f ca="1">expenses/(AF37)</f>
        <v>1871479.9353984082</v>
      </c>
      <c r="AH37" s="203">
        <f ca="1">+AG37-Revenue</f>
        <v>25794.865580106387</v>
      </c>
      <c r="AI37" s="204">
        <f ca="1">+AH37/$J$49</f>
        <v>28704.649168609107</v>
      </c>
      <c r="AJ37" s="204">
        <f ca="1">+AI37*$J$47</f>
        <v>618.87897322700633</v>
      </c>
      <c r="AK37" s="202">
        <f ca="1">ROUND(+AJ37+AG37,5)</f>
        <v>1872098.81437</v>
      </c>
    </row>
    <row r="38" spans="1:48" ht="15.75">
      <c r="A38" s="151"/>
      <c r="B38" s="151"/>
      <c r="C38" s="151"/>
      <c r="D38" s="181"/>
      <c r="E38" s="151"/>
      <c r="F38" s="205">
        <f t="shared" si="0"/>
        <v>32</v>
      </c>
      <c r="G38" s="167"/>
      <c r="H38" s="178" t="s">
        <v>362</v>
      </c>
      <c r="I38" s="167"/>
      <c r="J38" s="273">
        <f>+C10</f>
        <v>0.21</v>
      </c>
      <c r="K38" s="273">
        <f>+J38</f>
        <v>0.21</v>
      </c>
      <c r="L38" s="167"/>
      <c r="M38" s="167"/>
      <c r="N38" s="167"/>
      <c r="O38" s="151"/>
      <c r="P38" s="151"/>
      <c r="Q38" s="279"/>
      <c r="R38" s="206">
        <v>3</v>
      </c>
      <c r="S38" s="199">
        <f ca="1">AK33/Investment*100</f>
        <v>246.88435954315776</v>
      </c>
      <c r="T38" s="200">
        <f ca="1">EXP(y_inter3-(slope*LN(S38)))</f>
        <v>6.9047986848923273</v>
      </c>
      <c r="U38" s="201">
        <f ca="1">(+S38*T38/100)/100</f>
        <v>0.17046868010940802</v>
      </c>
      <c r="V38" s="201">
        <f>regDebt_weighted</f>
        <v>3.5860000000000003E-2</v>
      </c>
      <c r="W38" s="201">
        <f ca="1">+U38-V38</f>
        <v>0.13460868010940802</v>
      </c>
      <c r="X38" s="201">
        <f ca="1">+((W38*(1-0.34))-Pfd_weighted)/Equity_percent</f>
        <v>0.24026665369828282</v>
      </c>
      <c r="Y38" s="201">
        <f>+Y37</f>
        <v>2.5000000000000001E-3</v>
      </c>
      <c r="Z38" s="201">
        <f ca="1">+X38+Y38</f>
        <v>0.24276665369828282</v>
      </c>
      <c r="AA38" s="201">
        <f ca="1">Z38*equityP</f>
        <v>0.14565999221896969</v>
      </c>
      <c r="AB38" s="201">
        <f ca="1">+AA38/(1-taxrate)</f>
        <v>0.18437973698603757</v>
      </c>
      <c r="AC38" s="201">
        <f>debtP*Debt_Rate</f>
        <v>1.2716825048595141E-2</v>
      </c>
      <c r="AD38" s="201">
        <f ca="1">+AC38+AB38</f>
        <v>0.19709656203463272</v>
      </c>
      <c r="AE38" s="201">
        <f ca="1">+AD38/(S38/100)</f>
        <v>7.9833555434352388E-2</v>
      </c>
      <c r="AF38" s="201">
        <f ca="1">1-AE38</f>
        <v>0.92016644456564767</v>
      </c>
      <c r="AG38" s="202">
        <f ca="1">expenses/(AF38)</f>
        <v>1869574.0932929034</v>
      </c>
      <c r="AH38" s="203">
        <f ca="1">+AG38-Revenue</f>
        <v>23889.023474601563</v>
      </c>
      <c r="AI38" s="204">
        <f ca="1">+AH38/$J$49</f>
        <v>26583.81900419568</v>
      </c>
      <c r="AJ38" s="204">
        <f ca="1">+AI38*$J$47</f>
        <v>573.1533771108061</v>
      </c>
      <c r="AK38" s="202">
        <f ca="1">ROUND(+AJ38+AG38,5)</f>
        <v>1870147.24667</v>
      </c>
    </row>
    <row r="39" spans="1:48" ht="15.75">
      <c r="A39" s="151"/>
      <c r="B39" s="151"/>
      <c r="C39" s="151"/>
      <c r="D39" s="272"/>
      <c r="E39" s="151"/>
      <c r="F39" s="205">
        <f t="shared" si="0"/>
        <v>33</v>
      </c>
      <c r="G39" s="167"/>
      <c r="H39" s="167"/>
      <c r="I39" s="167"/>
      <c r="J39" s="167"/>
      <c r="K39" s="167"/>
      <c r="L39" s="167"/>
      <c r="M39" s="167"/>
      <c r="N39" s="167"/>
      <c r="O39" s="151"/>
      <c r="P39" s="151"/>
      <c r="R39" s="211">
        <v>4</v>
      </c>
      <c r="S39" s="199">
        <f ca="1">AK34/Investment*100</f>
        <v>246.71963935602977</v>
      </c>
      <c r="T39" s="218">
        <f ca="1">EXP(y_inter4-(slope*LN(S39)))</f>
        <v>6.864566737240378</v>
      </c>
      <c r="U39" s="201">
        <f ca="1">(+S39*T39/100)/100</f>
        <v>0.1693623429747344</v>
      </c>
      <c r="V39" s="201">
        <f>regDebt_weighted</f>
        <v>3.5860000000000003E-2</v>
      </c>
      <c r="W39" s="201">
        <f ca="1">+U39-V39</f>
        <v>0.1335023429747344</v>
      </c>
      <c r="X39" s="201">
        <f ca="1">+((W39*(1-0.34))-Pfd_weighted)/Equity_percent</f>
        <v>0.23814403012594387</v>
      </c>
      <c r="Y39" s="201">
        <f>+Y38</f>
        <v>2.5000000000000001E-3</v>
      </c>
      <c r="Z39" s="201">
        <f ca="1">+X39+Y39</f>
        <v>0.24064403012594388</v>
      </c>
      <c r="AA39" s="201">
        <f ca="1">Z39*equityP</f>
        <v>0.14438641807556632</v>
      </c>
      <c r="AB39" s="201">
        <f ca="1">+AA39/(1-taxrate)</f>
        <v>0.18276761781717255</v>
      </c>
      <c r="AC39" s="201">
        <f>debtP*Debt_Rate</f>
        <v>1.2716825048595141E-2</v>
      </c>
      <c r="AD39" s="201">
        <f ca="1">+AC39+AB39</f>
        <v>0.19548444286576769</v>
      </c>
      <c r="AE39" s="201">
        <f ca="1">+AD39/(S39/100)</f>
        <v>7.9233434101965872E-2</v>
      </c>
      <c r="AF39" s="201">
        <f ca="1">1-AE39</f>
        <v>0.92076656589803418</v>
      </c>
      <c r="AG39" s="202">
        <f ca="1">expenses/(AF39)</f>
        <v>1868355.5745744614</v>
      </c>
      <c r="AH39" s="203">
        <f ca="1">+AG39-Revenue</f>
        <v>22670.504756159615</v>
      </c>
      <c r="AI39" s="204">
        <f ca="1">+AH39/$J$49</f>
        <v>25227.845575699332</v>
      </c>
      <c r="AJ39" s="204">
        <f ca="1">+AI39*$J$47</f>
        <v>543.91827173740057</v>
      </c>
      <c r="AK39" s="202">
        <f ca="1">ROUND(+AJ39+AG39,5)</f>
        <v>1868899.49285</v>
      </c>
    </row>
    <row r="40" spans="1:48" ht="15.75">
      <c r="A40" s="151"/>
      <c r="B40" s="151"/>
      <c r="C40" s="151"/>
      <c r="D40" s="151"/>
      <c r="E40" s="151"/>
      <c r="F40" s="205">
        <f t="shared" si="0"/>
        <v>34</v>
      </c>
      <c r="G40" s="277"/>
      <c r="H40" s="167"/>
      <c r="I40" s="167"/>
      <c r="J40" s="167"/>
      <c r="K40" s="167"/>
      <c r="L40" s="167"/>
      <c r="M40" s="167"/>
      <c r="N40" s="167"/>
      <c r="O40" s="151"/>
      <c r="P40" s="151"/>
      <c r="X40" s="260"/>
      <c r="Y40" s="260"/>
      <c r="Z40" s="260"/>
      <c r="AA40" s="276"/>
      <c r="AB40" s="261"/>
      <c r="AC40" s="260"/>
      <c r="AE40" s="260"/>
      <c r="AF40" s="260"/>
      <c r="AG40" s="261"/>
      <c r="AH40" s="259"/>
      <c r="AJ40" s="261"/>
    </row>
    <row r="41" spans="1:48" ht="15.75">
      <c r="A41" s="151"/>
      <c r="B41" s="151"/>
      <c r="C41" s="151"/>
      <c r="D41" s="151"/>
      <c r="E41" s="151"/>
      <c r="F41" s="205">
        <f t="shared" si="0"/>
        <v>35</v>
      </c>
      <c r="G41" s="167"/>
      <c r="H41" s="269" t="s">
        <v>531</v>
      </c>
      <c r="I41" s="280"/>
      <c r="J41" s="167"/>
      <c r="K41" s="167"/>
      <c r="L41" s="167"/>
      <c r="M41" s="167"/>
      <c r="N41" s="167"/>
      <c r="O41" s="151"/>
      <c r="P41" s="151"/>
      <c r="R41" s="281" t="s">
        <v>532</v>
      </c>
      <c r="S41" s="282"/>
      <c r="T41" s="236"/>
      <c r="U41" s="236"/>
      <c r="V41" s="237"/>
      <c r="X41" s="283"/>
      <c r="Y41" s="283"/>
      <c r="Z41" s="283"/>
      <c r="AA41" s="276"/>
      <c r="AB41" s="261"/>
      <c r="AC41" s="260"/>
      <c r="AE41" s="260"/>
      <c r="AF41" s="260"/>
      <c r="AG41" s="261"/>
      <c r="AH41" s="259"/>
      <c r="AJ41" s="261"/>
    </row>
    <row r="42" spans="1:48" ht="15.75">
      <c r="A42" s="151"/>
      <c r="B42" s="151"/>
      <c r="C42" s="151"/>
      <c r="D42" s="151"/>
      <c r="E42" s="151"/>
      <c r="F42" s="205">
        <f t="shared" si="0"/>
        <v>36</v>
      </c>
      <c r="G42" s="167"/>
      <c r="H42" s="167"/>
      <c r="I42" s="167"/>
      <c r="J42" s="284" t="s">
        <v>533</v>
      </c>
      <c r="K42" s="285" t="s">
        <v>283</v>
      </c>
      <c r="L42" s="167"/>
      <c r="M42" s="167"/>
      <c r="N42" s="167"/>
      <c r="O42" s="151"/>
      <c r="P42" s="151"/>
      <c r="R42" s="286" t="s">
        <v>534</v>
      </c>
      <c r="S42" s="287"/>
      <c r="T42" s="246"/>
      <c r="U42" s="246"/>
      <c r="V42" s="288"/>
      <c r="X42" s="260"/>
      <c r="Y42" s="260"/>
      <c r="Z42" s="260"/>
      <c r="AA42" s="276"/>
      <c r="AB42" s="261"/>
      <c r="AC42" s="260"/>
      <c r="AE42" s="260"/>
      <c r="AF42" s="260"/>
      <c r="AG42" s="261"/>
      <c r="AJ42" s="261"/>
    </row>
    <row r="43" spans="1:48" ht="15.75">
      <c r="A43" s="151"/>
      <c r="B43" s="151"/>
      <c r="C43" s="151"/>
      <c r="D43" s="151"/>
      <c r="E43" s="151"/>
      <c r="F43" s="205">
        <f t="shared" si="0"/>
        <v>37</v>
      </c>
      <c r="G43" s="167"/>
      <c r="H43" s="178" t="s">
        <v>360</v>
      </c>
      <c r="I43" s="289"/>
      <c r="J43" s="290">
        <f>IF(A64=TRUE,C11,0)</f>
        <v>1.4999999999999999E-2</v>
      </c>
      <c r="K43" s="291">
        <f ca="1">+J43*($J$7/$J$49)</f>
        <v>398.77236233020727</v>
      </c>
      <c r="L43" s="167"/>
      <c r="M43" s="167"/>
      <c r="N43" s="167"/>
      <c r="O43" s="151"/>
      <c r="P43" s="151"/>
      <c r="R43" s="206">
        <v>0</v>
      </c>
      <c r="S43" s="292">
        <v>1</v>
      </c>
      <c r="T43" s="246"/>
      <c r="U43" s="293" t="s">
        <v>529</v>
      </c>
      <c r="V43" s="294">
        <f ca="1">VLOOKUP(R48,R36:AG39,14)</f>
        <v>7.9833555434352388E-2</v>
      </c>
      <c r="AC43" s="260"/>
      <c r="AE43" s="260"/>
      <c r="AJ43" s="261"/>
      <c r="AN43" s="260"/>
      <c r="AO43" s="260"/>
      <c r="AP43" s="260"/>
      <c r="AQ43" s="260"/>
      <c r="AR43" s="260"/>
      <c r="AS43" s="260"/>
      <c r="AT43" s="260"/>
      <c r="AU43" s="260"/>
      <c r="AV43" s="260"/>
    </row>
    <row r="44" spans="1:48" ht="15.75">
      <c r="A44" s="151"/>
      <c r="B44" s="151"/>
      <c r="C44" s="151"/>
      <c r="D44" s="151"/>
      <c r="E44" s="151"/>
      <c r="F44" s="205">
        <f t="shared" si="0"/>
        <v>38</v>
      </c>
      <c r="G44" s="167"/>
      <c r="H44" s="178" t="s">
        <v>361</v>
      </c>
      <c r="I44" s="289"/>
      <c r="J44" s="290">
        <f>IF(A64=TRUE,C12,0)</f>
        <v>5.1000000000000004E-3</v>
      </c>
      <c r="K44" s="291">
        <f ca="1">+J44*($J$7/$J$49)</f>
        <v>135.58260319227048</v>
      </c>
      <c r="L44" s="167"/>
      <c r="M44" s="167"/>
      <c r="N44" s="167"/>
      <c r="O44" s="151"/>
      <c r="P44" s="151"/>
      <c r="R44" s="206">
        <v>50</v>
      </c>
      <c r="S44" s="292">
        <v>2</v>
      </c>
      <c r="T44" s="246"/>
      <c r="U44" s="293" t="s">
        <v>172</v>
      </c>
      <c r="V44" s="294">
        <f ca="1">ROUND(1-V43,6)</f>
        <v>0.92016600000000004</v>
      </c>
      <c r="AA44" s="295"/>
      <c r="AB44" s="170"/>
      <c r="AC44" s="170"/>
      <c r="AE44" s="260"/>
      <c r="AH44" s="259"/>
      <c r="AJ44" s="261"/>
      <c r="AN44" s="260"/>
      <c r="AO44" s="260"/>
      <c r="AP44" s="260"/>
      <c r="AQ44" s="260"/>
      <c r="AR44" s="260"/>
      <c r="AS44" s="260"/>
      <c r="AT44" s="260"/>
      <c r="AU44" s="260"/>
      <c r="AV44" s="260"/>
    </row>
    <row r="45" spans="1:48" ht="15.75">
      <c r="A45" s="151"/>
      <c r="B45" s="151"/>
      <c r="C45" s="151"/>
      <c r="D45" s="151"/>
      <c r="E45" s="151"/>
      <c r="F45" s="205">
        <f t="shared" si="0"/>
        <v>39</v>
      </c>
      <c r="G45" s="167"/>
      <c r="H45" s="178" t="s">
        <v>535</v>
      </c>
      <c r="I45" s="289"/>
      <c r="J45" s="290">
        <f>IF(A64=TRUE,C13,0)</f>
        <v>0</v>
      </c>
      <c r="K45" s="291">
        <f ca="1">+J45*($J$7/$J$49)</f>
        <v>0</v>
      </c>
      <c r="L45" s="167"/>
      <c r="M45" s="167"/>
      <c r="N45" s="167"/>
      <c r="O45" s="151"/>
      <c r="P45" s="151"/>
      <c r="R45" s="206">
        <v>125</v>
      </c>
      <c r="S45" s="292">
        <v>3</v>
      </c>
      <c r="T45" s="246"/>
      <c r="U45" s="246" t="s">
        <v>536</v>
      </c>
      <c r="V45" s="296">
        <f ca="1">+M7/Revenue-1</f>
        <v>1.3254212315121139E-2</v>
      </c>
      <c r="W45" s="297"/>
      <c r="X45" s="260"/>
      <c r="Y45" s="260"/>
      <c r="Z45" s="260"/>
      <c r="AA45" s="295"/>
      <c r="AB45" s="261"/>
      <c r="AC45" s="260"/>
      <c r="AE45" s="260"/>
      <c r="AF45" s="260"/>
      <c r="AG45" s="261"/>
      <c r="AH45" s="259"/>
      <c r="AJ45" s="261"/>
      <c r="AN45" s="260"/>
      <c r="AO45" s="260"/>
      <c r="AP45" s="260"/>
      <c r="AQ45" s="260"/>
      <c r="AR45" s="260"/>
      <c r="AS45" s="260"/>
      <c r="AT45" s="260"/>
      <c r="AU45" s="260"/>
      <c r="AV45" s="260"/>
    </row>
    <row r="46" spans="1:48" ht="15.75">
      <c r="A46" s="151"/>
      <c r="B46" s="151"/>
      <c r="C46" s="151"/>
      <c r="D46" s="151"/>
      <c r="E46" s="151"/>
      <c r="F46" s="205">
        <f t="shared" si="0"/>
        <v>40</v>
      </c>
      <c r="G46" s="167"/>
      <c r="H46" s="178" t="s">
        <v>363</v>
      </c>
      <c r="I46" s="289"/>
      <c r="J46" s="290">
        <f>IF(A64=TRUE,C14,0)</f>
        <v>1.4602347059444768E-3</v>
      </c>
      <c r="K46" s="291">
        <f ca="1">+J46*($J$7/$J$49)</f>
        <v>38.820082883068977</v>
      </c>
      <c r="L46" s="167"/>
      <c r="M46" s="167"/>
      <c r="N46" s="167"/>
      <c r="O46" s="151"/>
      <c r="P46" s="151"/>
      <c r="R46" s="211">
        <v>401</v>
      </c>
      <c r="S46" s="298">
        <v>4</v>
      </c>
      <c r="T46" s="249"/>
      <c r="U46" s="249"/>
      <c r="V46" s="250"/>
      <c r="X46" s="260"/>
      <c r="Y46" s="260"/>
      <c r="Z46" s="260"/>
      <c r="AA46" s="276"/>
      <c r="AB46" s="261"/>
      <c r="AC46" s="260"/>
      <c r="AE46" s="260"/>
      <c r="AF46" s="260"/>
      <c r="AG46" s="261"/>
      <c r="AH46" s="259"/>
      <c r="AJ46" s="261"/>
      <c r="AN46" s="260"/>
      <c r="AO46" s="260"/>
      <c r="AP46" s="260"/>
      <c r="AQ46" s="260"/>
      <c r="AR46" s="260"/>
      <c r="AS46" s="260"/>
      <c r="AT46" s="260"/>
      <c r="AU46" s="260"/>
      <c r="AV46" s="260"/>
    </row>
    <row r="47" spans="1:48" ht="16.5" thickBot="1">
      <c r="A47" s="151"/>
      <c r="B47" s="151"/>
      <c r="C47" s="151"/>
      <c r="D47" s="151"/>
      <c r="E47" s="151"/>
      <c r="F47" s="205">
        <f t="shared" si="0"/>
        <v>41</v>
      </c>
      <c r="G47" s="167"/>
      <c r="H47" s="178" t="s">
        <v>364</v>
      </c>
      <c r="I47" s="277"/>
      <c r="J47" s="299">
        <f>SUM(J43:J46)</f>
        <v>2.1560234705944478E-2</v>
      </c>
      <c r="K47" s="265">
        <f ca="1">+K43+K44+K45+K46</f>
        <v>573.1750484055467</v>
      </c>
      <c r="L47" s="167"/>
      <c r="M47" s="167"/>
      <c r="N47" s="167"/>
      <c r="O47" s="151"/>
      <c r="P47" s="151"/>
      <c r="R47" s="227">
        <f ca="1">VLOOKUP(R48,R36:S39,2)</f>
        <v>246.88435954315776</v>
      </c>
      <c r="S47" s="300" t="s">
        <v>537</v>
      </c>
      <c r="T47" s="237"/>
      <c r="X47" s="161" t="s">
        <v>356</v>
      </c>
      <c r="AE47" s="260"/>
      <c r="AH47" s="259"/>
      <c r="AJ47" s="261"/>
    </row>
    <row r="48" spans="1:48" ht="16.5" thickTop="1">
      <c r="A48" s="151"/>
      <c r="B48" s="151"/>
      <c r="C48" s="151"/>
      <c r="D48" s="151"/>
      <c r="E48" s="151"/>
      <c r="F48" s="205">
        <f t="shared" si="0"/>
        <v>42</v>
      </c>
      <c r="G48" s="167"/>
      <c r="H48" s="167"/>
      <c r="I48" s="167"/>
      <c r="J48" s="301"/>
      <c r="K48" s="167"/>
      <c r="L48" s="167"/>
      <c r="M48" s="167"/>
      <c r="N48" s="167"/>
      <c r="O48" s="151"/>
      <c r="P48" s="151"/>
      <c r="R48" s="206">
        <f ca="1">VLOOKUP(S36,R43:S46,2)</f>
        <v>3</v>
      </c>
      <c r="S48" s="302" t="s">
        <v>538</v>
      </c>
      <c r="T48" s="288"/>
      <c r="X48" s="161" t="s">
        <v>357</v>
      </c>
      <c r="AC48" s="170"/>
      <c r="AE48" s="260"/>
      <c r="AJ48" s="261"/>
    </row>
    <row r="49" spans="1:48" ht="15.75">
      <c r="A49" s="151"/>
      <c r="B49" s="151"/>
      <c r="C49" s="151"/>
      <c r="D49" s="151"/>
      <c r="E49" s="151"/>
      <c r="F49" s="205">
        <f t="shared" si="0"/>
        <v>43</v>
      </c>
      <c r="G49" s="173"/>
      <c r="H49" s="303" t="s">
        <v>365</v>
      </c>
      <c r="I49" s="304"/>
      <c r="J49" s="305">
        <f ca="1">((K35)-J47)</f>
        <v>0.89863023333220848</v>
      </c>
      <c r="K49" s="304"/>
      <c r="L49" s="304"/>
      <c r="M49" s="304"/>
      <c r="N49" s="304"/>
      <c r="O49" s="151"/>
      <c r="P49" s="151"/>
      <c r="R49" s="206"/>
      <c r="S49" s="302"/>
      <c r="T49" s="288"/>
      <c r="X49" s="161" t="s">
        <v>358</v>
      </c>
      <c r="AC49" s="260"/>
      <c r="AE49" s="260"/>
      <c r="AF49" s="260"/>
      <c r="AG49" s="261"/>
      <c r="AJ49" s="261"/>
    </row>
    <row r="50" spans="1:48">
      <c r="A50" s="151"/>
      <c r="B50" s="151"/>
      <c r="C50" s="151"/>
      <c r="D50" s="151"/>
      <c r="E50" s="151"/>
      <c r="F50" s="151"/>
      <c r="G50" s="151"/>
      <c r="H50" s="151"/>
      <c r="I50" s="151"/>
      <c r="J50" s="151"/>
      <c r="K50" s="306"/>
      <c r="L50" s="151"/>
      <c r="M50" s="151"/>
      <c r="N50" s="307"/>
      <c r="O50" s="151"/>
      <c r="P50" s="151"/>
      <c r="R50" s="308">
        <f ca="1">+V44</f>
        <v>0.92016600000000004</v>
      </c>
      <c r="S50" s="309" t="s">
        <v>172</v>
      </c>
      <c r="T50" s="310"/>
      <c r="X50" s="161" t="s">
        <v>359</v>
      </c>
      <c r="AC50" s="260"/>
      <c r="AE50" s="260"/>
      <c r="AF50" s="260"/>
      <c r="AG50" s="261"/>
      <c r="AH50" s="260"/>
      <c r="AJ50" s="261"/>
      <c r="AN50" s="260"/>
      <c r="AO50" s="260"/>
      <c r="AP50" s="260"/>
      <c r="AQ50" s="260"/>
      <c r="AR50" s="260"/>
      <c r="AS50" s="260"/>
      <c r="AT50" s="260"/>
      <c r="AU50" s="260"/>
      <c r="AV50" s="260"/>
    </row>
    <row r="51" spans="1:48">
      <c r="A51" s="151"/>
      <c r="B51" s="151"/>
      <c r="C51" s="151"/>
      <c r="D51" s="151"/>
      <c r="E51" s="151"/>
      <c r="F51" s="151"/>
      <c r="G51" s="151"/>
      <c r="H51" s="151"/>
      <c r="I51" s="151"/>
      <c r="J51" s="151"/>
      <c r="K51" s="151"/>
      <c r="L51" s="151"/>
      <c r="M51" s="151"/>
      <c r="N51" s="151"/>
      <c r="O51" s="151"/>
      <c r="P51" s="151"/>
      <c r="R51" s="161"/>
      <c r="AB51" s="261"/>
      <c r="AC51" s="260"/>
      <c r="AE51" s="260"/>
      <c r="AF51" s="260"/>
      <c r="AG51" s="261"/>
      <c r="AH51" s="259"/>
      <c r="AJ51" s="261"/>
      <c r="AN51" s="260"/>
      <c r="AO51" s="260"/>
      <c r="AP51" s="260"/>
      <c r="AQ51" s="260"/>
      <c r="AR51" s="260"/>
      <c r="AS51" s="260"/>
      <c r="AT51" s="260"/>
      <c r="AU51" s="260"/>
      <c r="AV51" s="260"/>
    </row>
    <row r="52" spans="1:48">
      <c r="A52" s="151"/>
      <c r="B52" s="151"/>
      <c r="C52" s="151"/>
      <c r="D52" s="151"/>
      <c r="E52" s="151"/>
      <c r="F52" s="151"/>
      <c r="G52" s="151"/>
      <c r="H52" s="151"/>
      <c r="I52" s="151"/>
      <c r="J52" s="311"/>
      <c r="K52" s="311"/>
      <c r="L52" s="311"/>
      <c r="M52" s="311"/>
      <c r="N52" s="151"/>
      <c r="O52" s="151"/>
      <c r="P52" s="151"/>
      <c r="R52" s="161"/>
      <c r="AB52" s="261"/>
      <c r="AC52" s="260"/>
      <c r="AE52" s="260"/>
      <c r="AF52" s="260"/>
      <c r="AG52" s="261"/>
      <c r="AH52" s="259"/>
      <c r="AJ52" s="261"/>
      <c r="AN52" s="260"/>
      <c r="AO52" s="260"/>
      <c r="AP52" s="260"/>
      <c r="AQ52" s="260"/>
      <c r="AR52" s="260"/>
      <c r="AS52" s="260"/>
      <c r="AT52" s="260"/>
      <c r="AU52" s="260"/>
      <c r="AV52" s="260"/>
    </row>
    <row r="53" spans="1:48" ht="15.75">
      <c r="A53" s="151"/>
      <c r="B53" s="151"/>
      <c r="C53" s="151"/>
      <c r="D53" s="151"/>
      <c r="E53" s="151"/>
      <c r="F53" s="151"/>
      <c r="G53" s="151"/>
      <c r="H53" s="151"/>
      <c r="I53" s="151"/>
      <c r="J53" s="151"/>
      <c r="K53" s="311"/>
      <c r="L53" s="311"/>
      <c r="M53" s="311"/>
      <c r="N53" s="151"/>
      <c r="O53" s="151"/>
      <c r="P53" s="151"/>
      <c r="R53" s="161"/>
      <c r="S53" s="161" t="s">
        <v>539</v>
      </c>
      <c r="T53" s="260"/>
      <c r="U53" s="312"/>
      <c r="W53" s="313" t="s">
        <v>540</v>
      </c>
      <c r="X53" s="314"/>
      <c r="Y53" s="314"/>
      <c r="Z53" s="314"/>
      <c r="AA53" s="314"/>
      <c r="AB53" s="314"/>
      <c r="AE53" s="260"/>
      <c r="AH53" s="259"/>
      <c r="AJ53" s="261"/>
      <c r="AN53" s="260"/>
      <c r="AO53" s="260"/>
      <c r="AP53" s="260"/>
      <c r="AQ53" s="260"/>
      <c r="AR53" s="260"/>
      <c r="AS53" s="260"/>
      <c r="AT53" s="260"/>
      <c r="AU53" s="260"/>
      <c r="AV53" s="260"/>
    </row>
    <row r="54" spans="1:48">
      <c r="A54" s="151"/>
      <c r="B54" s="151"/>
      <c r="C54" s="151"/>
      <c r="D54" s="151"/>
      <c r="E54" s="151"/>
      <c r="F54" s="151"/>
      <c r="G54" s="151"/>
      <c r="H54" s="151"/>
      <c r="I54" s="151"/>
      <c r="J54" s="151"/>
      <c r="K54" s="151"/>
      <c r="L54" s="315"/>
      <c r="M54" s="315"/>
      <c r="N54" s="151"/>
      <c r="O54" s="151"/>
      <c r="P54" s="151"/>
      <c r="R54" s="316"/>
      <c r="S54" s="317" t="s">
        <v>344</v>
      </c>
      <c r="T54" s="317" t="s">
        <v>373</v>
      </c>
      <c r="U54" s="318" t="s">
        <v>517</v>
      </c>
      <c r="W54" s="319" t="s">
        <v>541</v>
      </c>
      <c r="X54" s="320">
        <v>5.7225999999999999</v>
      </c>
      <c r="Y54" s="321" t="s">
        <v>542</v>
      </c>
      <c r="Z54" s="322">
        <v>5.6985000000000001</v>
      </c>
      <c r="AC54" s="170"/>
      <c r="AE54" s="260"/>
      <c r="AJ54" s="261"/>
    </row>
    <row r="55" spans="1:48">
      <c r="A55" s="151"/>
      <c r="B55" s="151"/>
      <c r="C55" s="151"/>
      <c r="D55" s="151"/>
      <c r="E55" s="151"/>
      <c r="F55" s="151"/>
      <c r="G55" s="151"/>
      <c r="H55" s="151"/>
      <c r="I55" s="151"/>
      <c r="J55" s="315"/>
      <c r="K55" s="151"/>
      <c r="L55" s="315"/>
      <c r="M55" s="315"/>
      <c r="N55" s="151"/>
      <c r="O55" s="151"/>
      <c r="P55" s="151"/>
      <c r="R55" s="162" t="s">
        <v>481</v>
      </c>
      <c r="S55" s="323">
        <v>0.56200000000000006</v>
      </c>
      <c r="T55" s="323">
        <v>6.3799999999999996E-2</v>
      </c>
      <c r="U55" s="324">
        <f>ROUND(+S55*T55,5)</f>
        <v>3.5860000000000003E-2</v>
      </c>
      <c r="W55" s="325" t="s">
        <v>543</v>
      </c>
      <c r="X55" s="326">
        <v>5.7082699999999997</v>
      </c>
      <c r="Y55" s="327" t="s">
        <v>544</v>
      </c>
      <c r="Z55" s="328">
        <v>5.6921999999999997</v>
      </c>
      <c r="AC55" s="260"/>
      <c r="AE55" s="260"/>
      <c r="AF55" s="260"/>
      <c r="AG55" s="261"/>
      <c r="AJ55" s="261"/>
    </row>
    <row r="56" spans="1:48">
      <c r="A56" s="151"/>
      <c r="B56" s="151"/>
      <c r="C56" s="151"/>
      <c r="D56" s="151"/>
      <c r="E56" s="151"/>
      <c r="F56" s="151"/>
      <c r="G56" s="151"/>
      <c r="H56" s="151"/>
      <c r="I56" s="151"/>
      <c r="J56" s="315"/>
      <c r="K56" s="151"/>
      <c r="L56" s="315"/>
      <c r="M56" s="315"/>
      <c r="N56" s="151"/>
      <c r="O56" s="151"/>
      <c r="P56" s="151"/>
      <c r="R56" s="162" t="s">
        <v>545</v>
      </c>
      <c r="S56" s="323">
        <v>9.4E-2</v>
      </c>
      <c r="T56" s="323">
        <v>6.59E-2</v>
      </c>
      <c r="U56" s="324">
        <f>ROUND(+S56*T56,5)</f>
        <v>6.1900000000000002E-3</v>
      </c>
      <c r="W56" s="162"/>
      <c r="X56" s="246"/>
      <c r="Y56" s="329"/>
      <c r="Z56" s="330"/>
      <c r="AC56" s="260"/>
      <c r="AE56" s="260"/>
      <c r="AF56" s="260"/>
      <c r="AG56" s="261"/>
      <c r="AH56" s="259"/>
      <c r="AJ56" s="261"/>
      <c r="AN56" s="260"/>
    </row>
    <row r="57" spans="1:48" ht="15.75">
      <c r="A57" s="151"/>
      <c r="B57" s="151"/>
      <c r="C57" s="151"/>
      <c r="D57" s="151"/>
      <c r="E57" s="151"/>
      <c r="F57" s="151"/>
      <c r="G57" s="151"/>
      <c r="H57" s="331"/>
      <c r="I57" s="311"/>
      <c r="J57" s="315"/>
      <c r="K57" s="151"/>
      <c r="L57" s="151"/>
      <c r="M57" s="151"/>
      <c r="N57" s="151"/>
      <c r="O57" s="151"/>
      <c r="P57" s="151"/>
      <c r="R57" s="162" t="s">
        <v>479</v>
      </c>
      <c r="S57" s="332">
        <v>0.34399999999999997</v>
      </c>
      <c r="T57" s="333"/>
      <c r="U57" s="334"/>
      <c r="W57" s="248"/>
      <c r="X57" s="335" t="s">
        <v>546</v>
      </c>
      <c r="Y57" s="336">
        <v>0.68367</v>
      </c>
      <c r="Z57" s="337"/>
      <c r="AC57" s="260"/>
      <c r="AE57" s="260"/>
      <c r="AF57" s="260"/>
      <c r="AG57" s="261"/>
      <c r="AH57" s="259"/>
      <c r="AJ57" s="261"/>
    </row>
    <row r="58" spans="1:48" ht="15.75">
      <c r="A58" s="151"/>
      <c r="B58" s="151"/>
      <c r="C58" s="151"/>
      <c r="D58" s="151"/>
      <c r="E58" s="151"/>
      <c r="F58" s="151"/>
      <c r="G58" s="151"/>
      <c r="H58" s="151"/>
      <c r="I58" s="151"/>
      <c r="J58" s="151"/>
      <c r="K58" s="151"/>
      <c r="L58" s="151"/>
      <c r="M58" s="151"/>
      <c r="N58" s="151"/>
      <c r="O58" s="151"/>
      <c r="P58" s="151"/>
      <c r="R58" s="248"/>
      <c r="S58" s="332">
        <f>SUM(S55:S57)</f>
        <v>1</v>
      </c>
      <c r="T58" s="338"/>
      <c r="U58" s="339"/>
      <c r="X58" s="260"/>
      <c r="Y58" s="260"/>
      <c r="Z58" s="260"/>
      <c r="AA58" s="276"/>
      <c r="AB58" s="261"/>
      <c r="AC58" s="260"/>
      <c r="AE58" s="260"/>
      <c r="AF58" s="260"/>
      <c r="AG58" s="261"/>
      <c r="AH58" s="259"/>
      <c r="AJ58" s="261"/>
    </row>
    <row r="59" spans="1:48">
      <c r="A59" s="151"/>
      <c r="B59" s="151"/>
      <c r="C59" s="151"/>
      <c r="D59" s="151"/>
      <c r="E59" s="151"/>
      <c r="F59" s="151"/>
      <c r="G59" s="151"/>
      <c r="H59" s="151"/>
      <c r="I59" s="151"/>
      <c r="J59" s="151"/>
      <c r="K59" s="151"/>
      <c r="L59" s="151"/>
      <c r="M59" s="151"/>
      <c r="N59" s="151"/>
      <c r="O59" s="151"/>
      <c r="P59" s="151"/>
      <c r="X59" s="340"/>
      <c r="Y59" s="340"/>
      <c r="Z59" s="340"/>
      <c r="AE59" s="260"/>
      <c r="AH59" s="259"/>
      <c r="AJ59" s="261"/>
      <c r="AN59" s="259"/>
      <c r="AO59" s="259"/>
      <c r="AP59" s="259"/>
      <c r="AQ59" s="259"/>
      <c r="AR59" s="259"/>
      <c r="AS59" s="259"/>
      <c r="AT59" s="259"/>
      <c r="AU59" s="259"/>
      <c r="AV59" s="259"/>
    </row>
    <row r="60" spans="1:48">
      <c r="A60" s="151"/>
      <c r="B60" s="151"/>
      <c r="C60" s="151"/>
      <c r="D60" s="151"/>
      <c r="E60" s="151"/>
      <c r="F60" s="151"/>
      <c r="G60" s="151"/>
      <c r="H60" s="151"/>
      <c r="I60" s="151"/>
      <c r="J60" s="151"/>
      <c r="K60" s="151"/>
      <c r="L60" s="151"/>
      <c r="M60" s="151"/>
      <c r="N60" s="151"/>
      <c r="O60" s="151"/>
      <c r="P60" s="151"/>
      <c r="R60" s="161"/>
      <c r="S60" s="341"/>
      <c r="W60" s="316"/>
      <c r="X60" s="342" t="s">
        <v>524</v>
      </c>
      <c r="Y60" s="342" t="s">
        <v>547</v>
      </c>
      <c r="Z60" s="343" t="s">
        <v>461</v>
      </c>
      <c r="AE60" s="260"/>
      <c r="AJ60" s="261"/>
      <c r="AN60" s="259"/>
      <c r="AO60" s="259"/>
      <c r="AP60" s="259"/>
      <c r="AQ60" s="259"/>
      <c r="AR60" s="259"/>
      <c r="AS60" s="259"/>
      <c r="AT60" s="259"/>
      <c r="AU60" s="259"/>
      <c r="AV60" s="259"/>
    </row>
    <row r="61" spans="1:48">
      <c r="A61" s="151"/>
      <c r="B61" s="151"/>
      <c r="C61" s="151"/>
      <c r="D61" s="151"/>
      <c r="E61" s="151"/>
      <c r="F61" s="151"/>
      <c r="G61" s="151"/>
      <c r="H61" s="311"/>
      <c r="I61" s="311"/>
      <c r="J61" s="311"/>
      <c r="K61" s="311"/>
      <c r="L61" s="311"/>
      <c r="M61" s="311"/>
      <c r="N61" s="311"/>
      <c r="O61" s="151"/>
      <c r="P61" s="151"/>
      <c r="R61" s="161"/>
      <c r="W61" s="162"/>
      <c r="X61" s="344"/>
      <c r="Y61" s="344"/>
      <c r="Z61" s="345"/>
      <c r="AE61" s="260"/>
      <c r="AF61" s="260"/>
      <c r="AG61" s="261"/>
      <c r="AJ61" s="261"/>
      <c r="AN61" s="259"/>
      <c r="AO61" s="259"/>
      <c r="AP61" s="259"/>
      <c r="AQ61" s="259"/>
      <c r="AR61" s="259"/>
      <c r="AS61" s="259"/>
      <c r="AT61" s="259"/>
      <c r="AU61" s="259"/>
      <c r="AV61" s="259"/>
    </row>
    <row r="62" spans="1:48">
      <c r="A62" s="151"/>
      <c r="B62" s="151"/>
      <c r="C62" s="151"/>
      <c r="D62" s="151"/>
      <c r="E62" s="151"/>
      <c r="F62" s="151"/>
      <c r="G62" s="151"/>
      <c r="H62" s="151"/>
      <c r="I62" s="151"/>
      <c r="J62" s="151"/>
      <c r="K62" s="151"/>
      <c r="L62" s="151"/>
      <c r="M62" s="151"/>
      <c r="N62" s="151"/>
      <c r="O62" s="151"/>
      <c r="P62" s="151"/>
      <c r="R62" s="161"/>
      <c r="S62" s="341"/>
      <c r="W62" s="162"/>
      <c r="X62" s="293" t="s">
        <v>526</v>
      </c>
      <c r="Y62" s="294">
        <f ca="1">+J33</f>
        <v>0.19703734960021801</v>
      </c>
      <c r="Z62" s="294">
        <f ca="1">+K33</f>
        <v>0.15833003944437721</v>
      </c>
      <c r="AE62" s="260"/>
      <c r="AF62" s="260"/>
      <c r="AG62" s="261"/>
      <c r="AH62" s="259"/>
      <c r="AJ62" s="261"/>
      <c r="AN62" s="259"/>
      <c r="AO62" s="259"/>
      <c r="AP62" s="259"/>
      <c r="AQ62" s="259"/>
      <c r="AR62" s="259"/>
      <c r="AS62" s="259"/>
      <c r="AT62" s="259"/>
      <c r="AU62" s="259"/>
      <c r="AV62" s="259"/>
    </row>
    <row r="63" spans="1:48">
      <c r="A63" s="151"/>
      <c r="B63" s="151"/>
      <c r="C63" s="151"/>
      <c r="D63" s="151"/>
      <c r="E63" s="151"/>
      <c r="F63" s="151"/>
      <c r="G63" s="151"/>
      <c r="H63" s="151"/>
      <c r="I63" s="151"/>
      <c r="J63" s="151"/>
      <c r="K63" s="151"/>
      <c r="L63" s="151"/>
      <c r="M63" s="151"/>
      <c r="N63" s="151"/>
      <c r="O63" s="151"/>
      <c r="P63" s="151"/>
      <c r="R63" s="161"/>
      <c r="W63" s="162"/>
      <c r="X63" s="293" t="s">
        <v>527</v>
      </c>
      <c r="Y63" s="294">
        <f t="shared" ref="Y63:Z67" ca="1" si="1">+J34</f>
        <v>0.30720087425270476</v>
      </c>
      <c r="Z63" s="294">
        <f t="shared" ca="1" si="1"/>
        <v>0.24268869065963677</v>
      </c>
      <c r="AE63" s="260"/>
      <c r="AF63" s="260"/>
      <c r="AG63" s="261"/>
      <c r="AH63" s="259"/>
      <c r="AJ63" s="261"/>
    </row>
    <row r="64" spans="1:48">
      <c r="A64" s="161" t="b">
        <v>1</v>
      </c>
      <c r="B64" s="151"/>
      <c r="C64" s="151"/>
      <c r="F64" s="151"/>
      <c r="G64" s="151"/>
      <c r="H64" s="151"/>
      <c r="I64" s="151"/>
      <c r="J64" s="151"/>
      <c r="K64" s="151"/>
      <c r="L64" s="151"/>
      <c r="M64" s="151"/>
      <c r="N64" s="151"/>
      <c r="R64" s="161"/>
      <c r="S64" s="341"/>
      <c r="W64" s="162"/>
      <c r="X64" s="293" t="s">
        <v>172</v>
      </c>
      <c r="Y64" s="294">
        <f t="shared" ca="1" si="1"/>
        <v>0.92016600000000004</v>
      </c>
      <c r="Z64" s="294">
        <f t="shared" ca="1" si="1"/>
        <v>0.92019046803815296</v>
      </c>
      <c r="AE64" s="260"/>
      <c r="AF64" s="260"/>
      <c r="AG64" s="261"/>
      <c r="AH64" s="259"/>
      <c r="AJ64" s="261"/>
    </row>
    <row r="65" spans="8:40">
      <c r="H65" s="259"/>
      <c r="I65" s="259"/>
      <c r="J65" s="259"/>
      <c r="K65" s="259"/>
      <c r="L65" s="259"/>
      <c r="M65" s="259"/>
      <c r="N65" s="259"/>
      <c r="O65" s="259"/>
      <c r="R65" s="161"/>
      <c r="W65" s="162"/>
      <c r="X65" s="293" t="s">
        <v>529</v>
      </c>
      <c r="Y65" s="294">
        <f t="shared" ca="1" si="1"/>
        <v>7.9833999999999988E-2</v>
      </c>
      <c r="Z65" s="294">
        <f t="shared" ca="1" si="1"/>
        <v>7.9833999999999988E-2</v>
      </c>
      <c r="AE65" s="260"/>
      <c r="AH65" s="259"/>
      <c r="AJ65" s="261"/>
      <c r="AN65" s="259"/>
    </row>
    <row r="66" spans="8:40">
      <c r="H66" s="259"/>
      <c r="I66" s="259"/>
      <c r="J66" s="259"/>
      <c r="K66" s="259"/>
      <c r="L66" s="259"/>
      <c r="M66" s="259"/>
      <c r="N66" s="259"/>
      <c r="O66" s="259"/>
      <c r="R66" s="161"/>
      <c r="S66" s="341"/>
      <c r="W66" s="162"/>
      <c r="X66" s="293" t="s">
        <v>530</v>
      </c>
      <c r="Y66" s="294">
        <f t="shared" ca="1" si="1"/>
        <v>2.4671963935602976</v>
      </c>
      <c r="Z66" s="294">
        <f t="shared" ca="1" si="1"/>
        <v>2.4671963935602976</v>
      </c>
      <c r="AE66" s="260"/>
      <c r="AJ66" s="261"/>
    </row>
    <row r="67" spans="8:40">
      <c r="O67" s="259"/>
      <c r="W67" s="248"/>
      <c r="X67" s="347" t="s">
        <v>362</v>
      </c>
      <c r="Y67" s="348">
        <f t="shared" si="1"/>
        <v>0.21</v>
      </c>
      <c r="Z67" s="348">
        <f t="shared" si="1"/>
        <v>0.21</v>
      </c>
      <c r="AE67" s="260"/>
      <c r="AF67" s="260"/>
      <c r="AG67" s="261"/>
      <c r="AJ67" s="261"/>
    </row>
    <row r="68" spans="8:40">
      <c r="O68" s="259"/>
      <c r="W68" s="293"/>
      <c r="AE68" s="260"/>
      <c r="AF68" s="260"/>
      <c r="AG68" s="261"/>
      <c r="AH68" s="259"/>
      <c r="AJ68" s="261"/>
    </row>
    <row r="69" spans="8:40">
      <c r="O69" s="259"/>
      <c r="X69" s="260"/>
      <c r="Y69" s="260"/>
      <c r="Z69" s="260"/>
      <c r="AA69" s="276"/>
      <c r="AB69" s="261"/>
      <c r="AC69" s="260"/>
      <c r="AE69" s="260"/>
      <c r="AF69" s="260"/>
      <c r="AG69" s="261"/>
      <c r="AH69" s="259"/>
      <c r="AJ69" s="261"/>
    </row>
    <row r="70" spans="8:40">
      <c r="X70" s="260"/>
      <c r="Y70" s="260"/>
      <c r="Z70" s="260"/>
      <c r="AA70" s="276"/>
      <c r="AB70" s="261"/>
      <c r="AC70" s="260"/>
      <c r="AE70" s="260"/>
      <c r="AF70" s="260"/>
      <c r="AG70" s="261"/>
      <c r="AH70" s="259"/>
      <c r="AJ70" s="261"/>
    </row>
    <row r="71" spans="8:40">
      <c r="AE71" s="260"/>
      <c r="AH71" s="259"/>
      <c r="AJ71" s="261"/>
    </row>
    <row r="72" spans="8:40">
      <c r="AA72" s="170"/>
      <c r="AB72" s="170"/>
      <c r="AC72" s="170"/>
      <c r="AE72" s="260"/>
      <c r="AJ72" s="261"/>
    </row>
    <row r="73" spans="8:40">
      <c r="X73" s="260"/>
      <c r="Y73" s="260"/>
      <c r="Z73" s="260"/>
      <c r="AA73" s="276"/>
      <c r="AB73" s="261"/>
      <c r="AC73" s="260"/>
      <c r="AE73" s="260"/>
      <c r="AF73" s="260"/>
      <c r="AG73" s="261"/>
      <c r="AJ73" s="261"/>
    </row>
    <row r="74" spans="8:40">
      <c r="X74" s="260"/>
      <c r="Y74" s="260"/>
      <c r="Z74" s="260"/>
      <c r="AA74" s="276"/>
      <c r="AB74" s="261"/>
      <c r="AC74" s="260"/>
      <c r="AE74" s="260"/>
      <c r="AF74" s="260"/>
      <c r="AG74" s="261"/>
      <c r="AH74" s="259"/>
      <c r="AJ74" s="261"/>
    </row>
    <row r="75" spans="8:40">
      <c r="X75" s="260"/>
      <c r="Y75" s="260"/>
      <c r="Z75" s="260"/>
      <c r="AA75" s="276"/>
      <c r="AB75" s="261"/>
      <c r="AC75" s="260"/>
      <c r="AE75" s="260"/>
      <c r="AF75" s="260"/>
      <c r="AG75" s="261"/>
      <c r="AH75" s="259"/>
      <c r="AJ75" s="261"/>
    </row>
    <row r="76" spans="8:40">
      <c r="X76" s="260"/>
      <c r="Y76" s="260"/>
      <c r="Z76" s="260"/>
      <c r="AA76" s="276"/>
      <c r="AB76" s="261"/>
      <c r="AC76" s="260"/>
      <c r="AE76" s="260"/>
      <c r="AF76" s="260"/>
      <c r="AG76" s="261"/>
      <c r="AH76" s="259"/>
      <c r="AJ76" s="261"/>
    </row>
    <row r="77" spans="8:40">
      <c r="AE77" s="260"/>
      <c r="AH77" s="259"/>
      <c r="AJ77" s="261"/>
    </row>
    <row r="79" spans="8:40">
      <c r="X79" s="260"/>
      <c r="Y79" s="260"/>
      <c r="Z79" s="260"/>
      <c r="AA79" s="276"/>
      <c r="AB79" s="261"/>
      <c r="AC79" s="260"/>
      <c r="AF79" s="260"/>
      <c r="AG79" s="261"/>
    </row>
    <row r="80" spans="8:40">
      <c r="X80" s="260"/>
      <c r="Y80" s="260"/>
      <c r="Z80" s="260"/>
      <c r="AA80" s="276"/>
      <c r="AB80" s="261"/>
      <c r="AC80" s="260"/>
      <c r="AF80" s="260"/>
      <c r="AG80" s="261"/>
      <c r="AH80" s="259"/>
    </row>
    <row r="81" spans="24:34">
      <c r="X81" s="260"/>
      <c r="Y81" s="260"/>
      <c r="Z81" s="260"/>
      <c r="AA81" s="276"/>
      <c r="AB81" s="261"/>
      <c r="AC81" s="260"/>
      <c r="AF81" s="260"/>
      <c r="AG81" s="261"/>
      <c r="AH81" s="259"/>
    </row>
    <row r="82" spans="24:34">
      <c r="X82" s="260"/>
      <c r="Y82" s="260"/>
      <c r="Z82" s="260"/>
      <c r="AA82" s="276"/>
      <c r="AB82" s="261"/>
      <c r="AC82" s="260"/>
      <c r="AF82" s="260"/>
      <c r="AG82" s="261"/>
      <c r="AH82" s="259"/>
    </row>
    <row r="83" spans="24:34">
      <c r="AH83" s="259"/>
    </row>
    <row r="85" spans="24:34">
      <c r="X85" s="260"/>
      <c r="Y85" s="260"/>
      <c r="Z85" s="260"/>
      <c r="AA85" s="276"/>
      <c r="AB85" s="261"/>
      <c r="AC85" s="260"/>
      <c r="AF85" s="260"/>
      <c r="AG85" s="261"/>
    </row>
    <row r="86" spans="24:34">
      <c r="X86" s="260"/>
      <c r="Y86" s="260"/>
      <c r="Z86" s="260"/>
      <c r="AA86" s="276"/>
      <c r="AB86" s="261"/>
      <c r="AC86" s="260"/>
      <c r="AF86" s="260"/>
      <c r="AG86" s="261"/>
      <c r="AH86" s="259"/>
    </row>
    <row r="87" spans="24:34">
      <c r="X87" s="260"/>
      <c r="Y87" s="260"/>
      <c r="Z87" s="260"/>
      <c r="AA87" s="276"/>
      <c r="AB87" s="261"/>
      <c r="AC87" s="260"/>
      <c r="AF87" s="260"/>
      <c r="AG87" s="261"/>
      <c r="AH87" s="259"/>
    </row>
    <row r="88" spans="24:34">
      <c r="X88" s="260"/>
      <c r="Y88" s="260"/>
      <c r="Z88" s="260"/>
      <c r="AA88" s="276"/>
      <c r="AB88" s="261"/>
      <c r="AC88" s="260"/>
      <c r="AF88" s="260"/>
      <c r="AG88" s="261"/>
      <c r="AH88" s="259"/>
    </row>
    <row r="89" spans="24:34">
      <c r="AH89" s="259"/>
    </row>
    <row r="91" spans="24:34">
      <c r="X91" s="260"/>
      <c r="Y91" s="260"/>
      <c r="Z91" s="260"/>
      <c r="AA91" s="276"/>
      <c r="AB91" s="261"/>
      <c r="AC91" s="260"/>
      <c r="AF91" s="260"/>
      <c r="AG91" s="261"/>
    </row>
    <row r="92" spans="24:34">
      <c r="X92" s="260"/>
      <c r="Y92" s="260"/>
      <c r="Z92" s="260"/>
      <c r="AA92" s="276"/>
      <c r="AB92" s="261"/>
      <c r="AC92" s="260"/>
      <c r="AF92" s="260"/>
      <c r="AG92" s="261"/>
      <c r="AH92" s="259"/>
    </row>
    <row r="93" spans="24:34">
      <c r="X93" s="260"/>
      <c r="Y93" s="260"/>
      <c r="Z93" s="260"/>
      <c r="AA93" s="276"/>
      <c r="AB93" s="261"/>
      <c r="AC93" s="260"/>
      <c r="AF93" s="260"/>
      <c r="AG93" s="261"/>
      <c r="AH93" s="259"/>
    </row>
    <row r="94" spans="24:34">
      <c r="X94" s="260"/>
      <c r="Y94" s="260"/>
      <c r="Z94" s="260"/>
      <c r="AA94" s="276"/>
      <c r="AB94" s="261"/>
      <c r="AC94" s="260"/>
      <c r="AF94" s="260"/>
      <c r="AG94" s="261"/>
      <c r="AH94" s="259"/>
    </row>
    <row r="95" spans="24:34">
      <c r="AH95" s="259"/>
    </row>
    <row r="97" spans="24:34">
      <c r="X97" s="260"/>
      <c r="Y97" s="260"/>
      <c r="Z97" s="260"/>
      <c r="AA97" s="276"/>
      <c r="AB97" s="261"/>
      <c r="AC97" s="260"/>
      <c r="AF97" s="260"/>
      <c r="AG97" s="261"/>
    </row>
    <row r="98" spans="24:34">
      <c r="X98" s="260"/>
      <c r="Y98" s="260"/>
      <c r="Z98" s="260"/>
      <c r="AA98" s="276"/>
      <c r="AB98" s="261"/>
      <c r="AC98" s="260"/>
      <c r="AF98" s="260"/>
      <c r="AG98" s="261"/>
      <c r="AH98" s="259"/>
    </row>
    <row r="99" spans="24:34">
      <c r="X99" s="260"/>
      <c r="Y99" s="260"/>
      <c r="Z99" s="260"/>
      <c r="AA99" s="276"/>
      <c r="AB99" s="261"/>
      <c r="AC99" s="260"/>
      <c r="AF99" s="260"/>
      <c r="AG99" s="261"/>
      <c r="AH99" s="259"/>
    </row>
    <row r="100" spans="24:34">
      <c r="X100" s="260"/>
      <c r="Y100" s="260"/>
      <c r="Z100" s="260"/>
      <c r="AA100" s="276"/>
      <c r="AB100" s="261"/>
      <c r="AC100" s="260"/>
      <c r="AF100" s="260"/>
      <c r="AG100" s="261"/>
      <c r="AH100" s="259"/>
    </row>
    <row r="101" spans="24:34">
      <c r="AH101" s="259"/>
    </row>
    <row r="103" spans="24:34">
      <c r="X103" s="260"/>
      <c r="Y103" s="260"/>
      <c r="Z103" s="260"/>
      <c r="AA103" s="276"/>
      <c r="AB103" s="261"/>
      <c r="AC103" s="260"/>
      <c r="AF103" s="260"/>
      <c r="AG103" s="261"/>
    </row>
    <row r="104" spans="24:34">
      <c r="X104" s="260"/>
      <c r="Y104" s="260"/>
      <c r="Z104" s="260"/>
      <c r="AA104" s="276"/>
      <c r="AB104" s="261"/>
      <c r="AC104" s="260"/>
      <c r="AF104" s="260"/>
      <c r="AG104" s="261"/>
      <c r="AH104" s="259"/>
    </row>
    <row r="105" spans="24:34">
      <c r="X105" s="260"/>
      <c r="Y105" s="260"/>
      <c r="Z105" s="260"/>
      <c r="AA105" s="276"/>
      <c r="AB105" s="261"/>
      <c r="AC105" s="260"/>
      <c r="AF105" s="260"/>
      <c r="AG105" s="261"/>
      <c r="AH105" s="259"/>
    </row>
    <row r="106" spans="24:34">
      <c r="X106" s="260"/>
      <c r="Y106" s="260"/>
      <c r="Z106" s="260"/>
      <c r="AA106" s="276"/>
      <c r="AB106" s="261"/>
      <c r="AC106" s="260"/>
      <c r="AF106" s="260"/>
      <c r="AG106" s="261"/>
      <c r="AH106" s="259"/>
    </row>
    <row r="107" spans="24:34">
      <c r="AH107" s="259"/>
    </row>
    <row r="109" spans="24:34">
      <c r="X109" s="260"/>
      <c r="Y109" s="260"/>
      <c r="Z109" s="260"/>
      <c r="AA109" s="276"/>
      <c r="AB109" s="261"/>
      <c r="AC109" s="260"/>
      <c r="AF109" s="260"/>
      <c r="AG109" s="261"/>
    </row>
    <row r="110" spans="24:34">
      <c r="X110" s="260"/>
      <c r="Y110" s="260"/>
      <c r="Z110" s="260"/>
      <c r="AA110" s="276"/>
      <c r="AB110" s="261"/>
      <c r="AC110" s="260"/>
      <c r="AF110" s="260"/>
      <c r="AG110" s="261"/>
    </row>
    <row r="111" spans="24:34">
      <c r="X111" s="260"/>
      <c r="Y111" s="260"/>
      <c r="Z111" s="260"/>
      <c r="AA111" s="276"/>
      <c r="AB111" s="261"/>
      <c r="AC111" s="260"/>
      <c r="AF111" s="260"/>
      <c r="AG111" s="261"/>
    </row>
    <row r="112" spans="24:34">
      <c r="X112" s="260"/>
      <c r="Y112" s="260"/>
      <c r="Z112" s="260"/>
      <c r="AA112" s="276"/>
      <c r="AB112" s="261"/>
      <c r="AC112" s="260"/>
      <c r="AF112" s="260"/>
      <c r="AG112" s="261"/>
    </row>
  </sheetData>
  <mergeCells count="5">
    <mergeCell ref="B2:C2"/>
    <mergeCell ref="AH2:AK2"/>
    <mergeCell ref="B18:C18"/>
    <mergeCell ref="B19:C19"/>
    <mergeCell ref="L31:N31"/>
  </mergeCells>
  <pageMargins left="0.25" right="0.25" top="0.3" bottom="0.44" header="0.23" footer="0.21"/>
  <pageSetup scale="74" orientation="portrait" r:id="rId1"/>
  <headerFooter alignWithMargins="0"/>
  <colBreaks count="1" manualBreakCount="1">
    <brk id="13" min="1" max="48" man="1"/>
  </colBreaks>
  <drawing r:id="rId2"/>
  <legacyDrawing r:id="rId3"/>
  <controls>
    <mc:AlternateContent xmlns:mc="http://schemas.openxmlformats.org/markup-compatibility/2006">
      <mc:Choice Requires="x14">
        <control shapeId="172033" r:id="rId4" name="DataCompleted">
          <controlPr defaultSize="0" autoFill="0" autoLine="0" autoPict="0" linkedCell="A64" r:id="rId5">
            <anchor moveWithCells="1">
              <from>
                <xdr:col>2</xdr:col>
                <xdr:colOff>114300</xdr:colOff>
                <xdr:row>15</xdr:row>
                <xdr:rowOff>180975</xdr:rowOff>
              </from>
              <to>
                <xdr:col>2</xdr:col>
                <xdr:colOff>342900</xdr:colOff>
                <xdr:row>17</xdr:row>
                <xdr:rowOff>9525</xdr:rowOff>
              </to>
            </anchor>
          </controlPr>
        </control>
      </mc:Choice>
      <mc:Fallback>
        <control shapeId="172033" r:id="rId4" name="DataCompleted"/>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5"/>
  <dimension ref="A1:AS132"/>
  <sheetViews>
    <sheetView showGridLines="0" tabSelected="1" view="pageBreakPreview" topLeftCell="F9" zoomScale="85" zoomScaleNormal="80" zoomScaleSheetLayoutView="85" workbookViewId="0">
      <pane ySplit="11" topLeftCell="A20" activePane="bottomLeft" state="frozen"/>
      <selection activeCell="AR41" sqref="AR41"/>
      <selection pane="bottomLeft" activeCell="AR41" sqref="AR41"/>
    </sheetView>
  </sheetViews>
  <sheetFormatPr defaultRowHeight="12.75" outlineLevelRow="1"/>
  <cols>
    <col min="1" max="1" width="2.7109375" style="760" customWidth="1"/>
    <col min="2" max="2" width="18" style="760" customWidth="1"/>
    <col min="3" max="3" width="12.42578125" style="760" customWidth="1"/>
    <col min="4" max="4" width="18.7109375" style="760" customWidth="1"/>
    <col min="5" max="5" width="31.140625" style="760" customWidth="1"/>
    <col min="6" max="6" width="21.5703125" style="760" customWidth="1"/>
    <col min="7" max="7" width="19" style="760" customWidth="1"/>
    <col min="8" max="8" width="7.85546875" style="760" customWidth="1"/>
    <col min="9" max="9" width="30.28515625" style="760" customWidth="1"/>
    <col min="10" max="10" width="10.28515625" style="760" customWidth="1"/>
    <col min="11" max="11" width="13.5703125" style="760" customWidth="1"/>
    <col min="12" max="12" width="3.5703125" style="760" customWidth="1"/>
    <col min="13" max="13" width="10.140625" style="760" customWidth="1"/>
    <col min="14" max="14" width="38.5703125" style="760" customWidth="1"/>
    <col min="15" max="15" width="25" style="760" customWidth="1"/>
    <col min="16" max="16" width="43.85546875" style="760" bestFit="1" customWidth="1"/>
    <col min="17" max="17" width="18" style="760" customWidth="1"/>
    <col min="18" max="18" width="19" style="760" customWidth="1"/>
    <col min="19" max="19" width="23.85546875" style="760" customWidth="1"/>
    <col min="20" max="20" width="12.7109375" style="760" customWidth="1"/>
    <col min="21" max="21" width="15.85546875" style="760" customWidth="1"/>
    <col min="22" max="22" width="13.7109375" style="760" bestFit="1" customWidth="1"/>
    <col min="23" max="23" width="13.28515625" style="760" customWidth="1"/>
    <col min="24" max="24" width="12.28515625" style="760" customWidth="1"/>
    <col min="25" max="25" width="11.5703125" style="760" customWidth="1"/>
    <col min="26" max="26" width="9.85546875" style="760" customWidth="1"/>
    <col min="27" max="27" width="11.42578125" style="760" customWidth="1"/>
    <col min="28" max="28" width="11" style="760" customWidth="1"/>
    <col min="29" max="29" width="11.5703125" style="760" customWidth="1"/>
    <col min="30" max="30" width="7" style="760" customWidth="1"/>
    <col min="31" max="31" width="11.140625" style="760" customWidth="1"/>
    <col min="32" max="32" width="11" style="760" customWidth="1"/>
    <col min="33" max="33" width="8.5703125" style="760" customWidth="1"/>
    <col min="34" max="34" width="8.42578125" style="760" customWidth="1"/>
    <col min="35" max="36" width="10.28515625" style="760" customWidth="1"/>
    <col min="37" max="37" width="10.140625" style="760" customWidth="1"/>
    <col min="38" max="38" width="10.42578125" style="760" customWidth="1"/>
    <col min="39" max="39" width="21.140625" style="760" customWidth="1"/>
    <col min="40" max="42" width="18.85546875" style="760" customWidth="1"/>
    <col min="43" max="43" width="20.42578125" style="760" customWidth="1"/>
    <col min="44" max="44" width="9.140625" style="760" customWidth="1"/>
    <col min="45" max="45" width="9.140625" style="760" hidden="1" customWidth="1"/>
    <col min="46" max="46" width="9.140625" style="760" customWidth="1"/>
    <col min="47" max="16384" width="9.140625" style="760"/>
  </cols>
  <sheetData>
    <row r="1" spans="1:43" hidden="1" outlineLevel="1">
      <c r="A1" s="759" t="b">
        <v>1</v>
      </c>
      <c r="B1" s="759"/>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row>
    <row r="2" spans="1:43" hidden="1" outlineLevel="1">
      <c r="B2" s="760" t="s">
        <v>967</v>
      </c>
      <c r="C2" s="760" t="s">
        <v>968</v>
      </c>
      <c r="D2" s="761" t="s">
        <v>969</v>
      </c>
      <c r="E2" s="761" t="s">
        <v>970</v>
      </c>
      <c r="F2" s="761" t="s">
        <v>971</v>
      </c>
      <c r="G2" s="760" t="s">
        <v>972</v>
      </c>
      <c r="H2" s="760" t="s">
        <v>973</v>
      </c>
      <c r="I2" s="760" t="s">
        <v>974</v>
      </c>
      <c r="J2" s="760" t="s">
        <v>975</v>
      </c>
      <c r="K2" s="760" t="s">
        <v>976</v>
      </c>
      <c r="L2" s="760" t="s">
        <v>977</v>
      </c>
      <c r="M2" s="760" t="s">
        <v>978</v>
      </c>
      <c r="N2" s="760" t="s">
        <v>979</v>
      </c>
      <c r="O2" s="760" t="s">
        <v>980</v>
      </c>
      <c r="P2" s="760" t="s">
        <v>981</v>
      </c>
      <c r="Q2" s="760" t="s">
        <v>982</v>
      </c>
      <c r="R2" s="760" t="s">
        <v>983</v>
      </c>
      <c r="S2" s="760" t="s">
        <v>984</v>
      </c>
      <c r="T2" s="760" t="s">
        <v>985</v>
      </c>
      <c r="U2" s="760" t="s">
        <v>986</v>
      </c>
      <c r="V2" s="760" t="s">
        <v>987</v>
      </c>
      <c r="W2" s="760" t="s">
        <v>988</v>
      </c>
      <c r="X2" s="760" t="s">
        <v>989</v>
      </c>
      <c r="Y2" s="760" t="s">
        <v>990</v>
      </c>
      <c r="Z2" s="760" t="s">
        <v>991</v>
      </c>
      <c r="AA2" s="760" t="s">
        <v>992</v>
      </c>
      <c r="AB2" s="760" t="s">
        <v>993</v>
      </c>
      <c r="AC2" s="760" t="s">
        <v>994</v>
      </c>
      <c r="AD2" s="760" t="s">
        <v>995</v>
      </c>
      <c r="AE2" s="760" t="s">
        <v>996</v>
      </c>
      <c r="AF2" s="760" t="s">
        <v>997</v>
      </c>
      <c r="AG2" s="760" t="s">
        <v>998</v>
      </c>
      <c r="AH2" s="760" t="s">
        <v>999</v>
      </c>
      <c r="AI2" s="760" t="s">
        <v>1000</v>
      </c>
      <c r="AJ2" s="760" t="s">
        <v>1001</v>
      </c>
      <c r="AK2" s="760" t="s">
        <v>1002</v>
      </c>
      <c r="AL2" s="760" t="s">
        <v>1003</v>
      </c>
      <c r="AM2" s="760" t="s">
        <v>1004</v>
      </c>
      <c r="AN2" s="760" t="s">
        <v>1005</v>
      </c>
      <c r="AO2" s="760" t="s">
        <v>1006</v>
      </c>
      <c r="AP2" s="760" t="s">
        <v>1007</v>
      </c>
      <c r="AQ2" s="761"/>
    </row>
    <row r="3" spans="1:43" hidden="1" outlineLevel="1">
      <c r="A3" s="759" t="s">
        <v>1008</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row>
    <row r="4" spans="1:43" hidden="1" outlineLevel="1">
      <c r="Q4" s="760" t="str">
        <f ca="1">_xll.ReportDrill('[53]JE Lookup'!B1,,_xll.PairGroup(_xll.Pair(G20:G53,'[53]JE Lookup'!N8),_xll.Pair(AB20:AB53,'[53]JE Lookup'!N7)),"JE Lookup")</f>
        <v>OK!: ReportDrill 'JE Lookup' Formula OK [jAction{}]</v>
      </c>
      <c r="U4" s="760" t="str">
        <f ca="1">_xll.ReportDrill(,"APDrill",_xll.PairGroup(_xll.PairExt(AQ20:AQ53,"H8")),"AP Detail")</f>
        <v>OK!: ReportDrill 'AP Detail' Formula OK [jAction{}]</v>
      </c>
      <c r="Y4" s="760" t="str">
        <f ca="1">_xll.ReportDrill(,"JEStaged_DrillToDetail",_xll.PairGroup(_xll.PairExt(Q19:Q53,"dControlNum",TRUE),_xll.PairExt(AP19:AP53,"dDistrict",TRUE),_xll.PairExt(AO19:AO53,"dApplyMonth",TRUE)),"JE Staged Details")</f>
        <v>OK!: ReportDrill 'JE Staged Details' Formula OK [jAction{}]</v>
      </c>
    </row>
    <row r="5" spans="1:43" hidden="1" outlineLevel="1">
      <c r="B5" s="760" t="str">
        <f ca="1">_xll.ReportRange("JEQuery_WithStaged",B20:AS52,B2:AS2,,_xll.Param(I12,DateTo,IF(M12="","all",M12),M13,M14,M15,P12,P13,P14,P15,EntrieShownLimit,DateFrom,DateTo),TRUE)</f>
        <v>OK!: ReportRange Formula OK [jAction{}]</v>
      </c>
      <c r="Q5" s="760" t="str">
        <f ca="1">_xll.ReportDrill('[53]JE Lookup'!B1,,_xll.PairGroup(_xll.Pair(V20:V53,'[53]JE Lookup'!N8),_xll.Pair(AS20:AS53,'[53]JE Lookup'!N7)),"I/C Originating JE")</f>
        <v>OK!: ReportDrill 'I/C Originating JE' Formula OK [jAction{}]</v>
      </c>
    </row>
    <row r="6" spans="1:43" hidden="1" outlineLevel="1">
      <c r="B6" s="762" t="s">
        <v>1009</v>
      </c>
      <c r="D6" s="760">
        <v>10000</v>
      </c>
    </row>
    <row r="7" spans="1:43" hidden="1" outlineLevel="1">
      <c r="A7" s="759" t="s">
        <v>1010</v>
      </c>
      <c r="B7" s="759"/>
      <c r="C7" s="759"/>
      <c r="D7" s="759"/>
      <c r="E7" s="759"/>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c r="AK7" s="759"/>
      <c r="AL7" s="759"/>
      <c r="AM7" s="759"/>
      <c r="AN7" s="759"/>
      <c r="AO7" s="759"/>
      <c r="AP7" s="759"/>
      <c r="AQ7" s="759"/>
    </row>
    <row r="8" spans="1:43" hidden="1" outlineLevel="1">
      <c r="B8" s="763" t="s">
        <v>1011</v>
      </c>
      <c r="C8" s="760" t="str">
        <f>IF(DateFrom="",CurrentMonth,DateFrom)</f>
        <v>2018-05</v>
      </c>
      <c r="E8" s="763" t="s">
        <v>1012</v>
      </c>
      <c r="G8" s="760" t="str">
        <f>IF(DateTo="",CurrentMonth,DateTo)</f>
        <v>2019-04</v>
      </c>
      <c r="I8" s="763" t="s">
        <v>1013</v>
      </c>
      <c r="J8" s="764" t="str">
        <f ca="1">TEXT(NOW() - 15,"yyyy-mm")</f>
        <v>2019-05</v>
      </c>
    </row>
    <row r="9" spans="1:43" ht="18" collapsed="1">
      <c r="B9" s="765" t="s">
        <v>1014</v>
      </c>
      <c r="G9" s="766" t="s">
        <v>1015</v>
      </c>
      <c r="P9" s="767"/>
      <c r="U9" s="762"/>
    </row>
    <row r="10" spans="1:43" ht="14.25">
      <c r="B10" s="761" t="s">
        <v>1016</v>
      </c>
      <c r="G10" s="768"/>
      <c r="P10" s="767"/>
      <c r="U10" s="762"/>
    </row>
    <row r="11" spans="1:43">
      <c r="G11" s="769" t="s">
        <v>1017</v>
      </c>
      <c r="H11" s="770"/>
      <c r="I11" s="771"/>
      <c r="L11" s="770" t="s">
        <v>1018</v>
      </c>
      <c r="M11" s="770"/>
      <c r="N11" s="770"/>
      <c r="O11" s="770"/>
      <c r="P11" s="770"/>
      <c r="U11" s="761"/>
    </row>
    <row r="12" spans="1:43" s="762" customFormat="1">
      <c r="H12" s="772" t="s">
        <v>1019</v>
      </c>
      <c r="I12" s="773" t="s">
        <v>1020</v>
      </c>
      <c r="K12" s="774"/>
      <c r="L12" s="762" t="s">
        <v>1021</v>
      </c>
      <c r="M12" s="773" t="s">
        <v>1806</v>
      </c>
      <c r="O12" s="772" t="s">
        <v>1022</v>
      </c>
      <c r="P12" s="775"/>
      <c r="Z12" s="760"/>
      <c r="AA12" s="760"/>
      <c r="AB12" s="760"/>
      <c r="AH12" s="760"/>
      <c r="AI12" s="760"/>
      <c r="AJ12" s="760"/>
      <c r="AK12" s="760"/>
      <c r="AL12" s="760"/>
    </row>
    <row r="13" spans="1:43" s="762" customFormat="1">
      <c r="H13" s="772" t="s">
        <v>1023</v>
      </c>
      <c r="I13" s="773" t="s">
        <v>824</v>
      </c>
      <c r="K13" s="774"/>
      <c r="L13" s="762" t="s">
        <v>1024</v>
      </c>
      <c r="M13" s="773" t="s">
        <v>1807</v>
      </c>
      <c r="N13" s="760"/>
      <c r="O13" s="772" t="s">
        <v>1025</v>
      </c>
      <c r="P13" s="730"/>
      <c r="Q13" s="776"/>
      <c r="Z13" s="760"/>
      <c r="AA13" s="760"/>
      <c r="AB13" s="760"/>
      <c r="AH13" s="760"/>
      <c r="AI13" s="760"/>
      <c r="AJ13" s="760"/>
      <c r="AK13" s="760"/>
      <c r="AL13" s="760"/>
    </row>
    <row r="14" spans="1:43">
      <c r="L14" s="762" t="s">
        <v>195</v>
      </c>
      <c r="M14" s="773" t="s">
        <v>194</v>
      </c>
      <c r="O14" s="772" t="s">
        <v>1026</v>
      </c>
      <c r="P14" s="730"/>
      <c r="Q14" s="776"/>
    </row>
    <row r="15" spans="1:43">
      <c r="L15" s="762" t="s">
        <v>1027</v>
      </c>
      <c r="M15" s="773" t="s">
        <v>194</v>
      </c>
      <c r="O15" s="772" t="s">
        <v>1028</v>
      </c>
      <c r="P15" s="777" t="s">
        <v>655</v>
      </c>
    </row>
    <row r="16" spans="1:43">
      <c r="B16" s="778" t="s">
        <v>1029</v>
      </c>
      <c r="C16" s="779"/>
      <c r="D16" s="735">
        <f>SUM(D19:D53)</f>
        <v>41642.300000000003</v>
      </c>
      <c r="E16" s="735">
        <f>SUM(E19:E53)</f>
        <v>0</v>
      </c>
      <c r="F16" s="760" t="s">
        <v>1030</v>
      </c>
      <c r="N16" s="780"/>
      <c r="O16" s="780"/>
      <c r="P16" s="780"/>
      <c r="Q16" s="780"/>
    </row>
    <row r="17" spans="2:45">
      <c r="B17" s="778" t="s">
        <v>1031</v>
      </c>
      <c r="C17" s="779"/>
      <c r="D17" s="737">
        <f>COUNT(D20:D54)</f>
        <v>32</v>
      </c>
      <c r="E17" s="737">
        <f>COUNT(E20:E54)</f>
        <v>32</v>
      </c>
      <c r="F17" s="761" t="s">
        <v>1032</v>
      </c>
      <c r="G17" s="781" t="str">
        <f>""&amp;EntrieShownLimit</f>
        <v>10000</v>
      </c>
    </row>
    <row r="18" spans="2:45">
      <c r="O18" s="782"/>
      <c r="R18" s="783" t="s">
        <v>1033</v>
      </c>
      <c r="S18" s="784"/>
      <c r="T18" s="784"/>
      <c r="U18" s="784"/>
      <c r="V18" s="784"/>
      <c r="W18" s="784"/>
      <c r="X18" s="784"/>
      <c r="Y18" s="784"/>
      <c r="Z18" s="785"/>
      <c r="AA18" s="785"/>
      <c r="AB18" s="785"/>
      <c r="AC18" s="785"/>
      <c r="AD18" s="785"/>
      <c r="AE18" s="785"/>
      <c r="AF18" s="785"/>
      <c r="AG18" s="785"/>
      <c r="AH18" s="785"/>
      <c r="AI18" s="785"/>
      <c r="AJ18" s="785"/>
      <c r="AK18" s="785"/>
      <c r="AL18" s="785"/>
      <c r="AM18" s="785"/>
      <c r="AN18" s="785"/>
      <c r="AO18" s="785"/>
      <c r="AP18" s="785"/>
      <c r="AQ18" s="785"/>
    </row>
    <row r="19" spans="2:45" s="796" customFormat="1" ht="29.25" customHeight="1" thickBot="1">
      <c r="B19" s="786" t="s">
        <v>1034</v>
      </c>
      <c r="C19" s="787" t="s">
        <v>1035</v>
      </c>
      <c r="D19" s="788" t="s">
        <v>1036</v>
      </c>
      <c r="E19" s="788" t="s">
        <v>1037</v>
      </c>
      <c r="F19" s="788" t="s">
        <v>1038</v>
      </c>
      <c r="G19" s="789" t="s">
        <v>1039</v>
      </c>
      <c r="H19" s="786" t="s">
        <v>1040</v>
      </c>
      <c r="I19" s="786" t="s">
        <v>1041</v>
      </c>
      <c r="J19" s="786" t="s">
        <v>975</v>
      </c>
      <c r="K19" s="786" t="s">
        <v>1042</v>
      </c>
      <c r="L19" s="786" t="s">
        <v>1043</v>
      </c>
      <c r="M19" s="786" t="s">
        <v>1044</v>
      </c>
      <c r="N19" s="786" t="s">
        <v>1045</v>
      </c>
      <c r="O19" s="790" t="s">
        <v>1808</v>
      </c>
      <c r="P19" s="791" t="s">
        <v>979</v>
      </c>
      <c r="Q19" s="791" t="s">
        <v>1035</v>
      </c>
      <c r="R19" s="792" t="s">
        <v>1809</v>
      </c>
      <c r="S19" s="793" t="s">
        <v>1810</v>
      </c>
      <c r="T19" s="786" t="s">
        <v>1051</v>
      </c>
      <c r="U19" s="786" t="s">
        <v>1052</v>
      </c>
      <c r="V19" s="786" t="s">
        <v>1053</v>
      </c>
      <c r="W19" s="786" t="s">
        <v>1054</v>
      </c>
      <c r="X19" s="786" t="s">
        <v>1055</v>
      </c>
      <c r="Y19" s="786" t="s">
        <v>1056</v>
      </c>
      <c r="Z19" s="786" t="s">
        <v>1057</v>
      </c>
      <c r="AA19" s="786" t="s">
        <v>1058</v>
      </c>
      <c r="AB19" s="786" t="s">
        <v>1059</v>
      </c>
      <c r="AC19" s="794" t="s">
        <v>1060</v>
      </c>
      <c r="AD19" s="794" t="s">
        <v>1061</v>
      </c>
      <c r="AE19" s="794" t="s">
        <v>1062</v>
      </c>
      <c r="AF19" s="794" t="s">
        <v>1063</v>
      </c>
      <c r="AG19" s="794" t="s">
        <v>1064</v>
      </c>
      <c r="AH19" s="794" t="s">
        <v>1065</v>
      </c>
      <c r="AI19" s="787" t="s">
        <v>1066</v>
      </c>
      <c r="AJ19" s="787" t="s">
        <v>1067</v>
      </c>
      <c r="AK19" s="787" t="s">
        <v>1068</v>
      </c>
      <c r="AL19" s="787" t="s">
        <v>1069</v>
      </c>
      <c r="AM19" s="787" t="s">
        <v>1070</v>
      </c>
      <c r="AN19" s="787" t="s">
        <v>1005</v>
      </c>
      <c r="AO19" s="795" t="s">
        <v>1071</v>
      </c>
      <c r="AP19" s="795" t="s">
        <v>1072</v>
      </c>
      <c r="AQ19" s="795" t="s">
        <v>1073</v>
      </c>
    </row>
    <row r="20" spans="2:45" s="797" customFormat="1">
      <c r="B20" s="797" t="s">
        <v>1811</v>
      </c>
      <c r="C20" s="798">
        <v>43343</v>
      </c>
      <c r="D20" s="799">
        <v>-6731</v>
      </c>
      <c r="E20" s="799">
        <v>0</v>
      </c>
      <c r="F20" s="800" t="s">
        <v>1074</v>
      </c>
      <c r="G20" s="797" t="s">
        <v>1812</v>
      </c>
      <c r="H20" s="801" t="s">
        <v>1075</v>
      </c>
      <c r="I20" s="797" t="s">
        <v>1813</v>
      </c>
      <c r="J20" s="797" t="s">
        <v>1146</v>
      </c>
      <c r="K20" s="797" t="s">
        <v>1078</v>
      </c>
      <c r="L20" s="802"/>
      <c r="M20" s="802"/>
      <c r="N20" s="802" t="s">
        <v>1814</v>
      </c>
      <c r="O20" s="803" t="s">
        <v>1815</v>
      </c>
      <c r="P20" s="803" t="s">
        <v>1816</v>
      </c>
      <c r="Q20" s="804">
        <v>43106</v>
      </c>
      <c r="R20" s="805" t="s">
        <v>306</v>
      </c>
      <c r="S20" s="805" t="s">
        <v>1817</v>
      </c>
      <c r="U20" s="797" t="s">
        <v>1818</v>
      </c>
      <c r="V20" s="797" t="s">
        <v>1818</v>
      </c>
      <c r="X20" s="798">
        <v>43347</v>
      </c>
      <c r="Y20" s="798">
        <v>43347</v>
      </c>
      <c r="AA20" s="798"/>
      <c r="AB20" s="797" t="s">
        <v>1079</v>
      </c>
      <c r="AC20" s="797">
        <v>0</v>
      </c>
      <c r="AD20" s="797">
        <v>0</v>
      </c>
      <c r="AE20" s="797">
        <v>0</v>
      </c>
      <c r="AF20" s="797">
        <v>0</v>
      </c>
      <c r="AG20" s="797">
        <v>0</v>
      </c>
      <c r="AH20" s="797">
        <v>1</v>
      </c>
      <c r="AI20" s="797">
        <v>59341</v>
      </c>
      <c r="AJ20" s="797">
        <v>2183</v>
      </c>
      <c r="AK20" s="797">
        <v>0</v>
      </c>
      <c r="AL20" s="797">
        <v>0</v>
      </c>
      <c r="AO20" s="801"/>
      <c r="AP20" s="801"/>
      <c r="AQ20" s="797" t="str">
        <f t="shared" ref="AQ20:AQ51" si="0">IF(LEFT(U20,2)="VO",U20,"")</f>
        <v/>
      </c>
      <c r="AS20" s="797" t="str">
        <f t="shared" ref="AS20:AS51" si="1">IF(RIGHT(K20,2)="IC",IF(OR(AB20="wci_canada",AB20="wci_can_corp"),"wci_can_Corp","wci_corp"),AB20)</f>
        <v>wci_corp</v>
      </c>
    </row>
    <row r="21" spans="2:45">
      <c r="B21" s="760" t="s">
        <v>1819</v>
      </c>
      <c r="C21" s="806">
        <v>43281</v>
      </c>
      <c r="D21" s="807">
        <v>-1250</v>
      </c>
      <c r="E21" s="807">
        <v>0</v>
      </c>
      <c r="F21" s="808" t="s">
        <v>1074</v>
      </c>
      <c r="G21" s="760" t="s">
        <v>1820</v>
      </c>
      <c r="H21" s="809" t="s">
        <v>1075</v>
      </c>
      <c r="I21" s="760" t="s">
        <v>1821</v>
      </c>
      <c r="J21" s="760" t="s">
        <v>1082</v>
      </c>
      <c r="K21" s="760" t="s">
        <v>1078</v>
      </c>
      <c r="L21" s="764"/>
      <c r="M21" s="764"/>
      <c r="N21" s="764" t="s">
        <v>1822</v>
      </c>
      <c r="O21" s="810" t="s">
        <v>1823</v>
      </c>
      <c r="P21" s="810" t="s">
        <v>1824</v>
      </c>
      <c r="Q21" s="811">
        <v>43168</v>
      </c>
      <c r="R21" s="812" t="s">
        <v>305</v>
      </c>
      <c r="S21" s="812" t="s">
        <v>1825</v>
      </c>
      <c r="U21" s="760" t="s">
        <v>1826</v>
      </c>
      <c r="V21" s="760" t="s">
        <v>1826</v>
      </c>
      <c r="X21" s="806">
        <v>43278</v>
      </c>
      <c r="Y21" s="806">
        <v>43278</v>
      </c>
      <c r="AA21" s="806"/>
      <c r="AB21" s="760" t="s">
        <v>1079</v>
      </c>
      <c r="AC21" s="760">
        <v>0</v>
      </c>
      <c r="AD21" s="760">
        <v>0</v>
      </c>
      <c r="AE21" s="760">
        <v>0</v>
      </c>
      <c r="AF21" s="760">
        <v>0</v>
      </c>
      <c r="AG21" s="760">
        <v>0</v>
      </c>
      <c r="AH21" s="760">
        <v>1</v>
      </c>
      <c r="AI21" s="760">
        <v>59341</v>
      </c>
      <c r="AJ21" s="760">
        <v>2184</v>
      </c>
      <c r="AK21" s="760">
        <v>0</v>
      </c>
      <c r="AL21" s="760">
        <v>0</v>
      </c>
      <c r="AO21" s="809"/>
      <c r="AP21" s="809"/>
      <c r="AQ21" s="760" t="str">
        <f t="shared" si="0"/>
        <v/>
      </c>
      <c r="AS21" s="760" t="str">
        <f t="shared" si="1"/>
        <v>wci_corp</v>
      </c>
    </row>
    <row r="22" spans="2:45">
      <c r="B22" s="760" t="s">
        <v>1819</v>
      </c>
      <c r="C22" s="806">
        <v>43343</v>
      </c>
      <c r="D22" s="807">
        <v>17620</v>
      </c>
      <c r="E22" s="807">
        <v>0</v>
      </c>
      <c r="F22" s="808" t="s">
        <v>1074</v>
      </c>
      <c r="G22" s="760" t="s">
        <v>1812</v>
      </c>
      <c r="H22" s="809" t="s">
        <v>1075</v>
      </c>
      <c r="I22" s="760" t="s">
        <v>1813</v>
      </c>
      <c r="J22" s="760" t="s">
        <v>1146</v>
      </c>
      <c r="K22" s="760" t="s">
        <v>1078</v>
      </c>
      <c r="L22" s="764"/>
      <c r="M22" s="764"/>
      <c r="N22" s="764" t="s">
        <v>1822</v>
      </c>
      <c r="O22" s="810" t="s">
        <v>1823</v>
      </c>
      <c r="P22" s="810" t="s">
        <v>1824</v>
      </c>
      <c r="Q22" s="811">
        <v>43168</v>
      </c>
      <c r="R22" s="812"/>
      <c r="S22" s="812"/>
      <c r="U22" s="760" t="s">
        <v>1818</v>
      </c>
      <c r="V22" s="760" t="s">
        <v>1818</v>
      </c>
      <c r="X22" s="806">
        <v>43347</v>
      </c>
      <c r="Y22" s="806">
        <v>43347</v>
      </c>
      <c r="AA22" s="806"/>
      <c r="AB22" s="760" t="s">
        <v>1079</v>
      </c>
      <c r="AC22" s="760">
        <v>0</v>
      </c>
      <c r="AD22" s="760">
        <v>0</v>
      </c>
      <c r="AE22" s="760">
        <v>0</v>
      </c>
      <c r="AF22" s="760">
        <v>0</v>
      </c>
      <c r="AG22" s="760">
        <v>0</v>
      </c>
      <c r="AH22" s="760">
        <v>1</v>
      </c>
      <c r="AI22" s="760">
        <v>59341</v>
      </c>
      <c r="AJ22" s="760">
        <v>2184</v>
      </c>
      <c r="AK22" s="760">
        <v>0</v>
      </c>
      <c r="AL22" s="760">
        <v>0</v>
      </c>
      <c r="AO22" s="809"/>
      <c r="AP22" s="809"/>
      <c r="AQ22" s="760" t="str">
        <f t="shared" si="0"/>
        <v/>
      </c>
      <c r="AS22" s="760" t="str">
        <f t="shared" si="1"/>
        <v>wci_corp</v>
      </c>
    </row>
    <row r="23" spans="2:45" s="797" customFormat="1">
      <c r="B23" s="797" t="s">
        <v>1819</v>
      </c>
      <c r="C23" s="798">
        <v>43434</v>
      </c>
      <c r="D23" s="799">
        <v>500</v>
      </c>
      <c r="E23" s="799">
        <v>0</v>
      </c>
      <c r="F23" s="800" t="s">
        <v>1074</v>
      </c>
      <c r="G23" s="797" t="s">
        <v>1827</v>
      </c>
      <c r="H23" s="801" t="s">
        <v>1075</v>
      </c>
      <c r="I23" s="797" t="s">
        <v>1828</v>
      </c>
      <c r="J23" s="797" t="s">
        <v>1082</v>
      </c>
      <c r="K23" s="797" t="s">
        <v>1078</v>
      </c>
      <c r="L23" s="802"/>
      <c r="M23" s="802"/>
      <c r="N23" s="802" t="s">
        <v>1822</v>
      </c>
      <c r="O23" s="803" t="s">
        <v>1823</v>
      </c>
      <c r="P23" s="803" t="s">
        <v>1824</v>
      </c>
      <c r="Q23" s="804">
        <v>43168</v>
      </c>
      <c r="R23" s="805"/>
      <c r="S23" s="805"/>
      <c r="U23" s="797" t="s">
        <v>1829</v>
      </c>
      <c r="V23" s="797" t="s">
        <v>1829</v>
      </c>
      <c r="X23" s="798">
        <v>43437</v>
      </c>
      <c r="Y23" s="798">
        <v>43437</v>
      </c>
      <c r="AA23" s="798"/>
      <c r="AB23" s="797" t="s">
        <v>1079</v>
      </c>
      <c r="AC23" s="797">
        <v>0</v>
      </c>
      <c r="AD23" s="797">
        <v>0</v>
      </c>
      <c r="AE23" s="797">
        <v>0</v>
      </c>
      <c r="AF23" s="797">
        <v>0</v>
      </c>
      <c r="AG23" s="797">
        <v>0</v>
      </c>
      <c r="AH23" s="797">
        <v>1</v>
      </c>
      <c r="AI23" s="797">
        <v>59341</v>
      </c>
      <c r="AJ23" s="797">
        <v>2184</v>
      </c>
      <c r="AK23" s="797">
        <v>0</v>
      </c>
      <c r="AL23" s="797">
        <v>0</v>
      </c>
      <c r="AO23" s="801"/>
      <c r="AP23" s="801"/>
      <c r="AQ23" s="797" t="str">
        <f t="shared" si="0"/>
        <v/>
      </c>
      <c r="AS23" s="797" t="str">
        <f t="shared" si="1"/>
        <v>wci_corp</v>
      </c>
    </row>
    <row r="24" spans="2:45">
      <c r="B24" s="760" t="s">
        <v>1811</v>
      </c>
      <c r="C24" s="806">
        <v>43312</v>
      </c>
      <c r="D24" s="807">
        <v>5000</v>
      </c>
      <c r="E24" s="807">
        <v>0</v>
      </c>
      <c r="F24" s="808" t="s">
        <v>1074</v>
      </c>
      <c r="G24" s="760" t="s">
        <v>1830</v>
      </c>
      <c r="H24" s="809" t="s">
        <v>1075</v>
      </c>
      <c r="I24" s="760" t="s">
        <v>1831</v>
      </c>
      <c r="J24" s="760" t="s">
        <v>1146</v>
      </c>
      <c r="K24" s="760" t="s">
        <v>1078</v>
      </c>
      <c r="L24" s="764"/>
      <c r="M24" s="764"/>
      <c r="N24" s="764" t="s">
        <v>1832</v>
      </c>
      <c r="O24" s="810" t="s">
        <v>1833</v>
      </c>
      <c r="P24" s="810" t="s">
        <v>1834</v>
      </c>
      <c r="Q24" s="811">
        <v>43200</v>
      </c>
      <c r="R24" s="812" t="s">
        <v>1835</v>
      </c>
      <c r="S24" s="812" t="s">
        <v>1817</v>
      </c>
      <c r="U24" s="760" t="s">
        <v>1836</v>
      </c>
      <c r="V24" s="760" t="s">
        <v>1836</v>
      </c>
      <c r="X24" s="806">
        <v>43313</v>
      </c>
      <c r="Y24" s="806">
        <v>43313</v>
      </c>
      <c r="AA24" s="806"/>
      <c r="AB24" s="760" t="s">
        <v>1079</v>
      </c>
      <c r="AC24" s="760">
        <v>0</v>
      </c>
      <c r="AD24" s="760">
        <v>0</v>
      </c>
      <c r="AE24" s="760">
        <v>0</v>
      </c>
      <c r="AF24" s="760">
        <v>0</v>
      </c>
      <c r="AG24" s="760">
        <v>0</v>
      </c>
      <c r="AH24" s="760">
        <v>1</v>
      </c>
      <c r="AI24" s="760">
        <v>59341</v>
      </c>
      <c r="AJ24" s="760">
        <v>2183</v>
      </c>
      <c r="AK24" s="760">
        <v>0</v>
      </c>
      <c r="AL24" s="760">
        <v>0</v>
      </c>
      <c r="AO24" s="809"/>
      <c r="AP24" s="809"/>
      <c r="AQ24" s="760" t="str">
        <f t="shared" si="0"/>
        <v/>
      </c>
      <c r="AS24" s="760" t="str">
        <f t="shared" si="1"/>
        <v>wci_corp</v>
      </c>
    </row>
    <row r="25" spans="2:45" s="797" customFormat="1">
      <c r="B25" s="797" t="s">
        <v>1811</v>
      </c>
      <c r="C25" s="798">
        <v>43373</v>
      </c>
      <c r="D25" s="799">
        <v>103.52</v>
      </c>
      <c r="E25" s="799">
        <v>0</v>
      </c>
      <c r="F25" s="800" t="s">
        <v>1074</v>
      </c>
      <c r="G25" s="797" t="s">
        <v>1837</v>
      </c>
      <c r="H25" s="801" t="s">
        <v>1075</v>
      </c>
      <c r="I25" s="797" t="s">
        <v>1838</v>
      </c>
      <c r="J25" s="797" t="s">
        <v>1082</v>
      </c>
      <c r="K25" s="797" t="s">
        <v>1078</v>
      </c>
      <c r="L25" s="802"/>
      <c r="M25" s="802"/>
      <c r="N25" s="802" t="s">
        <v>1832</v>
      </c>
      <c r="O25" s="803" t="s">
        <v>1833</v>
      </c>
      <c r="P25" s="803" t="s">
        <v>1834</v>
      </c>
      <c r="Q25" s="804">
        <v>43200</v>
      </c>
      <c r="R25" s="805"/>
      <c r="S25" s="805"/>
      <c r="U25" s="797" t="s">
        <v>1839</v>
      </c>
      <c r="V25" s="797" t="s">
        <v>1839</v>
      </c>
      <c r="X25" s="798">
        <v>43374</v>
      </c>
      <c r="Y25" s="798">
        <v>43374</v>
      </c>
      <c r="AA25" s="798"/>
      <c r="AB25" s="797" t="s">
        <v>1079</v>
      </c>
      <c r="AC25" s="797">
        <v>0</v>
      </c>
      <c r="AD25" s="797">
        <v>0</v>
      </c>
      <c r="AE25" s="797">
        <v>0</v>
      </c>
      <c r="AF25" s="797">
        <v>0</v>
      </c>
      <c r="AG25" s="797">
        <v>0</v>
      </c>
      <c r="AH25" s="797">
        <v>1</v>
      </c>
      <c r="AI25" s="797">
        <v>59341</v>
      </c>
      <c r="AJ25" s="797">
        <v>2183</v>
      </c>
      <c r="AK25" s="797">
        <v>0</v>
      </c>
      <c r="AL25" s="797">
        <v>0</v>
      </c>
      <c r="AO25" s="801"/>
      <c r="AP25" s="801"/>
      <c r="AQ25" s="797" t="str">
        <f t="shared" si="0"/>
        <v/>
      </c>
      <c r="AS25" s="797" t="str">
        <f t="shared" si="1"/>
        <v>wci_corp</v>
      </c>
    </row>
    <row r="26" spans="2:45">
      <c r="B26" s="760" t="s">
        <v>1811</v>
      </c>
      <c r="C26" s="806">
        <v>43281</v>
      </c>
      <c r="D26" s="807">
        <v>-431.33</v>
      </c>
      <c r="E26" s="807">
        <v>0</v>
      </c>
      <c r="F26" s="808" t="s">
        <v>1074</v>
      </c>
      <c r="G26" s="760" t="s">
        <v>1820</v>
      </c>
      <c r="H26" s="809" t="s">
        <v>1075</v>
      </c>
      <c r="I26" s="760" t="s">
        <v>1821</v>
      </c>
      <c r="J26" s="760" t="s">
        <v>1082</v>
      </c>
      <c r="K26" s="760" t="s">
        <v>1078</v>
      </c>
      <c r="L26" s="764"/>
      <c r="M26" s="764"/>
      <c r="N26" s="813" t="s">
        <v>1840</v>
      </c>
      <c r="O26" s="810" t="s">
        <v>1841</v>
      </c>
      <c r="P26" s="810" t="s">
        <v>1842</v>
      </c>
      <c r="Q26" s="811">
        <v>43206</v>
      </c>
      <c r="R26" s="812" t="s">
        <v>306</v>
      </c>
      <c r="S26" s="812" t="s">
        <v>1817</v>
      </c>
      <c r="U26" s="760" t="s">
        <v>1826</v>
      </c>
      <c r="V26" s="760" t="s">
        <v>1826</v>
      </c>
      <c r="X26" s="806">
        <v>43278</v>
      </c>
      <c r="Y26" s="806">
        <v>43278</v>
      </c>
      <c r="AA26" s="806"/>
      <c r="AB26" s="760" t="s">
        <v>1079</v>
      </c>
      <c r="AC26" s="760">
        <v>0</v>
      </c>
      <c r="AD26" s="760">
        <v>0</v>
      </c>
      <c r="AE26" s="760">
        <v>0</v>
      </c>
      <c r="AF26" s="760">
        <v>0</v>
      </c>
      <c r="AG26" s="760">
        <v>0</v>
      </c>
      <c r="AH26" s="760">
        <v>1</v>
      </c>
      <c r="AI26" s="760">
        <v>59341</v>
      </c>
      <c r="AJ26" s="760">
        <v>2183</v>
      </c>
      <c r="AK26" s="760">
        <v>0</v>
      </c>
      <c r="AL26" s="760">
        <v>0</v>
      </c>
      <c r="AO26" s="809"/>
      <c r="AP26" s="809"/>
      <c r="AQ26" s="760" t="str">
        <f t="shared" si="0"/>
        <v/>
      </c>
      <c r="AS26" s="760" t="str">
        <f t="shared" si="1"/>
        <v>wci_corp</v>
      </c>
    </row>
    <row r="27" spans="2:45" s="797" customFormat="1">
      <c r="B27" s="797" t="s">
        <v>1811</v>
      </c>
      <c r="C27" s="798">
        <v>43404</v>
      </c>
      <c r="D27" s="799">
        <v>110.13</v>
      </c>
      <c r="E27" s="799">
        <v>0</v>
      </c>
      <c r="F27" s="800" t="s">
        <v>1074</v>
      </c>
      <c r="G27" s="797" t="s">
        <v>1843</v>
      </c>
      <c r="H27" s="801" t="s">
        <v>1075</v>
      </c>
      <c r="I27" s="797" t="s">
        <v>1844</v>
      </c>
      <c r="J27" s="797" t="s">
        <v>1092</v>
      </c>
      <c r="K27" s="797" t="s">
        <v>1078</v>
      </c>
      <c r="L27" s="802"/>
      <c r="M27" s="802"/>
      <c r="N27" s="802" t="s">
        <v>1840</v>
      </c>
      <c r="O27" s="803" t="s">
        <v>1841</v>
      </c>
      <c r="P27" s="803" t="s">
        <v>1842</v>
      </c>
      <c r="Q27" s="804">
        <v>43206</v>
      </c>
      <c r="R27" s="805"/>
      <c r="S27" s="805"/>
      <c r="U27" s="797" t="s">
        <v>1845</v>
      </c>
      <c r="V27" s="797" t="s">
        <v>1845</v>
      </c>
      <c r="X27" s="798">
        <v>43404</v>
      </c>
      <c r="Y27" s="798">
        <v>43404</v>
      </c>
      <c r="AA27" s="798"/>
      <c r="AB27" s="797" t="s">
        <v>1079</v>
      </c>
      <c r="AC27" s="797">
        <v>0</v>
      </c>
      <c r="AD27" s="797">
        <v>0</v>
      </c>
      <c r="AE27" s="797">
        <v>0</v>
      </c>
      <c r="AF27" s="797">
        <v>0</v>
      </c>
      <c r="AG27" s="797">
        <v>0</v>
      </c>
      <c r="AH27" s="797">
        <v>1</v>
      </c>
      <c r="AI27" s="797">
        <v>59341</v>
      </c>
      <c r="AJ27" s="797">
        <v>2183</v>
      </c>
      <c r="AK27" s="797">
        <v>0</v>
      </c>
      <c r="AL27" s="797">
        <v>0</v>
      </c>
      <c r="AO27" s="801"/>
      <c r="AP27" s="801"/>
      <c r="AQ27" s="797" t="str">
        <f t="shared" si="0"/>
        <v/>
      </c>
      <c r="AS27" s="797" t="str">
        <f t="shared" si="1"/>
        <v>wci_corp</v>
      </c>
    </row>
    <row r="28" spans="2:45">
      <c r="B28" s="760" t="s">
        <v>1811</v>
      </c>
      <c r="C28" s="806">
        <v>43312</v>
      </c>
      <c r="D28" s="807">
        <v>1250</v>
      </c>
      <c r="E28" s="807">
        <v>0</v>
      </c>
      <c r="F28" s="808" t="s">
        <v>1074</v>
      </c>
      <c r="G28" s="760" t="s">
        <v>1830</v>
      </c>
      <c r="H28" s="809" t="s">
        <v>1075</v>
      </c>
      <c r="I28" s="760" t="s">
        <v>1831</v>
      </c>
      <c r="J28" s="760" t="s">
        <v>1146</v>
      </c>
      <c r="K28" s="760" t="s">
        <v>1078</v>
      </c>
      <c r="L28" s="764"/>
      <c r="M28" s="764"/>
      <c r="N28" s="764" t="s">
        <v>1846</v>
      </c>
      <c r="O28" s="810" t="s">
        <v>1847</v>
      </c>
      <c r="P28" s="810" t="s">
        <v>1848</v>
      </c>
      <c r="Q28" s="811">
        <v>43269</v>
      </c>
      <c r="R28" s="812" t="s">
        <v>305</v>
      </c>
      <c r="S28" s="812" t="s">
        <v>1817</v>
      </c>
      <c r="U28" s="760" t="s">
        <v>1836</v>
      </c>
      <c r="V28" s="760" t="s">
        <v>1836</v>
      </c>
      <c r="X28" s="806">
        <v>43313</v>
      </c>
      <c r="Y28" s="806">
        <v>43313</v>
      </c>
      <c r="AA28" s="806"/>
      <c r="AB28" s="760" t="s">
        <v>1079</v>
      </c>
      <c r="AC28" s="760">
        <v>0</v>
      </c>
      <c r="AD28" s="760">
        <v>0</v>
      </c>
      <c r="AE28" s="760">
        <v>0</v>
      </c>
      <c r="AF28" s="760">
        <v>0</v>
      </c>
      <c r="AG28" s="760">
        <v>0</v>
      </c>
      <c r="AH28" s="760">
        <v>1</v>
      </c>
      <c r="AI28" s="760">
        <v>59341</v>
      </c>
      <c r="AJ28" s="760">
        <v>2183</v>
      </c>
      <c r="AK28" s="760">
        <v>0</v>
      </c>
      <c r="AL28" s="760">
        <v>0</v>
      </c>
      <c r="AO28" s="809"/>
      <c r="AP28" s="809"/>
      <c r="AQ28" s="760" t="str">
        <f t="shared" si="0"/>
        <v/>
      </c>
      <c r="AS28" s="760" t="str">
        <f t="shared" si="1"/>
        <v>wci_corp</v>
      </c>
    </row>
    <row r="29" spans="2:45">
      <c r="B29" s="760" t="s">
        <v>1811</v>
      </c>
      <c r="C29" s="806">
        <v>43343</v>
      </c>
      <c r="D29" s="807">
        <v>3647.78</v>
      </c>
      <c r="E29" s="807">
        <v>0</v>
      </c>
      <c r="F29" s="808" t="s">
        <v>1074</v>
      </c>
      <c r="G29" s="760" t="s">
        <v>1812</v>
      </c>
      <c r="H29" s="809" t="s">
        <v>1075</v>
      </c>
      <c r="I29" s="760" t="s">
        <v>1813</v>
      </c>
      <c r="J29" s="760" t="s">
        <v>1146</v>
      </c>
      <c r="K29" s="760" t="s">
        <v>1078</v>
      </c>
      <c r="L29" s="764"/>
      <c r="M29" s="764"/>
      <c r="N29" s="764" t="s">
        <v>1846</v>
      </c>
      <c r="O29" s="810" t="s">
        <v>1847</v>
      </c>
      <c r="P29" s="810" t="s">
        <v>1848</v>
      </c>
      <c r="Q29" s="811">
        <v>43269</v>
      </c>
      <c r="R29" s="812"/>
      <c r="S29" s="812"/>
      <c r="U29" s="760" t="s">
        <v>1818</v>
      </c>
      <c r="V29" s="760" t="s">
        <v>1818</v>
      </c>
      <c r="X29" s="806">
        <v>43347</v>
      </c>
      <c r="Y29" s="806">
        <v>43347</v>
      </c>
      <c r="AA29" s="806"/>
      <c r="AB29" s="760" t="s">
        <v>1079</v>
      </c>
      <c r="AC29" s="760">
        <v>0</v>
      </c>
      <c r="AD29" s="760">
        <v>0</v>
      </c>
      <c r="AE29" s="760">
        <v>0</v>
      </c>
      <c r="AF29" s="760">
        <v>0</v>
      </c>
      <c r="AG29" s="760">
        <v>0</v>
      </c>
      <c r="AH29" s="760">
        <v>1</v>
      </c>
      <c r="AI29" s="760">
        <v>59341</v>
      </c>
      <c r="AJ29" s="760">
        <v>2183</v>
      </c>
      <c r="AK29" s="760">
        <v>0</v>
      </c>
      <c r="AL29" s="760">
        <v>0</v>
      </c>
      <c r="AO29" s="809"/>
      <c r="AP29" s="809"/>
      <c r="AQ29" s="760" t="str">
        <f t="shared" si="0"/>
        <v/>
      </c>
      <c r="AS29" s="760" t="str">
        <f t="shared" si="1"/>
        <v>wci_corp</v>
      </c>
    </row>
    <row r="30" spans="2:45" s="797" customFormat="1">
      <c r="B30" s="797" t="s">
        <v>1811</v>
      </c>
      <c r="C30" s="798">
        <v>43373</v>
      </c>
      <c r="D30" s="799">
        <v>35</v>
      </c>
      <c r="E30" s="799">
        <v>0</v>
      </c>
      <c r="F30" s="800" t="s">
        <v>1074</v>
      </c>
      <c r="G30" s="797" t="s">
        <v>1837</v>
      </c>
      <c r="H30" s="801" t="s">
        <v>1075</v>
      </c>
      <c r="I30" s="797" t="s">
        <v>1838</v>
      </c>
      <c r="J30" s="797" t="s">
        <v>1082</v>
      </c>
      <c r="K30" s="797" t="s">
        <v>1078</v>
      </c>
      <c r="L30" s="802"/>
      <c r="M30" s="802"/>
      <c r="N30" s="802" t="s">
        <v>1846</v>
      </c>
      <c r="O30" s="803" t="s">
        <v>1847</v>
      </c>
      <c r="P30" s="803" t="s">
        <v>1848</v>
      </c>
      <c r="Q30" s="804">
        <v>43269</v>
      </c>
      <c r="R30" s="805"/>
      <c r="S30" s="805"/>
      <c r="U30" s="797" t="s">
        <v>1839</v>
      </c>
      <c r="V30" s="797" t="s">
        <v>1839</v>
      </c>
      <c r="X30" s="798">
        <v>43374</v>
      </c>
      <c r="Y30" s="798">
        <v>43374</v>
      </c>
      <c r="AA30" s="798"/>
      <c r="AB30" s="797" t="s">
        <v>1079</v>
      </c>
      <c r="AC30" s="797">
        <v>0</v>
      </c>
      <c r="AD30" s="797">
        <v>0</v>
      </c>
      <c r="AE30" s="797">
        <v>0</v>
      </c>
      <c r="AF30" s="797">
        <v>0</v>
      </c>
      <c r="AG30" s="797">
        <v>0</v>
      </c>
      <c r="AH30" s="797">
        <v>1</v>
      </c>
      <c r="AI30" s="797">
        <v>59341</v>
      </c>
      <c r="AJ30" s="797">
        <v>2183</v>
      </c>
      <c r="AK30" s="797">
        <v>0</v>
      </c>
      <c r="AL30" s="797">
        <v>0</v>
      </c>
      <c r="AO30" s="801"/>
      <c r="AP30" s="801"/>
      <c r="AQ30" s="797" t="str">
        <f t="shared" si="0"/>
        <v/>
      </c>
      <c r="AS30" s="797" t="str">
        <f t="shared" si="1"/>
        <v>wci_corp</v>
      </c>
    </row>
    <row r="31" spans="2:45">
      <c r="B31" s="760" t="s">
        <v>1811</v>
      </c>
      <c r="C31" s="806">
        <v>43312</v>
      </c>
      <c r="D31" s="807">
        <v>3250</v>
      </c>
      <c r="E31" s="807">
        <v>0</v>
      </c>
      <c r="F31" s="808" t="s">
        <v>1074</v>
      </c>
      <c r="G31" s="760" t="s">
        <v>1830</v>
      </c>
      <c r="H31" s="809" t="s">
        <v>1075</v>
      </c>
      <c r="I31" s="760" t="s">
        <v>1831</v>
      </c>
      <c r="J31" s="760" t="s">
        <v>1146</v>
      </c>
      <c r="K31" s="760" t="s">
        <v>1078</v>
      </c>
      <c r="L31" s="764"/>
      <c r="M31" s="764"/>
      <c r="N31" s="764" t="s">
        <v>1849</v>
      </c>
      <c r="O31" s="810" t="s">
        <v>1850</v>
      </c>
      <c r="P31" s="810" t="s">
        <v>1848</v>
      </c>
      <c r="Q31" s="811">
        <v>43278</v>
      </c>
      <c r="R31" s="812" t="s">
        <v>1851</v>
      </c>
      <c r="S31" s="812" t="s">
        <v>1817</v>
      </c>
      <c r="U31" s="760" t="s">
        <v>1836</v>
      </c>
      <c r="V31" s="760" t="s">
        <v>1836</v>
      </c>
      <c r="X31" s="806">
        <v>43313</v>
      </c>
      <c r="Y31" s="806">
        <v>43313</v>
      </c>
      <c r="AA31" s="806"/>
      <c r="AB31" s="760" t="s">
        <v>1079</v>
      </c>
      <c r="AC31" s="760">
        <v>0</v>
      </c>
      <c r="AD31" s="760">
        <v>0</v>
      </c>
      <c r="AE31" s="760">
        <v>0</v>
      </c>
      <c r="AF31" s="760">
        <v>0</v>
      </c>
      <c r="AG31" s="760">
        <v>0</v>
      </c>
      <c r="AH31" s="760">
        <v>1</v>
      </c>
      <c r="AI31" s="760">
        <v>59341</v>
      </c>
      <c r="AJ31" s="760">
        <v>2183</v>
      </c>
      <c r="AK31" s="760">
        <v>0</v>
      </c>
      <c r="AL31" s="760">
        <v>0</v>
      </c>
      <c r="AO31" s="809"/>
      <c r="AP31" s="809"/>
      <c r="AQ31" s="760" t="str">
        <f t="shared" si="0"/>
        <v/>
      </c>
      <c r="AS31" s="760" t="str">
        <f t="shared" si="1"/>
        <v>wci_corp</v>
      </c>
    </row>
    <row r="32" spans="2:45">
      <c r="B32" s="760" t="s">
        <v>1811</v>
      </c>
      <c r="C32" s="806">
        <v>43343</v>
      </c>
      <c r="D32" s="807">
        <v>1500</v>
      </c>
      <c r="E32" s="807">
        <v>0</v>
      </c>
      <c r="F32" s="808" t="s">
        <v>1074</v>
      </c>
      <c r="G32" s="760" t="s">
        <v>1812</v>
      </c>
      <c r="H32" s="809" t="s">
        <v>1075</v>
      </c>
      <c r="I32" s="760" t="s">
        <v>1813</v>
      </c>
      <c r="J32" s="760" t="s">
        <v>1146</v>
      </c>
      <c r="K32" s="760" t="s">
        <v>1078</v>
      </c>
      <c r="L32" s="764"/>
      <c r="M32" s="764"/>
      <c r="N32" s="764" t="s">
        <v>1849</v>
      </c>
      <c r="O32" s="810" t="s">
        <v>1850</v>
      </c>
      <c r="P32" s="810" t="s">
        <v>1848</v>
      </c>
      <c r="Q32" s="811">
        <v>43278</v>
      </c>
      <c r="R32" s="812"/>
      <c r="S32" s="812"/>
      <c r="U32" s="760" t="s">
        <v>1818</v>
      </c>
      <c r="V32" s="760" t="s">
        <v>1818</v>
      </c>
      <c r="X32" s="806">
        <v>43347</v>
      </c>
      <c r="Y32" s="806">
        <v>43347</v>
      </c>
      <c r="AA32" s="806"/>
      <c r="AB32" s="760" t="s">
        <v>1079</v>
      </c>
      <c r="AC32" s="760">
        <v>0</v>
      </c>
      <c r="AD32" s="760">
        <v>0</v>
      </c>
      <c r="AE32" s="760">
        <v>0</v>
      </c>
      <c r="AF32" s="760">
        <v>0</v>
      </c>
      <c r="AG32" s="760">
        <v>0</v>
      </c>
      <c r="AH32" s="760">
        <v>1</v>
      </c>
      <c r="AI32" s="760">
        <v>59341</v>
      </c>
      <c r="AJ32" s="760">
        <v>2183</v>
      </c>
      <c r="AK32" s="760">
        <v>0</v>
      </c>
      <c r="AL32" s="760">
        <v>0</v>
      </c>
      <c r="AO32" s="809"/>
      <c r="AP32" s="809"/>
      <c r="AQ32" s="760" t="str">
        <f t="shared" si="0"/>
        <v/>
      </c>
      <c r="AS32" s="760" t="str">
        <f t="shared" si="1"/>
        <v>wci_corp</v>
      </c>
    </row>
    <row r="33" spans="2:45" s="797" customFormat="1">
      <c r="B33" s="797" t="s">
        <v>1811</v>
      </c>
      <c r="C33" s="798">
        <v>43373</v>
      </c>
      <c r="D33" s="799">
        <v>2267.1999999999998</v>
      </c>
      <c r="E33" s="799">
        <v>0</v>
      </c>
      <c r="F33" s="800" t="s">
        <v>1074</v>
      </c>
      <c r="G33" s="797" t="s">
        <v>1837</v>
      </c>
      <c r="H33" s="801" t="s">
        <v>1075</v>
      </c>
      <c r="I33" s="797" t="s">
        <v>1838</v>
      </c>
      <c r="J33" s="797" t="s">
        <v>1082</v>
      </c>
      <c r="K33" s="797" t="s">
        <v>1078</v>
      </c>
      <c r="L33" s="802"/>
      <c r="M33" s="802"/>
      <c r="N33" s="802" t="s">
        <v>1849</v>
      </c>
      <c r="O33" s="803" t="s">
        <v>1850</v>
      </c>
      <c r="P33" s="803" t="s">
        <v>1848</v>
      </c>
      <c r="Q33" s="804">
        <v>43278</v>
      </c>
      <c r="R33" s="805"/>
      <c r="S33" s="805"/>
      <c r="U33" s="797" t="s">
        <v>1839</v>
      </c>
      <c r="V33" s="797" t="s">
        <v>1839</v>
      </c>
      <c r="X33" s="798">
        <v>43374</v>
      </c>
      <c r="Y33" s="798">
        <v>43374</v>
      </c>
      <c r="AA33" s="798"/>
      <c r="AB33" s="797" t="s">
        <v>1079</v>
      </c>
      <c r="AC33" s="797">
        <v>0</v>
      </c>
      <c r="AD33" s="797">
        <v>0</v>
      </c>
      <c r="AE33" s="797">
        <v>0</v>
      </c>
      <c r="AF33" s="797">
        <v>0</v>
      </c>
      <c r="AG33" s="797">
        <v>0</v>
      </c>
      <c r="AH33" s="797">
        <v>1</v>
      </c>
      <c r="AI33" s="797">
        <v>59341</v>
      </c>
      <c r="AJ33" s="797">
        <v>2183</v>
      </c>
      <c r="AK33" s="797">
        <v>0</v>
      </c>
      <c r="AL33" s="797">
        <v>0</v>
      </c>
      <c r="AO33" s="801"/>
      <c r="AP33" s="801"/>
      <c r="AQ33" s="797" t="str">
        <f t="shared" si="0"/>
        <v/>
      </c>
      <c r="AS33" s="797" t="str">
        <f t="shared" si="1"/>
        <v>wci_corp</v>
      </c>
    </row>
    <row r="34" spans="2:45">
      <c r="B34" s="760" t="s">
        <v>1852</v>
      </c>
      <c r="C34" s="806">
        <v>43343</v>
      </c>
      <c r="D34" s="807">
        <v>1250</v>
      </c>
      <c r="E34" s="807">
        <v>0</v>
      </c>
      <c r="F34" s="808" t="s">
        <v>1074</v>
      </c>
      <c r="G34" s="760" t="s">
        <v>1812</v>
      </c>
      <c r="H34" s="809" t="s">
        <v>1075</v>
      </c>
      <c r="I34" s="760" t="s">
        <v>1813</v>
      </c>
      <c r="J34" s="760" t="s">
        <v>1146</v>
      </c>
      <c r="K34" s="760" t="s">
        <v>1078</v>
      </c>
      <c r="L34" s="764"/>
      <c r="M34" s="764"/>
      <c r="N34" s="764" t="s">
        <v>1853</v>
      </c>
      <c r="O34" s="810" t="s">
        <v>1854</v>
      </c>
      <c r="P34" s="810" t="s">
        <v>1855</v>
      </c>
      <c r="Q34" s="811">
        <v>43319</v>
      </c>
      <c r="R34" s="812"/>
      <c r="S34" s="812" t="s">
        <v>1856</v>
      </c>
      <c r="U34" s="760" t="s">
        <v>1818</v>
      </c>
      <c r="V34" s="760" t="s">
        <v>1818</v>
      </c>
      <c r="X34" s="806">
        <v>43347</v>
      </c>
      <c r="Y34" s="806">
        <v>43347</v>
      </c>
      <c r="AA34" s="806"/>
      <c r="AB34" s="760" t="s">
        <v>1079</v>
      </c>
      <c r="AC34" s="760">
        <v>0</v>
      </c>
      <c r="AD34" s="760">
        <v>0</v>
      </c>
      <c r="AE34" s="760">
        <v>0</v>
      </c>
      <c r="AF34" s="760">
        <v>0</v>
      </c>
      <c r="AG34" s="760">
        <v>0</v>
      </c>
      <c r="AH34" s="760">
        <v>1</v>
      </c>
      <c r="AI34" s="760">
        <v>59341</v>
      </c>
      <c r="AJ34" s="760">
        <v>2185</v>
      </c>
      <c r="AK34" s="760">
        <v>0</v>
      </c>
      <c r="AL34" s="760">
        <v>0</v>
      </c>
      <c r="AO34" s="809"/>
      <c r="AP34" s="809"/>
      <c r="AQ34" s="760" t="str">
        <f t="shared" si="0"/>
        <v/>
      </c>
      <c r="AS34" s="760" t="str">
        <f t="shared" si="1"/>
        <v>wci_corp</v>
      </c>
    </row>
    <row r="35" spans="2:45">
      <c r="B35" s="760" t="s">
        <v>1852</v>
      </c>
      <c r="C35" s="806">
        <v>43373</v>
      </c>
      <c r="D35" s="807">
        <v>-1250</v>
      </c>
      <c r="E35" s="807">
        <v>0</v>
      </c>
      <c r="F35" s="808" t="s">
        <v>1074</v>
      </c>
      <c r="G35" s="760" t="s">
        <v>1837</v>
      </c>
      <c r="H35" s="809" t="s">
        <v>1075</v>
      </c>
      <c r="I35" s="760" t="s">
        <v>1838</v>
      </c>
      <c r="J35" s="760" t="s">
        <v>1082</v>
      </c>
      <c r="K35" s="760" t="s">
        <v>1078</v>
      </c>
      <c r="L35" s="764"/>
      <c r="M35" s="764"/>
      <c r="N35" s="764" t="s">
        <v>1853</v>
      </c>
      <c r="O35" s="810" t="s">
        <v>1854</v>
      </c>
      <c r="P35" s="810" t="s">
        <v>1855</v>
      </c>
      <c r="Q35" s="811">
        <v>43319</v>
      </c>
      <c r="R35" s="812"/>
      <c r="S35" s="812" t="s">
        <v>1856</v>
      </c>
      <c r="U35" s="760" t="s">
        <v>1839</v>
      </c>
      <c r="V35" s="760" t="s">
        <v>1839</v>
      </c>
      <c r="X35" s="806">
        <v>43374</v>
      </c>
      <c r="Y35" s="806">
        <v>43374</v>
      </c>
      <c r="AA35" s="806"/>
      <c r="AB35" s="760" t="s">
        <v>1079</v>
      </c>
      <c r="AC35" s="760">
        <v>0</v>
      </c>
      <c r="AD35" s="760">
        <v>0</v>
      </c>
      <c r="AE35" s="760">
        <v>0</v>
      </c>
      <c r="AF35" s="760">
        <v>0</v>
      </c>
      <c r="AG35" s="760">
        <v>0</v>
      </c>
      <c r="AH35" s="760">
        <v>1</v>
      </c>
      <c r="AI35" s="760">
        <v>59341</v>
      </c>
      <c r="AJ35" s="760">
        <v>2185</v>
      </c>
      <c r="AK35" s="760">
        <v>0</v>
      </c>
      <c r="AL35" s="760">
        <v>0</v>
      </c>
      <c r="AO35" s="809"/>
      <c r="AP35" s="809"/>
      <c r="AQ35" s="760" t="str">
        <f t="shared" si="0"/>
        <v/>
      </c>
      <c r="AS35" s="760" t="str">
        <f t="shared" si="1"/>
        <v>wci_corp</v>
      </c>
    </row>
    <row r="36" spans="2:45" s="797" customFormat="1">
      <c r="B36" s="797" t="s">
        <v>1852</v>
      </c>
      <c r="C36" s="798">
        <v>43404</v>
      </c>
      <c r="D36" s="799">
        <v>16</v>
      </c>
      <c r="E36" s="799">
        <v>0</v>
      </c>
      <c r="F36" s="800" t="s">
        <v>1074</v>
      </c>
      <c r="G36" s="797" t="s">
        <v>1843</v>
      </c>
      <c r="H36" s="801" t="s">
        <v>1075</v>
      </c>
      <c r="I36" s="797" t="s">
        <v>1844</v>
      </c>
      <c r="J36" s="797" t="s">
        <v>1092</v>
      </c>
      <c r="K36" s="797" t="s">
        <v>1078</v>
      </c>
      <c r="L36" s="802"/>
      <c r="M36" s="802"/>
      <c r="N36" s="802" t="s">
        <v>1853</v>
      </c>
      <c r="O36" s="803" t="s">
        <v>1854</v>
      </c>
      <c r="P36" s="803" t="s">
        <v>1855</v>
      </c>
      <c r="Q36" s="804">
        <v>43319</v>
      </c>
      <c r="R36" s="805"/>
      <c r="S36" s="805" t="s">
        <v>1856</v>
      </c>
      <c r="U36" s="797" t="s">
        <v>1845</v>
      </c>
      <c r="V36" s="797" t="s">
        <v>1845</v>
      </c>
      <c r="X36" s="798">
        <v>43404</v>
      </c>
      <c r="Y36" s="798">
        <v>43404</v>
      </c>
      <c r="AA36" s="798"/>
      <c r="AB36" s="797" t="s">
        <v>1079</v>
      </c>
      <c r="AC36" s="797">
        <v>0</v>
      </c>
      <c r="AD36" s="797">
        <v>0</v>
      </c>
      <c r="AE36" s="797">
        <v>0</v>
      </c>
      <c r="AF36" s="797">
        <v>0</v>
      </c>
      <c r="AG36" s="797">
        <v>0</v>
      </c>
      <c r="AH36" s="797">
        <v>1</v>
      </c>
      <c r="AI36" s="797">
        <v>59341</v>
      </c>
      <c r="AJ36" s="797">
        <v>2185</v>
      </c>
      <c r="AK36" s="797">
        <v>0</v>
      </c>
      <c r="AL36" s="797">
        <v>0</v>
      </c>
      <c r="AO36" s="801"/>
      <c r="AP36" s="801"/>
      <c r="AQ36" s="797" t="str">
        <f t="shared" si="0"/>
        <v/>
      </c>
      <c r="AS36" s="797" t="str">
        <f t="shared" si="1"/>
        <v>wci_corp</v>
      </c>
    </row>
    <row r="37" spans="2:45" s="814" customFormat="1" ht="22.5">
      <c r="B37" s="814" t="s">
        <v>1811</v>
      </c>
      <c r="C37" s="815">
        <v>43373</v>
      </c>
      <c r="D37" s="816">
        <v>1250</v>
      </c>
      <c r="E37" s="816">
        <v>0</v>
      </c>
      <c r="F37" s="817" t="s">
        <v>1074</v>
      </c>
      <c r="G37" s="814" t="s">
        <v>1837</v>
      </c>
      <c r="H37" s="818" t="s">
        <v>1075</v>
      </c>
      <c r="I37" s="814" t="s">
        <v>1838</v>
      </c>
      <c r="J37" s="814" t="s">
        <v>1082</v>
      </c>
      <c r="K37" s="814" t="s">
        <v>1078</v>
      </c>
      <c r="L37" s="819"/>
      <c r="M37" s="819"/>
      <c r="N37" s="819" t="s">
        <v>1857</v>
      </c>
      <c r="O37" s="820" t="s">
        <v>1858</v>
      </c>
      <c r="P37" s="820" t="s">
        <v>1859</v>
      </c>
      <c r="Q37" s="821">
        <v>43350</v>
      </c>
      <c r="R37" s="822" t="s">
        <v>305</v>
      </c>
      <c r="S37" s="822" t="s">
        <v>1817</v>
      </c>
      <c r="U37" s="814" t="s">
        <v>1839</v>
      </c>
      <c r="V37" s="814" t="s">
        <v>1839</v>
      </c>
      <c r="X37" s="815">
        <v>43374</v>
      </c>
      <c r="Y37" s="815">
        <v>43374</v>
      </c>
      <c r="AA37" s="815"/>
      <c r="AB37" s="814" t="s">
        <v>1079</v>
      </c>
      <c r="AC37" s="814">
        <v>0</v>
      </c>
      <c r="AD37" s="814">
        <v>0</v>
      </c>
      <c r="AE37" s="814">
        <v>0</v>
      </c>
      <c r="AF37" s="814">
        <v>0</v>
      </c>
      <c r="AG37" s="814">
        <v>0</v>
      </c>
      <c r="AH37" s="814">
        <v>1</v>
      </c>
      <c r="AI37" s="814">
        <v>59341</v>
      </c>
      <c r="AJ37" s="814">
        <v>2183</v>
      </c>
      <c r="AK37" s="814">
        <v>0</v>
      </c>
      <c r="AL37" s="814">
        <v>0</v>
      </c>
      <c r="AO37" s="818"/>
      <c r="AP37" s="818"/>
      <c r="AQ37" s="814" t="str">
        <f t="shared" si="0"/>
        <v/>
      </c>
      <c r="AS37" s="814" t="str">
        <f t="shared" si="1"/>
        <v>wci_corp</v>
      </c>
    </row>
    <row r="38" spans="2:45">
      <c r="B38" s="760" t="s">
        <v>1811</v>
      </c>
      <c r="C38" s="806">
        <v>43404</v>
      </c>
      <c r="D38" s="807">
        <v>1250</v>
      </c>
      <c r="E38" s="807">
        <v>0</v>
      </c>
      <c r="F38" s="808" t="s">
        <v>1074</v>
      </c>
      <c r="G38" s="760" t="s">
        <v>1843</v>
      </c>
      <c r="H38" s="809" t="s">
        <v>1075</v>
      </c>
      <c r="I38" s="760" t="s">
        <v>1844</v>
      </c>
      <c r="J38" s="760" t="s">
        <v>1092</v>
      </c>
      <c r="K38" s="760" t="s">
        <v>1078</v>
      </c>
      <c r="L38" s="764"/>
      <c r="M38" s="764"/>
      <c r="N38" s="764" t="s">
        <v>1860</v>
      </c>
      <c r="O38" s="810" t="s">
        <v>1861</v>
      </c>
      <c r="P38" s="810" t="s">
        <v>1862</v>
      </c>
      <c r="Q38" s="811">
        <v>43368</v>
      </c>
      <c r="R38" s="812" t="s">
        <v>1851</v>
      </c>
      <c r="S38" s="812" t="s">
        <v>1863</v>
      </c>
      <c r="U38" s="760" t="s">
        <v>1845</v>
      </c>
      <c r="V38" s="760" t="s">
        <v>1845</v>
      </c>
      <c r="X38" s="806">
        <v>43404</v>
      </c>
      <c r="Y38" s="806">
        <v>43404</v>
      </c>
      <c r="AA38" s="806"/>
      <c r="AB38" s="760" t="s">
        <v>1079</v>
      </c>
      <c r="AC38" s="760">
        <v>0</v>
      </c>
      <c r="AD38" s="760">
        <v>0</v>
      </c>
      <c r="AE38" s="760">
        <v>0</v>
      </c>
      <c r="AF38" s="760">
        <v>0</v>
      </c>
      <c r="AG38" s="760">
        <v>0</v>
      </c>
      <c r="AH38" s="760">
        <v>1</v>
      </c>
      <c r="AI38" s="760">
        <v>59341</v>
      </c>
      <c r="AJ38" s="760">
        <v>2183</v>
      </c>
      <c r="AK38" s="760">
        <v>0</v>
      </c>
      <c r="AL38" s="760">
        <v>0</v>
      </c>
      <c r="AO38" s="809"/>
      <c r="AP38" s="809"/>
      <c r="AQ38" s="760" t="str">
        <f t="shared" si="0"/>
        <v/>
      </c>
      <c r="AS38" s="760" t="str">
        <f t="shared" si="1"/>
        <v>wci_corp</v>
      </c>
    </row>
    <row r="39" spans="2:45" s="797" customFormat="1">
      <c r="B39" s="797" t="s">
        <v>1811</v>
      </c>
      <c r="C39" s="798">
        <v>43434</v>
      </c>
      <c r="D39" s="799">
        <v>-1250</v>
      </c>
      <c r="E39" s="799">
        <v>0</v>
      </c>
      <c r="F39" s="800" t="s">
        <v>1074</v>
      </c>
      <c r="G39" s="797" t="s">
        <v>1827</v>
      </c>
      <c r="H39" s="801" t="s">
        <v>1075</v>
      </c>
      <c r="I39" s="797" t="s">
        <v>1828</v>
      </c>
      <c r="J39" s="797" t="s">
        <v>1082</v>
      </c>
      <c r="K39" s="797" t="s">
        <v>1078</v>
      </c>
      <c r="L39" s="802"/>
      <c r="M39" s="802"/>
      <c r="N39" s="802" t="s">
        <v>1860</v>
      </c>
      <c r="O39" s="803" t="s">
        <v>1861</v>
      </c>
      <c r="P39" s="803" t="s">
        <v>1862</v>
      </c>
      <c r="Q39" s="804">
        <v>43368</v>
      </c>
      <c r="R39" s="805"/>
      <c r="S39" s="805"/>
      <c r="U39" s="797" t="s">
        <v>1829</v>
      </c>
      <c r="V39" s="797" t="s">
        <v>1829</v>
      </c>
      <c r="X39" s="798">
        <v>43437</v>
      </c>
      <c r="Y39" s="798">
        <v>43437</v>
      </c>
      <c r="AA39" s="798"/>
      <c r="AB39" s="797" t="s">
        <v>1079</v>
      </c>
      <c r="AC39" s="797">
        <v>0</v>
      </c>
      <c r="AD39" s="797">
        <v>0</v>
      </c>
      <c r="AE39" s="797">
        <v>0</v>
      </c>
      <c r="AF39" s="797">
        <v>0</v>
      </c>
      <c r="AG39" s="797">
        <v>0</v>
      </c>
      <c r="AH39" s="797">
        <v>1</v>
      </c>
      <c r="AI39" s="797">
        <v>59341</v>
      </c>
      <c r="AJ39" s="797">
        <v>2183</v>
      </c>
      <c r="AK39" s="797">
        <v>0</v>
      </c>
      <c r="AL39" s="797">
        <v>0</v>
      </c>
      <c r="AO39" s="801"/>
      <c r="AP39" s="801"/>
      <c r="AQ39" s="797" t="str">
        <f t="shared" si="0"/>
        <v/>
      </c>
      <c r="AS39" s="797" t="str">
        <f t="shared" si="1"/>
        <v>wci_corp</v>
      </c>
    </row>
    <row r="40" spans="2:45" s="814" customFormat="1">
      <c r="B40" s="814" t="s">
        <v>1811</v>
      </c>
      <c r="C40" s="815">
        <v>43465</v>
      </c>
      <c r="D40" s="816">
        <v>2250</v>
      </c>
      <c r="E40" s="816">
        <v>0</v>
      </c>
      <c r="F40" s="817" t="s">
        <v>1074</v>
      </c>
      <c r="G40" s="814" t="s">
        <v>1864</v>
      </c>
      <c r="H40" s="818" t="s">
        <v>1075</v>
      </c>
      <c r="I40" s="814" t="s">
        <v>1865</v>
      </c>
      <c r="J40" s="814" t="s">
        <v>1146</v>
      </c>
      <c r="K40" s="814" t="s">
        <v>1078</v>
      </c>
      <c r="L40" s="819"/>
      <c r="M40" s="819"/>
      <c r="N40" s="819" t="s">
        <v>1866</v>
      </c>
      <c r="O40" s="820" t="s">
        <v>1823</v>
      </c>
      <c r="P40" s="820" t="s">
        <v>1824</v>
      </c>
      <c r="Q40" s="821">
        <v>43168</v>
      </c>
      <c r="R40" s="822" t="s">
        <v>1835</v>
      </c>
      <c r="S40" s="822" t="s">
        <v>1825</v>
      </c>
      <c r="U40" s="814" t="s">
        <v>1867</v>
      </c>
      <c r="V40" s="814" t="s">
        <v>1867</v>
      </c>
      <c r="X40" s="815">
        <v>43465</v>
      </c>
      <c r="Y40" s="815">
        <v>43467</v>
      </c>
      <c r="AA40" s="815"/>
      <c r="AB40" s="814" t="s">
        <v>1079</v>
      </c>
      <c r="AC40" s="814">
        <v>0</v>
      </c>
      <c r="AD40" s="814">
        <v>0</v>
      </c>
      <c r="AE40" s="814">
        <v>0</v>
      </c>
      <c r="AF40" s="814">
        <v>0</v>
      </c>
      <c r="AG40" s="814">
        <v>0</v>
      </c>
      <c r="AH40" s="814">
        <v>1</v>
      </c>
      <c r="AI40" s="814">
        <v>59341</v>
      </c>
      <c r="AJ40" s="814">
        <v>2183</v>
      </c>
      <c r="AK40" s="814">
        <v>0</v>
      </c>
      <c r="AL40" s="814">
        <v>0</v>
      </c>
      <c r="AO40" s="818"/>
      <c r="AP40" s="818"/>
      <c r="AQ40" s="814" t="str">
        <f t="shared" si="0"/>
        <v/>
      </c>
      <c r="AS40" s="814" t="str">
        <f t="shared" si="1"/>
        <v>wci_corp</v>
      </c>
    </row>
    <row r="41" spans="2:45">
      <c r="B41" s="760" t="s">
        <v>1811</v>
      </c>
      <c r="C41" s="806">
        <v>43524</v>
      </c>
      <c r="D41" s="807">
        <v>1250</v>
      </c>
      <c r="E41" s="807">
        <v>0</v>
      </c>
      <c r="F41" s="808" t="s">
        <v>1074</v>
      </c>
      <c r="G41" s="760" t="s">
        <v>1868</v>
      </c>
      <c r="H41" s="809" t="s">
        <v>1075</v>
      </c>
      <c r="I41" s="760" t="s">
        <v>1869</v>
      </c>
      <c r="J41" s="760" t="s">
        <v>1082</v>
      </c>
      <c r="K41" s="760" t="s">
        <v>1078</v>
      </c>
      <c r="L41" s="764"/>
      <c r="M41" s="764"/>
      <c r="N41" s="764" t="s">
        <v>1870</v>
      </c>
      <c r="O41" s="810" t="s">
        <v>1871</v>
      </c>
      <c r="P41" s="810" t="s">
        <v>1872</v>
      </c>
      <c r="Q41" s="811">
        <v>43489</v>
      </c>
      <c r="R41" s="812" t="s">
        <v>1873</v>
      </c>
      <c r="S41" s="812" t="s">
        <v>1874</v>
      </c>
      <c r="U41" s="760" t="s">
        <v>1875</v>
      </c>
      <c r="V41" s="760" t="s">
        <v>1875</v>
      </c>
      <c r="X41" s="806">
        <v>43530</v>
      </c>
      <c r="Y41" s="806">
        <v>43530</v>
      </c>
      <c r="AA41" s="806"/>
      <c r="AB41" s="760" t="s">
        <v>1079</v>
      </c>
      <c r="AC41" s="760">
        <v>0</v>
      </c>
      <c r="AD41" s="760">
        <v>0</v>
      </c>
      <c r="AE41" s="760">
        <v>0</v>
      </c>
      <c r="AF41" s="760">
        <v>0</v>
      </c>
      <c r="AG41" s="760">
        <v>0</v>
      </c>
      <c r="AH41" s="760">
        <v>1</v>
      </c>
      <c r="AI41" s="760">
        <v>59341</v>
      </c>
      <c r="AJ41" s="760">
        <v>2183</v>
      </c>
      <c r="AK41" s="760">
        <v>0</v>
      </c>
      <c r="AL41" s="760">
        <v>0</v>
      </c>
      <c r="AO41" s="809"/>
      <c r="AP41" s="809"/>
      <c r="AQ41" s="760" t="str">
        <f t="shared" si="0"/>
        <v/>
      </c>
      <c r="AS41" s="760" t="str">
        <f t="shared" si="1"/>
        <v>wci_corp</v>
      </c>
    </row>
    <row r="42" spans="2:45" s="797" customFormat="1">
      <c r="B42" s="797" t="s">
        <v>1811</v>
      </c>
      <c r="C42" s="798">
        <v>43555</v>
      </c>
      <c r="D42" s="799">
        <v>5000</v>
      </c>
      <c r="E42" s="799">
        <v>0</v>
      </c>
      <c r="F42" s="800" t="s">
        <v>1074</v>
      </c>
      <c r="G42" s="797" t="s">
        <v>1876</v>
      </c>
      <c r="H42" s="801" t="s">
        <v>1075</v>
      </c>
      <c r="I42" s="797" t="s">
        <v>1877</v>
      </c>
      <c r="J42" s="797" t="s">
        <v>1092</v>
      </c>
      <c r="K42" s="797" t="s">
        <v>1078</v>
      </c>
      <c r="L42" s="802"/>
      <c r="M42" s="802"/>
      <c r="N42" s="802" t="s">
        <v>1870</v>
      </c>
      <c r="O42" s="803" t="s">
        <v>1871</v>
      </c>
      <c r="P42" s="803" t="s">
        <v>1872</v>
      </c>
      <c r="Q42" s="804">
        <v>43489</v>
      </c>
      <c r="R42" s="805"/>
      <c r="S42" s="805"/>
      <c r="U42" s="797" t="s">
        <v>1878</v>
      </c>
      <c r="V42" s="797" t="s">
        <v>1878</v>
      </c>
      <c r="X42" s="798">
        <v>43557</v>
      </c>
      <c r="Y42" s="798">
        <v>43557</v>
      </c>
      <c r="AA42" s="798"/>
      <c r="AB42" s="797" t="s">
        <v>1079</v>
      </c>
      <c r="AC42" s="797">
        <v>0</v>
      </c>
      <c r="AD42" s="797">
        <v>0</v>
      </c>
      <c r="AE42" s="797">
        <v>0</v>
      </c>
      <c r="AF42" s="797">
        <v>0</v>
      </c>
      <c r="AG42" s="797">
        <v>0</v>
      </c>
      <c r="AH42" s="797">
        <v>1</v>
      </c>
      <c r="AI42" s="797">
        <v>59341</v>
      </c>
      <c r="AJ42" s="797">
        <v>2183</v>
      </c>
      <c r="AK42" s="797">
        <v>0</v>
      </c>
      <c r="AL42" s="797">
        <v>0</v>
      </c>
      <c r="AO42" s="801"/>
      <c r="AP42" s="801"/>
      <c r="AQ42" s="797" t="str">
        <f t="shared" si="0"/>
        <v/>
      </c>
      <c r="AS42" s="797" t="str">
        <f t="shared" si="1"/>
        <v>wci_corp</v>
      </c>
    </row>
    <row r="43" spans="2:45">
      <c r="B43" s="760" t="s">
        <v>1811</v>
      </c>
      <c r="C43" s="806">
        <v>43524</v>
      </c>
      <c r="D43" s="807">
        <v>1250</v>
      </c>
      <c r="E43" s="807">
        <v>0</v>
      </c>
      <c r="F43" s="808" t="s">
        <v>1074</v>
      </c>
      <c r="G43" s="760" t="s">
        <v>1868</v>
      </c>
      <c r="H43" s="809" t="s">
        <v>1075</v>
      </c>
      <c r="I43" s="760" t="s">
        <v>1869</v>
      </c>
      <c r="J43" s="760" t="s">
        <v>1082</v>
      </c>
      <c r="K43" s="760" t="s">
        <v>1078</v>
      </c>
      <c r="L43" s="764"/>
      <c r="M43" s="764"/>
      <c r="N43" s="764" t="s">
        <v>1879</v>
      </c>
      <c r="O43" s="810" t="s">
        <v>1880</v>
      </c>
      <c r="P43" s="810" t="s">
        <v>1881</v>
      </c>
      <c r="Q43" s="811">
        <v>43500</v>
      </c>
      <c r="R43" s="812" t="s">
        <v>1851</v>
      </c>
      <c r="S43" s="812" t="s">
        <v>1882</v>
      </c>
      <c r="U43" s="760" t="s">
        <v>1875</v>
      </c>
      <c r="V43" s="760" t="s">
        <v>1875</v>
      </c>
      <c r="X43" s="806">
        <v>43530</v>
      </c>
      <c r="Y43" s="806">
        <v>43530</v>
      </c>
      <c r="AA43" s="806"/>
      <c r="AB43" s="760" t="s">
        <v>1079</v>
      </c>
      <c r="AC43" s="760">
        <v>0</v>
      </c>
      <c r="AD43" s="760">
        <v>0</v>
      </c>
      <c r="AE43" s="760">
        <v>0</v>
      </c>
      <c r="AF43" s="760">
        <v>0</v>
      </c>
      <c r="AG43" s="760">
        <v>0</v>
      </c>
      <c r="AH43" s="760">
        <v>1</v>
      </c>
      <c r="AI43" s="760">
        <v>59341</v>
      </c>
      <c r="AJ43" s="760">
        <v>2183</v>
      </c>
      <c r="AK43" s="760">
        <v>0</v>
      </c>
      <c r="AL43" s="760">
        <v>0</v>
      </c>
      <c r="AO43" s="809"/>
      <c r="AP43" s="809"/>
      <c r="AQ43" s="760" t="str">
        <f t="shared" si="0"/>
        <v/>
      </c>
      <c r="AS43" s="760" t="str">
        <f t="shared" si="1"/>
        <v>wci_corp</v>
      </c>
    </row>
    <row r="44" spans="2:45">
      <c r="B44" s="760" t="s">
        <v>1811</v>
      </c>
      <c r="C44" s="806">
        <v>43555</v>
      </c>
      <c r="D44" s="807">
        <v>-1250</v>
      </c>
      <c r="E44" s="807">
        <v>0</v>
      </c>
      <c r="F44" s="808" t="s">
        <v>1074</v>
      </c>
      <c r="G44" s="760" t="s">
        <v>1876</v>
      </c>
      <c r="H44" s="809" t="s">
        <v>1075</v>
      </c>
      <c r="I44" s="760" t="s">
        <v>1877</v>
      </c>
      <c r="J44" s="760" t="s">
        <v>1092</v>
      </c>
      <c r="K44" s="760" t="s">
        <v>1078</v>
      </c>
      <c r="L44" s="764"/>
      <c r="M44" s="764"/>
      <c r="N44" s="764" t="s">
        <v>1879</v>
      </c>
      <c r="O44" s="810" t="s">
        <v>1880</v>
      </c>
      <c r="P44" s="810" t="s">
        <v>1881</v>
      </c>
      <c r="Q44" s="811">
        <v>43500</v>
      </c>
      <c r="R44" s="812"/>
      <c r="S44" s="812"/>
      <c r="U44" s="760" t="s">
        <v>1878</v>
      </c>
      <c r="V44" s="760" t="s">
        <v>1878</v>
      </c>
      <c r="X44" s="806">
        <v>43557</v>
      </c>
      <c r="Y44" s="806">
        <v>43557</v>
      </c>
      <c r="AA44" s="806"/>
      <c r="AB44" s="760" t="s">
        <v>1079</v>
      </c>
      <c r="AC44" s="760">
        <v>0</v>
      </c>
      <c r="AD44" s="760">
        <v>0</v>
      </c>
      <c r="AE44" s="760">
        <v>0</v>
      </c>
      <c r="AF44" s="760">
        <v>0</v>
      </c>
      <c r="AG44" s="760">
        <v>0</v>
      </c>
      <c r="AH44" s="760">
        <v>1</v>
      </c>
      <c r="AI44" s="760">
        <v>59341</v>
      </c>
      <c r="AJ44" s="760">
        <v>2183</v>
      </c>
      <c r="AK44" s="760">
        <v>0</v>
      </c>
      <c r="AL44" s="760">
        <v>0</v>
      </c>
      <c r="AO44" s="809"/>
      <c r="AP44" s="809"/>
      <c r="AQ44" s="760" t="str">
        <f t="shared" si="0"/>
        <v/>
      </c>
      <c r="AS44" s="760" t="str">
        <f t="shared" si="1"/>
        <v>wci_corp</v>
      </c>
    </row>
    <row r="45" spans="2:45" s="797" customFormat="1">
      <c r="B45" s="797" t="s">
        <v>1811</v>
      </c>
      <c r="C45" s="798">
        <v>43585</v>
      </c>
      <c r="D45" s="799">
        <v>5</v>
      </c>
      <c r="E45" s="799">
        <v>0</v>
      </c>
      <c r="F45" s="800" t="s">
        <v>1074</v>
      </c>
      <c r="G45" s="797" t="s">
        <v>1883</v>
      </c>
      <c r="H45" s="801" t="s">
        <v>1075</v>
      </c>
      <c r="I45" s="797" t="s">
        <v>1884</v>
      </c>
      <c r="J45" s="797" t="s">
        <v>1092</v>
      </c>
      <c r="K45" s="797" t="s">
        <v>1078</v>
      </c>
      <c r="L45" s="802"/>
      <c r="M45" s="802"/>
      <c r="N45" s="802" t="s">
        <v>1879</v>
      </c>
      <c r="O45" s="803" t="s">
        <v>1880</v>
      </c>
      <c r="P45" s="803" t="s">
        <v>1881</v>
      </c>
      <c r="Q45" s="804">
        <v>43500</v>
      </c>
      <c r="R45" s="805"/>
      <c r="S45" s="805"/>
      <c r="U45" s="797" t="s">
        <v>1885</v>
      </c>
      <c r="V45" s="797" t="s">
        <v>1885</v>
      </c>
      <c r="X45" s="798">
        <v>43586</v>
      </c>
      <c r="Y45" s="798">
        <v>43586</v>
      </c>
      <c r="AA45" s="798"/>
      <c r="AB45" s="797" t="s">
        <v>1079</v>
      </c>
      <c r="AC45" s="797">
        <v>0</v>
      </c>
      <c r="AD45" s="797">
        <v>0</v>
      </c>
      <c r="AE45" s="797">
        <v>0</v>
      </c>
      <c r="AF45" s="797">
        <v>0</v>
      </c>
      <c r="AG45" s="797">
        <v>0</v>
      </c>
      <c r="AH45" s="797">
        <v>1</v>
      </c>
      <c r="AI45" s="797">
        <v>59341</v>
      </c>
      <c r="AJ45" s="797">
        <v>2183</v>
      </c>
      <c r="AK45" s="797">
        <v>0</v>
      </c>
      <c r="AL45" s="797">
        <v>0</v>
      </c>
      <c r="AO45" s="801"/>
      <c r="AP45" s="801"/>
      <c r="AQ45" s="797" t="str">
        <f t="shared" si="0"/>
        <v/>
      </c>
      <c r="AS45" s="797" t="str">
        <f t="shared" si="1"/>
        <v>wci_corp</v>
      </c>
    </row>
    <row r="46" spans="2:45" s="814" customFormat="1" ht="33.75">
      <c r="B46" s="814" t="s">
        <v>1811</v>
      </c>
      <c r="C46" s="815">
        <v>43524</v>
      </c>
      <c r="D46" s="816">
        <v>1250</v>
      </c>
      <c r="E46" s="816">
        <v>0</v>
      </c>
      <c r="F46" s="817" t="s">
        <v>1074</v>
      </c>
      <c r="G46" s="814" t="s">
        <v>1868</v>
      </c>
      <c r="H46" s="818" t="s">
        <v>1075</v>
      </c>
      <c r="I46" s="814" t="s">
        <v>1869</v>
      </c>
      <c r="J46" s="814" t="s">
        <v>1082</v>
      </c>
      <c r="K46" s="814" t="s">
        <v>1078</v>
      </c>
      <c r="L46" s="819"/>
      <c r="M46" s="819"/>
      <c r="N46" s="819" t="s">
        <v>1886</v>
      </c>
      <c r="O46" s="820" t="s">
        <v>1887</v>
      </c>
      <c r="P46" s="820" t="s">
        <v>1888</v>
      </c>
      <c r="Q46" s="821">
        <v>43500</v>
      </c>
      <c r="R46" s="822" t="s">
        <v>1835</v>
      </c>
      <c r="S46" s="822" t="s">
        <v>1882</v>
      </c>
      <c r="U46" s="814" t="s">
        <v>1875</v>
      </c>
      <c r="V46" s="814" t="s">
        <v>1875</v>
      </c>
      <c r="X46" s="815">
        <v>43530</v>
      </c>
      <c r="Y46" s="815">
        <v>43530</v>
      </c>
      <c r="AA46" s="815"/>
      <c r="AB46" s="814" t="s">
        <v>1079</v>
      </c>
      <c r="AC46" s="814">
        <v>0</v>
      </c>
      <c r="AD46" s="814">
        <v>0</v>
      </c>
      <c r="AE46" s="814">
        <v>0</v>
      </c>
      <c r="AF46" s="814">
        <v>0</v>
      </c>
      <c r="AG46" s="814">
        <v>0</v>
      </c>
      <c r="AH46" s="814">
        <v>1</v>
      </c>
      <c r="AI46" s="814">
        <v>59341</v>
      </c>
      <c r="AJ46" s="814">
        <v>2183</v>
      </c>
      <c r="AK46" s="814">
        <v>0</v>
      </c>
      <c r="AL46" s="814">
        <v>0</v>
      </c>
      <c r="AO46" s="818"/>
      <c r="AP46" s="818"/>
      <c r="AQ46" s="814" t="str">
        <f t="shared" si="0"/>
        <v/>
      </c>
      <c r="AS46" s="814" t="str">
        <f t="shared" si="1"/>
        <v>wci_corp</v>
      </c>
    </row>
    <row r="47" spans="2:45" s="797" customFormat="1" ht="22.5">
      <c r="B47" s="797" t="s">
        <v>1811</v>
      </c>
      <c r="C47" s="798">
        <v>43555</v>
      </c>
      <c r="D47" s="799">
        <v>1250</v>
      </c>
      <c r="E47" s="799">
        <v>0</v>
      </c>
      <c r="F47" s="800" t="s">
        <v>1074</v>
      </c>
      <c r="G47" s="797" t="s">
        <v>1876</v>
      </c>
      <c r="H47" s="801" t="s">
        <v>1075</v>
      </c>
      <c r="I47" s="797" t="s">
        <v>1877</v>
      </c>
      <c r="J47" s="797" t="s">
        <v>1092</v>
      </c>
      <c r="K47" s="797" t="s">
        <v>1078</v>
      </c>
      <c r="L47" s="802"/>
      <c r="M47" s="802"/>
      <c r="N47" s="802" t="s">
        <v>1889</v>
      </c>
      <c r="O47" s="803" t="s">
        <v>1890</v>
      </c>
      <c r="P47" s="803" t="s">
        <v>1891</v>
      </c>
      <c r="Q47" s="804">
        <v>43517</v>
      </c>
      <c r="R47" s="805" t="s">
        <v>1851</v>
      </c>
      <c r="S47" s="805" t="s">
        <v>1882</v>
      </c>
      <c r="U47" s="797" t="s">
        <v>1878</v>
      </c>
      <c r="V47" s="797" t="s">
        <v>1878</v>
      </c>
      <c r="X47" s="798">
        <v>43557</v>
      </c>
      <c r="Y47" s="798">
        <v>43557</v>
      </c>
      <c r="AA47" s="798"/>
      <c r="AB47" s="797" t="s">
        <v>1079</v>
      </c>
      <c r="AC47" s="797">
        <v>0</v>
      </c>
      <c r="AD47" s="797">
        <v>0</v>
      </c>
      <c r="AE47" s="797">
        <v>0</v>
      </c>
      <c r="AF47" s="797">
        <v>0</v>
      </c>
      <c r="AG47" s="797">
        <v>0</v>
      </c>
      <c r="AH47" s="797">
        <v>1</v>
      </c>
      <c r="AI47" s="797">
        <v>59341</v>
      </c>
      <c r="AJ47" s="797">
        <v>2183</v>
      </c>
      <c r="AK47" s="797">
        <v>0</v>
      </c>
      <c r="AL47" s="797">
        <v>0</v>
      </c>
      <c r="AO47" s="801"/>
      <c r="AP47" s="801"/>
      <c r="AQ47" s="797" t="str">
        <f t="shared" si="0"/>
        <v/>
      </c>
      <c r="AS47" s="797" t="str">
        <f t="shared" si="1"/>
        <v>wci_corp</v>
      </c>
    </row>
    <row r="48" spans="2:45" s="797" customFormat="1" ht="22.5">
      <c r="B48" s="797" t="s">
        <v>1811</v>
      </c>
      <c r="C48" s="798">
        <v>43555</v>
      </c>
      <c r="D48" s="799">
        <v>1250</v>
      </c>
      <c r="E48" s="799">
        <v>0</v>
      </c>
      <c r="F48" s="800" t="s">
        <v>1074</v>
      </c>
      <c r="G48" s="797" t="s">
        <v>1876</v>
      </c>
      <c r="H48" s="801" t="s">
        <v>1075</v>
      </c>
      <c r="I48" s="797" t="s">
        <v>1877</v>
      </c>
      <c r="J48" s="797" t="s">
        <v>1092</v>
      </c>
      <c r="K48" s="797" t="s">
        <v>1078</v>
      </c>
      <c r="L48" s="802"/>
      <c r="M48" s="802"/>
      <c r="N48" s="802" t="s">
        <v>1892</v>
      </c>
      <c r="O48" s="803" t="s">
        <v>1893</v>
      </c>
      <c r="P48" s="803" t="s">
        <v>1894</v>
      </c>
      <c r="Q48" s="804">
        <v>43524</v>
      </c>
      <c r="R48" s="805" t="s">
        <v>1851</v>
      </c>
      <c r="S48" s="805" t="s">
        <v>1895</v>
      </c>
      <c r="U48" s="797" t="s">
        <v>1878</v>
      </c>
      <c r="V48" s="797" t="s">
        <v>1878</v>
      </c>
      <c r="X48" s="798">
        <v>43557</v>
      </c>
      <c r="Y48" s="798">
        <v>43557</v>
      </c>
      <c r="AA48" s="798"/>
      <c r="AB48" s="797" t="s">
        <v>1079</v>
      </c>
      <c r="AC48" s="797">
        <v>0</v>
      </c>
      <c r="AD48" s="797">
        <v>0</v>
      </c>
      <c r="AE48" s="797">
        <v>0</v>
      </c>
      <c r="AF48" s="797">
        <v>0</v>
      </c>
      <c r="AG48" s="797">
        <v>0</v>
      </c>
      <c r="AH48" s="797">
        <v>1</v>
      </c>
      <c r="AI48" s="797">
        <v>59341</v>
      </c>
      <c r="AJ48" s="797">
        <v>2183</v>
      </c>
      <c r="AK48" s="797">
        <v>0</v>
      </c>
      <c r="AL48" s="797">
        <v>0</v>
      </c>
      <c r="AO48" s="801"/>
      <c r="AP48" s="801"/>
      <c r="AQ48" s="797" t="str">
        <f t="shared" si="0"/>
        <v/>
      </c>
      <c r="AS48" s="797" t="str">
        <f t="shared" si="1"/>
        <v>wci_corp</v>
      </c>
    </row>
    <row r="49" spans="2:45" s="797" customFormat="1">
      <c r="B49" s="797" t="s">
        <v>1811</v>
      </c>
      <c r="C49" s="798">
        <v>43585</v>
      </c>
      <c r="D49" s="799">
        <v>1250</v>
      </c>
      <c r="E49" s="799">
        <v>0</v>
      </c>
      <c r="F49" s="800" t="s">
        <v>1074</v>
      </c>
      <c r="G49" s="797" t="s">
        <v>1883</v>
      </c>
      <c r="H49" s="801" t="s">
        <v>1075</v>
      </c>
      <c r="I49" s="797" t="s">
        <v>1884</v>
      </c>
      <c r="J49" s="797" t="s">
        <v>1092</v>
      </c>
      <c r="K49" s="797" t="s">
        <v>1078</v>
      </c>
      <c r="L49" s="802"/>
      <c r="M49" s="802"/>
      <c r="N49" s="802" t="s">
        <v>1896</v>
      </c>
      <c r="O49" s="803" t="s">
        <v>1897</v>
      </c>
      <c r="P49" s="803" t="s">
        <v>1898</v>
      </c>
      <c r="Q49" s="804">
        <v>43559</v>
      </c>
      <c r="R49" s="805" t="s">
        <v>1851</v>
      </c>
      <c r="S49" s="805" t="s">
        <v>1895</v>
      </c>
      <c r="U49" s="797" t="s">
        <v>1885</v>
      </c>
      <c r="V49" s="797" t="s">
        <v>1885</v>
      </c>
      <c r="X49" s="798">
        <v>43586</v>
      </c>
      <c r="Y49" s="798">
        <v>43586</v>
      </c>
      <c r="AA49" s="798"/>
      <c r="AB49" s="797" t="s">
        <v>1079</v>
      </c>
      <c r="AC49" s="797">
        <v>0</v>
      </c>
      <c r="AD49" s="797">
        <v>0</v>
      </c>
      <c r="AE49" s="797">
        <v>0</v>
      </c>
      <c r="AF49" s="797">
        <v>0</v>
      </c>
      <c r="AG49" s="797">
        <v>0</v>
      </c>
      <c r="AH49" s="797">
        <v>1</v>
      </c>
      <c r="AI49" s="797">
        <v>59341</v>
      </c>
      <c r="AJ49" s="797">
        <v>2183</v>
      </c>
      <c r="AK49" s="797">
        <v>0</v>
      </c>
      <c r="AL49" s="797">
        <v>0</v>
      </c>
      <c r="AO49" s="801"/>
      <c r="AP49" s="801"/>
      <c r="AQ49" s="797" t="str">
        <f t="shared" si="0"/>
        <v/>
      </c>
      <c r="AS49" s="797" t="str">
        <f t="shared" si="1"/>
        <v>wci_corp</v>
      </c>
    </row>
    <row r="50" spans="2:45">
      <c r="B50" s="760" t="s">
        <v>1811</v>
      </c>
      <c r="C50" s="806">
        <v>43343</v>
      </c>
      <c r="D50" s="807">
        <v>1250</v>
      </c>
      <c r="E50" s="807">
        <v>0</v>
      </c>
      <c r="F50" s="808" t="s">
        <v>1074</v>
      </c>
      <c r="G50" s="760" t="s">
        <v>1812</v>
      </c>
      <c r="H50" s="809" t="s">
        <v>1075</v>
      </c>
      <c r="I50" s="760" t="s">
        <v>1813</v>
      </c>
      <c r="J50" s="760" t="s">
        <v>1146</v>
      </c>
      <c r="K50" s="760" t="s">
        <v>1078</v>
      </c>
      <c r="L50" s="764"/>
      <c r="M50" s="764"/>
      <c r="N50" s="764" t="s">
        <v>1899</v>
      </c>
      <c r="O50" s="810" t="s">
        <v>1900</v>
      </c>
      <c r="P50" s="810" t="s">
        <v>1901</v>
      </c>
      <c r="Q50" s="811">
        <v>43313</v>
      </c>
      <c r="R50" s="812" t="s">
        <v>1851</v>
      </c>
      <c r="S50" s="812" t="s">
        <v>1882</v>
      </c>
      <c r="U50" s="760" t="s">
        <v>1818</v>
      </c>
      <c r="V50" s="760" t="s">
        <v>1818</v>
      </c>
      <c r="X50" s="806">
        <v>43347</v>
      </c>
      <c r="Y50" s="806">
        <v>43347</v>
      </c>
      <c r="AA50" s="806"/>
      <c r="AB50" s="760" t="s">
        <v>1079</v>
      </c>
      <c r="AC50" s="760">
        <v>0</v>
      </c>
      <c r="AD50" s="760">
        <v>0</v>
      </c>
      <c r="AE50" s="760">
        <v>0</v>
      </c>
      <c r="AF50" s="760">
        <v>0</v>
      </c>
      <c r="AG50" s="760">
        <v>0</v>
      </c>
      <c r="AH50" s="760">
        <v>1</v>
      </c>
      <c r="AI50" s="760">
        <v>59341</v>
      </c>
      <c r="AJ50" s="760">
        <v>2183</v>
      </c>
      <c r="AK50" s="760">
        <v>0</v>
      </c>
      <c r="AL50" s="760">
        <v>0</v>
      </c>
      <c r="AO50" s="809"/>
      <c r="AP50" s="809"/>
      <c r="AQ50" s="760" t="str">
        <f t="shared" si="0"/>
        <v/>
      </c>
      <c r="AS50" s="760" t="str">
        <f t="shared" si="1"/>
        <v>wci_corp</v>
      </c>
    </row>
    <row r="51" spans="2:45" s="797" customFormat="1">
      <c r="B51" s="797" t="s">
        <v>1811</v>
      </c>
      <c r="C51" s="798">
        <v>43373</v>
      </c>
      <c r="D51" s="799">
        <v>-1250</v>
      </c>
      <c r="E51" s="799">
        <v>0</v>
      </c>
      <c r="F51" s="800" t="s">
        <v>1074</v>
      </c>
      <c r="G51" s="797" t="s">
        <v>1837</v>
      </c>
      <c r="H51" s="801" t="s">
        <v>1075</v>
      </c>
      <c r="I51" s="797" t="s">
        <v>1838</v>
      </c>
      <c r="J51" s="797" t="s">
        <v>1082</v>
      </c>
      <c r="K51" s="797" t="s">
        <v>1078</v>
      </c>
      <c r="L51" s="802"/>
      <c r="M51" s="802"/>
      <c r="N51" s="802" t="s">
        <v>1899</v>
      </c>
      <c r="O51" s="803" t="s">
        <v>1900</v>
      </c>
      <c r="P51" s="803" t="s">
        <v>1901</v>
      </c>
      <c r="Q51" s="804">
        <v>43313</v>
      </c>
      <c r="R51" s="805"/>
      <c r="S51" s="805"/>
      <c r="U51" s="797" t="s">
        <v>1839</v>
      </c>
      <c r="V51" s="797" t="s">
        <v>1839</v>
      </c>
      <c r="X51" s="798">
        <v>43374</v>
      </c>
      <c r="Y51" s="798">
        <v>43374</v>
      </c>
      <c r="AA51" s="798"/>
      <c r="AB51" s="797" t="s">
        <v>1079</v>
      </c>
      <c r="AC51" s="797">
        <v>0</v>
      </c>
      <c r="AD51" s="797">
        <v>0</v>
      </c>
      <c r="AE51" s="797">
        <v>0</v>
      </c>
      <c r="AF51" s="797">
        <v>0</v>
      </c>
      <c r="AG51" s="797">
        <v>0</v>
      </c>
      <c r="AH51" s="797">
        <v>1</v>
      </c>
      <c r="AI51" s="797">
        <v>59341</v>
      </c>
      <c r="AJ51" s="797">
        <v>2183</v>
      </c>
      <c r="AK51" s="797">
        <v>0</v>
      </c>
      <c r="AL51" s="797">
        <v>0</v>
      </c>
      <c r="AO51" s="801"/>
      <c r="AP51" s="801"/>
      <c r="AQ51" s="797" t="str">
        <f t="shared" si="0"/>
        <v/>
      </c>
      <c r="AS51" s="797" t="str">
        <f t="shared" si="1"/>
        <v>wci_corp</v>
      </c>
    </row>
    <row r="52" spans="2:45">
      <c r="C52" s="806"/>
      <c r="D52" s="749"/>
      <c r="E52" s="749"/>
      <c r="F52" s="749"/>
      <c r="H52" s="763"/>
    </row>
    <row r="53" spans="2:45" ht="15">
      <c r="B53" s="823" t="s">
        <v>1111</v>
      </c>
      <c r="C53" s="823"/>
      <c r="D53" s="751"/>
      <c r="E53" s="827" t="s">
        <v>1034</v>
      </c>
      <c r="F53" s="704" t="s">
        <v>1811</v>
      </c>
      <c r="G53" s="823"/>
      <c r="H53" s="824"/>
      <c r="I53" s="823"/>
      <c r="J53" s="823"/>
      <c r="K53" s="823"/>
      <c r="L53" s="823"/>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5"/>
    </row>
    <row r="54" spans="2:45">
      <c r="H54" s="763"/>
    </row>
    <row r="55" spans="2:45" ht="15">
      <c r="E55" s="827" t="s">
        <v>1112</v>
      </c>
      <c r="F55" s="831" t="s">
        <v>1113</v>
      </c>
      <c r="G55" t="s">
        <v>1113</v>
      </c>
      <c r="H55" s="763"/>
    </row>
    <row r="56" spans="2:45" ht="15">
      <c r="E56" s="828" t="s">
        <v>1814</v>
      </c>
      <c r="F56" s="831">
        <v>-6731</v>
      </c>
      <c r="G56" s="138">
        <v>-6731</v>
      </c>
      <c r="H56" s="763"/>
    </row>
    <row r="57" spans="2:45" ht="15">
      <c r="E57" s="829" t="s">
        <v>306</v>
      </c>
      <c r="F57" s="831">
        <v>-6731</v>
      </c>
      <c r="G57" s="138">
        <v>-6731</v>
      </c>
      <c r="H57" s="763"/>
    </row>
    <row r="58" spans="2:45" ht="15">
      <c r="E58" s="830" t="s">
        <v>1817</v>
      </c>
      <c r="F58" s="831">
        <v>-6731</v>
      </c>
      <c r="G58" s="138">
        <v>-6731</v>
      </c>
      <c r="H58" s="763"/>
    </row>
    <row r="59" spans="2:45" ht="15">
      <c r="E59" s="828" t="s">
        <v>1832</v>
      </c>
      <c r="F59" s="831">
        <v>5103.5200000000004</v>
      </c>
      <c r="G59" s="138">
        <v>5103.5200000000004</v>
      </c>
    </row>
    <row r="60" spans="2:45" ht="15">
      <c r="E60" s="829" t="s">
        <v>1835</v>
      </c>
      <c r="F60" s="831">
        <v>5000</v>
      </c>
      <c r="G60" s="138">
        <v>5000</v>
      </c>
      <c r="H60" s="763"/>
    </row>
    <row r="61" spans="2:45" ht="15">
      <c r="E61" s="830" t="s">
        <v>1817</v>
      </c>
      <c r="F61" s="831">
        <v>5000</v>
      </c>
      <c r="G61" s="138">
        <v>5000</v>
      </c>
      <c r="H61" s="763"/>
    </row>
    <row r="62" spans="2:45" ht="15">
      <c r="E62" s="829" t="s">
        <v>1902</v>
      </c>
      <c r="F62" s="831">
        <v>103.52</v>
      </c>
      <c r="G62" s="138">
        <v>103.52</v>
      </c>
      <c r="H62" s="763"/>
    </row>
    <row r="63" spans="2:45" ht="15">
      <c r="E63" s="830" t="s">
        <v>1902</v>
      </c>
      <c r="F63" s="831">
        <v>103.52</v>
      </c>
      <c r="G63" s="138">
        <v>103.52</v>
      </c>
      <c r="H63" s="763"/>
    </row>
    <row r="64" spans="2:45" ht="15">
      <c r="E64" s="828" t="s">
        <v>1840</v>
      </c>
      <c r="F64" s="831">
        <v>-321.2</v>
      </c>
      <c r="G64" s="138">
        <v>-321.2</v>
      </c>
    </row>
    <row r="65" spans="2:8" ht="15">
      <c r="E65" s="829" t="s">
        <v>306</v>
      </c>
      <c r="F65" s="831">
        <v>-431.33</v>
      </c>
      <c r="G65" s="138">
        <v>-431.33</v>
      </c>
      <c r="H65" s="763"/>
    </row>
    <row r="66" spans="2:8" ht="15">
      <c r="E66" s="830" t="s">
        <v>1817</v>
      </c>
      <c r="F66" s="831">
        <v>-431.33</v>
      </c>
      <c r="G66" s="138">
        <v>-431.33</v>
      </c>
      <c r="H66" s="763"/>
    </row>
    <row r="67" spans="2:8" ht="15">
      <c r="E67" s="829" t="s">
        <v>1902</v>
      </c>
      <c r="F67" s="831">
        <v>110.13</v>
      </c>
      <c r="G67" s="138">
        <v>110.13</v>
      </c>
      <c r="H67" s="763"/>
    </row>
    <row r="68" spans="2:8" ht="15">
      <c r="E68" s="830" t="s">
        <v>1902</v>
      </c>
      <c r="F68" s="831">
        <v>110.13</v>
      </c>
      <c r="G68" s="138">
        <v>110.13</v>
      </c>
      <c r="H68" s="763"/>
    </row>
    <row r="69" spans="2:8" ht="15">
      <c r="E69" s="828" t="s">
        <v>1846</v>
      </c>
      <c r="F69" s="831">
        <v>4932.7800000000007</v>
      </c>
      <c r="G69" s="138">
        <v>4932.7800000000007</v>
      </c>
    </row>
    <row r="70" spans="2:8" ht="15">
      <c r="E70" s="829" t="s">
        <v>305</v>
      </c>
      <c r="F70" s="831">
        <v>1250</v>
      </c>
      <c r="G70" s="138">
        <v>1250</v>
      </c>
      <c r="H70" s="763"/>
    </row>
    <row r="71" spans="2:8" ht="15">
      <c r="B71" s="826"/>
      <c r="E71" s="830" t="s">
        <v>1817</v>
      </c>
      <c r="F71" s="831">
        <v>1250</v>
      </c>
      <c r="G71" s="138">
        <v>1250</v>
      </c>
      <c r="H71" s="763"/>
    </row>
    <row r="72" spans="2:8" ht="15">
      <c r="E72" s="829" t="s">
        <v>1902</v>
      </c>
      <c r="F72" s="831">
        <v>3682.78</v>
      </c>
      <c r="G72" s="138">
        <v>3682.78</v>
      </c>
    </row>
    <row r="73" spans="2:8" ht="15">
      <c r="E73" s="830" t="s">
        <v>1902</v>
      </c>
      <c r="F73" s="831">
        <v>3682.78</v>
      </c>
      <c r="G73" s="835">
        <v>3682.78</v>
      </c>
    </row>
    <row r="74" spans="2:8" ht="15">
      <c r="E74" s="828" t="s">
        <v>1849</v>
      </c>
      <c r="F74" s="831">
        <v>7017.2</v>
      </c>
      <c r="G74" s="138">
        <v>7017.2</v>
      </c>
    </row>
    <row r="75" spans="2:8" ht="15">
      <c r="E75" s="829" t="s">
        <v>1835</v>
      </c>
      <c r="F75" s="831">
        <v>3250</v>
      </c>
      <c r="G75" s="835">
        <v>3250</v>
      </c>
    </row>
    <row r="76" spans="2:8" ht="15">
      <c r="E76" s="830" t="s">
        <v>1817</v>
      </c>
      <c r="F76" s="831">
        <v>3250</v>
      </c>
      <c r="G76" s="835">
        <v>3250</v>
      </c>
    </row>
    <row r="77" spans="2:8" ht="15">
      <c r="E77" s="829" t="s">
        <v>1902</v>
      </c>
      <c r="F77" s="831">
        <v>3767.2</v>
      </c>
      <c r="G77" s="835">
        <v>3767.2</v>
      </c>
    </row>
    <row r="78" spans="2:8" ht="15">
      <c r="E78" s="830" t="s">
        <v>1902</v>
      </c>
      <c r="F78" s="831">
        <v>3767.2</v>
      </c>
      <c r="G78" s="835">
        <v>3767.2</v>
      </c>
    </row>
    <row r="79" spans="2:8" ht="15">
      <c r="E79" s="828" t="s">
        <v>1857</v>
      </c>
      <c r="F79" s="831">
        <v>1250</v>
      </c>
      <c r="G79" s="138">
        <v>1250</v>
      </c>
    </row>
    <row r="80" spans="2:8" ht="15">
      <c r="E80" s="829" t="s">
        <v>305</v>
      </c>
      <c r="F80" s="831">
        <v>1250</v>
      </c>
      <c r="G80" s="835">
        <v>1250</v>
      </c>
    </row>
    <row r="81" spans="5:8" ht="15">
      <c r="E81" s="830" t="s">
        <v>1817</v>
      </c>
      <c r="F81" s="831">
        <v>1250</v>
      </c>
      <c r="G81" s="835">
        <v>1250</v>
      </c>
    </row>
    <row r="82" spans="5:8" ht="15">
      <c r="E82" s="828" t="s">
        <v>1860</v>
      </c>
      <c r="F82" s="831">
        <v>0</v>
      </c>
      <c r="G82" s="835">
        <v>0</v>
      </c>
    </row>
    <row r="83" spans="5:8" ht="15">
      <c r="E83" s="829" t="s">
        <v>1835</v>
      </c>
      <c r="F83" s="831">
        <v>1250</v>
      </c>
      <c r="G83" s="835">
        <v>1250</v>
      </c>
    </row>
    <row r="84" spans="5:8" ht="15">
      <c r="E84" s="830" t="s">
        <v>1863</v>
      </c>
      <c r="F84" s="831">
        <v>1250</v>
      </c>
      <c r="G84" s="835">
        <v>1250</v>
      </c>
    </row>
    <row r="85" spans="5:8" ht="15">
      <c r="E85" s="829" t="s">
        <v>1902</v>
      </c>
      <c r="F85" s="831">
        <v>-1250</v>
      </c>
      <c r="G85" s="835">
        <v>-1250</v>
      </c>
    </row>
    <row r="86" spans="5:8" ht="15">
      <c r="E86" s="830" t="s">
        <v>1902</v>
      </c>
      <c r="F86" s="831">
        <v>-1250</v>
      </c>
      <c r="G86" s="835">
        <v>-1250</v>
      </c>
    </row>
    <row r="87" spans="5:8" ht="15">
      <c r="E87" s="828" t="s">
        <v>1866</v>
      </c>
      <c r="F87" s="831">
        <v>2250</v>
      </c>
      <c r="G87" s="138">
        <v>2250</v>
      </c>
    </row>
    <row r="88" spans="5:8" ht="15">
      <c r="E88" s="829" t="s">
        <v>1835</v>
      </c>
      <c r="F88" s="831">
        <v>2250</v>
      </c>
      <c r="G88" s="836">
        <v>2250</v>
      </c>
      <c r="H88" s="762" t="s">
        <v>1905</v>
      </c>
    </row>
    <row r="89" spans="5:8" ht="15">
      <c r="E89" s="830" t="s">
        <v>1825</v>
      </c>
      <c r="F89" s="831">
        <v>2250</v>
      </c>
      <c r="G89" s="835">
        <v>2250</v>
      </c>
    </row>
    <row r="90" spans="5:8" ht="15">
      <c r="E90" s="828" t="s">
        <v>1870</v>
      </c>
      <c r="F90" s="831">
        <v>6250</v>
      </c>
      <c r="G90" s="138">
        <v>6250</v>
      </c>
    </row>
    <row r="91" spans="5:8" ht="15">
      <c r="E91" s="829" t="s">
        <v>305</v>
      </c>
      <c r="F91" s="831">
        <v>1250</v>
      </c>
      <c r="G91" s="835">
        <v>1250</v>
      </c>
    </row>
    <row r="92" spans="5:8" ht="15">
      <c r="E92" s="830" t="s">
        <v>1874</v>
      </c>
      <c r="F92" s="831">
        <v>1250</v>
      </c>
      <c r="G92" s="835">
        <v>1250</v>
      </c>
    </row>
    <row r="93" spans="5:8" ht="15">
      <c r="E93" s="829" t="s">
        <v>1902</v>
      </c>
      <c r="F93" s="831">
        <v>5000</v>
      </c>
      <c r="G93" s="835">
        <v>5000</v>
      </c>
    </row>
    <row r="94" spans="5:8" ht="15">
      <c r="E94" s="830" t="s">
        <v>1902</v>
      </c>
      <c r="F94" s="831">
        <v>5000</v>
      </c>
      <c r="G94" s="835">
        <v>5000</v>
      </c>
    </row>
    <row r="95" spans="5:8" ht="15">
      <c r="E95" s="828" t="s">
        <v>1879</v>
      </c>
      <c r="F95" s="831">
        <v>5</v>
      </c>
      <c r="G95" s="138">
        <v>5</v>
      </c>
    </row>
    <row r="96" spans="5:8" ht="15">
      <c r="E96" s="829" t="s">
        <v>1835</v>
      </c>
      <c r="F96" s="831">
        <v>1250</v>
      </c>
      <c r="G96" s="835">
        <v>1250</v>
      </c>
    </row>
    <row r="97" spans="5:7" ht="15">
      <c r="E97" s="830" t="s">
        <v>1874</v>
      </c>
      <c r="F97" s="831">
        <v>1250</v>
      </c>
      <c r="G97" s="835">
        <v>1250</v>
      </c>
    </row>
    <row r="98" spans="5:7" ht="15">
      <c r="E98" s="829" t="s">
        <v>1902</v>
      </c>
      <c r="F98" s="831">
        <v>-1245</v>
      </c>
      <c r="G98" s="138">
        <v>-1245</v>
      </c>
    </row>
    <row r="99" spans="5:7" ht="15">
      <c r="E99" s="830" t="s">
        <v>1902</v>
      </c>
      <c r="F99" s="831">
        <v>-1245</v>
      </c>
      <c r="G99" s="835">
        <v>-1245</v>
      </c>
    </row>
    <row r="100" spans="5:7" ht="15">
      <c r="E100" s="828" t="s">
        <v>1886</v>
      </c>
      <c r="F100" s="831">
        <v>1250</v>
      </c>
      <c r="G100" s="835">
        <v>1250</v>
      </c>
    </row>
    <row r="101" spans="5:7" ht="15">
      <c r="E101" s="829" t="s">
        <v>1835</v>
      </c>
      <c r="F101" s="831">
        <v>1250</v>
      </c>
      <c r="G101" s="835">
        <v>1250</v>
      </c>
    </row>
    <row r="102" spans="5:7" ht="15">
      <c r="E102" s="830" t="s">
        <v>1874</v>
      </c>
      <c r="F102" s="831">
        <v>1250</v>
      </c>
      <c r="G102" s="835">
        <v>1250</v>
      </c>
    </row>
    <row r="103" spans="5:7" ht="15">
      <c r="E103" s="828" t="s">
        <v>1889</v>
      </c>
      <c r="F103" s="831">
        <v>1250</v>
      </c>
      <c r="G103" s="138">
        <v>1250</v>
      </c>
    </row>
    <row r="104" spans="5:7" ht="15">
      <c r="E104" s="829" t="s">
        <v>1835</v>
      </c>
      <c r="F104" s="831">
        <v>1250</v>
      </c>
      <c r="G104" s="835">
        <v>1250</v>
      </c>
    </row>
    <row r="105" spans="5:7" ht="15">
      <c r="E105" s="830" t="s">
        <v>1874</v>
      </c>
      <c r="F105" s="831">
        <v>1250</v>
      </c>
      <c r="G105" s="835">
        <v>1250</v>
      </c>
    </row>
    <row r="106" spans="5:7" ht="15">
      <c r="E106" s="828" t="s">
        <v>1892</v>
      </c>
      <c r="F106" s="831">
        <v>1250</v>
      </c>
      <c r="G106" s="835">
        <v>1250</v>
      </c>
    </row>
    <row r="107" spans="5:7" ht="15">
      <c r="E107" s="829" t="s">
        <v>1835</v>
      </c>
      <c r="F107" s="831">
        <v>1250</v>
      </c>
      <c r="G107" s="835">
        <v>1250</v>
      </c>
    </row>
    <row r="108" spans="5:7" ht="15">
      <c r="E108" s="830" t="s">
        <v>1895</v>
      </c>
      <c r="F108" s="831">
        <v>1250</v>
      </c>
      <c r="G108" s="138">
        <v>1250</v>
      </c>
    </row>
    <row r="109" spans="5:7" ht="15">
      <c r="E109" s="828" t="s">
        <v>1896</v>
      </c>
      <c r="F109" s="831">
        <v>1250</v>
      </c>
      <c r="G109" s="835">
        <v>1250</v>
      </c>
    </row>
    <row r="110" spans="5:7" ht="15">
      <c r="E110" s="829" t="s">
        <v>1835</v>
      </c>
      <c r="F110" s="831">
        <v>1250</v>
      </c>
      <c r="G110" s="835">
        <v>1250</v>
      </c>
    </row>
    <row r="111" spans="5:7" ht="15">
      <c r="E111" s="830" t="s">
        <v>1895</v>
      </c>
      <c r="F111" s="831">
        <v>1250</v>
      </c>
      <c r="G111" s="138">
        <v>1250</v>
      </c>
    </row>
    <row r="112" spans="5:7" ht="15">
      <c r="E112" s="828" t="s">
        <v>1899</v>
      </c>
      <c r="F112" s="831">
        <v>0</v>
      </c>
      <c r="G112" s="835">
        <v>0</v>
      </c>
    </row>
    <row r="113" spans="5:7" ht="15">
      <c r="E113" s="829" t="s">
        <v>1835</v>
      </c>
      <c r="F113" s="831">
        <v>1250</v>
      </c>
      <c r="G113" s="835">
        <v>1250</v>
      </c>
    </row>
    <row r="114" spans="5:7" ht="15">
      <c r="E114" s="830" t="s">
        <v>1874</v>
      </c>
      <c r="F114" s="831">
        <v>1250</v>
      </c>
      <c r="G114" s="138">
        <v>1250</v>
      </c>
    </row>
    <row r="115" spans="5:7" ht="15">
      <c r="E115" s="829" t="s">
        <v>1902</v>
      </c>
      <c r="F115" s="831">
        <v>-1250</v>
      </c>
      <c r="G115" s="835">
        <v>-1250</v>
      </c>
    </row>
    <row r="116" spans="5:7" ht="15">
      <c r="E116" s="830" t="s">
        <v>1902</v>
      </c>
      <c r="F116" s="831">
        <v>-1250</v>
      </c>
      <c r="G116" s="835">
        <v>-1250</v>
      </c>
    </row>
    <row r="117" spans="5:7" ht="15">
      <c r="E117" s="828" t="s">
        <v>646</v>
      </c>
      <c r="F117" s="831">
        <v>24756.3</v>
      </c>
      <c r="G117" s="138">
        <v>24756.3</v>
      </c>
    </row>
    <row r="118" spans="5:7" ht="15">
      <c r="E118"/>
      <c r="F118"/>
    </row>
    <row r="119" spans="5:7" ht="15">
      <c r="E119"/>
      <c r="F119"/>
    </row>
    <row r="120" spans="5:7" ht="15">
      <c r="E120"/>
      <c r="F120"/>
      <c r="G120" s="704"/>
    </row>
    <row r="121" spans="5:7" ht="15">
      <c r="E121"/>
      <c r="F121"/>
    </row>
    <row r="122" spans="5:7" ht="15">
      <c r="E122"/>
      <c r="F122"/>
    </row>
    <row r="123" spans="5:7" ht="15">
      <c r="E123"/>
      <c r="F123"/>
    </row>
    <row r="124" spans="5:7" ht="15">
      <c r="E124"/>
      <c r="F124"/>
    </row>
    <row r="125" spans="5:7" ht="15">
      <c r="E125"/>
      <c r="F125"/>
    </row>
    <row r="129" spans="6:7">
      <c r="F129" s="763" t="s">
        <v>305</v>
      </c>
      <c r="G129" s="832">
        <f>SUMIF($H$56:$H$125,F129,$G$56:$G$125)</f>
        <v>0</v>
      </c>
    </row>
    <row r="130" spans="6:7">
      <c r="F130" s="763" t="s">
        <v>1903</v>
      </c>
      <c r="G130" s="832">
        <f>SUMIF($H$56:$H$125,F130,$G$56:$G$125)</f>
        <v>0</v>
      </c>
    </row>
    <row r="131" spans="6:7">
      <c r="F131" s="763" t="s">
        <v>1904</v>
      </c>
      <c r="G131" s="833">
        <f>SUMIF($H$56:$H$125,F131,$G$56:$G$125)</f>
        <v>0</v>
      </c>
    </row>
    <row r="132" spans="6:7">
      <c r="G132" s="834">
        <f>SUM(G129:G131)</f>
        <v>0</v>
      </c>
    </row>
  </sheetData>
  <autoFilter ref="A19:AS51">
    <sortState ref="A20:AS51">
      <sortCondition ref="N19:N51"/>
    </sortState>
  </autoFilter>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5"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34998626667073579"/>
    <pageSetUpPr fitToPage="1"/>
  </sheetPr>
  <dimension ref="A1:AJ510"/>
  <sheetViews>
    <sheetView showGridLines="0" tabSelected="1" view="pageLayout" topLeftCell="D1" zoomScaleNormal="85" workbookViewId="0">
      <selection activeCell="AR41" sqref="AR41"/>
    </sheetView>
  </sheetViews>
  <sheetFormatPr defaultColWidth="13.85546875" defaultRowHeight="12.75" outlineLevelRow="1"/>
  <cols>
    <col min="1" max="3" width="0" style="2" hidden="1" customWidth="1"/>
    <col min="4" max="4" width="7.85546875" style="2" customWidth="1"/>
    <col min="5" max="6" width="2.28515625" style="2" customWidth="1"/>
    <col min="7" max="7" width="31.42578125" style="2" customWidth="1"/>
    <col min="8" max="8" width="2.28515625" style="2" customWidth="1"/>
    <col min="9" max="9" width="2.140625" style="2" customWidth="1"/>
    <col min="10" max="10" width="12.28515625" style="20" customWidth="1"/>
    <col min="11" max="11" width="1.5703125" style="2" customWidth="1"/>
    <col min="12" max="12" width="12.28515625" style="20" customWidth="1"/>
    <col min="13" max="13" width="1.5703125" style="2" customWidth="1"/>
    <col min="14" max="14" width="12.28515625" style="20" customWidth="1"/>
    <col min="15" max="15" width="1.5703125" style="2" customWidth="1"/>
    <col min="16" max="16" width="13.5703125" style="20" customWidth="1"/>
    <col min="17" max="17" width="0.85546875" style="2" customWidth="1"/>
    <col min="18" max="18" width="12.28515625" style="20" customWidth="1"/>
    <col min="19" max="19" width="1.5703125" style="2" customWidth="1"/>
    <col min="20" max="20" width="12.28515625" style="20" customWidth="1"/>
    <col min="21" max="21" width="1.5703125" style="2" customWidth="1"/>
    <col min="22" max="22" width="12.28515625" style="20" customWidth="1"/>
    <col min="23" max="23" width="0.85546875" style="2" customWidth="1"/>
    <col min="24" max="24" width="12.28515625" style="20" customWidth="1"/>
    <col min="25" max="25" width="1.5703125" style="2" customWidth="1"/>
    <col min="26" max="26" width="12.28515625" style="20" customWidth="1"/>
    <col min="27" max="27" width="1.5703125" style="2" customWidth="1"/>
    <col min="28" max="28" width="12.28515625" style="20" customWidth="1"/>
    <col min="29" max="29" width="0.85546875" style="2" customWidth="1"/>
    <col min="30" max="30" width="12.28515625" style="20" customWidth="1"/>
    <col min="31" max="31" width="1.5703125" style="2" customWidth="1"/>
    <col min="32" max="32" width="12.28515625" style="20" customWidth="1"/>
    <col min="33" max="33" width="1.5703125" style="2" customWidth="1"/>
    <col min="34" max="34" width="12.28515625" style="20" customWidth="1"/>
    <col min="35" max="35" width="4.5703125" style="2" customWidth="1"/>
    <col min="36" max="36" width="1.42578125" style="2" customWidth="1"/>
    <col min="37" max="259" width="13.85546875" style="2"/>
    <col min="260" max="260" width="7.85546875" style="2" customWidth="1"/>
    <col min="261" max="262" width="2.28515625" style="2" customWidth="1"/>
    <col min="263" max="263" width="31.42578125" style="2" customWidth="1"/>
    <col min="264" max="264" width="2.28515625" style="2" customWidth="1"/>
    <col min="265" max="265" width="2.140625" style="2" customWidth="1"/>
    <col min="266" max="266" width="12.28515625" style="2" customWidth="1"/>
    <col min="267" max="267" width="1.5703125" style="2" customWidth="1"/>
    <col min="268" max="268" width="12.28515625" style="2" customWidth="1"/>
    <col min="269" max="269" width="1.5703125" style="2" customWidth="1"/>
    <col min="270" max="270" width="12.28515625" style="2" customWidth="1"/>
    <col min="271" max="271" width="1.5703125" style="2" customWidth="1"/>
    <col min="272" max="272" width="13.5703125" style="2" customWidth="1"/>
    <col min="273" max="273" width="0.85546875" style="2" customWidth="1"/>
    <col min="274" max="274" width="12.28515625" style="2" customWidth="1"/>
    <col min="275" max="275" width="1.5703125" style="2" customWidth="1"/>
    <col min="276" max="276" width="12.28515625" style="2" customWidth="1"/>
    <col min="277" max="277" width="1.5703125" style="2" customWidth="1"/>
    <col min="278" max="278" width="12.28515625" style="2" customWidth="1"/>
    <col min="279" max="279" width="0.85546875" style="2" customWidth="1"/>
    <col min="280" max="280" width="12.28515625" style="2" customWidth="1"/>
    <col min="281" max="281" width="1.5703125" style="2" customWidth="1"/>
    <col min="282" max="282" width="12.28515625" style="2" customWidth="1"/>
    <col min="283" max="283" width="1.5703125" style="2" customWidth="1"/>
    <col min="284" max="284" width="12.28515625" style="2" customWidth="1"/>
    <col min="285" max="285" width="0.85546875" style="2" customWidth="1"/>
    <col min="286" max="286" width="12.28515625" style="2" customWidth="1"/>
    <col min="287" max="287" width="1.5703125" style="2" customWidth="1"/>
    <col min="288" max="288" width="12.28515625" style="2" customWidth="1"/>
    <col min="289" max="289" width="1.5703125" style="2" customWidth="1"/>
    <col min="290" max="290" width="12.28515625" style="2" customWidth="1"/>
    <col min="291" max="291" width="4.5703125" style="2" customWidth="1"/>
    <col min="292" max="292" width="1.42578125" style="2" customWidth="1"/>
    <col min="293" max="515" width="13.85546875" style="2"/>
    <col min="516" max="516" width="7.85546875" style="2" customWidth="1"/>
    <col min="517" max="518" width="2.28515625" style="2" customWidth="1"/>
    <col min="519" max="519" width="31.42578125" style="2" customWidth="1"/>
    <col min="520" max="520" width="2.28515625" style="2" customWidth="1"/>
    <col min="521" max="521" width="2.140625" style="2" customWidth="1"/>
    <col min="522" max="522" width="12.28515625" style="2" customWidth="1"/>
    <col min="523" max="523" width="1.5703125" style="2" customWidth="1"/>
    <col min="524" max="524" width="12.28515625" style="2" customWidth="1"/>
    <col min="525" max="525" width="1.5703125" style="2" customWidth="1"/>
    <col min="526" max="526" width="12.28515625" style="2" customWidth="1"/>
    <col min="527" max="527" width="1.5703125" style="2" customWidth="1"/>
    <col min="528" max="528" width="13.5703125" style="2" customWidth="1"/>
    <col min="529" max="529" width="0.85546875" style="2" customWidth="1"/>
    <col min="530" max="530" width="12.28515625" style="2" customWidth="1"/>
    <col min="531" max="531" width="1.5703125" style="2" customWidth="1"/>
    <col min="532" max="532" width="12.28515625" style="2" customWidth="1"/>
    <col min="533" max="533" width="1.5703125" style="2" customWidth="1"/>
    <col min="534" max="534" width="12.28515625" style="2" customWidth="1"/>
    <col min="535" max="535" width="0.85546875" style="2" customWidth="1"/>
    <col min="536" max="536" width="12.28515625" style="2" customWidth="1"/>
    <col min="537" max="537" width="1.5703125" style="2" customWidth="1"/>
    <col min="538" max="538" width="12.28515625" style="2" customWidth="1"/>
    <col min="539" max="539" width="1.5703125" style="2" customWidth="1"/>
    <col min="540" max="540" width="12.28515625" style="2" customWidth="1"/>
    <col min="541" max="541" width="0.85546875" style="2" customWidth="1"/>
    <col min="542" max="542" width="12.28515625" style="2" customWidth="1"/>
    <col min="543" max="543" width="1.5703125" style="2" customWidth="1"/>
    <col min="544" max="544" width="12.28515625" style="2" customWidth="1"/>
    <col min="545" max="545" width="1.5703125" style="2" customWidth="1"/>
    <col min="546" max="546" width="12.28515625" style="2" customWidth="1"/>
    <col min="547" max="547" width="4.5703125" style="2" customWidth="1"/>
    <col min="548" max="548" width="1.42578125" style="2" customWidth="1"/>
    <col min="549" max="771" width="13.85546875" style="2"/>
    <col min="772" max="772" width="7.85546875" style="2" customWidth="1"/>
    <col min="773" max="774" width="2.28515625" style="2" customWidth="1"/>
    <col min="775" max="775" width="31.42578125" style="2" customWidth="1"/>
    <col min="776" max="776" width="2.28515625" style="2" customWidth="1"/>
    <col min="777" max="777" width="2.140625" style="2" customWidth="1"/>
    <col min="778" max="778" width="12.28515625" style="2" customWidth="1"/>
    <col min="779" max="779" width="1.5703125" style="2" customWidth="1"/>
    <col min="780" max="780" width="12.28515625" style="2" customWidth="1"/>
    <col min="781" max="781" width="1.5703125" style="2" customWidth="1"/>
    <col min="782" max="782" width="12.28515625" style="2" customWidth="1"/>
    <col min="783" max="783" width="1.5703125" style="2" customWidth="1"/>
    <col min="784" max="784" width="13.5703125" style="2" customWidth="1"/>
    <col min="785" max="785" width="0.85546875" style="2" customWidth="1"/>
    <col min="786" max="786" width="12.28515625" style="2" customWidth="1"/>
    <col min="787" max="787" width="1.5703125" style="2" customWidth="1"/>
    <col min="788" max="788" width="12.28515625" style="2" customWidth="1"/>
    <col min="789" max="789" width="1.5703125" style="2" customWidth="1"/>
    <col min="790" max="790" width="12.28515625" style="2" customWidth="1"/>
    <col min="791" max="791" width="0.85546875" style="2" customWidth="1"/>
    <col min="792" max="792" width="12.28515625" style="2" customWidth="1"/>
    <col min="793" max="793" width="1.5703125" style="2" customWidth="1"/>
    <col min="794" max="794" width="12.28515625" style="2" customWidth="1"/>
    <col min="795" max="795" width="1.5703125" style="2" customWidth="1"/>
    <col min="796" max="796" width="12.28515625" style="2" customWidth="1"/>
    <col min="797" max="797" width="0.85546875" style="2" customWidth="1"/>
    <col min="798" max="798" width="12.28515625" style="2" customWidth="1"/>
    <col min="799" max="799" width="1.5703125" style="2" customWidth="1"/>
    <col min="800" max="800" width="12.28515625" style="2" customWidth="1"/>
    <col min="801" max="801" width="1.5703125" style="2" customWidth="1"/>
    <col min="802" max="802" width="12.28515625" style="2" customWidth="1"/>
    <col min="803" max="803" width="4.5703125" style="2" customWidth="1"/>
    <col min="804" max="804" width="1.42578125" style="2" customWidth="1"/>
    <col min="805" max="1027" width="13.85546875" style="2"/>
    <col min="1028" max="1028" width="7.85546875" style="2" customWidth="1"/>
    <col min="1029" max="1030" width="2.28515625" style="2" customWidth="1"/>
    <col min="1031" max="1031" width="31.42578125" style="2" customWidth="1"/>
    <col min="1032" max="1032" width="2.28515625" style="2" customWidth="1"/>
    <col min="1033" max="1033" width="2.140625" style="2" customWidth="1"/>
    <col min="1034" max="1034" width="12.28515625" style="2" customWidth="1"/>
    <col min="1035" max="1035" width="1.5703125" style="2" customWidth="1"/>
    <col min="1036" max="1036" width="12.28515625" style="2" customWidth="1"/>
    <col min="1037" max="1037" width="1.5703125" style="2" customWidth="1"/>
    <col min="1038" max="1038" width="12.28515625" style="2" customWidth="1"/>
    <col min="1039" max="1039" width="1.5703125" style="2" customWidth="1"/>
    <col min="1040" max="1040" width="13.5703125" style="2" customWidth="1"/>
    <col min="1041" max="1041" width="0.85546875" style="2" customWidth="1"/>
    <col min="1042" max="1042" width="12.28515625" style="2" customWidth="1"/>
    <col min="1043" max="1043" width="1.5703125" style="2" customWidth="1"/>
    <col min="1044" max="1044" width="12.28515625" style="2" customWidth="1"/>
    <col min="1045" max="1045" width="1.5703125" style="2" customWidth="1"/>
    <col min="1046" max="1046" width="12.28515625" style="2" customWidth="1"/>
    <col min="1047" max="1047" width="0.85546875" style="2" customWidth="1"/>
    <col min="1048" max="1048" width="12.28515625" style="2" customWidth="1"/>
    <col min="1049" max="1049" width="1.5703125" style="2" customWidth="1"/>
    <col min="1050" max="1050" width="12.28515625" style="2" customWidth="1"/>
    <col min="1051" max="1051" width="1.5703125" style="2" customWidth="1"/>
    <col min="1052" max="1052" width="12.28515625" style="2" customWidth="1"/>
    <col min="1053" max="1053" width="0.85546875" style="2" customWidth="1"/>
    <col min="1054" max="1054" width="12.28515625" style="2" customWidth="1"/>
    <col min="1055" max="1055" width="1.5703125" style="2" customWidth="1"/>
    <col min="1056" max="1056" width="12.28515625" style="2" customWidth="1"/>
    <col min="1057" max="1057" width="1.5703125" style="2" customWidth="1"/>
    <col min="1058" max="1058" width="12.28515625" style="2" customWidth="1"/>
    <col min="1059" max="1059" width="4.5703125" style="2" customWidth="1"/>
    <col min="1060" max="1060" width="1.42578125" style="2" customWidth="1"/>
    <col min="1061" max="1283" width="13.85546875" style="2"/>
    <col min="1284" max="1284" width="7.85546875" style="2" customWidth="1"/>
    <col min="1285" max="1286" width="2.28515625" style="2" customWidth="1"/>
    <col min="1287" max="1287" width="31.42578125" style="2" customWidth="1"/>
    <col min="1288" max="1288" width="2.28515625" style="2" customWidth="1"/>
    <col min="1289" max="1289" width="2.140625" style="2" customWidth="1"/>
    <col min="1290" max="1290" width="12.28515625" style="2" customWidth="1"/>
    <col min="1291" max="1291" width="1.5703125" style="2" customWidth="1"/>
    <col min="1292" max="1292" width="12.28515625" style="2" customWidth="1"/>
    <col min="1293" max="1293" width="1.5703125" style="2" customWidth="1"/>
    <col min="1294" max="1294" width="12.28515625" style="2" customWidth="1"/>
    <col min="1295" max="1295" width="1.5703125" style="2" customWidth="1"/>
    <col min="1296" max="1296" width="13.5703125" style="2" customWidth="1"/>
    <col min="1297" max="1297" width="0.85546875" style="2" customWidth="1"/>
    <col min="1298" max="1298" width="12.28515625" style="2" customWidth="1"/>
    <col min="1299" max="1299" width="1.5703125" style="2" customWidth="1"/>
    <col min="1300" max="1300" width="12.28515625" style="2" customWidth="1"/>
    <col min="1301" max="1301" width="1.5703125" style="2" customWidth="1"/>
    <col min="1302" max="1302" width="12.28515625" style="2" customWidth="1"/>
    <col min="1303" max="1303" width="0.85546875" style="2" customWidth="1"/>
    <col min="1304" max="1304" width="12.28515625" style="2" customWidth="1"/>
    <col min="1305" max="1305" width="1.5703125" style="2" customWidth="1"/>
    <col min="1306" max="1306" width="12.28515625" style="2" customWidth="1"/>
    <col min="1307" max="1307" width="1.5703125" style="2" customWidth="1"/>
    <col min="1308" max="1308" width="12.28515625" style="2" customWidth="1"/>
    <col min="1309" max="1309" width="0.85546875" style="2" customWidth="1"/>
    <col min="1310" max="1310" width="12.28515625" style="2" customWidth="1"/>
    <col min="1311" max="1311" width="1.5703125" style="2" customWidth="1"/>
    <col min="1312" max="1312" width="12.28515625" style="2" customWidth="1"/>
    <col min="1313" max="1313" width="1.5703125" style="2" customWidth="1"/>
    <col min="1314" max="1314" width="12.28515625" style="2" customWidth="1"/>
    <col min="1315" max="1315" width="4.5703125" style="2" customWidth="1"/>
    <col min="1316" max="1316" width="1.42578125" style="2" customWidth="1"/>
    <col min="1317" max="1539" width="13.85546875" style="2"/>
    <col min="1540" max="1540" width="7.85546875" style="2" customWidth="1"/>
    <col min="1541" max="1542" width="2.28515625" style="2" customWidth="1"/>
    <col min="1543" max="1543" width="31.42578125" style="2" customWidth="1"/>
    <col min="1544" max="1544" width="2.28515625" style="2" customWidth="1"/>
    <col min="1545" max="1545" width="2.140625" style="2" customWidth="1"/>
    <col min="1546" max="1546" width="12.28515625" style="2" customWidth="1"/>
    <col min="1547" max="1547" width="1.5703125" style="2" customWidth="1"/>
    <col min="1548" max="1548" width="12.28515625" style="2" customWidth="1"/>
    <col min="1549" max="1549" width="1.5703125" style="2" customWidth="1"/>
    <col min="1550" max="1550" width="12.28515625" style="2" customWidth="1"/>
    <col min="1551" max="1551" width="1.5703125" style="2" customWidth="1"/>
    <col min="1552" max="1552" width="13.5703125" style="2" customWidth="1"/>
    <col min="1553" max="1553" width="0.85546875" style="2" customWidth="1"/>
    <col min="1554" max="1554" width="12.28515625" style="2" customWidth="1"/>
    <col min="1555" max="1555" width="1.5703125" style="2" customWidth="1"/>
    <col min="1556" max="1556" width="12.28515625" style="2" customWidth="1"/>
    <col min="1557" max="1557" width="1.5703125" style="2" customWidth="1"/>
    <col min="1558" max="1558" width="12.28515625" style="2" customWidth="1"/>
    <col min="1559" max="1559" width="0.85546875" style="2" customWidth="1"/>
    <col min="1560" max="1560" width="12.28515625" style="2" customWidth="1"/>
    <col min="1561" max="1561" width="1.5703125" style="2" customWidth="1"/>
    <col min="1562" max="1562" width="12.28515625" style="2" customWidth="1"/>
    <col min="1563" max="1563" width="1.5703125" style="2" customWidth="1"/>
    <col min="1564" max="1564" width="12.28515625" style="2" customWidth="1"/>
    <col min="1565" max="1565" width="0.85546875" style="2" customWidth="1"/>
    <col min="1566" max="1566" width="12.28515625" style="2" customWidth="1"/>
    <col min="1567" max="1567" width="1.5703125" style="2" customWidth="1"/>
    <col min="1568" max="1568" width="12.28515625" style="2" customWidth="1"/>
    <col min="1569" max="1569" width="1.5703125" style="2" customWidth="1"/>
    <col min="1570" max="1570" width="12.28515625" style="2" customWidth="1"/>
    <col min="1571" max="1571" width="4.5703125" style="2" customWidth="1"/>
    <col min="1572" max="1572" width="1.42578125" style="2" customWidth="1"/>
    <col min="1573" max="1795" width="13.85546875" style="2"/>
    <col min="1796" max="1796" width="7.85546875" style="2" customWidth="1"/>
    <col min="1797" max="1798" width="2.28515625" style="2" customWidth="1"/>
    <col min="1799" max="1799" width="31.42578125" style="2" customWidth="1"/>
    <col min="1800" max="1800" width="2.28515625" style="2" customWidth="1"/>
    <col min="1801" max="1801" width="2.140625" style="2" customWidth="1"/>
    <col min="1802" max="1802" width="12.28515625" style="2" customWidth="1"/>
    <col min="1803" max="1803" width="1.5703125" style="2" customWidth="1"/>
    <col min="1804" max="1804" width="12.28515625" style="2" customWidth="1"/>
    <col min="1805" max="1805" width="1.5703125" style="2" customWidth="1"/>
    <col min="1806" max="1806" width="12.28515625" style="2" customWidth="1"/>
    <col min="1807" max="1807" width="1.5703125" style="2" customWidth="1"/>
    <col min="1808" max="1808" width="13.5703125" style="2" customWidth="1"/>
    <col min="1809" max="1809" width="0.85546875" style="2" customWidth="1"/>
    <col min="1810" max="1810" width="12.28515625" style="2" customWidth="1"/>
    <col min="1811" max="1811" width="1.5703125" style="2" customWidth="1"/>
    <col min="1812" max="1812" width="12.28515625" style="2" customWidth="1"/>
    <col min="1813" max="1813" width="1.5703125" style="2" customWidth="1"/>
    <col min="1814" max="1814" width="12.28515625" style="2" customWidth="1"/>
    <col min="1815" max="1815" width="0.85546875" style="2" customWidth="1"/>
    <col min="1816" max="1816" width="12.28515625" style="2" customWidth="1"/>
    <col min="1817" max="1817" width="1.5703125" style="2" customWidth="1"/>
    <col min="1818" max="1818" width="12.28515625" style="2" customWidth="1"/>
    <col min="1819" max="1819" width="1.5703125" style="2" customWidth="1"/>
    <col min="1820" max="1820" width="12.28515625" style="2" customWidth="1"/>
    <col min="1821" max="1821" width="0.85546875" style="2" customWidth="1"/>
    <col min="1822" max="1822" width="12.28515625" style="2" customWidth="1"/>
    <col min="1823" max="1823" width="1.5703125" style="2" customWidth="1"/>
    <col min="1824" max="1824" width="12.28515625" style="2" customWidth="1"/>
    <col min="1825" max="1825" width="1.5703125" style="2" customWidth="1"/>
    <col min="1826" max="1826" width="12.28515625" style="2" customWidth="1"/>
    <col min="1827" max="1827" width="4.5703125" style="2" customWidth="1"/>
    <col min="1828" max="1828" width="1.42578125" style="2" customWidth="1"/>
    <col min="1829" max="2051" width="13.85546875" style="2"/>
    <col min="2052" max="2052" width="7.85546875" style="2" customWidth="1"/>
    <col min="2053" max="2054" width="2.28515625" style="2" customWidth="1"/>
    <col min="2055" max="2055" width="31.42578125" style="2" customWidth="1"/>
    <col min="2056" max="2056" width="2.28515625" style="2" customWidth="1"/>
    <col min="2057" max="2057" width="2.140625" style="2" customWidth="1"/>
    <col min="2058" max="2058" width="12.28515625" style="2" customWidth="1"/>
    <col min="2059" max="2059" width="1.5703125" style="2" customWidth="1"/>
    <col min="2060" max="2060" width="12.28515625" style="2" customWidth="1"/>
    <col min="2061" max="2061" width="1.5703125" style="2" customWidth="1"/>
    <col min="2062" max="2062" width="12.28515625" style="2" customWidth="1"/>
    <col min="2063" max="2063" width="1.5703125" style="2" customWidth="1"/>
    <col min="2064" max="2064" width="13.5703125" style="2" customWidth="1"/>
    <col min="2065" max="2065" width="0.85546875" style="2" customWidth="1"/>
    <col min="2066" max="2066" width="12.28515625" style="2" customWidth="1"/>
    <col min="2067" max="2067" width="1.5703125" style="2" customWidth="1"/>
    <col min="2068" max="2068" width="12.28515625" style="2" customWidth="1"/>
    <col min="2069" max="2069" width="1.5703125" style="2" customWidth="1"/>
    <col min="2070" max="2070" width="12.28515625" style="2" customWidth="1"/>
    <col min="2071" max="2071" width="0.85546875" style="2" customWidth="1"/>
    <col min="2072" max="2072" width="12.28515625" style="2" customWidth="1"/>
    <col min="2073" max="2073" width="1.5703125" style="2" customWidth="1"/>
    <col min="2074" max="2074" width="12.28515625" style="2" customWidth="1"/>
    <col min="2075" max="2075" width="1.5703125" style="2" customWidth="1"/>
    <col min="2076" max="2076" width="12.28515625" style="2" customWidth="1"/>
    <col min="2077" max="2077" width="0.85546875" style="2" customWidth="1"/>
    <col min="2078" max="2078" width="12.28515625" style="2" customWidth="1"/>
    <col min="2079" max="2079" width="1.5703125" style="2" customWidth="1"/>
    <col min="2080" max="2080" width="12.28515625" style="2" customWidth="1"/>
    <col min="2081" max="2081" width="1.5703125" style="2" customWidth="1"/>
    <col min="2082" max="2082" width="12.28515625" style="2" customWidth="1"/>
    <col min="2083" max="2083" width="4.5703125" style="2" customWidth="1"/>
    <col min="2084" max="2084" width="1.42578125" style="2" customWidth="1"/>
    <col min="2085" max="2307" width="13.85546875" style="2"/>
    <col min="2308" max="2308" width="7.85546875" style="2" customWidth="1"/>
    <col min="2309" max="2310" width="2.28515625" style="2" customWidth="1"/>
    <col min="2311" max="2311" width="31.42578125" style="2" customWidth="1"/>
    <col min="2312" max="2312" width="2.28515625" style="2" customWidth="1"/>
    <col min="2313" max="2313" width="2.140625" style="2" customWidth="1"/>
    <col min="2314" max="2314" width="12.28515625" style="2" customWidth="1"/>
    <col min="2315" max="2315" width="1.5703125" style="2" customWidth="1"/>
    <col min="2316" max="2316" width="12.28515625" style="2" customWidth="1"/>
    <col min="2317" max="2317" width="1.5703125" style="2" customWidth="1"/>
    <col min="2318" max="2318" width="12.28515625" style="2" customWidth="1"/>
    <col min="2319" max="2319" width="1.5703125" style="2" customWidth="1"/>
    <col min="2320" max="2320" width="13.5703125" style="2" customWidth="1"/>
    <col min="2321" max="2321" width="0.85546875" style="2" customWidth="1"/>
    <col min="2322" max="2322" width="12.28515625" style="2" customWidth="1"/>
    <col min="2323" max="2323" width="1.5703125" style="2" customWidth="1"/>
    <col min="2324" max="2324" width="12.28515625" style="2" customWidth="1"/>
    <col min="2325" max="2325" width="1.5703125" style="2" customWidth="1"/>
    <col min="2326" max="2326" width="12.28515625" style="2" customWidth="1"/>
    <col min="2327" max="2327" width="0.85546875" style="2" customWidth="1"/>
    <col min="2328" max="2328" width="12.28515625" style="2" customWidth="1"/>
    <col min="2329" max="2329" width="1.5703125" style="2" customWidth="1"/>
    <col min="2330" max="2330" width="12.28515625" style="2" customWidth="1"/>
    <col min="2331" max="2331" width="1.5703125" style="2" customWidth="1"/>
    <col min="2332" max="2332" width="12.28515625" style="2" customWidth="1"/>
    <col min="2333" max="2333" width="0.85546875" style="2" customWidth="1"/>
    <col min="2334" max="2334" width="12.28515625" style="2" customWidth="1"/>
    <col min="2335" max="2335" width="1.5703125" style="2" customWidth="1"/>
    <col min="2336" max="2336" width="12.28515625" style="2" customWidth="1"/>
    <col min="2337" max="2337" width="1.5703125" style="2" customWidth="1"/>
    <col min="2338" max="2338" width="12.28515625" style="2" customWidth="1"/>
    <col min="2339" max="2339" width="4.5703125" style="2" customWidth="1"/>
    <col min="2340" max="2340" width="1.42578125" style="2" customWidth="1"/>
    <col min="2341" max="2563" width="13.85546875" style="2"/>
    <col min="2564" max="2564" width="7.85546875" style="2" customWidth="1"/>
    <col min="2565" max="2566" width="2.28515625" style="2" customWidth="1"/>
    <col min="2567" max="2567" width="31.42578125" style="2" customWidth="1"/>
    <col min="2568" max="2568" width="2.28515625" style="2" customWidth="1"/>
    <col min="2569" max="2569" width="2.140625" style="2" customWidth="1"/>
    <col min="2570" max="2570" width="12.28515625" style="2" customWidth="1"/>
    <col min="2571" max="2571" width="1.5703125" style="2" customWidth="1"/>
    <col min="2572" max="2572" width="12.28515625" style="2" customWidth="1"/>
    <col min="2573" max="2573" width="1.5703125" style="2" customWidth="1"/>
    <col min="2574" max="2574" width="12.28515625" style="2" customWidth="1"/>
    <col min="2575" max="2575" width="1.5703125" style="2" customWidth="1"/>
    <col min="2576" max="2576" width="13.5703125" style="2" customWidth="1"/>
    <col min="2577" max="2577" width="0.85546875" style="2" customWidth="1"/>
    <col min="2578" max="2578" width="12.28515625" style="2" customWidth="1"/>
    <col min="2579" max="2579" width="1.5703125" style="2" customWidth="1"/>
    <col min="2580" max="2580" width="12.28515625" style="2" customWidth="1"/>
    <col min="2581" max="2581" width="1.5703125" style="2" customWidth="1"/>
    <col min="2582" max="2582" width="12.28515625" style="2" customWidth="1"/>
    <col min="2583" max="2583" width="0.85546875" style="2" customWidth="1"/>
    <col min="2584" max="2584" width="12.28515625" style="2" customWidth="1"/>
    <col min="2585" max="2585" width="1.5703125" style="2" customWidth="1"/>
    <col min="2586" max="2586" width="12.28515625" style="2" customWidth="1"/>
    <col min="2587" max="2587" width="1.5703125" style="2" customWidth="1"/>
    <col min="2588" max="2588" width="12.28515625" style="2" customWidth="1"/>
    <col min="2589" max="2589" width="0.85546875" style="2" customWidth="1"/>
    <col min="2590" max="2590" width="12.28515625" style="2" customWidth="1"/>
    <col min="2591" max="2591" width="1.5703125" style="2" customWidth="1"/>
    <col min="2592" max="2592" width="12.28515625" style="2" customWidth="1"/>
    <col min="2593" max="2593" width="1.5703125" style="2" customWidth="1"/>
    <col min="2594" max="2594" width="12.28515625" style="2" customWidth="1"/>
    <col min="2595" max="2595" width="4.5703125" style="2" customWidth="1"/>
    <col min="2596" max="2596" width="1.42578125" style="2" customWidth="1"/>
    <col min="2597" max="2819" width="13.85546875" style="2"/>
    <col min="2820" max="2820" width="7.85546875" style="2" customWidth="1"/>
    <col min="2821" max="2822" width="2.28515625" style="2" customWidth="1"/>
    <col min="2823" max="2823" width="31.42578125" style="2" customWidth="1"/>
    <col min="2824" max="2824" width="2.28515625" style="2" customWidth="1"/>
    <col min="2825" max="2825" width="2.140625" style="2" customWidth="1"/>
    <col min="2826" max="2826" width="12.28515625" style="2" customWidth="1"/>
    <col min="2827" max="2827" width="1.5703125" style="2" customWidth="1"/>
    <col min="2828" max="2828" width="12.28515625" style="2" customWidth="1"/>
    <col min="2829" max="2829" width="1.5703125" style="2" customWidth="1"/>
    <col min="2830" max="2830" width="12.28515625" style="2" customWidth="1"/>
    <col min="2831" max="2831" width="1.5703125" style="2" customWidth="1"/>
    <col min="2832" max="2832" width="13.5703125" style="2" customWidth="1"/>
    <col min="2833" max="2833" width="0.85546875" style="2" customWidth="1"/>
    <col min="2834" max="2834" width="12.28515625" style="2" customWidth="1"/>
    <col min="2835" max="2835" width="1.5703125" style="2" customWidth="1"/>
    <col min="2836" max="2836" width="12.28515625" style="2" customWidth="1"/>
    <col min="2837" max="2837" width="1.5703125" style="2" customWidth="1"/>
    <col min="2838" max="2838" width="12.28515625" style="2" customWidth="1"/>
    <col min="2839" max="2839" width="0.85546875" style="2" customWidth="1"/>
    <col min="2840" max="2840" width="12.28515625" style="2" customWidth="1"/>
    <col min="2841" max="2841" width="1.5703125" style="2" customWidth="1"/>
    <col min="2842" max="2842" width="12.28515625" style="2" customWidth="1"/>
    <col min="2843" max="2843" width="1.5703125" style="2" customWidth="1"/>
    <col min="2844" max="2844" width="12.28515625" style="2" customWidth="1"/>
    <col min="2845" max="2845" width="0.85546875" style="2" customWidth="1"/>
    <col min="2846" max="2846" width="12.28515625" style="2" customWidth="1"/>
    <col min="2847" max="2847" width="1.5703125" style="2" customWidth="1"/>
    <col min="2848" max="2848" width="12.28515625" style="2" customWidth="1"/>
    <col min="2849" max="2849" width="1.5703125" style="2" customWidth="1"/>
    <col min="2850" max="2850" width="12.28515625" style="2" customWidth="1"/>
    <col min="2851" max="2851" width="4.5703125" style="2" customWidth="1"/>
    <col min="2852" max="2852" width="1.42578125" style="2" customWidth="1"/>
    <col min="2853" max="3075" width="13.85546875" style="2"/>
    <col min="3076" max="3076" width="7.85546875" style="2" customWidth="1"/>
    <col min="3077" max="3078" width="2.28515625" style="2" customWidth="1"/>
    <col min="3079" max="3079" width="31.42578125" style="2" customWidth="1"/>
    <col min="3080" max="3080" width="2.28515625" style="2" customWidth="1"/>
    <col min="3081" max="3081" width="2.140625" style="2" customWidth="1"/>
    <col min="3082" max="3082" width="12.28515625" style="2" customWidth="1"/>
    <col min="3083" max="3083" width="1.5703125" style="2" customWidth="1"/>
    <col min="3084" max="3084" width="12.28515625" style="2" customWidth="1"/>
    <col min="3085" max="3085" width="1.5703125" style="2" customWidth="1"/>
    <col min="3086" max="3086" width="12.28515625" style="2" customWidth="1"/>
    <col min="3087" max="3087" width="1.5703125" style="2" customWidth="1"/>
    <col min="3088" max="3088" width="13.5703125" style="2" customWidth="1"/>
    <col min="3089" max="3089" width="0.85546875" style="2" customWidth="1"/>
    <col min="3090" max="3090" width="12.28515625" style="2" customWidth="1"/>
    <col min="3091" max="3091" width="1.5703125" style="2" customWidth="1"/>
    <col min="3092" max="3092" width="12.28515625" style="2" customWidth="1"/>
    <col min="3093" max="3093" width="1.5703125" style="2" customWidth="1"/>
    <col min="3094" max="3094" width="12.28515625" style="2" customWidth="1"/>
    <col min="3095" max="3095" width="0.85546875" style="2" customWidth="1"/>
    <col min="3096" max="3096" width="12.28515625" style="2" customWidth="1"/>
    <col min="3097" max="3097" width="1.5703125" style="2" customWidth="1"/>
    <col min="3098" max="3098" width="12.28515625" style="2" customWidth="1"/>
    <col min="3099" max="3099" width="1.5703125" style="2" customWidth="1"/>
    <col min="3100" max="3100" width="12.28515625" style="2" customWidth="1"/>
    <col min="3101" max="3101" width="0.85546875" style="2" customWidth="1"/>
    <col min="3102" max="3102" width="12.28515625" style="2" customWidth="1"/>
    <col min="3103" max="3103" width="1.5703125" style="2" customWidth="1"/>
    <col min="3104" max="3104" width="12.28515625" style="2" customWidth="1"/>
    <col min="3105" max="3105" width="1.5703125" style="2" customWidth="1"/>
    <col min="3106" max="3106" width="12.28515625" style="2" customWidth="1"/>
    <col min="3107" max="3107" width="4.5703125" style="2" customWidth="1"/>
    <col min="3108" max="3108" width="1.42578125" style="2" customWidth="1"/>
    <col min="3109" max="3331" width="13.85546875" style="2"/>
    <col min="3332" max="3332" width="7.85546875" style="2" customWidth="1"/>
    <col min="3333" max="3334" width="2.28515625" style="2" customWidth="1"/>
    <col min="3335" max="3335" width="31.42578125" style="2" customWidth="1"/>
    <col min="3336" max="3336" width="2.28515625" style="2" customWidth="1"/>
    <col min="3337" max="3337" width="2.140625" style="2" customWidth="1"/>
    <col min="3338" max="3338" width="12.28515625" style="2" customWidth="1"/>
    <col min="3339" max="3339" width="1.5703125" style="2" customWidth="1"/>
    <col min="3340" max="3340" width="12.28515625" style="2" customWidth="1"/>
    <col min="3341" max="3341" width="1.5703125" style="2" customWidth="1"/>
    <col min="3342" max="3342" width="12.28515625" style="2" customWidth="1"/>
    <col min="3343" max="3343" width="1.5703125" style="2" customWidth="1"/>
    <col min="3344" max="3344" width="13.5703125" style="2" customWidth="1"/>
    <col min="3345" max="3345" width="0.85546875" style="2" customWidth="1"/>
    <col min="3346" max="3346" width="12.28515625" style="2" customWidth="1"/>
    <col min="3347" max="3347" width="1.5703125" style="2" customWidth="1"/>
    <col min="3348" max="3348" width="12.28515625" style="2" customWidth="1"/>
    <col min="3349" max="3349" width="1.5703125" style="2" customWidth="1"/>
    <col min="3350" max="3350" width="12.28515625" style="2" customWidth="1"/>
    <col min="3351" max="3351" width="0.85546875" style="2" customWidth="1"/>
    <col min="3352" max="3352" width="12.28515625" style="2" customWidth="1"/>
    <col min="3353" max="3353" width="1.5703125" style="2" customWidth="1"/>
    <col min="3354" max="3354" width="12.28515625" style="2" customWidth="1"/>
    <col min="3355" max="3355" width="1.5703125" style="2" customWidth="1"/>
    <col min="3356" max="3356" width="12.28515625" style="2" customWidth="1"/>
    <col min="3357" max="3357" width="0.85546875" style="2" customWidth="1"/>
    <col min="3358" max="3358" width="12.28515625" style="2" customWidth="1"/>
    <col min="3359" max="3359" width="1.5703125" style="2" customWidth="1"/>
    <col min="3360" max="3360" width="12.28515625" style="2" customWidth="1"/>
    <col min="3361" max="3361" width="1.5703125" style="2" customWidth="1"/>
    <col min="3362" max="3362" width="12.28515625" style="2" customWidth="1"/>
    <col min="3363" max="3363" width="4.5703125" style="2" customWidth="1"/>
    <col min="3364" max="3364" width="1.42578125" style="2" customWidth="1"/>
    <col min="3365" max="3587" width="13.85546875" style="2"/>
    <col min="3588" max="3588" width="7.85546875" style="2" customWidth="1"/>
    <col min="3589" max="3590" width="2.28515625" style="2" customWidth="1"/>
    <col min="3591" max="3591" width="31.42578125" style="2" customWidth="1"/>
    <col min="3592" max="3592" width="2.28515625" style="2" customWidth="1"/>
    <col min="3593" max="3593" width="2.140625" style="2" customWidth="1"/>
    <col min="3594" max="3594" width="12.28515625" style="2" customWidth="1"/>
    <col min="3595" max="3595" width="1.5703125" style="2" customWidth="1"/>
    <col min="3596" max="3596" width="12.28515625" style="2" customWidth="1"/>
    <col min="3597" max="3597" width="1.5703125" style="2" customWidth="1"/>
    <col min="3598" max="3598" width="12.28515625" style="2" customWidth="1"/>
    <col min="3599" max="3599" width="1.5703125" style="2" customWidth="1"/>
    <col min="3600" max="3600" width="13.5703125" style="2" customWidth="1"/>
    <col min="3601" max="3601" width="0.85546875" style="2" customWidth="1"/>
    <col min="3602" max="3602" width="12.28515625" style="2" customWidth="1"/>
    <col min="3603" max="3603" width="1.5703125" style="2" customWidth="1"/>
    <col min="3604" max="3604" width="12.28515625" style="2" customWidth="1"/>
    <col min="3605" max="3605" width="1.5703125" style="2" customWidth="1"/>
    <col min="3606" max="3606" width="12.28515625" style="2" customWidth="1"/>
    <col min="3607" max="3607" width="0.85546875" style="2" customWidth="1"/>
    <col min="3608" max="3608" width="12.28515625" style="2" customWidth="1"/>
    <col min="3609" max="3609" width="1.5703125" style="2" customWidth="1"/>
    <col min="3610" max="3610" width="12.28515625" style="2" customWidth="1"/>
    <col min="3611" max="3611" width="1.5703125" style="2" customWidth="1"/>
    <col min="3612" max="3612" width="12.28515625" style="2" customWidth="1"/>
    <col min="3613" max="3613" width="0.85546875" style="2" customWidth="1"/>
    <col min="3614" max="3614" width="12.28515625" style="2" customWidth="1"/>
    <col min="3615" max="3615" width="1.5703125" style="2" customWidth="1"/>
    <col min="3616" max="3616" width="12.28515625" style="2" customWidth="1"/>
    <col min="3617" max="3617" width="1.5703125" style="2" customWidth="1"/>
    <col min="3618" max="3618" width="12.28515625" style="2" customWidth="1"/>
    <col min="3619" max="3619" width="4.5703125" style="2" customWidth="1"/>
    <col min="3620" max="3620" width="1.42578125" style="2" customWidth="1"/>
    <col min="3621" max="3843" width="13.85546875" style="2"/>
    <col min="3844" max="3844" width="7.85546875" style="2" customWidth="1"/>
    <col min="3845" max="3846" width="2.28515625" style="2" customWidth="1"/>
    <col min="3847" max="3847" width="31.42578125" style="2" customWidth="1"/>
    <col min="3848" max="3848" width="2.28515625" style="2" customWidth="1"/>
    <col min="3849" max="3849" width="2.140625" style="2" customWidth="1"/>
    <col min="3850" max="3850" width="12.28515625" style="2" customWidth="1"/>
    <col min="3851" max="3851" width="1.5703125" style="2" customWidth="1"/>
    <col min="3852" max="3852" width="12.28515625" style="2" customWidth="1"/>
    <col min="3853" max="3853" width="1.5703125" style="2" customWidth="1"/>
    <col min="3854" max="3854" width="12.28515625" style="2" customWidth="1"/>
    <col min="3855" max="3855" width="1.5703125" style="2" customWidth="1"/>
    <col min="3856" max="3856" width="13.5703125" style="2" customWidth="1"/>
    <col min="3857" max="3857" width="0.85546875" style="2" customWidth="1"/>
    <col min="3858" max="3858" width="12.28515625" style="2" customWidth="1"/>
    <col min="3859" max="3859" width="1.5703125" style="2" customWidth="1"/>
    <col min="3860" max="3860" width="12.28515625" style="2" customWidth="1"/>
    <col min="3861" max="3861" width="1.5703125" style="2" customWidth="1"/>
    <col min="3862" max="3862" width="12.28515625" style="2" customWidth="1"/>
    <col min="3863" max="3863" width="0.85546875" style="2" customWidth="1"/>
    <col min="3864" max="3864" width="12.28515625" style="2" customWidth="1"/>
    <col min="3865" max="3865" width="1.5703125" style="2" customWidth="1"/>
    <col min="3866" max="3866" width="12.28515625" style="2" customWidth="1"/>
    <col min="3867" max="3867" width="1.5703125" style="2" customWidth="1"/>
    <col min="3868" max="3868" width="12.28515625" style="2" customWidth="1"/>
    <col min="3869" max="3869" width="0.85546875" style="2" customWidth="1"/>
    <col min="3870" max="3870" width="12.28515625" style="2" customWidth="1"/>
    <col min="3871" max="3871" width="1.5703125" style="2" customWidth="1"/>
    <col min="3872" max="3872" width="12.28515625" style="2" customWidth="1"/>
    <col min="3873" max="3873" width="1.5703125" style="2" customWidth="1"/>
    <col min="3874" max="3874" width="12.28515625" style="2" customWidth="1"/>
    <col min="3875" max="3875" width="4.5703125" style="2" customWidth="1"/>
    <col min="3876" max="3876" width="1.42578125" style="2" customWidth="1"/>
    <col min="3877" max="4099" width="13.85546875" style="2"/>
    <col min="4100" max="4100" width="7.85546875" style="2" customWidth="1"/>
    <col min="4101" max="4102" width="2.28515625" style="2" customWidth="1"/>
    <col min="4103" max="4103" width="31.42578125" style="2" customWidth="1"/>
    <col min="4104" max="4104" width="2.28515625" style="2" customWidth="1"/>
    <col min="4105" max="4105" width="2.140625" style="2" customWidth="1"/>
    <col min="4106" max="4106" width="12.28515625" style="2" customWidth="1"/>
    <col min="4107" max="4107" width="1.5703125" style="2" customWidth="1"/>
    <col min="4108" max="4108" width="12.28515625" style="2" customWidth="1"/>
    <col min="4109" max="4109" width="1.5703125" style="2" customWidth="1"/>
    <col min="4110" max="4110" width="12.28515625" style="2" customWidth="1"/>
    <col min="4111" max="4111" width="1.5703125" style="2" customWidth="1"/>
    <col min="4112" max="4112" width="13.5703125" style="2" customWidth="1"/>
    <col min="4113" max="4113" width="0.85546875" style="2" customWidth="1"/>
    <col min="4114" max="4114" width="12.28515625" style="2" customWidth="1"/>
    <col min="4115" max="4115" width="1.5703125" style="2" customWidth="1"/>
    <col min="4116" max="4116" width="12.28515625" style="2" customWidth="1"/>
    <col min="4117" max="4117" width="1.5703125" style="2" customWidth="1"/>
    <col min="4118" max="4118" width="12.28515625" style="2" customWidth="1"/>
    <col min="4119" max="4119" width="0.85546875" style="2" customWidth="1"/>
    <col min="4120" max="4120" width="12.28515625" style="2" customWidth="1"/>
    <col min="4121" max="4121" width="1.5703125" style="2" customWidth="1"/>
    <col min="4122" max="4122" width="12.28515625" style="2" customWidth="1"/>
    <col min="4123" max="4123" width="1.5703125" style="2" customWidth="1"/>
    <col min="4124" max="4124" width="12.28515625" style="2" customWidth="1"/>
    <col min="4125" max="4125" width="0.85546875" style="2" customWidth="1"/>
    <col min="4126" max="4126" width="12.28515625" style="2" customWidth="1"/>
    <col min="4127" max="4127" width="1.5703125" style="2" customWidth="1"/>
    <col min="4128" max="4128" width="12.28515625" style="2" customWidth="1"/>
    <col min="4129" max="4129" width="1.5703125" style="2" customWidth="1"/>
    <col min="4130" max="4130" width="12.28515625" style="2" customWidth="1"/>
    <col min="4131" max="4131" width="4.5703125" style="2" customWidth="1"/>
    <col min="4132" max="4132" width="1.42578125" style="2" customWidth="1"/>
    <col min="4133" max="4355" width="13.85546875" style="2"/>
    <col min="4356" max="4356" width="7.85546875" style="2" customWidth="1"/>
    <col min="4357" max="4358" width="2.28515625" style="2" customWidth="1"/>
    <col min="4359" max="4359" width="31.42578125" style="2" customWidth="1"/>
    <col min="4360" max="4360" width="2.28515625" style="2" customWidth="1"/>
    <col min="4361" max="4361" width="2.140625" style="2" customWidth="1"/>
    <col min="4362" max="4362" width="12.28515625" style="2" customWidth="1"/>
    <col min="4363" max="4363" width="1.5703125" style="2" customWidth="1"/>
    <col min="4364" max="4364" width="12.28515625" style="2" customWidth="1"/>
    <col min="4365" max="4365" width="1.5703125" style="2" customWidth="1"/>
    <col min="4366" max="4366" width="12.28515625" style="2" customWidth="1"/>
    <col min="4367" max="4367" width="1.5703125" style="2" customWidth="1"/>
    <col min="4368" max="4368" width="13.5703125" style="2" customWidth="1"/>
    <col min="4369" max="4369" width="0.85546875" style="2" customWidth="1"/>
    <col min="4370" max="4370" width="12.28515625" style="2" customWidth="1"/>
    <col min="4371" max="4371" width="1.5703125" style="2" customWidth="1"/>
    <col min="4372" max="4372" width="12.28515625" style="2" customWidth="1"/>
    <col min="4373" max="4373" width="1.5703125" style="2" customWidth="1"/>
    <col min="4374" max="4374" width="12.28515625" style="2" customWidth="1"/>
    <col min="4375" max="4375" width="0.85546875" style="2" customWidth="1"/>
    <col min="4376" max="4376" width="12.28515625" style="2" customWidth="1"/>
    <col min="4377" max="4377" width="1.5703125" style="2" customWidth="1"/>
    <col min="4378" max="4378" width="12.28515625" style="2" customWidth="1"/>
    <col min="4379" max="4379" width="1.5703125" style="2" customWidth="1"/>
    <col min="4380" max="4380" width="12.28515625" style="2" customWidth="1"/>
    <col min="4381" max="4381" width="0.85546875" style="2" customWidth="1"/>
    <col min="4382" max="4382" width="12.28515625" style="2" customWidth="1"/>
    <col min="4383" max="4383" width="1.5703125" style="2" customWidth="1"/>
    <col min="4384" max="4384" width="12.28515625" style="2" customWidth="1"/>
    <col min="4385" max="4385" width="1.5703125" style="2" customWidth="1"/>
    <col min="4386" max="4386" width="12.28515625" style="2" customWidth="1"/>
    <col min="4387" max="4387" width="4.5703125" style="2" customWidth="1"/>
    <col min="4388" max="4388" width="1.42578125" style="2" customWidth="1"/>
    <col min="4389" max="4611" width="13.85546875" style="2"/>
    <col min="4612" max="4612" width="7.85546875" style="2" customWidth="1"/>
    <col min="4613" max="4614" width="2.28515625" style="2" customWidth="1"/>
    <col min="4615" max="4615" width="31.42578125" style="2" customWidth="1"/>
    <col min="4616" max="4616" width="2.28515625" style="2" customWidth="1"/>
    <col min="4617" max="4617" width="2.140625" style="2" customWidth="1"/>
    <col min="4618" max="4618" width="12.28515625" style="2" customWidth="1"/>
    <col min="4619" max="4619" width="1.5703125" style="2" customWidth="1"/>
    <col min="4620" max="4620" width="12.28515625" style="2" customWidth="1"/>
    <col min="4621" max="4621" width="1.5703125" style="2" customWidth="1"/>
    <col min="4622" max="4622" width="12.28515625" style="2" customWidth="1"/>
    <col min="4623" max="4623" width="1.5703125" style="2" customWidth="1"/>
    <col min="4624" max="4624" width="13.5703125" style="2" customWidth="1"/>
    <col min="4625" max="4625" width="0.85546875" style="2" customWidth="1"/>
    <col min="4626" max="4626" width="12.28515625" style="2" customWidth="1"/>
    <col min="4627" max="4627" width="1.5703125" style="2" customWidth="1"/>
    <col min="4628" max="4628" width="12.28515625" style="2" customWidth="1"/>
    <col min="4629" max="4629" width="1.5703125" style="2" customWidth="1"/>
    <col min="4630" max="4630" width="12.28515625" style="2" customWidth="1"/>
    <col min="4631" max="4631" width="0.85546875" style="2" customWidth="1"/>
    <col min="4632" max="4632" width="12.28515625" style="2" customWidth="1"/>
    <col min="4633" max="4633" width="1.5703125" style="2" customWidth="1"/>
    <col min="4634" max="4634" width="12.28515625" style="2" customWidth="1"/>
    <col min="4635" max="4635" width="1.5703125" style="2" customWidth="1"/>
    <col min="4636" max="4636" width="12.28515625" style="2" customWidth="1"/>
    <col min="4637" max="4637" width="0.85546875" style="2" customWidth="1"/>
    <col min="4638" max="4638" width="12.28515625" style="2" customWidth="1"/>
    <col min="4639" max="4639" width="1.5703125" style="2" customWidth="1"/>
    <col min="4640" max="4640" width="12.28515625" style="2" customWidth="1"/>
    <col min="4641" max="4641" width="1.5703125" style="2" customWidth="1"/>
    <col min="4642" max="4642" width="12.28515625" style="2" customWidth="1"/>
    <col min="4643" max="4643" width="4.5703125" style="2" customWidth="1"/>
    <col min="4644" max="4644" width="1.42578125" style="2" customWidth="1"/>
    <col min="4645" max="4867" width="13.85546875" style="2"/>
    <col min="4868" max="4868" width="7.85546875" style="2" customWidth="1"/>
    <col min="4869" max="4870" width="2.28515625" style="2" customWidth="1"/>
    <col min="4871" max="4871" width="31.42578125" style="2" customWidth="1"/>
    <col min="4872" max="4872" width="2.28515625" style="2" customWidth="1"/>
    <col min="4873" max="4873" width="2.140625" style="2" customWidth="1"/>
    <col min="4874" max="4874" width="12.28515625" style="2" customWidth="1"/>
    <col min="4875" max="4875" width="1.5703125" style="2" customWidth="1"/>
    <col min="4876" max="4876" width="12.28515625" style="2" customWidth="1"/>
    <col min="4877" max="4877" width="1.5703125" style="2" customWidth="1"/>
    <col min="4878" max="4878" width="12.28515625" style="2" customWidth="1"/>
    <col min="4879" max="4879" width="1.5703125" style="2" customWidth="1"/>
    <col min="4880" max="4880" width="13.5703125" style="2" customWidth="1"/>
    <col min="4881" max="4881" width="0.85546875" style="2" customWidth="1"/>
    <col min="4882" max="4882" width="12.28515625" style="2" customWidth="1"/>
    <col min="4883" max="4883" width="1.5703125" style="2" customWidth="1"/>
    <col min="4884" max="4884" width="12.28515625" style="2" customWidth="1"/>
    <col min="4885" max="4885" width="1.5703125" style="2" customWidth="1"/>
    <col min="4886" max="4886" width="12.28515625" style="2" customWidth="1"/>
    <col min="4887" max="4887" width="0.85546875" style="2" customWidth="1"/>
    <col min="4888" max="4888" width="12.28515625" style="2" customWidth="1"/>
    <col min="4889" max="4889" width="1.5703125" style="2" customWidth="1"/>
    <col min="4890" max="4890" width="12.28515625" style="2" customWidth="1"/>
    <col min="4891" max="4891" width="1.5703125" style="2" customWidth="1"/>
    <col min="4892" max="4892" width="12.28515625" style="2" customWidth="1"/>
    <col min="4893" max="4893" width="0.85546875" style="2" customWidth="1"/>
    <col min="4894" max="4894" width="12.28515625" style="2" customWidth="1"/>
    <col min="4895" max="4895" width="1.5703125" style="2" customWidth="1"/>
    <col min="4896" max="4896" width="12.28515625" style="2" customWidth="1"/>
    <col min="4897" max="4897" width="1.5703125" style="2" customWidth="1"/>
    <col min="4898" max="4898" width="12.28515625" style="2" customWidth="1"/>
    <col min="4899" max="4899" width="4.5703125" style="2" customWidth="1"/>
    <col min="4900" max="4900" width="1.42578125" style="2" customWidth="1"/>
    <col min="4901" max="5123" width="13.85546875" style="2"/>
    <col min="5124" max="5124" width="7.85546875" style="2" customWidth="1"/>
    <col min="5125" max="5126" width="2.28515625" style="2" customWidth="1"/>
    <col min="5127" max="5127" width="31.42578125" style="2" customWidth="1"/>
    <col min="5128" max="5128" width="2.28515625" style="2" customWidth="1"/>
    <col min="5129" max="5129" width="2.140625" style="2" customWidth="1"/>
    <col min="5130" max="5130" width="12.28515625" style="2" customWidth="1"/>
    <col min="5131" max="5131" width="1.5703125" style="2" customWidth="1"/>
    <col min="5132" max="5132" width="12.28515625" style="2" customWidth="1"/>
    <col min="5133" max="5133" width="1.5703125" style="2" customWidth="1"/>
    <col min="5134" max="5134" width="12.28515625" style="2" customWidth="1"/>
    <col min="5135" max="5135" width="1.5703125" style="2" customWidth="1"/>
    <col min="5136" max="5136" width="13.5703125" style="2" customWidth="1"/>
    <col min="5137" max="5137" width="0.85546875" style="2" customWidth="1"/>
    <col min="5138" max="5138" width="12.28515625" style="2" customWidth="1"/>
    <col min="5139" max="5139" width="1.5703125" style="2" customWidth="1"/>
    <col min="5140" max="5140" width="12.28515625" style="2" customWidth="1"/>
    <col min="5141" max="5141" width="1.5703125" style="2" customWidth="1"/>
    <col min="5142" max="5142" width="12.28515625" style="2" customWidth="1"/>
    <col min="5143" max="5143" width="0.85546875" style="2" customWidth="1"/>
    <col min="5144" max="5144" width="12.28515625" style="2" customWidth="1"/>
    <col min="5145" max="5145" width="1.5703125" style="2" customWidth="1"/>
    <col min="5146" max="5146" width="12.28515625" style="2" customWidth="1"/>
    <col min="5147" max="5147" width="1.5703125" style="2" customWidth="1"/>
    <col min="5148" max="5148" width="12.28515625" style="2" customWidth="1"/>
    <col min="5149" max="5149" width="0.85546875" style="2" customWidth="1"/>
    <col min="5150" max="5150" width="12.28515625" style="2" customWidth="1"/>
    <col min="5151" max="5151" width="1.5703125" style="2" customWidth="1"/>
    <col min="5152" max="5152" width="12.28515625" style="2" customWidth="1"/>
    <col min="5153" max="5153" width="1.5703125" style="2" customWidth="1"/>
    <col min="5154" max="5154" width="12.28515625" style="2" customWidth="1"/>
    <col min="5155" max="5155" width="4.5703125" style="2" customWidth="1"/>
    <col min="5156" max="5156" width="1.42578125" style="2" customWidth="1"/>
    <col min="5157" max="5379" width="13.85546875" style="2"/>
    <col min="5380" max="5380" width="7.85546875" style="2" customWidth="1"/>
    <col min="5381" max="5382" width="2.28515625" style="2" customWidth="1"/>
    <col min="5383" max="5383" width="31.42578125" style="2" customWidth="1"/>
    <col min="5384" max="5384" width="2.28515625" style="2" customWidth="1"/>
    <col min="5385" max="5385" width="2.140625" style="2" customWidth="1"/>
    <col min="5386" max="5386" width="12.28515625" style="2" customWidth="1"/>
    <col min="5387" max="5387" width="1.5703125" style="2" customWidth="1"/>
    <col min="5388" max="5388" width="12.28515625" style="2" customWidth="1"/>
    <col min="5389" max="5389" width="1.5703125" style="2" customWidth="1"/>
    <col min="5390" max="5390" width="12.28515625" style="2" customWidth="1"/>
    <col min="5391" max="5391" width="1.5703125" style="2" customWidth="1"/>
    <col min="5392" max="5392" width="13.5703125" style="2" customWidth="1"/>
    <col min="5393" max="5393" width="0.85546875" style="2" customWidth="1"/>
    <col min="5394" max="5394" width="12.28515625" style="2" customWidth="1"/>
    <col min="5395" max="5395" width="1.5703125" style="2" customWidth="1"/>
    <col min="5396" max="5396" width="12.28515625" style="2" customWidth="1"/>
    <col min="5397" max="5397" width="1.5703125" style="2" customWidth="1"/>
    <col min="5398" max="5398" width="12.28515625" style="2" customWidth="1"/>
    <col min="5399" max="5399" width="0.85546875" style="2" customWidth="1"/>
    <col min="5400" max="5400" width="12.28515625" style="2" customWidth="1"/>
    <col min="5401" max="5401" width="1.5703125" style="2" customWidth="1"/>
    <col min="5402" max="5402" width="12.28515625" style="2" customWidth="1"/>
    <col min="5403" max="5403" width="1.5703125" style="2" customWidth="1"/>
    <col min="5404" max="5404" width="12.28515625" style="2" customWidth="1"/>
    <col min="5405" max="5405" width="0.85546875" style="2" customWidth="1"/>
    <col min="5406" max="5406" width="12.28515625" style="2" customWidth="1"/>
    <col min="5407" max="5407" width="1.5703125" style="2" customWidth="1"/>
    <col min="5408" max="5408" width="12.28515625" style="2" customWidth="1"/>
    <col min="5409" max="5409" width="1.5703125" style="2" customWidth="1"/>
    <col min="5410" max="5410" width="12.28515625" style="2" customWidth="1"/>
    <col min="5411" max="5411" width="4.5703125" style="2" customWidth="1"/>
    <col min="5412" max="5412" width="1.42578125" style="2" customWidth="1"/>
    <col min="5413" max="5635" width="13.85546875" style="2"/>
    <col min="5636" max="5636" width="7.85546875" style="2" customWidth="1"/>
    <col min="5637" max="5638" width="2.28515625" style="2" customWidth="1"/>
    <col min="5639" max="5639" width="31.42578125" style="2" customWidth="1"/>
    <col min="5640" max="5640" width="2.28515625" style="2" customWidth="1"/>
    <col min="5641" max="5641" width="2.140625" style="2" customWidth="1"/>
    <col min="5642" max="5642" width="12.28515625" style="2" customWidth="1"/>
    <col min="5643" max="5643" width="1.5703125" style="2" customWidth="1"/>
    <col min="5644" max="5644" width="12.28515625" style="2" customWidth="1"/>
    <col min="5645" max="5645" width="1.5703125" style="2" customWidth="1"/>
    <col min="5646" max="5646" width="12.28515625" style="2" customWidth="1"/>
    <col min="5647" max="5647" width="1.5703125" style="2" customWidth="1"/>
    <col min="5648" max="5648" width="13.5703125" style="2" customWidth="1"/>
    <col min="5649" max="5649" width="0.85546875" style="2" customWidth="1"/>
    <col min="5650" max="5650" width="12.28515625" style="2" customWidth="1"/>
    <col min="5651" max="5651" width="1.5703125" style="2" customWidth="1"/>
    <col min="5652" max="5652" width="12.28515625" style="2" customWidth="1"/>
    <col min="5653" max="5653" width="1.5703125" style="2" customWidth="1"/>
    <col min="5654" max="5654" width="12.28515625" style="2" customWidth="1"/>
    <col min="5655" max="5655" width="0.85546875" style="2" customWidth="1"/>
    <col min="5656" max="5656" width="12.28515625" style="2" customWidth="1"/>
    <col min="5657" max="5657" width="1.5703125" style="2" customWidth="1"/>
    <col min="5658" max="5658" width="12.28515625" style="2" customWidth="1"/>
    <col min="5659" max="5659" width="1.5703125" style="2" customWidth="1"/>
    <col min="5660" max="5660" width="12.28515625" style="2" customWidth="1"/>
    <col min="5661" max="5661" width="0.85546875" style="2" customWidth="1"/>
    <col min="5662" max="5662" width="12.28515625" style="2" customWidth="1"/>
    <col min="5663" max="5663" width="1.5703125" style="2" customWidth="1"/>
    <col min="5664" max="5664" width="12.28515625" style="2" customWidth="1"/>
    <col min="5665" max="5665" width="1.5703125" style="2" customWidth="1"/>
    <col min="5666" max="5666" width="12.28515625" style="2" customWidth="1"/>
    <col min="5667" max="5667" width="4.5703125" style="2" customWidth="1"/>
    <col min="5668" max="5668" width="1.42578125" style="2" customWidth="1"/>
    <col min="5669" max="5891" width="13.85546875" style="2"/>
    <col min="5892" max="5892" width="7.85546875" style="2" customWidth="1"/>
    <col min="5893" max="5894" width="2.28515625" style="2" customWidth="1"/>
    <col min="5895" max="5895" width="31.42578125" style="2" customWidth="1"/>
    <col min="5896" max="5896" width="2.28515625" style="2" customWidth="1"/>
    <col min="5897" max="5897" width="2.140625" style="2" customWidth="1"/>
    <col min="5898" max="5898" width="12.28515625" style="2" customWidth="1"/>
    <col min="5899" max="5899" width="1.5703125" style="2" customWidth="1"/>
    <col min="5900" max="5900" width="12.28515625" style="2" customWidth="1"/>
    <col min="5901" max="5901" width="1.5703125" style="2" customWidth="1"/>
    <col min="5902" max="5902" width="12.28515625" style="2" customWidth="1"/>
    <col min="5903" max="5903" width="1.5703125" style="2" customWidth="1"/>
    <col min="5904" max="5904" width="13.5703125" style="2" customWidth="1"/>
    <col min="5905" max="5905" width="0.85546875" style="2" customWidth="1"/>
    <col min="5906" max="5906" width="12.28515625" style="2" customWidth="1"/>
    <col min="5907" max="5907" width="1.5703125" style="2" customWidth="1"/>
    <col min="5908" max="5908" width="12.28515625" style="2" customWidth="1"/>
    <col min="5909" max="5909" width="1.5703125" style="2" customWidth="1"/>
    <col min="5910" max="5910" width="12.28515625" style="2" customWidth="1"/>
    <col min="5911" max="5911" width="0.85546875" style="2" customWidth="1"/>
    <col min="5912" max="5912" width="12.28515625" style="2" customWidth="1"/>
    <col min="5913" max="5913" width="1.5703125" style="2" customWidth="1"/>
    <col min="5914" max="5914" width="12.28515625" style="2" customWidth="1"/>
    <col min="5915" max="5915" width="1.5703125" style="2" customWidth="1"/>
    <col min="5916" max="5916" width="12.28515625" style="2" customWidth="1"/>
    <col min="5917" max="5917" width="0.85546875" style="2" customWidth="1"/>
    <col min="5918" max="5918" width="12.28515625" style="2" customWidth="1"/>
    <col min="5919" max="5919" width="1.5703125" style="2" customWidth="1"/>
    <col min="5920" max="5920" width="12.28515625" style="2" customWidth="1"/>
    <col min="5921" max="5921" width="1.5703125" style="2" customWidth="1"/>
    <col min="5922" max="5922" width="12.28515625" style="2" customWidth="1"/>
    <col min="5923" max="5923" width="4.5703125" style="2" customWidth="1"/>
    <col min="5924" max="5924" width="1.42578125" style="2" customWidth="1"/>
    <col min="5925" max="6147" width="13.85546875" style="2"/>
    <col min="6148" max="6148" width="7.85546875" style="2" customWidth="1"/>
    <col min="6149" max="6150" width="2.28515625" style="2" customWidth="1"/>
    <col min="6151" max="6151" width="31.42578125" style="2" customWidth="1"/>
    <col min="6152" max="6152" width="2.28515625" style="2" customWidth="1"/>
    <col min="6153" max="6153" width="2.140625" style="2" customWidth="1"/>
    <col min="6154" max="6154" width="12.28515625" style="2" customWidth="1"/>
    <col min="6155" max="6155" width="1.5703125" style="2" customWidth="1"/>
    <col min="6156" max="6156" width="12.28515625" style="2" customWidth="1"/>
    <col min="6157" max="6157" width="1.5703125" style="2" customWidth="1"/>
    <col min="6158" max="6158" width="12.28515625" style="2" customWidth="1"/>
    <col min="6159" max="6159" width="1.5703125" style="2" customWidth="1"/>
    <col min="6160" max="6160" width="13.5703125" style="2" customWidth="1"/>
    <col min="6161" max="6161" width="0.85546875" style="2" customWidth="1"/>
    <col min="6162" max="6162" width="12.28515625" style="2" customWidth="1"/>
    <col min="6163" max="6163" width="1.5703125" style="2" customWidth="1"/>
    <col min="6164" max="6164" width="12.28515625" style="2" customWidth="1"/>
    <col min="6165" max="6165" width="1.5703125" style="2" customWidth="1"/>
    <col min="6166" max="6166" width="12.28515625" style="2" customWidth="1"/>
    <col min="6167" max="6167" width="0.85546875" style="2" customWidth="1"/>
    <col min="6168" max="6168" width="12.28515625" style="2" customWidth="1"/>
    <col min="6169" max="6169" width="1.5703125" style="2" customWidth="1"/>
    <col min="6170" max="6170" width="12.28515625" style="2" customWidth="1"/>
    <col min="6171" max="6171" width="1.5703125" style="2" customWidth="1"/>
    <col min="6172" max="6172" width="12.28515625" style="2" customWidth="1"/>
    <col min="6173" max="6173" width="0.85546875" style="2" customWidth="1"/>
    <col min="6174" max="6174" width="12.28515625" style="2" customWidth="1"/>
    <col min="6175" max="6175" width="1.5703125" style="2" customWidth="1"/>
    <col min="6176" max="6176" width="12.28515625" style="2" customWidth="1"/>
    <col min="6177" max="6177" width="1.5703125" style="2" customWidth="1"/>
    <col min="6178" max="6178" width="12.28515625" style="2" customWidth="1"/>
    <col min="6179" max="6179" width="4.5703125" style="2" customWidth="1"/>
    <col min="6180" max="6180" width="1.42578125" style="2" customWidth="1"/>
    <col min="6181" max="6403" width="13.85546875" style="2"/>
    <col min="6404" max="6404" width="7.85546875" style="2" customWidth="1"/>
    <col min="6405" max="6406" width="2.28515625" style="2" customWidth="1"/>
    <col min="6407" max="6407" width="31.42578125" style="2" customWidth="1"/>
    <col min="6408" max="6408" width="2.28515625" style="2" customWidth="1"/>
    <col min="6409" max="6409" width="2.140625" style="2" customWidth="1"/>
    <col min="6410" max="6410" width="12.28515625" style="2" customWidth="1"/>
    <col min="6411" max="6411" width="1.5703125" style="2" customWidth="1"/>
    <col min="6412" max="6412" width="12.28515625" style="2" customWidth="1"/>
    <col min="6413" max="6413" width="1.5703125" style="2" customWidth="1"/>
    <col min="6414" max="6414" width="12.28515625" style="2" customWidth="1"/>
    <col min="6415" max="6415" width="1.5703125" style="2" customWidth="1"/>
    <col min="6416" max="6416" width="13.5703125" style="2" customWidth="1"/>
    <col min="6417" max="6417" width="0.85546875" style="2" customWidth="1"/>
    <col min="6418" max="6418" width="12.28515625" style="2" customWidth="1"/>
    <col min="6419" max="6419" width="1.5703125" style="2" customWidth="1"/>
    <col min="6420" max="6420" width="12.28515625" style="2" customWidth="1"/>
    <col min="6421" max="6421" width="1.5703125" style="2" customWidth="1"/>
    <col min="6422" max="6422" width="12.28515625" style="2" customWidth="1"/>
    <col min="6423" max="6423" width="0.85546875" style="2" customWidth="1"/>
    <col min="6424" max="6424" width="12.28515625" style="2" customWidth="1"/>
    <col min="6425" max="6425" width="1.5703125" style="2" customWidth="1"/>
    <col min="6426" max="6426" width="12.28515625" style="2" customWidth="1"/>
    <col min="6427" max="6427" width="1.5703125" style="2" customWidth="1"/>
    <col min="6428" max="6428" width="12.28515625" style="2" customWidth="1"/>
    <col min="6429" max="6429" width="0.85546875" style="2" customWidth="1"/>
    <col min="6430" max="6430" width="12.28515625" style="2" customWidth="1"/>
    <col min="6431" max="6431" width="1.5703125" style="2" customWidth="1"/>
    <col min="6432" max="6432" width="12.28515625" style="2" customWidth="1"/>
    <col min="6433" max="6433" width="1.5703125" style="2" customWidth="1"/>
    <col min="6434" max="6434" width="12.28515625" style="2" customWidth="1"/>
    <col min="6435" max="6435" width="4.5703125" style="2" customWidth="1"/>
    <col min="6436" max="6436" width="1.42578125" style="2" customWidth="1"/>
    <col min="6437" max="6659" width="13.85546875" style="2"/>
    <col min="6660" max="6660" width="7.85546875" style="2" customWidth="1"/>
    <col min="6661" max="6662" width="2.28515625" style="2" customWidth="1"/>
    <col min="6663" max="6663" width="31.42578125" style="2" customWidth="1"/>
    <col min="6664" max="6664" width="2.28515625" style="2" customWidth="1"/>
    <col min="6665" max="6665" width="2.140625" style="2" customWidth="1"/>
    <col min="6666" max="6666" width="12.28515625" style="2" customWidth="1"/>
    <col min="6667" max="6667" width="1.5703125" style="2" customWidth="1"/>
    <col min="6668" max="6668" width="12.28515625" style="2" customWidth="1"/>
    <col min="6669" max="6669" width="1.5703125" style="2" customWidth="1"/>
    <col min="6670" max="6670" width="12.28515625" style="2" customWidth="1"/>
    <col min="6671" max="6671" width="1.5703125" style="2" customWidth="1"/>
    <col min="6672" max="6672" width="13.5703125" style="2" customWidth="1"/>
    <col min="6673" max="6673" width="0.85546875" style="2" customWidth="1"/>
    <col min="6674" max="6674" width="12.28515625" style="2" customWidth="1"/>
    <col min="6675" max="6675" width="1.5703125" style="2" customWidth="1"/>
    <col min="6676" max="6676" width="12.28515625" style="2" customWidth="1"/>
    <col min="6677" max="6677" width="1.5703125" style="2" customWidth="1"/>
    <col min="6678" max="6678" width="12.28515625" style="2" customWidth="1"/>
    <col min="6679" max="6679" width="0.85546875" style="2" customWidth="1"/>
    <col min="6680" max="6680" width="12.28515625" style="2" customWidth="1"/>
    <col min="6681" max="6681" width="1.5703125" style="2" customWidth="1"/>
    <col min="6682" max="6682" width="12.28515625" style="2" customWidth="1"/>
    <col min="6683" max="6683" width="1.5703125" style="2" customWidth="1"/>
    <col min="6684" max="6684" width="12.28515625" style="2" customWidth="1"/>
    <col min="6685" max="6685" width="0.85546875" style="2" customWidth="1"/>
    <col min="6686" max="6686" width="12.28515625" style="2" customWidth="1"/>
    <col min="6687" max="6687" width="1.5703125" style="2" customWidth="1"/>
    <col min="6688" max="6688" width="12.28515625" style="2" customWidth="1"/>
    <col min="6689" max="6689" width="1.5703125" style="2" customWidth="1"/>
    <col min="6690" max="6690" width="12.28515625" style="2" customWidth="1"/>
    <col min="6691" max="6691" width="4.5703125" style="2" customWidth="1"/>
    <col min="6692" max="6692" width="1.42578125" style="2" customWidth="1"/>
    <col min="6693" max="6915" width="13.85546875" style="2"/>
    <col min="6916" max="6916" width="7.85546875" style="2" customWidth="1"/>
    <col min="6917" max="6918" width="2.28515625" style="2" customWidth="1"/>
    <col min="6919" max="6919" width="31.42578125" style="2" customWidth="1"/>
    <col min="6920" max="6920" width="2.28515625" style="2" customWidth="1"/>
    <col min="6921" max="6921" width="2.140625" style="2" customWidth="1"/>
    <col min="6922" max="6922" width="12.28515625" style="2" customWidth="1"/>
    <col min="6923" max="6923" width="1.5703125" style="2" customWidth="1"/>
    <col min="6924" max="6924" width="12.28515625" style="2" customWidth="1"/>
    <col min="6925" max="6925" width="1.5703125" style="2" customWidth="1"/>
    <col min="6926" max="6926" width="12.28515625" style="2" customWidth="1"/>
    <col min="6927" max="6927" width="1.5703125" style="2" customWidth="1"/>
    <col min="6928" max="6928" width="13.5703125" style="2" customWidth="1"/>
    <col min="6929" max="6929" width="0.85546875" style="2" customWidth="1"/>
    <col min="6930" max="6930" width="12.28515625" style="2" customWidth="1"/>
    <col min="6931" max="6931" width="1.5703125" style="2" customWidth="1"/>
    <col min="6932" max="6932" width="12.28515625" style="2" customWidth="1"/>
    <col min="6933" max="6933" width="1.5703125" style="2" customWidth="1"/>
    <col min="6934" max="6934" width="12.28515625" style="2" customWidth="1"/>
    <col min="6935" max="6935" width="0.85546875" style="2" customWidth="1"/>
    <col min="6936" max="6936" width="12.28515625" style="2" customWidth="1"/>
    <col min="6937" max="6937" width="1.5703125" style="2" customWidth="1"/>
    <col min="6938" max="6938" width="12.28515625" style="2" customWidth="1"/>
    <col min="6939" max="6939" width="1.5703125" style="2" customWidth="1"/>
    <col min="6940" max="6940" width="12.28515625" style="2" customWidth="1"/>
    <col min="6941" max="6941" width="0.85546875" style="2" customWidth="1"/>
    <col min="6942" max="6942" width="12.28515625" style="2" customWidth="1"/>
    <col min="6943" max="6943" width="1.5703125" style="2" customWidth="1"/>
    <col min="6944" max="6944" width="12.28515625" style="2" customWidth="1"/>
    <col min="6945" max="6945" width="1.5703125" style="2" customWidth="1"/>
    <col min="6946" max="6946" width="12.28515625" style="2" customWidth="1"/>
    <col min="6947" max="6947" width="4.5703125" style="2" customWidth="1"/>
    <col min="6948" max="6948" width="1.42578125" style="2" customWidth="1"/>
    <col min="6949" max="7171" width="13.85546875" style="2"/>
    <col min="7172" max="7172" width="7.85546875" style="2" customWidth="1"/>
    <col min="7173" max="7174" width="2.28515625" style="2" customWidth="1"/>
    <col min="7175" max="7175" width="31.42578125" style="2" customWidth="1"/>
    <col min="7176" max="7176" width="2.28515625" style="2" customWidth="1"/>
    <col min="7177" max="7177" width="2.140625" style="2" customWidth="1"/>
    <col min="7178" max="7178" width="12.28515625" style="2" customWidth="1"/>
    <col min="7179" max="7179" width="1.5703125" style="2" customWidth="1"/>
    <col min="7180" max="7180" width="12.28515625" style="2" customWidth="1"/>
    <col min="7181" max="7181" width="1.5703125" style="2" customWidth="1"/>
    <col min="7182" max="7182" width="12.28515625" style="2" customWidth="1"/>
    <col min="7183" max="7183" width="1.5703125" style="2" customWidth="1"/>
    <col min="7184" max="7184" width="13.5703125" style="2" customWidth="1"/>
    <col min="7185" max="7185" width="0.85546875" style="2" customWidth="1"/>
    <col min="7186" max="7186" width="12.28515625" style="2" customWidth="1"/>
    <col min="7187" max="7187" width="1.5703125" style="2" customWidth="1"/>
    <col min="7188" max="7188" width="12.28515625" style="2" customWidth="1"/>
    <col min="7189" max="7189" width="1.5703125" style="2" customWidth="1"/>
    <col min="7190" max="7190" width="12.28515625" style="2" customWidth="1"/>
    <col min="7191" max="7191" width="0.85546875" style="2" customWidth="1"/>
    <col min="7192" max="7192" width="12.28515625" style="2" customWidth="1"/>
    <col min="7193" max="7193" width="1.5703125" style="2" customWidth="1"/>
    <col min="7194" max="7194" width="12.28515625" style="2" customWidth="1"/>
    <col min="7195" max="7195" width="1.5703125" style="2" customWidth="1"/>
    <col min="7196" max="7196" width="12.28515625" style="2" customWidth="1"/>
    <col min="7197" max="7197" width="0.85546875" style="2" customWidth="1"/>
    <col min="7198" max="7198" width="12.28515625" style="2" customWidth="1"/>
    <col min="7199" max="7199" width="1.5703125" style="2" customWidth="1"/>
    <col min="7200" max="7200" width="12.28515625" style="2" customWidth="1"/>
    <col min="7201" max="7201" width="1.5703125" style="2" customWidth="1"/>
    <col min="7202" max="7202" width="12.28515625" style="2" customWidth="1"/>
    <col min="7203" max="7203" width="4.5703125" style="2" customWidth="1"/>
    <col min="7204" max="7204" width="1.42578125" style="2" customWidth="1"/>
    <col min="7205" max="7427" width="13.85546875" style="2"/>
    <col min="7428" max="7428" width="7.85546875" style="2" customWidth="1"/>
    <col min="7429" max="7430" width="2.28515625" style="2" customWidth="1"/>
    <col min="7431" max="7431" width="31.42578125" style="2" customWidth="1"/>
    <col min="7432" max="7432" width="2.28515625" style="2" customWidth="1"/>
    <col min="7433" max="7433" width="2.140625" style="2" customWidth="1"/>
    <col min="7434" max="7434" width="12.28515625" style="2" customWidth="1"/>
    <col min="7435" max="7435" width="1.5703125" style="2" customWidth="1"/>
    <col min="7436" max="7436" width="12.28515625" style="2" customWidth="1"/>
    <col min="7437" max="7437" width="1.5703125" style="2" customWidth="1"/>
    <col min="7438" max="7438" width="12.28515625" style="2" customWidth="1"/>
    <col min="7439" max="7439" width="1.5703125" style="2" customWidth="1"/>
    <col min="7440" max="7440" width="13.5703125" style="2" customWidth="1"/>
    <col min="7441" max="7441" width="0.85546875" style="2" customWidth="1"/>
    <col min="7442" max="7442" width="12.28515625" style="2" customWidth="1"/>
    <col min="7443" max="7443" width="1.5703125" style="2" customWidth="1"/>
    <col min="7444" max="7444" width="12.28515625" style="2" customWidth="1"/>
    <col min="7445" max="7445" width="1.5703125" style="2" customWidth="1"/>
    <col min="7446" max="7446" width="12.28515625" style="2" customWidth="1"/>
    <col min="7447" max="7447" width="0.85546875" style="2" customWidth="1"/>
    <col min="7448" max="7448" width="12.28515625" style="2" customWidth="1"/>
    <col min="7449" max="7449" width="1.5703125" style="2" customWidth="1"/>
    <col min="7450" max="7450" width="12.28515625" style="2" customWidth="1"/>
    <col min="7451" max="7451" width="1.5703125" style="2" customWidth="1"/>
    <col min="7452" max="7452" width="12.28515625" style="2" customWidth="1"/>
    <col min="7453" max="7453" width="0.85546875" style="2" customWidth="1"/>
    <col min="7454" max="7454" width="12.28515625" style="2" customWidth="1"/>
    <col min="7455" max="7455" width="1.5703125" style="2" customWidth="1"/>
    <col min="7456" max="7456" width="12.28515625" style="2" customWidth="1"/>
    <col min="7457" max="7457" width="1.5703125" style="2" customWidth="1"/>
    <col min="7458" max="7458" width="12.28515625" style="2" customWidth="1"/>
    <col min="7459" max="7459" width="4.5703125" style="2" customWidth="1"/>
    <col min="7460" max="7460" width="1.42578125" style="2" customWidth="1"/>
    <col min="7461" max="7683" width="13.85546875" style="2"/>
    <col min="7684" max="7684" width="7.85546875" style="2" customWidth="1"/>
    <col min="7685" max="7686" width="2.28515625" style="2" customWidth="1"/>
    <col min="7687" max="7687" width="31.42578125" style="2" customWidth="1"/>
    <col min="7688" max="7688" width="2.28515625" style="2" customWidth="1"/>
    <col min="7689" max="7689" width="2.140625" style="2" customWidth="1"/>
    <col min="7690" max="7690" width="12.28515625" style="2" customWidth="1"/>
    <col min="7691" max="7691" width="1.5703125" style="2" customWidth="1"/>
    <col min="7692" max="7692" width="12.28515625" style="2" customWidth="1"/>
    <col min="7693" max="7693" width="1.5703125" style="2" customWidth="1"/>
    <col min="7694" max="7694" width="12.28515625" style="2" customWidth="1"/>
    <col min="7695" max="7695" width="1.5703125" style="2" customWidth="1"/>
    <col min="7696" max="7696" width="13.5703125" style="2" customWidth="1"/>
    <col min="7697" max="7697" width="0.85546875" style="2" customWidth="1"/>
    <col min="7698" max="7698" width="12.28515625" style="2" customWidth="1"/>
    <col min="7699" max="7699" width="1.5703125" style="2" customWidth="1"/>
    <col min="7700" max="7700" width="12.28515625" style="2" customWidth="1"/>
    <col min="7701" max="7701" width="1.5703125" style="2" customWidth="1"/>
    <col min="7702" max="7702" width="12.28515625" style="2" customWidth="1"/>
    <col min="7703" max="7703" width="0.85546875" style="2" customWidth="1"/>
    <col min="7704" max="7704" width="12.28515625" style="2" customWidth="1"/>
    <col min="7705" max="7705" width="1.5703125" style="2" customWidth="1"/>
    <col min="7706" max="7706" width="12.28515625" style="2" customWidth="1"/>
    <col min="7707" max="7707" width="1.5703125" style="2" customWidth="1"/>
    <col min="7708" max="7708" width="12.28515625" style="2" customWidth="1"/>
    <col min="7709" max="7709" width="0.85546875" style="2" customWidth="1"/>
    <col min="7710" max="7710" width="12.28515625" style="2" customWidth="1"/>
    <col min="7711" max="7711" width="1.5703125" style="2" customWidth="1"/>
    <col min="7712" max="7712" width="12.28515625" style="2" customWidth="1"/>
    <col min="7713" max="7713" width="1.5703125" style="2" customWidth="1"/>
    <col min="7714" max="7714" width="12.28515625" style="2" customWidth="1"/>
    <col min="7715" max="7715" width="4.5703125" style="2" customWidth="1"/>
    <col min="7716" max="7716" width="1.42578125" style="2" customWidth="1"/>
    <col min="7717" max="7939" width="13.85546875" style="2"/>
    <col min="7940" max="7940" width="7.85546875" style="2" customWidth="1"/>
    <col min="7941" max="7942" width="2.28515625" style="2" customWidth="1"/>
    <col min="7943" max="7943" width="31.42578125" style="2" customWidth="1"/>
    <col min="7944" max="7944" width="2.28515625" style="2" customWidth="1"/>
    <col min="7945" max="7945" width="2.140625" style="2" customWidth="1"/>
    <col min="7946" max="7946" width="12.28515625" style="2" customWidth="1"/>
    <col min="7947" max="7947" width="1.5703125" style="2" customWidth="1"/>
    <col min="7948" max="7948" width="12.28515625" style="2" customWidth="1"/>
    <col min="7949" max="7949" width="1.5703125" style="2" customWidth="1"/>
    <col min="7950" max="7950" width="12.28515625" style="2" customWidth="1"/>
    <col min="7951" max="7951" width="1.5703125" style="2" customWidth="1"/>
    <col min="7952" max="7952" width="13.5703125" style="2" customWidth="1"/>
    <col min="7953" max="7953" width="0.85546875" style="2" customWidth="1"/>
    <col min="7954" max="7954" width="12.28515625" style="2" customWidth="1"/>
    <col min="7955" max="7955" width="1.5703125" style="2" customWidth="1"/>
    <col min="7956" max="7956" width="12.28515625" style="2" customWidth="1"/>
    <col min="7957" max="7957" width="1.5703125" style="2" customWidth="1"/>
    <col min="7958" max="7958" width="12.28515625" style="2" customWidth="1"/>
    <col min="7959" max="7959" width="0.85546875" style="2" customWidth="1"/>
    <col min="7960" max="7960" width="12.28515625" style="2" customWidth="1"/>
    <col min="7961" max="7961" width="1.5703125" style="2" customWidth="1"/>
    <col min="7962" max="7962" width="12.28515625" style="2" customWidth="1"/>
    <col min="7963" max="7963" width="1.5703125" style="2" customWidth="1"/>
    <col min="7964" max="7964" width="12.28515625" style="2" customWidth="1"/>
    <col min="7965" max="7965" width="0.85546875" style="2" customWidth="1"/>
    <col min="7966" max="7966" width="12.28515625" style="2" customWidth="1"/>
    <col min="7967" max="7967" width="1.5703125" style="2" customWidth="1"/>
    <col min="7968" max="7968" width="12.28515625" style="2" customWidth="1"/>
    <col min="7969" max="7969" width="1.5703125" style="2" customWidth="1"/>
    <col min="7970" max="7970" width="12.28515625" style="2" customWidth="1"/>
    <col min="7971" max="7971" width="4.5703125" style="2" customWidth="1"/>
    <col min="7972" max="7972" width="1.42578125" style="2" customWidth="1"/>
    <col min="7973" max="8195" width="13.85546875" style="2"/>
    <col min="8196" max="8196" width="7.85546875" style="2" customWidth="1"/>
    <col min="8197" max="8198" width="2.28515625" style="2" customWidth="1"/>
    <col min="8199" max="8199" width="31.42578125" style="2" customWidth="1"/>
    <col min="8200" max="8200" width="2.28515625" style="2" customWidth="1"/>
    <col min="8201" max="8201" width="2.140625" style="2" customWidth="1"/>
    <col min="8202" max="8202" width="12.28515625" style="2" customWidth="1"/>
    <col min="8203" max="8203" width="1.5703125" style="2" customWidth="1"/>
    <col min="8204" max="8204" width="12.28515625" style="2" customWidth="1"/>
    <col min="8205" max="8205" width="1.5703125" style="2" customWidth="1"/>
    <col min="8206" max="8206" width="12.28515625" style="2" customWidth="1"/>
    <col min="8207" max="8207" width="1.5703125" style="2" customWidth="1"/>
    <col min="8208" max="8208" width="13.5703125" style="2" customWidth="1"/>
    <col min="8209" max="8209" width="0.85546875" style="2" customWidth="1"/>
    <col min="8210" max="8210" width="12.28515625" style="2" customWidth="1"/>
    <col min="8211" max="8211" width="1.5703125" style="2" customWidth="1"/>
    <col min="8212" max="8212" width="12.28515625" style="2" customWidth="1"/>
    <col min="8213" max="8213" width="1.5703125" style="2" customWidth="1"/>
    <col min="8214" max="8214" width="12.28515625" style="2" customWidth="1"/>
    <col min="8215" max="8215" width="0.85546875" style="2" customWidth="1"/>
    <col min="8216" max="8216" width="12.28515625" style="2" customWidth="1"/>
    <col min="8217" max="8217" width="1.5703125" style="2" customWidth="1"/>
    <col min="8218" max="8218" width="12.28515625" style="2" customWidth="1"/>
    <col min="8219" max="8219" width="1.5703125" style="2" customWidth="1"/>
    <col min="8220" max="8220" width="12.28515625" style="2" customWidth="1"/>
    <col min="8221" max="8221" width="0.85546875" style="2" customWidth="1"/>
    <col min="8222" max="8222" width="12.28515625" style="2" customWidth="1"/>
    <col min="8223" max="8223" width="1.5703125" style="2" customWidth="1"/>
    <col min="8224" max="8224" width="12.28515625" style="2" customWidth="1"/>
    <col min="8225" max="8225" width="1.5703125" style="2" customWidth="1"/>
    <col min="8226" max="8226" width="12.28515625" style="2" customWidth="1"/>
    <col min="8227" max="8227" width="4.5703125" style="2" customWidth="1"/>
    <col min="8228" max="8228" width="1.42578125" style="2" customWidth="1"/>
    <col min="8229" max="8451" width="13.85546875" style="2"/>
    <col min="8452" max="8452" width="7.85546875" style="2" customWidth="1"/>
    <col min="8453" max="8454" width="2.28515625" style="2" customWidth="1"/>
    <col min="8455" max="8455" width="31.42578125" style="2" customWidth="1"/>
    <col min="8456" max="8456" width="2.28515625" style="2" customWidth="1"/>
    <col min="8457" max="8457" width="2.140625" style="2" customWidth="1"/>
    <col min="8458" max="8458" width="12.28515625" style="2" customWidth="1"/>
    <col min="8459" max="8459" width="1.5703125" style="2" customWidth="1"/>
    <col min="8460" max="8460" width="12.28515625" style="2" customWidth="1"/>
    <col min="8461" max="8461" width="1.5703125" style="2" customWidth="1"/>
    <col min="8462" max="8462" width="12.28515625" style="2" customWidth="1"/>
    <col min="8463" max="8463" width="1.5703125" style="2" customWidth="1"/>
    <col min="8464" max="8464" width="13.5703125" style="2" customWidth="1"/>
    <col min="8465" max="8465" width="0.85546875" style="2" customWidth="1"/>
    <col min="8466" max="8466" width="12.28515625" style="2" customWidth="1"/>
    <col min="8467" max="8467" width="1.5703125" style="2" customWidth="1"/>
    <col min="8468" max="8468" width="12.28515625" style="2" customWidth="1"/>
    <col min="8469" max="8469" width="1.5703125" style="2" customWidth="1"/>
    <col min="8470" max="8470" width="12.28515625" style="2" customWidth="1"/>
    <col min="8471" max="8471" width="0.85546875" style="2" customWidth="1"/>
    <col min="8472" max="8472" width="12.28515625" style="2" customWidth="1"/>
    <col min="8473" max="8473" width="1.5703125" style="2" customWidth="1"/>
    <col min="8474" max="8474" width="12.28515625" style="2" customWidth="1"/>
    <col min="8475" max="8475" width="1.5703125" style="2" customWidth="1"/>
    <col min="8476" max="8476" width="12.28515625" style="2" customWidth="1"/>
    <col min="8477" max="8477" width="0.85546875" style="2" customWidth="1"/>
    <col min="8478" max="8478" width="12.28515625" style="2" customWidth="1"/>
    <col min="8479" max="8479" width="1.5703125" style="2" customWidth="1"/>
    <col min="8480" max="8480" width="12.28515625" style="2" customWidth="1"/>
    <col min="8481" max="8481" width="1.5703125" style="2" customWidth="1"/>
    <col min="8482" max="8482" width="12.28515625" style="2" customWidth="1"/>
    <col min="8483" max="8483" width="4.5703125" style="2" customWidth="1"/>
    <col min="8484" max="8484" width="1.42578125" style="2" customWidth="1"/>
    <col min="8485" max="8707" width="13.85546875" style="2"/>
    <col min="8708" max="8708" width="7.85546875" style="2" customWidth="1"/>
    <col min="8709" max="8710" width="2.28515625" style="2" customWidth="1"/>
    <col min="8711" max="8711" width="31.42578125" style="2" customWidth="1"/>
    <col min="8712" max="8712" width="2.28515625" style="2" customWidth="1"/>
    <col min="8713" max="8713" width="2.140625" style="2" customWidth="1"/>
    <col min="8714" max="8714" width="12.28515625" style="2" customWidth="1"/>
    <col min="8715" max="8715" width="1.5703125" style="2" customWidth="1"/>
    <col min="8716" max="8716" width="12.28515625" style="2" customWidth="1"/>
    <col min="8717" max="8717" width="1.5703125" style="2" customWidth="1"/>
    <col min="8718" max="8718" width="12.28515625" style="2" customWidth="1"/>
    <col min="8719" max="8719" width="1.5703125" style="2" customWidth="1"/>
    <col min="8720" max="8720" width="13.5703125" style="2" customWidth="1"/>
    <col min="8721" max="8721" width="0.85546875" style="2" customWidth="1"/>
    <col min="8722" max="8722" width="12.28515625" style="2" customWidth="1"/>
    <col min="8723" max="8723" width="1.5703125" style="2" customWidth="1"/>
    <col min="8724" max="8724" width="12.28515625" style="2" customWidth="1"/>
    <col min="8725" max="8725" width="1.5703125" style="2" customWidth="1"/>
    <col min="8726" max="8726" width="12.28515625" style="2" customWidth="1"/>
    <col min="8727" max="8727" width="0.85546875" style="2" customWidth="1"/>
    <col min="8728" max="8728" width="12.28515625" style="2" customWidth="1"/>
    <col min="8729" max="8729" width="1.5703125" style="2" customWidth="1"/>
    <col min="8730" max="8730" width="12.28515625" style="2" customWidth="1"/>
    <col min="8731" max="8731" width="1.5703125" style="2" customWidth="1"/>
    <col min="8732" max="8732" width="12.28515625" style="2" customWidth="1"/>
    <col min="8733" max="8733" width="0.85546875" style="2" customWidth="1"/>
    <col min="8734" max="8734" width="12.28515625" style="2" customWidth="1"/>
    <col min="8735" max="8735" width="1.5703125" style="2" customWidth="1"/>
    <col min="8736" max="8736" width="12.28515625" style="2" customWidth="1"/>
    <col min="8737" max="8737" width="1.5703125" style="2" customWidth="1"/>
    <col min="8738" max="8738" width="12.28515625" style="2" customWidth="1"/>
    <col min="8739" max="8739" width="4.5703125" style="2" customWidth="1"/>
    <col min="8740" max="8740" width="1.42578125" style="2" customWidth="1"/>
    <col min="8741" max="8963" width="13.85546875" style="2"/>
    <col min="8964" max="8964" width="7.85546875" style="2" customWidth="1"/>
    <col min="8965" max="8966" width="2.28515625" style="2" customWidth="1"/>
    <col min="8967" max="8967" width="31.42578125" style="2" customWidth="1"/>
    <col min="8968" max="8968" width="2.28515625" style="2" customWidth="1"/>
    <col min="8969" max="8969" width="2.140625" style="2" customWidth="1"/>
    <col min="8970" max="8970" width="12.28515625" style="2" customWidth="1"/>
    <col min="8971" max="8971" width="1.5703125" style="2" customWidth="1"/>
    <col min="8972" max="8972" width="12.28515625" style="2" customWidth="1"/>
    <col min="8973" max="8973" width="1.5703125" style="2" customWidth="1"/>
    <col min="8974" max="8974" width="12.28515625" style="2" customWidth="1"/>
    <col min="8975" max="8975" width="1.5703125" style="2" customWidth="1"/>
    <col min="8976" max="8976" width="13.5703125" style="2" customWidth="1"/>
    <col min="8977" max="8977" width="0.85546875" style="2" customWidth="1"/>
    <col min="8978" max="8978" width="12.28515625" style="2" customWidth="1"/>
    <col min="8979" max="8979" width="1.5703125" style="2" customWidth="1"/>
    <col min="8980" max="8980" width="12.28515625" style="2" customWidth="1"/>
    <col min="8981" max="8981" width="1.5703125" style="2" customWidth="1"/>
    <col min="8982" max="8982" width="12.28515625" style="2" customWidth="1"/>
    <col min="8983" max="8983" width="0.85546875" style="2" customWidth="1"/>
    <col min="8984" max="8984" width="12.28515625" style="2" customWidth="1"/>
    <col min="8985" max="8985" width="1.5703125" style="2" customWidth="1"/>
    <col min="8986" max="8986" width="12.28515625" style="2" customWidth="1"/>
    <col min="8987" max="8987" width="1.5703125" style="2" customWidth="1"/>
    <col min="8988" max="8988" width="12.28515625" style="2" customWidth="1"/>
    <col min="8989" max="8989" width="0.85546875" style="2" customWidth="1"/>
    <col min="8990" max="8990" width="12.28515625" style="2" customWidth="1"/>
    <col min="8991" max="8991" width="1.5703125" style="2" customWidth="1"/>
    <col min="8992" max="8992" width="12.28515625" style="2" customWidth="1"/>
    <col min="8993" max="8993" width="1.5703125" style="2" customWidth="1"/>
    <col min="8994" max="8994" width="12.28515625" style="2" customWidth="1"/>
    <col min="8995" max="8995" width="4.5703125" style="2" customWidth="1"/>
    <col min="8996" max="8996" width="1.42578125" style="2" customWidth="1"/>
    <col min="8997" max="9219" width="13.85546875" style="2"/>
    <col min="9220" max="9220" width="7.85546875" style="2" customWidth="1"/>
    <col min="9221" max="9222" width="2.28515625" style="2" customWidth="1"/>
    <col min="9223" max="9223" width="31.42578125" style="2" customWidth="1"/>
    <col min="9224" max="9224" width="2.28515625" style="2" customWidth="1"/>
    <col min="9225" max="9225" width="2.140625" style="2" customWidth="1"/>
    <col min="9226" max="9226" width="12.28515625" style="2" customWidth="1"/>
    <col min="9227" max="9227" width="1.5703125" style="2" customWidth="1"/>
    <col min="9228" max="9228" width="12.28515625" style="2" customWidth="1"/>
    <col min="9229" max="9229" width="1.5703125" style="2" customWidth="1"/>
    <col min="9230" max="9230" width="12.28515625" style="2" customWidth="1"/>
    <col min="9231" max="9231" width="1.5703125" style="2" customWidth="1"/>
    <col min="9232" max="9232" width="13.5703125" style="2" customWidth="1"/>
    <col min="9233" max="9233" width="0.85546875" style="2" customWidth="1"/>
    <col min="9234" max="9234" width="12.28515625" style="2" customWidth="1"/>
    <col min="9235" max="9235" width="1.5703125" style="2" customWidth="1"/>
    <col min="9236" max="9236" width="12.28515625" style="2" customWidth="1"/>
    <col min="9237" max="9237" width="1.5703125" style="2" customWidth="1"/>
    <col min="9238" max="9238" width="12.28515625" style="2" customWidth="1"/>
    <col min="9239" max="9239" width="0.85546875" style="2" customWidth="1"/>
    <col min="9240" max="9240" width="12.28515625" style="2" customWidth="1"/>
    <col min="9241" max="9241" width="1.5703125" style="2" customWidth="1"/>
    <col min="9242" max="9242" width="12.28515625" style="2" customWidth="1"/>
    <col min="9243" max="9243" width="1.5703125" style="2" customWidth="1"/>
    <col min="9244" max="9244" width="12.28515625" style="2" customWidth="1"/>
    <col min="9245" max="9245" width="0.85546875" style="2" customWidth="1"/>
    <col min="9246" max="9246" width="12.28515625" style="2" customWidth="1"/>
    <col min="9247" max="9247" width="1.5703125" style="2" customWidth="1"/>
    <col min="9248" max="9248" width="12.28515625" style="2" customWidth="1"/>
    <col min="9249" max="9249" width="1.5703125" style="2" customWidth="1"/>
    <col min="9250" max="9250" width="12.28515625" style="2" customWidth="1"/>
    <col min="9251" max="9251" width="4.5703125" style="2" customWidth="1"/>
    <col min="9252" max="9252" width="1.42578125" style="2" customWidth="1"/>
    <col min="9253" max="9475" width="13.85546875" style="2"/>
    <col min="9476" max="9476" width="7.85546875" style="2" customWidth="1"/>
    <col min="9477" max="9478" width="2.28515625" style="2" customWidth="1"/>
    <col min="9479" max="9479" width="31.42578125" style="2" customWidth="1"/>
    <col min="9480" max="9480" width="2.28515625" style="2" customWidth="1"/>
    <col min="9481" max="9481" width="2.140625" style="2" customWidth="1"/>
    <col min="9482" max="9482" width="12.28515625" style="2" customWidth="1"/>
    <col min="9483" max="9483" width="1.5703125" style="2" customWidth="1"/>
    <col min="9484" max="9484" width="12.28515625" style="2" customWidth="1"/>
    <col min="9485" max="9485" width="1.5703125" style="2" customWidth="1"/>
    <col min="9486" max="9486" width="12.28515625" style="2" customWidth="1"/>
    <col min="9487" max="9487" width="1.5703125" style="2" customWidth="1"/>
    <col min="9488" max="9488" width="13.5703125" style="2" customWidth="1"/>
    <col min="9489" max="9489" width="0.85546875" style="2" customWidth="1"/>
    <col min="9490" max="9490" width="12.28515625" style="2" customWidth="1"/>
    <col min="9491" max="9491" width="1.5703125" style="2" customWidth="1"/>
    <col min="9492" max="9492" width="12.28515625" style="2" customWidth="1"/>
    <col min="9493" max="9493" width="1.5703125" style="2" customWidth="1"/>
    <col min="9494" max="9494" width="12.28515625" style="2" customWidth="1"/>
    <col min="9495" max="9495" width="0.85546875" style="2" customWidth="1"/>
    <col min="9496" max="9496" width="12.28515625" style="2" customWidth="1"/>
    <col min="9497" max="9497" width="1.5703125" style="2" customWidth="1"/>
    <col min="9498" max="9498" width="12.28515625" style="2" customWidth="1"/>
    <col min="9499" max="9499" width="1.5703125" style="2" customWidth="1"/>
    <col min="9500" max="9500" width="12.28515625" style="2" customWidth="1"/>
    <col min="9501" max="9501" width="0.85546875" style="2" customWidth="1"/>
    <col min="9502" max="9502" width="12.28515625" style="2" customWidth="1"/>
    <col min="9503" max="9503" width="1.5703125" style="2" customWidth="1"/>
    <col min="9504" max="9504" width="12.28515625" style="2" customWidth="1"/>
    <col min="9505" max="9505" width="1.5703125" style="2" customWidth="1"/>
    <col min="9506" max="9506" width="12.28515625" style="2" customWidth="1"/>
    <col min="9507" max="9507" width="4.5703125" style="2" customWidth="1"/>
    <col min="9508" max="9508" width="1.42578125" style="2" customWidth="1"/>
    <col min="9509" max="9731" width="13.85546875" style="2"/>
    <col min="9732" max="9732" width="7.85546875" style="2" customWidth="1"/>
    <col min="9733" max="9734" width="2.28515625" style="2" customWidth="1"/>
    <col min="9735" max="9735" width="31.42578125" style="2" customWidth="1"/>
    <col min="9736" max="9736" width="2.28515625" style="2" customWidth="1"/>
    <col min="9737" max="9737" width="2.140625" style="2" customWidth="1"/>
    <col min="9738" max="9738" width="12.28515625" style="2" customWidth="1"/>
    <col min="9739" max="9739" width="1.5703125" style="2" customWidth="1"/>
    <col min="9740" max="9740" width="12.28515625" style="2" customWidth="1"/>
    <col min="9741" max="9741" width="1.5703125" style="2" customWidth="1"/>
    <col min="9742" max="9742" width="12.28515625" style="2" customWidth="1"/>
    <col min="9743" max="9743" width="1.5703125" style="2" customWidth="1"/>
    <col min="9744" max="9744" width="13.5703125" style="2" customWidth="1"/>
    <col min="9745" max="9745" width="0.85546875" style="2" customWidth="1"/>
    <col min="9746" max="9746" width="12.28515625" style="2" customWidth="1"/>
    <col min="9747" max="9747" width="1.5703125" style="2" customWidth="1"/>
    <col min="9748" max="9748" width="12.28515625" style="2" customWidth="1"/>
    <col min="9749" max="9749" width="1.5703125" style="2" customWidth="1"/>
    <col min="9750" max="9750" width="12.28515625" style="2" customWidth="1"/>
    <col min="9751" max="9751" width="0.85546875" style="2" customWidth="1"/>
    <col min="9752" max="9752" width="12.28515625" style="2" customWidth="1"/>
    <col min="9753" max="9753" width="1.5703125" style="2" customWidth="1"/>
    <col min="9754" max="9754" width="12.28515625" style="2" customWidth="1"/>
    <col min="9755" max="9755" width="1.5703125" style="2" customWidth="1"/>
    <col min="9756" max="9756" width="12.28515625" style="2" customWidth="1"/>
    <col min="9757" max="9757" width="0.85546875" style="2" customWidth="1"/>
    <col min="9758" max="9758" width="12.28515625" style="2" customWidth="1"/>
    <col min="9759" max="9759" width="1.5703125" style="2" customWidth="1"/>
    <col min="9760" max="9760" width="12.28515625" style="2" customWidth="1"/>
    <col min="9761" max="9761" width="1.5703125" style="2" customWidth="1"/>
    <col min="9762" max="9762" width="12.28515625" style="2" customWidth="1"/>
    <col min="9763" max="9763" width="4.5703125" style="2" customWidth="1"/>
    <col min="9764" max="9764" width="1.42578125" style="2" customWidth="1"/>
    <col min="9765" max="9987" width="13.85546875" style="2"/>
    <col min="9988" max="9988" width="7.85546875" style="2" customWidth="1"/>
    <col min="9989" max="9990" width="2.28515625" style="2" customWidth="1"/>
    <col min="9991" max="9991" width="31.42578125" style="2" customWidth="1"/>
    <col min="9992" max="9992" width="2.28515625" style="2" customWidth="1"/>
    <col min="9993" max="9993" width="2.140625" style="2" customWidth="1"/>
    <col min="9994" max="9994" width="12.28515625" style="2" customWidth="1"/>
    <col min="9995" max="9995" width="1.5703125" style="2" customWidth="1"/>
    <col min="9996" max="9996" width="12.28515625" style="2" customWidth="1"/>
    <col min="9997" max="9997" width="1.5703125" style="2" customWidth="1"/>
    <col min="9998" max="9998" width="12.28515625" style="2" customWidth="1"/>
    <col min="9999" max="9999" width="1.5703125" style="2" customWidth="1"/>
    <col min="10000" max="10000" width="13.5703125" style="2" customWidth="1"/>
    <col min="10001" max="10001" width="0.85546875" style="2" customWidth="1"/>
    <col min="10002" max="10002" width="12.28515625" style="2" customWidth="1"/>
    <col min="10003" max="10003" width="1.5703125" style="2" customWidth="1"/>
    <col min="10004" max="10004" width="12.28515625" style="2" customWidth="1"/>
    <col min="10005" max="10005" width="1.5703125" style="2" customWidth="1"/>
    <col min="10006" max="10006" width="12.28515625" style="2" customWidth="1"/>
    <col min="10007" max="10007" width="0.85546875" style="2" customWidth="1"/>
    <col min="10008" max="10008" width="12.28515625" style="2" customWidth="1"/>
    <col min="10009" max="10009" width="1.5703125" style="2" customWidth="1"/>
    <col min="10010" max="10010" width="12.28515625" style="2" customWidth="1"/>
    <col min="10011" max="10011" width="1.5703125" style="2" customWidth="1"/>
    <col min="10012" max="10012" width="12.28515625" style="2" customWidth="1"/>
    <col min="10013" max="10013" width="0.85546875" style="2" customWidth="1"/>
    <col min="10014" max="10014" width="12.28515625" style="2" customWidth="1"/>
    <col min="10015" max="10015" width="1.5703125" style="2" customWidth="1"/>
    <col min="10016" max="10016" width="12.28515625" style="2" customWidth="1"/>
    <col min="10017" max="10017" width="1.5703125" style="2" customWidth="1"/>
    <col min="10018" max="10018" width="12.28515625" style="2" customWidth="1"/>
    <col min="10019" max="10019" width="4.5703125" style="2" customWidth="1"/>
    <col min="10020" max="10020" width="1.42578125" style="2" customWidth="1"/>
    <col min="10021" max="10243" width="13.85546875" style="2"/>
    <col min="10244" max="10244" width="7.85546875" style="2" customWidth="1"/>
    <col min="10245" max="10246" width="2.28515625" style="2" customWidth="1"/>
    <col min="10247" max="10247" width="31.42578125" style="2" customWidth="1"/>
    <col min="10248" max="10248" width="2.28515625" style="2" customWidth="1"/>
    <col min="10249" max="10249" width="2.140625" style="2" customWidth="1"/>
    <col min="10250" max="10250" width="12.28515625" style="2" customWidth="1"/>
    <col min="10251" max="10251" width="1.5703125" style="2" customWidth="1"/>
    <col min="10252" max="10252" width="12.28515625" style="2" customWidth="1"/>
    <col min="10253" max="10253" width="1.5703125" style="2" customWidth="1"/>
    <col min="10254" max="10254" width="12.28515625" style="2" customWidth="1"/>
    <col min="10255" max="10255" width="1.5703125" style="2" customWidth="1"/>
    <col min="10256" max="10256" width="13.5703125" style="2" customWidth="1"/>
    <col min="10257" max="10257" width="0.85546875" style="2" customWidth="1"/>
    <col min="10258" max="10258" width="12.28515625" style="2" customWidth="1"/>
    <col min="10259" max="10259" width="1.5703125" style="2" customWidth="1"/>
    <col min="10260" max="10260" width="12.28515625" style="2" customWidth="1"/>
    <col min="10261" max="10261" width="1.5703125" style="2" customWidth="1"/>
    <col min="10262" max="10262" width="12.28515625" style="2" customWidth="1"/>
    <col min="10263" max="10263" width="0.85546875" style="2" customWidth="1"/>
    <col min="10264" max="10264" width="12.28515625" style="2" customWidth="1"/>
    <col min="10265" max="10265" width="1.5703125" style="2" customWidth="1"/>
    <col min="10266" max="10266" width="12.28515625" style="2" customWidth="1"/>
    <col min="10267" max="10267" width="1.5703125" style="2" customWidth="1"/>
    <col min="10268" max="10268" width="12.28515625" style="2" customWidth="1"/>
    <col min="10269" max="10269" width="0.85546875" style="2" customWidth="1"/>
    <col min="10270" max="10270" width="12.28515625" style="2" customWidth="1"/>
    <col min="10271" max="10271" width="1.5703125" style="2" customWidth="1"/>
    <col min="10272" max="10272" width="12.28515625" style="2" customWidth="1"/>
    <col min="10273" max="10273" width="1.5703125" style="2" customWidth="1"/>
    <col min="10274" max="10274" width="12.28515625" style="2" customWidth="1"/>
    <col min="10275" max="10275" width="4.5703125" style="2" customWidth="1"/>
    <col min="10276" max="10276" width="1.42578125" style="2" customWidth="1"/>
    <col min="10277" max="10499" width="13.85546875" style="2"/>
    <col min="10500" max="10500" width="7.85546875" style="2" customWidth="1"/>
    <col min="10501" max="10502" width="2.28515625" style="2" customWidth="1"/>
    <col min="10503" max="10503" width="31.42578125" style="2" customWidth="1"/>
    <col min="10504" max="10504" width="2.28515625" style="2" customWidth="1"/>
    <col min="10505" max="10505" width="2.140625" style="2" customWidth="1"/>
    <col min="10506" max="10506" width="12.28515625" style="2" customWidth="1"/>
    <col min="10507" max="10507" width="1.5703125" style="2" customWidth="1"/>
    <col min="10508" max="10508" width="12.28515625" style="2" customWidth="1"/>
    <col min="10509" max="10509" width="1.5703125" style="2" customWidth="1"/>
    <col min="10510" max="10510" width="12.28515625" style="2" customWidth="1"/>
    <col min="10511" max="10511" width="1.5703125" style="2" customWidth="1"/>
    <col min="10512" max="10512" width="13.5703125" style="2" customWidth="1"/>
    <col min="10513" max="10513" width="0.85546875" style="2" customWidth="1"/>
    <col min="10514" max="10514" width="12.28515625" style="2" customWidth="1"/>
    <col min="10515" max="10515" width="1.5703125" style="2" customWidth="1"/>
    <col min="10516" max="10516" width="12.28515625" style="2" customWidth="1"/>
    <col min="10517" max="10517" width="1.5703125" style="2" customWidth="1"/>
    <col min="10518" max="10518" width="12.28515625" style="2" customWidth="1"/>
    <col min="10519" max="10519" width="0.85546875" style="2" customWidth="1"/>
    <col min="10520" max="10520" width="12.28515625" style="2" customWidth="1"/>
    <col min="10521" max="10521" width="1.5703125" style="2" customWidth="1"/>
    <col min="10522" max="10522" width="12.28515625" style="2" customWidth="1"/>
    <col min="10523" max="10523" width="1.5703125" style="2" customWidth="1"/>
    <col min="10524" max="10524" width="12.28515625" style="2" customWidth="1"/>
    <col min="10525" max="10525" width="0.85546875" style="2" customWidth="1"/>
    <col min="10526" max="10526" width="12.28515625" style="2" customWidth="1"/>
    <col min="10527" max="10527" width="1.5703125" style="2" customWidth="1"/>
    <col min="10528" max="10528" width="12.28515625" style="2" customWidth="1"/>
    <col min="10529" max="10529" width="1.5703125" style="2" customWidth="1"/>
    <col min="10530" max="10530" width="12.28515625" style="2" customWidth="1"/>
    <col min="10531" max="10531" width="4.5703125" style="2" customWidth="1"/>
    <col min="10532" max="10532" width="1.42578125" style="2" customWidth="1"/>
    <col min="10533" max="10755" width="13.85546875" style="2"/>
    <col min="10756" max="10756" width="7.85546875" style="2" customWidth="1"/>
    <col min="10757" max="10758" width="2.28515625" style="2" customWidth="1"/>
    <col min="10759" max="10759" width="31.42578125" style="2" customWidth="1"/>
    <col min="10760" max="10760" width="2.28515625" style="2" customWidth="1"/>
    <col min="10761" max="10761" width="2.140625" style="2" customWidth="1"/>
    <col min="10762" max="10762" width="12.28515625" style="2" customWidth="1"/>
    <col min="10763" max="10763" width="1.5703125" style="2" customWidth="1"/>
    <col min="10764" max="10764" width="12.28515625" style="2" customWidth="1"/>
    <col min="10765" max="10765" width="1.5703125" style="2" customWidth="1"/>
    <col min="10766" max="10766" width="12.28515625" style="2" customWidth="1"/>
    <col min="10767" max="10767" width="1.5703125" style="2" customWidth="1"/>
    <col min="10768" max="10768" width="13.5703125" style="2" customWidth="1"/>
    <col min="10769" max="10769" width="0.85546875" style="2" customWidth="1"/>
    <col min="10770" max="10770" width="12.28515625" style="2" customWidth="1"/>
    <col min="10771" max="10771" width="1.5703125" style="2" customWidth="1"/>
    <col min="10772" max="10772" width="12.28515625" style="2" customWidth="1"/>
    <col min="10773" max="10773" width="1.5703125" style="2" customWidth="1"/>
    <col min="10774" max="10774" width="12.28515625" style="2" customWidth="1"/>
    <col min="10775" max="10775" width="0.85546875" style="2" customWidth="1"/>
    <col min="10776" max="10776" width="12.28515625" style="2" customWidth="1"/>
    <col min="10777" max="10777" width="1.5703125" style="2" customWidth="1"/>
    <col min="10778" max="10778" width="12.28515625" style="2" customWidth="1"/>
    <col min="10779" max="10779" width="1.5703125" style="2" customWidth="1"/>
    <col min="10780" max="10780" width="12.28515625" style="2" customWidth="1"/>
    <col min="10781" max="10781" width="0.85546875" style="2" customWidth="1"/>
    <col min="10782" max="10782" width="12.28515625" style="2" customWidth="1"/>
    <col min="10783" max="10783" width="1.5703125" style="2" customWidth="1"/>
    <col min="10784" max="10784" width="12.28515625" style="2" customWidth="1"/>
    <col min="10785" max="10785" width="1.5703125" style="2" customWidth="1"/>
    <col min="10786" max="10786" width="12.28515625" style="2" customWidth="1"/>
    <col min="10787" max="10787" width="4.5703125" style="2" customWidth="1"/>
    <col min="10788" max="10788" width="1.42578125" style="2" customWidth="1"/>
    <col min="10789" max="11011" width="13.85546875" style="2"/>
    <col min="11012" max="11012" width="7.85546875" style="2" customWidth="1"/>
    <col min="11013" max="11014" width="2.28515625" style="2" customWidth="1"/>
    <col min="11015" max="11015" width="31.42578125" style="2" customWidth="1"/>
    <col min="11016" max="11016" width="2.28515625" style="2" customWidth="1"/>
    <col min="11017" max="11017" width="2.140625" style="2" customWidth="1"/>
    <col min="11018" max="11018" width="12.28515625" style="2" customWidth="1"/>
    <col min="11019" max="11019" width="1.5703125" style="2" customWidth="1"/>
    <col min="11020" max="11020" width="12.28515625" style="2" customWidth="1"/>
    <col min="11021" max="11021" width="1.5703125" style="2" customWidth="1"/>
    <col min="11022" max="11022" width="12.28515625" style="2" customWidth="1"/>
    <col min="11023" max="11023" width="1.5703125" style="2" customWidth="1"/>
    <col min="11024" max="11024" width="13.5703125" style="2" customWidth="1"/>
    <col min="11025" max="11025" width="0.85546875" style="2" customWidth="1"/>
    <col min="11026" max="11026" width="12.28515625" style="2" customWidth="1"/>
    <col min="11027" max="11027" width="1.5703125" style="2" customWidth="1"/>
    <col min="11028" max="11028" width="12.28515625" style="2" customWidth="1"/>
    <col min="11029" max="11029" width="1.5703125" style="2" customWidth="1"/>
    <col min="11030" max="11030" width="12.28515625" style="2" customWidth="1"/>
    <col min="11031" max="11031" width="0.85546875" style="2" customWidth="1"/>
    <col min="11032" max="11032" width="12.28515625" style="2" customWidth="1"/>
    <col min="11033" max="11033" width="1.5703125" style="2" customWidth="1"/>
    <col min="11034" max="11034" width="12.28515625" style="2" customWidth="1"/>
    <col min="11035" max="11035" width="1.5703125" style="2" customWidth="1"/>
    <col min="11036" max="11036" width="12.28515625" style="2" customWidth="1"/>
    <col min="11037" max="11037" width="0.85546875" style="2" customWidth="1"/>
    <col min="11038" max="11038" width="12.28515625" style="2" customWidth="1"/>
    <col min="11039" max="11039" width="1.5703125" style="2" customWidth="1"/>
    <col min="11040" max="11040" width="12.28515625" style="2" customWidth="1"/>
    <col min="11041" max="11041" width="1.5703125" style="2" customWidth="1"/>
    <col min="11042" max="11042" width="12.28515625" style="2" customWidth="1"/>
    <col min="11043" max="11043" width="4.5703125" style="2" customWidth="1"/>
    <col min="11044" max="11044" width="1.42578125" style="2" customWidth="1"/>
    <col min="11045" max="11267" width="13.85546875" style="2"/>
    <col min="11268" max="11268" width="7.85546875" style="2" customWidth="1"/>
    <col min="11269" max="11270" width="2.28515625" style="2" customWidth="1"/>
    <col min="11271" max="11271" width="31.42578125" style="2" customWidth="1"/>
    <col min="11272" max="11272" width="2.28515625" style="2" customWidth="1"/>
    <col min="11273" max="11273" width="2.140625" style="2" customWidth="1"/>
    <col min="11274" max="11274" width="12.28515625" style="2" customWidth="1"/>
    <col min="11275" max="11275" width="1.5703125" style="2" customWidth="1"/>
    <col min="11276" max="11276" width="12.28515625" style="2" customWidth="1"/>
    <col min="11277" max="11277" width="1.5703125" style="2" customWidth="1"/>
    <col min="11278" max="11278" width="12.28515625" style="2" customWidth="1"/>
    <col min="11279" max="11279" width="1.5703125" style="2" customWidth="1"/>
    <col min="11280" max="11280" width="13.5703125" style="2" customWidth="1"/>
    <col min="11281" max="11281" width="0.85546875" style="2" customWidth="1"/>
    <col min="11282" max="11282" width="12.28515625" style="2" customWidth="1"/>
    <col min="11283" max="11283" width="1.5703125" style="2" customWidth="1"/>
    <col min="11284" max="11284" width="12.28515625" style="2" customWidth="1"/>
    <col min="11285" max="11285" width="1.5703125" style="2" customWidth="1"/>
    <col min="11286" max="11286" width="12.28515625" style="2" customWidth="1"/>
    <col min="11287" max="11287" width="0.85546875" style="2" customWidth="1"/>
    <col min="11288" max="11288" width="12.28515625" style="2" customWidth="1"/>
    <col min="11289" max="11289" width="1.5703125" style="2" customWidth="1"/>
    <col min="11290" max="11290" width="12.28515625" style="2" customWidth="1"/>
    <col min="11291" max="11291" width="1.5703125" style="2" customWidth="1"/>
    <col min="11292" max="11292" width="12.28515625" style="2" customWidth="1"/>
    <col min="11293" max="11293" width="0.85546875" style="2" customWidth="1"/>
    <col min="11294" max="11294" width="12.28515625" style="2" customWidth="1"/>
    <col min="11295" max="11295" width="1.5703125" style="2" customWidth="1"/>
    <col min="11296" max="11296" width="12.28515625" style="2" customWidth="1"/>
    <col min="11297" max="11297" width="1.5703125" style="2" customWidth="1"/>
    <col min="11298" max="11298" width="12.28515625" style="2" customWidth="1"/>
    <col min="11299" max="11299" width="4.5703125" style="2" customWidth="1"/>
    <col min="11300" max="11300" width="1.42578125" style="2" customWidth="1"/>
    <col min="11301" max="11523" width="13.85546875" style="2"/>
    <col min="11524" max="11524" width="7.85546875" style="2" customWidth="1"/>
    <col min="11525" max="11526" width="2.28515625" style="2" customWidth="1"/>
    <col min="11527" max="11527" width="31.42578125" style="2" customWidth="1"/>
    <col min="11528" max="11528" width="2.28515625" style="2" customWidth="1"/>
    <col min="11529" max="11529" width="2.140625" style="2" customWidth="1"/>
    <col min="11530" max="11530" width="12.28515625" style="2" customWidth="1"/>
    <col min="11531" max="11531" width="1.5703125" style="2" customWidth="1"/>
    <col min="11532" max="11532" width="12.28515625" style="2" customWidth="1"/>
    <col min="11533" max="11533" width="1.5703125" style="2" customWidth="1"/>
    <col min="11534" max="11534" width="12.28515625" style="2" customWidth="1"/>
    <col min="11535" max="11535" width="1.5703125" style="2" customWidth="1"/>
    <col min="11536" max="11536" width="13.5703125" style="2" customWidth="1"/>
    <col min="11537" max="11537" width="0.85546875" style="2" customWidth="1"/>
    <col min="11538" max="11538" width="12.28515625" style="2" customWidth="1"/>
    <col min="11539" max="11539" width="1.5703125" style="2" customWidth="1"/>
    <col min="11540" max="11540" width="12.28515625" style="2" customWidth="1"/>
    <col min="11541" max="11541" width="1.5703125" style="2" customWidth="1"/>
    <col min="11542" max="11542" width="12.28515625" style="2" customWidth="1"/>
    <col min="11543" max="11543" width="0.85546875" style="2" customWidth="1"/>
    <col min="11544" max="11544" width="12.28515625" style="2" customWidth="1"/>
    <col min="11545" max="11545" width="1.5703125" style="2" customWidth="1"/>
    <col min="11546" max="11546" width="12.28515625" style="2" customWidth="1"/>
    <col min="11547" max="11547" width="1.5703125" style="2" customWidth="1"/>
    <col min="11548" max="11548" width="12.28515625" style="2" customWidth="1"/>
    <col min="11549" max="11549" width="0.85546875" style="2" customWidth="1"/>
    <col min="11550" max="11550" width="12.28515625" style="2" customWidth="1"/>
    <col min="11551" max="11551" width="1.5703125" style="2" customWidth="1"/>
    <col min="11552" max="11552" width="12.28515625" style="2" customWidth="1"/>
    <col min="11553" max="11553" width="1.5703125" style="2" customWidth="1"/>
    <col min="11554" max="11554" width="12.28515625" style="2" customWidth="1"/>
    <col min="11555" max="11555" width="4.5703125" style="2" customWidth="1"/>
    <col min="11556" max="11556" width="1.42578125" style="2" customWidth="1"/>
    <col min="11557" max="11779" width="13.85546875" style="2"/>
    <col min="11780" max="11780" width="7.85546875" style="2" customWidth="1"/>
    <col min="11781" max="11782" width="2.28515625" style="2" customWidth="1"/>
    <col min="11783" max="11783" width="31.42578125" style="2" customWidth="1"/>
    <col min="11784" max="11784" width="2.28515625" style="2" customWidth="1"/>
    <col min="11785" max="11785" width="2.140625" style="2" customWidth="1"/>
    <col min="11786" max="11786" width="12.28515625" style="2" customWidth="1"/>
    <col min="11787" max="11787" width="1.5703125" style="2" customWidth="1"/>
    <col min="11788" max="11788" width="12.28515625" style="2" customWidth="1"/>
    <col min="11789" max="11789" width="1.5703125" style="2" customWidth="1"/>
    <col min="11790" max="11790" width="12.28515625" style="2" customWidth="1"/>
    <col min="11791" max="11791" width="1.5703125" style="2" customWidth="1"/>
    <col min="11792" max="11792" width="13.5703125" style="2" customWidth="1"/>
    <col min="11793" max="11793" width="0.85546875" style="2" customWidth="1"/>
    <col min="11794" max="11794" width="12.28515625" style="2" customWidth="1"/>
    <col min="11795" max="11795" width="1.5703125" style="2" customWidth="1"/>
    <col min="11796" max="11796" width="12.28515625" style="2" customWidth="1"/>
    <col min="11797" max="11797" width="1.5703125" style="2" customWidth="1"/>
    <col min="11798" max="11798" width="12.28515625" style="2" customWidth="1"/>
    <col min="11799" max="11799" width="0.85546875" style="2" customWidth="1"/>
    <col min="11800" max="11800" width="12.28515625" style="2" customWidth="1"/>
    <col min="11801" max="11801" width="1.5703125" style="2" customWidth="1"/>
    <col min="11802" max="11802" width="12.28515625" style="2" customWidth="1"/>
    <col min="11803" max="11803" width="1.5703125" style="2" customWidth="1"/>
    <col min="11804" max="11804" width="12.28515625" style="2" customWidth="1"/>
    <col min="11805" max="11805" width="0.85546875" style="2" customWidth="1"/>
    <col min="11806" max="11806" width="12.28515625" style="2" customWidth="1"/>
    <col min="11807" max="11807" width="1.5703125" style="2" customWidth="1"/>
    <col min="11808" max="11808" width="12.28515625" style="2" customWidth="1"/>
    <col min="11809" max="11809" width="1.5703125" style="2" customWidth="1"/>
    <col min="11810" max="11810" width="12.28515625" style="2" customWidth="1"/>
    <col min="11811" max="11811" width="4.5703125" style="2" customWidth="1"/>
    <col min="11812" max="11812" width="1.42578125" style="2" customWidth="1"/>
    <col min="11813" max="12035" width="13.85546875" style="2"/>
    <col min="12036" max="12036" width="7.85546875" style="2" customWidth="1"/>
    <col min="12037" max="12038" width="2.28515625" style="2" customWidth="1"/>
    <col min="12039" max="12039" width="31.42578125" style="2" customWidth="1"/>
    <col min="12040" max="12040" width="2.28515625" style="2" customWidth="1"/>
    <col min="12041" max="12041" width="2.140625" style="2" customWidth="1"/>
    <col min="12042" max="12042" width="12.28515625" style="2" customWidth="1"/>
    <col min="12043" max="12043" width="1.5703125" style="2" customWidth="1"/>
    <col min="12044" max="12044" width="12.28515625" style="2" customWidth="1"/>
    <col min="12045" max="12045" width="1.5703125" style="2" customWidth="1"/>
    <col min="12046" max="12046" width="12.28515625" style="2" customWidth="1"/>
    <col min="12047" max="12047" width="1.5703125" style="2" customWidth="1"/>
    <col min="12048" max="12048" width="13.5703125" style="2" customWidth="1"/>
    <col min="12049" max="12049" width="0.85546875" style="2" customWidth="1"/>
    <col min="12050" max="12050" width="12.28515625" style="2" customWidth="1"/>
    <col min="12051" max="12051" width="1.5703125" style="2" customWidth="1"/>
    <col min="12052" max="12052" width="12.28515625" style="2" customWidth="1"/>
    <col min="12053" max="12053" width="1.5703125" style="2" customWidth="1"/>
    <col min="12054" max="12054" width="12.28515625" style="2" customWidth="1"/>
    <col min="12055" max="12055" width="0.85546875" style="2" customWidth="1"/>
    <col min="12056" max="12056" width="12.28515625" style="2" customWidth="1"/>
    <col min="12057" max="12057" width="1.5703125" style="2" customWidth="1"/>
    <col min="12058" max="12058" width="12.28515625" style="2" customWidth="1"/>
    <col min="12059" max="12059" width="1.5703125" style="2" customWidth="1"/>
    <col min="12060" max="12060" width="12.28515625" style="2" customWidth="1"/>
    <col min="12061" max="12061" width="0.85546875" style="2" customWidth="1"/>
    <col min="12062" max="12062" width="12.28515625" style="2" customWidth="1"/>
    <col min="12063" max="12063" width="1.5703125" style="2" customWidth="1"/>
    <col min="12064" max="12064" width="12.28515625" style="2" customWidth="1"/>
    <col min="12065" max="12065" width="1.5703125" style="2" customWidth="1"/>
    <col min="12066" max="12066" width="12.28515625" style="2" customWidth="1"/>
    <col min="12067" max="12067" width="4.5703125" style="2" customWidth="1"/>
    <col min="12068" max="12068" width="1.42578125" style="2" customWidth="1"/>
    <col min="12069" max="12291" width="13.85546875" style="2"/>
    <col min="12292" max="12292" width="7.85546875" style="2" customWidth="1"/>
    <col min="12293" max="12294" width="2.28515625" style="2" customWidth="1"/>
    <col min="12295" max="12295" width="31.42578125" style="2" customWidth="1"/>
    <col min="12296" max="12296" width="2.28515625" style="2" customWidth="1"/>
    <col min="12297" max="12297" width="2.140625" style="2" customWidth="1"/>
    <col min="12298" max="12298" width="12.28515625" style="2" customWidth="1"/>
    <col min="12299" max="12299" width="1.5703125" style="2" customWidth="1"/>
    <col min="12300" max="12300" width="12.28515625" style="2" customWidth="1"/>
    <col min="12301" max="12301" width="1.5703125" style="2" customWidth="1"/>
    <col min="12302" max="12302" width="12.28515625" style="2" customWidth="1"/>
    <col min="12303" max="12303" width="1.5703125" style="2" customWidth="1"/>
    <col min="12304" max="12304" width="13.5703125" style="2" customWidth="1"/>
    <col min="12305" max="12305" width="0.85546875" style="2" customWidth="1"/>
    <col min="12306" max="12306" width="12.28515625" style="2" customWidth="1"/>
    <col min="12307" max="12307" width="1.5703125" style="2" customWidth="1"/>
    <col min="12308" max="12308" width="12.28515625" style="2" customWidth="1"/>
    <col min="12309" max="12309" width="1.5703125" style="2" customWidth="1"/>
    <col min="12310" max="12310" width="12.28515625" style="2" customWidth="1"/>
    <col min="12311" max="12311" width="0.85546875" style="2" customWidth="1"/>
    <col min="12312" max="12312" width="12.28515625" style="2" customWidth="1"/>
    <col min="12313" max="12313" width="1.5703125" style="2" customWidth="1"/>
    <col min="12314" max="12314" width="12.28515625" style="2" customWidth="1"/>
    <col min="12315" max="12315" width="1.5703125" style="2" customWidth="1"/>
    <col min="12316" max="12316" width="12.28515625" style="2" customWidth="1"/>
    <col min="12317" max="12317" width="0.85546875" style="2" customWidth="1"/>
    <col min="12318" max="12318" width="12.28515625" style="2" customWidth="1"/>
    <col min="12319" max="12319" width="1.5703125" style="2" customWidth="1"/>
    <col min="12320" max="12320" width="12.28515625" style="2" customWidth="1"/>
    <col min="12321" max="12321" width="1.5703125" style="2" customWidth="1"/>
    <col min="12322" max="12322" width="12.28515625" style="2" customWidth="1"/>
    <col min="12323" max="12323" width="4.5703125" style="2" customWidth="1"/>
    <col min="12324" max="12324" width="1.42578125" style="2" customWidth="1"/>
    <col min="12325" max="12547" width="13.85546875" style="2"/>
    <col min="12548" max="12548" width="7.85546875" style="2" customWidth="1"/>
    <col min="12549" max="12550" width="2.28515625" style="2" customWidth="1"/>
    <col min="12551" max="12551" width="31.42578125" style="2" customWidth="1"/>
    <col min="12552" max="12552" width="2.28515625" style="2" customWidth="1"/>
    <col min="12553" max="12553" width="2.140625" style="2" customWidth="1"/>
    <col min="12554" max="12554" width="12.28515625" style="2" customWidth="1"/>
    <col min="12555" max="12555" width="1.5703125" style="2" customWidth="1"/>
    <col min="12556" max="12556" width="12.28515625" style="2" customWidth="1"/>
    <col min="12557" max="12557" width="1.5703125" style="2" customWidth="1"/>
    <col min="12558" max="12558" width="12.28515625" style="2" customWidth="1"/>
    <col min="12559" max="12559" width="1.5703125" style="2" customWidth="1"/>
    <col min="12560" max="12560" width="13.5703125" style="2" customWidth="1"/>
    <col min="12561" max="12561" width="0.85546875" style="2" customWidth="1"/>
    <col min="12562" max="12562" width="12.28515625" style="2" customWidth="1"/>
    <col min="12563" max="12563" width="1.5703125" style="2" customWidth="1"/>
    <col min="12564" max="12564" width="12.28515625" style="2" customWidth="1"/>
    <col min="12565" max="12565" width="1.5703125" style="2" customWidth="1"/>
    <col min="12566" max="12566" width="12.28515625" style="2" customWidth="1"/>
    <col min="12567" max="12567" width="0.85546875" style="2" customWidth="1"/>
    <col min="12568" max="12568" width="12.28515625" style="2" customWidth="1"/>
    <col min="12569" max="12569" width="1.5703125" style="2" customWidth="1"/>
    <col min="12570" max="12570" width="12.28515625" style="2" customWidth="1"/>
    <col min="12571" max="12571" width="1.5703125" style="2" customWidth="1"/>
    <col min="12572" max="12572" width="12.28515625" style="2" customWidth="1"/>
    <col min="12573" max="12573" width="0.85546875" style="2" customWidth="1"/>
    <col min="12574" max="12574" width="12.28515625" style="2" customWidth="1"/>
    <col min="12575" max="12575" width="1.5703125" style="2" customWidth="1"/>
    <col min="12576" max="12576" width="12.28515625" style="2" customWidth="1"/>
    <col min="12577" max="12577" width="1.5703125" style="2" customWidth="1"/>
    <col min="12578" max="12578" width="12.28515625" style="2" customWidth="1"/>
    <col min="12579" max="12579" width="4.5703125" style="2" customWidth="1"/>
    <col min="12580" max="12580" width="1.42578125" style="2" customWidth="1"/>
    <col min="12581" max="12803" width="13.85546875" style="2"/>
    <col min="12804" max="12804" width="7.85546875" style="2" customWidth="1"/>
    <col min="12805" max="12806" width="2.28515625" style="2" customWidth="1"/>
    <col min="12807" max="12807" width="31.42578125" style="2" customWidth="1"/>
    <col min="12808" max="12808" width="2.28515625" style="2" customWidth="1"/>
    <col min="12809" max="12809" width="2.140625" style="2" customWidth="1"/>
    <col min="12810" max="12810" width="12.28515625" style="2" customWidth="1"/>
    <col min="12811" max="12811" width="1.5703125" style="2" customWidth="1"/>
    <col min="12812" max="12812" width="12.28515625" style="2" customWidth="1"/>
    <col min="12813" max="12813" width="1.5703125" style="2" customWidth="1"/>
    <col min="12814" max="12814" width="12.28515625" style="2" customWidth="1"/>
    <col min="12815" max="12815" width="1.5703125" style="2" customWidth="1"/>
    <col min="12816" max="12816" width="13.5703125" style="2" customWidth="1"/>
    <col min="12817" max="12817" width="0.85546875" style="2" customWidth="1"/>
    <col min="12818" max="12818" width="12.28515625" style="2" customWidth="1"/>
    <col min="12819" max="12819" width="1.5703125" style="2" customWidth="1"/>
    <col min="12820" max="12820" width="12.28515625" style="2" customWidth="1"/>
    <col min="12821" max="12821" width="1.5703125" style="2" customWidth="1"/>
    <col min="12822" max="12822" width="12.28515625" style="2" customWidth="1"/>
    <col min="12823" max="12823" width="0.85546875" style="2" customWidth="1"/>
    <col min="12824" max="12824" width="12.28515625" style="2" customWidth="1"/>
    <col min="12825" max="12825" width="1.5703125" style="2" customWidth="1"/>
    <col min="12826" max="12826" width="12.28515625" style="2" customWidth="1"/>
    <col min="12827" max="12827" width="1.5703125" style="2" customWidth="1"/>
    <col min="12828" max="12828" width="12.28515625" style="2" customWidth="1"/>
    <col min="12829" max="12829" width="0.85546875" style="2" customWidth="1"/>
    <col min="12830" max="12830" width="12.28515625" style="2" customWidth="1"/>
    <col min="12831" max="12831" width="1.5703125" style="2" customWidth="1"/>
    <col min="12832" max="12832" width="12.28515625" style="2" customWidth="1"/>
    <col min="12833" max="12833" width="1.5703125" style="2" customWidth="1"/>
    <col min="12834" max="12834" width="12.28515625" style="2" customWidth="1"/>
    <col min="12835" max="12835" width="4.5703125" style="2" customWidth="1"/>
    <col min="12836" max="12836" width="1.42578125" style="2" customWidth="1"/>
    <col min="12837" max="13059" width="13.85546875" style="2"/>
    <col min="13060" max="13060" width="7.85546875" style="2" customWidth="1"/>
    <col min="13061" max="13062" width="2.28515625" style="2" customWidth="1"/>
    <col min="13063" max="13063" width="31.42578125" style="2" customWidth="1"/>
    <col min="13064" max="13064" width="2.28515625" style="2" customWidth="1"/>
    <col min="13065" max="13065" width="2.140625" style="2" customWidth="1"/>
    <col min="13066" max="13066" width="12.28515625" style="2" customWidth="1"/>
    <col min="13067" max="13067" width="1.5703125" style="2" customWidth="1"/>
    <col min="13068" max="13068" width="12.28515625" style="2" customWidth="1"/>
    <col min="13069" max="13069" width="1.5703125" style="2" customWidth="1"/>
    <col min="13070" max="13070" width="12.28515625" style="2" customWidth="1"/>
    <col min="13071" max="13071" width="1.5703125" style="2" customWidth="1"/>
    <col min="13072" max="13072" width="13.5703125" style="2" customWidth="1"/>
    <col min="13073" max="13073" width="0.85546875" style="2" customWidth="1"/>
    <col min="13074" max="13074" width="12.28515625" style="2" customWidth="1"/>
    <col min="13075" max="13075" width="1.5703125" style="2" customWidth="1"/>
    <col min="13076" max="13076" width="12.28515625" style="2" customWidth="1"/>
    <col min="13077" max="13077" width="1.5703125" style="2" customWidth="1"/>
    <col min="13078" max="13078" width="12.28515625" style="2" customWidth="1"/>
    <col min="13079" max="13079" width="0.85546875" style="2" customWidth="1"/>
    <col min="13080" max="13080" width="12.28515625" style="2" customWidth="1"/>
    <col min="13081" max="13081" width="1.5703125" style="2" customWidth="1"/>
    <col min="13082" max="13082" width="12.28515625" style="2" customWidth="1"/>
    <col min="13083" max="13083" width="1.5703125" style="2" customWidth="1"/>
    <col min="13084" max="13084" width="12.28515625" style="2" customWidth="1"/>
    <col min="13085" max="13085" width="0.85546875" style="2" customWidth="1"/>
    <col min="13086" max="13086" width="12.28515625" style="2" customWidth="1"/>
    <col min="13087" max="13087" width="1.5703125" style="2" customWidth="1"/>
    <col min="13088" max="13088" width="12.28515625" style="2" customWidth="1"/>
    <col min="13089" max="13089" width="1.5703125" style="2" customWidth="1"/>
    <col min="13090" max="13090" width="12.28515625" style="2" customWidth="1"/>
    <col min="13091" max="13091" width="4.5703125" style="2" customWidth="1"/>
    <col min="13092" max="13092" width="1.42578125" style="2" customWidth="1"/>
    <col min="13093" max="13315" width="13.85546875" style="2"/>
    <col min="13316" max="13316" width="7.85546875" style="2" customWidth="1"/>
    <col min="13317" max="13318" width="2.28515625" style="2" customWidth="1"/>
    <col min="13319" max="13319" width="31.42578125" style="2" customWidth="1"/>
    <col min="13320" max="13320" width="2.28515625" style="2" customWidth="1"/>
    <col min="13321" max="13321" width="2.140625" style="2" customWidth="1"/>
    <col min="13322" max="13322" width="12.28515625" style="2" customWidth="1"/>
    <col min="13323" max="13323" width="1.5703125" style="2" customWidth="1"/>
    <col min="13324" max="13324" width="12.28515625" style="2" customWidth="1"/>
    <col min="13325" max="13325" width="1.5703125" style="2" customWidth="1"/>
    <col min="13326" max="13326" width="12.28515625" style="2" customWidth="1"/>
    <col min="13327" max="13327" width="1.5703125" style="2" customWidth="1"/>
    <col min="13328" max="13328" width="13.5703125" style="2" customWidth="1"/>
    <col min="13329" max="13329" width="0.85546875" style="2" customWidth="1"/>
    <col min="13330" max="13330" width="12.28515625" style="2" customWidth="1"/>
    <col min="13331" max="13331" width="1.5703125" style="2" customWidth="1"/>
    <col min="13332" max="13332" width="12.28515625" style="2" customWidth="1"/>
    <col min="13333" max="13333" width="1.5703125" style="2" customWidth="1"/>
    <col min="13334" max="13334" width="12.28515625" style="2" customWidth="1"/>
    <col min="13335" max="13335" width="0.85546875" style="2" customWidth="1"/>
    <col min="13336" max="13336" width="12.28515625" style="2" customWidth="1"/>
    <col min="13337" max="13337" width="1.5703125" style="2" customWidth="1"/>
    <col min="13338" max="13338" width="12.28515625" style="2" customWidth="1"/>
    <col min="13339" max="13339" width="1.5703125" style="2" customWidth="1"/>
    <col min="13340" max="13340" width="12.28515625" style="2" customWidth="1"/>
    <col min="13341" max="13341" width="0.85546875" style="2" customWidth="1"/>
    <col min="13342" max="13342" width="12.28515625" style="2" customWidth="1"/>
    <col min="13343" max="13343" width="1.5703125" style="2" customWidth="1"/>
    <col min="13344" max="13344" width="12.28515625" style="2" customWidth="1"/>
    <col min="13345" max="13345" width="1.5703125" style="2" customWidth="1"/>
    <col min="13346" max="13346" width="12.28515625" style="2" customWidth="1"/>
    <col min="13347" max="13347" width="4.5703125" style="2" customWidth="1"/>
    <col min="13348" max="13348" width="1.42578125" style="2" customWidth="1"/>
    <col min="13349" max="13571" width="13.85546875" style="2"/>
    <col min="13572" max="13572" width="7.85546875" style="2" customWidth="1"/>
    <col min="13573" max="13574" width="2.28515625" style="2" customWidth="1"/>
    <col min="13575" max="13575" width="31.42578125" style="2" customWidth="1"/>
    <col min="13576" max="13576" width="2.28515625" style="2" customWidth="1"/>
    <col min="13577" max="13577" width="2.140625" style="2" customWidth="1"/>
    <col min="13578" max="13578" width="12.28515625" style="2" customWidth="1"/>
    <col min="13579" max="13579" width="1.5703125" style="2" customWidth="1"/>
    <col min="13580" max="13580" width="12.28515625" style="2" customWidth="1"/>
    <col min="13581" max="13581" width="1.5703125" style="2" customWidth="1"/>
    <col min="13582" max="13582" width="12.28515625" style="2" customWidth="1"/>
    <col min="13583" max="13583" width="1.5703125" style="2" customWidth="1"/>
    <col min="13584" max="13584" width="13.5703125" style="2" customWidth="1"/>
    <col min="13585" max="13585" width="0.85546875" style="2" customWidth="1"/>
    <col min="13586" max="13586" width="12.28515625" style="2" customWidth="1"/>
    <col min="13587" max="13587" width="1.5703125" style="2" customWidth="1"/>
    <col min="13588" max="13588" width="12.28515625" style="2" customWidth="1"/>
    <col min="13589" max="13589" width="1.5703125" style="2" customWidth="1"/>
    <col min="13590" max="13590" width="12.28515625" style="2" customWidth="1"/>
    <col min="13591" max="13591" width="0.85546875" style="2" customWidth="1"/>
    <col min="13592" max="13592" width="12.28515625" style="2" customWidth="1"/>
    <col min="13593" max="13593" width="1.5703125" style="2" customWidth="1"/>
    <col min="13594" max="13594" width="12.28515625" style="2" customWidth="1"/>
    <col min="13595" max="13595" width="1.5703125" style="2" customWidth="1"/>
    <col min="13596" max="13596" width="12.28515625" style="2" customWidth="1"/>
    <col min="13597" max="13597" width="0.85546875" style="2" customWidth="1"/>
    <col min="13598" max="13598" width="12.28515625" style="2" customWidth="1"/>
    <col min="13599" max="13599" width="1.5703125" style="2" customWidth="1"/>
    <col min="13600" max="13600" width="12.28515625" style="2" customWidth="1"/>
    <col min="13601" max="13601" width="1.5703125" style="2" customWidth="1"/>
    <col min="13602" max="13602" width="12.28515625" style="2" customWidth="1"/>
    <col min="13603" max="13603" width="4.5703125" style="2" customWidth="1"/>
    <col min="13604" max="13604" width="1.42578125" style="2" customWidth="1"/>
    <col min="13605" max="13827" width="13.85546875" style="2"/>
    <col min="13828" max="13828" width="7.85546875" style="2" customWidth="1"/>
    <col min="13829" max="13830" width="2.28515625" style="2" customWidth="1"/>
    <col min="13831" max="13831" width="31.42578125" style="2" customWidth="1"/>
    <col min="13832" max="13832" width="2.28515625" style="2" customWidth="1"/>
    <col min="13833" max="13833" width="2.140625" style="2" customWidth="1"/>
    <col min="13834" max="13834" width="12.28515625" style="2" customWidth="1"/>
    <col min="13835" max="13835" width="1.5703125" style="2" customWidth="1"/>
    <col min="13836" max="13836" width="12.28515625" style="2" customWidth="1"/>
    <col min="13837" max="13837" width="1.5703125" style="2" customWidth="1"/>
    <col min="13838" max="13838" width="12.28515625" style="2" customWidth="1"/>
    <col min="13839" max="13839" width="1.5703125" style="2" customWidth="1"/>
    <col min="13840" max="13840" width="13.5703125" style="2" customWidth="1"/>
    <col min="13841" max="13841" width="0.85546875" style="2" customWidth="1"/>
    <col min="13842" max="13842" width="12.28515625" style="2" customWidth="1"/>
    <col min="13843" max="13843" width="1.5703125" style="2" customWidth="1"/>
    <col min="13844" max="13844" width="12.28515625" style="2" customWidth="1"/>
    <col min="13845" max="13845" width="1.5703125" style="2" customWidth="1"/>
    <col min="13846" max="13846" width="12.28515625" style="2" customWidth="1"/>
    <col min="13847" max="13847" width="0.85546875" style="2" customWidth="1"/>
    <col min="13848" max="13848" width="12.28515625" style="2" customWidth="1"/>
    <col min="13849" max="13849" width="1.5703125" style="2" customWidth="1"/>
    <col min="13850" max="13850" width="12.28515625" style="2" customWidth="1"/>
    <col min="13851" max="13851" width="1.5703125" style="2" customWidth="1"/>
    <col min="13852" max="13852" width="12.28515625" style="2" customWidth="1"/>
    <col min="13853" max="13853" width="0.85546875" style="2" customWidth="1"/>
    <col min="13854" max="13854" width="12.28515625" style="2" customWidth="1"/>
    <col min="13855" max="13855" width="1.5703125" style="2" customWidth="1"/>
    <col min="13856" max="13856" width="12.28515625" style="2" customWidth="1"/>
    <col min="13857" max="13857" width="1.5703125" style="2" customWidth="1"/>
    <col min="13858" max="13858" width="12.28515625" style="2" customWidth="1"/>
    <col min="13859" max="13859" width="4.5703125" style="2" customWidth="1"/>
    <col min="13860" max="13860" width="1.42578125" style="2" customWidth="1"/>
    <col min="13861" max="14083" width="13.85546875" style="2"/>
    <col min="14084" max="14084" width="7.85546875" style="2" customWidth="1"/>
    <col min="14085" max="14086" width="2.28515625" style="2" customWidth="1"/>
    <col min="14087" max="14087" width="31.42578125" style="2" customWidth="1"/>
    <col min="14088" max="14088" width="2.28515625" style="2" customWidth="1"/>
    <col min="14089" max="14089" width="2.140625" style="2" customWidth="1"/>
    <col min="14090" max="14090" width="12.28515625" style="2" customWidth="1"/>
    <col min="14091" max="14091" width="1.5703125" style="2" customWidth="1"/>
    <col min="14092" max="14092" width="12.28515625" style="2" customWidth="1"/>
    <col min="14093" max="14093" width="1.5703125" style="2" customWidth="1"/>
    <col min="14094" max="14094" width="12.28515625" style="2" customWidth="1"/>
    <col min="14095" max="14095" width="1.5703125" style="2" customWidth="1"/>
    <col min="14096" max="14096" width="13.5703125" style="2" customWidth="1"/>
    <col min="14097" max="14097" width="0.85546875" style="2" customWidth="1"/>
    <col min="14098" max="14098" width="12.28515625" style="2" customWidth="1"/>
    <col min="14099" max="14099" width="1.5703125" style="2" customWidth="1"/>
    <col min="14100" max="14100" width="12.28515625" style="2" customWidth="1"/>
    <col min="14101" max="14101" width="1.5703125" style="2" customWidth="1"/>
    <col min="14102" max="14102" width="12.28515625" style="2" customWidth="1"/>
    <col min="14103" max="14103" width="0.85546875" style="2" customWidth="1"/>
    <col min="14104" max="14104" width="12.28515625" style="2" customWidth="1"/>
    <col min="14105" max="14105" width="1.5703125" style="2" customWidth="1"/>
    <col min="14106" max="14106" width="12.28515625" style="2" customWidth="1"/>
    <col min="14107" max="14107" width="1.5703125" style="2" customWidth="1"/>
    <col min="14108" max="14108" width="12.28515625" style="2" customWidth="1"/>
    <col min="14109" max="14109" width="0.85546875" style="2" customWidth="1"/>
    <col min="14110" max="14110" width="12.28515625" style="2" customWidth="1"/>
    <col min="14111" max="14111" width="1.5703125" style="2" customWidth="1"/>
    <col min="14112" max="14112" width="12.28515625" style="2" customWidth="1"/>
    <col min="14113" max="14113" width="1.5703125" style="2" customWidth="1"/>
    <col min="14114" max="14114" width="12.28515625" style="2" customWidth="1"/>
    <col min="14115" max="14115" width="4.5703125" style="2" customWidth="1"/>
    <col min="14116" max="14116" width="1.42578125" style="2" customWidth="1"/>
    <col min="14117" max="14339" width="13.85546875" style="2"/>
    <col min="14340" max="14340" width="7.85546875" style="2" customWidth="1"/>
    <col min="14341" max="14342" width="2.28515625" style="2" customWidth="1"/>
    <col min="14343" max="14343" width="31.42578125" style="2" customWidth="1"/>
    <col min="14344" max="14344" width="2.28515625" style="2" customWidth="1"/>
    <col min="14345" max="14345" width="2.140625" style="2" customWidth="1"/>
    <col min="14346" max="14346" width="12.28515625" style="2" customWidth="1"/>
    <col min="14347" max="14347" width="1.5703125" style="2" customWidth="1"/>
    <col min="14348" max="14348" width="12.28515625" style="2" customWidth="1"/>
    <col min="14349" max="14349" width="1.5703125" style="2" customWidth="1"/>
    <col min="14350" max="14350" width="12.28515625" style="2" customWidth="1"/>
    <col min="14351" max="14351" width="1.5703125" style="2" customWidth="1"/>
    <col min="14352" max="14352" width="13.5703125" style="2" customWidth="1"/>
    <col min="14353" max="14353" width="0.85546875" style="2" customWidth="1"/>
    <col min="14354" max="14354" width="12.28515625" style="2" customWidth="1"/>
    <col min="14355" max="14355" width="1.5703125" style="2" customWidth="1"/>
    <col min="14356" max="14356" width="12.28515625" style="2" customWidth="1"/>
    <col min="14357" max="14357" width="1.5703125" style="2" customWidth="1"/>
    <col min="14358" max="14358" width="12.28515625" style="2" customWidth="1"/>
    <col min="14359" max="14359" width="0.85546875" style="2" customWidth="1"/>
    <col min="14360" max="14360" width="12.28515625" style="2" customWidth="1"/>
    <col min="14361" max="14361" width="1.5703125" style="2" customWidth="1"/>
    <col min="14362" max="14362" width="12.28515625" style="2" customWidth="1"/>
    <col min="14363" max="14363" width="1.5703125" style="2" customWidth="1"/>
    <col min="14364" max="14364" width="12.28515625" style="2" customWidth="1"/>
    <col min="14365" max="14365" width="0.85546875" style="2" customWidth="1"/>
    <col min="14366" max="14366" width="12.28515625" style="2" customWidth="1"/>
    <col min="14367" max="14367" width="1.5703125" style="2" customWidth="1"/>
    <col min="14368" max="14368" width="12.28515625" style="2" customWidth="1"/>
    <col min="14369" max="14369" width="1.5703125" style="2" customWidth="1"/>
    <col min="14370" max="14370" width="12.28515625" style="2" customWidth="1"/>
    <col min="14371" max="14371" width="4.5703125" style="2" customWidth="1"/>
    <col min="14372" max="14372" width="1.42578125" style="2" customWidth="1"/>
    <col min="14373" max="14595" width="13.85546875" style="2"/>
    <col min="14596" max="14596" width="7.85546875" style="2" customWidth="1"/>
    <col min="14597" max="14598" width="2.28515625" style="2" customWidth="1"/>
    <col min="14599" max="14599" width="31.42578125" style="2" customWidth="1"/>
    <col min="14600" max="14600" width="2.28515625" style="2" customWidth="1"/>
    <col min="14601" max="14601" width="2.140625" style="2" customWidth="1"/>
    <col min="14602" max="14602" width="12.28515625" style="2" customWidth="1"/>
    <col min="14603" max="14603" width="1.5703125" style="2" customWidth="1"/>
    <col min="14604" max="14604" width="12.28515625" style="2" customWidth="1"/>
    <col min="14605" max="14605" width="1.5703125" style="2" customWidth="1"/>
    <col min="14606" max="14606" width="12.28515625" style="2" customWidth="1"/>
    <col min="14607" max="14607" width="1.5703125" style="2" customWidth="1"/>
    <col min="14608" max="14608" width="13.5703125" style="2" customWidth="1"/>
    <col min="14609" max="14609" width="0.85546875" style="2" customWidth="1"/>
    <col min="14610" max="14610" width="12.28515625" style="2" customWidth="1"/>
    <col min="14611" max="14611" width="1.5703125" style="2" customWidth="1"/>
    <col min="14612" max="14612" width="12.28515625" style="2" customWidth="1"/>
    <col min="14613" max="14613" width="1.5703125" style="2" customWidth="1"/>
    <col min="14614" max="14614" width="12.28515625" style="2" customWidth="1"/>
    <col min="14615" max="14615" width="0.85546875" style="2" customWidth="1"/>
    <col min="14616" max="14616" width="12.28515625" style="2" customWidth="1"/>
    <col min="14617" max="14617" width="1.5703125" style="2" customWidth="1"/>
    <col min="14618" max="14618" width="12.28515625" style="2" customWidth="1"/>
    <col min="14619" max="14619" width="1.5703125" style="2" customWidth="1"/>
    <col min="14620" max="14620" width="12.28515625" style="2" customWidth="1"/>
    <col min="14621" max="14621" width="0.85546875" style="2" customWidth="1"/>
    <col min="14622" max="14622" width="12.28515625" style="2" customWidth="1"/>
    <col min="14623" max="14623" width="1.5703125" style="2" customWidth="1"/>
    <col min="14624" max="14624" width="12.28515625" style="2" customWidth="1"/>
    <col min="14625" max="14625" width="1.5703125" style="2" customWidth="1"/>
    <col min="14626" max="14626" width="12.28515625" style="2" customWidth="1"/>
    <col min="14627" max="14627" width="4.5703125" style="2" customWidth="1"/>
    <col min="14628" max="14628" width="1.42578125" style="2" customWidth="1"/>
    <col min="14629" max="14851" width="13.85546875" style="2"/>
    <col min="14852" max="14852" width="7.85546875" style="2" customWidth="1"/>
    <col min="14853" max="14854" width="2.28515625" style="2" customWidth="1"/>
    <col min="14855" max="14855" width="31.42578125" style="2" customWidth="1"/>
    <col min="14856" max="14856" width="2.28515625" style="2" customWidth="1"/>
    <col min="14857" max="14857" width="2.140625" style="2" customWidth="1"/>
    <col min="14858" max="14858" width="12.28515625" style="2" customWidth="1"/>
    <col min="14859" max="14859" width="1.5703125" style="2" customWidth="1"/>
    <col min="14860" max="14860" width="12.28515625" style="2" customWidth="1"/>
    <col min="14861" max="14861" width="1.5703125" style="2" customWidth="1"/>
    <col min="14862" max="14862" width="12.28515625" style="2" customWidth="1"/>
    <col min="14863" max="14863" width="1.5703125" style="2" customWidth="1"/>
    <col min="14864" max="14864" width="13.5703125" style="2" customWidth="1"/>
    <col min="14865" max="14865" width="0.85546875" style="2" customWidth="1"/>
    <col min="14866" max="14866" width="12.28515625" style="2" customWidth="1"/>
    <col min="14867" max="14867" width="1.5703125" style="2" customWidth="1"/>
    <col min="14868" max="14868" width="12.28515625" style="2" customWidth="1"/>
    <col min="14869" max="14869" width="1.5703125" style="2" customWidth="1"/>
    <col min="14870" max="14870" width="12.28515625" style="2" customWidth="1"/>
    <col min="14871" max="14871" width="0.85546875" style="2" customWidth="1"/>
    <col min="14872" max="14872" width="12.28515625" style="2" customWidth="1"/>
    <col min="14873" max="14873" width="1.5703125" style="2" customWidth="1"/>
    <col min="14874" max="14874" width="12.28515625" style="2" customWidth="1"/>
    <col min="14875" max="14875" width="1.5703125" style="2" customWidth="1"/>
    <col min="14876" max="14876" width="12.28515625" style="2" customWidth="1"/>
    <col min="14877" max="14877" width="0.85546875" style="2" customWidth="1"/>
    <col min="14878" max="14878" width="12.28515625" style="2" customWidth="1"/>
    <col min="14879" max="14879" width="1.5703125" style="2" customWidth="1"/>
    <col min="14880" max="14880" width="12.28515625" style="2" customWidth="1"/>
    <col min="14881" max="14881" width="1.5703125" style="2" customWidth="1"/>
    <col min="14882" max="14882" width="12.28515625" style="2" customWidth="1"/>
    <col min="14883" max="14883" width="4.5703125" style="2" customWidth="1"/>
    <col min="14884" max="14884" width="1.42578125" style="2" customWidth="1"/>
    <col min="14885" max="15107" width="13.85546875" style="2"/>
    <col min="15108" max="15108" width="7.85546875" style="2" customWidth="1"/>
    <col min="15109" max="15110" width="2.28515625" style="2" customWidth="1"/>
    <col min="15111" max="15111" width="31.42578125" style="2" customWidth="1"/>
    <col min="15112" max="15112" width="2.28515625" style="2" customWidth="1"/>
    <col min="15113" max="15113" width="2.140625" style="2" customWidth="1"/>
    <col min="15114" max="15114" width="12.28515625" style="2" customWidth="1"/>
    <col min="15115" max="15115" width="1.5703125" style="2" customWidth="1"/>
    <col min="15116" max="15116" width="12.28515625" style="2" customWidth="1"/>
    <col min="15117" max="15117" width="1.5703125" style="2" customWidth="1"/>
    <col min="15118" max="15118" width="12.28515625" style="2" customWidth="1"/>
    <col min="15119" max="15119" width="1.5703125" style="2" customWidth="1"/>
    <col min="15120" max="15120" width="13.5703125" style="2" customWidth="1"/>
    <col min="15121" max="15121" width="0.85546875" style="2" customWidth="1"/>
    <col min="15122" max="15122" width="12.28515625" style="2" customWidth="1"/>
    <col min="15123" max="15123" width="1.5703125" style="2" customWidth="1"/>
    <col min="15124" max="15124" width="12.28515625" style="2" customWidth="1"/>
    <col min="15125" max="15125" width="1.5703125" style="2" customWidth="1"/>
    <col min="15126" max="15126" width="12.28515625" style="2" customWidth="1"/>
    <col min="15127" max="15127" width="0.85546875" style="2" customWidth="1"/>
    <col min="15128" max="15128" width="12.28515625" style="2" customWidth="1"/>
    <col min="15129" max="15129" width="1.5703125" style="2" customWidth="1"/>
    <col min="15130" max="15130" width="12.28515625" style="2" customWidth="1"/>
    <col min="15131" max="15131" width="1.5703125" style="2" customWidth="1"/>
    <col min="15132" max="15132" width="12.28515625" style="2" customWidth="1"/>
    <col min="15133" max="15133" width="0.85546875" style="2" customWidth="1"/>
    <col min="15134" max="15134" width="12.28515625" style="2" customWidth="1"/>
    <col min="15135" max="15135" width="1.5703125" style="2" customWidth="1"/>
    <col min="15136" max="15136" width="12.28515625" style="2" customWidth="1"/>
    <col min="15137" max="15137" width="1.5703125" style="2" customWidth="1"/>
    <col min="15138" max="15138" width="12.28515625" style="2" customWidth="1"/>
    <col min="15139" max="15139" width="4.5703125" style="2" customWidth="1"/>
    <col min="15140" max="15140" width="1.42578125" style="2" customWidth="1"/>
    <col min="15141" max="15363" width="13.85546875" style="2"/>
    <col min="15364" max="15364" width="7.85546875" style="2" customWidth="1"/>
    <col min="15365" max="15366" width="2.28515625" style="2" customWidth="1"/>
    <col min="15367" max="15367" width="31.42578125" style="2" customWidth="1"/>
    <col min="15368" max="15368" width="2.28515625" style="2" customWidth="1"/>
    <col min="15369" max="15369" width="2.140625" style="2" customWidth="1"/>
    <col min="15370" max="15370" width="12.28515625" style="2" customWidth="1"/>
    <col min="15371" max="15371" width="1.5703125" style="2" customWidth="1"/>
    <col min="15372" max="15372" width="12.28515625" style="2" customWidth="1"/>
    <col min="15373" max="15373" width="1.5703125" style="2" customWidth="1"/>
    <col min="15374" max="15374" width="12.28515625" style="2" customWidth="1"/>
    <col min="15375" max="15375" width="1.5703125" style="2" customWidth="1"/>
    <col min="15376" max="15376" width="13.5703125" style="2" customWidth="1"/>
    <col min="15377" max="15377" width="0.85546875" style="2" customWidth="1"/>
    <col min="15378" max="15378" width="12.28515625" style="2" customWidth="1"/>
    <col min="15379" max="15379" width="1.5703125" style="2" customWidth="1"/>
    <col min="15380" max="15380" width="12.28515625" style="2" customWidth="1"/>
    <col min="15381" max="15381" width="1.5703125" style="2" customWidth="1"/>
    <col min="15382" max="15382" width="12.28515625" style="2" customWidth="1"/>
    <col min="15383" max="15383" width="0.85546875" style="2" customWidth="1"/>
    <col min="15384" max="15384" width="12.28515625" style="2" customWidth="1"/>
    <col min="15385" max="15385" width="1.5703125" style="2" customWidth="1"/>
    <col min="15386" max="15386" width="12.28515625" style="2" customWidth="1"/>
    <col min="15387" max="15387" width="1.5703125" style="2" customWidth="1"/>
    <col min="15388" max="15388" width="12.28515625" style="2" customWidth="1"/>
    <col min="15389" max="15389" width="0.85546875" style="2" customWidth="1"/>
    <col min="15390" max="15390" width="12.28515625" style="2" customWidth="1"/>
    <col min="15391" max="15391" width="1.5703125" style="2" customWidth="1"/>
    <col min="15392" max="15392" width="12.28515625" style="2" customWidth="1"/>
    <col min="15393" max="15393" width="1.5703125" style="2" customWidth="1"/>
    <col min="15394" max="15394" width="12.28515625" style="2" customWidth="1"/>
    <col min="15395" max="15395" width="4.5703125" style="2" customWidth="1"/>
    <col min="15396" max="15396" width="1.42578125" style="2" customWidth="1"/>
    <col min="15397" max="15619" width="13.85546875" style="2"/>
    <col min="15620" max="15620" width="7.85546875" style="2" customWidth="1"/>
    <col min="15621" max="15622" width="2.28515625" style="2" customWidth="1"/>
    <col min="15623" max="15623" width="31.42578125" style="2" customWidth="1"/>
    <col min="15624" max="15624" width="2.28515625" style="2" customWidth="1"/>
    <col min="15625" max="15625" width="2.140625" style="2" customWidth="1"/>
    <col min="15626" max="15626" width="12.28515625" style="2" customWidth="1"/>
    <col min="15627" max="15627" width="1.5703125" style="2" customWidth="1"/>
    <col min="15628" max="15628" width="12.28515625" style="2" customWidth="1"/>
    <col min="15629" max="15629" width="1.5703125" style="2" customWidth="1"/>
    <col min="15630" max="15630" width="12.28515625" style="2" customWidth="1"/>
    <col min="15631" max="15631" width="1.5703125" style="2" customWidth="1"/>
    <col min="15632" max="15632" width="13.5703125" style="2" customWidth="1"/>
    <col min="15633" max="15633" width="0.85546875" style="2" customWidth="1"/>
    <col min="15634" max="15634" width="12.28515625" style="2" customWidth="1"/>
    <col min="15635" max="15635" width="1.5703125" style="2" customWidth="1"/>
    <col min="15636" max="15636" width="12.28515625" style="2" customWidth="1"/>
    <col min="15637" max="15637" width="1.5703125" style="2" customWidth="1"/>
    <col min="15638" max="15638" width="12.28515625" style="2" customWidth="1"/>
    <col min="15639" max="15639" width="0.85546875" style="2" customWidth="1"/>
    <col min="15640" max="15640" width="12.28515625" style="2" customWidth="1"/>
    <col min="15641" max="15641" width="1.5703125" style="2" customWidth="1"/>
    <col min="15642" max="15642" width="12.28515625" style="2" customWidth="1"/>
    <col min="15643" max="15643" width="1.5703125" style="2" customWidth="1"/>
    <col min="15644" max="15644" width="12.28515625" style="2" customWidth="1"/>
    <col min="15645" max="15645" width="0.85546875" style="2" customWidth="1"/>
    <col min="15646" max="15646" width="12.28515625" style="2" customWidth="1"/>
    <col min="15647" max="15647" width="1.5703125" style="2" customWidth="1"/>
    <col min="15648" max="15648" width="12.28515625" style="2" customWidth="1"/>
    <col min="15649" max="15649" width="1.5703125" style="2" customWidth="1"/>
    <col min="15650" max="15650" width="12.28515625" style="2" customWidth="1"/>
    <col min="15651" max="15651" width="4.5703125" style="2" customWidth="1"/>
    <col min="15652" max="15652" width="1.42578125" style="2" customWidth="1"/>
    <col min="15653" max="15875" width="13.85546875" style="2"/>
    <col min="15876" max="15876" width="7.85546875" style="2" customWidth="1"/>
    <col min="15877" max="15878" width="2.28515625" style="2" customWidth="1"/>
    <col min="15879" max="15879" width="31.42578125" style="2" customWidth="1"/>
    <col min="15880" max="15880" width="2.28515625" style="2" customWidth="1"/>
    <col min="15881" max="15881" width="2.140625" style="2" customWidth="1"/>
    <col min="15882" max="15882" width="12.28515625" style="2" customWidth="1"/>
    <col min="15883" max="15883" width="1.5703125" style="2" customWidth="1"/>
    <col min="15884" max="15884" width="12.28515625" style="2" customWidth="1"/>
    <col min="15885" max="15885" width="1.5703125" style="2" customWidth="1"/>
    <col min="15886" max="15886" width="12.28515625" style="2" customWidth="1"/>
    <col min="15887" max="15887" width="1.5703125" style="2" customWidth="1"/>
    <col min="15888" max="15888" width="13.5703125" style="2" customWidth="1"/>
    <col min="15889" max="15889" width="0.85546875" style="2" customWidth="1"/>
    <col min="15890" max="15890" width="12.28515625" style="2" customWidth="1"/>
    <col min="15891" max="15891" width="1.5703125" style="2" customWidth="1"/>
    <col min="15892" max="15892" width="12.28515625" style="2" customWidth="1"/>
    <col min="15893" max="15893" width="1.5703125" style="2" customWidth="1"/>
    <col min="15894" max="15894" width="12.28515625" style="2" customWidth="1"/>
    <col min="15895" max="15895" width="0.85546875" style="2" customWidth="1"/>
    <col min="15896" max="15896" width="12.28515625" style="2" customWidth="1"/>
    <col min="15897" max="15897" width="1.5703125" style="2" customWidth="1"/>
    <col min="15898" max="15898" width="12.28515625" style="2" customWidth="1"/>
    <col min="15899" max="15899" width="1.5703125" style="2" customWidth="1"/>
    <col min="15900" max="15900" width="12.28515625" style="2" customWidth="1"/>
    <col min="15901" max="15901" width="0.85546875" style="2" customWidth="1"/>
    <col min="15902" max="15902" width="12.28515625" style="2" customWidth="1"/>
    <col min="15903" max="15903" width="1.5703125" style="2" customWidth="1"/>
    <col min="15904" max="15904" width="12.28515625" style="2" customWidth="1"/>
    <col min="15905" max="15905" width="1.5703125" style="2" customWidth="1"/>
    <col min="15906" max="15906" width="12.28515625" style="2" customWidth="1"/>
    <col min="15907" max="15907" width="4.5703125" style="2" customWidth="1"/>
    <col min="15908" max="15908" width="1.42578125" style="2" customWidth="1"/>
    <col min="15909" max="16131" width="13.85546875" style="2"/>
    <col min="16132" max="16132" width="7.85546875" style="2" customWidth="1"/>
    <col min="16133" max="16134" width="2.28515625" style="2" customWidth="1"/>
    <col min="16135" max="16135" width="31.42578125" style="2" customWidth="1"/>
    <col min="16136" max="16136" width="2.28515625" style="2" customWidth="1"/>
    <col min="16137" max="16137" width="2.140625" style="2" customWidth="1"/>
    <col min="16138" max="16138" width="12.28515625" style="2" customWidth="1"/>
    <col min="16139" max="16139" width="1.5703125" style="2" customWidth="1"/>
    <col min="16140" max="16140" width="12.28515625" style="2" customWidth="1"/>
    <col min="16141" max="16141" width="1.5703125" style="2" customWidth="1"/>
    <col min="16142" max="16142" width="12.28515625" style="2" customWidth="1"/>
    <col min="16143" max="16143" width="1.5703125" style="2" customWidth="1"/>
    <col min="16144" max="16144" width="13.5703125" style="2" customWidth="1"/>
    <col min="16145" max="16145" width="0.85546875" style="2" customWidth="1"/>
    <col min="16146" max="16146" width="12.28515625" style="2" customWidth="1"/>
    <col min="16147" max="16147" width="1.5703125" style="2" customWidth="1"/>
    <col min="16148" max="16148" width="12.28515625" style="2" customWidth="1"/>
    <col min="16149" max="16149" width="1.5703125" style="2" customWidth="1"/>
    <col min="16150" max="16150" width="12.28515625" style="2" customWidth="1"/>
    <col min="16151" max="16151" width="0.85546875" style="2" customWidth="1"/>
    <col min="16152" max="16152" width="12.28515625" style="2" customWidth="1"/>
    <col min="16153" max="16153" width="1.5703125" style="2" customWidth="1"/>
    <col min="16154" max="16154" width="12.28515625" style="2" customWidth="1"/>
    <col min="16155" max="16155" width="1.5703125" style="2" customWidth="1"/>
    <col min="16156" max="16156" width="12.28515625" style="2" customWidth="1"/>
    <col min="16157" max="16157" width="0.85546875" style="2" customWidth="1"/>
    <col min="16158" max="16158" width="12.28515625" style="2" customWidth="1"/>
    <col min="16159" max="16159" width="1.5703125" style="2" customWidth="1"/>
    <col min="16160" max="16160" width="12.28515625" style="2" customWidth="1"/>
    <col min="16161" max="16161" width="1.5703125" style="2" customWidth="1"/>
    <col min="16162" max="16162" width="12.28515625" style="2" customWidth="1"/>
    <col min="16163" max="16163" width="4.5703125" style="2" customWidth="1"/>
    <col min="16164" max="16164" width="1.42578125" style="2" customWidth="1"/>
    <col min="16165" max="16384" width="13.85546875" style="2"/>
  </cols>
  <sheetData>
    <row r="1" spans="1:36">
      <c r="D1" s="2" t="s">
        <v>175</v>
      </c>
      <c r="E1" s="2" t="s">
        <v>176</v>
      </c>
      <c r="F1" s="3"/>
      <c r="G1" s="4"/>
      <c r="J1" s="2" t="s">
        <v>177</v>
      </c>
      <c r="L1" s="2" t="s">
        <v>178</v>
      </c>
      <c r="N1" s="2" t="s">
        <v>179</v>
      </c>
      <c r="P1" s="2" t="s">
        <v>180</v>
      </c>
      <c r="R1" s="2" t="s">
        <v>181</v>
      </c>
      <c r="T1" s="2" t="s">
        <v>182</v>
      </c>
      <c r="V1" s="2" t="s">
        <v>183</v>
      </c>
      <c r="X1" s="2" t="s">
        <v>184</v>
      </c>
      <c r="Z1" s="2" t="s">
        <v>185</v>
      </c>
      <c r="AB1" s="2" t="s">
        <v>186</v>
      </c>
      <c r="AD1" s="2" t="s">
        <v>187</v>
      </c>
      <c r="AF1" s="2" t="s">
        <v>188</v>
      </c>
      <c r="AH1" s="5"/>
    </row>
    <row r="2" spans="1:36" outlineLevel="1">
      <c r="B2" s="24"/>
      <c r="D2" s="6"/>
      <c r="E2" s="6"/>
      <c r="F2" s="7"/>
      <c r="G2" s="4"/>
      <c r="H2" s="8"/>
      <c r="I2" s="9"/>
      <c r="J2" s="10">
        <v>0</v>
      </c>
      <c r="K2" s="9"/>
      <c r="L2" s="10">
        <v>0</v>
      </c>
      <c r="M2" s="9"/>
      <c r="N2" s="10">
        <v>0</v>
      </c>
      <c r="O2" s="9"/>
      <c r="P2" s="10">
        <v>0</v>
      </c>
      <c r="Q2" s="9"/>
      <c r="R2" s="10">
        <v>0</v>
      </c>
      <c r="S2" s="9"/>
      <c r="T2" s="10">
        <v>0</v>
      </c>
      <c r="U2" s="9"/>
      <c r="V2" s="10">
        <v>0</v>
      </c>
      <c r="W2" s="9"/>
      <c r="X2" s="10">
        <v>0</v>
      </c>
      <c r="Y2" s="9"/>
      <c r="Z2" s="10">
        <v>0</v>
      </c>
      <c r="AA2" s="9"/>
      <c r="AB2" s="10">
        <v>0</v>
      </c>
      <c r="AC2" s="9"/>
      <c r="AD2" s="10">
        <v>0</v>
      </c>
      <c r="AE2" s="9"/>
      <c r="AF2" s="10">
        <v>0</v>
      </c>
      <c r="AG2" s="9"/>
      <c r="AH2" s="10">
        <f>AF2+AD2+AB2+Z2+X2+V2+T2+R2+P2+N2+L2+J2</f>
        <v>0</v>
      </c>
      <c r="AI2" s="11">
        <f>IF(AH$48=0,0,AH2/AH$48)</f>
        <v>0</v>
      </c>
      <c r="AJ2" s="12"/>
    </row>
    <row r="3" spans="1:36">
      <c r="D3" s="13"/>
      <c r="E3" s="13"/>
      <c r="F3" s="13"/>
      <c r="G3" s="13"/>
      <c r="H3" s="13"/>
      <c r="I3" s="13"/>
      <c r="J3" s="2" t="str">
        <f>TEXT(EDATE(DATEVALUE(RIGHT($D$8,2)&amp;"/1/"&amp;LEFT($D$8,4)),-11),"yyyy-mm")</f>
        <v>2018-05</v>
      </c>
      <c r="L3" s="2" t="str">
        <f>TEXT(EDATE(DATEVALUE(RIGHT($D$8,2)&amp;"/1/"&amp;LEFT($D$8,4)),-10),"yyyy-mm")</f>
        <v>2018-06</v>
      </c>
      <c r="N3" s="2" t="str">
        <f>TEXT(EDATE(DATEVALUE(RIGHT($D$8,2)&amp;"/1/"&amp;LEFT($D$8,4)),-9),"yyyy-mm")</f>
        <v>2018-07</v>
      </c>
      <c r="P3" s="2" t="str">
        <f>TEXT(EDATE(DATEVALUE(RIGHT($D$8,2)&amp;"/1/"&amp;LEFT($D$8,4)),-8),"yyyy-mm")</f>
        <v>2018-08</v>
      </c>
      <c r="R3" s="2" t="str">
        <f>TEXT(EDATE(DATEVALUE(RIGHT($D$8,2)&amp;"/1/"&amp;LEFT($D$8,4)),-7),"yyyy-mm")</f>
        <v>2018-09</v>
      </c>
      <c r="T3" s="2" t="str">
        <f>TEXT(EDATE(DATEVALUE(RIGHT($D$8,2)&amp;"/1/"&amp;LEFT($D$8,4)),-6),"yyyy-mm")</f>
        <v>2018-10</v>
      </c>
      <c r="V3" s="2" t="str">
        <f>TEXT(EDATE(DATEVALUE(RIGHT($D$8,2)&amp;"/1/"&amp;LEFT($D$8,4)),-5),"yyyy-mm")</f>
        <v>2018-11</v>
      </c>
      <c r="X3" s="2" t="str">
        <f>TEXT(EDATE(DATEVALUE(RIGHT($D$8,2)&amp;"/1/"&amp;LEFT($D$8,4)),-4),"yyyy-mm")</f>
        <v>2018-12</v>
      </c>
      <c r="Z3" s="2" t="str">
        <f>TEXT(EDATE(DATEVALUE(RIGHT($D$8,2)&amp;"/1/"&amp;LEFT($D$8,4)),-3),"yyyy-mm")</f>
        <v>2019-01</v>
      </c>
      <c r="AB3" s="2" t="str">
        <f>TEXT(EDATE(DATEVALUE(RIGHT($D$8,2)&amp;"/1/"&amp;LEFT($D$8,4)),-2),"yyyy-mm")</f>
        <v>2019-02</v>
      </c>
      <c r="AD3" s="2" t="str">
        <f>TEXT(EDATE(DATEVALUE(RIGHT($D$8,2)&amp;"/1/"&amp;LEFT($D$8,4)),-1),"yyyy-mm")</f>
        <v>2019-03</v>
      </c>
      <c r="AF3" s="2" t="str">
        <f>YearMonth</f>
        <v>2019-04</v>
      </c>
      <c r="AH3" s="2"/>
    </row>
    <row r="4" spans="1:36" ht="15">
      <c r="B4" s="25" t="str">
        <f ca="1">_xll.ReportVariable("WCN1",B13:B382,1:1,2:2,_xll.Param(D8,N6,"PL,98501",R7,"PL",R6,"AcctGrp1","ConsolSum","",""))</f>
        <v>OK!: ReportVariable Formula OK [jAction{}]</v>
      </c>
      <c r="G4" s="14"/>
      <c r="J4" s="2"/>
      <c r="L4" s="2"/>
      <c r="N4" s="2"/>
      <c r="P4" s="2"/>
      <c r="R4" s="2"/>
      <c r="T4" s="2"/>
      <c r="V4" s="2"/>
      <c r="X4" s="2"/>
      <c r="Z4" s="2"/>
      <c r="AB4" s="2"/>
      <c r="AD4" s="2"/>
      <c r="AF4" s="2"/>
      <c r="AH4" s="2"/>
    </row>
    <row r="5" spans="1:36">
      <c r="B5" s="25" t="e">
        <f ca="1">_xll.ReportDrill(,"JEQuery",D12:D280,J3:AJ3,"K7","G6",,,_xll.Param("","",N6))</f>
        <v>#VALUE!</v>
      </c>
      <c r="J5" s="2"/>
      <c r="L5" s="2"/>
      <c r="N5" s="2"/>
      <c r="P5" s="2"/>
      <c r="R5" s="2"/>
      <c r="T5" s="2"/>
      <c r="V5" s="2"/>
      <c r="X5" s="2"/>
      <c r="Z5" s="2"/>
      <c r="AB5" s="2"/>
      <c r="AD5" s="2"/>
      <c r="AF5" s="2"/>
      <c r="AH5" s="2"/>
    </row>
    <row r="6" spans="1:36" s="15" customFormat="1" ht="15.75">
      <c r="A6" s="2"/>
      <c r="B6" s="2"/>
      <c r="C6" s="2"/>
      <c r="D6" s="1280" t="s">
        <v>189</v>
      </c>
      <c r="E6" s="1281"/>
      <c r="F6" s="1281"/>
      <c r="G6" s="1281"/>
      <c r="H6" s="1281"/>
      <c r="I6" s="1281"/>
      <c r="J6" s="1281"/>
      <c r="K6" s="1281"/>
      <c r="L6" s="1281"/>
      <c r="M6" s="1282" t="s">
        <v>190</v>
      </c>
      <c r="N6" s="1283" t="s">
        <v>299</v>
      </c>
      <c r="O6" s="1281"/>
      <c r="P6" s="1281"/>
      <c r="Q6" s="1282" t="s">
        <v>192</v>
      </c>
      <c r="R6" s="1284"/>
      <c r="S6" s="1282"/>
      <c r="T6" s="1283"/>
      <c r="U6" s="1281"/>
      <c r="V6" s="1281"/>
      <c r="W6" s="1281"/>
      <c r="X6" s="1281"/>
      <c r="Y6" s="1282"/>
      <c r="Z6" s="1283"/>
      <c r="AA6" s="1281"/>
      <c r="AB6" s="1281"/>
      <c r="AC6" s="1281"/>
      <c r="AD6" s="1281"/>
      <c r="AE6" s="1282"/>
      <c r="AF6" s="1283"/>
      <c r="AG6" s="1281"/>
      <c r="AH6" s="1285"/>
      <c r="AI6" s="1281"/>
    </row>
    <row r="7" spans="1:36" s="15" customFormat="1" ht="15.75">
      <c r="A7" s="2"/>
      <c r="D7" s="1280" t="s">
        <v>193</v>
      </c>
      <c r="E7" s="1281"/>
      <c r="F7" s="1281"/>
      <c r="G7" s="1281"/>
      <c r="H7" s="1281"/>
      <c r="I7" s="1281"/>
      <c r="J7" s="1281"/>
      <c r="K7" s="1281"/>
      <c r="L7" s="1281"/>
      <c r="M7" s="1281"/>
      <c r="N7" s="1286" t="s">
        <v>194</v>
      </c>
      <c r="O7" s="1281"/>
      <c r="P7" s="1281"/>
      <c r="Q7" s="1282" t="s">
        <v>195</v>
      </c>
      <c r="R7" s="1286" t="s">
        <v>194</v>
      </c>
      <c r="S7" s="1281"/>
      <c r="T7" s="1286" t="s">
        <v>194</v>
      </c>
      <c r="U7" s="1281"/>
      <c r="V7" s="1281"/>
      <c r="W7" s="1281"/>
      <c r="X7" s="1281"/>
      <c r="Y7" s="1281"/>
      <c r="Z7" s="1286" t="s">
        <v>194</v>
      </c>
      <c r="AA7" s="1281"/>
      <c r="AB7" s="1281"/>
      <c r="AC7" s="1281"/>
      <c r="AD7" s="1281"/>
      <c r="AE7" s="1281"/>
      <c r="AF7" s="1286" t="s">
        <v>194</v>
      </c>
      <c r="AG7" s="1281"/>
      <c r="AH7" s="1281"/>
      <c r="AI7" s="1281"/>
    </row>
    <row r="8" spans="1:36" s="15" customFormat="1" ht="15.75">
      <c r="A8" s="2"/>
      <c r="D8" s="1287" t="s">
        <v>824</v>
      </c>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row>
    <row r="9" spans="1:36" s="15" customFormat="1" ht="15.75">
      <c r="A9" s="2"/>
      <c r="D9" s="1288"/>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row>
    <row r="10" spans="1:36" s="15" customFormat="1" ht="15">
      <c r="A10" s="2"/>
      <c r="D10" s="1289"/>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row>
    <row r="11" spans="1:36" s="15" customFormat="1" ht="15">
      <c r="A11" s="2"/>
      <c r="D11" s="1290"/>
      <c r="E11" s="1290"/>
      <c r="F11" s="1290"/>
      <c r="G11" s="1290"/>
      <c r="H11" s="1290"/>
      <c r="I11" s="1290"/>
      <c r="J11" s="1291"/>
      <c r="K11" s="1292"/>
      <c r="L11" s="1291"/>
      <c r="M11" s="1292"/>
      <c r="N11" s="1293"/>
      <c r="O11" s="1292"/>
      <c r="P11" s="1291"/>
      <c r="Q11" s="1292"/>
      <c r="R11" s="1291"/>
      <c r="S11" s="1292"/>
      <c r="T11" s="1293"/>
      <c r="U11" s="1292"/>
      <c r="V11" s="1291"/>
      <c r="W11" s="1292"/>
      <c r="X11" s="1291"/>
      <c r="Y11" s="1292"/>
      <c r="Z11" s="1293"/>
      <c r="AA11" s="1292"/>
      <c r="AB11" s="1291"/>
      <c r="AC11" s="1292"/>
      <c r="AD11" s="1291"/>
      <c r="AE11" s="1292"/>
      <c r="AF11" s="1293"/>
      <c r="AG11" s="1292"/>
      <c r="AH11" s="1291"/>
      <c r="AI11" s="1291"/>
    </row>
    <row r="12" spans="1:36" s="15" customFormat="1" ht="15.75" thickBot="1">
      <c r="A12" s="2"/>
      <c r="B12" s="26" t="s">
        <v>394</v>
      </c>
      <c r="D12" s="1290"/>
      <c r="E12" s="1290"/>
      <c r="F12" s="1290"/>
      <c r="G12" s="1290"/>
      <c r="H12" s="1290"/>
      <c r="I12" s="1290"/>
      <c r="J12" s="1294">
        <f>DATE(MID(J3,1,4), MID(J3,6,2), MID(J3,6,2))</f>
        <v>43225</v>
      </c>
      <c r="K12" s="1295"/>
      <c r="L12" s="1294">
        <f>DATE(MID(L3,1,4), MID(L3,6,2), MID(L3,6,2))</f>
        <v>43257</v>
      </c>
      <c r="M12" s="1295"/>
      <c r="N12" s="1294">
        <f>DATE(MID(N3,1,4), MID(N3,6,2), MID(N3,6,2))</f>
        <v>43288</v>
      </c>
      <c r="O12" s="1296"/>
      <c r="P12" s="1294">
        <f>DATE(MID(P3,1,4), MID(P3,6,2), MID(P3,6,2))</f>
        <v>43320</v>
      </c>
      <c r="Q12" s="1295"/>
      <c r="R12" s="1294">
        <f>DATE(MID(R3,1,4), MID(R3,6,2), MID(R3,6,2))</f>
        <v>43352</v>
      </c>
      <c r="S12" s="1295"/>
      <c r="T12" s="1294">
        <f>DATE(MID(T3,1,4), MID(T3,6,2), MID(T3,6,2))</f>
        <v>43383</v>
      </c>
      <c r="U12" s="1296"/>
      <c r="V12" s="1294">
        <f>DATE(MID(V3,1,4), MID(V3,6,2), MID(V3,6,2))</f>
        <v>43415</v>
      </c>
      <c r="W12" s="1295"/>
      <c r="X12" s="1294">
        <f>DATE(MID(X3,1,4), MID(X3,6,2), MID(X3,6,2))</f>
        <v>43446</v>
      </c>
      <c r="Y12" s="1295"/>
      <c r="Z12" s="1294">
        <f>DATE(MID(Z3,1,4), MID(Z3,6,2), MID(Z3,6,2))</f>
        <v>43466</v>
      </c>
      <c r="AA12" s="1296"/>
      <c r="AB12" s="1294">
        <f>DATE(MID(AB3,1,4), MID(AB3,6,2), MID(AB3,6,2))</f>
        <v>43498</v>
      </c>
      <c r="AC12" s="1295"/>
      <c r="AD12" s="1294">
        <f>DATE(MID(AD3,1,4), MID(AD3,6,2), MID(AD3,6,2))</f>
        <v>43527</v>
      </c>
      <c r="AE12" s="1295"/>
      <c r="AF12" s="1294">
        <f>DATE(MID(AF3,1,4), MID(AF3,6,2), MID(AF3,6,2))</f>
        <v>43559</v>
      </c>
      <c r="AG12" s="1296"/>
      <c r="AH12" s="1294" t="s">
        <v>13</v>
      </c>
      <c r="AI12" s="1297"/>
    </row>
    <row r="13" spans="1:36" s="407" customFormat="1" outlineLevel="1">
      <c r="B13" s="24" t="s">
        <v>395</v>
      </c>
      <c r="D13" s="1298">
        <v>98501</v>
      </c>
      <c r="E13" s="1298" t="s">
        <v>436</v>
      </c>
      <c r="F13" s="1299"/>
      <c r="G13" s="1300"/>
      <c r="H13" s="1301"/>
      <c r="I13" s="1302"/>
      <c r="J13" s="1303">
        <v>23</v>
      </c>
      <c r="K13" s="1302"/>
      <c r="L13" s="1303">
        <v>21</v>
      </c>
      <c r="M13" s="1302"/>
      <c r="N13" s="1303">
        <v>22</v>
      </c>
      <c r="O13" s="1302"/>
      <c r="P13" s="1303">
        <v>23</v>
      </c>
      <c r="Q13" s="1302"/>
      <c r="R13" s="1303">
        <v>20</v>
      </c>
      <c r="S13" s="1302"/>
      <c r="T13" s="1303">
        <v>23</v>
      </c>
      <c r="U13" s="1302"/>
      <c r="V13" s="1303">
        <v>22</v>
      </c>
      <c r="W13" s="1302"/>
      <c r="X13" s="1303">
        <v>21</v>
      </c>
      <c r="Y13" s="1302"/>
      <c r="Z13" s="1303">
        <v>23</v>
      </c>
      <c r="AA13" s="1302"/>
      <c r="AB13" s="1303">
        <v>20</v>
      </c>
      <c r="AC13" s="1302"/>
      <c r="AD13" s="1303">
        <v>21</v>
      </c>
      <c r="AE13" s="1302"/>
      <c r="AF13" s="1303">
        <v>22</v>
      </c>
      <c r="AG13" s="1302"/>
      <c r="AH13" s="1303">
        <f>AF13+AD13+AB13+Z13+X13+V13+T13+R13+P13+N13+L13+J13</f>
        <v>261</v>
      </c>
      <c r="AI13" s="1304">
        <f>IF(AH$48=0,0,AH13/AH$48)</f>
        <v>5.9438978844355677E-5</v>
      </c>
      <c r="AJ13" s="12"/>
    </row>
    <row r="14" spans="1:36" s="8" customFormat="1" ht="4.5" customHeight="1">
      <c r="D14" s="1301"/>
      <c r="E14" s="1301"/>
      <c r="F14" s="1301"/>
      <c r="G14" s="1301"/>
      <c r="H14" s="1301"/>
      <c r="I14" s="1301"/>
      <c r="J14" s="1302"/>
      <c r="K14" s="1281"/>
      <c r="L14" s="1302"/>
      <c r="M14" s="1281"/>
      <c r="N14" s="1302"/>
      <c r="O14" s="1281"/>
      <c r="P14" s="1302"/>
      <c r="Q14" s="1281"/>
      <c r="R14" s="1302"/>
      <c r="S14" s="1281"/>
      <c r="T14" s="1302"/>
      <c r="U14" s="1281"/>
      <c r="V14" s="1302"/>
      <c r="W14" s="1281"/>
      <c r="X14" s="1302"/>
      <c r="Y14" s="1281"/>
      <c r="Z14" s="1302"/>
      <c r="AA14" s="1281"/>
      <c r="AB14" s="1302"/>
      <c r="AC14" s="1281"/>
      <c r="AD14" s="1302"/>
      <c r="AE14" s="1281"/>
      <c r="AF14" s="1302"/>
      <c r="AG14" s="1281"/>
      <c r="AH14" s="1302"/>
      <c r="AI14" s="1305"/>
      <c r="AJ14" s="15"/>
    </row>
    <row r="15" spans="1:36" s="8" customFormat="1" ht="15" outlineLevel="1">
      <c r="D15" s="1301"/>
      <c r="E15" s="1301"/>
      <c r="F15" s="1301"/>
      <c r="G15" s="1301"/>
      <c r="H15" s="1301"/>
      <c r="I15" s="1301"/>
      <c r="J15" s="1302"/>
      <c r="K15" s="1281"/>
      <c r="L15" s="1302"/>
      <c r="M15" s="1281"/>
      <c r="N15" s="1302"/>
      <c r="O15" s="1281"/>
      <c r="P15" s="1302"/>
      <c r="Q15" s="1281"/>
      <c r="R15" s="1302"/>
      <c r="S15" s="1281"/>
      <c r="T15" s="1302"/>
      <c r="U15" s="1281"/>
      <c r="V15" s="1302"/>
      <c r="W15" s="1281"/>
      <c r="X15" s="1302"/>
      <c r="Y15" s="1281"/>
      <c r="Z15" s="1302"/>
      <c r="AA15" s="1281"/>
      <c r="AB15" s="1302"/>
      <c r="AC15" s="1281"/>
      <c r="AD15" s="1302"/>
      <c r="AE15" s="1281"/>
      <c r="AF15" s="1302"/>
      <c r="AG15" s="1281"/>
      <c r="AH15" s="1302"/>
      <c r="AI15" s="1306"/>
      <c r="AJ15" s="15"/>
    </row>
    <row r="16" spans="1:36" s="407" customFormat="1" outlineLevel="1">
      <c r="B16" s="24" t="s">
        <v>396</v>
      </c>
      <c r="D16" s="1298">
        <v>33020</v>
      </c>
      <c r="E16" s="1298" t="s">
        <v>207</v>
      </c>
      <c r="F16" s="1299"/>
      <c r="G16" s="1300"/>
      <c r="H16" s="1301"/>
      <c r="I16" s="1302"/>
      <c r="J16" s="1303">
        <v>300189.61</v>
      </c>
      <c r="K16" s="1302"/>
      <c r="L16" s="1303">
        <v>288570.18</v>
      </c>
      <c r="M16" s="1302"/>
      <c r="N16" s="1303">
        <v>280432.27</v>
      </c>
      <c r="O16" s="1302"/>
      <c r="P16" s="1303">
        <v>328323.24</v>
      </c>
      <c r="Q16" s="1302"/>
      <c r="R16" s="1303">
        <v>273422.92</v>
      </c>
      <c r="S16" s="1302"/>
      <c r="T16" s="1303">
        <v>303041.71000000002</v>
      </c>
      <c r="U16" s="1302"/>
      <c r="V16" s="1303">
        <v>247459.45</v>
      </c>
      <c r="W16" s="1302"/>
      <c r="X16" s="1303">
        <v>260343.34</v>
      </c>
      <c r="Y16" s="1302"/>
      <c r="Z16" s="1303">
        <v>319321.37</v>
      </c>
      <c r="AA16" s="1302"/>
      <c r="AB16" s="1303">
        <v>256654.97</v>
      </c>
      <c r="AC16" s="1302"/>
      <c r="AD16" s="1303">
        <v>315314.2</v>
      </c>
      <c r="AE16" s="1302"/>
      <c r="AF16" s="1303">
        <v>327240.15000000002</v>
      </c>
      <c r="AG16" s="1302"/>
      <c r="AH16" s="1303">
        <f t="shared" ref="AH16:AH17" si="0">AF16+AD16+AB16+Z16+X16+V16+T16+R16+P16+N16+L16+J16</f>
        <v>3500313.4099999997</v>
      </c>
      <c r="AI16" s="1304">
        <f t="shared" ref="AI16:AI17" si="1">IF(AH$48=0,0,AH16/AH$48)</f>
        <v>0.79714580354637732</v>
      </c>
      <c r="AJ16" s="12"/>
    </row>
    <row r="17" spans="2:36" s="407" customFormat="1" outlineLevel="1">
      <c r="B17" s="24" t="s">
        <v>397</v>
      </c>
      <c r="D17" s="1298">
        <v>33029</v>
      </c>
      <c r="E17" s="1298" t="s">
        <v>207</v>
      </c>
      <c r="F17" s="1299"/>
      <c r="G17" s="1300"/>
      <c r="H17" s="1301"/>
      <c r="I17" s="1302"/>
      <c r="J17" s="1303">
        <v>4938.8999999999996</v>
      </c>
      <c r="K17" s="1302"/>
      <c r="L17" s="1303">
        <v>1497.7</v>
      </c>
      <c r="M17" s="1302"/>
      <c r="N17" s="1303">
        <v>1846.7</v>
      </c>
      <c r="O17" s="1302"/>
      <c r="P17" s="1303">
        <v>1882.7</v>
      </c>
      <c r="Q17" s="1302"/>
      <c r="R17" s="1303">
        <v>1093.5999999999999</v>
      </c>
      <c r="S17" s="1302"/>
      <c r="T17" s="1303">
        <v>2421.3000000000002</v>
      </c>
      <c r="U17" s="1302"/>
      <c r="V17" s="1303">
        <v>1719.7</v>
      </c>
      <c r="W17" s="1302"/>
      <c r="X17" s="1303">
        <v>1731.5</v>
      </c>
      <c r="Y17" s="1302"/>
      <c r="Z17" s="1303">
        <v>1546.5</v>
      </c>
      <c r="AA17" s="1302"/>
      <c r="AB17" s="1303">
        <v>707.3</v>
      </c>
      <c r="AC17" s="1302"/>
      <c r="AD17" s="1303">
        <v>1600.9</v>
      </c>
      <c r="AE17" s="1302"/>
      <c r="AF17" s="1303">
        <v>1727.1</v>
      </c>
      <c r="AG17" s="1302"/>
      <c r="AH17" s="1303">
        <f t="shared" si="0"/>
        <v>22713.9</v>
      </c>
      <c r="AI17" s="1304">
        <f t="shared" si="1"/>
        <v>5.1727625347617262E-3</v>
      </c>
      <c r="AJ17" s="12"/>
    </row>
    <row r="18" spans="2:36" s="8" customFormat="1" ht="4.5" customHeight="1" outlineLevel="1">
      <c r="B18" s="16" t="s">
        <v>194</v>
      </c>
      <c r="D18" s="1301"/>
      <c r="E18" s="1301"/>
      <c r="F18" s="1301"/>
      <c r="G18" s="1301"/>
      <c r="H18" s="1301"/>
      <c r="I18" s="1301"/>
      <c r="J18" s="1307"/>
      <c r="K18" s="1281"/>
      <c r="L18" s="1307"/>
      <c r="M18" s="1281"/>
      <c r="N18" s="1307"/>
      <c r="O18" s="1281"/>
      <c r="P18" s="1307"/>
      <c r="Q18" s="1281"/>
      <c r="R18" s="1307"/>
      <c r="S18" s="1281"/>
      <c r="T18" s="1307"/>
      <c r="U18" s="1281"/>
      <c r="V18" s="1307"/>
      <c r="W18" s="1281"/>
      <c r="X18" s="1307"/>
      <c r="Y18" s="1281"/>
      <c r="Z18" s="1307"/>
      <c r="AA18" s="1281"/>
      <c r="AB18" s="1307"/>
      <c r="AC18" s="1281"/>
      <c r="AD18" s="1307"/>
      <c r="AE18" s="1281"/>
      <c r="AF18" s="1307"/>
      <c r="AG18" s="1281"/>
      <c r="AH18" s="1307"/>
      <c r="AI18" s="1306"/>
      <c r="AJ18" s="15"/>
    </row>
    <row r="19" spans="2:36" s="8" customFormat="1" ht="15">
      <c r="B19" s="2" t="s">
        <v>194</v>
      </c>
      <c r="D19" s="1301"/>
      <c r="E19" s="1301"/>
      <c r="F19" s="1301" t="s">
        <v>208</v>
      </c>
      <c r="G19" s="1301"/>
      <c r="H19" s="1301"/>
      <c r="I19" s="1301"/>
      <c r="J19" s="1308">
        <f>SUM(J15:J18)</f>
        <v>305128.51</v>
      </c>
      <c r="K19" s="1309"/>
      <c r="L19" s="1308">
        <f>SUM(L15:L18)</f>
        <v>290067.88</v>
      </c>
      <c r="M19" s="1309"/>
      <c r="N19" s="1308">
        <f>SUM(N15:N18)</f>
        <v>282278.97000000003</v>
      </c>
      <c r="O19" s="1309"/>
      <c r="P19" s="1308">
        <f>SUM(P15:P18)</f>
        <v>330205.94</v>
      </c>
      <c r="Q19" s="1309"/>
      <c r="R19" s="1308">
        <f>SUM(R15:R18)</f>
        <v>274516.51999999996</v>
      </c>
      <c r="S19" s="1309"/>
      <c r="T19" s="1308">
        <f>SUM(T15:T18)</f>
        <v>305463.01</v>
      </c>
      <c r="U19" s="1309"/>
      <c r="V19" s="1308">
        <f>SUM(V15:V18)</f>
        <v>249179.15000000002</v>
      </c>
      <c r="W19" s="1309"/>
      <c r="X19" s="1308">
        <f>SUM(X15:X18)</f>
        <v>262074.84</v>
      </c>
      <c r="Y19" s="1309"/>
      <c r="Z19" s="1308">
        <f>SUM(Z15:Z18)</f>
        <v>320867.87</v>
      </c>
      <c r="AA19" s="1309"/>
      <c r="AB19" s="1308">
        <f>SUM(AB15:AB18)</f>
        <v>257362.27</v>
      </c>
      <c r="AC19" s="1309"/>
      <c r="AD19" s="1308">
        <f>SUM(AD15:AD18)</f>
        <v>316915.10000000003</v>
      </c>
      <c r="AE19" s="1309"/>
      <c r="AF19" s="1308">
        <f>SUM(AF15:AF18)</f>
        <v>328967.25</v>
      </c>
      <c r="AG19" s="1309"/>
      <c r="AH19" s="1308">
        <f>SUM(AH15:AH18)</f>
        <v>3523027.3099999996</v>
      </c>
      <c r="AI19" s="1304">
        <f>IF(AH$48=0,0,AH19/AH$48)</f>
        <v>0.80231856608113894</v>
      </c>
      <c r="AJ19" s="15"/>
    </row>
    <row r="20" spans="2:36" s="8" customFormat="1" ht="15" outlineLevel="1">
      <c r="B20" s="16" t="s">
        <v>194</v>
      </c>
      <c r="D20" s="1301"/>
      <c r="E20" s="1301"/>
      <c r="F20" s="1301"/>
      <c r="G20" s="1301"/>
      <c r="H20" s="1301"/>
      <c r="I20" s="1301"/>
      <c r="J20" s="1310"/>
      <c r="K20" s="1309"/>
      <c r="L20" s="1310"/>
      <c r="M20" s="1309"/>
      <c r="N20" s="1310"/>
      <c r="O20" s="1309"/>
      <c r="P20" s="1310"/>
      <c r="Q20" s="1309"/>
      <c r="R20" s="1310"/>
      <c r="S20" s="1309"/>
      <c r="T20" s="1310"/>
      <c r="U20" s="1309"/>
      <c r="V20" s="1310"/>
      <c r="W20" s="1309"/>
      <c r="X20" s="1310"/>
      <c r="Y20" s="1309"/>
      <c r="Z20" s="1310"/>
      <c r="AA20" s="1309"/>
      <c r="AB20" s="1310"/>
      <c r="AC20" s="1309"/>
      <c r="AD20" s="1310"/>
      <c r="AE20" s="1309"/>
      <c r="AF20" s="1310"/>
      <c r="AG20" s="1309"/>
      <c r="AH20" s="1310"/>
      <c r="AI20" s="1306"/>
      <c r="AJ20" s="15"/>
    </row>
    <row r="21" spans="2:36" s="407" customFormat="1" outlineLevel="1">
      <c r="B21" s="24" t="s">
        <v>399</v>
      </c>
      <c r="D21" s="1298"/>
      <c r="E21" s="1298"/>
      <c r="F21" s="1299"/>
      <c r="G21" s="1300"/>
      <c r="H21" s="1301"/>
      <c r="I21" s="1302"/>
      <c r="J21" s="1303"/>
      <c r="K21" s="1302"/>
      <c r="L21" s="1303"/>
      <c r="M21" s="1302"/>
      <c r="N21" s="1303"/>
      <c r="O21" s="1302"/>
      <c r="P21" s="1303"/>
      <c r="Q21" s="1302"/>
      <c r="R21" s="1303"/>
      <c r="S21" s="1302"/>
      <c r="T21" s="1303"/>
      <c r="U21" s="1302"/>
      <c r="V21" s="1303"/>
      <c r="W21" s="1302"/>
      <c r="X21" s="1303"/>
      <c r="Y21" s="1302"/>
      <c r="Z21" s="1303"/>
      <c r="AA21" s="1302"/>
      <c r="AB21" s="1303"/>
      <c r="AC21" s="1302"/>
      <c r="AD21" s="1303"/>
      <c r="AE21" s="1302"/>
      <c r="AF21" s="1303"/>
      <c r="AG21" s="1302"/>
      <c r="AH21" s="1303">
        <f>AF21+AD21+AB21+Z21+X21+V21+T21+R21+P21+N21+L21+J21</f>
        <v>0</v>
      </c>
      <c r="AI21" s="1304">
        <f>IF(AH$48=0,0,AH21/AH$48)</f>
        <v>0</v>
      </c>
      <c r="AJ21" s="12"/>
    </row>
    <row r="22" spans="2:36" s="8" customFormat="1" ht="5.0999999999999996" customHeight="1" outlineLevel="1">
      <c r="B22" s="16" t="s">
        <v>194</v>
      </c>
      <c r="D22" s="1299"/>
      <c r="E22" s="1299"/>
      <c r="F22" s="1299"/>
      <c r="G22" s="1299"/>
      <c r="H22" s="1301"/>
      <c r="I22" s="1301"/>
      <c r="J22" s="1311"/>
      <c r="K22" s="1309"/>
      <c r="L22" s="1311"/>
      <c r="M22" s="1309"/>
      <c r="N22" s="1311"/>
      <c r="O22" s="1309"/>
      <c r="P22" s="1311"/>
      <c r="Q22" s="1309"/>
      <c r="R22" s="1311"/>
      <c r="S22" s="1309"/>
      <c r="T22" s="1311"/>
      <c r="U22" s="1309"/>
      <c r="V22" s="1311"/>
      <c r="W22" s="1309"/>
      <c r="X22" s="1311"/>
      <c r="Y22" s="1309"/>
      <c r="Z22" s="1311"/>
      <c r="AA22" s="1309"/>
      <c r="AB22" s="1311"/>
      <c r="AC22" s="1309"/>
      <c r="AD22" s="1311"/>
      <c r="AE22" s="1309"/>
      <c r="AF22" s="1311"/>
      <c r="AG22" s="1309"/>
      <c r="AH22" s="1311"/>
      <c r="AI22" s="1306"/>
      <c r="AJ22" s="15"/>
    </row>
    <row r="23" spans="2:36" s="8" customFormat="1" ht="15">
      <c r="B23" s="2" t="s">
        <v>194</v>
      </c>
      <c r="D23" s="1301"/>
      <c r="E23" s="1301"/>
      <c r="F23" s="1299" t="s">
        <v>210</v>
      </c>
      <c r="G23" s="1301"/>
      <c r="H23" s="1301"/>
      <c r="I23" s="1301"/>
      <c r="J23" s="1308">
        <f>SUM(J21:J22)</f>
        <v>0</v>
      </c>
      <c r="K23" s="1309"/>
      <c r="L23" s="1308">
        <f>SUM(L21:L22)</f>
        <v>0</v>
      </c>
      <c r="M23" s="1309"/>
      <c r="N23" s="1308">
        <f>SUM(N21:N22)</f>
        <v>0</v>
      </c>
      <c r="O23" s="1309"/>
      <c r="P23" s="1308">
        <f>SUM(P21:P22)</f>
        <v>0</v>
      </c>
      <c r="Q23" s="1309"/>
      <c r="R23" s="1308">
        <f>SUM(R21:R22)</f>
        <v>0</v>
      </c>
      <c r="S23" s="1309"/>
      <c r="T23" s="1308">
        <f>SUM(T21:T22)</f>
        <v>0</v>
      </c>
      <c r="U23" s="1309"/>
      <c r="V23" s="1308">
        <f>SUM(V21:V22)</f>
        <v>0</v>
      </c>
      <c r="W23" s="1309"/>
      <c r="X23" s="1308">
        <f>SUM(X21:X22)</f>
        <v>0</v>
      </c>
      <c r="Y23" s="1309"/>
      <c r="Z23" s="1308">
        <f>SUM(Z21:Z22)</f>
        <v>0</v>
      </c>
      <c r="AA23" s="1309"/>
      <c r="AB23" s="1308">
        <f>SUM(AB21:AB22)</f>
        <v>0</v>
      </c>
      <c r="AC23" s="1309"/>
      <c r="AD23" s="1308">
        <f>SUM(AD21:AD22)</f>
        <v>0</v>
      </c>
      <c r="AE23" s="1309"/>
      <c r="AF23" s="1308">
        <f>SUM(AF21:AF22)</f>
        <v>0</v>
      </c>
      <c r="AG23" s="1309"/>
      <c r="AH23" s="1308">
        <f>SUM(AH21:AH22)</f>
        <v>0</v>
      </c>
      <c r="AI23" s="1304">
        <f>IF(AH$48=0,0,AH23/AH$48)</f>
        <v>0</v>
      </c>
      <c r="AJ23" s="15"/>
    </row>
    <row r="24" spans="2:36" s="8" customFormat="1" ht="15" outlineLevel="1">
      <c r="B24" s="2"/>
      <c r="D24" s="1301"/>
      <c r="E24" s="1301"/>
      <c r="F24" s="1301"/>
      <c r="G24" s="1301"/>
      <c r="H24" s="1301"/>
      <c r="I24" s="1301"/>
      <c r="J24" s="1310"/>
      <c r="K24" s="1309"/>
      <c r="L24" s="1310"/>
      <c r="M24" s="1309"/>
      <c r="N24" s="1310"/>
      <c r="O24" s="1309"/>
      <c r="P24" s="1310"/>
      <c r="Q24" s="1309"/>
      <c r="R24" s="1310"/>
      <c r="S24" s="1309"/>
      <c r="T24" s="1310"/>
      <c r="U24" s="1309"/>
      <c r="V24" s="1310"/>
      <c r="W24" s="1309"/>
      <c r="X24" s="1310"/>
      <c r="Y24" s="1309"/>
      <c r="Z24" s="1310"/>
      <c r="AA24" s="1309"/>
      <c r="AB24" s="1310"/>
      <c r="AC24" s="1309"/>
      <c r="AD24" s="1310"/>
      <c r="AE24" s="1309"/>
      <c r="AF24" s="1310"/>
      <c r="AG24" s="1309"/>
      <c r="AH24" s="1310"/>
      <c r="AI24" s="1306"/>
      <c r="AJ24" s="15"/>
    </row>
    <row r="25" spans="2:36" s="8" customFormat="1" ht="15" outlineLevel="1">
      <c r="B25" s="2" t="s">
        <v>194</v>
      </c>
      <c r="D25" s="1301"/>
      <c r="E25" s="1301"/>
      <c r="F25" s="1301"/>
      <c r="G25" s="1301"/>
      <c r="H25" s="1301"/>
      <c r="I25" s="1301"/>
      <c r="J25" s="1310"/>
      <c r="K25" s="1309"/>
      <c r="L25" s="1310"/>
      <c r="M25" s="1309"/>
      <c r="N25" s="1310"/>
      <c r="O25" s="1309"/>
      <c r="P25" s="1310"/>
      <c r="Q25" s="1309"/>
      <c r="R25" s="1310"/>
      <c r="S25" s="1309"/>
      <c r="T25" s="1310"/>
      <c r="U25" s="1309"/>
      <c r="V25" s="1310"/>
      <c r="W25" s="1309"/>
      <c r="X25" s="1310"/>
      <c r="Y25" s="1309"/>
      <c r="Z25" s="1310"/>
      <c r="AA25" s="1309"/>
      <c r="AB25" s="1310"/>
      <c r="AC25" s="1309"/>
      <c r="AD25" s="1310"/>
      <c r="AE25" s="1309"/>
      <c r="AF25" s="1310"/>
      <c r="AG25" s="1309"/>
      <c r="AH25" s="1310"/>
      <c r="AI25" s="1306"/>
      <c r="AJ25" s="15"/>
    </row>
    <row r="26" spans="2:36" s="407" customFormat="1" outlineLevel="1">
      <c r="B26" s="24" t="s">
        <v>400</v>
      </c>
      <c r="D26" s="1298">
        <v>35512</v>
      </c>
      <c r="E26" s="1298" t="s">
        <v>826</v>
      </c>
      <c r="F26" s="1299"/>
      <c r="G26" s="1300"/>
      <c r="H26" s="1301"/>
      <c r="I26" s="1302"/>
      <c r="J26" s="1303">
        <v>84971.27</v>
      </c>
      <c r="K26" s="1302"/>
      <c r="L26" s="1303">
        <v>82171.73</v>
      </c>
      <c r="M26" s="1302"/>
      <c r="N26" s="1303">
        <v>78223.990000000005</v>
      </c>
      <c r="O26" s="1302"/>
      <c r="P26" s="1303">
        <v>83267.11</v>
      </c>
      <c r="Q26" s="1302"/>
      <c r="R26" s="1303">
        <v>67050.14</v>
      </c>
      <c r="S26" s="1302"/>
      <c r="T26" s="1303">
        <v>72487.509999999995</v>
      </c>
      <c r="U26" s="1302"/>
      <c r="V26" s="1303">
        <v>56967.78</v>
      </c>
      <c r="W26" s="1302"/>
      <c r="X26" s="1303">
        <v>61873.34</v>
      </c>
      <c r="Y26" s="1302"/>
      <c r="Z26" s="1303">
        <v>72725.89</v>
      </c>
      <c r="AA26" s="1302"/>
      <c r="AB26" s="1303">
        <v>59231.519999999997</v>
      </c>
      <c r="AC26" s="1302"/>
      <c r="AD26" s="1303">
        <v>-131957.41</v>
      </c>
      <c r="AE26" s="1302"/>
      <c r="AF26" s="1303">
        <v>0</v>
      </c>
      <c r="AG26" s="1302"/>
      <c r="AH26" s="1303">
        <f t="shared" ref="AH26:AH29" si="2">AF26+AD26+AB26+Z26+X26+V26+T26+R26+P26+N26+L26+J26</f>
        <v>587012.86999999988</v>
      </c>
      <c r="AI26" s="1304">
        <f t="shared" ref="AI26:AI29" si="3">IF(AH$48=0,0,AH26/AH$48)</f>
        <v>0.13368369946856132</v>
      </c>
      <c r="AJ26" s="12"/>
    </row>
    <row r="27" spans="2:36" s="407" customFormat="1" outlineLevel="1">
      <c r="B27" s="24" t="s">
        <v>397</v>
      </c>
      <c r="D27" s="1298">
        <v>35514</v>
      </c>
      <c r="E27" s="1298" t="s">
        <v>828</v>
      </c>
      <c r="F27" s="1299"/>
      <c r="G27" s="1300"/>
      <c r="H27" s="1301"/>
      <c r="I27" s="1302"/>
      <c r="J27" s="1303">
        <v>0</v>
      </c>
      <c r="K27" s="1302"/>
      <c r="L27" s="1303">
        <v>0</v>
      </c>
      <c r="M27" s="1302"/>
      <c r="N27" s="1303">
        <v>0</v>
      </c>
      <c r="O27" s="1302"/>
      <c r="P27" s="1303">
        <v>0</v>
      </c>
      <c r="Q27" s="1302"/>
      <c r="R27" s="1303">
        <v>1807.2</v>
      </c>
      <c r="S27" s="1302"/>
      <c r="T27" s="1303">
        <v>0</v>
      </c>
      <c r="U27" s="1302"/>
      <c r="V27" s="1303">
        <v>0</v>
      </c>
      <c r="W27" s="1302"/>
      <c r="X27" s="1303">
        <v>0</v>
      </c>
      <c r="Y27" s="1302"/>
      <c r="Z27" s="1303">
        <v>1755.6</v>
      </c>
      <c r="AA27" s="1302"/>
      <c r="AB27" s="1303">
        <v>0</v>
      </c>
      <c r="AC27" s="1302"/>
      <c r="AD27" s="1303">
        <v>-1755.6</v>
      </c>
      <c r="AE27" s="1302"/>
      <c r="AF27" s="1303">
        <v>0</v>
      </c>
      <c r="AG27" s="1302"/>
      <c r="AH27" s="1303">
        <f t="shared" si="2"/>
        <v>1807.2</v>
      </c>
      <c r="AI27" s="1304">
        <f t="shared" si="3"/>
        <v>4.1156368799815936E-4</v>
      </c>
      <c r="AJ27" s="12"/>
    </row>
    <row r="28" spans="2:36" s="407" customFormat="1" outlineLevel="1">
      <c r="B28" s="24" t="s">
        <v>397</v>
      </c>
      <c r="D28" s="1298">
        <v>35517</v>
      </c>
      <c r="E28" s="1298" t="s">
        <v>829</v>
      </c>
      <c r="F28" s="1299"/>
      <c r="G28" s="1300"/>
      <c r="H28" s="1301"/>
      <c r="I28" s="1302"/>
      <c r="J28" s="1303">
        <v>0</v>
      </c>
      <c r="K28" s="1302"/>
      <c r="L28" s="1303">
        <v>0</v>
      </c>
      <c r="M28" s="1302"/>
      <c r="N28" s="1303">
        <v>0</v>
      </c>
      <c r="O28" s="1302"/>
      <c r="P28" s="1303">
        <v>0</v>
      </c>
      <c r="Q28" s="1302"/>
      <c r="R28" s="1303">
        <v>0</v>
      </c>
      <c r="S28" s="1302"/>
      <c r="T28" s="1303">
        <v>0</v>
      </c>
      <c r="U28" s="1302"/>
      <c r="V28" s="1303">
        <v>0</v>
      </c>
      <c r="W28" s="1302"/>
      <c r="X28" s="1303">
        <v>0</v>
      </c>
      <c r="Y28" s="1302"/>
      <c r="Z28" s="1303">
        <v>0</v>
      </c>
      <c r="AA28" s="1302"/>
      <c r="AB28" s="1303">
        <v>0</v>
      </c>
      <c r="AC28" s="1302"/>
      <c r="AD28" s="1303">
        <v>1755.6</v>
      </c>
      <c r="AE28" s="1302"/>
      <c r="AF28" s="1303">
        <v>0</v>
      </c>
      <c r="AG28" s="1302"/>
      <c r="AH28" s="1303">
        <f t="shared" si="2"/>
        <v>1755.6</v>
      </c>
      <c r="AI28" s="1304">
        <f t="shared" si="3"/>
        <v>3.9981253355996486E-4</v>
      </c>
      <c r="AJ28" s="12"/>
    </row>
    <row r="29" spans="2:36" s="407" customFormat="1" outlineLevel="1">
      <c r="B29" s="24" t="s">
        <v>397</v>
      </c>
      <c r="D29" s="1298">
        <v>35566</v>
      </c>
      <c r="E29" s="1298" t="s">
        <v>835</v>
      </c>
      <c r="F29" s="1299"/>
      <c r="G29" s="1300"/>
      <c r="H29" s="1301"/>
      <c r="I29" s="1302"/>
      <c r="J29" s="1303">
        <v>0</v>
      </c>
      <c r="K29" s="1302"/>
      <c r="L29" s="1303">
        <v>0</v>
      </c>
      <c r="M29" s="1302"/>
      <c r="N29" s="1303">
        <v>0</v>
      </c>
      <c r="O29" s="1302"/>
      <c r="P29" s="1303">
        <v>0</v>
      </c>
      <c r="Q29" s="1302"/>
      <c r="R29" s="1303">
        <v>0</v>
      </c>
      <c r="S29" s="1302"/>
      <c r="T29" s="1303">
        <v>0</v>
      </c>
      <c r="U29" s="1302"/>
      <c r="V29" s="1303">
        <v>0</v>
      </c>
      <c r="W29" s="1302"/>
      <c r="X29" s="1303">
        <v>0</v>
      </c>
      <c r="Y29" s="1302"/>
      <c r="Z29" s="1303">
        <v>0</v>
      </c>
      <c r="AA29" s="1302"/>
      <c r="AB29" s="1303">
        <v>0</v>
      </c>
      <c r="AC29" s="1302"/>
      <c r="AD29" s="1303">
        <v>200884.26</v>
      </c>
      <c r="AE29" s="1302"/>
      <c r="AF29" s="1303">
        <v>68020.95</v>
      </c>
      <c r="AG29" s="1302"/>
      <c r="AH29" s="1303">
        <f t="shared" si="2"/>
        <v>268905.21000000002</v>
      </c>
      <c r="AI29" s="1304">
        <f t="shared" si="3"/>
        <v>6.1239276200486678E-2</v>
      </c>
      <c r="AJ29" s="12"/>
    </row>
    <row r="30" spans="2:36" s="8" customFormat="1" ht="5.0999999999999996" customHeight="1" outlineLevel="1">
      <c r="B30" s="16" t="s">
        <v>194</v>
      </c>
      <c r="D30" s="1299"/>
      <c r="E30" s="1299"/>
      <c r="F30" s="1299"/>
      <c r="G30" s="1299"/>
      <c r="H30" s="1301"/>
      <c r="I30" s="1301"/>
      <c r="J30" s="1311"/>
      <c r="K30" s="1309"/>
      <c r="L30" s="1311"/>
      <c r="M30" s="1309"/>
      <c r="N30" s="1311"/>
      <c r="O30" s="1309"/>
      <c r="P30" s="1311"/>
      <c r="Q30" s="1309"/>
      <c r="R30" s="1311"/>
      <c r="S30" s="1309"/>
      <c r="T30" s="1311"/>
      <c r="U30" s="1309"/>
      <c r="V30" s="1311"/>
      <c r="W30" s="1309"/>
      <c r="X30" s="1311"/>
      <c r="Y30" s="1309"/>
      <c r="Z30" s="1311"/>
      <c r="AA30" s="1309"/>
      <c r="AB30" s="1311"/>
      <c r="AC30" s="1309"/>
      <c r="AD30" s="1311"/>
      <c r="AE30" s="1309"/>
      <c r="AF30" s="1311"/>
      <c r="AG30" s="1309"/>
      <c r="AH30" s="1311"/>
      <c r="AI30" s="1306"/>
      <c r="AJ30" s="15"/>
    </row>
    <row r="31" spans="2:36" s="8" customFormat="1" ht="15">
      <c r="B31" s="2" t="s">
        <v>194</v>
      </c>
      <c r="D31" s="1301"/>
      <c r="E31" s="1301"/>
      <c r="F31" s="1299" t="s">
        <v>211</v>
      </c>
      <c r="G31" s="1301"/>
      <c r="H31" s="1301"/>
      <c r="I31" s="1301"/>
      <c r="J31" s="1308">
        <f>SUM(J25:J30)</f>
        <v>84971.27</v>
      </c>
      <c r="K31" s="1309"/>
      <c r="L31" s="1308">
        <f>SUM(L25:L30)</f>
        <v>82171.73</v>
      </c>
      <c r="M31" s="1309"/>
      <c r="N31" s="1308">
        <f>SUM(N25:N30)</f>
        <v>78223.990000000005</v>
      </c>
      <c r="O31" s="1309"/>
      <c r="P31" s="1308">
        <f>SUM(P25:P30)</f>
        <v>83267.11</v>
      </c>
      <c r="Q31" s="1309"/>
      <c r="R31" s="1308">
        <f>SUM(R25:R30)</f>
        <v>68857.34</v>
      </c>
      <c r="S31" s="1309"/>
      <c r="T31" s="1308">
        <f>SUM(T25:T30)</f>
        <v>72487.509999999995</v>
      </c>
      <c r="U31" s="1309"/>
      <c r="V31" s="1308">
        <f>SUM(V25:V30)</f>
        <v>56967.78</v>
      </c>
      <c r="W31" s="1309"/>
      <c r="X31" s="1308">
        <f>SUM(X25:X30)</f>
        <v>61873.34</v>
      </c>
      <c r="Y31" s="1309"/>
      <c r="Z31" s="1308">
        <f>SUM(Z25:Z30)</f>
        <v>74481.490000000005</v>
      </c>
      <c r="AA31" s="1309"/>
      <c r="AB31" s="1308">
        <f>SUM(AB25:AB30)</f>
        <v>59231.519999999997</v>
      </c>
      <c r="AC31" s="1309"/>
      <c r="AD31" s="1308">
        <f>SUM(AD25:AD30)</f>
        <v>68926.850000000006</v>
      </c>
      <c r="AE31" s="1309"/>
      <c r="AF31" s="1308">
        <f>SUM(AF25:AF30)</f>
        <v>68020.95</v>
      </c>
      <c r="AG31" s="1309"/>
      <c r="AH31" s="1308">
        <f>SUM(AH25:AH30)</f>
        <v>859480.87999999989</v>
      </c>
      <c r="AI31" s="1304">
        <f>IF(AH$48=0,0,AH31/AH$48)</f>
        <v>0.19573435189060612</v>
      </c>
      <c r="AJ31" s="15"/>
    </row>
    <row r="32" spans="2:36" s="8" customFormat="1" ht="15" outlineLevel="1">
      <c r="B32" s="2"/>
      <c r="D32" s="1299"/>
      <c r="E32" s="1299"/>
      <c r="F32" s="1299"/>
      <c r="G32" s="1299"/>
      <c r="H32" s="1301"/>
      <c r="I32" s="1301"/>
      <c r="J32" s="1310"/>
      <c r="K32" s="1309"/>
      <c r="L32" s="1310"/>
      <c r="M32" s="1309"/>
      <c r="N32" s="1310"/>
      <c r="O32" s="1309"/>
      <c r="P32" s="1310"/>
      <c r="Q32" s="1309"/>
      <c r="R32" s="1310"/>
      <c r="S32" s="1309"/>
      <c r="T32" s="1310"/>
      <c r="U32" s="1309"/>
      <c r="V32" s="1310"/>
      <c r="W32" s="1309"/>
      <c r="X32" s="1310"/>
      <c r="Y32" s="1309"/>
      <c r="Z32" s="1310"/>
      <c r="AA32" s="1309"/>
      <c r="AB32" s="1310"/>
      <c r="AC32" s="1309"/>
      <c r="AD32" s="1310"/>
      <c r="AE32" s="1309"/>
      <c r="AF32" s="1310"/>
      <c r="AG32" s="1309"/>
      <c r="AH32" s="1310"/>
      <c r="AI32" s="1306"/>
      <c r="AJ32" s="15"/>
    </row>
    <row r="33" spans="2:36" s="8" customFormat="1" ht="15" outlineLevel="1">
      <c r="B33" s="2" t="s">
        <v>194</v>
      </c>
      <c r="D33" s="1301"/>
      <c r="E33" s="1301"/>
      <c r="F33" s="1301"/>
      <c r="G33" s="1301"/>
      <c r="H33" s="1301"/>
      <c r="I33" s="1301"/>
      <c r="J33" s="1310"/>
      <c r="K33" s="1309"/>
      <c r="L33" s="1310"/>
      <c r="M33" s="1309"/>
      <c r="N33" s="1310"/>
      <c r="O33" s="1309"/>
      <c r="P33" s="1310"/>
      <c r="Q33" s="1309"/>
      <c r="R33" s="1310"/>
      <c r="S33" s="1309"/>
      <c r="T33" s="1310"/>
      <c r="U33" s="1309"/>
      <c r="V33" s="1310"/>
      <c r="W33" s="1309"/>
      <c r="X33" s="1310"/>
      <c r="Y33" s="1309"/>
      <c r="Z33" s="1310"/>
      <c r="AA33" s="1309"/>
      <c r="AB33" s="1310"/>
      <c r="AC33" s="1309"/>
      <c r="AD33" s="1310"/>
      <c r="AE33" s="1309"/>
      <c r="AF33" s="1310"/>
      <c r="AG33" s="1309"/>
      <c r="AH33" s="1310"/>
      <c r="AI33" s="1306"/>
      <c r="AJ33" s="15"/>
    </row>
    <row r="34" spans="2:36" s="407" customFormat="1" outlineLevel="1">
      <c r="B34" s="24" t="s">
        <v>401</v>
      </c>
      <c r="D34" s="1298"/>
      <c r="E34" s="1298"/>
      <c r="F34" s="1299"/>
      <c r="G34" s="1300"/>
      <c r="H34" s="1301"/>
      <c r="I34" s="1302"/>
      <c r="J34" s="1303"/>
      <c r="K34" s="1302"/>
      <c r="L34" s="1303"/>
      <c r="M34" s="1302"/>
      <c r="N34" s="1303"/>
      <c r="O34" s="1302"/>
      <c r="P34" s="1303"/>
      <c r="Q34" s="1302"/>
      <c r="R34" s="1303"/>
      <c r="S34" s="1302"/>
      <c r="T34" s="1303"/>
      <c r="U34" s="1302"/>
      <c r="V34" s="1303"/>
      <c r="W34" s="1302"/>
      <c r="X34" s="1303"/>
      <c r="Y34" s="1302"/>
      <c r="Z34" s="1303"/>
      <c r="AA34" s="1302"/>
      <c r="AB34" s="1303"/>
      <c r="AC34" s="1302"/>
      <c r="AD34" s="1303"/>
      <c r="AE34" s="1302"/>
      <c r="AF34" s="1303"/>
      <c r="AG34" s="1302"/>
      <c r="AH34" s="1303">
        <f>AF34+AD34+AB34+Z34+X34+V34+T34+R34+P34+N34+L34+J34</f>
        <v>0</v>
      </c>
      <c r="AI34" s="1304">
        <f>IF(AH$48=0,0,AH34/AH$48)</f>
        <v>0</v>
      </c>
      <c r="AJ34" s="12"/>
    </row>
    <row r="35" spans="2:36" s="8" customFormat="1" ht="3.75" customHeight="1" outlineLevel="1">
      <c r="B35" s="16" t="s">
        <v>194</v>
      </c>
      <c r="D35" s="1299"/>
      <c r="E35" s="1299"/>
      <c r="F35" s="1299"/>
      <c r="G35" s="1299"/>
      <c r="H35" s="1301"/>
      <c r="I35" s="1301"/>
      <c r="J35" s="1311"/>
      <c r="K35" s="1309"/>
      <c r="L35" s="1311"/>
      <c r="M35" s="1309"/>
      <c r="N35" s="1311"/>
      <c r="O35" s="1309"/>
      <c r="P35" s="1311"/>
      <c r="Q35" s="1309"/>
      <c r="R35" s="1311"/>
      <c r="S35" s="1309"/>
      <c r="T35" s="1311"/>
      <c r="U35" s="1309"/>
      <c r="V35" s="1311"/>
      <c r="W35" s="1309"/>
      <c r="X35" s="1311"/>
      <c r="Y35" s="1309"/>
      <c r="Z35" s="1311"/>
      <c r="AA35" s="1309"/>
      <c r="AB35" s="1311"/>
      <c r="AC35" s="1309"/>
      <c r="AD35" s="1311"/>
      <c r="AE35" s="1309"/>
      <c r="AF35" s="1311"/>
      <c r="AG35" s="1309"/>
      <c r="AH35" s="1311"/>
      <c r="AI35" s="1306"/>
      <c r="AJ35" s="15"/>
    </row>
    <row r="36" spans="2:36" s="8" customFormat="1" ht="15">
      <c r="B36" s="2" t="s">
        <v>194</v>
      </c>
      <c r="D36" s="1301"/>
      <c r="E36" s="1301"/>
      <c r="F36" s="1299" t="s">
        <v>212</v>
      </c>
      <c r="G36" s="1301"/>
      <c r="H36" s="1301"/>
      <c r="I36" s="1301"/>
      <c r="J36" s="1308">
        <f>SUM(J33:J35)</f>
        <v>0</v>
      </c>
      <c r="K36" s="1309"/>
      <c r="L36" s="1308">
        <f>SUM(L33:L35)</f>
        <v>0</v>
      </c>
      <c r="M36" s="1309"/>
      <c r="N36" s="1308">
        <f>SUM(N33:N35)</f>
        <v>0</v>
      </c>
      <c r="O36" s="1309"/>
      <c r="P36" s="1308">
        <f>SUM(P33:P35)</f>
        <v>0</v>
      </c>
      <c r="Q36" s="1309"/>
      <c r="R36" s="1308">
        <f>SUM(R33:R35)</f>
        <v>0</v>
      </c>
      <c r="S36" s="1309"/>
      <c r="T36" s="1308">
        <f>SUM(T33:T35)</f>
        <v>0</v>
      </c>
      <c r="U36" s="1309"/>
      <c r="V36" s="1308">
        <f>SUM(V33:V35)</f>
        <v>0</v>
      </c>
      <c r="W36" s="1309"/>
      <c r="X36" s="1308">
        <f>SUM(X33:X35)</f>
        <v>0</v>
      </c>
      <c r="Y36" s="1309"/>
      <c r="Z36" s="1308">
        <f>SUM(Z33:Z35)</f>
        <v>0</v>
      </c>
      <c r="AA36" s="1309"/>
      <c r="AB36" s="1308">
        <f>SUM(AB33:AB35)</f>
        <v>0</v>
      </c>
      <c r="AC36" s="1309"/>
      <c r="AD36" s="1308">
        <f>SUM(AD33:AD35)</f>
        <v>0</v>
      </c>
      <c r="AE36" s="1309"/>
      <c r="AF36" s="1308">
        <f>SUM(AF33:AF35)</f>
        <v>0</v>
      </c>
      <c r="AG36" s="1309"/>
      <c r="AH36" s="1308">
        <f>SUM(AH33:AH35)</f>
        <v>0</v>
      </c>
      <c r="AI36" s="1304">
        <f>IF(AH$48=0,0,AH36/AH$48)</f>
        <v>0</v>
      </c>
      <c r="AJ36" s="15"/>
    </row>
    <row r="37" spans="2:36" s="8" customFormat="1" ht="15" outlineLevel="1">
      <c r="B37" s="16" t="s">
        <v>194</v>
      </c>
      <c r="D37" s="1301"/>
      <c r="E37" s="1301"/>
      <c r="F37" s="1301"/>
      <c r="G37" s="1301"/>
      <c r="H37" s="1301"/>
      <c r="I37" s="1301"/>
      <c r="J37" s="1310"/>
      <c r="K37" s="1309"/>
      <c r="L37" s="1310"/>
      <c r="M37" s="1309"/>
      <c r="N37" s="1310"/>
      <c r="O37" s="1309"/>
      <c r="P37" s="1310"/>
      <c r="Q37" s="1309"/>
      <c r="R37" s="1310"/>
      <c r="S37" s="1309"/>
      <c r="T37" s="1310"/>
      <c r="U37" s="1309"/>
      <c r="V37" s="1310"/>
      <c r="W37" s="1309"/>
      <c r="X37" s="1310"/>
      <c r="Y37" s="1309"/>
      <c r="Z37" s="1310"/>
      <c r="AA37" s="1309"/>
      <c r="AB37" s="1310"/>
      <c r="AC37" s="1309"/>
      <c r="AD37" s="1310"/>
      <c r="AE37" s="1309"/>
      <c r="AF37" s="1310"/>
      <c r="AG37" s="1309"/>
      <c r="AH37" s="1310"/>
      <c r="AI37" s="1306"/>
      <c r="AJ37" s="15"/>
    </row>
    <row r="38" spans="2:36" s="407" customFormat="1" outlineLevel="1">
      <c r="B38" s="24" t="s">
        <v>402</v>
      </c>
      <c r="D38" s="1298"/>
      <c r="E38" s="1298"/>
      <c r="F38" s="1299"/>
      <c r="G38" s="1300"/>
      <c r="H38" s="1301"/>
      <c r="I38" s="1302"/>
      <c r="J38" s="1303"/>
      <c r="K38" s="1302"/>
      <c r="L38" s="1303"/>
      <c r="M38" s="1302"/>
      <c r="N38" s="1303"/>
      <c r="O38" s="1302"/>
      <c r="P38" s="1303"/>
      <c r="Q38" s="1302"/>
      <c r="R38" s="1303"/>
      <c r="S38" s="1302"/>
      <c r="T38" s="1303"/>
      <c r="U38" s="1302"/>
      <c r="V38" s="1303"/>
      <c r="W38" s="1302"/>
      <c r="X38" s="1303"/>
      <c r="Y38" s="1302"/>
      <c r="Z38" s="1303"/>
      <c r="AA38" s="1302"/>
      <c r="AB38" s="1303"/>
      <c r="AC38" s="1302"/>
      <c r="AD38" s="1303"/>
      <c r="AE38" s="1302"/>
      <c r="AF38" s="1303"/>
      <c r="AG38" s="1302"/>
      <c r="AH38" s="1303">
        <f>AF38+AD38+AB38+Z38+X38+V38+T38+R38+P38+N38+L38+J38</f>
        <v>0</v>
      </c>
      <c r="AI38" s="1304">
        <f>IF(AH$48=0,0,AH38/AH$48)</f>
        <v>0</v>
      </c>
      <c r="AJ38" s="12"/>
    </row>
    <row r="39" spans="2:36" s="8" customFormat="1" ht="3.75" customHeight="1" outlineLevel="1">
      <c r="B39" s="16" t="s">
        <v>194</v>
      </c>
      <c r="D39" s="1299"/>
      <c r="E39" s="1299"/>
      <c r="F39" s="1299"/>
      <c r="G39" s="1299"/>
      <c r="H39" s="1301"/>
      <c r="I39" s="1301"/>
      <c r="J39" s="1311"/>
      <c r="K39" s="1309"/>
      <c r="L39" s="1311"/>
      <c r="M39" s="1309"/>
      <c r="N39" s="1311"/>
      <c r="O39" s="1309"/>
      <c r="P39" s="1311"/>
      <c r="Q39" s="1309"/>
      <c r="R39" s="1311"/>
      <c r="S39" s="1309"/>
      <c r="T39" s="1311"/>
      <c r="U39" s="1309"/>
      <c r="V39" s="1311"/>
      <c r="W39" s="1309"/>
      <c r="X39" s="1311"/>
      <c r="Y39" s="1309"/>
      <c r="Z39" s="1311"/>
      <c r="AA39" s="1309"/>
      <c r="AB39" s="1311"/>
      <c r="AC39" s="1309"/>
      <c r="AD39" s="1311"/>
      <c r="AE39" s="1309"/>
      <c r="AF39" s="1311"/>
      <c r="AG39" s="1309"/>
      <c r="AH39" s="1311"/>
      <c r="AI39" s="1306"/>
      <c r="AJ39" s="15"/>
    </row>
    <row r="40" spans="2:36" s="8" customFormat="1" ht="15">
      <c r="B40" s="16"/>
      <c r="D40" s="1301"/>
      <c r="E40" s="1301"/>
      <c r="F40" s="1299" t="s">
        <v>213</v>
      </c>
      <c r="G40" s="1301"/>
      <c r="H40" s="1301"/>
      <c r="I40" s="1301"/>
      <c r="J40" s="1308">
        <f>SUM(J38:J39)</f>
        <v>0</v>
      </c>
      <c r="K40" s="1309"/>
      <c r="L40" s="1308">
        <f>SUM(L38:L39)</f>
        <v>0</v>
      </c>
      <c r="M40" s="1309"/>
      <c r="N40" s="1308">
        <f>SUM(N38:N39)</f>
        <v>0</v>
      </c>
      <c r="O40" s="1309"/>
      <c r="P40" s="1308">
        <f>SUM(P38:P39)</f>
        <v>0</v>
      </c>
      <c r="Q40" s="1309"/>
      <c r="R40" s="1308">
        <f>SUM(R38:R39)</f>
        <v>0</v>
      </c>
      <c r="S40" s="1309"/>
      <c r="T40" s="1308">
        <f>SUM(T38:T39)</f>
        <v>0</v>
      </c>
      <c r="U40" s="1309"/>
      <c r="V40" s="1308">
        <f>SUM(V38:V39)</f>
        <v>0</v>
      </c>
      <c r="W40" s="1309"/>
      <c r="X40" s="1308">
        <f>SUM(X38:X39)</f>
        <v>0</v>
      </c>
      <c r="Y40" s="1309"/>
      <c r="Z40" s="1308">
        <f>SUM(Z38:Z39)</f>
        <v>0</v>
      </c>
      <c r="AA40" s="1309"/>
      <c r="AB40" s="1308">
        <f>SUM(AB38:AB39)</f>
        <v>0</v>
      </c>
      <c r="AC40" s="1309"/>
      <c r="AD40" s="1308">
        <f>SUM(AD38:AD39)</f>
        <v>0</v>
      </c>
      <c r="AE40" s="1309"/>
      <c r="AF40" s="1308">
        <f>SUM(AF38:AF39)</f>
        <v>0</v>
      </c>
      <c r="AG40" s="1309"/>
      <c r="AH40" s="1308">
        <f>SUM(AH38:AH39)</f>
        <v>0</v>
      </c>
      <c r="AI40" s="1304">
        <f>IF(AH$48=0,0,AH40/AH$48)</f>
        <v>0</v>
      </c>
      <c r="AJ40" s="15"/>
    </row>
    <row r="41" spans="2:36" s="8" customFormat="1" ht="15" outlineLevel="1">
      <c r="B41" s="16"/>
      <c r="D41" s="1301"/>
      <c r="E41" s="1301"/>
      <c r="F41" s="1301"/>
      <c r="G41" s="1301"/>
      <c r="H41" s="1301"/>
      <c r="I41" s="1301"/>
      <c r="J41" s="1310"/>
      <c r="K41" s="1309"/>
      <c r="L41" s="1310"/>
      <c r="M41" s="1309"/>
      <c r="N41" s="1310"/>
      <c r="O41" s="1309"/>
      <c r="P41" s="1310"/>
      <c r="Q41" s="1309"/>
      <c r="R41" s="1310"/>
      <c r="S41" s="1309"/>
      <c r="T41" s="1310"/>
      <c r="U41" s="1309"/>
      <c r="V41" s="1310"/>
      <c r="W41" s="1309"/>
      <c r="X41" s="1310"/>
      <c r="Y41" s="1309"/>
      <c r="Z41" s="1310"/>
      <c r="AA41" s="1309"/>
      <c r="AB41" s="1310"/>
      <c r="AC41" s="1309"/>
      <c r="AD41" s="1310"/>
      <c r="AE41" s="1309"/>
      <c r="AF41" s="1310"/>
      <c r="AG41" s="1309"/>
      <c r="AH41" s="1310"/>
      <c r="AI41" s="1306"/>
      <c r="AJ41" s="15"/>
    </row>
    <row r="42" spans="2:36" s="8" customFormat="1" ht="15" outlineLevel="1">
      <c r="B42" s="16" t="s">
        <v>194</v>
      </c>
      <c r="D42" s="1301"/>
      <c r="E42" s="1301"/>
      <c r="F42" s="1301"/>
      <c r="G42" s="1301"/>
      <c r="H42" s="1301"/>
      <c r="I42" s="1301"/>
      <c r="J42" s="1310"/>
      <c r="K42" s="1309"/>
      <c r="L42" s="1310"/>
      <c r="M42" s="1309"/>
      <c r="N42" s="1310"/>
      <c r="O42" s="1309"/>
      <c r="P42" s="1310"/>
      <c r="Q42" s="1309"/>
      <c r="R42" s="1310"/>
      <c r="S42" s="1309"/>
      <c r="T42" s="1310"/>
      <c r="U42" s="1309"/>
      <c r="V42" s="1310"/>
      <c r="W42" s="1309"/>
      <c r="X42" s="1310"/>
      <c r="Y42" s="1309"/>
      <c r="Z42" s="1310"/>
      <c r="AA42" s="1309"/>
      <c r="AB42" s="1310"/>
      <c r="AC42" s="1309"/>
      <c r="AD42" s="1310"/>
      <c r="AE42" s="1309"/>
      <c r="AF42" s="1310"/>
      <c r="AG42" s="1309"/>
      <c r="AH42" s="1310"/>
      <c r="AI42" s="1306"/>
      <c r="AJ42" s="15"/>
    </row>
    <row r="43" spans="2:36" s="407" customFormat="1" outlineLevel="1">
      <c r="B43" s="24" t="s">
        <v>403</v>
      </c>
      <c r="D43" s="1298">
        <v>38000</v>
      </c>
      <c r="E43" s="1298" t="s">
        <v>214</v>
      </c>
      <c r="F43" s="1299"/>
      <c r="G43" s="1300"/>
      <c r="H43" s="1301"/>
      <c r="I43" s="1302"/>
      <c r="J43" s="1303">
        <v>0</v>
      </c>
      <c r="K43" s="1302"/>
      <c r="L43" s="1303">
        <v>344.67</v>
      </c>
      <c r="M43" s="1302"/>
      <c r="N43" s="1303">
        <v>513.79</v>
      </c>
      <c r="O43" s="1302"/>
      <c r="P43" s="1303">
        <v>529.94000000000005</v>
      </c>
      <c r="Q43" s="1302"/>
      <c r="R43" s="1303">
        <v>306.56</v>
      </c>
      <c r="S43" s="1302"/>
      <c r="T43" s="1303">
        <v>812.77</v>
      </c>
      <c r="U43" s="1302"/>
      <c r="V43" s="1303">
        <v>859.06</v>
      </c>
      <c r="W43" s="1302"/>
      <c r="X43" s="1303">
        <v>680.23</v>
      </c>
      <c r="Y43" s="1302"/>
      <c r="Z43" s="1303">
        <v>780.75</v>
      </c>
      <c r="AA43" s="1302"/>
      <c r="AB43" s="1303">
        <v>626.35</v>
      </c>
      <c r="AC43" s="1302"/>
      <c r="AD43" s="1303">
        <v>766.34</v>
      </c>
      <c r="AE43" s="1302"/>
      <c r="AF43" s="1303">
        <v>482.69</v>
      </c>
      <c r="AG43" s="1302"/>
      <c r="AH43" s="1303">
        <f t="shared" ref="AH43:AH44" si="4">AF43+AD43+AB43+Z43+X43+V43+T43+R43+P43+N43+L43+J43</f>
        <v>6703.1500000000005</v>
      </c>
      <c r="AI43" s="1304">
        <f t="shared" ref="AI43:AI44" si="5">IF(AH$48=0,0,AH43/AH$48)</f>
        <v>1.5265455595423097E-3</v>
      </c>
      <c r="AJ43" s="12"/>
    </row>
    <row r="44" spans="2:36" s="407" customFormat="1" outlineLevel="1">
      <c r="B44" s="24" t="s">
        <v>397</v>
      </c>
      <c r="D44" s="1298">
        <v>38001</v>
      </c>
      <c r="E44" s="1298" t="s">
        <v>435</v>
      </c>
      <c r="F44" s="1299"/>
      <c r="G44" s="1300"/>
      <c r="H44" s="1301"/>
      <c r="I44" s="1302"/>
      <c r="J44" s="1303">
        <v>111.14</v>
      </c>
      <c r="K44" s="1302"/>
      <c r="L44" s="1303">
        <v>119.93</v>
      </c>
      <c r="M44" s="1302"/>
      <c r="N44" s="1303">
        <v>61.81</v>
      </c>
      <c r="O44" s="1302"/>
      <c r="P44" s="1303">
        <v>70.459999999999994</v>
      </c>
      <c r="Q44" s="1302"/>
      <c r="R44" s="1303">
        <v>142.57</v>
      </c>
      <c r="S44" s="1302"/>
      <c r="T44" s="1303">
        <v>153.04</v>
      </c>
      <c r="U44" s="1302"/>
      <c r="V44" s="1303">
        <v>169.82</v>
      </c>
      <c r="W44" s="1302"/>
      <c r="X44" s="1303">
        <v>203.35</v>
      </c>
      <c r="Y44" s="1302"/>
      <c r="Z44" s="1303">
        <v>156.22999999999999</v>
      </c>
      <c r="AA44" s="1302"/>
      <c r="AB44" s="1303">
        <v>282.69</v>
      </c>
      <c r="AC44" s="1302"/>
      <c r="AD44" s="1303">
        <v>199.5</v>
      </c>
      <c r="AE44" s="1302"/>
      <c r="AF44" s="1303">
        <v>176.06</v>
      </c>
      <c r="AG44" s="1302"/>
      <c r="AH44" s="1303">
        <f t="shared" si="4"/>
        <v>1846.6000000000001</v>
      </c>
      <c r="AI44" s="1304">
        <f t="shared" si="5"/>
        <v>4.2053646871259467E-4</v>
      </c>
      <c r="AJ44" s="12"/>
    </row>
    <row r="45" spans="2:36" s="8" customFormat="1" ht="4.5" customHeight="1" outlineLevel="1">
      <c r="B45" s="16" t="s">
        <v>194</v>
      </c>
      <c r="D45" s="1312"/>
      <c r="E45" s="1301"/>
      <c r="F45" s="1301"/>
      <c r="G45" s="1301"/>
      <c r="H45" s="1301"/>
      <c r="I45" s="1301"/>
      <c r="J45" s="1311"/>
      <c r="K45" s="1309"/>
      <c r="L45" s="1311"/>
      <c r="M45" s="1309"/>
      <c r="N45" s="1311"/>
      <c r="O45" s="1309"/>
      <c r="P45" s="1311"/>
      <c r="Q45" s="1309"/>
      <c r="R45" s="1311"/>
      <c r="S45" s="1309"/>
      <c r="T45" s="1311"/>
      <c r="U45" s="1309"/>
      <c r="V45" s="1311"/>
      <c r="W45" s="1309"/>
      <c r="X45" s="1311"/>
      <c r="Y45" s="1309"/>
      <c r="Z45" s="1311"/>
      <c r="AA45" s="1309"/>
      <c r="AB45" s="1311"/>
      <c r="AC45" s="1309"/>
      <c r="AD45" s="1311"/>
      <c r="AE45" s="1309"/>
      <c r="AF45" s="1311"/>
      <c r="AG45" s="1309"/>
      <c r="AH45" s="1311"/>
      <c r="AI45" s="1306"/>
      <c r="AJ45" s="15"/>
    </row>
    <row r="46" spans="2:36" s="8" customFormat="1" ht="15">
      <c r="B46" s="16" t="s">
        <v>194</v>
      </c>
      <c r="D46" s="1301"/>
      <c r="E46" s="1301"/>
      <c r="F46" s="1301" t="s">
        <v>214</v>
      </c>
      <c r="G46" s="1301"/>
      <c r="H46" s="1301"/>
      <c r="I46" s="1301"/>
      <c r="J46" s="1308">
        <f>SUM(J42:J45)</f>
        <v>111.14</v>
      </c>
      <c r="K46" s="1309"/>
      <c r="L46" s="1308">
        <f>SUM(L42:L45)</f>
        <v>464.6</v>
      </c>
      <c r="M46" s="1309"/>
      <c r="N46" s="1308">
        <f>SUM(N42:N45)</f>
        <v>575.59999999999991</v>
      </c>
      <c r="O46" s="1309"/>
      <c r="P46" s="1308">
        <f>SUM(P42:P45)</f>
        <v>600.40000000000009</v>
      </c>
      <c r="Q46" s="1309"/>
      <c r="R46" s="1308">
        <f>SUM(R42:R45)</f>
        <v>449.13</v>
      </c>
      <c r="S46" s="1309"/>
      <c r="T46" s="1308">
        <f>SUM(T42:T45)</f>
        <v>965.81</v>
      </c>
      <c r="U46" s="1309"/>
      <c r="V46" s="1308">
        <f>SUM(V42:V45)</f>
        <v>1028.8799999999999</v>
      </c>
      <c r="W46" s="1309"/>
      <c r="X46" s="1308">
        <f>SUM(X42:X45)</f>
        <v>883.58</v>
      </c>
      <c r="Y46" s="1309"/>
      <c r="Z46" s="1308">
        <f>SUM(Z42:Z45)</f>
        <v>936.98</v>
      </c>
      <c r="AA46" s="1309"/>
      <c r="AB46" s="1308">
        <f>SUM(AB42:AB45)</f>
        <v>909.04</v>
      </c>
      <c r="AC46" s="1309"/>
      <c r="AD46" s="1308">
        <f>SUM(AD42:AD45)</f>
        <v>965.84</v>
      </c>
      <c r="AE46" s="1309"/>
      <c r="AF46" s="1308">
        <f>SUM(AF42:AF45)</f>
        <v>658.75</v>
      </c>
      <c r="AG46" s="1309"/>
      <c r="AH46" s="1308">
        <f>SUM(AH42:AH45)</f>
        <v>8549.75</v>
      </c>
      <c r="AI46" s="1304">
        <f>IF(AH$48=0,0,AH46/AH$48)</f>
        <v>1.9470820282549042E-3</v>
      </c>
      <c r="AJ46" s="15"/>
    </row>
    <row r="47" spans="2:36" s="8" customFormat="1" ht="7.5" customHeight="1">
      <c r="B47" s="16" t="s">
        <v>194</v>
      </c>
      <c r="D47" s="1301"/>
      <c r="E47" s="1301"/>
      <c r="F47" s="1301"/>
      <c r="G47" s="1301"/>
      <c r="H47" s="1301"/>
      <c r="I47" s="1301"/>
      <c r="J47" s="1310"/>
      <c r="K47" s="1309"/>
      <c r="L47" s="1310"/>
      <c r="M47" s="1309"/>
      <c r="N47" s="1310"/>
      <c r="O47" s="1309"/>
      <c r="P47" s="1310"/>
      <c r="Q47" s="1309"/>
      <c r="R47" s="1310"/>
      <c r="S47" s="1309"/>
      <c r="T47" s="1310"/>
      <c r="U47" s="1309"/>
      <c r="V47" s="1310"/>
      <c r="W47" s="1309"/>
      <c r="X47" s="1310"/>
      <c r="Y47" s="1309"/>
      <c r="Z47" s="1310"/>
      <c r="AA47" s="1309"/>
      <c r="AB47" s="1310"/>
      <c r="AC47" s="1309"/>
      <c r="AD47" s="1310"/>
      <c r="AE47" s="1309"/>
      <c r="AF47" s="1310"/>
      <c r="AG47" s="1309"/>
      <c r="AH47" s="1310"/>
      <c r="AI47" s="1306"/>
      <c r="AJ47" s="15"/>
    </row>
    <row r="48" spans="2:36" s="8" customFormat="1" ht="15">
      <c r="B48" s="16" t="s">
        <v>194</v>
      </c>
      <c r="D48" s="1301"/>
      <c r="E48" s="1313" t="s">
        <v>174</v>
      </c>
      <c r="F48" s="1301"/>
      <c r="G48" s="1301"/>
      <c r="H48" s="1301"/>
      <c r="I48" s="1301"/>
      <c r="J48" s="1314">
        <f>+J23+J31+J36+J46+J19+J40</f>
        <v>390210.92000000004</v>
      </c>
      <c r="K48" s="1309"/>
      <c r="L48" s="1314">
        <f>+L23+L31+L36+L46+L19+L40</f>
        <v>372704.21</v>
      </c>
      <c r="M48" s="1309"/>
      <c r="N48" s="1314">
        <f>+N23+N31+N36+N46+N19+N40</f>
        <v>361078.56000000006</v>
      </c>
      <c r="O48" s="1309"/>
      <c r="P48" s="1314">
        <f>+P23+P31+P36+P46+P19+P40</f>
        <v>414073.45</v>
      </c>
      <c r="Q48" s="1309"/>
      <c r="R48" s="1314">
        <f>+R23+R31+R36+R46+R19+R40</f>
        <v>343822.99</v>
      </c>
      <c r="S48" s="1309"/>
      <c r="T48" s="1314">
        <f>+T23+T31+T36+T46+T19+T40</f>
        <v>378916.33</v>
      </c>
      <c r="U48" s="1309"/>
      <c r="V48" s="1314">
        <f>+V23+V31+V36+V46+V19+V40</f>
        <v>307175.81</v>
      </c>
      <c r="W48" s="1309"/>
      <c r="X48" s="1314">
        <f>+X23+X31+X36+X46+X19+X40</f>
        <v>324831.76</v>
      </c>
      <c r="Y48" s="1309"/>
      <c r="Z48" s="1314">
        <f>+Z23+Z31+Z36+Z46+Z19+Z40</f>
        <v>396286.33999999997</v>
      </c>
      <c r="AA48" s="1309"/>
      <c r="AB48" s="1314">
        <f>+AB23+AB31+AB36+AB46+AB19+AB40</f>
        <v>317502.82999999996</v>
      </c>
      <c r="AC48" s="1309"/>
      <c r="AD48" s="1314">
        <f>+AD23+AD31+AD36+AD46+AD19+AD40</f>
        <v>386807.79000000004</v>
      </c>
      <c r="AE48" s="1309"/>
      <c r="AF48" s="1314">
        <f>+AF23+AF31+AF36+AF46+AF19+AF40</f>
        <v>397646.95</v>
      </c>
      <c r="AG48" s="1309"/>
      <c r="AH48" s="1314">
        <f>+AH23+AH31+AH36+AH46+AH19+AH40</f>
        <v>4391057.9399999995</v>
      </c>
      <c r="AI48" s="1304">
        <f>IF(AH$48=0,0,AH48/AH$48)</f>
        <v>1</v>
      </c>
      <c r="AJ48" s="15"/>
    </row>
    <row r="49" spans="2:36" s="8" customFormat="1" ht="7.5" customHeight="1">
      <c r="B49" s="16" t="s">
        <v>194</v>
      </c>
      <c r="D49" s="1301"/>
      <c r="E49" s="1301"/>
      <c r="F49" s="1301"/>
      <c r="G49" s="1301"/>
      <c r="H49" s="1301"/>
      <c r="I49" s="1301"/>
      <c r="J49" s="1310"/>
      <c r="K49" s="1309"/>
      <c r="L49" s="1310"/>
      <c r="M49" s="1309"/>
      <c r="N49" s="1310"/>
      <c r="O49" s="1309"/>
      <c r="P49" s="1310"/>
      <c r="Q49" s="1309"/>
      <c r="R49" s="1310"/>
      <c r="S49" s="1309"/>
      <c r="T49" s="1310"/>
      <c r="U49" s="1309"/>
      <c r="V49" s="1310"/>
      <c r="W49" s="1309"/>
      <c r="X49" s="1310"/>
      <c r="Y49" s="1309"/>
      <c r="Z49" s="1310"/>
      <c r="AA49" s="1309"/>
      <c r="AB49" s="1310"/>
      <c r="AC49" s="1309"/>
      <c r="AD49" s="1310"/>
      <c r="AE49" s="1309"/>
      <c r="AF49" s="1310"/>
      <c r="AG49" s="1309"/>
      <c r="AH49" s="1310"/>
      <c r="AI49" s="1306"/>
      <c r="AJ49" s="15"/>
    </row>
    <row r="50" spans="2:36" s="8" customFormat="1" ht="15" outlineLevel="1">
      <c r="B50" s="16"/>
      <c r="D50" s="1301"/>
      <c r="E50" s="1301"/>
      <c r="F50" s="1301"/>
      <c r="G50" s="1301"/>
      <c r="H50" s="1301"/>
      <c r="I50" s="1301"/>
      <c r="J50" s="1310"/>
      <c r="K50" s="1309"/>
      <c r="L50" s="1310"/>
      <c r="M50" s="1309"/>
      <c r="N50" s="1310"/>
      <c r="O50" s="1309"/>
      <c r="P50" s="1310"/>
      <c r="Q50" s="1309"/>
      <c r="R50" s="1310"/>
      <c r="S50" s="1309"/>
      <c r="T50" s="1310"/>
      <c r="U50" s="1309"/>
      <c r="V50" s="1310"/>
      <c r="W50" s="1309"/>
      <c r="X50" s="1310"/>
      <c r="Y50" s="1309"/>
      <c r="Z50" s="1310"/>
      <c r="AA50" s="1309"/>
      <c r="AB50" s="1310"/>
      <c r="AC50" s="1309"/>
      <c r="AD50" s="1310"/>
      <c r="AE50" s="1309"/>
      <c r="AF50" s="1310"/>
      <c r="AG50" s="1309"/>
      <c r="AH50" s="1310"/>
      <c r="AI50" s="1306"/>
      <c r="AJ50" s="15"/>
    </row>
    <row r="51" spans="2:36" s="407" customFormat="1" outlineLevel="1">
      <c r="B51" s="24" t="s">
        <v>404</v>
      </c>
      <c r="D51" s="1298"/>
      <c r="E51" s="1298"/>
      <c r="F51" s="1299"/>
      <c r="G51" s="1300"/>
      <c r="H51" s="1301"/>
      <c r="I51" s="1302"/>
      <c r="J51" s="1303"/>
      <c r="K51" s="1302"/>
      <c r="L51" s="1303"/>
      <c r="M51" s="1302"/>
      <c r="N51" s="1303"/>
      <c r="O51" s="1302"/>
      <c r="P51" s="1303"/>
      <c r="Q51" s="1302"/>
      <c r="R51" s="1303"/>
      <c r="S51" s="1302"/>
      <c r="T51" s="1303"/>
      <c r="U51" s="1302"/>
      <c r="V51" s="1303"/>
      <c r="W51" s="1302"/>
      <c r="X51" s="1303"/>
      <c r="Y51" s="1302"/>
      <c r="Z51" s="1303"/>
      <c r="AA51" s="1302"/>
      <c r="AB51" s="1303"/>
      <c r="AC51" s="1302"/>
      <c r="AD51" s="1303"/>
      <c r="AE51" s="1302"/>
      <c r="AF51" s="1303"/>
      <c r="AG51" s="1302"/>
      <c r="AH51" s="1303">
        <f>AF51+AD51+AB51+Z51+X51+V51+T51+R51+P51+N51+L51+J51</f>
        <v>0</v>
      </c>
      <c r="AI51" s="1304">
        <f>IF(AH$48=0,0,AH51/AH$48)</f>
        <v>0</v>
      </c>
      <c r="AJ51" s="12"/>
    </row>
    <row r="52" spans="2:36" s="8" customFormat="1" ht="5.0999999999999996" customHeight="1" outlineLevel="1">
      <c r="B52" s="16" t="s">
        <v>194</v>
      </c>
      <c r="D52" s="1299"/>
      <c r="E52" s="1299"/>
      <c r="F52" s="1299"/>
      <c r="G52" s="1299"/>
      <c r="H52" s="1301"/>
      <c r="I52" s="1301"/>
      <c r="J52" s="1311"/>
      <c r="K52" s="1309"/>
      <c r="L52" s="1311"/>
      <c r="M52" s="1309"/>
      <c r="N52" s="1311"/>
      <c r="O52" s="1309"/>
      <c r="P52" s="1311"/>
      <c r="Q52" s="1309"/>
      <c r="R52" s="1311"/>
      <c r="S52" s="1309"/>
      <c r="T52" s="1311"/>
      <c r="U52" s="1309"/>
      <c r="V52" s="1311"/>
      <c r="W52" s="1309"/>
      <c r="X52" s="1311"/>
      <c r="Y52" s="1309"/>
      <c r="Z52" s="1311"/>
      <c r="AA52" s="1309"/>
      <c r="AB52" s="1311"/>
      <c r="AC52" s="1309"/>
      <c r="AD52" s="1311"/>
      <c r="AE52" s="1309"/>
      <c r="AF52" s="1311"/>
      <c r="AG52" s="1309"/>
      <c r="AH52" s="1311"/>
      <c r="AI52" s="1306"/>
      <c r="AJ52" s="15"/>
    </row>
    <row r="53" spans="2:36" s="8" customFormat="1" ht="15">
      <c r="B53" s="16" t="s">
        <v>194</v>
      </c>
      <c r="D53" s="1301"/>
      <c r="E53" s="1301"/>
      <c r="F53" s="1299" t="s">
        <v>216</v>
      </c>
      <c r="G53" s="1301"/>
      <c r="H53" s="1301"/>
      <c r="I53" s="1301"/>
      <c r="J53" s="1308">
        <f>SUM(J50:J52)</f>
        <v>0</v>
      </c>
      <c r="K53" s="1309"/>
      <c r="L53" s="1308">
        <f>SUM(L50:L52)</f>
        <v>0</v>
      </c>
      <c r="M53" s="1309"/>
      <c r="N53" s="1308">
        <f>SUM(N50:N52)</f>
        <v>0</v>
      </c>
      <c r="O53" s="1309"/>
      <c r="P53" s="1308">
        <f>SUM(P50:P52)</f>
        <v>0</v>
      </c>
      <c r="Q53" s="1309"/>
      <c r="R53" s="1308">
        <f>SUM(R50:R52)</f>
        <v>0</v>
      </c>
      <c r="S53" s="1309"/>
      <c r="T53" s="1308">
        <f>SUM(T50:T52)</f>
        <v>0</v>
      </c>
      <c r="U53" s="1309"/>
      <c r="V53" s="1308">
        <f>SUM(V50:V52)</f>
        <v>0</v>
      </c>
      <c r="W53" s="1309"/>
      <c r="X53" s="1308">
        <f>SUM(X50:X52)</f>
        <v>0</v>
      </c>
      <c r="Y53" s="1309"/>
      <c r="Z53" s="1308">
        <f>SUM(Z50:Z52)</f>
        <v>0</v>
      </c>
      <c r="AA53" s="1309"/>
      <c r="AB53" s="1308">
        <f>SUM(AB50:AB52)</f>
        <v>0</v>
      </c>
      <c r="AC53" s="1309"/>
      <c r="AD53" s="1308">
        <f>SUM(AD50:AD52)</f>
        <v>0</v>
      </c>
      <c r="AE53" s="1309"/>
      <c r="AF53" s="1308">
        <f>SUM(AF50:AF52)</f>
        <v>0</v>
      </c>
      <c r="AG53" s="1309"/>
      <c r="AH53" s="1308">
        <f>SUM(AH50:AH52)</f>
        <v>0</v>
      </c>
      <c r="AI53" s="1304">
        <f>IF(AH$48=0,0,AH53/AH$48)</f>
        <v>0</v>
      </c>
      <c r="AJ53" s="15"/>
    </row>
    <row r="54" spans="2:36" s="8" customFormat="1" ht="15" outlineLevel="1">
      <c r="B54" s="16"/>
      <c r="D54" s="1301"/>
      <c r="E54" s="1301"/>
      <c r="F54" s="1301"/>
      <c r="G54" s="1301"/>
      <c r="H54" s="1301"/>
      <c r="I54" s="1301"/>
      <c r="J54" s="1310"/>
      <c r="K54" s="1309"/>
      <c r="L54" s="1310"/>
      <c r="M54" s="1309"/>
      <c r="N54" s="1310"/>
      <c r="O54" s="1309"/>
      <c r="P54" s="1310"/>
      <c r="Q54" s="1309"/>
      <c r="R54" s="1310"/>
      <c r="S54" s="1309"/>
      <c r="T54" s="1310"/>
      <c r="U54" s="1309"/>
      <c r="V54" s="1310"/>
      <c r="W54" s="1309"/>
      <c r="X54" s="1310"/>
      <c r="Y54" s="1309"/>
      <c r="Z54" s="1310"/>
      <c r="AA54" s="1309"/>
      <c r="AB54" s="1310"/>
      <c r="AC54" s="1309"/>
      <c r="AD54" s="1310"/>
      <c r="AE54" s="1309"/>
      <c r="AF54" s="1310"/>
      <c r="AG54" s="1309"/>
      <c r="AH54" s="1310"/>
      <c r="AI54" s="1306"/>
      <c r="AJ54" s="15"/>
    </row>
    <row r="55" spans="2:36" s="407" customFormat="1" outlineLevel="1">
      <c r="B55" s="24" t="s">
        <v>405</v>
      </c>
      <c r="D55" s="1298">
        <v>40869</v>
      </c>
      <c r="E55" s="1298" t="s">
        <v>217</v>
      </c>
      <c r="F55" s="1299"/>
      <c r="G55" s="1300"/>
      <c r="H55" s="1301"/>
      <c r="I55" s="1302"/>
      <c r="J55" s="1303">
        <v>14403.6</v>
      </c>
      <c r="K55" s="1302"/>
      <c r="L55" s="1303">
        <v>13801.5</v>
      </c>
      <c r="M55" s="1302"/>
      <c r="N55" s="1303">
        <v>13274.1</v>
      </c>
      <c r="O55" s="1302"/>
      <c r="P55" s="1303">
        <v>14758.2</v>
      </c>
      <c r="Q55" s="1302"/>
      <c r="R55" s="1303">
        <v>11911.2</v>
      </c>
      <c r="S55" s="1302"/>
      <c r="T55" s="1303">
        <v>13113.3</v>
      </c>
      <c r="U55" s="1302"/>
      <c r="V55" s="1303">
        <v>10953.6</v>
      </c>
      <c r="W55" s="1302"/>
      <c r="X55" s="1303">
        <v>11692.8</v>
      </c>
      <c r="Y55" s="1302"/>
      <c r="Z55" s="1303">
        <v>14006.7</v>
      </c>
      <c r="AA55" s="1302"/>
      <c r="AB55" s="1303">
        <v>11756.7</v>
      </c>
      <c r="AC55" s="1302"/>
      <c r="AD55" s="1303">
        <v>14306.1</v>
      </c>
      <c r="AE55" s="1302"/>
      <c r="AF55" s="1303">
        <v>15835.5</v>
      </c>
      <c r="AG55" s="1302"/>
      <c r="AH55" s="1303">
        <f>AF55+AD55+AB55+Z55+X55+V55+T55+R55+P55+N55+L55+J55</f>
        <v>159813.30000000002</v>
      </c>
      <c r="AI55" s="1304">
        <f>IF(AH$48=0,0,AH55/AH$48)</f>
        <v>3.6395169953052371E-2</v>
      </c>
      <c r="AJ55" s="12"/>
    </row>
    <row r="56" spans="2:36" s="8" customFormat="1" ht="4.5" customHeight="1" outlineLevel="1">
      <c r="B56" s="8" t="s">
        <v>194</v>
      </c>
      <c r="D56" s="1312"/>
      <c r="E56" s="1301"/>
      <c r="F56" s="1301"/>
      <c r="G56" s="1301"/>
      <c r="H56" s="1301"/>
      <c r="I56" s="1301"/>
      <c r="J56" s="1311"/>
      <c r="K56" s="1309"/>
      <c r="L56" s="1311"/>
      <c r="M56" s="1309"/>
      <c r="N56" s="1311"/>
      <c r="O56" s="1309"/>
      <c r="P56" s="1311"/>
      <c r="Q56" s="1309"/>
      <c r="R56" s="1311"/>
      <c r="S56" s="1309"/>
      <c r="T56" s="1311"/>
      <c r="U56" s="1309"/>
      <c r="V56" s="1311"/>
      <c r="W56" s="1309"/>
      <c r="X56" s="1311"/>
      <c r="Y56" s="1309"/>
      <c r="Z56" s="1311"/>
      <c r="AA56" s="1309"/>
      <c r="AB56" s="1311"/>
      <c r="AC56" s="1309"/>
      <c r="AD56" s="1311"/>
      <c r="AE56" s="1309"/>
      <c r="AF56" s="1311"/>
      <c r="AG56" s="1309"/>
      <c r="AH56" s="1311"/>
      <c r="AI56" s="1306"/>
      <c r="AJ56" s="15"/>
    </row>
    <row r="57" spans="2:36" s="8" customFormat="1" ht="15">
      <c r="B57" s="16" t="s">
        <v>194</v>
      </c>
      <c r="D57" s="1301"/>
      <c r="E57" s="1301"/>
      <c r="F57" s="1301" t="s">
        <v>218</v>
      </c>
      <c r="G57" s="1301"/>
      <c r="H57" s="1301"/>
      <c r="I57" s="1301"/>
      <c r="J57" s="1308">
        <f>SUM(J55:J56)</f>
        <v>14403.6</v>
      </c>
      <c r="K57" s="1309"/>
      <c r="L57" s="1308">
        <f>SUM(L55:L56)</f>
        <v>13801.5</v>
      </c>
      <c r="M57" s="1309"/>
      <c r="N57" s="1308">
        <f>SUM(N55:N56)</f>
        <v>13274.1</v>
      </c>
      <c r="O57" s="1309"/>
      <c r="P57" s="1308">
        <f>SUM(P55:P56)</f>
        <v>14758.2</v>
      </c>
      <c r="Q57" s="1309"/>
      <c r="R57" s="1308">
        <f>SUM(R55:R56)</f>
        <v>11911.2</v>
      </c>
      <c r="S57" s="1309"/>
      <c r="T57" s="1308">
        <f>SUM(T55:T56)</f>
        <v>13113.3</v>
      </c>
      <c r="U57" s="1309"/>
      <c r="V57" s="1308">
        <f>SUM(V55:V56)</f>
        <v>10953.6</v>
      </c>
      <c r="W57" s="1309"/>
      <c r="X57" s="1308">
        <f>SUM(X55:X56)</f>
        <v>11692.8</v>
      </c>
      <c r="Y57" s="1309"/>
      <c r="Z57" s="1308">
        <f>SUM(Z55:Z56)</f>
        <v>14006.7</v>
      </c>
      <c r="AA57" s="1309"/>
      <c r="AB57" s="1308">
        <f>SUM(AB55:AB56)</f>
        <v>11756.7</v>
      </c>
      <c r="AC57" s="1309"/>
      <c r="AD57" s="1308">
        <f>SUM(AD55:AD56)</f>
        <v>14306.1</v>
      </c>
      <c r="AE57" s="1309"/>
      <c r="AF57" s="1308">
        <f>SUM(AF55:AF56)</f>
        <v>15835.5</v>
      </c>
      <c r="AG57" s="1309"/>
      <c r="AH57" s="1308">
        <f>SUM(AH55:AH56)</f>
        <v>159813.30000000002</v>
      </c>
      <c r="AI57" s="1304">
        <f>IF(AH$48=0,0,AH57/AH$48)</f>
        <v>3.6395169953052371E-2</v>
      </c>
      <c r="AJ57" s="15"/>
    </row>
    <row r="58" spans="2:36" s="8" customFormat="1" ht="15" outlineLevel="1">
      <c r="B58" s="16"/>
      <c r="D58" s="1301"/>
      <c r="E58" s="1301"/>
      <c r="F58" s="1301"/>
      <c r="G58" s="1301"/>
      <c r="H58" s="1301"/>
      <c r="I58" s="1301"/>
      <c r="J58" s="1310"/>
      <c r="K58" s="1309"/>
      <c r="L58" s="1310"/>
      <c r="M58" s="1309"/>
      <c r="N58" s="1310"/>
      <c r="O58" s="1309"/>
      <c r="P58" s="1310"/>
      <c r="Q58" s="1309"/>
      <c r="R58" s="1310"/>
      <c r="S58" s="1309"/>
      <c r="T58" s="1310"/>
      <c r="U58" s="1309"/>
      <c r="V58" s="1310"/>
      <c r="W58" s="1309"/>
      <c r="X58" s="1310"/>
      <c r="Y58" s="1309"/>
      <c r="Z58" s="1310"/>
      <c r="AA58" s="1309"/>
      <c r="AB58" s="1310"/>
      <c r="AC58" s="1309"/>
      <c r="AD58" s="1310"/>
      <c r="AE58" s="1309"/>
      <c r="AF58" s="1310"/>
      <c r="AG58" s="1309"/>
      <c r="AH58" s="1310"/>
      <c r="AI58" s="1306"/>
      <c r="AJ58" s="15"/>
    </row>
    <row r="59" spans="2:36" s="8" customFormat="1" ht="15" outlineLevel="1">
      <c r="B59" s="16" t="s">
        <v>194</v>
      </c>
      <c r="D59" s="1301"/>
      <c r="E59" s="1301"/>
      <c r="F59" s="1301"/>
      <c r="G59" s="1301"/>
      <c r="H59" s="1301"/>
      <c r="I59" s="1301"/>
      <c r="J59" s="1310"/>
      <c r="K59" s="1309"/>
      <c r="L59" s="1310"/>
      <c r="M59" s="1309"/>
      <c r="N59" s="1310"/>
      <c r="O59" s="1309"/>
      <c r="P59" s="1310"/>
      <c r="Q59" s="1309"/>
      <c r="R59" s="1310"/>
      <c r="S59" s="1309"/>
      <c r="T59" s="1310"/>
      <c r="U59" s="1309"/>
      <c r="V59" s="1310"/>
      <c r="W59" s="1309"/>
      <c r="X59" s="1310"/>
      <c r="Y59" s="1309"/>
      <c r="Z59" s="1310"/>
      <c r="AA59" s="1309"/>
      <c r="AB59" s="1310"/>
      <c r="AC59" s="1309"/>
      <c r="AD59" s="1310"/>
      <c r="AE59" s="1309"/>
      <c r="AF59" s="1310"/>
      <c r="AG59" s="1309"/>
      <c r="AH59" s="1310"/>
      <c r="AI59" s="1306"/>
      <c r="AJ59" s="15"/>
    </row>
    <row r="60" spans="2:36" s="407" customFormat="1" outlineLevel="1">
      <c r="B60" s="24" t="s">
        <v>406</v>
      </c>
      <c r="D60" s="1298">
        <v>43001</v>
      </c>
      <c r="E60" s="1298" t="s">
        <v>220</v>
      </c>
      <c r="F60" s="1299"/>
      <c r="G60" s="1300"/>
      <c r="H60" s="1301"/>
      <c r="I60" s="1302"/>
      <c r="J60" s="1303">
        <v>5569.11</v>
      </c>
      <c r="K60" s="1302"/>
      <c r="L60" s="1303">
        <v>5065.72</v>
      </c>
      <c r="M60" s="1302"/>
      <c r="N60" s="1303">
        <v>5922.74</v>
      </c>
      <c r="O60" s="1302"/>
      <c r="P60" s="1303">
        <v>5693.23</v>
      </c>
      <c r="Q60" s="1302"/>
      <c r="R60" s="1303">
        <v>4679.8900000000003</v>
      </c>
      <c r="S60" s="1302"/>
      <c r="T60" s="1303">
        <v>4508.92</v>
      </c>
      <c r="U60" s="1302"/>
      <c r="V60" s="1303">
        <v>4871.28</v>
      </c>
      <c r="W60" s="1302"/>
      <c r="X60" s="1303">
        <v>4763.72</v>
      </c>
      <c r="Y60" s="1302"/>
      <c r="Z60" s="1303">
        <v>6133.38</v>
      </c>
      <c r="AA60" s="1302"/>
      <c r="AB60" s="1303">
        <v>4602.28</v>
      </c>
      <c r="AC60" s="1302"/>
      <c r="AD60" s="1303">
        <v>5481.75</v>
      </c>
      <c r="AE60" s="1302"/>
      <c r="AF60" s="1303">
        <v>6444.27</v>
      </c>
      <c r="AG60" s="1302"/>
      <c r="AH60" s="1303">
        <f>AF60+AD60+AB60+Z60+X60+V60+T60+R60+P60+N60+L60+J60</f>
        <v>63736.29</v>
      </c>
      <c r="AI60" s="1304">
        <f>IF(AH$48=0,0,AH60/AH$48)</f>
        <v>1.4515019129991258E-2</v>
      </c>
      <c r="AJ60" s="12"/>
    </row>
    <row r="61" spans="2:36" s="8" customFormat="1" ht="5.0999999999999996" customHeight="1" outlineLevel="1">
      <c r="B61" s="2" t="s">
        <v>194</v>
      </c>
      <c r="D61" s="1299"/>
      <c r="E61" s="1299"/>
      <c r="F61" s="1299"/>
      <c r="G61" s="1299"/>
      <c r="H61" s="1301"/>
      <c r="I61" s="1301"/>
      <c r="J61" s="1311"/>
      <c r="K61" s="1309"/>
      <c r="L61" s="1311"/>
      <c r="M61" s="1309"/>
      <c r="N61" s="1311"/>
      <c r="O61" s="1309"/>
      <c r="P61" s="1311"/>
      <c r="Q61" s="1309"/>
      <c r="R61" s="1311"/>
      <c r="S61" s="1309"/>
      <c r="T61" s="1311"/>
      <c r="U61" s="1309"/>
      <c r="V61" s="1311"/>
      <c r="W61" s="1309"/>
      <c r="X61" s="1311"/>
      <c r="Y61" s="1309"/>
      <c r="Z61" s="1311"/>
      <c r="AA61" s="1309"/>
      <c r="AB61" s="1311"/>
      <c r="AC61" s="1309"/>
      <c r="AD61" s="1311"/>
      <c r="AE61" s="1309"/>
      <c r="AF61" s="1311"/>
      <c r="AG61" s="1309"/>
      <c r="AH61" s="1311"/>
      <c r="AI61" s="1306"/>
      <c r="AJ61" s="15"/>
    </row>
    <row r="62" spans="2:36" s="8" customFormat="1" ht="15">
      <c r="B62" s="16" t="s">
        <v>194</v>
      </c>
      <c r="D62" s="1301"/>
      <c r="E62" s="1301"/>
      <c r="F62" s="1299" t="s">
        <v>222</v>
      </c>
      <c r="G62" s="1315"/>
      <c r="H62" s="1315"/>
      <c r="I62" s="1315"/>
      <c r="J62" s="1308">
        <f>SUM(J59:J61)</f>
        <v>5569.11</v>
      </c>
      <c r="K62" s="1309"/>
      <c r="L62" s="1308">
        <f>SUM(L59:L61)</f>
        <v>5065.72</v>
      </c>
      <c r="M62" s="1309"/>
      <c r="N62" s="1308">
        <f>SUM(N59:N61)</f>
        <v>5922.74</v>
      </c>
      <c r="O62" s="1309"/>
      <c r="P62" s="1308">
        <f>SUM(P59:P61)</f>
        <v>5693.23</v>
      </c>
      <c r="Q62" s="1309"/>
      <c r="R62" s="1308">
        <f>SUM(R59:R61)</f>
        <v>4679.8900000000003</v>
      </c>
      <c r="S62" s="1309"/>
      <c r="T62" s="1308">
        <f>SUM(T59:T61)</f>
        <v>4508.92</v>
      </c>
      <c r="U62" s="1309"/>
      <c r="V62" s="1308">
        <f>SUM(V59:V61)</f>
        <v>4871.28</v>
      </c>
      <c r="W62" s="1309"/>
      <c r="X62" s="1308">
        <f>SUM(X59:X61)</f>
        <v>4763.72</v>
      </c>
      <c r="Y62" s="1309"/>
      <c r="Z62" s="1308">
        <f>SUM(Z59:Z61)</f>
        <v>6133.38</v>
      </c>
      <c r="AA62" s="1309"/>
      <c r="AB62" s="1308">
        <f>SUM(AB59:AB61)</f>
        <v>4602.28</v>
      </c>
      <c r="AC62" s="1309"/>
      <c r="AD62" s="1308">
        <f>SUM(AD59:AD61)</f>
        <v>5481.75</v>
      </c>
      <c r="AE62" s="1309"/>
      <c r="AF62" s="1308">
        <f>SUM(AF59:AF61)</f>
        <v>6444.27</v>
      </c>
      <c r="AG62" s="1309"/>
      <c r="AH62" s="1308">
        <f>SUM(AH59:AH61)</f>
        <v>63736.29</v>
      </c>
      <c r="AI62" s="1304">
        <f>IF(AH$48=0,0,AH62/AH$48)</f>
        <v>1.4515019129991258E-2</v>
      </c>
      <c r="AJ62" s="15"/>
    </row>
    <row r="63" spans="2:36" s="8" customFormat="1" ht="15" outlineLevel="1">
      <c r="B63" s="16"/>
      <c r="D63" s="1301"/>
      <c r="E63" s="1301"/>
      <c r="F63" s="1301"/>
      <c r="G63" s="1301"/>
      <c r="H63" s="1301"/>
      <c r="I63" s="1301"/>
      <c r="J63" s="1310"/>
      <c r="K63" s="1309"/>
      <c r="L63" s="1310"/>
      <c r="M63" s="1309"/>
      <c r="N63" s="1310"/>
      <c r="O63" s="1309"/>
      <c r="P63" s="1310"/>
      <c r="Q63" s="1309"/>
      <c r="R63" s="1310"/>
      <c r="S63" s="1309"/>
      <c r="T63" s="1310"/>
      <c r="U63" s="1309"/>
      <c r="V63" s="1310"/>
      <c r="W63" s="1309"/>
      <c r="X63" s="1310"/>
      <c r="Y63" s="1309"/>
      <c r="Z63" s="1310"/>
      <c r="AA63" s="1309"/>
      <c r="AB63" s="1310"/>
      <c r="AC63" s="1309"/>
      <c r="AD63" s="1310"/>
      <c r="AE63" s="1309"/>
      <c r="AF63" s="1310"/>
      <c r="AG63" s="1309"/>
      <c r="AH63" s="1310"/>
      <c r="AI63" s="1306"/>
      <c r="AJ63" s="15"/>
    </row>
    <row r="64" spans="2:36" s="8" customFormat="1" ht="15" outlineLevel="1">
      <c r="B64" s="16" t="s">
        <v>194</v>
      </c>
      <c r="D64" s="1301"/>
      <c r="E64" s="1301"/>
      <c r="F64" s="1301"/>
      <c r="G64" s="1301"/>
      <c r="H64" s="1301"/>
      <c r="I64" s="1301"/>
      <c r="J64" s="1310"/>
      <c r="K64" s="1309"/>
      <c r="L64" s="1310"/>
      <c r="M64" s="1309"/>
      <c r="N64" s="1310"/>
      <c r="O64" s="1309"/>
      <c r="P64" s="1310"/>
      <c r="Q64" s="1309"/>
      <c r="R64" s="1310"/>
      <c r="S64" s="1309"/>
      <c r="T64" s="1310"/>
      <c r="U64" s="1309"/>
      <c r="V64" s="1310"/>
      <c r="W64" s="1309"/>
      <c r="X64" s="1310"/>
      <c r="Y64" s="1309"/>
      <c r="Z64" s="1310"/>
      <c r="AA64" s="1309"/>
      <c r="AB64" s="1310"/>
      <c r="AC64" s="1309"/>
      <c r="AD64" s="1310"/>
      <c r="AE64" s="1309"/>
      <c r="AF64" s="1310"/>
      <c r="AG64" s="1309"/>
      <c r="AH64" s="1310"/>
      <c r="AI64" s="1306"/>
      <c r="AJ64" s="15"/>
    </row>
    <row r="65" spans="2:36" s="407" customFormat="1" outlineLevel="1">
      <c r="B65" s="24" t="s">
        <v>407</v>
      </c>
      <c r="D65" s="1298"/>
      <c r="E65" s="1298"/>
      <c r="F65" s="1299"/>
      <c r="G65" s="1300"/>
      <c r="H65" s="1301"/>
      <c r="I65" s="1302"/>
      <c r="J65" s="1303"/>
      <c r="K65" s="1302"/>
      <c r="L65" s="1303"/>
      <c r="M65" s="1302"/>
      <c r="N65" s="1303"/>
      <c r="O65" s="1302"/>
      <c r="P65" s="1303"/>
      <c r="Q65" s="1302"/>
      <c r="R65" s="1303"/>
      <c r="S65" s="1302"/>
      <c r="T65" s="1303"/>
      <c r="U65" s="1302"/>
      <c r="V65" s="1303"/>
      <c r="W65" s="1302"/>
      <c r="X65" s="1303"/>
      <c r="Y65" s="1302"/>
      <c r="Z65" s="1303"/>
      <c r="AA65" s="1302"/>
      <c r="AB65" s="1303"/>
      <c r="AC65" s="1302"/>
      <c r="AD65" s="1303"/>
      <c r="AE65" s="1302"/>
      <c r="AF65" s="1303"/>
      <c r="AG65" s="1302"/>
      <c r="AH65" s="1303">
        <f>AF65+AD65+AB65+Z65+X65+V65+T65+R65+P65+N65+L65+J65</f>
        <v>0</v>
      </c>
      <c r="AI65" s="1304">
        <f>IF(AH$48=0,0,AH65/AH$48)</f>
        <v>0</v>
      </c>
      <c r="AJ65" s="12"/>
    </row>
    <row r="66" spans="2:36" s="8" customFormat="1" ht="5.0999999999999996" customHeight="1" outlineLevel="1">
      <c r="B66" s="2" t="s">
        <v>194</v>
      </c>
      <c r="D66" s="1299"/>
      <c r="E66" s="1299"/>
      <c r="F66" s="1299"/>
      <c r="G66" s="1299"/>
      <c r="H66" s="1301"/>
      <c r="I66" s="1301"/>
      <c r="J66" s="1311"/>
      <c r="K66" s="1309"/>
      <c r="L66" s="1311"/>
      <c r="M66" s="1309"/>
      <c r="N66" s="1311"/>
      <c r="O66" s="1309"/>
      <c r="P66" s="1311"/>
      <c r="Q66" s="1309"/>
      <c r="R66" s="1311"/>
      <c r="S66" s="1309"/>
      <c r="T66" s="1311"/>
      <c r="U66" s="1309"/>
      <c r="V66" s="1311"/>
      <c r="W66" s="1309"/>
      <c r="X66" s="1311"/>
      <c r="Y66" s="1309"/>
      <c r="Z66" s="1311"/>
      <c r="AA66" s="1309"/>
      <c r="AB66" s="1311"/>
      <c r="AC66" s="1309"/>
      <c r="AD66" s="1311"/>
      <c r="AE66" s="1309"/>
      <c r="AF66" s="1311"/>
      <c r="AG66" s="1309"/>
      <c r="AH66" s="1311"/>
      <c r="AI66" s="1306"/>
      <c r="AJ66" s="15"/>
    </row>
    <row r="67" spans="2:36" s="8" customFormat="1" ht="15">
      <c r="B67" s="2" t="s">
        <v>194</v>
      </c>
      <c r="D67" s="1301"/>
      <c r="E67" s="1301"/>
      <c r="F67" s="1299" t="s">
        <v>224</v>
      </c>
      <c r="G67" s="1315"/>
      <c r="H67" s="1315"/>
      <c r="I67" s="1315"/>
      <c r="J67" s="1308">
        <f>SUM(J64:J66)</f>
        <v>0</v>
      </c>
      <c r="K67" s="1309"/>
      <c r="L67" s="1308">
        <f>SUM(L64:L66)</f>
        <v>0</v>
      </c>
      <c r="M67" s="1309"/>
      <c r="N67" s="1308">
        <f>SUM(N64:N66)</f>
        <v>0</v>
      </c>
      <c r="O67" s="1309"/>
      <c r="P67" s="1308">
        <f>SUM(P64:P66)</f>
        <v>0</v>
      </c>
      <c r="Q67" s="1309"/>
      <c r="R67" s="1308">
        <f>SUM(R64:R66)</f>
        <v>0</v>
      </c>
      <c r="S67" s="1309"/>
      <c r="T67" s="1308">
        <f>SUM(T64:T66)</f>
        <v>0</v>
      </c>
      <c r="U67" s="1309"/>
      <c r="V67" s="1308">
        <f>SUM(V64:V66)</f>
        <v>0</v>
      </c>
      <c r="W67" s="1309"/>
      <c r="X67" s="1308">
        <f>SUM(X64:X66)</f>
        <v>0</v>
      </c>
      <c r="Y67" s="1309"/>
      <c r="Z67" s="1308">
        <f>SUM(Z64:Z66)</f>
        <v>0</v>
      </c>
      <c r="AA67" s="1309"/>
      <c r="AB67" s="1308">
        <f>SUM(AB64:AB66)</f>
        <v>0</v>
      </c>
      <c r="AC67" s="1309"/>
      <c r="AD67" s="1308">
        <f>SUM(AD64:AD66)</f>
        <v>0</v>
      </c>
      <c r="AE67" s="1309"/>
      <c r="AF67" s="1308">
        <f>SUM(AF64:AF66)</f>
        <v>0</v>
      </c>
      <c r="AG67" s="1309"/>
      <c r="AH67" s="1308">
        <f>SUM(AH64:AH66)</f>
        <v>0</v>
      </c>
      <c r="AI67" s="1304">
        <f>IF(AH$48=0,0,AH67/AH$48)</f>
        <v>0</v>
      </c>
      <c r="AJ67" s="15"/>
    </row>
    <row r="68" spans="2:36" s="8" customFormat="1" ht="15" outlineLevel="1">
      <c r="B68" s="16" t="s">
        <v>194</v>
      </c>
      <c r="D68" s="1301"/>
      <c r="E68" s="1301"/>
      <c r="F68" s="1301"/>
      <c r="G68" s="1301"/>
      <c r="H68" s="1301"/>
      <c r="I68" s="1301"/>
      <c r="J68" s="1310"/>
      <c r="K68" s="1309"/>
      <c r="L68" s="1310"/>
      <c r="M68" s="1309"/>
      <c r="N68" s="1310"/>
      <c r="O68" s="1309"/>
      <c r="P68" s="1310"/>
      <c r="Q68" s="1309"/>
      <c r="R68" s="1310"/>
      <c r="S68" s="1309"/>
      <c r="T68" s="1310"/>
      <c r="U68" s="1309"/>
      <c r="V68" s="1310"/>
      <c r="W68" s="1309"/>
      <c r="X68" s="1310"/>
      <c r="Y68" s="1309"/>
      <c r="Z68" s="1310"/>
      <c r="AA68" s="1309"/>
      <c r="AB68" s="1310"/>
      <c r="AC68" s="1309"/>
      <c r="AD68" s="1310"/>
      <c r="AE68" s="1309"/>
      <c r="AF68" s="1310"/>
      <c r="AG68" s="1309"/>
      <c r="AH68" s="1310"/>
      <c r="AI68" s="1306"/>
      <c r="AJ68" s="15"/>
    </row>
    <row r="69" spans="2:36" s="407" customFormat="1" outlineLevel="1">
      <c r="B69" s="24" t="s">
        <v>408</v>
      </c>
      <c r="D69" s="1298"/>
      <c r="E69" s="1298"/>
      <c r="F69" s="1299"/>
      <c r="G69" s="1300"/>
      <c r="H69" s="1301"/>
      <c r="I69" s="1302"/>
      <c r="J69" s="1303"/>
      <c r="K69" s="1302"/>
      <c r="L69" s="1303"/>
      <c r="M69" s="1302"/>
      <c r="N69" s="1303"/>
      <c r="O69" s="1302"/>
      <c r="P69" s="1303"/>
      <c r="Q69" s="1302"/>
      <c r="R69" s="1303"/>
      <c r="S69" s="1302"/>
      <c r="T69" s="1303"/>
      <c r="U69" s="1302"/>
      <c r="V69" s="1303"/>
      <c r="W69" s="1302"/>
      <c r="X69" s="1303"/>
      <c r="Y69" s="1302"/>
      <c r="Z69" s="1303"/>
      <c r="AA69" s="1302"/>
      <c r="AB69" s="1303"/>
      <c r="AC69" s="1302"/>
      <c r="AD69" s="1303"/>
      <c r="AE69" s="1302"/>
      <c r="AF69" s="1303"/>
      <c r="AG69" s="1302"/>
      <c r="AH69" s="1303">
        <f>AF69+AD69+AB69+Z69+X69+V69+T69+R69+P69+N69+L69+J69</f>
        <v>0</v>
      </c>
      <c r="AI69" s="1304">
        <f>IF(AH$48=0,0,AH69/AH$48)</f>
        <v>0</v>
      </c>
      <c r="AJ69" s="12"/>
    </row>
    <row r="70" spans="2:36" s="8" customFormat="1" ht="4.5" customHeight="1" outlineLevel="1">
      <c r="B70" s="8" t="s">
        <v>194</v>
      </c>
      <c r="D70" s="1312"/>
      <c r="E70" s="1301"/>
      <c r="F70" s="1301"/>
      <c r="G70" s="1301"/>
      <c r="H70" s="1301"/>
      <c r="I70" s="1301"/>
      <c r="J70" s="1311"/>
      <c r="K70" s="1309"/>
      <c r="L70" s="1311"/>
      <c r="M70" s="1309"/>
      <c r="N70" s="1311"/>
      <c r="O70" s="1309"/>
      <c r="P70" s="1311"/>
      <c r="Q70" s="1309"/>
      <c r="R70" s="1311"/>
      <c r="S70" s="1309"/>
      <c r="T70" s="1311"/>
      <c r="U70" s="1309"/>
      <c r="V70" s="1311"/>
      <c r="W70" s="1309"/>
      <c r="X70" s="1311"/>
      <c r="Y70" s="1309"/>
      <c r="Z70" s="1311"/>
      <c r="AA70" s="1309"/>
      <c r="AB70" s="1311"/>
      <c r="AC70" s="1309"/>
      <c r="AD70" s="1311"/>
      <c r="AE70" s="1309"/>
      <c r="AF70" s="1311"/>
      <c r="AG70" s="1309"/>
      <c r="AH70" s="1311"/>
      <c r="AI70" s="1306"/>
      <c r="AJ70" s="15"/>
    </row>
    <row r="71" spans="2:36" s="8" customFormat="1" ht="15">
      <c r="B71" s="16" t="s">
        <v>194</v>
      </c>
      <c r="D71" s="1301"/>
      <c r="E71" s="1301"/>
      <c r="F71" s="1301" t="s">
        <v>225</v>
      </c>
      <c r="G71" s="1301"/>
      <c r="H71" s="1301"/>
      <c r="I71" s="1301"/>
      <c r="J71" s="1308">
        <f>SUM(J69:J70)</f>
        <v>0</v>
      </c>
      <c r="K71" s="1309"/>
      <c r="L71" s="1308">
        <f>SUM(L69:L70)</f>
        <v>0</v>
      </c>
      <c r="M71" s="1309"/>
      <c r="N71" s="1308">
        <f>SUM(N69:N70)</f>
        <v>0</v>
      </c>
      <c r="O71" s="1309"/>
      <c r="P71" s="1308">
        <f>SUM(P69:P70)</f>
        <v>0</v>
      </c>
      <c r="Q71" s="1309"/>
      <c r="R71" s="1308">
        <f>SUM(R69:R70)</f>
        <v>0</v>
      </c>
      <c r="S71" s="1309"/>
      <c r="T71" s="1308">
        <f>SUM(T69:T70)</f>
        <v>0</v>
      </c>
      <c r="U71" s="1309"/>
      <c r="V71" s="1308">
        <f>SUM(V69:V70)</f>
        <v>0</v>
      </c>
      <c r="W71" s="1309"/>
      <c r="X71" s="1308">
        <f>SUM(X69:X70)</f>
        <v>0</v>
      </c>
      <c r="Y71" s="1309"/>
      <c r="Z71" s="1308">
        <f>SUM(Z69:Z70)</f>
        <v>0</v>
      </c>
      <c r="AA71" s="1309"/>
      <c r="AB71" s="1308">
        <f>SUM(AB69:AB70)</f>
        <v>0</v>
      </c>
      <c r="AC71" s="1309"/>
      <c r="AD71" s="1308">
        <f>SUM(AD69:AD70)</f>
        <v>0</v>
      </c>
      <c r="AE71" s="1309"/>
      <c r="AF71" s="1308">
        <f>SUM(AF69:AF70)</f>
        <v>0</v>
      </c>
      <c r="AG71" s="1309"/>
      <c r="AH71" s="1308">
        <f>SUM(AH69:AH70)</f>
        <v>0</v>
      </c>
      <c r="AI71" s="1304">
        <f>IF(AH$48=0,0,AH71/AH$48)</f>
        <v>0</v>
      </c>
      <c r="AJ71" s="15"/>
    </row>
    <row r="72" spans="2:36" s="8" customFormat="1" ht="7.5" customHeight="1">
      <c r="B72" s="2" t="s">
        <v>194</v>
      </c>
      <c r="D72" s="1301"/>
      <c r="E72" s="1301"/>
      <c r="F72" s="1301"/>
      <c r="G72" s="1301"/>
      <c r="H72" s="1301"/>
      <c r="I72" s="1301"/>
      <c r="J72" s="1310"/>
      <c r="K72" s="1309"/>
      <c r="L72" s="1310"/>
      <c r="M72" s="1309"/>
      <c r="N72" s="1310"/>
      <c r="O72" s="1309"/>
      <c r="P72" s="1310"/>
      <c r="Q72" s="1309"/>
      <c r="R72" s="1310"/>
      <c r="S72" s="1309"/>
      <c r="T72" s="1310"/>
      <c r="U72" s="1309"/>
      <c r="V72" s="1310"/>
      <c r="W72" s="1309"/>
      <c r="X72" s="1310"/>
      <c r="Y72" s="1309"/>
      <c r="Z72" s="1310"/>
      <c r="AA72" s="1309"/>
      <c r="AB72" s="1310"/>
      <c r="AC72" s="1309"/>
      <c r="AD72" s="1310"/>
      <c r="AE72" s="1309"/>
      <c r="AF72" s="1310"/>
      <c r="AG72" s="1309"/>
      <c r="AH72" s="1310"/>
      <c r="AI72" s="1306"/>
      <c r="AJ72" s="15"/>
    </row>
    <row r="73" spans="2:36" s="8" customFormat="1" ht="15">
      <c r="B73" s="2" t="s">
        <v>194</v>
      </c>
      <c r="D73" s="1301"/>
      <c r="E73" s="1313" t="s">
        <v>226</v>
      </c>
      <c r="F73" s="1301"/>
      <c r="G73" s="1301"/>
      <c r="H73" s="1301"/>
      <c r="I73" s="1301"/>
      <c r="J73" s="1314">
        <f>+J53+J62+J67+J57+J71</f>
        <v>19972.71</v>
      </c>
      <c r="K73" s="1309"/>
      <c r="L73" s="1314">
        <f>+L53+L62+L67+L57+L71</f>
        <v>18867.22</v>
      </c>
      <c r="M73" s="1309"/>
      <c r="N73" s="1314">
        <f>+N53+N62+N67+N57+N71</f>
        <v>19196.84</v>
      </c>
      <c r="O73" s="1309"/>
      <c r="P73" s="1314">
        <f>+P53+P62+P67+P57+P71</f>
        <v>20451.43</v>
      </c>
      <c r="Q73" s="1309"/>
      <c r="R73" s="1314">
        <f>+R53+R62+R67+R57+R71</f>
        <v>16591.09</v>
      </c>
      <c r="S73" s="1309"/>
      <c r="T73" s="1314">
        <f>+T53+T62+T67+T57+T71</f>
        <v>17622.22</v>
      </c>
      <c r="U73" s="1309"/>
      <c r="V73" s="1314">
        <f>+V53+V62+V67+V57+V71</f>
        <v>15824.880000000001</v>
      </c>
      <c r="W73" s="1309"/>
      <c r="X73" s="1314">
        <f>+X53+X62+X67+X57+X71</f>
        <v>16456.52</v>
      </c>
      <c r="Y73" s="1309"/>
      <c r="Z73" s="1314">
        <f>+Z53+Z62+Z67+Z57+Z71</f>
        <v>20140.080000000002</v>
      </c>
      <c r="AA73" s="1309"/>
      <c r="AB73" s="1314">
        <f>+AB53+AB62+AB67+AB57+AB71</f>
        <v>16358.98</v>
      </c>
      <c r="AC73" s="1309"/>
      <c r="AD73" s="1314">
        <f>+AD53+AD62+AD67+AD57+AD71</f>
        <v>19787.849999999999</v>
      </c>
      <c r="AE73" s="1309"/>
      <c r="AF73" s="1314">
        <f>+AF53+AF62+AF67+AF57+AF71</f>
        <v>22279.77</v>
      </c>
      <c r="AG73" s="1309"/>
      <c r="AH73" s="1314">
        <f>+AH53+AH62+AH67+AH57+AH71</f>
        <v>223549.59000000003</v>
      </c>
      <c r="AI73" s="1304">
        <f>IF(AH$48=0,0,AH73/AH$48)</f>
        <v>5.0910189083043629E-2</v>
      </c>
      <c r="AJ73" s="15"/>
    </row>
    <row r="74" spans="2:36" s="8" customFormat="1" ht="7.5" customHeight="1">
      <c r="B74" s="2" t="s">
        <v>194</v>
      </c>
      <c r="D74" s="1301"/>
      <c r="E74" s="1301"/>
      <c r="F74" s="1301"/>
      <c r="G74" s="1301"/>
      <c r="H74" s="1301"/>
      <c r="I74" s="1301"/>
      <c r="J74" s="1310"/>
      <c r="K74" s="1309"/>
      <c r="L74" s="1310"/>
      <c r="M74" s="1309"/>
      <c r="N74" s="1310"/>
      <c r="O74" s="1309"/>
      <c r="P74" s="1310"/>
      <c r="Q74" s="1309"/>
      <c r="R74" s="1310"/>
      <c r="S74" s="1309"/>
      <c r="T74" s="1310"/>
      <c r="U74" s="1309"/>
      <c r="V74" s="1310"/>
      <c r="W74" s="1309"/>
      <c r="X74" s="1310"/>
      <c r="Y74" s="1309"/>
      <c r="Z74" s="1310"/>
      <c r="AA74" s="1309"/>
      <c r="AB74" s="1310"/>
      <c r="AC74" s="1309"/>
      <c r="AD74" s="1310"/>
      <c r="AE74" s="1309"/>
      <c r="AF74" s="1310"/>
      <c r="AG74" s="1309"/>
      <c r="AH74" s="1310"/>
      <c r="AI74" s="1306"/>
      <c r="AJ74" s="15"/>
    </row>
    <row r="75" spans="2:36" s="8" customFormat="1" ht="15">
      <c r="B75" s="2" t="s">
        <v>194</v>
      </c>
      <c r="D75" s="1301"/>
      <c r="E75" s="1316" t="s">
        <v>227</v>
      </c>
      <c r="F75" s="1301"/>
      <c r="G75" s="1301"/>
      <c r="H75" s="1301"/>
      <c r="I75" s="1301"/>
      <c r="J75" s="1314">
        <f>J48-J73</f>
        <v>370238.21</v>
      </c>
      <c r="K75" s="1309"/>
      <c r="L75" s="1314">
        <f>L48-L73</f>
        <v>353836.99</v>
      </c>
      <c r="M75" s="1309"/>
      <c r="N75" s="1314">
        <f>N48-N73</f>
        <v>341881.72000000003</v>
      </c>
      <c r="O75" s="1309"/>
      <c r="P75" s="1314">
        <f>P48-P73</f>
        <v>393622.02</v>
      </c>
      <c r="Q75" s="1309"/>
      <c r="R75" s="1314">
        <f>R48-R73</f>
        <v>327231.89999999997</v>
      </c>
      <c r="S75" s="1309"/>
      <c r="T75" s="1314">
        <f>T48-T73</f>
        <v>361294.11</v>
      </c>
      <c r="U75" s="1309"/>
      <c r="V75" s="1314">
        <f>V48-V73</f>
        <v>291350.93</v>
      </c>
      <c r="W75" s="1309"/>
      <c r="X75" s="1314">
        <f>X48-X73</f>
        <v>308375.24</v>
      </c>
      <c r="Y75" s="1309"/>
      <c r="Z75" s="1314">
        <f>Z48-Z73</f>
        <v>376146.25999999995</v>
      </c>
      <c r="AA75" s="1309"/>
      <c r="AB75" s="1314">
        <f>AB48-AB73</f>
        <v>301143.84999999998</v>
      </c>
      <c r="AC75" s="1309"/>
      <c r="AD75" s="1314">
        <f>AD48-AD73</f>
        <v>367019.94000000006</v>
      </c>
      <c r="AE75" s="1309"/>
      <c r="AF75" s="1314">
        <f>AF48-AF73</f>
        <v>375367.18</v>
      </c>
      <c r="AG75" s="1309"/>
      <c r="AH75" s="1314">
        <f>AH48-AH73</f>
        <v>4167508.3499999996</v>
      </c>
      <c r="AI75" s="1304">
        <f>IF(AH$48=0,0,AH75/AH$48)</f>
        <v>0.94908981091695643</v>
      </c>
      <c r="AJ75" s="15"/>
    </row>
    <row r="76" spans="2:36" s="8" customFormat="1" ht="7.5" customHeight="1">
      <c r="B76" s="2" t="s">
        <v>194</v>
      </c>
      <c r="D76" s="1301"/>
      <c r="E76" s="1301"/>
      <c r="F76" s="1301"/>
      <c r="G76" s="1301"/>
      <c r="H76" s="1301"/>
      <c r="I76" s="1301"/>
      <c r="J76" s="1310"/>
      <c r="K76" s="1309"/>
      <c r="L76" s="1310"/>
      <c r="M76" s="1309"/>
      <c r="N76" s="1310"/>
      <c r="O76" s="1309"/>
      <c r="P76" s="1310"/>
      <c r="Q76" s="1309"/>
      <c r="R76" s="1310"/>
      <c r="S76" s="1309"/>
      <c r="T76" s="1310"/>
      <c r="U76" s="1309"/>
      <c r="V76" s="1310"/>
      <c r="W76" s="1309"/>
      <c r="X76" s="1310"/>
      <c r="Y76" s="1309"/>
      <c r="Z76" s="1310"/>
      <c r="AA76" s="1309"/>
      <c r="AB76" s="1310"/>
      <c r="AC76" s="1309"/>
      <c r="AD76" s="1310"/>
      <c r="AE76" s="1309"/>
      <c r="AF76" s="1310"/>
      <c r="AG76" s="1309"/>
      <c r="AH76" s="1310"/>
      <c r="AI76" s="1306"/>
      <c r="AJ76" s="15"/>
    </row>
    <row r="77" spans="2:36" s="8" customFormat="1" ht="15" outlineLevel="1">
      <c r="B77" s="2"/>
      <c r="D77" s="1301"/>
      <c r="E77" s="1301"/>
      <c r="F77" s="1301"/>
      <c r="G77" s="1301"/>
      <c r="H77" s="1301"/>
      <c r="I77" s="1301"/>
      <c r="J77" s="1310"/>
      <c r="K77" s="1309"/>
      <c r="L77" s="1310"/>
      <c r="M77" s="1309"/>
      <c r="N77" s="1310"/>
      <c r="O77" s="1309"/>
      <c r="P77" s="1310"/>
      <c r="Q77" s="1309"/>
      <c r="R77" s="1310"/>
      <c r="S77" s="1309"/>
      <c r="T77" s="1310"/>
      <c r="U77" s="1309"/>
      <c r="V77" s="1310"/>
      <c r="W77" s="1309"/>
      <c r="X77" s="1310"/>
      <c r="Y77" s="1309"/>
      <c r="Z77" s="1310"/>
      <c r="AA77" s="1309"/>
      <c r="AB77" s="1310"/>
      <c r="AC77" s="1309"/>
      <c r="AD77" s="1310"/>
      <c r="AE77" s="1309"/>
      <c r="AF77" s="1310"/>
      <c r="AG77" s="1309"/>
      <c r="AH77" s="1310"/>
      <c r="AI77" s="1306"/>
      <c r="AJ77" s="15"/>
    </row>
    <row r="78" spans="2:36" s="407" customFormat="1" outlineLevel="1">
      <c r="B78" s="24" t="s">
        <v>409</v>
      </c>
      <c r="D78" s="1298">
        <v>50020</v>
      </c>
      <c r="E78" s="1298" t="s">
        <v>24</v>
      </c>
      <c r="F78" s="1299"/>
      <c r="G78" s="1300"/>
      <c r="H78" s="1301"/>
      <c r="I78" s="1302"/>
      <c r="J78" s="1303">
        <v>64734.61</v>
      </c>
      <c r="K78" s="1302"/>
      <c r="L78" s="1303">
        <v>54123.95</v>
      </c>
      <c r="M78" s="1302"/>
      <c r="N78" s="1303">
        <v>61005.46</v>
      </c>
      <c r="O78" s="1302"/>
      <c r="P78" s="1303">
        <v>60334.21</v>
      </c>
      <c r="Q78" s="1302"/>
      <c r="R78" s="1303">
        <v>55268.02</v>
      </c>
      <c r="S78" s="1302"/>
      <c r="T78" s="1303">
        <v>59859.15</v>
      </c>
      <c r="U78" s="1302"/>
      <c r="V78" s="1303">
        <v>61358.59</v>
      </c>
      <c r="W78" s="1302"/>
      <c r="X78" s="1303">
        <v>60600.639999999999</v>
      </c>
      <c r="Y78" s="1302"/>
      <c r="Z78" s="1303">
        <v>66797.39</v>
      </c>
      <c r="AA78" s="1302"/>
      <c r="AB78" s="1303">
        <v>50851.55</v>
      </c>
      <c r="AC78" s="1302"/>
      <c r="AD78" s="1303">
        <v>56800.19</v>
      </c>
      <c r="AE78" s="1302"/>
      <c r="AF78" s="1303">
        <v>59332.3</v>
      </c>
      <c r="AG78" s="1302"/>
      <c r="AH78" s="1303">
        <f t="shared" ref="AH78:AH88" si="6">AF78+AD78+AB78+Z78+X78+V78+T78+R78+P78+N78+L78+J78</f>
        <v>711066.05999999994</v>
      </c>
      <c r="AI78" s="1304">
        <f t="shared" ref="AI78:AI88" si="7">IF(AH$48=0,0,AH78/AH$48)</f>
        <v>0.16193502106237295</v>
      </c>
      <c r="AJ78" s="12"/>
    </row>
    <row r="79" spans="2:36" s="407" customFormat="1" outlineLevel="1">
      <c r="B79" s="24" t="s">
        <v>397</v>
      </c>
      <c r="D79" s="1298">
        <v>50025</v>
      </c>
      <c r="E79" s="1298" t="s">
        <v>25</v>
      </c>
      <c r="F79" s="1299"/>
      <c r="G79" s="1300"/>
      <c r="H79" s="1301"/>
      <c r="I79" s="1302"/>
      <c r="J79" s="1303">
        <v>13994.07</v>
      </c>
      <c r="K79" s="1302"/>
      <c r="L79" s="1303">
        <v>13366.17</v>
      </c>
      <c r="M79" s="1302"/>
      <c r="N79" s="1303">
        <v>9243.35</v>
      </c>
      <c r="O79" s="1302"/>
      <c r="P79" s="1303">
        <v>12921.88</v>
      </c>
      <c r="Q79" s="1302"/>
      <c r="R79" s="1303">
        <v>11666.45</v>
      </c>
      <c r="S79" s="1302"/>
      <c r="T79" s="1303">
        <v>13704.04</v>
      </c>
      <c r="U79" s="1302"/>
      <c r="V79" s="1303">
        <v>8487.08</v>
      </c>
      <c r="W79" s="1302"/>
      <c r="X79" s="1303">
        <v>8944.64</v>
      </c>
      <c r="Y79" s="1302"/>
      <c r="Z79" s="1303">
        <v>6495.08</v>
      </c>
      <c r="AA79" s="1302"/>
      <c r="AB79" s="1303">
        <v>9578.16</v>
      </c>
      <c r="AC79" s="1302"/>
      <c r="AD79" s="1303">
        <v>14025.96</v>
      </c>
      <c r="AE79" s="1302"/>
      <c r="AF79" s="1303">
        <v>17929.64</v>
      </c>
      <c r="AG79" s="1302"/>
      <c r="AH79" s="1303">
        <f t="shared" si="6"/>
        <v>140356.52000000002</v>
      </c>
      <c r="AI79" s="1304">
        <f t="shared" si="7"/>
        <v>3.1964169436580023E-2</v>
      </c>
      <c r="AJ79" s="12"/>
    </row>
    <row r="80" spans="2:36" s="407" customFormat="1" outlineLevel="1">
      <c r="B80" s="24" t="s">
        <v>397</v>
      </c>
      <c r="D80" s="1298">
        <v>50035</v>
      </c>
      <c r="E80" s="1298" t="s">
        <v>26</v>
      </c>
      <c r="F80" s="1299"/>
      <c r="G80" s="1300"/>
      <c r="H80" s="1301"/>
      <c r="I80" s="1302"/>
      <c r="J80" s="1303">
        <v>526.76</v>
      </c>
      <c r="K80" s="1302"/>
      <c r="L80" s="1303">
        <v>526.75</v>
      </c>
      <c r="M80" s="1302"/>
      <c r="N80" s="1303">
        <v>1026.75</v>
      </c>
      <c r="O80" s="1302"/>
      <c r="P80" s="1303">
        <v>4209.3999999999996</v>
      </c>
      <c r="Q80" s="1302"/>
      <c r="R80" s="1303">
        <v>-486.67</v>
      </c>
      <c r="S80" s="1302"/>
      <c r="T80" s="1303">
        <v>1727.5</v>
      </c>
      <c r="U80" s="1302"/>
      <c r="V80" s="1303">
        <v>863.75</v>
      </c>
      <c r="W80" s="1302"/>
      <c r="X80" s="1303">
        <v>123.75</v>
      </c>
      <c r="Y80" s="1302"/>
      <c r="Z80" s="1303">
        <v>468.75</v>
      </c>
      <c r="AA80" s="1302"/>
      <c r="AB80" s="1303">
        <v>-1656.25</v>
      </c>
      <c r="AC80" s="1302"/>
      <c r="AD80" s="1303">
        <v>468.75</v>
      </c>
      <c r="AE80" s="1302"/>
      <c r="AF80" s="1303">
        <v>468.75</v>
      </c>
      <c r="AG80" s="1302"/>
      <c r="AH80" s="1303">
        <f t="shared" si="6"/>
        <v>8267.99</v>
      </c>
      <c r="AI80" s="1304">
        <f t="shared" si="7"/>
        <v>1.8829152593691353E-3</v>
      </c>
      <c r="AJ80" s="12"/>
    </row>
    <row r="81" spans="2:36" s="407" customFormat="1" outlineLevel="1">
      <c r="B81" s="24" t="s">
        <v>397</v>
      </c>
      <c r="D81" s="1298">
        <v>50045</v>
      </c>
      <c r="E81" s="1298" t="s">
        <v>27</v>
      </c>
      <c r="F81" s="1299"/>
      <c r="G81" s="1300"/>
      <c r="H81" s="1301"/>
      <c r="I81" s="1302"/>
      <c r="J81" s="1303">
        <v>-508.79</v>
      </c>
      <c r="K81" s="1302"/>
      <c r="L81" s="1303">
        <v>0</v>
      </c>
      <c r="M81" s="1302"/>
      <c r="N81" s="1303">
        <v>0</v>
      </c>
      <c r="O81" s="1302"/>
      <c r="P81" s="1303">
        <v>0</v>
      </c>
      <c r="Q81" s="1302"/>
      <c r="R81" s="1303">
        <v>0</v>
      </c>
      <c r="S81" s="1302"/>
      <c r="T81" s="1303">
        <v>0</v>
      </c>
      <c r="U81" s="1302"/>
      <c r="V81" s="1303">
        <v>0</v>
      </c>
      <c r="W81" s="1302"/>
      <c r="X81" s="1303">
        <v>0</v>
      </c>
      <c r="Y81" s="1302"/>
      <c r="Z81" s="1303">
        <v>0</v>
      </c>
      <c r="AA81" s="1302"/>
      <c r="AB81" s="1303">
        <v>0</v>
      </c>
      <c r="AC81" s="1302"/>
      <c r="AD81" s="1303">
        <v>0</v>
      </c>
      <c r="AE81" s="1302"/>
      <c r="AF81" s="1303">
        <v>0</v>
      </c>
      <c r="AG81" s="1302"/>
      <c r="AH81" s="1303">
        <f t="shared" si="6"/>
        <v>-508.79</v>
      </c>
      <c r="AI81" s="1304">
        <f t="shared" si="7"/>
        <v>-1.1586957105831313E-4</v>
      </c>
      <c r="AJ81" s="12"/>
    </row>
    <row r="82" spans="2:36" s="407" customFormat="1" outlineLevel="1">
      <c r="B82" s="24" t="s">
        <v>397</v>
      </c>
      <c r="D82" s="1298">
        <v>50050</v>
      </c>
      <c r="E82" s="1298" t="s">
        <v>166</v>
      </c>
      <c r="F82" s="1299"/>
      <c r="G82" s="1300"/>
      <c r="H82" s="1301"/>
      <c r="I82" s="1302"/>
      <c r="J82" s="1303">
        <v>7432.61</v>
      </c>
      <c r="K82" s="1302"/>
      <c r="L82" s="1303">
        <v>5608.94</v>
      </c>
      <c r="M82" s="1302"/>
      <c r="N82" s="1303">
        <v>6198.12</v>
      </c>
      <c r="O82" s="1302"/>
      <c r="P82" s="1303">
        <v>6178.39</v>
      </c>
      <c r="Q82" s="1302"/>
      <c r="R82" s="1303">
        <v>5400.08</v>
      </c>
      <c r="S82" s="1302"/>
      <c r="T82" s="1303">
        <v>5888.25</v>
      </c>
      <c r="U82" s="1302"/>
      <c r="V82" s="1303">
        <v>5730.81</v>
      </c>
      <c r="W82" s="1302"/>
      <c r="X82" s="1303">
        <v>6072.46</v>
      </c>
      <c r="Y82" s="1302"/>
      <c r="Z82" s="1303">
        <v>6795.51</v>
      </c>
      <c r="AA82" s="1302"/>
      <c r="AB82" s="1303">
        <v>5470.42</v>
      </c>
      <c r="AC82" s="1302"/>
      <c r="AD82" s="1303">
        <v>5849.98</v>
      </c>
      <c r="AE82" s="1302"/>
      <c r="AF82" s="1303">
        <v>6547.26</v>
      </c>
      <c r="AG82" s="1302"/>
      <c r="AH82" s="1303">
        <f t="shared" si="6"/>
        <v>73172.83</v>
      </c>
      <c r="AI82" s="1304">
        <f t="shared" si="7"/>
        <v>1.6664054767630783E-2</v>
      </c>
      <c r="AJ82" s="12"/>
    </row>
    <row r="83" spans="2:36" s="407" customFormat="1" outlineLevel="1">
      <c r="B83" s="24" t="s">
        <v>397</v>
      </c>
      <c r="D83" s="1298">
        <v>50060</v>
      </c>
      <c r="E83" s="1298" t="s">
        <v>75</v>
      </c>
      <c r="F83" s="1299"/>
      <c r="G83" s="1300"/>
      <c r="H83" s="1301"/>
      <c r="I83" s="1302"/>
      <c r="J83" s="1303">
        <v>12508.76</v>
      </c>
      <c r="K83" s="1302"/>
      <c r="L83" s="1303">
        <v>15236.02</v>
      </c>
      <c r="M83" s="1302"/>
      <c r="N83" s="1303">
        <v>15236.72</v>
      </c>
      <c r="O83" s="1302"/>
      <c r="P83" s="1303">
        <v>16391.73</v>
      </c>
      <c r="Q83" s="1302"/>
      <c r="R83" s="1303">
        <v>14476.43</v>
      </c>
      <c r="S83" s="1302"/>
      <c r="T83" s="1303">
        <v>14451.6</v>
      </c>
      <c r="U83" s="1302"/>
      <c r="V83" s="1303">
        <v>15443.77</v>
      </c>
      <c r="W83" s="1302"/>
      <c r="X83" s="1303">
        <v>15285.49</v>
      </c>
      <c r="Y83" s="1302"/>
      <c r="Z83" s="1303">
        <v>15748.89</v>
      </c>
      <c r="AA83" s="1302"/>
      <c r="AB83" s="1303">
        <v>15858.57</v>
      </c>
      <c r="AC83" s="1302"/>
      <c r="AD83" s="1303">
        <v>15992.11</v>
      </c>
      <c r="AE83" s="1302"/>
      <c r="AF83" s="1303">
        <v>15860.73</v>
      </c>
      <c r="AG83" s="1302"/>
      <c r="AH83" s="1303">
        <f t="shared" si="6"/>
        <v>182490.82000000004</v>
      </c>
      <c r="AI83" s="1304">
        <f t="shared" si="7"/>
        <v>4.1559647468464071E-2</v>
      </c>
      <c r="AJ83" s="12"/>
    </row>
    <row r="84" spans="2:36" s="407" customFormat="1" outlineLevel="1">
      <c r="B84" s="24" t="s">
        <v>397</v>
      </c>
      <c r="D84" s="1298">
        <v>50065</v>
      </c>
      <c r="E84" s="1298" t="s">
        <v>21</v>
      </c>
      <c r="F84" s="1299"/>
      <c r="G84" s="1300"/>
      <c r="H84" s="1301"/>
      <c r="I84" s="1302"/>
      <c r="J84" s="1303">
        <v>8536.36</v>
      </c>
      <c r="K84" s="1302"/>
      <c r="L84" s="1303">
        <v>4565</v>
      </c>
      <c r="M84" s="1302"/>
      <c r="N84" s="1303">
        <v>5006.82</v>
      </c>
      <c r="O84" s="1302"/>
      <c r="P84" s="1303">
        <v>609.09</v>
      </c>
      <c r="Q84" s="1302"/>
      <c r="R84" s="1303">
        <v>-1188</v>
      </c>
      <c r="S84" s="1302"/>
      <c r="T84" s="1303">
        <v>1544.99</v>
      </c>
      <c r="U84" s="1302"/>
      <c r="V84" s="1303">
        <v>3457.87</v>
      </c>
      <c r="W84" s="1302"/>
      <c r="X84" s="1303">
        <v>3043.07</v>
      </c>
      <c r="Y84" s="1302"/>
      <c r="Z84" s="1303">
        <v>2161.41</v>
      </c>
      <c r="AA84" s="1302"/>
      <c r="AB84" s="1303">
        <v>1167.73</v>
      </c>
      <c r="AC84" s="1302"/>
      <c r="AD84" s="1303">
        <v>3116.03</v>
      </c>
      <c r="AE84" s="1302"/>
      <c r="AF84" s="1303">
        <v>3395.58</v>
      </c>
      <c r="AG84" s="1302"/>
      <c r="AH84" s="1303">
        <f t="shared" si="6"/>
        <v>35415.949999999997</v>
      </c>
      <c r="AI84" s="1304">
        <f t="shared" si="7"/>
        <v>8.0654708919645907E-3</v>
      </c>
      <c r="AJ84" s="12"/>
    </row>
    <row r="85" spans="2:36" s="407" customFormat="1" outlineLevel="1">
      <c r="B85" s="24" t="s">
        <v>397</v>
      </c>
      <c r="D85" s="1298">
        <v>50070</v>
      </c>
      <c r="E85" s="1298" t="s">
        <v>22</v>
      </c>
      <c r="F85" s="1299"/>
      <c r="G85" s="1300"/>
      <c r="H85" s="1301"/>
      <c r="I85" s="1302"/>
      <c r="J85" s="1303">
        <v>1983.38</v>
      </c>
      <c r="K85" s="1302"/>
      <c r="L85" s="1303">
        <v>1341.53</v>
      </c>
      <c r="M85" s="1302"/>
      <c r="N85" s="1303">
        <v>2545.36</v>
      </c>
      <c r="O85" s="1302"/>
      <c r="P85" s="1303">
        <v>2804.07</v>
      </c>
      <c r="Q85" s="1302"/>
      <c r="R85" s="1303">
        <v>1740.11</v>
      </c>
      <c r="S85" s="1302"/>
      <c r="T85" s="1303">
        <v>1586.16</v>
      </c>
      <c r="U85" s="1302"/>
      <c r="V85" s="1303">
        <v>2100.44</v>
      </c>
      <c r="W85" s="1302"/>
      <c r="X85" s="1303">
        <v>2248.15</v>
      </c>
      <c r="Y85" s="1302"/>
      <c r="Z85" s="1303">
        <v>1430.88</v>
      </c>
      <c r="AA85" s="1302"/>
      <c r="AB85" s="1303">
        <v>6932.57</v>
      </c>
      <c r="AC85" s="1302"/>
      <c r="AD85" s="1303">
        <v>886.78</v>
      </c>
      <c r="AE85" s="1302"/>
      <c r="AF85" s="1303">
        <v>2625.05</v>
      </c>
      <c r="AG85" s="1302"/>
      <c r="AH85" s="1303">
        <f t="shared" si="6"/>
        <v>28224.48</v>
      </c>
      <c r="AI85" s="1304">
        <f t="shared" si="7"/>
        <v>6.4277175080955555E-3</v>
      </c>
      <c r="AJ85" s="12"/>
    </row>
    <row r="86" spans="2:36" s="407" customFormat="1" outlineLevel="1">
      <c r="B86" s="24" t="s">
        <v>397</v>
      </c>
      <c r="D86" s="1298">
        <v>50086</v>
      </c>
      <c r="E86" s="1298" t="s">
        <v>60</v>
      </c>
      <c r="F86" s="1299"/>
      <c r="G86" s="1300"/>
      <c r="H86" s="1301"/>
      <c r="I86" s="1302"/>
      <c r="J86" s="1303">
        <v>652.15</v>
      </c>
      <c r="K86" s="1302"/>
      <c r="L86" s="1303">
        <v>608.5</v>
      </c>
      <c r="M86" s="1302"/>
      <c r="N86" s="1303">
        <v>2554.4899999999998</v>
      </c>
      <c r="O86" s="1302"/>
      <c r="P86" s="1303">
        <v>182.84</v>
      </c>
      <c r="Q86" s="1302"/>
      <c r="R86" s="1303">
        <v>-44.2</v>
      </c>
      <c r="S86" s="1302"/>
      <c r="T86" s="1303">
        <v>1094.8599999999999</v>
      </c>
      <c r="U86" s="1302"/>
      <c r="V86" s="1303">
        <v>409.16</v>
      </c>
      <c r="W86" s="1302"/>
      <c r="X86" s="1303">
        <v>-16.100000000000001</v>
      </c>
      <c r="Y86" s="1302"/>
      <c r="Z86" s="1303">
        <v>3206.06</v>
      </c>
      <c r="AA86" s="1302"/>
      <c r="AB86" s="1303">
        <v>1018.56</v>
      </c>
      <c r="AC86" s="1302"/>
      <c r="AD86" s="1303">
        <v>472.27</v>
      </c>
      <c r="AE86" s="1302"/>
      <c r="AF86" s="1303">
        <v>-14.88</v>
      </c>
      <c r="AG86" s="1302"/>
      <c r="AH86" s="1303">
        <f t="shared" si="6"/>
        <v>10123.709999999999</v>
      </c>
      <c r="AI86" s="1304">
        <f t="shared" si="7"/>
        <v>2.3055286763080151E-3</v>
      </c>
      <c r="AJ86" s="12"/>
    </row>
    <row r="87" spans="2:36" s="407" customFormat="1" outlineLevel="1">
      <c r="B87" s="24" t="s">
        <v>397</v>
      </c>
      <c r="D87" s="1298">
        <v>50090</v>
      </c>
      <c r="E87" s="1298" t="s">
        <v>39</v>
      </c>
      <c r="F87" s="1299"/>
      <c r="G87" s="1300"/>
      <c r="H87" s="1301"/>
      <c r="I87" s="1302"/>
      <c r="J87" s="1303">
        <v>156.25</v>
      </c>
      <c r="K87" s="1302"/>
      <c r="L87" s="1303">
        <v>125</v>
      </c>
      <c r="M87" s="1302"/>
      <c r="N87" s="1303">
        <v>2843.74</v>
      </c>
      <c r="O87" s="1302"/>
      <c r="P87" s="1303">
        <v>225</v>
      </c>
      <c r="Q87" s="1302"/>
      <c r="R87" s="1303">
        <v>190.97</v>
      </c>
      <c r="S87" s="1302"/>
      <c r="T87" s="1303">
        <v>224.3</v>
      </c>
      <c r="U87" s="1302"/>
      <c r="V87" s="1303">
        <v>168.39</v>
      </c>
      <c r="W87" s="1302"/>
      <c r="X87" s="1303">
        <v>1882.4</v>
      </c>
      <c r="Y87" s="1302"/>
      <c r="Z87" s="1303">
        <v>194.28</v>
      </c>
      <c r="AA87" s="1302"/>
      <c r="AB87" s="1303">
        <v>162.4</v>
      </c>
      <c r="AC87" s="1302"/>
      <c r="AD87" s="1303">
        <v>162.4</v>
      </c>
      <c r="AE87" s="1302"/>
      <c r="AF87" s="1303">
        <v>163.12</v>
      </c>
      <c r="AG87" s="1302"/>
      <c r="AH87" s="1303">
        <f t="shared" si="6"/>
        <v>6498.25</v>
      </c>
      <c r="AI87" s="1304">
        <f t="shared" si="7"/>
        <v>1.4798825451162233E-3</v>
      </c>
      <c r="AJ87" s="12"/>
    </row>
    <row r="88" spans="2:36" s="407" customFormat="1" outlineLevel="1">
      <c r="B88" s="24" t="s">
        <v>397</v>
      </c>
      <c r="D88" s="1298">
        <v>50115</v>
      </c>
      <c r="E88" s="1298" t="s">
        <v>120</v>
      </c>
      <c r="F88" s="1299"/>
      <c r="G88" s="1300"/>
      <c r="H88" s="1301"/>
      <c r="I88" s="1302"/>
      <c r="J88" s="1303">
        <v>1273.75</v>
      </c>
      <c r="K88" s="1302"/>
      <c r="L88" s="1303">
        <v>794.97</v>
      </c>
      <c r="M88" s="1302"/>
      <c r="N88" s="1303">
        <v>1118.33</v>
      </c>
      <c r="O88" s="1302"/>
      <c r="P88" s="1303">
        <v>1085.9000000000001</v>
      </c>
      <c r="Q88" s="1302"/>
      <c r="R88" s="1303">
        <v>1015.15</v>
      </c>
      <c r="S88" s="1302"/>
      <c r="T88" s="1303">
        <v>1309.4100000000001</v>
      </c>
      <c r="U88" s="1302"/>
      <c r="V88" s="1303">
        <v>1269.77</v>
      </c>
      <c r="W88" s="1302"/>
      <c r="X88" s="1303">
        <v>1556.15</v>
      </c>
      <c r="Y88" s="1302"/>
      <c r="Z88" s="1303">
        <v>2632.04</v>
      </c>
      <c r="AA88" s="1302"/>
      <c r="AB88" s="1303">
        <v>2077.2600000000002</v>
      </c>
      <c r="AC88" s="1302"/>
      <c r="AD88" s="1303">
        <v>2337.8200000000002</v>
      </c>
      <c r="AE88" s="1302"/>
      <c r="AF88" s="1303">
        <v>2533.5500000000002</v>
      </c>
      <c r="AG88" s="1302"/>
      <c r="AH88" s="1303">
        <f t="shared" si="6"/>
        <v>19004.100000000002</v>
      </c>
      <c r="AI88" s="1304">
        <f t="shared" si="7"/>
        <v>4.327909187187816E-3</v>
      </c>
      <c r="AJ88" s="12"/>
    </row>
    <row r="89" spans="2:36" s="8" customFormat="1" ht="5.0999999999999996" customHeight="1" outlineLevel="1">
      <c r="B89" s="16" t="s">
        <v>194</v>
      </c>
      <c r="D89" s="1299"/>
      <c r="E89" s="1299"/>
      <c r="F89" s="1299"/>
      <c r="G89" s="1299"/>
      <c r="H89" s="1301"/>
      <c r="I89" s="1301"/>
      <c r="J89" s="1311"/>
      <c r="K89" s="1309"/>
      <c r="L89" s="1311"/>
      <c r="M89" s="1309"/>
      <c r="N89" s="1311"/>
      <c r="O89" s="1309"/>
      <c r="P89" s="1311"/>
      <c r="Q89" s="1309"/>
      <c r="R89" s="1311"/>
      <c r="S89" s="1309"/>
      <c r="T89" s="1311"/>
      <c r="U89" s="1309"/>
      <c r="V89" s="1311"/>
      <c r="W89" s="1309"/>
      <c r="X89" s="1311"/>
      <c r="Y89" s="1309"/>
      <c r="Z89" s="1311"/>
      <c r="AA89" s="1309"/>
      <c r="AB89" s="1311"/>
      <c r="AC89" s="1309"/>
      <c r="AD89" s="1311"/>
      <c r="AE89" s="1309"/>
      <c r="AF89" s="1311"/>
      <c r="AG89" s="1309"/>
      <c r="AH89" s="1311"/>
      <c r="AI89" s="1306"/>
      <c r="AJ89" s="15"/>
    </row>
    <row r="90" spans="2:36" s="8" customFormat="1" ht="15">
      <c r="B90" s="16" t="s">
        <v>194</v>
      </c>
      <c r="D90" s="1301"/>
      <c r="E90" s="1301"/>
      <c r="F90" s="1299" t="s">
        <v>229</v>
      </c>
      <c r="G90" s="1301"/>
      <c r="H90" s="1301"/>
      <c r="I90" s="1301"/>
      <c r="J90" s="1308">
        <f>SUM(J77:J89)</f>
        <v>111289.90999999999</v>
      </c>
      <c r="K90" s="1309"/>
      <c r="L90" s="1308">
        <f>SUM(L77:L89)</f>
        <v>96296.83</v>
      </c>
      <c r="M90" s="1309"/>
      <c r="N90" s="1308">
        <f>SUM(N77:N89)</f>
        <v>106779.14000000001</v>
      </c>
      <c r="O90" s="1309"/>
      <c r="P90" s="1308">
        <f>SUM(P77:P89)</f>
        <v>104942.50999999998</v>
      </c>
      <c r="Q90" s="1309"/>
      <c r="R90" s="1308">
        <f>SUM(R77:R89)</f>
        <v>88038.34</v>
      </c>
      <c r="S90" s="1309"/>
      <c r="T90" s="1308">
        <f>SUM(T77:T89)</f>
        <v>101390.26000000002</v>
      </c>
      <c r="U90" s="1309"/>
      <c r="V90" s="1308">
        <f>SUM(V77:V89)</f>
        <v>99289.63</v>
      </c>
      <c r="W90" s="1309"/>
      <c r="X90" s="1308">
        <f>SUM(X77:X89)</f>
        <v>99740.65</v>
      </c>
      <c r="Y90" s="1309"/>
      <c r="Z90" s="1308">
        <f>SUM(Z77:Z89)</f>
        <v>105930.29</v>
      </c>
      <c r="AA90" s="1309"/>
      <c r="AB90" s="1308">
        <f>SUM(AB77:AB89)</f>
        <v>91460.969999999987</v>
      </c>
      <c r="AC90" s="1309"/>
      <c r="AD90" s="1308">
        <f>SUM(AD77:AD89)</f>
        <v>100112.29</v>
      </c>
      <c r="AE90" s="1309"/>
      <c r="AF90" s="1308">
        <f>SUM(AF77:AF89)</f>
        <v>108841.09999999999</v>
      </c>
      <c r="AG90" s="1309"/>
      <c r="AH90" s="1308">
        <f>SUM(AH77:AH89)</f>
        <v>1214111.92</v>
      </c>
      <c r="AI90" s="1304">
        <f>IF(AH$48=0,0,AH90/AH$48)</f>
        <v>0.27649644723203087</v>
      </c>
      <c r="AJ90" s="15"/>
    </row>
    <row r="91" spans="2:36" s="8" customFormat="1" ht="15" outlineLevel="1">
      <c r="D91" s="1301"/>
      <c r="E91" s="1301"/>
      <c r="F91" s="1301"/>
      <c r="G91" s="1301"/>
      <c r="H91" s="1301"/>
      <c r="I91" s="1301"/>
      <c r="J91" s="1310"/>
      <c r="K91" s="1309"/>
      <c r="L91" s="1310"/>
      <c r="M91" s="1309"/>
      <c r="N91" s="1310"/>
      <c r="O91" s="1309"/>
      <c r="P91" s="1310"/>
      <c r="Q91" s="1309"/>
      <c r="R91" s="1310"/>
      <c r="S91" s="1309"/>
      <c r="T91" s="1310"/>
      <c r="U91" s="1309"/>
      <c r="V91" s="1310"/>
      <c r="W91" s="1309"/>
      <c r="X91" s="1310"/>
      <c r="Y91" s="1309"/>
      <c r="Z91" s="1310"/>
      <c r="AA91" s="1309"/>
      <c r="AB91" s="1310"/>
      <c r="AC91" s="1309"/>
      <c r="AD91" s="1310"/>
      <c r="AE91" s="1309"/>
      <c r="AF91" s="1310"/>
      <c r="AG91" s="1309"/>
      <c r="AH91" s="1310"/>
      <c r="AI91" s="1306"/>
      <c r="AJ91" s="15"/>
    </row>
    <row r="92" spans="2:36" s="407" customFormat="1" outlineLevel="1">
      <c r="B92" s="24" t="s">
        <v>410</v>
      </c>
      <c r="D92" s="1298">
        <v>51295</v>
      </c>
      <c r="E92" s="1298" t="s">
        <v>163</v>
      </c>
      <c r="F92" s="1299"/>
      <c r="G92" s="1300"/>
      <c r="H92" s="1301"/>
      <c r="I92" s="1302"/>
      <c r="J92" s="1303">
        <v>693.56</v>
      </c>
      <c r="K92" s="1302"/>
      <c r="L92" s="1303">
        <v>693.57</v>
      </c>
      <c r="M92" s="1302"/>
      <c r="N92" s="1303">
        <v>693.56</v>
      </c>
      <c r="O92" s="1302"/>
      <c r="P92" s="1303">
        <v>693.56</v>
      </c>
      <c r="Q92" s="1302"/>
      <c r="R92" s="1303">
        <v>693.56</v>
      </c>
      <c r="S92" s="1302"/>
      <c r="T92" s="1303">
        <v>693.57</v>
      </c>
      <c r="U92" s="1302"/>
      <c r="V92" s="1303">
        <v>693.55</v>
      </c>
      <c r="W92" s="1302"/>
      <c r="X92" s="1303">
        <v>693.57</v>
      </c>
      <c r="Y92" s="1302"/>
      <c r="Z92" s="1303">
        <v>791.98</v>
      </c>
      <c r="AA92" s="1302"/>
      <c r="AB92" s="1303">
        <v>766.98</v>
      </c>
      <c r="AC92" s="1302"/>
      <c r="AD92" s="1303">
        <v>766.98</v>
      </c>
      <c r="AE92" s="1302"/>
      <c r="AF92" s="1303">
        <v>849.98</v>
      </c>
      <c r="AG92" s="1302"/>
      <c r="AH92" s="1303">
        <f>AF92+AD92+AB92+Z92+X92+V92+T92+R92+P92+N92+L92+J92</f>
        <v>8724.4199999999983</v>
      </c>
      <c r="AI92" s="1304">
        <f>IF(AH$48=0,0,AH92/AH$48)</f>
        <v>1.9868605969703963E-3</v>
      </c>
      <c r="AJ92" s="12"/>
    </row>
    <row r="93" spans="2:36" s="8" customFormat="1" ht="5.0999999999999996" customHeight="1" outlineLevel="1">
      <c r="B93" s="2" t="s">
        <v>194</v>
      </c>
      <c r="D93" s="1299"/>
      <c r="E93" s="1299"/>
      <c r="F93" s="1299"/>
      <c r="G93" s="1299"/>
      <c r="H93" s="1301"/>
      <c r="I93" s="1301"/>
      <c r="J93" s="1311"/>
      <c r="K93" s="1309"/>
      <c r="L93" s="1311"/>
      <c r="M93" s="1309"/>
      <c r="N93" s="1311"/>
      <c r="O93" s="1309"/>
      <c r="P93" s="1311"/>
      <c r="Q93" s="1309"/>
      <c r="R93" s="1311"/>
      <c r="S93" s="1309"/>
      <c r="T93" s="1311"/>
      <c r="U93" s="1309"/>
      <c r="V93" s="1311"/>
      <c r="W93" s="1309"/>
      <c r="X93" s="1311"/>
      <c r="Y93" s="1309"/>
      <c r="Z93" s="1311"/>
      <c r="AA93" s="1309"/>
      <c r="AB93" s="1311"/>
      <c r="AC93" s="1309"/>
      <c r="AD93" s="1311"/>
      <c r="AE93" s="1309"/>
      <c r="AF93" s="1311"/>
      <c r="AG93" s="1309"/>
      <c r="AH93" s="1311"/>
      <c r="AI93" s="1306"/>
      <c r="AJ93" s="15"/>
    </row>
    <row r="94" spans="2:36" s="8" customFormat="1" ht="15">
      <c r="B94" s="2"/>
      <c r="D94" s="1301"/>
      <c r="E94" s="1301"/>
      <c r="F94" s="1299" t="s">
        <v>230</v>
      </c>
      <c r="G94" s="1301"/>
      <c r="H94" s="1301"/>
      <c r="I94" s="1301"/>
      <c r="J94" s="1308">
        <f>SUM(J92:J93)</f>
        <v>693.56</v>
      </c>
      <c r="K94" s="1309"/>
      <c r="L94" s="1308">
        <f>SUM(L92:L93)</f>
        <v>693.57</v>
      </c>
      <c r="M94" s="1309"/>
      <c r="N94" s="1308">
        <f>SUM(N92:N93)</f>
        <v>693.56</v>
      </c>
      <c r="O94" s="1309"/>
      <c r="P94" s="1308">
        <f>SUM(P92:P93)</f>
        <v>693.56</v>
      </c>
      <c r="Q94" s="1309"/>
      <c r="R94" s="1308">
        <f>SUM(R92:R93)</f>
        <v>693.56</v>
      </c>
      <c r="S94" s="1309"/>
      <c r="T94" s="1308">
        <f>SUM(T92:T93)</f>
        <v>693.57</v>
      </c>
      <c r="U94" s="1309"/>
      <c r="V94" s="1308">
        <f>SUM(V92:V93)</f>
        <v>693.55</v>
      </c>
      <c r="W94" s="1309"/>
      <c r="X94" s="1308">
        <f>SUM(X92:X93)</f>
        <v>693.57</v>
      </c>
      <c r="Y94" s="1309"/>
      <c r="Z94" s="1308">
        <f>SUM(Z92:Z93)</f>
        <v>791.98</v>
      </c>
      <c r="AA94" s="1309"/>
      <c r="AB94" s="1308">
        <f>SUM(AB92:AB93)</f>
        <v>766.98</v>
      </c>
      <c r="AC94" s="1309"/>
      <c r="AD94" s="1308">
        <f>SUM(AD92:AD93)</f>
        <v>766.98</v>
      </c>
      <c r="AE94" s="1309"/>
      <c r="AF94" s="1308">
        <f>SUM(AF92:AF93)</f>
        <v>849.98</v>
      </c>
      <c r="AG94" s="1309"/>
      <c r="AH94" s="1308">
        <f>SUM(AH92:AH93)</f>
        <v>8724.4199999999983</v>
      </c>
      <c r="AI94" s="1304">
        <f>IF(AH$48=0,0,AH94/AH$48)</f>
        <v>1.9868605969703963E-3</v>
      </c>
      <c r="AJ94" s="15"/>
    </row>
    <row r="95" spans="2:36" s="8" customFormat="1" ht="15" outlineLevel="1">
      <c r="B95" s="2"/>
      <c r="D95" s="1301"/>
      <c r="E95" s="1301"/>
      <c r="F95" s="1301"/>
      <c r="G95" s="1301"/>
      <c r="H95" s="1301"/>
      <c r="I95" s="1301"/>
      <c r="J95" s="1310"/>
      <c r="K95" s="1309"/>
      <c r="L95" s="1310"/>
      <c r="M95" s="1309"/>
      <c r="N95" s="1310"/>
      <c r="O95" s="1309"/>
      <c r="P95" s="1310"/>
      <c r="Q95" s="1309"/>
      <c r="R95" s="1310"/>
      <c r="S95" s="1309"/>
      <c r="T95" s="1310"/>
      <c r="U95" s="1309"/>
      <c r="V95" s="1310"/>
      <c r="W95" s="1309"/>
      <c r="X95" s="1310"/>
      <c r="Y95" s="1309"/>
      <c r="Z95" s="1310"/>
      <c r="AA95" s="1309"/>
      <c r="AB95" s="1310"/>
      <c r="AC95" s="1309"/>
      <c r="AD95" s="1310"/>
      <c r="AE95" s="1309"/>
      <c r="AF95" s="1310"/>
      <c r="AG95" s="1309"/>
      <c r="AH95" s="1310"/>
      <c r="AI95" s="1306"/>
      <c r="AJ95" s="15"/>
    </row>
    <row r="96" spans="2:36" s="8" customFormat="1" ht="15" outlineLevel="1">
      <c r="B96" s="2"/>
      <c r="D96" s="1301"/>
      <c r="E96" s="1301"/>
      <c r="F96" s="1301"/>
      <c r="G96" s="1301"/>
      <c r="H96" s="1301"/>
      <c r="I96" s="1301"/>
      <c r="J96" s="1310"/>
      <c r="K96" s="1309"/>
      <c r="L96" s="1310"/>
      <c r="M96" s="1309"/>
      <c r="N96" s="1310"/>
      <c r="O96" s="1309"/>
      <c r="P96" s="1310"/>
      <c r="Q96" s="1309"/>
      <c r="R96" s="1310"/>
      <c r="S96" s="1309"/>
      <c r="T96" s="1310"/>
      <c r="U96" s="1309"/>
      <c r="V96" s="1310"/>
      <c r="W96" s="1309"/>
      <c r="X96" s="1310"/>
      <c r="Y96" s="1309"/>
      <c r="Z96" s="1310"/>
      <c r="AA96" s="1309"/>
      <c r="AB96" s="1310"/>
      <c r="AC96" s="1309"/>
      <c r="AD96" s="1310"/>
      <c r="AE96" s="1309"/>
      <c r="AF96" s="1310"/>
      <c r="AG96" s="1309"/>
      <c r="AH96" s="1310"/>
      <c r="AI96" s="1306"/>
      <c r="AJ96" s="15"/>
    </row>
    <row r="97" spans="2:36" s="407" customFormat="1" outlineLevel="1">
      <c r="B97" s="24" t="s">
        <v>411</v>
      </c>
      <c r="D97" s="1298">
        <v>52020</v>
      </c>
      <c r="E97" s="1298" t="s">
        <v>24</v>
      </c>
      <c r="F97" s="1299"/>
      <c r="G97" s="1300"/>
      <c r="H97" s="1301"/>
      <c r="I97" s="1302"/>
      <c r="J97" s="1303">
        <v>4082.6</v>
      </c>
      <c r="K97" s="1302"/>
      <c r="L97" s="1303">
        <v>3394.42</v>
      </c>
      <c r="M97" s="1302"/>
      <c r="N97" s="1303">
        <v>3351.68</v>
      </c>
      <c r="O97" s="1302"/>
      <c r="P97" s="1303">
        <v>3596.79</v>
      </c>
      <c r="Q97" s="1302"/>
      <c r="R97" s="1303">
        <v>3601</v>
      </c>
      <c r="S97" s="1302"/>
      <c r="T97" s="1303">
        <v>3427.72</v>
      </c>
      <c r="U97" s="1302"/>
      <c r="V97" s="1303">
        <v>3862.02</v>
      </c>
      <c r="W97" s="1302"/>
      <c r="X97" s="1303">
        <v>3878.7</v>
      </c>
      <c r="Y97" s="1302"/>
      <c r="Z97" s="1303">
        <v>4397.22</v>
      </c>
      <c r="AA97" s="1302"/>
      <c r="AB97" s="1303">
        <v>3349.17</v>
      </c>
      <c r="AC97" s="1302"/>
      <c r="AD97" s="1303">
        <v>3685.03</v>
      </c>
      <c r="AE97" s="1302"/>
      <c r="AF97" s="1303">
        <v>3997.13</v>
      </c>
      <c r="AG97" s="1302"/>
      <c r="AH97" s="1303">
        <f t="shared" ref="AH97:AH114" si="8">AF97+AD97+AB97+Z97+X97+V97+T97+R97+P97+N97+L97+J97</f>
        <v>44623.479999999996</v>
      </c>
      <c r="AI97" s="1304">
        <f t="shared" ref="AI97:AI114" si="9">IF(AH$48=0,0,AH97/AH$48)</f>
        <v>1.0162352811040339E-2</v>
      </c>
      <c r="AJ97" s="12"/>
    </row>
    <row r="98" spans="2:36" s="407" customFormat="1" outlineLevel="1">
      <c r="B98" s="24" t="s">
        <v>397</v>
      </c>
      <c r="D98" s="1298">
        <v>52025</v>
      </c>
      <c r="E98" s="1298" t="s">
        <v>25</v>
      </c>
      <c r="F98" s="1299"/>
      <c r="G98" s="1300"/>
      <c r="H98" s="1301"/>
      <c r="I98" s="1302"/>
      <c r="J98" s="1303">
        <v>993.73</v>
      </c>
      <c r="K98" s="1302"/>
      <c r="L98" s="1303">
        <v>110.67</v>
      </c>
      <c r="M98" s="1302"/>
      <c r="N98" s="1303">
        <v>69.81</v>
      </c>
      <c r="O98" s="1302"/>
      <c r="P98" s="1303">
        <v>612.94000000000005</v>
      </c>
      <c r="Q98" s="1302"/>
      <c r="R98" s="1303">
        <v>502.27</v>
      </c>
      <c r="S98" s="1302"/>
      <c r="T98" s="1303">
        <v>6.26</v>
      </c>
      <c r="U98" s="1302"/>
      <c r="V98" s="1303">
        <v>787.13</v>
      </c>
      <c r="W98" s="1302"/>
      <c r="X98" s="1303">
        <v>353.58</v>
      </c>
      <c r="Y98" s="1302"/>
      <c r="Z98" s="1303">
        <v>168.72</v>
      </c>
      <c r="AA98" s="1302"/>
      <c r="AB98" s="1303">
        <v>176.6</v>
      </c>
      <c r="AC98" s="1302"/>
      <c r="AD98" s="1303">
        <v>436.09</v>
      </c>
      <c r="AE98" s="1302"/>
      <c r="AF98" s="1303">
        <v>439.6</v>
      </c>
      <c r="AG98" s="1302"/>
      <c r="AH98" s="1303">
        <f t="shared" si="8"/>
        <v>4657.3999999999996</v>
      </c>
      <c r="AI98" s="1304">
        <f t="shared" si="9"/>
        <v>1.0606555558226134E-3</v>
      </c>
      <c r="AJ98" s="12"/>
    </row>
    <row r="99" spans="2:36" s="407" customFormat="1" outlineLevel="1">
      <c r="B99" s="24" t="s">
        <v>397</v>
      </c>
      <c r="D99" s="1298">
        <v>52035</v>
      </c>
      <c r="E99" s="1298" t="s">
        <v>26</v>
      </c>
      <c r="F99" s="1299"/>
      <c r="G99" s="1300"/>
      <c r="H99" s="1301"/>
      <c r="I99" s="1302"/>
      <c r="J99" s="1303">
        <v>0</v>
      </c>
      <c r="K99" s="1302"/>
      <c r="L99" s="1303">
        <v>0</v>
      </c>
      <c r="M99" s="1302"/>
      <c r="N99" s="1303">
        <v>0</v>
      </c>
      <c r="O99" s="1302"/>
      <c r="P99" s="1303">
        <v>0</v>
      </c>
      <c r="Q99" s="1302"/>
      <c r="R99" s="1303">
        <v>0</v>
      </c>
      <c r="S99" s="1302"/>
      <c r="T99" s="1303">
        <v>0</v>
      </c>
      <c r="U99" s="1302"/>
      <c r="V99" s="1303">
        <v>0</v>
      </c>
      <c r="W99" s="1302"/>
      <c r="X99" s="1303">
        <v>0</v>
      </c>
      <c r="Y99" s="1302"/>
      <c r="Z99" s="1303">
        <v>156.25</v>
      </c>
      <c r="AA99" s="1302"/>
      <c r="AB99" s="1303">
        <v>156.25</v>
      </c>
      <c r="AC99" s="1302"/>
      <c r="AD99" s="1303">
        <v>156.25</v>
      </c>
      <c r="AE99" s="1302"/>
      <c r="AF99" s="1303">
        <v>156.25</v>
      </c>
      <c r="AG99" s="1302"/>
      <c r="AH99" s="1303">
        <f t="shared" si="8"/>
        <v>625</v>
      </c>
      <c r="AI99" s="1304">
        <f t="shared" si="9"/>
        <v>1.423347194548747E-4</v>
      </c>
      <c r="AJ99" s="12"/>
    </row>
    <row r="100" spans="2:36" s="407" customFormat="1" outlineLevel="1">
      <c r="B100" s="24" t="s">
        <v>397</v>
      </c>
      <c r="D100" s="1298">
        <v>52050</v>
      </c>
      <c r="E100" s="1298" t="s">
        <v>166</v>
      </c>
      <c r="F100" s="1299"/>
      <c r="G100" s="1300"/>
      <c r="H100" s="1301"/>
      <c r="I100" s="1302"/>
      <c r="J100" s="1303">
        <v>443.37</v>
      </c>
      <c r="K100" s="1302"/>
      <c r="L100" s="1303">
        <v>286.76</v>
      </c>
      <c r="M100" s="1302"/>
      <c r="N100" s="1303">
        <v>289.35000000000002</v>
      </c>
      <c r="O100" s="1302"/>
      <c r="P100" s="1303">
        <v>350.91</v>
      </c>
      <c r="Q100" s="1302"/>
      <c r="R100" s="1303">
        <v>338.87</v>
      </c>
      <c r="S100" s="1302"/>
      <c r="T100" s="1303">
        <v>309.44</v>
      </c>
      <c r="U100" s="1302"/>
      <c r="V100" s="1303">
        <v>364.76</v>
      </c>
      <c r="W100" s="1302"/>
      <c r="X100" s="1303">
        <v>357.53</v>
      </c>
      <c r="Y100" s="1302"/>
      <c r="Z100" s="1303">
        <v>565.59</v>
      </c>
      <c r="AA100" s="1302"/>
      <c r="AB100" s="1303">
        <v>318.52</v>
      </c>
      <c r="AC100" s="1302"/>
      <c r="AD100" s="1303">
        <v>375.8</v>
      </c>
      <c r="AE100" s="1302"/>
      <c r="AF100" s="1303">
        <v>408.62</v>
      </c>
      <c r="AG100" s="1302"/>
      <c r="AH100" s="1303">
        <f t="shared" si="8"/>
        <v>4409.5199999999995</v>
      </c>
      <c r="AI100" s="1304">
        <f t="shared" si="9"/>
        <v>1.0042044674090545E-3</v>
      </c>
      <c r="AJ100" s="12"/>
    </row>
    <row r="101" spans="2:36" s="407" customFormat="1" outlineLevel="1">
      <c r="B101" s="24" t="s">
        <v>397</v>
      </c>
      <c r="D101" s="1298">
        <v>52060</v>
      </c>
      <c r="E101" s="1298" t="s">
        <v>75</v>
      </c>
      <c r="F101" s="1299"/>
      <c r="G101" s="1300"/>
      <c r="H101" s="1301"/>
      <c r="I101" s="1302"/>
      <c r="J101" s="1303">
        <v>916.6</v>
      </c>
      <c r="K101" s="1302"/>
      <c r="L101" s="1303">
        <v>1166.0999999999999</v>
      </c>
      <c r="M101" s="1302"/>
      <c r="N101" s="1303">
        <v>1166.0999999999999</v>
      </c>
      <c r="O101" s="1302"/>
      <c r="P101" s="1303">
        <v>1166.0999999999999</v>
      </c>
      <c r="Q101" s="1302"/>
      <c r="R101" s="1303">
        <v>1174.1500000000001</v>
      </c>
      <c r="S101" s="1302"/>
      <c r="T101" s="1303">
        <v>1166.0999999999999</v>
      </c>
      <c r="U101" s="1302"/>
      <c r="V101" s="1303">
        <v>1166.0999999999999</v>
      </c>
      <c r="W101" s="1302"/>
      <c r="X101" s="1303">
        <v>1166.0999999999999</v>
      </c>
      <c r="Y101" s="1302"/>
      <c r="Z101" s="1303">
        <v>1216.54</v>
      </c>
      <c r="AA101" s="1302"/>
      <c r="AB101" s="1303">
        <v>1201.3900000000001</v>
      </c>
      <c r="AC101" s="1302"/>
      <c r="AD101" s="1303">
        <v>1214.56</v>
      </c>
      <c r="AE101" s="1302"/>
      <c r="AF101" s="1303">
        <v>1206.03</v>
      </c>
      <c r="AG101" s="1302"/>
      <c r="AH101" s="1303">
        <f t="shared" si="8"/>
        <v>13925.870000000003</v>
      </c>
      <c r="AI101" s="1304">
        <f t="shared" si="9"/>
        <v>3.1714156793840906E-3</v>
      </c>
      <c r="AJ101" s="12"/>
    </row>
    <row r="102" spans="2:36" s="407" customFormat="1" outlineLevel="1">
      <c r="B102" s="24" t="s">
        <v>397</v>
      </c>
      <c r="D102" s="1298">
        <v>52065</v>
      </c>
      <c r="E102" s="1298" t="s">
        <v>21</v>
      </c>
      <c r="F102" s="1299"/>
      <c r="G102" s="1300"/>
      <c r="H102" s="1301"/>
      <c r="I102" s="1302"/>
      <c r="J102" s="1303">
        <v>0</v>
      </c>
      <c r="K102" s="1302"/>
      <c r="L102" s="1303">
        <v>0</v>
      </c>
      <c r="M102" s="1302"/>
      <c r="N102" s="1303">
        <v>0</v>
      </c>
      <c r="O102" s="1302"/>
      <c r="P102" s="1303">
        <v>0</v>
      </c>
      <c r="Q102" s="1302"/>
      <c r="R102" s="1303">
        <v>0</v>
      </c>
      <c r="S102" s="1302"/>
      <c r="T102" s="1303">
        <v>0.01</v>
      </c>
      <c r="U102" s="1302"/>
      <c r="V102" s="1303">
        <v>0</v>
      </c>
      <c r="W102" s="1302"/>
      <c r="X102" s="1303">
        <v>0</v>
      </c>
      <c r="Y102" s="1302"/>
      <c r="Z102" s="1303">
        <v>329.64</v>
      </c>
      <c r="AA102" s="1302"/>
      <c r="AB102" s="1303">
        <v>107.88</v>
      </c>
      <c r="AC102" s="1302"/>
      <c r="AD102" s="1303">
        <v>323.63</v>
      </c>
      <c r="AE102" s="1302"/>
      <c r="AF102" s="1303">
        <v>28.95</v>
      </c>
      <c r="AG102" s="1302"/>
      <c r="AH102" s="1303">
        <f t="shared" si="8"/>
        <v>790.1099999999999</v>
      </c>
      <c r="AI102" s="1304">
        <f t="shared" si="9"/>
        <v>1.7993613630158567E-4</v>
      </c>
      <c r="AJ102" s="12"/>
    </row>
    <row r="103" spans="2:36" s="407" customFormat="1" outlineLevel="1">
      <c r="B103" s="24" t="s">
        <v>397</v>
      </c>
      <c r="D103" s="1298">
        <v>52070</v>
      </c>
      <c r="E103" s="1298" t="s">
        <v>22</v>
      </c>
      <c r="F103" s="1299"/>
      <c r="G103" s="1300"/>
      <c r="H103" s="1301"/>
      <c r="I103" s="1302"/>
      <c r="J103" s="1303">
        <v>147.11000000000001</v>
      </c>
      <c r="K103" s="1302"/>
      <c r="L103" s="1303">
        <v>363.2</v>
      </c>
      <c r="M103" s="1302"/>
      <c r="N103" s="1303">
        <v>0</v>
      </c>
      <c r="O103" s="1302"/>
      <c r="P103" s="1303">
        <v>0</v>
      </c>
      <c r="Q103" s="1302"/>
      <c r="R103" s="1303">
        <v>0</v>
      </c>
      <c r="S103" s="1302"/>
      <c r="T103" s="1303">
        <v>278.08</v>
      </c>
      <c r="U103" s="1302"/>
      <c r="V103" s="1303">
        <v>0</v>
      </c>
      <c r="W103" s="1302"/>
      <c r="X103" s="1303">
        <v>0</v>
      </c>
      <c r="Y103" s="1302"/>
      <c r="Z103" s="1303">
        <v>0</v>
      </c>
      <c r="AA103" s="1302"/>
      <c r="AB103" s="1303">
        <v>249.07</v>
      </c>
      <c r="AC103" s="1302"/>
      <c r="AD103" s="1303">
        <v>186.8</v>
      </c>
      <c r="AE103" s="1302"/>
      <c r="AF103" s="1303">
        <v>373.6</v>
      </c>
      <c r="AG103" s="1302"/>
      <c r="AH103" s="1303">
        <f t="shared" si="8"/>
        <v>1597.8600000000001</v>
      </c>
      <c r="AI103" s="1304">
        <f t="shared" si="9"/>
        <v>3.6388952772506579E-4</v>
      </c>
      <c r="AJ103" s="12"/>
    </row>
    <row r="104" spans="2:36" s="407" customFormat="1" outlineLevel="1">
      <c r="B104" s="24" t="s">
        <v>397</v>
      </c>
      <c r="D104" s="1298">
        <v>52086</v>
      </c>
      <c r="E104" s="1298" t="s">
        <v>60</v>
      </c>
      <c r="F104" s="1299"/>
      <c r="G104" s="1300"/>
      <c r="H104" s="1301"/>
      <c r="I104" s="1302"/>
      <c r="J104" s="1303">
        <v>0</v>
      </c>
      <c r="K104" s="1302"/>
      <c r="L104" s="1303">
        <v>0</v>
      </c>
      <c r="M104" s="1302"/>
      <c r="N104" s="1303">
        <v>0</v>
      </c>
      <c r="O104" s="1302"/>
      <c r="P104" s="1303">
        <v>0</v>
      </c>
      <c r="Q104" s="1302"/>
      <c r="R104" s="1303">
        <v>0</v>
      </c>
      <c r="S104" s="1302"/>
      <c r="T104" s="1303">
        <v>0</v>
      </c>
      <c r="U104" s="1302"/>
      <c r="V104" s="1303">
        <v>0</v>
      </c>
      <c r="W104" s="1302"/>
      <c r="X104" s="1303">
        <v>0</v>
      </c>
      <c r="Y104" s="1302"/>
      <c r="Z104" s="1303">
        <v>0</v>
      </c>
      <c r="AA104" s="1302"/>
      <c r="AB104" s="1303">
        <v>0</v>
      </c>
      <c r="AC104" s="1302"/>
      <c r="AD104" s="1303">
        <v>0</v>
      </c>
      <c r="AE104" s="1302"/>
      <c r="AF104" s="1303">
        <v>0</v>
      </c>
      <c r="AG104" s="1302"/>
      <c r="AH104" s="1303">
        <f t="shared" si="8"/>
        <v>0</v>
      </c>
      <c r="AI104" s="1304">
        <f t="shared" si="9"/>
        <v>0</v>
      </c>
      <c r="AJ104" s="12"/>
    </row>
    <row r="105" spans="2:36" s="407" customFormat="1" outlineLevel="1">
      <c r="B105" s="24" t="s">
        <v>397</v>
      </c>
      <c r="D105" s="1298">
        <v>52115</v>
      </c>
      <c r="E105" s="1298" t="s">
        <v>120</v>
      </c>
      <c r="F105" s="1299"/>
      <c r="G105" s="1300"/>
      <c r="H105" s="1301"/>
      <c r="I105" s="1302"/>
      <c r="J105" s="1303">
        <v>122.06</v>
      </c>
      <c r="K105" s="1302"/>
      <c r="L105" s="1303">
        <v>82.42</v>
      </c>
      <c r="M105" s="1302"/>
      <c r="N105" s="1303">
        <v>106.34</v>
      </c>
      <c r="O105" s="1302"/>
      <c r="P105" s="1303">
        <v>95.1</v>
      </c>
      <c r="Q105" s="1302"/>
      <c r="R105" s="1303">
        <v>82.07</v>
      </c>
      <c r="S105" s="1302"/>
      <c r="T105" s="1303">
        <v>83.23</v>
      </c>
      <c r="U105" s="1302"/>
      <c r="V105" s="1303">
        <v>96.96</v>
      </c>
      <c r="W105" s="1302"/>
      <c r="X105" s="1303">
        <v>123.46</v>
      </c>
      <c r="Y105" s="1302"/>
      <c r="Z105" s="1303">
        <v>260.08999999999997</v>
      </c>
      <c r="AA105" s="1302"/>
      <c r="AB105" s="1303">
        <v>161.02000000000001</v>
      </c>
      <c r="AC105" s="1302"/>
      <c r="AD105" s="1303">
        <v>172.32</v>
      </c>
      <c r="AE105" s="1302"/>
      <c r="AF105" s="1303">
        <v>192.43</v>
      </c>
      <c r="AG105" s="1302"/>
      <c r="AH105" s="1303">
        <f t="shared" si="8"/>
        <v>1577.4999999999998</v>
      </c>
      <c r="AI105" s="1304">
        <f t="shared" si="9"/>
        <v>3.5925283190410372E-4</v>
      </c>
      <c r="AJ105" s="12"/>
    </row>
    <row r="106" spans="2:36" s="407" customFormat="1" outlineLevel="1">
      <c r="B106" s="24" t="s">
        <v>397</v>
      </c>
      <c r="D106" s="1298">
        <v>52120</v>
      </c>
      <c r="E106" s="1298" t="s">
        <v>231</v>
      </c>
      <c r="F106" s="1299"/>
      <c r="G106" s="1300"/>
      <c r="H106" s="1301"/>
      <c r="I106" s="1302"/>
      <c r="J106" s="1303">
        <v>5162.21</v>
      </c>
      <c r="K106" s="1302"/>
      <c r="L106" s="1303">
        <v>524.49</v>
      </c>
      <c r="M106" s="1302"/>
      <c r="N106" s="1303">
        <v>3022.68</v>
      </c>
      <c r="O106" s="1302"/>
      <c r="P106" s="1303">
        <v>3918.62</v>
      </c>
      <c r="Q106" s="1302"/>
      <c r="R106" s="1303">
        <v>4274.1400000000003</v>
      </c>
      <c r="S106" s="1302"/>
      <c r="T106" s="1303">
        <v>4141.67</v>
      </c>
      <c r="U106" s="1302"/>
      <c r="V106" s="1303">
        <v>5350.31</v>
      </c>
      <c r="W106" s="1302"/>
      <c r="X106" s="1303">
        <v>6212.76</v>
      </c>
      <c r="Y106" s="1302"/>
      <c r="Z106" s="1303">
        <v>4807.87</v>
      </c>
      <c r="AA106" s="1302"/>
      <c r="AB106" s="1303">
        <v>4102.5200000000004</v>
      </c>
      <c r="AC106" s="1302"/>
      <c r="AD106" s="1303">
        <v>9875.9</v>
      </c>
      <c r="AE106" s="1302"/>
      <c r="AF106" s="1303">
        <v>1910.03</v>
      </c>
      <c r="AG106" s="1302"/>
      <c r="AH106" s="1303">
        <f t="shared" si="8"/>
        <v>53303.200000000004</v>
      </c>
      <c r="AI106" s="1304">
        <f t="shared" si="9"/>
        <v>1.2139033628875326E-2</v>
      </c>
      <c r="AJ106" s="12"/>
    </row>
    <row r="107" spans="2:36" s="407" customFormat="1" outlineLevel="1">
      <c r="B107" s="24" t="s">
        <v>397</v>
      </c>
      <c r="D107" s="1298">
        <v>52125</v>
      </c>
      <c r="E107" s="1298" t="s">
        <v>62</v>
      </c>
      <c r="F107" s="1299"/>
      <c r="G107" s="1300"/>
      <c r="H107" s="1301"/>
      <c r="I107" s="1302"/>
      <c r="J107" s="1303">
        <v>68.48</v>
      </c>
      <c r="K107" s="1302"/>
      <c r="L107" s="1303">
        <v>0</v>
      </c>
      <c r="M107" s="1302"/>
      <c r="N107" s="1303">
        <v>0</v>
      </c>
      <c r="O107" s="1302"/>
      <c r="P107" s="1303">
        <v>0</v>
      </c>
      <c r="Q107" s="1302"/>
      <c r="R107" s="1303">
        <v>0</v>
      </c>
      <c r="S107" s="1302"/>
      <c r="T107" s="1303">
        <v>0</v>
      </c>
      <c r="U107" s="1302"/>
      <c r="V107" s="1303">
        <v>0</v>
      </c>
      <c r="W107" s="1302"/>
      <c r="X107" s="1303">
        <v>0</v>
      </c>
      <c r="Y107" s="1302"/>
      <c r="Z107" s="1303">
        <v>0</v>
      </c>
      <c r="AA107" s="1302"/>
      <c r="AB107" s="1303">
        <v>0</v>
      </c>
      <c r="AC107" s="1302"/>
      <c r="AD107" s="1303">
        <v>0</v>
      </c>
      <c r="AE107" s="1302"/>
      <c r="AF107" s="1303">
        <v>0</v>
      </c>
      <c r="AG107" s="1302"/>
      <c r="AH107" s="1303">
        <f t="shared" si="8"/>
        <v>68.48</v>
      </c>
      <c r="AI107" s="1304">
        <f t="shared" si="9"/>
        <v>1.5595330541231714E-5</v>
      </c>
      <c r="AJ107" s="12"/>
    </row>
    <row r="108" spans="2:36" s="407" customFormat="1" outlineLevel="1">
      <c r="B108" s="24" t="s">
        <v>397</v>
      </c>
      <c r="D108" s="1298">
        <v>52140</v>
      </c>
      <c r="E108" s="1298" t="s">
        <v>233</v>
      </c>
      <c r="F108" s="1299"/>
      <c r="G108" s="1300"/>
      <c r="H108" s="1301"/>
      <c r="I108" s="1302"/>
      <c r="J108" s="1303">
        <v>0</v>
      </c>
      <c r="K108" s="1302"/>
      <c r="L108" s="1303">
        <v>0</v>
      </c>
      <c r="M108" s="1302"/>
      <c r="N108" s="1303">
        <v>0</v>
      </c>
      <c r="O108" s="1302"/>
      <c r="P108" s="1303">
        <v>0</v>
      </c>
      <c r="Q108" s="1302"/>
      <c r="R108" s="1303">
        <v>0</v>
      </c>
      <c r="S108" s="1302"/>
      <c r="T108" s="1303">
        <v>0</v>
      </c>
      <c r="U108" s="1302"/>
      <c r="V108" s="1303">
        <v>0</v>
      </c>
      <c r="W108" s="1302"/>
      <c r="X108" s="1303">
        <v>0</v>
      </c>
      <c r="Y108" s="1302"/>
      <c r="Z108" s="1303">
        <v>0</v>
      </c>
      <c r="AA108" s="1302"/>
      <c r="AB108" s="1303">
        <v>0</v>
      </c>
      <c r="AC108" s="1302"/>
      <c r="AD108" s="1303">
        <v>0</v>
      </c>
      <c r="AE108" s="1302"/>
      <c r="AF108" s="1303">
        <v>0</v>
      </c>
      <c r="AG108" s="1302"/>
      <c r="AH108" s="1303">
        <f t="shared" si="8"/>
        <v>0</v>
      </c>
      <c r="AI108" s="1304">
        <f t="shared" si="9"/>
        <v>0</v>
      </c>
      <c r="AJ108" s="12"/>
    </row>
    <row r="109" spans="2:36" s="407" customFormat="1" outlineLevel="1">
      <c r="B109" s="24" t="s">
        <v>397</v>
      </c>
      <c r="D109" s="1298">
        <v>52142</v>
      </c>
      <c r="E109" s="1298" t="s">
        <v>51</v>
      </c>
      <c r="F109" s="1299"/>
      <c r="G109" s="1300"/>
      <c r="H109" s="1301"/>
      <c r="I109" s="1302"/>
      <c r="J109" s="1303">
        <v>19343.95</v>
      </c>
      <c r="K109" s="1302"/>
      <c r="L109" s="1303">
        <v>18902.38</v>
      </c>
      <c r="M109" s="1302"/>
      <c r="N109" s="1303">
        <v>18342.05</v>
      </c>
      <c r="O109" s="1302"/>
      <c r="P109" s="1303">
        <v>18304.54</v>
      </c>
      <c r="Q109" s="1302"/>
      <c r="R109" s="1303">
        <v>17481.89</v>
      </c>
      <c r="S109" s="1302"/>
      <c r="T109" s="1303">
        <v>18813.900000000001</v>
      </c>
      <c r="U109" s="1302"/>
      <c r="V109" s="1303">
        <v>15042.09</v>
      </c>
      <c r="W109" s="1302"/>
      <c r="X109" s="1303">
        <v>13908.97</v>
      </c>
      <c r="Y109" s="1302"/>
      <c r="Z109" s="1303">
        <v>16530.75</v>
      </c>
      <c r="AA109" s="1302"/>
      <c r="AB109" s="1303">
        <v>12164.96</v>
      </c>
      <c r="AC109" s="1302"/>
      <c r="AD109" s="1303">
        <v>16558.71</v>
      </c>
      <c r="AE109" s="1302"/>
      <c r="AF109" s="1303">
        <v>18528.71</v>
      </c>
      <c r="AG109" s="1302"/>
      <c r="AH109" s="1303">
        <f t="shared" si="8"/>
        <v>203922.9</v>
      </c>
      <c r="AI109" s="1304">
        <f t="shared" si="9"/>
        <v>4.6440494019079154E-2</v>
      </c>
      <c r="AJ109" s="12"/>
    </row>
    <row r="110" spans="2:36" s="407" customFormat="1" outlineLevel="1">
      <c r="B110" s="24" t="s">
        <v>397</v>
      </c>
      <c r="D110" s="1298">
        <v>52147</v>
      </c>
      <c r="E110" s="1298" t="s">
        <v>234</v>
      </c>
      <c r="F110" s="1299"/>
      <c r="G110" s="1300"/>
      <c r="H110" s="1301"/>
      <c r="I110" s="1302"/>
      <c r="J110" s="1303">
        <v>8055.39</v>
      </c>
      <c r="K110" s="1302"/>
      <c r="L110" s="1303">
        <v>-99.76</v>
      </c>
      <c r="M110" s="1302"/>
      <c r="N110" s="1303">
        <v>0</v>
      </c>
      <c r="O110" s="1302"/>
      <c r="P110" s="1303">
        <v>5248.1</v>
      </c>
      <c r="Q110" s="1302"/>
      <c r="R110" s="1303">
        <v>1500</v>
      </c>
      <c r="S110" s="1302"/>
      <c r="T110" s="1303">
        <v>5967.89</v>
      </c>
      <c r="U110" s="1302"/>
      <c r="V110" s="1303">
        <v>0</v>
      </c>
      <c r="W110" s="1302"/>
      <c r="X110" s="1303">
        <v>321.33999999999997</v>
      </c>
      <c r="Y110" s="1302"/>
      <c r="Z110" s="1303">
        <v>3695.24</v>
      </c>
      <c r="AA110" s="1302"/>
      <c r="AB110" s="1303">
        <v>3008.36</v>
      </c>
      <c r="AC110" s="1302"/>
      <c r="AD110" s="1303">
        <v>8639.67</v>
      </c>
      <c r="AE110" s="1302"/>
      <c r="AF110" s="1303">
        <v>2.75</v>
      </c>
      <c r="AG110" s="1302"/>
      <c r="AH110" s="1303">
        <f t="shared" si="8"/>
        <v>36338.980000000003</v>
      </c>
      <c r="AI110" s="1304">
        <f t="shared" si="9"/>
        <v>8.2756776377220856E-3</v>
      </c>
      <c r="AJ110" s="12"/>
    </row>
    <row r="111" spans="2:36" s="407" customFormat="1" outlineLevel="1">
      <c r="B111" s="24" t="s">
        <v>397</v>
      </c>
      <c r="D111" s="1298">
        <v>52165</v>
      </c>
      <c r="E111" s="1298" t="s">
        <v>235</v>
      </c>
      <c r="F111" s="1299"/>
      <c r="G111" s="1300"/>
      <c r="H111" s="1301"/>
      <c r="I111" s="1302"/>
      <c r="J111" s="1303">
        <v>-527.55999999999995</v>
      </c>
      <c r="K111" s="1302"/>
      <c r="L111" s="1303">
        <v>372.44</v>
      </c>
      <c r="M111" s="1302"/>
      <c r="N111" s="1303">
        <v>372.44</v>
      </c>
      <c r="O111" s="1302"/>
      <c r="P111" s="1303">
        <v>372.44</v>
      </c>
      <c r="Q111" s="1302"/>
      <c r="R111" s="1303">
        <v>372.44</v>
      </c>
      <c r="S111" s="1302"/>
      <c r="T111" s="1303">
        <v>372.44</v>
      </c>
      <c r="U111" s="1302"/>
      <c r="V111" s="1303">
        <v>1872.44</v>
      </c>
      <c r="W111" s="1302"/>
      <c r="X111" s="1303">
        <v>372.44</v>
      </c>
      <c r="Y111" s="1302"/>
      <c r="Z111" s="1303">
        <v>393.13</v>
      </c>
      <c r="AA111" s="1302"/>
      <c r="AB111" s="1303">
        <v>393.13</v>
      </c>
      <c r="AC111" s="1302"/>
      <c r="AD111" s="1303">
        <v>393.13</v>
      </c>
      <c r="AE111" s="1302"/>
      <c r="AF111" s="1303">
        <v>822.73</v>
      </c>
      <c r="AG111" s="1302"/>
      <c r="AH111" s="1303">
        <f t="shared" si="8"/>
        <v>5581.6399999999976</v>
      </c>
      <c r="AI111" s="1304">
        <f t="shared" si="9"/>
        <v>1.2711378615969705E-3</v>
      </c>
      <c r="AJ111" s="12"/>
    </row>
    <row r="112" spans="2:36" s="407" customFormat="1" outlineLevel="1">
      <c r="B112" s="24" t="s">
        <v>397</v>
      </c>
      <c r="D112" s="1298">
        <v>52181</v>
      </c>
      <c r="E112" s="1298" t="s">
        <v>45</v>
      </c>
      <c r="F112" s="1299"/>
      <c r="G112" s="1300"/>
      <c r="H112" s="1301"/>
      <c r="I112" s="1302"/>
      <c r="J112" s="1303">
        <v>0</v>
      </c>
      <c r="K112" s="1302"/>
      <c r="L112" s="1303">
        <v>0</v>
      </c>
      <c r="M112" s="1302"/>
      <c r="N112" s="1303">
        <v>0</v>
      </c>
      <c r="O112" s="1302"/>
      <c r="P112" s="1303">
        <v>0</v>
      </c>
      <c r="Q112" s="1302"/>
      <c r="R112" s="1303">
        <v>0</v>
      </c>
      <c r="S112" s="1302"/>
      <c r="T112" s="1303">
        <v>0</v>
      </c>
      <c r="U112" s="1302"/>
      <c r="V112" s="1303">
        <v>0</v>
      </c>
      <c r="W112" s="1302"/>
      <c r="X112" s="1303">
        <v>1255.68</v>
      </c>
      <c r="Y112" s="1302"/>
      <c r="Z112" s="1303">
        <v>0</v>
      </c>
      <c r="AA112" s="1302"/>
      <c r="AB112" s="1303">
        <v>0</v>
      </c>
      <c r="AC112" s="1302"/>
      <c r="AD112" s="1303">
        <v>0</v>
      </c>
      <c r="AE112" s="1302"/>
      <c r="AF112" s="1303">
        <v>0</v>
      </c>
      <c r="AG112" s="1302"/>
      <c r="AH112" s="1303">
        <f t="shared" si="8"/>
        <v>1255.68</v>
      </c>
      <c r="AI112" s="1304">
        <f t="shared" si="9"/>
        <v>2.8596297684015532E-4</v>
      </c>
      <c r="AJ112" s="12"/>
    </row>
    <row r="113" spans="2:36" s="407" customFormat="1" outlineLevel="1">
      <c r="B113" s="24" t="s">
        <v>397</v>
      </c>
      <c r="D113" s="1298">
        <v>52182</v>
      </c>
      <c r="E113" s="1298" t="s">
        <v>236</v>
      </c>
      <c r="F113" s="1299"/>
      <c r="G113" s="1300"/>
      <c r="H113" s="1301"/>
      <c r="I113" s="1302"/>
      <c r="J113" s="1303">
        <v>0</v>
      </c>
      <c r="K113" s="1302"/>
      <c r="L113" s="1303">
        <v>1672.45</v>
      </c>
      <c r="M113" s="1302"/>
      <c r="N113" s="1303">
        <v>377.65</v>
      </c>
      <c r="O113" s="1302"/>
      <c r="P113" s="1303">
        <v>0</v>
      </c>
      <c r="Q113" s="1302"/>
      <c r="R113" s="1303">
        <v>0</v>
      </c>
      <c r="S113" s="1302"/>
      <c r="T113" s="1303">
        <v>0</v>
      </c>
      <c r="U113" s="1302"/>
      <c r="V113" s="1303">
        <v>0</v>
      </c>
      <c r="W113" s="1302"/>
      <c r="X113" s="1303">
        <v>0</v>
      </c>
      <c r="Y113" s="1302"/>
      <c r="Z113" s="1303">
        <v>0</v>
      </c>
      <c r="AA113" s="1302"/>
      <c r="AB113" s="1303">
        <v>2211.9499999999998</v>
      </c>
      <c r="AC113" s="1302"/>
      <c r="AD113" s="1303">
        <v>1025.05</v>
      </c>
      <c r="AE113" s="1302"/>
      <c r="AF113" s="1303">
        <v>647.4</v>
      </c>
      <c r="AG113" s="1302"/>
      <c r="AH113" s="1303">
        <f t="shared" si="8"/>
        <v>5934.4999999999991</v>
      </c>
      <c r="AI113" s="1304">
        <f t="shared" si="9"/>
        <v>1.3514966281679261E-3</v>
      </c>
      <c r="AJ113" s="12"/>
    </row>
    <row r="114" spans="2:36" s="407" customFormat="1" outlineLevel="1">
      <c r="B114" s="24" t="s">
        <v>397</v>
      </c>
      <c r="D114" s="1298">
        <v>52185</v>
      </c>
      <c r="E114" s="1298" t="s">
        <v>59</v>
      </c>
      <c r="F114" s="1299"/>
      <c r="G114" s="1300"/>
      <c r="H114" s="1301"/>
      <c r="I114" s="1302"/>
      <c r="J114" s="1303">
        <v>77.55</v>
      </c>
      <c r="K114" s="1302"/>
      <c r="L114" s="1303">
        <v>0</v>
      </c>
      <c r="M114" s="1302"/>
      <c r="N114" s="1303">
        <v>0</v>
      </c>
      <c r="O114" s="1302"/>
      <c r="P114" s="1303">
        <v>88.9</v>
      </c>
      <c r="Q114" s="1302"/>
      <c r="R114" s="1303">
        <v>0</v>
      </c>
      <c r="S114" s="1302"/>
      <c r="T114" s="1303">
        <v>0</v>
      </c>
      <c r="U114" s="1302"/>
      <c r="V114" s="1303">
        <v>0</v>
      </c>
      <c r="W114" s="1302"/>
      <c r="X114" s="1303">
        <v>0</v>
      </c>
      <c r="Y114" s="1302"/>
      <c r="Z114" s="1303">
        <v>0</v>
      </c>
      <c r="AA114" s="1302"/>
      <c r="AB114" s="1303">
        <v>0</v>
      </c>
      <c r="AC114" s="1302"/>
      <c r="AD114" s="1303">
        <v>6</v>
      </c>
      <c r="AE114" s="1302"/>
      <c r="AF114" s="1303">
        <v>0</v>
      </c>
      <c r="AG114" s="1302"/>
      <c r="AH114" s="1303">
        <f t="shared" si="8"/>
        <v>172.45</v>
      </c>
      <c r="AI114" s="1304">
        <f t="shared" si="9"/>
        <v>3.9272995791989027E-5</v>
      </c>
      <c r="AJ114" s="12"/>
    </row>
    <row r="115" spans="2:36" s="8" customFormat="1" ht="5.0999999999999996" customHeight="1" outlineLevel="1">
      <c r="B115" s="2" t="s">
        <v>194</v>
      </c>
      <c r="D115" s="1299"/>
      <c r="E115" s="1299"/>
      <c r="F115" s="1299"/>
      <c r="G115" s="1299"/>
      <c r="H115" s="1301"/>
      <c r="I115" s="1301"/>
      <c r="J115" s="1311"/>
      <c r="K115" s="1309"/>
      <c r="L115" s="1311"/>
      <c r="M115" s="1309"/>
      <c r="N115" s="1311"/>
      <c r="O115" s="1309"/>
      <c r="P115" s="1311"/>
      <c r="Q115" s="1309"/>
      <c r="R115" s="1311"/>
      <c r="S115" s="1309"/>
      <c r="T115" s="1311"/>
      <c r="U115" s="1309"/>
      <c r="V115" s="1311"/>
      <c r="W115" s="1309"/>
      <c r="X115" s="1311"/>
      <c r="Y115" s="1309"/>
      <c r="Z115" s="1311"/>
      <c r="AA115" s="1309"/>
      <c r="AB115" s="1311"/>
      <c r="AC115" s="1309"/>
      <c r="AD115" s="1311"/>
      <c r="AE115" s="1309"/>
      <c r="AF115" s="1311"/>
      <c r="AG115" s="1309"/>
      <c r="AH115" s="1311"/>
      <c r="AI115" s="1306"/>
      <c r="AJ115" s="15"/>
    </row>
    <row r="116" spans="2:36" s="8" customFormat="1" ht="15">
      <c r="B116" s="2" t="s">
        <v>194</v>
      </c>
      <c r="D116" s="1301"/>
      <c r="E116" s="1301"/>
      <c r="F116" s="1299" t="s">
        <v>238</v>
      </c>
      <c r="G116" s="1301"/>
      <c r="H116" s="1301"/>
      <c r="I116" s="1301"/>
      <c r="J116" s="1308">
        <f>SUM(J96:J115)</f>
        <v>38885.490000000005</v>
      </c>
      <c r="K116" s="1309"/>
      <c r="L116" s="1308">
        <f>SUM(L96:L115)</f>
        <v>26775.570000000003</v>
      </c>
      <c r="M116" s="1309"/>
      <c r="N116" s="1308">
        <f>SUM(N96:N115)</f>
        <v>27098.1</v>
      </c>
      <c r="O116" s="1309"/>
      <c r="P116" s="1308">
        <f>SUM(P96:P115)</f>
        <v>33754.44</v>
      </c>
      <c r="Q116" s="1309"/>
      <c r="R116" s="1308">
        <f>SUM(R96:R115)</f>
        <v>29326.829999999998</v>
      </c>
      <c r="S116" s="1309"/>
      <c r="T116" s="1308">
        <f>SUM(T96:T115)</f>
        <v>34566.740000000005</v>
      </c>
      <c r="U116" s="1309"/>
      <c r="V116" s="1308">
        <f>SUM(V96:V115)</f>
        <v>28541.81</v>
      </c>
      <c r="W116" s="1309"/>
      <c r="X116" s="1308">
        <f>SUM(X96:X115)</f>
        <v>27950.559999999998</v>
      </c>
      <c r="Y116" s="1309"/>
      <c r="Z116" s="1308">
        <f>SUM(Z96:Z115)</f>
        <v>32521.040000000005</v>
      </c>
      <c r="AA116" s="1309"/>
      <c r="AB116" s="1308">
        <f>SUM(AB96:AB115)</f>
        <v>27600.820000000003</v>
      </c>
      <c r="AC116" s="1309"/>
      <c r="AD116" s="1308">
        <f>SUM(AD96:AD115)</f>
        <v>43048.939999999995</v>
      </c>
      <c r="AE116" s="1309"/>
      <c r="AF116" s="1308">
        <f>SUM(AF96:AF115)</f>
        <v>28714.23</v>
      </c>
      <c r="AG116" s="1309"/>
      <c r="AH116" s="1308">
        <f>SUM(AH96:AH115)</f>
        <v>378784.57</v>
      </c>
      <c r="AI116" s="1304">
        <f>IF(AH$48=0,0,AH116/AH$48)</f>
        <v>8.6262712807656558E-2</v>
      </c>
      <c r="AJ116" s="15"/>
    </row>
    <row r="117" spans="2:36" s="8" customFormat="1" ht="15" outlineLevel="1">
      <c r="B117" s="2" t="s">
        <v>194</v>
      </c>
      <c r="D117" s="1301"/>
      <c r="E117" s="1301"/>
      <c r="F117" s="1301"/>
      <c r="G117" s="1301"/>
      <c r="H117" s="1301"/>
      <c r="I117" s="1301"/>
      <c r="J117" s="1310"/>
      <c r="K117" s="1309"/>
      <c r="L117" s="1310"/>
      <c r="M117" s="1309"/>
      <c r="N117" s="1310"/>
      <c r="O117" s="1309"/>
      <c r="P117" s="1310"/>
      <c r="Q117" s="1309"/>
      <c r="R117" s="1310"/>
      <c r="S117" s="1309"/>
      <c r="T117" s="1310"/>
      <c r="U117" s="1309"/>
      <c r="V117" s="1310"/>
      <c r="W117" s="1309"/>
      <c r="X117" s="1310"/>
      <c r="Y117" s="1309"/>
      <c r="Z117" s="1310"/>
      <c r="AA117" s="1309"/>
      <c r="AB117" s="1310"/>
      <c r="AC117" s="1309"/>
      <c r="AD117" s="1310"/>
      <c r="AE117" s="1309"/>
      <c r="AF117" s="1310"/>
      <c r="AG117" s="1309"/>
      <c r="AH117" s="1310"/>
      <c r="AI117" s="1306"/>
      <c r="AJ117" s="15"/>
    </row>
    <row r="118" spans="2:36" s="8" customFormat="1" ht="15" outlineLevel="1">
      <c r="D118" s="1301"/>
      <c r="E118" s="1301"/>
      <c r="F118" s="1301"/>
      <c r="G118" s="1301"/>
      <c r="H118" s="1301"/>
      <c r="I118" s="1301"/>
      <c r="J118" s="1310"/>
      <c r="K118" s="1309"/>
      <c r="L118" s="1310"/>
      <c r="M118" s="1309"/>
      <c r="N118" s="1310"/>
      <c r="O118" s="1309"/>
      <c r="P118" s="1310"/>
      <c r="Q118" s="1309"/>
      <c r="R118" s="1310"/>
      <c r="S118" s="1309"/>
      <c r="T118" s="1310"/>
      <c r="U118" s="1309"/>
      <c r="V118" s="1310"/>
      <c r="W118" s="1309"/>
      <c r="X118" s="1310"/>
      <c r="Y118" s="1309"/>
      <c r="Z118" s="1310"/>
      <c r="AA118" s="1309"/>
      <c r="AB118" s="1310"/>
      <c r="AC118" s="1309"/>
      <c r="AD118" s="1310"/>
      <c r="AE118" s="1309"/>
      <c r="AF118" s="1310"/>
      <c r="AG118" s="1309"/>
      <c r="AH118" s="1310"/>
      <c r="AI118" s="1306"/>
      <c r="AJ118" s="15"/>
    </row>
    <row r="119" spans="2:36" s="407" customFormat="1" outlineLevel="1">
      <c r="B119" s="24" t="s">
        <v>412</v>
      </c>
      <c r="D119" s="1298">
        <v>55120</v>
      </c>
      <c r="E119" s="1298" t="s">
        <v>231</v>
      </c>
      <c r="F119" s="1299"/>
      <c r="G119" s="1300"/>
      <c r="H119" s="1301"/>
      <c r="I119" s="1302"/>
      <c r="J119" s="1303">
        <v>0</v>
      </c>
      <c r="K119" s="1302"/>
      <c r="L119" s="1303">
        <v>1188</v>
      </c>
      <c r="M119" s="1302"/>
      <c r="N119" s="1303">
        <v>0</v>
      </c>
      <c r="O119" s="1302"/>
      <c r="P119" s="1303">
        <v>0</v>
      </c>
      <c r="Q119" s="1302"/>
      <c r="R119" s="1303">
        <v>1210</v>
      </c>
      <c r="S119" s="1302"/>
      <c r="T119" s="1303">
        <v>0</v>
      </c>
      <c r="U119" s="1302"/>
      <c r="V119" s="1303">
        <v>0</v>
      </c>
      <c r="W119" s="1302"/>
      <c r="X119" s="1303">
        <v>0</v>
      </c>
      <c r="Y119" s="1302"/>
      <c r="Z119" s="1303">
        <v>1320</v>
      </c>
      <c r="AA119" s="1302"/>
      <c r="AB119" s="1303">
        <v>0</v>
      </c>
      <c r="AC119" s="1302"/>
      <c r="AD119" s="1303">
        <v>0</v>
      </c>
      <c r="AE119" s="1302"/>
      <c r="AF119" s="1303">
        <v>0</v>
      </c>
      <c r="AG119" s="1302"/>
      <c r="AH119" s="1303">
        <f t="shared" ref="AH119:AH120" si="10">AF119+AD119+AB119+Z119+X119+V119+T119+R119+P119+N119+L119+J119</f>
        <v>3718</v>
      </c>
      <c r="AI119" s="1304">
        <f t="shared" ref="AI119:AI120" si="11">IF(AH$48=0,0,AH119/AH$48)</f>
        <v>8.4672077909315872E-4</v>
      </c>
      <c r="AJ119" s="12"/>
    </row>
    <row r="120" spans="2:36" s="407" customFormat="1" outlineLevel="1">
      <c r="B120" s="24" t="s">
        <v>397</v>
      </c>
      <c r="D120" s="1298">
        <v>55125</v>
      </c>
      <c r="E120" s="1298" t="s">
        <v>62</v>
      </c>
      <c r="F120" s="1299"/>
      <c r="G120" s="1300"/>
      <c r="H120" s="1301"/>
      <c r="I120" s="1302"/>
      <c r="J120" s="1303">
        <v>0</v>
      </c>
      <c r="K120" s="1302"/>
      <c r="L120" s="1303">
        <v>0</v>
      </c>
      <c r="M120" s="1302"/>
      <c r="N120" s="1303">
        <v>0</v>
      </c>
      <c r="O120" s="1302"/>
      <c r="P120" s="1303">
        <v>0</v>
      </c>
      <c r="Q120" s="1302"/>
      <c r="R120" s="1303">
        <v>1975.71</v>
      </c>
      <c r="S120" s="1302"/>
      <c r="T120" s="1303">
        <v>0</v>
      </c>
      <c r="U120" s="1302"/>
      <c r="V120" s="1303">
        <v>8000</v>
      </c>
      <c r="W120" s="1302"/>
      <c r="X120" s="1303">
        <v>-1.57</v>
      </c>
      <c r="Y120" s="1302"/>
      <c r="Z120" s="1303">
        <v>0</v>
      </c>
      <c r="AA120" s="1302"/>
      <c r="AB120" s="1303">
        <v>0</v>
      </c>
      <c r="AC120" s="1302"/>
      <c r="AD120" s="1303">
        <v>0</v>
      </c>
      <c r="AE120" s="1302"/>
      <c r="AF120" s="1303">
        <v>2896.41</v>
      </c>
      <c r="AG120" s="1302"/>
      <c r="AH120" s="1303">
        <f t="shared" si="10"/>
        <v>12870.55</v>
      </c>
      <c r="AI120" s="1304">
        <f t="shared" si="11"/>
        <v>2.9310817975679001E-3</v>
      </c>
      <c r="AJ120" s="12"/>
    </row>
    <row r="121" spans="2:36" s="8" customFormat="1" ht="5.0999999999999996" customHeight="1" outlineLevel="1">
      <c r="B121" s="2" t="s">
        <v>194</v>
      </c>
      <c r="D121" s="1299"/>
      <c r="E121" s="1299"/>
      <c r="F121" s="1299"/>
      <c r="G121" s="1299"/>
      <c r="H121" s="1301"/>
      <c r="I121" s="1301"/>
      <c r="J121" s="1311"/>
      <c r="K121" s="1309"/>
      <c r="L121" s="1311"/>
      <c r="M121" s="1309"/>
      <c r="N121" s="1311"/>
      <c r="O121" s="1309"/>
      <c r="P121" s="1311"/>
      <c r="Q121" s="1309"/>
      <c r="R121" s="1311"/>
      <c r="S121" s="1309"/>
      <c r="T121" s="1311"/>
      <c r="U121" s="1309"/>
      <c r="V121" s="1311"/>
      <c r="W121" s="1309"/>
      <c r="X121" s="1311"/>
      <c r="Y121" s="1309"/>
      <c r="Z121" s="1311"/>
      <c r="AA121" s="1309"/>
      <c r="AB121" s="1311"/>
      <c r="AC121" s="1309"/>
      <c r="AD121" s="1311"/>
      <c r="AE121" s="1309"/>
      <c r="AF121" s="1311"/>
      <c r="AG121" s="1309"/>
      <c r="AH121" s="1311"/>
      <c r="AI121" s="1306"/>
      <c r="AJ121" s="15"/>
    </row>
    <row r="122" spans="2:36" s="8" customFormat="1" ht="15">
      <c r="B122" s="2"/>
      <c r="D122" s="1301"/>
      <c r="E122" s="1301"/>
      <c r="F122" s="1299" t="s">
        <v>239</v>
      </c>
      <c r="G122" s="1301"/>
      <c r="H122" s="1301"/>
      <c r="I122" s="1301"/>
      <c r="J122" s="1308">
        <f>SUM(J118:J121)</f>
        <v>0</v>
      </c>
      <c r="K122" s="1309"/>
      <c r="L122" s="1308">
        <f>SUM(L118:L121)</f>
        <v>1188</v>
      </c>
      <c r="M122" s="1309"/>
      <c r="N122" s="1308">
        <f>SUM(N118:N121)</f>
        <v>0</v>
      </c>
      <c r="O122" s="1309"/>
      <c r="P122" s="1308">
        <f>SUM(P118:P121)</f>
        <v>0</v>
      </c>
      <c r="Q122" s="1309"/>
      <c r="R122" s="1308">
        <f>SUM(R118:R121)</f>
        <v>3185.71</v>
      </c>
      <c r="S122" s="1309"/>
      <c r="T122" s="1308">
        <f>SUM(T118:T121)</f>
        <v>0</v>
      </c>
      <c r="U122" s="1309"/>
      <c r="V122" s="1308">
        <f>SUM(V118:V121)</f>
        <v>8000</v>
      </c>
      <c r="W122" s="1309"/>
      <c r="X122" s="1308">
        <f>SUM(X118:X121)</f>
        <v>-1.57</v>
      </c>
      <c r="Y122" s="1309"/>
      <c r="Z122" s="1308">
        <f>SUM(Z118:Z121)</f>
        <v>1320</v>
      </c>
      <c r="AA122" s="1309"/>
      <c r="AB122" s="1308">
        <f>SUM(AB118:AB121)</f>
        <v>0</v>
      </c>
      <c r="AC122" s="1309"/>
      <c r="AD122" s="1308">
        <f>SUM(AD118:AD121)</f>
        <v>0</v>
      </c>
      <c r="AE122" s="1309"/>
      <c r="AF122" s="1308">
        <f>SUM(AF118:AF121)</f>
        <v>2896.41</v>
      </c>
      <c r="AG122" s="1309"/>
      <c r="AH122" s="1308">
        <f>SUM(AH118:AH121)</f>
        <v>16588.55</v>
      </c>
      <c r="AI122" s="1304">
        <f>IF(AH$48=0,0,AH122/AH$48)</f>
        <v>3.777802576661059E-3</v>
      </c>
      <c r="AJ122" s="15"/>
    </row>
    <row r="123" spans="2:36" s="8" customFormat="1" ht="15" outlineLevel="1">
      <c r="B123" s="2"/>
      <c r="D123" s="1301"/>
      <c r="E123" s="1301"/>
      <c r="F123" s="1301"/>
      <c r="G123" s="1301"/>
      <c r="H123" s="1301"/>
      <c r="I123" s="1301"/>
      <c r="J123" s="1310"/>
      <c r="K123" s="1309"/>
      <c r="L123" s="1310"/>
      <c r="M123" s="1309"/>
      <c r="N123" s="1310"/>
      <c r="O123" s="1309"/>
      <c r="P123" s="1310"/>
      <c r="Q123" s="1309"/>
      <c r="R123" s="1310"/>
      <c r="S123" s="1309"/>
      <c r="T123" s="1310"/>
      <c r="U123" s="1309"/>
      <c r="V123" s="1310"/>
      <c r="W123" s="1309"/>
      <c r="X123" s="1310"/>
      <c r="Y123" s="1309"/>
      <c r="Z123" s="1310"/>
      <c r="AA123" s="1309"/>
      <c r="AB123" s="1310"/>
      <c r="AC123" s="1309"/>
      <c r="AD123" s="1310"/>
      <c r="AE123" s="1309"/>
      <c r="AF123" s="1310"/>
      <c r="AG123" s="1309"/>
      <c r="AH123" s="1310"/>
      <c r="AI123" s="1306"/>
      <c r="AJ123" s="15"/>
    </row>
    <row r="124" spans="2:36" s="8" customFormat="1" ht="15" outlineLevel="1">
      <c r="B124" s="2" t="s">
        <v>194</v>
      </c>
      <c r="D124" s="1301"/>
      <c r="E124" s="1301"/>
      <c r="F124" s="1301"/>
      <c r="G124" s="1301"/>
      <c r="H124" s="1301"/>
      <c r="I124" s="1301"/>
      <c r="J124" s="1310"/>
      <c r="K124" s="1309"/>
      <c r="L124" s="1310"/>
      <c r="M124" s="1309"/>
      <c r="N124" s="1310"/>
      <c r="O124" s="1309"/>
      <c r="P124" s="1310"/>
      <c r="Q124" s="1309"/>
      <c r="R124" s="1310"/>
      <c r="S124" s="1309"/>
      <c r="T124" s="1310"/>
      <c r="U124" s="1309"/>
      <c r="V124" s="1310"/>
      <c r="W124" s="1309"/>
      <c r="X124" s="1310"/>
      <c r="Y124" s="1309"/>
      <c r="Z124" s="1310"/>
      <c r="AA124" s="1309"/>
      <c r="AB124" s="1310"/>
      <c r="AC124" s="1309"/>
      <c r="AD124" s="1310"/>
      <c r="AE124" s="1309"/>
      <c r="AF124" s="1310"/>
      <c r="AG124" s="1309"/>
      <c r="AH124" s="1310"/>
      <c r="AI124" s="1306"/>
      <c r="AJ124" s="15"/>
    </row>
    <row r="125" spans="2:36" s="407" customFormat="1" outlineLevel="1">
      <c r="B125" s="24" t="s">
        <v>413</v>
      </c>
      <c r="D125" s="1298"/>
      <c r="E125" s="1298"/>
      <c r="F125" s="1299"/>
      <c r="G125" s="1300"/>
      <c r="H125" s="1301"/>
      <c r="I125" s="1302"/>
      <c r="J125" s="1303"/>
      <c r="K125" s="1302"/>
      <c r="L125" s="1303"/>
      <c r="M125" s="1302"/>
      <c r="N125" s="1303"/>
      <c r="O125" s="1302"/>
      <c r="P125" s="1303"/>
      <c r="Q125" s="1302"/>
      <c r="R125" s="1303"/>
      <c r="S125" s="1302"/>
      <c r="T125" s="1303"/>
      <c r="U125" s="1302"/>
      <c r="V125" s="1303"/>
      <c r="W125" s="1302"/>
      <c r="X125" s="1303"/>
      <c r="Y125" s="1302"/>
      <c r="Z125" s="1303"/>
      <c r="AA125" s="1302"/>
      <c r="AB125" s="1303"/>
      <c r="AC125" s="1302"/>
      <c r="AD125" s="1303"/>
      <c r="AE125" s="1302"/>
      <c r="AF125" s="1303"/>
      <c r="AG125" s="1302"/>
      <c r="AH125" s="1303">
        <f>AF125+AD125+AB125+Z125+X125+V125+T125+R125+P125+N125+L125+J125</f>
        <v>0</v>
      </c>
      <c r="AI125" s="1304">
        <f>IF(AH$48=0,0,AH125/AH$48)</f>
        <v>0</v>
      </c>
      <c r="AJ125" s="12"/>
    </row>
    <row r="126" spans="2:36" s="8" customFormat="1" ht="5.0999999999999996" customHeight="1" outlineLevel="1">
      <c r="B126" s="2" t="s">
        <v>194</v>
      </c>
      <c r="D126" s="1299"/>
      <c r="E126" s="1299"/>
      <c r="F126" s="1299"/>
      <c r="G126" s="1299"/>
      <c r="H126" s="1301"/>
      <c r="I126" s="1301"/>
      <c r="J126" s="1311"/>
      <c r="K126" s="1309"/>
      <c r="L126" s="1311"/>
      <c r="M126" s="1309"/>
      <c r="N126" s="1311"/>
      <c r="O126" s="1309"/>
      <c r="P126" s="1311"/>
      <c r="Q126" s="1309"/>
      <c r="R126" s="1311"/>
      <c r="S126" s="1309"/>
      <c r="T126" s="1311"/>
      <c r="U126" s="1309"/>
      <c r="V126" s="1311"/>
      <c r="W126" s="1309"/>
      <c r="X126" s="1311"/>
      <c r="Y126" s="1309"/>
      <c r="Z126" s="1311"/>
      <c r="AA126" s="1309"/>
      <c r="AB126" s="1311"/>
      <c r="AC126" s="1309"/>
      <c r="AD126" s="1311"/>
      <c r="AE126" s="1309"/>
      <c r="AF126" s="1311"/>
      <c r="AG126" s="1309"/>
      <c r="AH126" s="1311"/>
      <c r="AI126" s="1306"/>
      <c r="AJ126" s="15"/>
    </row>
    <row r="127" spans="2:36" s="8" customFormat="1" ht="15">
      <c r="B127" s="2" t="s">
        <v>194</v>
      </c>
      <c r="D127" s="1301"/>
      <c r="E127" s="1301"/>
      <c r="F127" s="1299" t="s">
        <v>241</v>
      </c>
      <c r="G127" s="1301"/>
      <c r="H127" s="1301"/>
      <c r="I127" s="1301"/>
      <c r="J127" s="1308">
        <f>SUM(J124:J126)</f>
        <v>0</v>
      </c>
      <c r="K127" s="1309"/>
      <c r="L127" s="1308">
        <f>SUM(L124:L126)</f>
        <v>0</v>
      </c>
      <c r="M127" s="1309"/>
      <c r="N127" s="1308">
        <f>SUM(N124:N126)</f>
        <v>0</v>
      </c>
      <c r="O127" s="1309"/>
      <c r="P127" s="1308">
        <f>SUM(P124:P126)</f>
        <v>0</v>
      </c>
      <c r="Q127" s="1309"/>
      <c r="R127" s="1308">
        <f>SUM(R124:R126)</f>
        <v>0</v>
      </c>
      <c r="S127" s="1309"/>
      <c r="T127" s="1308">
        <f>SUM(T124:T126)</f>
        <v>0</v>
      </c>
      <c r="U127" s="1309"/>
      <c r="V127" s="1308">
        <f>SUM(V124:V126)</f>
        <v>0</v>
      </c>
      <c r="W127" s="1309"/>
      <c r="X127" s="1308">
        <f>SUM(X124:X126)</f>
        <v>0</v>
      </c>
      <c r="Y127" s="1309"/>
      <c r="Z127" s="1308">
        <f>SUM(Z124:Z126)</f>
        <v>0</v>
      </c>
      <c r="AA127" s="1309"/>
      <c r="AB127" s="1308">
        <f>SUM(AB124:AB126)</f>
        <v>0</v>
      </c>
      <c r="AC127" s="1309"/>
      <c r="AD127" s="1308">
        <f>SUM(AD124:AD126)</f>
        <v>0</v>
      </c>
      <c r="AE127" s="1309"/>
      <c r="AF127" s="1308">
        <f>SUM(AF124:AF126)</f>
        <v>0</v>
      </c>
      <c r="AG127" s="1309"/>
      <c r="AH127" s="1308">
        <f>SUM(AH124:AH126)</f>
        <v>0</v>
      </c>
      <c r="AI127" s="1304">
        <f>IF(AH$48=0,0,AH127/AH$48)</f>
        <v>0</v>
      </c>
      <c r="AJ127" s="15"/>
    </row>
    <row r="128" spans="2:36" s="8" customFormat="1" ht="15" outlineLevel="1">
      <c r="B128" s="2"/>
      <c r="D128" s="1301"/>
      <c r="E128" s="1301"/>
      <c r="F128" s="1301"/>
      <c r="G128" s="1301"/>
      <c r="H128" s="1301"/>
      <c r="I128" s="1301"/>
      <c r="J128" s="1310"/>
      <c r="K128" s="1309"/>
      <c r="L128" s="1310"/>
      <c r="M128" s="1309"/>
      <c r="N128" s="1310"/>
      <c r="O128" s="1309"/>
      <c r="P128" s="1310"/>
      <c r="Q128" s="1309"/>
      <c r="R128" s="1310"/>
      <c r="S128" s="1309"/>
      <c r="T128" s="1310"/>
      <c r="U128" s="1309"/>
      <c r="V128" s="1310"/>
      <c r="W128" s="1309"/>
      <c r="X128" s="1310"/>
      <c r="Y128" s="1309"/>
      <c r="Z128" s="1310"/>
      <c r="AA128" s="1309"/>
      <c r="AB128" s="1310"/>
      <c r="AC128" s="1309"/>
      <c r="AD128" s="1310"/>
      <c r="AE128" s="1309"/>
      <c r="AF128" s="1310"/>
      <c r="AG128" s="1309"/>
      <c r="AH128" s="1310"/>
      <c r="AI128" s="1306"/>
      <c r="AJ128" s="15"/>
    </row>
    <row r="129" spans="2:36" s="8" customFormat="1" ht="15" outlineLevel="1">
      <c r="B129" s="2" t="s">
        <v>194</v>
      </c>
      <c r="D129" s="1301"/>
      <c r="E129" s="1301"/>
      <c r="F129" s="1301"/>
      <c r="G129" s="1301"/>
      <c r="H129" s="1301"/>
      <c r="I129" s="1301"/>
      <c r="J129" s="1310"/>
      <c r="K129" s="1309"/>
      <c r="L129" s="1310"/>
      <c r="M129" s="1309"/>
      <c r="N129" s="1310"/>
      <c r="O129" s="1309"/>
      <c r="P129" s="1310"/>
      <c r="Q129" s="1309"/>
      <c r="R129" s="1310"/>
      <c r="S129" s="1309"/>
      <c r="T129" s="1310"/>
      <c r="U129" s="1309"/>
      <c r="V129" s="1310"/>
      <c r="W129" s="1309"/>
      <c r="X129" s="1310"/>
      <c r="Y129" s="1309"/>
      <c r="Z129" s="1310"/>
      <c r="AA129" s="1309"/>
      <c r="AB129" s="1310"/>
      <c r="AC129" s="1309"/>
      <c r="AD129" s="1310"/>
      <c r="AE129" s="1309"/>
      <c r="AF129" s="1310"/>
      <c r="AG129" s="1309"/>
      <c r="AH129" s="1310"/>
      <c r="AI129" s="1306"/>
      <c r="AJ129" s="15"/>
    </row>
    <row r="130" spans="2:36" s="407" customFormat="1" outlineLevel="1">
      <c r="B130" s="24" t="s">
        <v>414</v>
      </c>
      <c r="D130" s="1298">
        <v>57125</v>
      </c>
      <c r="E130" s="1298" t="s">
        <v>62</v>
      </c>
      <c r="F130" s="1299"/>
      <c r="G130" s="1300"/>
      <c r="H130" s="1301"/>
      <c r="I130" s="1302"/>
      <c r="J130" s="1303">
        <v>0</v>
      </c>
      <c r="K130" s="1302"/>
      <c r="L130" s="1303">
        <v>0</v>
      </c>
      <c r="M130" s="1302"/>
      <c r="N130" s="1303">
        <v>0</v>
      </c>
      <c r="O130" s="1302"/>
      <c r="P130" s="1303">
        <v>0</v>
      </c>
      <c r="Q130" s="1302"/>
      <c r="R130" s="1303">
        <v>101.11</v>
      </c>
      <c r="S130" s="1302"/>
      <c r="T130" s="1303">
        <v>0</v>
      </c>
      <c r="U130" s="1302"/>
      <c r="V130" s="1303">
        <v>575</v>
      </c>
      <c r="W130" s="1302"/>
      <c r="X130" s="1303">
        <v>0</v>
      </c>
      <c r="Y130" s="1302"/>
      <c r="Z130" s="1303">
        <v>-575</v>
      </c>
      <c r="AA130" s="1302"/>
      <c r="AB130" s="1303">
        <v>0</v>
      </c>
      <c r="AC130" s="1302"/>
      <c r="AD130" s="1303">
        <v>0</v>
      </c>
      <c r="AE130" s="1302"/>
      <c r="AF130" s="1303">
        <v>0</v>
      </c>
      <c r="AG130" s="1302"/>
      <c r="AH130" s="1303">
        <f t="shared" ref="AH130:AH136" si="12">AF130+AD130+AB130+Z130+X130+V130+T130+R130+P130+N130+L130+J130</f>
        <v>101.11</v>
      </c>
      <c r="AI130" s="1304">
        <f t="shared" ref="AI130:AI136" si="13">IF(AH$48=0,0,AH130/AH$48)</f>
        <v>2.3026341574531812E-5</v>
      </c>
      <c r="AJ130" s="12"/>
    </row>
    <row r="131" spans="2:36" s="407" customFormat="1" outlineLevel="1">
      <c r="B131" s="24" t="s">
        <v>397</v>
      </c>
      <c r="D131" s="1298">
        <v>57252</v>
      </c>
      <c r="E131" s="1298" t="s">
        <v>300</v>
      </c>
      <c r="F131" s="1299"/>
      <c r="G131" s="1300"/>
      <c r="H131" s="1301"/>
      <c r="I131" s="1302"/>
      <c r="J131" s="1303">
        <v>225</v>
      </c>
      <c r="K131" s="1302"/>
      <c r="L131" s="1303">
        <v>325</v>
      </c>
      <c r="M131" s="1302"/>
      <c r="N131" s="1303">
        <v>0</v>
      </c>
      <c r="O131" s="1302"/>
      <c r="P131" s="1303">
        <v>440</v>
      </c>
      <c r="Q131" s="1302"/>
      <c r="R131" s="1303">
        <v>200</v>
      </c>
      <c r="S131" s="1302"/>
      <c r="T131" s="1303">
        <v>226</v>
      </c>
      <c r="U131" s="1302"/>
      <c r="V131" s="1303">
        <v>300</v>
      </c>
      <c r="W131" s="1302"/>
      <c r="X131" s="1303">
        <v>200</v>
      </c>
      <c r="Y131" s="1302"/>
      <c r="Z131" s="1303">
        <v>1450</v>
      </c>
      <c r="AA131" s="1302"/>
      <c r="AB131" s="1303">
        <v>401</v>
      </c>
      <c r="AC131" s="1302"/>
      <c r="AD131" s="1303">
        <v>246</v>
      </c>
      <c r="AE131" s="1302"/>
      <c r="AF131" s="1303">
        <v>300</v>
      </c>
      <c r="AG131" s="1302"/>
      <c r="AH131" s="1303">
        <f t="shared" si="12"/>
        <v>4313</v>
      </c>
      <c r="AI131" s="1304">
        <f t="shared" si="13"/>
        <v>9.8222343201419932E-4</v>
      </c>
      <c r="AJ131" s="12"/>
    </row>
    <row r="132" spans="2:36" s="407" customFormat="1" outlineLevel="1">
      <c r="B132" s="24" t="s">
        <v>397</v>
      </c>
      <c r="D132" s="1298">
        <v>57255</v>
      </c>
      <c r="E132" s="1298" t="s">
        <v>63</v>
      </c>
      <c r="F132" s="1299"/>
      <c r="G132" s="1300"/>
      <c r="H132" s="1301"/>
      <c r="I132" s="1302"/>
      <c r="J132" s="1303">
        <v>0</v>
      </c>
      <c r="K132" s="1302"/>
      <c r="L132" s="1303">
        <v>0</v>
      </c>
      <c r="M132" s="1302"/>
      <c r="N132" s="1303">
        <v>0</v>
      </c>
      <c r="O132" s="1302"/>
      <c r="P132" s="1303">
        <v>1000</v>
      </c>
      <c r="Q132" s="1302"/>
      <c r="R132" s="1303">
        <v>-526.01</v>
      </c>
      <c r="S132" s="1302"/>
      <c r="T132" s="1303">
        <v>0</v>
      </c>
      <c r="U132" s="1302"/>
      <c r="V132" s="1303">
        <v>0</v>
      </c>
      <c r="W132" s="1302"/>
      <c r="X132" s="1303">
        <v>0</v>
      </c>
      <c r="Y132" s="1302"/>
      <c r="Z132" s="1303">
        <v>0</v>
      </c>
      <c r="AA132" s="1302"/>
      <c r="AB132" s="1303">
        <v>0</v>
      </c>
      <c r="AC132" s="1302"/>
      <c r="AD132" s="1303">
        <v>0</v>
      </c>
      <c r="AE132" s="1302"/>
      <c r="AF132" s="1303">
        <v>0</v>
      </c>
      <c r="AG132" s="1302"/>
      <c r="AH132" s="1303">
        <f t="shared" si="12"/>
        <v>473.99</v>
      </c>
      <c r="AI132" s="1304">
        <f t="shared" si="13"/>
        <v>1.0794437387906571E-4</v>
      </c>
      <c r="AJ132" s="12"/>
    </row>
    <row r="133" spans="2:36" s="407" customFormat="1" outlineLevel="1">
      <c r="B133" s="24" t="s">
        <v>397</v>
      </c>
      <c r="D133" s="1298">
        <v>57280</v>
      </c>
      <c r="E133" s="1298" t="s">
        <v>159</v>
      </c>
      <c r="F133" s="1299"/>
      <c r="G133" s="1300"/>
      <c r="H133" s="1301"/>
      <c r="I133" s="1302"/>
      <c r="J133" s="1303">
        <v>200</v>
      </c>
      <c r="K133" s="1302"/>
      <c r="L133" s="1303">
        <v>200</v>
      </c>
      <c r="M133" s="1302"/>
      <c r="N133" s="1303">
        <v>200</v>
      </c>
      <c r="O133" s="1302"/>
      <c r="P133" s="1303">
        <v>0</v>
      </c>
      <c r="Q133" s="1302"/>
      <c r="R133" s="1303">
        <v>200</v>
      </c>
      <c r="S133" s="1302"/>
      <c r="T133" s="1303">
        <v>200</v>
      </c>
      <c r="U133" s="1302"/>
      <c r="V133" s="1303">
        <v>0</v>
      </c>
      <c r="W133" s="1302"/>
      <c r="X133" s="1303">
        <v>200</v>
      </c>
      <c r="Y133" s="1302"/>
      <c r="Z133" s="1303">
        <v>200</v>
      </c>
      <c r="AA133" s="1302"/>
      <c r="AB133" s="1303">
        <v>0</v>
      </c>
      <c r="AC133" s="1302"/>
      <c r="AD133" s="1303">
        <v>200</v>
      </c>
      <c r="AE133" s="1302"/>
      <c r="AF133" s="1303">
        <v>0</v>
      </c>
      <c r="AG133" s="1302"/>
      <c r="AH133" s="1303">
        <f t="shared" si="12"/>
        <v>1600</v>
      </c>
      <c r="AI133" s="1304">
        <f t="shared" si="13"/>
        <v>3.6437688180447928E-4</v>
      </c>
      <c r="AJ133" s="12"/>
    </row>
    <row r="134" spans="2:36" s="407" customFormat="1" outlineLevel="1">
      <c r="B134" s="24" t="s">
        <v>397</v>
      </c>
      <c r="D134" s="1298">
        <v>57324</v>
      </c>
      <c r="E134" s="1298" t="s">
        <v>144</v>
      </c>
      <c r="F134" s="1299"/>
      <c r="G134" s="1300"/>
      <c r="H134" s="1301"/>
      <c r="I134" s="1302"/>
      <c r="J134" s="1303">
        <v>440</v>
      </c>
      <c r="K134" s="1302"/>
      <c r="L134" s="1303">
        <v>0</v>
      </c>
      <c r="M134" s="1302"/>
      <c r="N134" s="1303">
        <v>50.6</v>
      </c>
      <c r="O134" s="1302"/>
      <c r="P134" s="1303">
        <v>151.80000000000001</v>
      </c>
      <c r="Q134" s="1302"/>
      <c r="R134" s="1303">
        <v>0</v>
      </c>
      <c r="S134" s="1302"/>
      <c r="T134" s="1303">
        <v>0</v>
      </c>
      <c r="U134" s="1302"/>
      <c r="V134" s="1303">
        <v>0</v>
      </c>
      <c r="W134" s="1302"/>
      <c r="X134" s="1303">
        <v>0</v>
      </c>
      <c r="Y134" s="1302"/>
      <c r="Z134" s="1303">
        <v>0</v>
      </c>
      <c r="AA134" s="1302"/>
      <c r="AB134" s="1303">
        <v>0</v>
      </c>
      <c r="AC134" s="1302"/>
      <c r="AD134" s="1303">
        <v>0</v>
      </c>
      <c r="AE134" s="1302"/>
      <c r="AF134" s="1303">
        <v>50.6</v>
      </c>
      <c r="AG134" s="1302"/>
      <c r="AH134" s="1303">
        <f t="shared" si="12"/>
        <v>693</v>
      </c>
      <c r="AI134" s="1304">
        <f t="shared" si="13"/>
        <v>1.5782073693156509E-4</v>
      </c>
      <c r="AJ134" s="12"/>
    </row>
    <row r="135" spans="2:36" s="407" customFormat="1" outlineLevel="1">
      <c r="B135" s="24" t="s">
        <v>397</v>
      </c>
      <c r="D135" s="1298">
        <v>57357</v>
      </c>
      <c r="E135" s="1298" t="s">
        <v>146</v>
      </c>
      <c r="F135" s="1299"/>
      <c r="G135" s="1300"/>
      <c r="H135" s="1301"/>
      <c r="I135" s="1302"/>
      <c r="J135" s="1303">
        <v>44.03</v>
      </c>
      <c r="K135" s="1302"/>
      <c r="L135" s="1303">
        <v>358</v>
      </c>
      <c r="M135" s="1302"/>
      <c r="N135" s="1303">
        <v>179</v>
      </c>
      <c r="O135" s="1302"/>
      <c r="P135" s="1303">
        <v>52.73</v>
      </c>
      <c r="Q135" s="1302"/>
      <c r="R135" s="1303">
        <v>44.03</v>
      </c>
      <c r="S135" s="1302"/>
      <c r="T135" s="1303">
        <v>204</v>
      </c>
      <c r="U135" s="1302"/>
      <c r="V135" s="1303">
        <v>223.03</v>
      </c>
      <c r="W135" s="1302"/>
      <c r="X135" s="1303">
        <v>189.95</v>
      </c>
      <c r="Y135" s="1302"/>
      <c r="Z135" s="1303">
        <v>225.06</v>
      </c>
      <c r="AA135" s="1302"/>
      <c r="AB135" s="1303">
        <v>1188.97</v>
      </c>
      <c r="AC135" s="1302"/>
      <c r="AD135" s="1303">
        <v>188.06</v>
      </c>
      <c r="AE135" s="1302"/>
      <c r="AF135" s="1303">
        <v>44.03</v>
      </c>
      <c r="AG135" s="1302"/>
      <c r="AH135" s="1303">
        <f t="shared" si="12"/>
        <v>2940.8900000000003</v>
      </c>
      <c r="AI135" s="1304">
        <f t="shared" si="13"/>
        <v>6.6974520495623451E-4</v>
      </c>
      <c r="AJ135" s="12"/>
    </row>
    <row r="136" spans="2:36" s="407" customFormat="1" outlineLevel="1">
      <c r="B136" s="24" t="s">
        <v>397</v>
      </c>
      <c r="D136" s="1298">
        <v>57370</v>
      </c>
      <c r="E136" s="1298" t="s">
        <v>244</v>
      </c>
      <c r="F136" s="1299"/>
      <c r="G136" s="1300"/>
      <c r="H136" s="1301"/>
      <c r="I136" s="1302"/>
      <c r="J136" s="1303">
        <v>10.199999999999999</v>
      </c>
      <c r="K136" s="1302"/>
      <c r="L136" s="1303">
        <v>10.199999999999999</v>
      </c>
      <c r="M136" s="1302"/>
      <c r="N136" s="1303">
        <v>13.2</v>
      </c>
      <c r="O136" s="1302"/>
      <c r="P136" s="1303">
        <v>13.2</v>
      </c>
      <c r="Q136" s="1302"/>
      <c r="R136" s="1303">
        <v>13.2</v>
      </c>
      <c r="S136" s="1302"/>
      <c r="T136" s="1303">
        <v>13.2</v>
      </c>
      <c r="U136" s="1302"/>
      <c r="V136" s="1303">
        <v>13.2</v>
      </c>
      <c r="W136" s="1302"/>
      <c r="X136" s="1303">
        <v>13.2</v>
      </c>
      <c r="Y136" s="1302"/>
      <c r="Z136" s="1303">
        <v>13.79</v>
      </c>
      <c r="AA136" s="1302"/>
      <c r="AB136" s="1303">
        <v>13.79</v>
      </c>
      <c r="AC136" s="1302"/>
      <c r="AD136" s="1303">
        <v>13.79</v>
      </c>
      <c r="AE136" s="1302"/>
      <c r="AF136" s="1303">
        <v>13.79</v>
      </c>
      <c r="AG136" s="1302"/>
      <c r="AH136" s="1303">
        <f t="shared" si="12"/>
        <v>154.76</v>
      </c>
      <c r="AI136" s="1304">
        <f t="shared" si="13"/>
        <v>3.5244353892538256E-5</v>
      </c>
      <c r="AJ136" s="12"/>
    </row>
    <row r="137" spans="2:36" s="8" customFormat="1" ht="5.0999999999999996" customHeight="1" outlineLevel="1">
      <c r="B137" s="16" t="s">
        <v>194</v>
      </c>
      <c r="D137" s="1299"/>
      <c r="E137" s="1299"/>
      <c r="F137" s="1299"/>
      <c r="G137" s="1299"/>
      <c r="H137" s="1301"/>
      <c r="I137" s="1301"/>
      <c r="J137" s="1311"/>
      <c r="K137" s="1309"/>
      <c r="L137" s="1311"/>
      <c r="M137" s="1309"/>
      <c r="N137" s="1311"/>
      <c r="O137" s="1309"/>
      <c r="P137" s="1311"/>
      <c r="Q137" s="1309"/>
      <c r="R137" s="1311"/>
      <c r="S137" s="1309"/>
      <c r="T137" s="1311"/>
      <c r="U137" s="1309"/>
      <c r="V137" s="1311"/>
      <c r="W137" s="1309"/>
      <c r="X137" s="1311"/>
      <c r="Y137" s="1309"/>
      <c r="Z137" s="1311"/>
      <c r="AA137" s="1309"/>
      <c r="AB137" s="1311"/>
      <c r="AC137" s="1309"/>
      <c r="AD137" s="1311"/>
      <c r="AE137" s="1309"/>
      <c r="AF137" s="1311"/>
      <c r="AG137" s="1309"/>
      <c r="AH137" s="1311"/>
      <c r="AI137" s="1306"/>
      <c r="AJ137" s="15"/>
    </row>
    <row r="138" spans="2:36" s="8" customFormat="1" ht="15">
      <c r="B138" s="16" t="s">
        <v>194</v>
      </c>
      <c r="D138" s="1301"/>
      <c r="E138" s="1301"/>
      <c r="F138" s="1299" t="s">
        <v>245</v>
      </c>
      <c r="G138" s="1301"/>
      <c r="H138" s="1301"/>
      <c r="I138" s="1301"/>
      <c r="J138" s="1308">
        <f>SUM(J129:J137)</f>
        <v>919.23</v>
      </c>
      <c r="K138" s="1309"/>
      <c r="L138" s="1308">
        <f>SUM(L129:L137)</f>
        <v>893.2</v>
      </c>
      <c r="M138" s="1309"/>
      <c r="N138" s="1308">
        <f>SUM(N129:N137)</f>
        <v>442.8</v>
      </c>
      <c r="O138" s="1309"/>
      <c r="P138" s="1308">
        <f>SUM(P129:P137)</f>
        <v>1657.73</v>
      </c>
      <c r="Q138" s="1309"/>
      <c r="R138" s="1308">
        <f>SUM(R129:R137)</f>
        <v>32.330000000000027</v>
      </c>
      <c r="S138" s="1309"/>
      <c r="T138" s="1308">
        <f>SUM(T129:T137)</f>
        <v>643.20000000000005</v>
      </c>
      <c r="U138" s="1309"/>
      <c r="V138" s="1308">
        <f>SUM(V129:V137)</f>
        <v>1111.23</v>
      </c>
      <c r="W138" s="1309"/>
      <c r="X138" s="1308">
        <f>SUM(X129:X137)</f>
        <v>603.15000000000009</v>
      </c>
      <c r="Y138" s="1309"/>
      <c r="Z138" s="1308">
        <f>SUM(Z129:Z137)</f>
        <v>1313.85</v>
      </c>
      <c r="AA138" s="1309"/>
      <c r="AB138" s="1308">
        <f>SUM(AB129:AB137)</f>
        <v>1603.76</v>
      </c>
      <c r="AC138" s="1309"/>
      <c r="AD138" s="1308">
        <f>SUM(AD129:AD137)</f>
        <v>647.84999999999991</v>
      </c>
      <c r="AE138" s="1309"/>
      <c r="AF138" s="1308">
        <f>SUM(AF129:AF137)</f>
        <v>408.42</v>
      </c>
      <c r="AG138" s="1309"/>
      <c r="AH138" s="1308">
        <f>SUM(AH129:AH137)</f>
        <v>10276.75</v>
      </c>
      <c r="AI138" s="1304">
        <f>IF(AH$48=0,0,AH138/AH$48)</f>
        <v>2.3403813250526141E-3</v>
      </c>
      <c r="AJ138" s="15"/>
    </row>
    <row r="139" spans="2:36" s="8" customFormat="1" ht="15" outlineLevel="1">
      <c r="B139" s="16"/>
      <c r="D139" s="1301"/>
      <c r="E139" s="1301"/>
      <c r="F139" s="1301"/>
      <c r="G139" s="1301"/>
      <c r="H139" s="1301"/>
      <c r="I139" s="1301"/>
      <c r="J139" s="1310"/>
      <c r="K139" s="1309"/>
      <c r="L139" s="1310"/>
      <c r="M139" s="1309"/>
      <c r="N139" s="1310"/>
      <c r="O139" s="1309"/>
      <c r="P139" s="1310"/>
      <c r="Q139" s="1309"/>
      <c r="R139" s="1310"/>
      <c r="S139" s="1309"/>
      <c r="T139" s="1310"/>
      <c r="U139" s="1309"/>
      <c r="V139" s="1310"/>
      <c r="W139" s="1309"/>
      <c r="X139" s="1310"/>
      <c r="Y139" s="1309"/>
      <c r="Z139" s="1310"/>
      <c r="AA139" s="1309"/>
      <c r="AB139" s="1310"/>
      <c r="AC139" s="1309"/>
      <c r="AD139" s="1310"/>
      <c r="AE139" s="1309"/>
      <c r="AF139" s="1310"/>
      <c r="AG139" s="1309"/>
      <c r="AH139" s="1310"/>
      <c r="AI139" s="1306"/>
      <c r="AJ139" s="15"/>
    </row>
    <row r="140" spans="2:36" s="8" customFormat="1" ht="15" outlineLevel="1">
      <c r="B140" s="16"/>
      <c r="D140" s="1317"/>
      <c r="E140" s="1317"/>
      <c r="F140" s="1317"/>
      <c r="G140" s="1317"/>
      <c r="H140" s="1317"/>
      <c r="I140" s="1317"/>
      <c r="J140" s="1318"/>
      <c r="K140" s="1319"/>
      <c r="L140" s="1318"/>
      <c r="M140" s="1319"/>
      <c r="N140" s="1318"/>
      <c r="O140" s="1319"/>
      <c r="P140" s="1318"/>
      <c r="Q140" s="1319"/>
      <c r="R140" s="1318"/>
      <c r="S140" s="1319"/>
      <c r="T140" s="1318"/>
      <c r="U140" s="1319"/>
      <c r="V140" s="1318"/>
      <c r="W140" s="1319"/>
      <c r="X140" s="1318"/>
      <c r="Y140" s="1319"/>
      <c r="Z140" s="1318"/>
      <c r="AA140" s="1319"/>
      <c r="AB140" s="1318"/>
      <c r="AC140" s="1319"/>
      <c r="AD140" s="1318"/>
      <c r="AE140" s="1319"/>
      <c r="AF140" s="1318"/>
      <c r="AG140" s="1319"/>
      <c r="AH140" s="1318"/>
      <c r="AI140" s="1317"/>
      <c r="AJ140" s="18"/>
    </row>
    <row r="141" spans="2:36" s="8" customFormat="1" ht="4.5" customHeight="1" outlineLevel="1">
      <c r="B141" s="16"/>
      <c r="D141" s="1312"/>
      <c r="E141" s="1301"/>
      <c r="F141" s="1301"/>
      <c r="G141" s="1301"/>
      <c r="H141" s="1301"/>
      <c r="I141" s="1301"/>
      <c r="J141" s="1311"/>
      <c r="K141" s="1309"/>
      <c r="L141" s="1311"/>
      <c r="M141" s="1309"/>
      <c r="N141" s="1311"/>
      <c r="O141" s="1309"/>
      <c r="P141" s="1311"/>
      <c r="Q141" s="1309"/>
      <c r="R141" s="1311"/>
      <c r="S141" s="1309"/>
      <c r="T141" s="1311"/>
      <c r="U141" s="1309"/>
      <c r="V141" s="1311"/>
      <c r="W141" s="1309"/>
      <c r="X141" s="1311"/>
      <c r="Y141" s="1309"/>
      <c r="Z141" s="1311"/>
      <c r="AA141" s="1309"/>
      <c r="AB141" s="1311"/>
      <c r="AC141" s="1309"/>
      <c r="AD141" s="1311"/>
      <c r="AE141" s="1309"/>
      <c r="AF141" s="1311"/>
      <c r="AG141" s="1309"/>
      <c r="AH141" s="1311"/>
      <c r="AI141" s="1306"/>
      <c r="AJ141" s="15"/>
    </row>
    <row r="142" spans="2:36" s="8" customFormat="1" ht="15">
      <c r="B142" s="16"/>
      <c r="D142" s="1301"/>
      <c r="E142" s="1301"/>
      <c r="F142" s="1301" t="s">
        <v>246</v>
      </c>
      <c r="G142" s="1301"/>
      <c r="H142" s="1301"/>
      <c r="I142" s="1301"/>
      <c r="J142" s="1308">
        <f>SUM(J140:J141)</f>
        <v>0</v>
      </c>
      <c r="K142" s="1309"/>
      <c r="L142" s="1308">
        <f>SUM(L140:L141)</f>
        <v>0</v>
      </c>
      <c r="M142" s="1309"/>
      <c r="N142" s="1308">
        <f>SUM(N140:N141)</f>
        <v>0</v>
      </c>
      <c r="O142" s="1309"/>
      <c r="P142" s="1308">
        <f>SUM(P140:P141)</f>
        <v>0</v>
      </c>
      <c r="Q142" s="1309"/>
      <c r="R142" s="1308">
        <f>SUM(R140:R141)</f>
        <v>0</v>
      </c>
      <c r="S142" s="1309"/>
      <c r="T142" s="1308">
        <f>SUM(T140:T141)</f>
        <v>0</v>
      </c>
      <c r="U142" s="1309"/>
      <c r="V142" s="1308">
        <f>SUM(V140:V141)</f>
        <v>0</v>
      </c>
      <c r="W142" s="1309"/>
      <c r="X142" s="1308">
        <f>SUM(X140:X141)</f>
        <v>0</v>
      </c>
      <c r="Y142" s="1309"/>
      <c r="Z142" s="1308">
        <f>SUM(Z140:Z141)</f>
        <v>0</v>
      </c>
      <c r="AA142" s="1309"/>
      <c r="AB142" s="1308">
        <f>SUM(AB140:AB141)</f>
        <v>0</v>
      </c>
      <c r="AC142" s="1309"/>
      <c r="AD142" s="1308">
        <f>SUM(AD140:AD141)</f>
        <v>0</v>
      </c>
      <c r="AE142" s="1309"/>
      <c r="AF142" s="1308">
        <f>SUM(AF140:AF141)</f>
        <v>0</v>
      </c>
      <c r="AG142" s="1309"/>
      <c r="AH142" s="1308">
        <f>SUM(AH140:AH141)</f>
        <v>0</v>
      </c>
      <c r="AI142" s="1304">
        <f>IF(AH$48=0,0,AH142/AH$48)</f>
        <v>0</v>
      </c>
      <c r="AJ142" s="15"/>
    </row>
    <row r="143" spans="2:36" s="8" customFormat="1" ht="15" outlineLevel="1">
      <c r="B143" s="16"/>
      <c r="D143" s="1301"/>
      <c r="E143" s="1301"/>
      <c r="F143" s="1301"/>
      <c r="G143" s="1301"/>
      <c r="H143" s="1301"/>
      <c r="I143" s="1301"/>
      <c r="J143" s="1310"/>
      <c r="K143" s="1309"/>
      <c r="L143" s="1310"/>
      <c r="M143" s="1309"/>
      <c r="N143" s="1310"/>
      <c r="O143" s="1309"/>
      <c r="P143" s="1310"/>
      <c r="Q143" s="1309"/>
      <c r="R143" s="1310"/>
      <c r="S143" s="1309"/>
      <c r="T143" s="1310"/>
      <c r="U143" s="1309"/>
      <c r="V143" s="1310"/>
      <c r="W143" s="1309"/>
      <c r="X143" s="1310"/>
      <c r="Y143" s="1309"/>
      <c r="Z143" s="1310"/>
      <c r="AA143" s="1309"/>
      <c r="AB143" s="1310"/>
      <c r="AC143" s="1309"/>
      <c r="AD143" s="1310"/>
      <c r="AE143" s="1309"/>
      <c r="AF143" s="1310"/>
      <c r="AG143" s="1309"/>
      <c r="AH143" s="1310"/>
      <c r="AI143" s="1306"/>
      <c r="AJ143" s="15"/>
    </row>
    <row r="144" spans="2:36" s="8" customFormat="1" ht="15" outlineLevel="1">
      <c r="B144" s="16"/>
      <c r="D144" s="1301"/>
      <c r="E144" s="1301"/>
      <c r="F144" s="1301"/>
      <c r="G144" s="1301"/>
      <c r="H144" s="1301"/>
      <c r="I144" s="1301"/>
      <c r="J144" s="1310"/>
      <c r="K144" s="1309"/>
      <c r="L144" s="1310"/>
      <c r="M144" s="1309"/>
      <c r="N144" s="1310"/>
      <c r="O144" s="1309"/>
      <c r="P144" s="1310"/>
      <c r="Q144" s="1309"/>
      <c r="R144" s="1310"/>
      <c r="S144" s="1309"/>
      <c r="T144" s="1310"/>
      <c r="U144" s="1309"/>
      <c r="V144" s="1310"/>
      <c r="W144" s="1309"/>
      <c r="X144" s="1310"/>
      <c r="Y144" s="1309"/>
      <c r="Z144" s="1310"/>
      <c r="AA144" s="1309"/>
      <c r="AB144" s="1310"/>
      <c r="AC144" s="1309"/>
      <c r="AD144" s="1310"/>
      <c r="AE144" s="1309"/>
      <c r="AF144" s="1310"/>
      <c r="AG144" s="1309"/>
      <c r="AH144" s="1310"/>
      <c r="AI144" s="1306"/>
      <c r="AJ144" s="15"/>
    </row>
    <row r="145" spans="2:36" s="407" customFormat="1" outlineLevel="1">
      <c r="B145" s="24" t="s">
        <v>415</v>
      </c>
      <c r="D145" s="1298">
        <v>59340</v>
      </c>
      <c r="E145" s="1298" t="s">
        <v>85</v>
      </c>
      <c r="F145" s="1299"/>
      <c r="G145" s="1300"/>
      <c r="H145" s="1301"/>
      <c r="I145" s="1302"/>
      <c r="J145" s="1303">
        <v>1648.39</v>
      </c>
      <c r="K145" s="1302"/>
      <c r="L145" s="1303">
        <v>1648.39</v>
      </c>
      <c r="M145" s="1302"/>
      <c r="N145" s="1303">
        <v>1648.39</v>
      </c>
      <c r="O145" s="1302"/>
      <c r="P145" s="1303">
        <v>1648.39</v>
      </c>
      <c r="Q145" s="1302"/>
      <c r="R145" s="1303">
        <v>1648.39</v>
      </c>
      <c r="S145" s="1302"/>
      <c r="T145" s="1303">
        <v>1648.39</v>
      </c>
      <c r="U145" s="1302"/>
      <c r="V145" s="1303">
        <v>1648.39</v>
      </c>
      <c r="W145" s="1302"/>
      <c r="X145" s="1303">
        <v>1648.39</v>
      </c>
      <c r="Y145" s="1302"/>
      <c r="Z145" s="1303">
        <v>1737.84</v>
      </c>
      <c r="AA145" s="1302"/>
      <c r="AB145" s="1303">
        <v>1737.84</v>
      </c>
      <c r="AC145" s="1302"/>
      <c r="AD145" s="1303">
        <v>1737.84</v>
      </c>
      <c r="AE145" s="1302"/>
      <c r="AF145" s="1303">
        <v>1871.76</v>
      </c>
      <c r="AG145" s="1302"/>
      <c r="AH145" s="1303">
        <f t="shared" ref="AH145:AH150" si="14">AF145+AD145+AB145+Z145+X145+V145+T145+R145+P145+N145+L145+J145</f>
        <v>20272.399999999998</v>
      </c>
      <c r="AI145" s="1304">
        <f t="shared" ref="AI145:AI150" si="15">IF(AH$48=0,0,AH145/AH$48)</f>
        <v>4.6167461866832024E-3</v>
      </c>
      <c r="AJ145" s="12"/>
    </row>
    <row r="146" spans="2:36" s="407" customFormat="1" outlineLevel="1">
      <c r="B146" s="24" t="s">
        <v>397</v>
      </c>
      <c r="D146" s="1298">
        <v>59341</v>
      </c>
      <c r="E146" s="1298" t="s">
        <v>247</v>
      </c>
      <c r="F146" s="1299"/>
      <c r="G146" s="1300"/>
      <c r="H146" s="1301"/>
      <c r="I146" s="1302"/>
      <c r="J146" s="1303">
        <v>0</v>
      </c>
      <c r="K146" s="1302"/>
      <c r="L146" s="1303">
        <v>0</v>
      </c>
      <c r="M146" s="1302"/>
      <c r="N146" s="1303">
        <v>0</v>
      </c>
      <c r="O146" s="1302"/>
      <c r="P146" s="1303">
        <v>1250</v>
      </c>
      <c r="Q146" s="1302"/>
      <c r="R146" s="1303">
        <v>-1250</v>
      </c>
      <c r="S146" s="1302"/>
      <c r="T146" s="1303">
        <v>16</v>
      </c>
      <c r="U146" s="1302"/>
      <c r="V146" s="1303">
        <v>0</v>
      </c>
      <c r="W146" s="1302"/>
      <c r="X146" s="1303">
        <v>0</v>
      </c>
      <c r="Y146" s="1302"/>
      <c r="Z146" s="1303">
        <v>0</v>
      </c>
      <c r="AA146" s="1302"/>
      <c r="AB146" s="1303">
        <v>0</v>
      </c>
      <c r="AC146" s="1302"/>
      <c r="AD146" s="1303">
        <v>0</v>
      </c>
      <c r="AE146" s="1302"/>
      <c r="AF146" s="1303">
        <v>0</v>
      </c>
      <c r="AG146" s="1302"/>
      <c r="AH146" s="1303">
        <f t="shared" si="14"/>
        <v>16</v>
      </c>
      <c r="AI146" s="1304">
        <f t="shared" si="15"/>
        <v>3.6437688180447927E-6</v>
      </c>
      <c r="AJ146" s="12"/>
    </row>
    <row r="147" spans="2:36" s="407" customFormat="1" outlineLevel="1">
      <c r="B147" s="24" t="s">
        <v>397</v>
      </c>
      <c r="D147" s="1298">
        <v>59342</v>
      </c>
      <c r="E147" s="1298" t="s">
        <v>248</v>
      </c>
      <c r="F147" s="1299"/>
      <c r="G147" s="1300"/>
      <c r="H147" s="1301"/>
      <c r="I147" s="1302"/>
      <c r="J147" s="1303">
        <v>372.62</v>
      </c>
      <c r="K147" s="1302"/>
      <c r="L147" s="1303">
        <v>0</v>
      </c>
      <c r="M147" s="1302"/>
      <c r="N147" s="1303">
        <v>0</v>
      </c>
      <c r="O147" s="1302"/>
      <c r="P147" s="1303">
        <v>0</v>
      </c>
      <c r="Q147" s="1302"/>
      <c r="R147" s="1303">
        <v>0</v>
      </c>
      <c r="S147" s="1302"/>
      <c r="T147" s="1303">
        <v>0</v>
      </c>
      <c r="U147" s="1302"/>
      <c r="V147" s="1303">
        <v>0</v>
      </c>
      <c r="W147" s="1302"/>
      <c r="X147" s="1303">
        <v>0</v>
      </c>
      <c r="Y147" s="1302"/>
      <c r="Z147" s="1303">
        <v>0</v>
      </c>
      <c r="AA147" s="1302"/>
      <c r="AB147" s="1303">
        <v>0</v>
      </c>
      <c r="AC147" s="1302"/>
      <c r="AD147" s="1303">
        <v>0</v>
      </c>
      <c r="AE147" s="1302"/>
      <c r="AF147" s="1303">
        <v>0</v>
      </c>
      <c r="AG147" s="1302"/>
      <c r="AH147" s="1303">
        <f t="shared" si="14"/>
        <v>372.62</v>
      </c>
      <c r="AI147" s="1304">
        <f t="shared" si="15"/>
        <v>8.4858821061240664E-5</v>
      </c>
      <c r="AJ147" s="12"/>
    </row>
    <row r="148" spans="2:36" s="407" customFormat="1" outlineLevel="1">
      <c r="B148" s="24" t="s">
        <v>397</v>
      </c>
      <c r="D148" s="1298">
        <v>59343</v>
      </c>
      <c r="E148" s="1298" t="s">
        <v>249</v>
      </c>
      <c r="F148" s="1299"/>
      <c r="G148" s="1300"/>
      <c r="H148" s="1301"/>
      <c r="I148" s="1302"/>
      <c r="J148" s="1303">
        <v>5490</v>
      </c>
      <c r="K148" s="1302"/>
      <c r="L148" s="1303">
        <v>0</v>
      </c>
      <c r="M148" s="1302"/>
      <c r="N148" s="1303">
        <v>4930</v>
      </c>
      <c r="O148" s="1302"/>
      <c r="P148" s="1303">
        <v>0</v>
      </c>
      <c r="Q148" s="1302"/>
      <c r="R148" s="1303">
        <v>0</v>
      </c>
      <c r="S148" s="1302"/>
      <c r="T148" s="1303">
        <v>0</v>
      </c>
      <c r="U148" s="1302"/>
      <c r="V148" s="1303">
        <v>0</v>
      </c>
      <c r="W148" s="1302"/>
      <c r="X148" s="1303">
        <v>0</v>
      </c>
      <c r="Y148" s="1302"/>
      <c r="Z148" s="1303">
        <v>0</v>
      </c>
      <c r="AA148" s="1302"/>
      <c r="AB148" s="1303">
        <v>0</v>
      </c>
      <c r="AC148" s="1302"/>
      <c r="AD148" s="1303">
        <v>0</v>
      </c>
      <c r="AE148" s="1302"/>
      <c r="AF148" s="1303">
        <v>0</v>
      </c>
      <c r="AG148" s="1302"/>
      <c r="AH148" s="1303">
        <f t="shared" si="14"/>
        <v>10420</v>
      </c>
      <c r="AI148" s="1304">
        <f t="shared" si="15"/>
        <v>2.373004442751671E-3</v>
      </c>
      <c r="AJ148" s="12"/>
    </row>
    <row r="149" spans="2:36" s="407" customFormat="1" outlineLevel="1">
      <c r="B149" s="24" t="s">
        <v>397</v>
      </c>
      <c r="D149" s="1298">
        <v>59344</v>
      </c>
      <c r="E149" s="1298" t="s">
        <v>250</v>
      </c>
      <c r="F149" s="1299"/>
      <c r="G149" s="1300"/>
      <c r="H149" s="1301"/>
      <c r="I149" s="1302"/>
      <c r="J149" s="1303">
        <v>24900</v>
      </c>
      <c r="K149" s="1302"/>
      <c r="L149" s="1303">
        <v>-2868.62</v>
      </c>
      <c r="M149" s="1302"/>
      <c r="N149" s="1303">
        <v>0</v>
      </c>
      <c r="O149" s="1302"/>
      <c r="P149" s="1303">
        <v>0</v>
      </c>
      <c r="Q149" s="1302"/>
      <c r="R149" s="1303">
        <v>0</v>
      </c>
      <c r="S149" s="1302"/>
      <c r="T149" s="1303">
        <v>0</v>
      </c>
      <c r="U149" s="1302"/>
      <c r="V149" s="1303">
        <v>0</v>
      </c>
      <c r="W149" s="1302"/>
      <c r="X149" s="1303">
        <v>0</v>
      </c>
      <c r="Y149" s="1302"/>
      <c r="Z149" s="1303">
        <v>-6093.44</v>
      </c>
      <c r="AA149" s="1302"/>
      <c r="AB149" s="1303">
        <v>-2671.57</v>
      </c>
      <c r="AC149" s="1302"/>
      <c r="AD149" s="1303">
        <v>5.2</v>
      </c>
      <c r="AE149" s="1302"/>
      <c r="AF149" s="1303">
        <v>-10051.23</v>
      </c>
      <c r="AG149" s="1302"/>
      <c r="AH149" s="1303">
        <f t="shared" si="14"/>
        <v>3220.3400000000038</v>
      </c>
      <c r="AI149" s="1304">
        <f t="shared" si="15"/>
        <v>7.3338590471889878E-4</v>
      </c>
      <c r="AJ149" s="12"/>
    </row>
    <row r="150" spans="2:36" s="407" customFormat="1" outlineLevel="1">
      <c r="B150" s="24" t="s">
        <v>397</v>
      </c>
      <c r="D150" s="1298">
        <v>59500</v>
      </c>
      <c r="E150" s="1298" t="s">
        <v>252</v>
      </c>
      <c r="F150" s="1299"/>
      <c r="G150" s="1300"/>
      <c r="H150" s="1301"/>
      <c r="I150" s="1302"/>
      <c r="J150" s="1303">
        <v>1701.89</v>
      </c>
      <c r="K150" s="1302"/>
      <c r="L150" s="1303">
        <v>982.41</v>
      </c>
      <c r="M150" s="1302"/>
      <c r="N150" s="1303">
        <v>978.88</v>
      </c>
      <c r="O150" s="1302"/>
      <c r="P150" s="1303">
        <v>6393.07</v>
      </c>
      <c r="Q150" s="1302"/>
      <c r="R150" s="1303">
        <v>1352.06</v>
      </c>
      <c r="S150" s="1302"/>
      <c r="T150" s="1303">
        <v>1417.01</v>
      </c>
      <c r="U150" s="1302"/>
      <c r="V150" s="1303">
        <v>235.6</v>
      </c>
      <c r="W150" s="1302"/>
      <c r="X150" s="1303">
        <v>1461.43</v>
      </c>
      <c r="Y150" s="1302"/>
      <c r="Z150" s="1303">
        <v>1468.25</v>
      </c>
      <c r="AA150" s="1302"/>
      <c r="AB150" s="1303">
        <v>-896.25</v>
      </c>
      <c r="AC150" s="1302"/>
      <c r="AD150" s="1303">
        <v>1216.04</v>
      </c>
      <c r="AE150" s="1302"/>
      <c r="AF150" s="1303">
        <v>1309.21</v>
      </c>
      <c r="AG150" s="1302"/>
      <c r="AH150" s="1303">
        <f t="shared" si="14"/>
        <v>17619.599999999999</v>
      </c>
      <c r="AI150" s="1304">
        <f t="shared" si="15"/>
        <v>4.0126093166513764E-3</v>
      </c>
      <c r="AJ150" s="12"/>
    </row>
    <row r="151" spans="2:36" s="8" customFormat="1" ht="5.0999999999999996" customHeight="1" outlineLevel="1">
      <c r="B151" s="16" t="s">
        <v>194</v>
      </c>
      <c r="D151" s="1299"/>
      <c r="E151" s="1299"/>
      <c r="F151" s="1299"/>
      <c r="G151" s="1299"/>
      <c r="H151" s="1301"/>
      <c r="I151" s="1301"/>
      <c r="J151" s="1311"/>
      <c r="K151" s="1309"/>
      <c r="L151" s="1311"/>
      <c r="M151" s="1309"/>
      <c r="N151" s="1311"/>
      <c r="O151" s="1309"/>
      <c r="P151" s="1311"/>
      <c r="Q151" s="1309"/>
      <c r="R151" s="1311"/>
      <c r="S151" s="1309"/>
      <c r="T151" s="1311"/>
      <c r="U151" s="1309"/>
      <c r="V151" s="1311"/>
      <c r="W151" s="1309"/>
      <c r="X151" s="1311"/>
      <c r="Y151" s="1309"/>
      <c r="Z151" s="1311"/>
      <c r="AA151" s="1309"/>
      <c r="AB151" s="1311"/>
      <c r="AC151" s="1309"/>
      <c r="AD151" s="1311"/>
      <c r="AE151" s="1309"/>
      <c r="AF151" s="1311"/>
      <c r="AG151" s="1309"/>
      <c r="AH151" s="1311"/>
      <c r="AI151" s="1306"/>
      <c r="AJ151" s="15"/>
    </row>
    <row r="152" spans="2:36" s="8" customFormat="1" ht="15">
      <c r="D152" s="1301"/>
      <c r="E152" s="1301"/>
      <c r="F152" s="1299" t="s">
        <v>253</v>
      </c>
      <c r="G152" s="1301"/>
      <c r="H152" s="1301"/>
      <c r="I152" s="1301"/>
      <c r="J152" s="1308">
        <f>SUM(J144:J151)</f>
        <v>34112.9</v>
      </c>
      <c r="K152" s="1309"/>
      <c r="L152" s="1308">
        <f>SUM(L144:L151)</f>
        <v>-237.81999999999982</v>
      </c>
      <c r="M152" s="1309"/>
      <c r="N152" s="1308">
        <f>SUM(N144:N151)</f>
        <v>7557.27</v>
      </c>
      <c r="O152" s="1309"/>
      <c r="P152" s="1308">
        <f>SUM(P144:P151)</f>
        <v>9291.4599999999991</v>
      </c>
      <c r="Q152" s="1309"/>
      <c r="R152" s="1308">
        <f>SUM(R144:R151)</f>
        <v>1750.45</v>
      </c>
      <c r="S152" s="1309"/>
      <c r="T152" s="1308">
        <f>SUM(T144:T151)</f>
        <v>3081.4</v>
      </c>
      <c r="U152" s="1309"/>
      <c r="V152" s="1308">
        <f>SUM(V144:V151)</f>
        <v>1883.99</v>
      </c>
      <c r="W152" s="1309"/>
      <c r="X152" s="1308">
        <f>SUM(X144:X151)</f>
        <v>3109.82</v>
      </c>
      <c r="Y152" s="1309"/>
      <c r="Z152" s="1308">
        <f>SUM(Z144:Z151)</f>
        <v>-2887.3499999999995</v>
      </c>
      <c r="AA152" s="1309"/>
      <c r="AB152" s="1308">
        <f>SUM(AB144:AB151)</f>
        <v>-1829.9800000000002</v>
      </c>
      <c r="AC152" s="1309"/>
      <c r="AD152" s="1308">
        <f>SUM(AD144:AD151)</f>
        <v>2959.08</v>
      </c>
      <c r="AE152" s="1309"/>
      <c r="AF152" s="1308">
        <f>SUM(AF144:AF151)</f>
        <v>-6870.2599999999993</v>
      </c>
      <c r="AG152" s="1309"/>
      <c r="AH152" s="1308">
        <f>SUM(AH144:AH151)</f>
        <v>51920.959999999999</v>
      </c>
      <c r="AI152" s="1304">
        <f>IF(AH$48=0,0,AH152/AH$48)</f>
        <v>1.1824248440684434E-2</v>
      </c>
      <c r="AJ152" s="15"/>
    </row>
    <row r="153" spans="2:36" s="8" customFormat="1" ht="15" outlineLevel="1">
      <c r="B153" s="16" t="s">
        <v>194</v>
      </c>
      <c r="D153" s="1301"/>
      <c r="E153" s="1301"/>
      <c r="F153" s="1301"/>
      <c r="G153" s="1301"/>
      <c r="H153" s="1301"/>
      <c r="I153" s="1301"/>
      <c r="J153" s="1310"/>
      <c r="K153" s="1309"/>
      <c r="L153" s="1310"/>
      <c r="M153" s="1309"/>
      <c r="N153" s="1310"/>
      <c r="O153" s="1309"/>
      <c r="P153" s="1310"/>
      <c r="Q153" s="1309"/>
      <c r="R153" s="1310"/>
      <c r="S153" s="1309"/>
      <c r="T153" s="1310"/>
      <c r="U153" s="1309"/>
      <c r="V153" s="1310"/>
      <c r="W153" s="1309"/>
      <c r="X153" s="1310"/>
      <c r="Y153" s="1309"/>
      <c r="Z153" s="1310"/>
      <c r="AA153" s="1309"/>
      <c r="AB153" s="1310"/>
      <c r="AC153" s="1309"/>
      <c r="AD153" s="1310"/>
      <c r="AE153" s="1309"/>
      <c r="AF153" s="1310"/>
      <c r="AG153" s="1309"/>
      <c r="AH153" s="1310"/>
      <c r="AI153" s="1306"/>
      <c r="AJ153" s="15"/>
    </row>
    <row r="154" spans="2:36" s="407" customFormat="1" outlineLevel="1">
      <c r="B154" s="24" t="s">
        <v>416</v>
      </c>
      <c r="D154" s="1298">
        <v>91010</v>
      </c>
      <c r="E154" s="1298" t="s">
        <v>254</v>
      </c>
      <c r="F154" s="1299"/>
      <c r="G154" s="1300"/>
      <c r="H154" s="1301"/>
      <c r="I154" s="1302"/>
      <c r="J154" s="1303">
        <v>0</v>
      </c>
      <c r="K154" s="1302"/>
      <c r="L154" s="1303">
        <v>0</v>
      </c>
      <c r="M154" s="1302"/>
      <c r="N154" s="1303">
        <v>0</v>
      </c>
      <c r="O154" s="1302"/>
      <c r="P154" s="1303">
        <v>-4000</v>
      </c>
      <c r="Q154" s="1302"/>
      <c r="R154" s="1303">
        <v>0</v>
      </c>
      <c r="S154" s="1302"/>
      <c r="T154" s="1303">
        <v>0</v>
      </c>
      <c r="U154" s="1302"/>
      <c r="V154" s="1303">
        <v>-547.20000000000005</v>
      </c>
      <c r="W154" s="1302"/>
      <c r="X154" s="1303">
        <v>0</v>
      </c>
      <c r="Y154" s="1302"/>
      <c r="Z154" s="1303">
        <v>0</v>
      </c>
      <c r="AA154" s="1302"/>
      <c r="AB154" s="1303">
        <v>0</v>
      </c>
      <c r="AC154" s="1302"/>
      <c r="AD154" s="1303">
        <v>0</v>
      </c>
      <c r="AE154" s="1302"/>
      <c r="AF154" s="1303">
        <v>0</v>
      </c>
      <c r="AG154" s="1302"/>
      <c r="AH154" s="1303">
        <f>AF154+AD154+AB154+Z154+X154+V154+T154+R154+P154+N154+L154+J154</f>
        <v>-4547.2</v>
      </c>
      <c r="AI154" s="1304">
        <f>IF(AH$48=0,0,AH154/AH$48)</f>
        <v>-1.0355590980883301E-3</v>
      </c>
      <c r="AJ154" s="12"/>
    </row>
    <row r="155" spans="2:36" s="8" customFormat="1" ht="5.0999999999999996" customHeight="1" outlineLevel="1">
      <c r="B155" s="2" t="s">
        <v>194</v>
      </c>
      <c r="D155" s="1299"/>
      <c r="E155" s="1299"/>
      <c r="F155" s="1299"/>
      <c r="G155" s="1299"/>
      <c r="H155" s="1301"/>
      <c r="I155" s="1301"/>
      <c r="J155" s="1311"/>
      <c r="K155" s="1309"/>
      <c r="L155" s="1311"/>
      <c r="M155" s="1309"/>
      <c r="N155" s="1311"/>
      <c r="O155" s="1309"/>
      <c r="P155" s="1311"/>
      <c r="Q155" s="1309"/>
      <c r="R155" s="1311"/>
      <c r="S155" s="1309"/>
      <c r="T155" s="1311"/>
      <c r="U155" s="1309"/>
      <c r="V155" s="1311"/>
      <c r="W155" s="1309"/>
      <c r="X155" s="1311"/>
      <c r="Y155" s="1309"/>
      <c r="Z155" s="1311"/>
      <c r="AA155" s="1309"/>
      <c r="AB155" s="1311"/>
      <c r="AC155" s="1309"/>
      <c r="AD155" s="1311"/>
      <c r="AE155" s="1309"/>
      <c r="AF155" s="1311"/>
      <c r="AG155" s="1309"/>
      <c r="AH155" s="1311"/>
      <c r="AI155" s="1306"/>
      <c r="AJ155" s="15"/>
    </row>
    <row r="156" spans="2:36" s="8" customFormat="1" ht="15">
      <c r="B156" s="2" t="s">
        <v>194</v>
      </c>
      <c r="D156" s="1301"/>
      <c r="E156" s="1301"/>
      <c r="F156" s="1298" t="s">
        <v>255</v>
      </c>
      <c r="G156" s="1301"/>
      <c r="H156" s="1301"/>
      <c r="I156" s="1301"/>
      <c r="J156" s="1308">
        <f>SUM(J154:J155)</f>
        <v>0</v>
      </c>
      <c r="K156" s="1309"/>
      <c r="L156" s="1308">
        <f>SUM(L154:L155)</f>
        <v>0</v>
      </c>
      <c r="M156" s="1309"/>
      <c r="N156" s="1308">
        <f>SUM(N154:N155)</f>
        <v>0</v>
      </c>
      <c r="O156" s="1309"/>
      <c r="P156" s="1308">
        <f>SUM(P154:P155)</f>
        <v>-4000</v>
      </c>
      <c r="Q156" s="1309"/>
      <c r="R156" s="1308">
        <f>SUM(R154:R155)</f>
        <v>0</v>
      </c>
      <c r="S156" s="1309"/>
      <c r="T156" s="1308">
        <f>SUM(T154:T155)</f>
        <v>0</v>
      </c>
      <c r="U156" s="1309"/>
      <c r="V156" s="1308">
        <f>SUM(V154:V155)</f>
        <v>-547.20000000000005</v>
      </c>
      <c r="W156" s="1309"/>
      <c r="X156" s="1308">
        <f>SUM(X154:X155)</f>
        <v>0</v>
      </c>
      <c r="Y156" s="1309"/>
      <c r="Z156" s="1308">
        <f>SUM(Z154:Z155)</f>
        <v>0</v>
      </c>
      <c r="AA156" s="1309"/>
      <c r="AB156" s="1308">
        <f>SUM(AB154:AB155)</f>
        <v>0</v>
      </c>
      <c r="AC156" s="1309"/>
      <c r="AD156" s="1308">
        <f>SUM(AD154:AD155)</f>
        <v>0</v>
      </c>
      <c r="AE156" s="1309"/>
      <c r="AF156" s="1308">
        <f>SUM(AF154:AF155)</f>
        <v>0</v>
      </c>
      <c r="AG156" s="1309"/>
      <c r="AH156" s="1308">
        <f>SUM(AH154:AH155)</f>
        <v>-4547.2</v>
      </c>
      <c r="AI156" s="1304">
        <f>IF(AH$48=0,0,AH156/AH$48)</f>
        <v>-1.0355590980883301E-3</v>
      </c>
      <c r="AJ156" s="15"/>
    </row>
    <row r="157" spans="2:36" s="8" customFormat="1" ht="7.5" customHeight="1">
      <c r="B157" s="2"/>
      <c r="D157" s="1301"/>
      <c r="E157" s="1301"/>
      <c r="F157" s="1301"/>
      <c r="G157" s="1301"/>
      <c r="H157" s="1301"/>
      <c r="I157" s="1301"/>
      <c r="J157" s="1310"/>
      <c r="K157" s="1309"/>
      <c r="L157" s="1310"/>
      <c r="M157" s="1309"/>
      <c r="N157" s="1310"/>
      <c r="O157" s="1309"/>
      <c r="P157" s="1310"/>
      <c r="Q157" s="1309"/>
      <c r="R157" s="1310"/>
      <c r="S157" s="1309"/>
      <c r="T157" s="1310"/>
      <c r="U157" s="1309"/>
      <c r="V157" s="1310"/>
      <c r="W157" s="1309"/>
      <c r="X157" s="1310"/>
      <c r="Y157" s="1309"/>
      <c r="Z157" s="1310"/>
      <c r="AA157" s="1309"/>
      <c r="AB157" s="1310"/>
      <c r="AC157" s="1309"/>
      <c r="AD157" s="1310"/>
      <c r="AE157" s="1309"/>
      <c r="AF157" s="1310"/>
      <c r="AG157" s="1309"/>
      <c r="AH157" s="1310"/>
      <c r="AI157" s="1306"/>
      <c r="AJ157" s="15"/>
    </row>
    <row r="158" spans="2:36" s="8" customFormat="1" ht="15">
      <c r="B158" s="2"/>
      <c r="D158" s="1301"/>
      <c r="E158" s="1316" t="s">
        <v>256</v>
      </c>
      <c r="F158" s="1301"/>
      <c r="G158" s="1301"/>
      <c r="H158" s="1301"/>
      <c r="I158" s="1301"/>
      <c r="J158" s="1314">
        <f>+J90+J94+J116+J122+J127+J138+J152+J142+J156</f>
        <v>185901.09</v>
      </c>
      <c r="K158" s="1309"/>
      <c r="L158" s="1314">
        <f>+L90+L94+L116+L122+L127+L138+L152+L142+L156</f>
        <v>125609.35</v>
      </c>
      <c r="M158" s="1309"/>
      <c r="N158" s="1314">
        <f>+N90+N94+N116+N122+N127+N138+N152+N142+N156</f>
        <v>142570.87</v>
      </c>
      <c r="O158" s="1309"/>
      <c r="P158" s="1314">
        <f>+P90+P94+P116+P122+P127+P138+P152+P142+P156</f>
        <v>146339.69999999998</v>
      </c>
      <c r="Q158" s="1309"/>
      <c r="R158" s="1314">
        <f>+R90+R94+R116+R122+R127+R138+R152+R142+R156</f>
        <v>123027.22</v>
      </c>
      <c r="S158" s="1309"/>
      <c r="T158" s="1314">
        <f>+T90+T94+T116+T122+T127+T138+T152+T142+T156</f>
        <v>140375.17000000004</v>
      </c>
      <c r="U158" s="1309"/>
      <c r="V158" s="1314">
        <f>+V90+V94+V116+V122+V127+V138+V152+V142+V156</f>
        <v>138973.00999999998</v>
      </c>
      <c r="W158" s="1309"/>
      <c r="X158" s="1314">
        <f>+X90+X94+X116+X122+X127+X138+X152+X142+X156</f>
        <v>132096.18</v>
      </c>
      <c r="Y158" s="1309"/>
      <c r="Z158" s="1314">
        <f>+Z90+Z94+Z116+Z122+Z127+Z138+Z152+Z142+Z156</f>
        <v>138989.81</v>
      </c>
      <c r="AA158" s="1309"/>
      <c r="AB158" s="1314">
        <f>+AB90+AB94+AB116+AB122+AB127+AB138+AB152+AB142+AB156</f>
        <v>119602.54999999999</v>
      </c>
      <c r="AC158" s="1309"/>
      <c r="AD158" s="1314">
        <f>+AD90+AD94+AD116+AD122+AD127+AD138+AD152+AD142+AD156</f>
        <v>147535.13999999998</v>
      </c>
      <c r="AE158" s="1309"/>
      <c r="AF158" s="1314">
        <f>+AF90+AF94+AF116+AF122+AF127+AF138+AF152+AF142+AF156</f>
        <v>134839.88</v>
      </c>
      <c r="AG158" s="1309"/>
      <c r="AH158" s="1314">
        <f>+AH90+AH94+AH116+AH122+AH127+AH138+AH152+AH142+AH156</f>
        <v>1675859.97</v>
      </c>
      <c r="AI158" s="1304">
        <f>IF(AH$48=0,0,AH158/AH$48)</f>
        <v>0.38165289388096757</v>
      </c>
      <c r="AJ158" s="15"/>
    </row>
    <row r="159" spans="2:36" s="8" customFormat="1" ht="7.5" customHeight="1">
      <c r="B159" s="2"/>
      <c r="D159" s="1301"/>
      <c r="E159" s="1301"/>
      <c r="F159" s="1301"/>
      <c r="G159" s="1301"/>
      <c r="H159" s="1301"/>
      <c r="I159" s="1301"/>
      <c r="J159" s="1310"/>
      <c r="K159" s="1309"/>
      <c r="L159" s="1310"/>
      <c r="M159" s="1309"/>
      <c r="N159" s="1310"/>
      <c r="O159" s="1309"/>
      <c r="P159" s="1310"/>
      <c r="Q159" s="1309"/>
      <c r="R159" s="1310"/>
      <c r="S159" s="1309"/>
      <c r="T159" s="1310"/>
      <c r="U159" s="1309"/>
      <c r="V159" s="1310"/>
      <c r="W159" s="1309"/>
      <c r="X159" s="1310"/>
      <c r="Y159" s="1309"/>
      <c r="Z159" s="1310"/>
      <c r="AA159" s="1309"/>
      <c r="AB159" s="1310"/>
      <c r="AC159" s="1309"/>
      <c r="AD159" s="1310"/>
      <c r="AE159" s="1309"/>
      <c r="AF159" s="1310"/>
      <c r="AG159" s="1309"/>
      <c r="AH159" s="1310"/>
      <c r="AI159" s="1306"/>
      <c r="AJ159" s="15"/>
    </row>
    <row r="160" spans="2:36" s="8" customFormat="1" ht="15">
      <c r="B160" s="16" t="s">
        <v>194</v>
      </c>
      <c r="D160" s="1301"/>
      <c r="E160" s="1316" t="s">
        <v>257</v>
      </c>
      <c r="F160" s="1301"/>
      <c r="G160" s="1301"/>
      <c r="H160" s="1301"/>
      <c r="I160" s="1301"/>
      <c r="J160" s="1314">
        <f>J75-J158</f>
        <v>184337.12000000002</v>
      </c>
      <c r="K160" s="1309"/>
      <c r="L160" s="1314">
        <f>L75-L158</f>
        <v>228227.63999999998</v>
      </c>
      <c r="M160" s="1309"/>
      <c r="N160" s="1314">
        <f>N75-N158</f>
        <v>199310.85000000003</v>
      </c>
      <c r="O160" s="1309"/>
      <c r="P160" s="1314">
        <f>P75-P158</f>
        <v>247282.32000000004</v>
      </c>
      <c r="Q160" s="1309"/>
      <c r="R160" s="1314">
        <f>R75-R158</f>
        <v>204204.67999999996</v>
      </c>
      <c r="S160" s="1309"/>
      <c r="T160" s="1314">
        <f>T75-T158</f>
        <v>220918.93999999994</v>
      </c>
      <c r="U160" s="1309"/>
      <c r="V160" s="1314">
        <f>V75-V158</f>
        <v>152377.92000000001</v>
      </c>
      <c r="W160" s="1309"/>
      <c r="X160" s="1314">
        <f>X75-X158</f>
        <v>176279.06</v>
      </c>
      <c r="Y160" s="1309"/>
      <c r="Z160" s="1314">
        <f>Z75-Z158</f>
        <v>237156.44999999995</v>
      </c>
      <c r="AA160" s="1309"/>
      <c r="AB160" s="1314">
        <f>AB75-AB158</f>
        <v>181541.3</v>
      </c>
      <c r="AC160" s="1309"/>
      <c r="AD160" s="1314">
        <f>AD75-AD158</f>
        <v>219484.80000000008</v>
      </c>
      <c r="AE160" s="1309"/>
      <c r="AF160" s="1314">
        <f>AF75-AF158</f>
        <v>240527.3</v>
      </c>
      <c r="AG160" s="1309"/>
      <c r="AH160" s="1314">
        <f>AH75-AH158</f>
        <v>2491648.38</v>
      </c>
      <c r="AI160" s="1304">
        <f>IF(AH$48=0,0,AH160/AH$48)</f>
        <v>0.56743691703598886</v>
      </c>
      <c r="AJ160" s="15"/>
    </row>
    <row r="161" spans="2:36" s="8" customFormat="1" ht="7.5" customHeight="1">
      <c r="B161" s="16" t="s">
        <v>194</v>
      </c>
      <c r="D161" s="1301"/>
      <c r="E161" s="1301"/>
      <c r="F161" s="1301"/>
      <c r="G161" s="1301"/>
      <c r="H161" s="1301"/>
      <c r="I161" s="1301"/>
      <c r="J161" s="1310"/>
      <c r="K161" s="1309"/>
      <c r="L161" s="1310"/>
      <c r="M161" s="1309"/>
      <c r="N161" s="1310"/>
      <c r="O161" s="1309"/>
      <c r="P161" s="1310"/>
      <c r="Q161" s="1309"/>
      <c r="R161" s="1310"/>
      <c r="S161" s="1309"/>
      <c r="T161" s="1310"/>
      <c r="U161" s="1309"/>
      <c r="V161" s="1310"/>
      <c r="W161" s="1309"/>
      <c r="X161" s="1310"/>
      <c r="Y161" s="1309"/>
      <c r="Z161" s="1310"/>
      <c r="AA161" s="1309"/>
      <c r="AB161" s="1310"/>
      <c r="AC161" s="1309"/>
      <c r="AD161" s="1310"/>
      <c r="AE161" s="1309"/>
      <c r="AF161" s="1310"/>
      <c r="AG161" s="1309"/>
      <c r="AH161" s="1310"/>
      <c r="AI161" s="1306"/>
      <c r="AJ161" s="15"/>
    </row>
    <row r="162" spans="2:36" s="8" customFormat="1" ht="15" outlineLevel="1">
      <c r="B162" s="16" t="s">
        <v>194</v>
      </c>
      <c r="D162" s="1301"/>
      <c r="E162" s="1301"/>
      <c r="F162" s="1301"/>
      <c r="G162" s="1301"/>
      <c r="H162" s="1301"/>
      <c r="I162" s="1301"/>
      <c r="J162" s="1310"/>
      <c r="K162" s="1309"/>
      <c r="L162" s="1310"/>
      <c r="M162" s="1309"/>
      <c r="N162" s="1310"/>
      <c r="O162" s="1309"/>
      <c r="P162" s="1310"/>
      <c r="Q162" s="1309"/>
      <c r="R162" s="1310"/>
      <c r="S162" s="1309"/>
      <c r="T162" s="1310"/>
      <c r="U162" s="1309"/>
      <c r="V162" s="1310"/>
      <c r="W162" s="1309"/>
      <c r="X162" s="1310"/>
      <c r="Y162" s="1309"/>
      <c r="Z162" s="1310"/>
      <c r="AA162" s="1309"/>
      <c r="AB162" s="1310"/>
      <c r="AC162" s="1309"/>
      <c r="AD162" s="1310"/>
      <c r="AE162" s="1309"/>
      <c r="AF162" s="1310"/>
      <c r="AG162" s="1309"/>
      <c r="AH162" s="1310"/>
      <c r="AI162" s="1306"/>
      <c r="AJ162" s="15"/>
    </row>
    <row r="163" spans="2:36" s="407" customFormat="1" outlineLevel="1">
      <c r="B163" s="24" t="s">
        <v>417</v>
      </c>
      <c r="D163" s="1298">
        <v>60010</v>
      </c>
      <c r="E163" s="1298" t="s">
        <v>17</v>
      </c>
      <c r="F163" s="1299"/>
      <c r="G163" s="1300"/>
      <c r="H163" s="1301"/>
      <c r="I163" s="1302"/>
      <c r="J163" s="1303">
        <v>12436.54</v>
      </c>
      <c r="K163" s="1302"/>
      <c r="L163" s="1303">
        <v>11355.1</v>
      </c>
      <c r="M163" s="1302"/>
      <c r="N163" s="1303">
        <v>11895.82</v>
      </c>
      <c r="O163" s="1302"/>
      <c r="P163" s="1303">
        <v>12436.53</v>
      </c>
      <c r="Q163" s="1302"/>
      <c r="R163" s="1303">
        <v>10814.38</v>
      </c>
      <c r="S163" s="1302"/>
      <c r="T163" s="1303">
        <v>12436.53</v>
      </c>
      <c r="U163" s="1302"/>
      <c r="V163" s="1303">
        <v>11895.83</v>
      </c>
      <c r="W163" s="1302"/>
      <c r="X163" s="1303">
        <v>11355.1</v>
      </c>
      <c r="Y163" s="1302"/>
      <c r="Z163" s="1303">
        <v>12436.53</v>
      </c>
      <c r="AA163" s="1302"/>
      <c r="AB163" s="1303">
        <v>10814.38</v>
      </c>
      <c r="AC163" s="1302"/>
      <c r="AD163" s="1303">
        <v>11355.1</v>
      </c>
      <c r="AE163" s="1302"/>
      <c r="AF163" s="1303">
        <v>11895.98</v>
      </c>
      <c r="AG163" s="1302"/>
      <c r="AH163" s="1303">
        <f t="shared" ref="AH163:AH177" si="16">AF163+AD163+AB163+Z163+X163+V163+T163+R163+P163+N163+L163+J163</f>
        <v>141127.82</v>
      </c>
      <c r="AI163" s="1304">
        <f t="shared" ref="AI163:AI177" si="17">IF(AH$48=0,0,AH163/AH$48)</f>
        <v>3.2139821867164894E-2</v>
      </c>
      <c r="AJ163" s="12"/>
    </row>
    <row r="164" spans="2:36" s="407" customFormat="1" outlineLevel="1">
      <c r="B164" s="24" t="s">
        <v>397</v>
      </c>
      <c r="D164" s="1298">
        <v>60030</v>
      </c>
      <c r="E164" s="1298" t="s">
        <v>74</v>
      </c>
      <c r="F164" s="1299"/>
      <c r="G164" s="1300"/>
      <c r="H164" s="1301"/>
      <c r="I164" s="1302"/>
      <c r="J164" s="1303">
        <v>7681.07</v>
      </c>
      <c r="K164" s="1302"/>
      <c r="L164" s="1303">
        <v>11278.22</v>
      </c>
      <c r="M164" s="1302"/>
      <c r="N164" s="1303">
        <v>7038.47</v>
      </c>
      <c r="O164" s="1302"/>
      <c r="P164" s="1303">
        <v>8582.61</v>
      </c>
      <c r="Q164" s="1302"/>
      <c r="R164" s="1303">
        <v>7406.1</v>
      </c>
      <c r="S164" s="1302"/>
      <c r="T164" s="1303">
        <v>6007.95</v>
      </c>
      <c r="U164" s="1302"/>
      <c r="V164" s="1303">
        <v>4132.7700000000004</v>
      </c>
      <c r="W164" s="1302"/>
      <c r="X164" s="1303">
        <v>6371.16</v>
      </c>
      <c r="Y164" s="1302"/>
      <c r="Z164" s="1303">
        <v>8312.7199999999993</v>
      </c>
      <c r="AA164" s="1302"/>
      <c r="AB164" s="1303">
        <v>5063.96</v>
      </c>
      <c r="AC164" s="1302"/>
      <c r="AD164" s="1303">
        <v>6938.03</v>
      </c>
      <c r="AE164" s="1302"/>
      <c r="AF164" s="1303">
        <v>8492.01</v>
      </c>
      <c r="AG164" s="1302"/>
      <c r="AH164" s="1303">
        <f t="shared" si="16"/>
        <v>87305.07</v>
      </c>
      <c r="AI164" s="1304">
        <f t="shared" si="17"/>
        <v>1.9882468232701119E-2</v>
      </c>
      <c r="AJ164" s="12"/>
    </row>
    <row r="165" spans="2:36" s="407" customFormat="1" outlineLevel="1">
      <c r="B165" s="24" t="s">
        <v>397</v>
      </c>
      <c r="D165" s="1298">
        <v>60050</v>
      </c>
      <c r="E165" s="1298" t="s">
        <v>166</v>
      </c>
      <c r="F165" s="1299"/>
      <c r="G165" s="1300"/>
      <c r="H165" s="1301"/>
      <c r="I165" s="1302"/>
      <c r="J165" s="1303">
        <v>2707</v>
      </c>
      <c r="K165" s="1302"/>
      <c r="L165" s="1303">
        <v>740.16</v>
      </c>
      <c r="M165" s="1302"/>
      <c r="N165" s="1303">
        <v>739.01</v>
      </c>
      <c r="O165" s="1302"/>
      <c r="P165" s="1303">
        <v>3084.75</v>
      </c>
      <c r="Q165" s="1302"/>
      <c r="R165" s="1303">
        <v>854.09</v>
      </c>
      <c r="S165" s="1302"/>
      <c r="T165" s="1303">
        <v>3236.55</v>
      </c>
      <c r="U165" s="1302"/>
      <c r="V165" s="1303">
        <v>344.91</v>
      </c>
      <c r="W165" s="1302"/>
      <c r="X165" s="1303">
        <v>959.21</v>
      </c>
      <c r="Y165" s="1302"/>
      <c r="Z165" s="1303">
        <v>3818</v>
      </c>
      <c r="AA165" s="1302"/>
      <c r="AB165" s="1303">
        <v>-273.74</v>
      </c>
      <c r="AC165" s="1302"/>
      <c r="AD165" s="1303">
        <v>980.15</v>
      </c>
      <c r="AE165" s="1302"/>
      <c r="AF165" s="1303">
        <v>2999.99</v>
      </c>
      <c r="AG165" s="1302"/>
      <c r="AH165" s="1303">
        <f t="shared" si="16"/>
        <v>20190.079999999998</v>
      </c>
      <c r="AI165" s="1304">
        <f t="shared" si="17"/>
        <v>4.5979989961143627E-3</v>
      </c>
      <c r="AJ165" s="12"/>
    </row>
    <row r="166" spans="2:36" s="407" customFormat="1" outlineLevel="1">
      <c r="B166" s="24" t="s">
        <v>397</v>
      </c>
      <c r="D166" s="1298">
        <v>60060</v>
      </c>
      <c r="E166" s="1298" t="s">
        <v>75</v>
      </c>
      <c r="F166" s="1299"/>
      <c r="G166" s="1300"/>
      <c r="H166" s="1301"/>
      <c r="I166" s="1302"/>
      <c r="J166" s="1303">
        <v>2364.5</v>
      </c>
      <c r="K166" s="1302"/>
      <c r="L166" s="1303">
        <v>2343</v>
      </c>
      <c r="M166" s="1302"/>
      <c r="N166" s="1303">
        <v>2343</v>
      </c>
      <c r="O166" s="1302"/>
      <c r="P166" s="1303">
        <v>2343</v>
      </c>
      <c r="Q166" s="1302"/>
      <c r="R166" s="1303">
        <v>2364.5</v>
      </c>
      <c r="S166" s="1302"/>
      <c r="T166" s="1303">
        <v>2343</v>
      </c>
      <c r="U166" s="1302"/>
      <c r="V166" s="1303">
        <v>2343</v>
      </c>
      <c r="W166" s="1302"/>
      <c r="X166" s="1303">
        <v>2343</v>
      </c>
      <c r="Y166" s="1302"/>
      <c r="Z166" s="1303">
        <v>2443</v>
      </c>
      <c r="AA166" s="1302"/>
      <c r="AB166" s="1303">
        <v>2380.7399999999998</v>
      </c>
      <c r="AC166" s="1302"/>
      <c r="AD166" s="1303">
        <v>2436.96</v>
      </c>
      <c r="AE166" s="1302"/>
      <c r="AF166" s="1303">
        <v>2415.46</v>
      </c>
      <c r="AG166" s="1302"/>
      <c r="AH166" s="1303">
        <f t="shared" si="16"/>
        <v>28463.16</v>
      </c>
      <c r="AI166" s="1304">
        <f t="shared" si="17"/>
        <v>6.4820734294387386E-3</v>
      </c>
      <c r="AJ166" s="12"/>
    </row>
    <row r="167" spans="2:36" s="407" customFormat="1" outlineLevel="1">
      <c r="B167" s="24" t="s">
        <v>397</v>
      </c>
      <c r="D167" s="1298">
        <v>60065</v>
      </c>
      <c r="E167" s="1298" t="s">
        <v>21</v>
      </c>
      <c r="F167" s="1299"/>
      <c r="G167" s="1300"/>
      <c r="H167" s="1301"/>
      <c r="I167" s="1302"/>
      <c r="J167" s="1303">
        <v>-619.6</v>
      </c>
      <c r="K167" s="1302"/>
      <c r="L167" s="1303">
        <v>-1171.9100000000001</v>
      </c>
      <c r="M167" s="1302"/>
      <c r="N167" s="1303">
        <v>-629.52</v>
      </c>
      <c r="O167" s="1302"/>
      <c r="P167" s="1303">
        <v>-900.13</v>
      </c>
      <c r="Q167" s="1302"/>
      <c r="R167" s="1303">
        <v>442.57</v>
      </c>
      <c r="S167" s="1302"/>
      <c r="T167" s="1303">
        <v>457.32</v>
      </c>
      <c r="U167" s="1302"/>
      <c r="V167" s="1303">
        <v>-1453.33</v>
      </c>
      <c r="W167" s="1302"/>
      <c r="X167" s="1303">
        <v>457.33</v>
      </c>
      <c r="Y167" s="1302"/>
      <c r="Z167" s="1303">
        <v>0</v>
      </c>
      <c r="AA167" s="1302"/>
      <c r="AB167" s="1303">
        <v>0</v>
      </c>
      <c r="AC167" s="1302"/>
      <c r="AD167" s="1303">
        <v>0</v>
      </c>
      <c r="AE167" s="1302"/>
      <c r="AF167" s="1303">
        <v>0</v>
      </c>
      <c r="AG167" s="1302"/>
      <c r="AH167" s="1303">
        <f t="shared" si="16"/>
        <v>-3417.27</v>
      </c>
      <c r="AI167" s="1304">
        <f t="shared" si="17"/>
        <v>-7.7823386680249548E-4</v>
      </c>
      <c r="AJ167" s="12"/>
    </row>
    <row r="168" spans="2:36" s="407" customFormat="1" outlineLevel="1">
      <c r="B168" s="24" t="s">
        <v>397</v>
      </c>
      <c r="D168" s="1298">
        <v>60095</v>
      </c>
      <c r="E168" s="1298" t="s">
        <v>240</v>
      </c>
      <c r="F168" s="1299"/>
      <c r="G168" s="1300"/>
      <c r="H168" s="1301"/>
      <c r="I168" s="1302"/>
      <c r="J168" s="1303">
        <v>350</v>
      </c>
      <c r="K168" s="1302"/>
      <c r="L168" s="1303">
        <v>450</v>
      </c>
      <c r="M168" s="1302"/>
      <c r="N168" s="1303">
        <v>0</v>
      </c>
      <c r="O168" s="1302"/>
      <c r="P168" s="1303">
        <v>2118.1999999999998</v>
      </c>
      <c r="Q168" s="1302"/>
      <c r="R168" s="1303">
        <v>240</v>
      </c>
      <c r="S168" s="1302"/>
      <c r="T168" s="1303">
        <v>1019.96</v>
      </c>
      <c r="U168" s="1302"/>
      <c r="V168" s="1303">
        <v>30.91</v>
      </c>
      <c r="W168" s="1302"/>
      <c r="X168" s="1303">
        <v>134.58000000000001</v>
      </c>
      <c r="Y168" s="1302"/>
      <c r="Z168" s="1303">
        <v>0</v>
      </c>
      <c r="AA168" s="1302"/>
      <c r="AB168" s="1303">
        <v>42</v>
      </c>
      <c r="AC168" s="1302"/>
      <c r="AD168" s="1303">
        <v>541</v>
      </c>
      <c r="AE168" s="1302"/>
      <c r="AF168" s="1303">
        <v>603.66999999999996</v>
      </c>
      <c r="AG168" s="1302"/>
      <c r="AH168" s="1303">
        <f t="shared" si="16"/>
        <v>5530.32</v>
      </c>
      <c r="AI168" s="1304">
        <f t="shared" si="17"/>
        <v>1.2594504731130922E-3</v>
      </c>
      <c r="AJ168" s="12"/>
    </row>
    <row r="169" spans="2:36" s="407" customFormat="1" outlineLevel="1">
      <c r="B169" s="24" t="s">
        <v>397</v>
      </c>
      <c r="D169" s="1298">
        <v>60116</v>
      </c>
      <c r="E169" s="1298" t="s">
        <v>120</v>
      </c>
      <c r="F169" s="1299"/>
      <c r="G169" s="1300"/>
      <c r="H169" s="1301"/>
      <c r="I169" s="1302"/>
      <c r="J169" s="1303">
        <v>905.49</v>
      </c>
      <c r="K169" s="1302"/>
      <c r="L169" s="1303">
        <v>270.14</v>
      </c>
      <c r="M169" s="1302"/>
      <c r="N169" s="1303">
        <v>270.14</v>
      </c>
      <c r="O169" s="1302"/>
      <c r="P169" s="1303">
        <v>971.78</v>
      </c>
      <c r="Q169" s="1302"/>
      <c r="R169" s="1303">
        <v>405.21</v>
      </c>
      <c r="S169" s="1302"/>
      <c r="T169" s="1303">
        <v>822.56</v>
      </c>
      <c r="U169" s="1302"/>
      <c r="V169" s="1303">
        <v>270.14</v>
      </c>
      <c r="W169" s="1302"/>
      <c r="X169" s="1303">
        <v>270.14</v>
      </c>
      <c r="Y169" s="1302"/>
      <c r="Z169" s="1303">
        <v>1260.79</v>
      </c>
      <c r="AA169" s="1302"/>
      <c r="AB169" s="1303">
        <v>1099.95</v>
      </c>
      <c r="AC169" s="1302"/>
      <c r="AD169" s="1303">
        <v>729.66</v>
      </c>
      <c r="AE169" s="1302"/>
      <c r="AF169" s="1303">
        <v>1384.07</v>
      </c>
      <c r="AG169" s="1302"/>
      <c r="AH169" s="1303">
        <f t="shared" si="16"/>
        <v>8660.0700000000015</v>
      </c>
      <c r="AI169" s="1304">
        <f t="shared" si="17"/>
        <v>1.9722058142553232E-3</v>
      </c>
      <c r="AJ169" s="12"/>
    </row>
    <row r="170" spans="2:36" s="407" customFormat="1" outlineLevel="1">
      <c r="B170" s="24" t="s">
        <v>397</v>
      </c>
      <c r="D170" s="1298">
        <v>60195</v>
      </c>
      <c r="E170" s="1298" t="s">
        <v>81</v>
      </c>
      <c r="F170" s="1299"/>
      <c r="G170" s="1300"/>
      <c r="H170" s="1301"/>
      <c r="I170" s="1302"/>
      <c r="J170" s="1303">
        <v>3694.47</v>
      </c>
      <c r="K170" s="1302"/>
      <c r="L170" s="1303">
        <v>934.5</v>
      </c>
      <c r="M170" s="1302"/>
      <c r="N170" s="1303">
        <v>285</v>
      </c>
      <c r="O170" s="1302"/>
      <c r="P170" s="1303">
        <v>0</v>
      </c>
      <c r="Q170" s="1302"/>
      <c r="R170" s="1303">
        <v>0</v>
      </c>
      <c r="S170" s="1302"/>
      <c r="T170" s="1303">
        <v>5373.55</v>
      </c>
      <c r="U170" s="1302"/>
      <c r="V170" s="1303">
        <v>1607.95</v>
      </c>
      <c r="W170" s="1302"/>
      <c r="X170" s="1303">
        <v>1335.23</v>
      </c>
      <c r="Y170" s="1302"/>
      <c r="Z170" s="1303">
        <v>1504.81</v>
      </c>
      <c r="AA170" s="1302"/>
      <c r="AB170" s="1303">
        <v>1301.72</v>
      </c>
      <c r="AC170" s="1302"/>
      <c r="AD170" s="1303">
        <v>967.42</v>
      </c>
      <c r="AE170" s="1302"/>
      <c r="AF170" s="1303">
        <v>1525.33</v>
      </c>
      <c r="AG170" s="1302"/>
      <c r="AH170" s="1303">
        <f t="shared" si="16"/>
        <v>18529.980000000003</v>
      </c>
      <c r="AI170" s="1304">
        <f t="shared" si="17"/>
        <v>4.2199352076871038E-3</v>
      </c>
      <c r="AJ170" s="12"/>
    </row>
    <row r="171" spans="2:36" s="407" customFormat="1" outlineLevel="1">
      <c r="B171" s="24" t="s">
        <v>397</v>
      </c>
      <c r="D171" s="1298">
        <v>60200</v>
      </c>
      <c r="E171" s="1298" t="s">
        <v>59</v>
      </c>
      <c r="F171" s="1299"/>
      <c r="G171" s="1300"/>
      <c r="H171" s="1301"/>
      <c r="I171" s="1302"/>
      <c r="J171" s="1303">
        <v>0</v>
      </c>
      <c r="K171" s="1302"/>
      <c r="L171" s="1303">
        <v>0</v>
      </c>
      <c r="M171" s="1302"/>
      <c r="N171" s="1303">
        <v>0</v>
      </c>
      <c r="O171" s="1302"/>
      <c r="P171" s="1303">
        <v>0</v>
      </c>
      <c r="Q171" s="1302"/>
      <c r="R171" s="1303">
        <v>667.71</v>
      </c>
      <c r="S171" s="1302"/>
      <c r="T171" s="1303">
        <v>-667.71</v>
      </c>
      <c r="U171" s="1302"/>
      <c r="V171" s="1303">
        <v>0</v>
      </c>
      <c r="W171" s="1302"/>
      <c r="X171" s="1303">
        <v>0</v>
      </c>
      <c r="Y171" s="1302"/>
      <c r="Z171" s="1303">
        <v>0</v>
      </c>
      <c r="AA171" s="1302"/>
      <c r="AB171" s="1303">
        <v>0</v>
      </c>
      <c r="AC171" s="1302"/>
      <c r="AD171" s="1303">
        <v>0</v>
      </c>
      <c r="AE171" s="1302"/>
      <c r="AF171" s="1303">
        <v>0</v>
      </c>
      <c r="AG171" s="1302"/>
      <c r="AH171" s="1303">
        <f t="shared" si="16"/>
        <v>0</v>
      </c>
      <c r="AI171" s="1304">
        <f t="shared" si="17"/>
        <v>0</v>
      </c>
      <c r="AJ171" s="12"/>
    </row>
    <row r="172" spans="2:36" s="407" customFormat="1" outlineLevel="1">
      <c r="B172" s="24" t="s">
        <v>397</v>
      </c>
      <c r="D172" s="1298">
        <v>60201</v>
      </c>
      <c r="E172" s="1298" t="s">
        <v>77</v>
      </c>
      <c r="F172" s="1299"/>
      <c r="G172" s="1300"/>
      <c r="H172" s="1301"/>
      <c r="I172" s="1302"/>
      <c r="J172" s="1303">
        <v>877.95</v>
      </c>
      <c r="K172" s="1302"/>
      <c r="L172" s="1303">
        <v>0</v>
      </c>
      <c r="M172" s="1302"/>
      <c r="N172" s="1303">
        <v>0</v>
      </c>
      <c r="O172" s="1302"/>
      <c r="P172" s="1303">
        <v>257.97000000000003</v>
      </c>
      <c r="Q172" s="1302"/>
      <c r="R172" s="1303">
        <v>0</v>
      </c>
      <c r="S172" s="1302"/>
      <c r="T172" s="1303">
        <v>0</v>
      </c>
      <c r="U172" s="1302"/>
      <c r="V172" s="1303">
        <v>0</v>
      </c>
      <c r="W172" s="1302"/>
      <c r="X172" s="1303">
        <v>0</v>
      </c>
      <c r="Y172" s="1302"/>
      <c r="Z172" s="1303">
        <v>0</v>
      </c>
      <c r="AA172" s="1302"/>
      <c r="AB172" s="1303">
        <v>0</v>
      </c>
      <c r="AC172" s="1302"/>
      <c r="AD172" s="1303">
        <v>0</v>
      </c>
      <c r="AE172" s="1302"/>
      <c r="AF172" s="1303">
        <v>0</v>
      </c>
      <c r="AG172" s="1302"/>
      <c r="AH172" s="1303">
        <f t="shared" si="16"/>
        <v>1135.92</v>
      </c>
      <c r="AI172" s="1304">
        <f t="shared" si="17"/>
        <v>2.5868936723709006E-4</v>
      </c>
      <c r="AJ172" s="12"/>
    </row>
    <row r="173" spans="2:36" s="407" customFormat="1" outlineLevel="1">
      <c r="B173" s="24" t="s">
        <v>397</v>
      </c>
      <c r="D173" s="1298">
        <v>60203</v>
      </c>
      <c r="E173" s="1298" t="s">
        <v>136</v>
      </c>
      <c r="F173" s="1299"/>
      <c r="G173" s="1300"/>
      <c r="H173" s="1301"/>
      <c r="I173" s="1302"/>
      <c r="J173" s="1303">
        <v>0</v>
      </c>
      <c r="K173" s="1302"/>
      <c r="L173" s="1303">
        <v>0</v>
      </c>
      <c r="M173" s="1302"/>
      <c r="N173" s="1303">
        <v>0</v>
      </c>
      <c r="O173" s="1302"/>
      <c r="P173" s="1303">
        <v>0</v>
      </c>
      <c r="Q173" s="1302"/>
      <c r="R173" s="1303">
        <v>0</v>
      </c>
      <c r="S173" s="1302"/>
      <c r="T173" s="1303">
        <v>667.71</v>
      </c>
      <c r="U173" s="1302"/>
      <c r="V173" s="1303">
        <v>0</v>
      </c>
      <c r="W173" s="1302"/>
      <c r="X173" s="1303">
        <v>0</v>
      </c>
      <c r="Y173" s="1302"/>
      <c r="Z173" s="1303">
        <v>0</v>
      </c>
      <c r="AA173" s="1302"/>
      <c r="AB173" s="1303">
        <v>0</v>
      </c>
      <c r="AC173" s="1302"/>
      <c r="AD173" s="1303">
        <v>0</v>
      </c>
      <c r="AE173" s="1302"/>
      <c r="AF173" s="1303">
        <v>0</v>
      </c>
      <c r="AG173" s="1302"/>
      <c r="AH173" s="1303">
        <f t="shared" si="16"/>
        <v>667.71</v>
      </c>
      <c r="AI173" s="1304">
        <f t="shared" si="17"/>
        <v>1.5206130484354303E-4</v>
      </c>
      <c r="AJ173" s="12"/>
    </row>
    <row r="174" spans="2:36" s="407" customFormat="1" outlineLevel="1">
      <c r="B174" s="24" t="s">
        <v>397</v>
      </c>
      <c r="D174" s="1298">
        <v>60205</v>
      </c>
      <c r="E174" s="1298" t="s">
        <v>262</v>
      </c>
      <c r="F174" s="1299"/>
      <c r="G174" s="1300"/>
      <c r="H174" s="1301"/>
      <c r="I174" s="1302"/>
      <c r="J174" s="1303">
        <v>622.44000000000005</v>
      </c>
      <c r="K174" s="1302"/>
      <c r="L174" s="1303">
        <v>0</v>
      </c>
      <c r="M174" s="1302"/>
      <c r="N174" s="1303">
        <v>396.76</v>
      </c>
      <c r="O174" s="1302"/>
      <c r="P174" s="1303">
        <v>758.1</v>
      </c>
      <c r="Q174" s="1302"/>
      <c r="R174" s="1303">
        <v>388.59</v>
      </c>
      <c r="S174" s="1302"/>
      <c r="T174" s="1303">
        <v>368.06</v>
      </c>
      <c r="U174" s="1302"/>
      <c r="V174" s="1303">
        <v>332.45</v>
      </c>
      <c r="W174" s="1302"/>
      <c r="X174" s="1303">
        <v>657.82</v>
      </c>
      <c r="Y174" s="1302"/>
      <c r="Z174" s="1303">
        <v>0</v>
      </c>
      <c r="AA174" s="1302"/>
      <c r="AB174" s="1303">
        <v>277.24</v>
      </c>
      <c r="AC174" s="1302"/>
      <c r="AD174" s="1303">
        <v>314.94</v>
      </c>
      <c r="AE174" s="1302"/>
      <c r="AF174" s="1303">
        <v>719.2</v>
      </c>
      <c r="AG174" s="1302"/>
      <c r="AH174" s="1303">
        <f t="shared" si="16"/>
        <v>4835.6000000000004</v>
      </c>
      <c r="AI174" s="1304">
        <f t="shared" si="17"/>
        <v>1.1012380310335876E-3</v>
      </c>
      <c r="AJ174" s="12"/>
    </row>
    <row r="175" spans="2:36" s="407" customFormat="1" outlineLevel="1">
      <c r="B175" s="24" t="s">
        <v>397</v>
      </c>
      <c r="D175" s="1298">
        <v>60206</v>
      </c>
      <c r="E175" s="1298" t="s">
        <v>263</v>
      </c>
      <c r="F175" s="1299"/>
      <c r="G175" s="1300"/>
      <c r="H175" s="1301"/>
      <c r="I175" s="1302"/>
      <c r="J175" s="1303">
        <v>0</v>
      </c>
      <c r="K175" s="1302"/>
      <c r="L175" s="1303">
        <v>0</v>
      </c>
      <c r="M175" s="1302"/>
      <c r="N175" s="1303">
        <v>140.04</v>
      </c>
      <c r="O175" s="1302"/>
      <c r="P175" s="1303">
        <v>89.8</v>
      </c>
      <c r="Q175" s="1302"/>
      <c r="R175" s="1303">
        <v>0</v>
      </c>
      <c r="S175" s="1302"/>
      <c r="T175" s="1303">
        <v>0</v>
      </c>
      <c r="U175" s="1302"/>
      <c r="V175" s="1303">
        <v>99.26</v>
      </c>
      <c r="W175" s="1302"/>
      <c r="X175" s="1303">
        <v>220.58</v>
      </c>
      <c r="Y175" s="1302"/>
      <c r="Z175" s="1303">
        <v>0</v>
      </c>
      <c r="AA175" s="1302"/>
      <c r="AB175" s="1303">
        <v>168.77</v>
      </c>
      <c r="AC175" s="1302"/>
      <c r="AD175" s="1303">
        <v>289.02</v>
      </c>
      <c r="AE175" s="1302"/>
      <c r="AF175" s="1303">
        <v>180.06</v>
      </c>
      <c r="AG175" s="1302"/>
      <c r="AH175" s="1303">
        <f t="shared" si="16"/>
        <v>1187.53</v>
      </c>
      <c r="AI175" s="1304">
        <f t="shared" si="17"/>
        <v>2.7044279903079576E-4</v>
      </c>
      <c r="AJ175" s="12"/>
    </row>
    <row r="176" spans="2:36" s="407" customFormat="1" outlineLevel="1">
      <c r="B176" s="24" t="s">
        <v>397</v>
      </c>
      <c r="D176" s="1298">
        <v>60207</v>
      </c>
      <c r="E176" s="1298" t="s">
        <v>139</v>
      </c>
      <c r="F176" s="1299"/>
      <c r="G176" s="1300"/>
      <c r="H176" s="1301"/>
      <c r="I176" s="1302"/>
      <c r="J176" s="1303">
        <v>0</v>
      </c>
      <c r="K176" s="1302"/>
      <c r="L176" s="1303">
        <v>0</v>
      </c>
      <c r="M176" s="1302"/>
      <c r="N176" s="1303">
        <v>0</v>
      </c>
      <c r="O176" s="1302"/>
      <c r="P176" s="1303">
        <v>0</v>
      </c>
      <c r="Q176" s="1302"/>
      <c r="R176" s="1303">
        <v>315.27</v>
      </c>
      <c r="S176" s="1302"/>
      <c r="T176" s="1303">
        <v>78.7</v>
      </c>
      <c r="U176" s="1302"/>
      <c r="V176" s="1303">
        <v>78.11</v>
      </c>
      <c r="W176" s="1302"/>
      <c r="X176" s="1303">
        <v>0</v>
      </c>
      <c r="Y176" s="1302"/>
      <c r="Z176" s="1303">
        <v>0</v>
      </c>
      <c r="AA176" s="1302"/>
      <c r="AB176" s="1303">
        <v>72.83</v>
      </c>
      <c r="AC176" s="1302"/>
      <c r="AD176" s="1303">
        <v>0</v>
      </c>
      <c r="AE176" s="1302"/>
      <c r="AF176" s="1303">
        <v>82.5</v>
      </c>
      <c r="AG176" s="1302"/>
      <c r="AH176" s="1303">
        <f t="shared" si="16"/>
        <v>627.41</v>
      </c>
      <c r="AI176" s="1304">
        <f t="shared" si="17"/>
        <v>1.4288356213309271E-4</v>
      </c>
      <c r="AJ176" s="12"/>
    </row>
    <row r="177" spans="2:36" s="407" customFormat="1" outlineLevel="1">
      <c r="B177" s="24" t="s">
        <v>397</v>
      </c>
      <c r="D177" s="1298">
        <v>60225</v>
      </c>
      <c r="E177" s="1298" t="s">
        <v>258</v>
      </c>
      <c r="F177" s="1299"/>
      <c r="G177" s="1300"/>
      <c r="H177" s="1301"/>
      <c r="I177" s="1302"/>
      <c r="J177" s="1303">
        <v>0</v>
      </c>
      <c r="K177" s="1302"/>
      <c r="L177" s="1303">
        <v>0</v>
      </c>
      <c r="M177" s="1302"/>
      <c r="N177" s="1303">
        <v>0</v>
      </c>
      <c r="O177" s="1302"/>
      <c r="P177" s="1303">
        <v>828.93</v>
      </c>
      <c r="Q177" s="1302"/>
      <c r="R177" s="1303">
        <v>789</v>
      </c>
      <c r="S177" s="1302"/>
      <c r="T177" s="1303">
        <v>789</v>
      </c>
      <c r="U177" s="1302"/>
      <c r="V177" s="1303">
        <v>798.91</v>
      </c>
      <c r="W177" s="1302"/>
      <c r="X177" s="1303">
        <v>890.6</v>
      </c>
      <c r="Y177" s="1302"/>
      <c r="Z177" s="1303">
        <v>789</v>
      </c>
      <c r="AA177" s="1302"/>
      <c r="AB177" s="1303">
        <v>0</v>
      </c>
      <c r="AC177" s="1302"/>
      <c r="AD177" s="1303">
        <v>1578</v>
      </c>
      <c r="AE177" s="1302"/>
      <c r="AF177" s="1303">
        <v>862.37</v>
      </c>
      <c r="AG177" s="1302"/>
      <c r="AH177" s="1303">
        <f t="shared" si="16"/>
        <v>7325.81</v>
      </c>
      <c r="AI177" s="1304">
        <f t="shared" si="17"/>
        <v>1.6683473778075452E-3</v>
      </c>
      <c r="AJ177" s="12"/>
    </row>
    <row r="178" spans="2:36" s="8" customFormat="1" ht="5.0999999999999996" customHeight="1" outlineLevel="1">
      <c r="B178" s="2" t="s">
        <v>194</v>
      </c>
      <c r="D178" s="1299"/>
      <c r="E178" s="1299"/>
      <c r="F178" s="1299"/>
      <c r="G178" s="1299"/>
      <c r="H178" s="1301"/>
      <c r="I178" s="1301"/>
      <c r="J178" s="1311"/>
      <c r="K178" s="1309"/>
      <c r="L178" s="1311"/>
      <c r="M178" s="1309"/>
      <c r="N178" s="1311"/>
      <c r="O178" s="1309"/>
      <c r="P178" s="1311"/>
      <c r="Q178" s="1309"/>
      <c r="R178" s="1311"/>
      <c r="S178" s="1309"/>
      <c r="T178" s="1311"/>
      <c r="U178" s="1309"/>
      <c r="V178" s="1311"/>
      <c r="W178" s="1309"/>
      <c r="X178" s="1311"/>
      <c r="Y178" s="1309"/>
      <c r="Z178" s="1311"/>
      <c r="AA178" s="1309"/>
      <c r="AB178" s="1311"/>
      <c r="AC178" s="1309"/>
      <c r="AD178" s="1311"/>
      <c r="AE178" s="1309"/>
      <c r="AF178" s="1311"/>
      <c r="AG178" s="1309"/>
      <c r="AH178" s="1311"/>
      <c r="AI178" s="1306"/>
      <c r="AJ178" s="15"/>
    </row>
    <row r="179" spans="2:36" s="8" customFormat="1" ht="15">
      <c r="B179" s="2" t="s">
        <v>194</v>
      </c>
      <c r="D179" s="1301"/>
      <c r="E179" s="1301"/>
      <c r="F179" s="1299" t="s">
        <v>259</v>
      </c>
      <c r="G179" s="1301"/>
      <c r="H179" s="1301"/>
      <c r="I179" s="1301"/>
      <c r="J179" s="1308">
        <f>SUM(J162:J178)</f>
        <v>31019.860000000004</v>
      </c>
      <c r="K179" s="1309"/>
      <c r="L179" s="1308">
        <f>SUM(L162:L178)</f>
        <v>26199.21</v>
      </c>
      <c r="M179" s="1309"/>
      <c r="N179" s="1308">
        <f>SUM(N162:N178)</f>
        <v>22478.719999999998</v>
      </c>
      <c r="O179" s="1309"/>
      <c r="P179" s="1308">
        <f>SUM(P162:P178)</f>
        <v>30571.539999999997</v>
      </c>
      <c r="Q179" s="1309"/>
      <c r="R179" s="1308">
        <f>SUM(R162:R178)</f>
        <v>24687.42</v>
      </c>
      <c r="S179" s="1309"/>
      <c r="T179" s="1308">
        <f>SUM(T162:T178)</f>
        <v>32933.18</v>
      </c>
      <c r="U179" s="1309"/>
      <c r="V179" s="1308">
        <f>SUM(V162:V178)</f>
        <v>20480.91</v>
      </c>
      <c r="W179" s="1309"/>
      <c r="X179" s="1308">
        <f>SUM(X162:X178)</f>
        <v>24994.750000000004</v>
      </c>
      <c r="Y179" s="1309"/>
      <c r="Z179" s="1308">
        <f>SUM(Z162:Z178)</f>
        <v>30564.850000000002</v>
      </c>
      <c r="AA179" s="1309"/>
      <c r="AB179" s="1308">
        <f>SUM(AB162:AB178)</f>
        <v>20947.850000000006</v>
      </c>
      <c r="AC179" s="1309"/>
      <c r="AD179" s="1308">
        <f>SUM(AD162:AD178)</f>
        <v>26130.28</v>
      </c>
      <c r="AE179" s="1309"/>
      <c r="AF179" s="1308">
        <f>SUM(AF162:AF178)</f>
        <v>31160.639999999996</v>
      </c>
      <c r="AG179" s="1309"/>
      <c r="AH179" s="1308">
        <f>SUM(AH162:AH178)</f>
        <v>322169.20999999996</v>
      </c>
      <c r="AI179" s="1304">
        <f>IF(AH$48=0,0,AH179/AH$48)</f>
        <v>7.3369382595757773E-2</v>
      </c>
      <c r="AJ179" s="15"/>
    </row>
    <row r="180" spans="2:36" s="8" customFormat="1" ht="15" outlineLevel="1">
      <c r="B180" s="2"/>
      <c r="D180" s="1301"/>
      <c r="E180" s="1301"/>
      <c r="F180" s="1301"/>
      <c r="G180" s="1301"/>
      <c r="H180" s="1301"/>
      <c r="I180" s="1301"/>
      <c r="J180" s="1310"/>
      <c r="K180" s="1309"/>
      <c r="L180" s="1310"/>
      <c r="M180" s="1309"/>
      <c r="N180" s="1310"/>
      <c r="O180" s="1309"/>
      <c r="P180" s="1310"/>
      <c r="Q180" s="1309"/>
      <c r="R180" s="1310"/>
      <c r="S180" s="1309"/>
      <c r="T180" s="1310"/>
      <c r="U180" s="1309"/>
      <c r="V180" s="1310"/>
      <c r="W180" s="1309"/>
      <c r="X180" s="1310"/>
      <c r="Y180" s="1309"/>
      <c r="Z180" s="1310"/>
      <c r="AA180" s="1309"/>
      <c r="AB180" s="1310"/>
      <c r="AC180" s="1309"/>
      <c r="AD180" s="1310"/>
      <c r="AE180" s="1309"/>
      <c r="AF180" s="1310"/>
      <c r="AG180" s="1309"/>
      <c r="AH180" s="1310"/>
      <c r="AI180" s="1306"/>
      <c r="AJ180" s="15"/>
    </row>
    <row r="181" spans="2:36" s="8" customFormat="1" ht="15" outlineLevel="1">
      <c r="B181" s="2" t="s">
        <v>194</v>
      </c>
      <c r="D181" s="1301"/>
      <c r="E181" s="1301"/>
      <c r="F181" s="1301"/>
      <c r="G181" s="1301"/>
      <c r="H181" s="1301"/>
      <c r="I181" s="1301"/>
      <c r="J181" s="1310"/>
      <c r="K181" s="1309"/>
      <c r="L181" s="1310"/>
      <c r="M181" s="1309"/>
      <c r="N181" s="1310"/>
      <c r="O181" s="1309"/>
      <c r="P181" s="1310"/>
      <c r="Q181" s="1309"/>
      <c r="R181" s="1310"/>
      <c r="S181" s="1309"/>
      <c r="T181" s="1310"/>
      <c r="U181" s="1309"/>
      <c r="V181" s="1310"/>
      <c r="W181" s="1309"/>
      <c r="X181" s="1310"/>
      <c r="Y181" s="1309"/>
      <c r="Z181" s="1310"/>
      <c r="AA181" s="1309"/>
      <c r="AB181" s="1310"/>
      <c r="AC181" s="1309"/>
      <c r="AD181" s="1310"/>
      <c r="AE181" s="1309"/>
      <c r="AF181" s="1310"/>
      <c r="AG181" s="1309"/>
      <c r="AH181" s="1310"/>
      <c r="AI181" s="1306"/>
      <c r="AJ181" s="15"/>
    </row>
    <row r="182" spans="2:36" s="407" customFormat="1" outlineLevel="1">
      <c r="B182" s="24" t="s">
        <v>418</v>
      </c>
      <c r="D182" s="1298">
        <v>70010</v>
      </c>
      <c r="E182" s="1298" t="s">
        <v>17</v>
      </c>
      <c r="F182" s="1299"/>
      <c r="G182" s="1300"/>
      <c r="H182" s="1301"/>
      <c r="I182" s="1302"/>
      <c r="J182" s="1303">
        <v>1863.55</v>
      </c>
      <c r="K182" s="1302"/>
      <c r="L182" s="1303">
        <v>1761.08</v>
      </c>
      <c r="M182" s="1302"/>
      <c r="N182" s="1303">
        <v>1786.67</v>
      </c>
      <c r="O182" s="1302"/>
      <c r="P182" s="1303">
        <v>1836.3</v>
      </c>
      <c r="Q182" s="1302"/>
      <c r="R182" s="1303">
        <v>1657.02</v>
      </c>
      <c r="S182" s="1302"/>
      <c r="T182" s="1303">
        <v>1785.66</v>
      </c>
      <c r="U182" s="1302"/>
      <c r="V182" s="1303">
        <v>1724.75</v>
      </c>
      <c r="W182" s="1302"/>
      <c r="X182" s="1303">
        <v>1701.04</v>
      </c>
      <c r="Y182" s="1302"/>
      <c r="Z182" s="1303">
        <v>1609.03</v>
      </c>
      <c r="AA182" s="1302"/>
      <c r="AB182" s="1303">
        <v>1525.12</v>
      </c>
      <c r="AC182" s="1302"/>
      <c r="AD182" s="1303">
        <v>1565.15</v>
      </c>
      <c r="AE182" s="1302"/>
      <c r="AF182" s="1303">
        <v>1606.58</v>
      </c>
      <c r="AG182" s="1302"/>
      <c r="AH182" s="1303">
        <f t="shared" ref="AH182:AH211" si="18">AF182+AD182+AB182+Z182+X182+V182+T182+R182+P182+N182+L182+J182</f>
        <v>20421.95</v>
      </c>
      <c r="AI182" s="1304">
        <f t="shared" ref="AI182:AI211" si="19">IF(AH$48=0,0,AH182/AH$48)</f>
        <v>4.6508040383543663E-3</v>
      </c>
      <c r="AJ182" s="12"/>
    </row>
    <row r="183" spans="2:36" s="407" customFormat="1" outlineLevel="1">
      <c r="B183" s="24" t="s">
        <v>397</v>
      </c>
      <c r="D183" s="1298">
        <v>70020</v>
      </c>
      <c r="E183" s="1298" t="s">
        <v>24</v>
      </c>
      <c r="F183" s="1299"/>
      <c r="G183" s="1300"/>
      <c r="H183" s="1301"/>
      <c r="I183" s="1302"/>
      <c r="J183" s="1303">
        <v>7846.09</v>
      </c>
      <c r="K183" s="1302"/>
      <c r="L183" s="1303">
        <v>8911.26</v>
      </c>
      <c r="M183" s="1302"/>
      <c r="N183" s="1303">
        <v>9506.2999999999993</v>
      </c>
      <c r="O183" s="1302"/>
      <c r="P183" s="1303">
        <v>9070.36</v>
      </c>
      <c r="Q183" s="1302"/>
      <c r="R183" s="1303">
        <v>7483.9</v>
      </c>
      <c r="S183" s="1302"/>
      <c r="T183" s="1303">
        <v>9640.0300000000007</v>
      </c>
      <c r="U183" s="1302"/>
      <c r="V183" s="1303">
        <v>8996.93</v>
      </c>
      <c r="W183" s="1302"/>
      <c r="X183" s="1303">
        <v>7674.82</v>
      </c>
      <c r="Y183" s="1302"/>
      <c r="Z183" s="1303">
        <v>10287.98</v>
      </c>
      <c r="AA183" s="1302"/>
      <c r="AB183" s="1303">
        <v>7386.75</v>
      </c>
      <c r="AC183" s="1302"/>
      <c r="AD183" s="1303">
        <v>8481.01</v>
      </c>
      <c r="AE183" s="1302"/>
      <c r="AF183" s="1303">
        <v>9990.59</v>
      </c>
      <c r="AG183" s="1302"/>
      <c r="AH183" s="1303">
        <f t="shared" si="18"/>
        <v>105276.01999999999</v>
      </c>
      <c r="AI183" s="1304">
        <f t="shared" si="19"/>
        <v>2.3975092435241246E-2</v>
      </c>
      <c r="AJ183" s="12"/>
    </row>
    <row r="184" spans="2:36" s="407" customFormat="1" outlineLevel="1">
      <c r="B184" s="24" t="s">
        <v>397</v>
      </c>
      <c r="D184" s="1298">
        <v>70025</v>
      </c>
      <c r="E184" s="1298" t="s">
        <v>25</v>
      </c>
      <c r="F184" s="1299"/>
      <c r="G184" s="1300"/>
      <c r="H184" s="1301"/>
      <c r="I184" s="1302"/>
      <c r="J184" s="1303">
        <v>678.69</v>
      </c>
      <c r="K184" s="1302"/>
      <c r="L184" s="1303">
        <v>541.16</v>
      </c>
      <c r="M184" s="1302"/>
      <c r="N184" s="1303">
        <v>633.78</v>
      </c>
      <c r="O184" s="1302"/>
      <c r="P184" s="1303">
        <v>1208.53</v>
      </c>
      <c r="Q184" s="1302"/>
      <c r="R184" s="1303">
        <v>588.30999999999995</v>
      </c>
      <c r="S184" s="1302"/>
      <c r="T184" s="1303">
        <v>1244.3</v>
      </c>
      <c r="U184" s="1302"/>
      <c r="V184" s="1303">
        <v>1024.8</v>
      </c>
      <c r="W184" s="1302"/>
      <c r="X184" s="1303">
        <v>1447.32</v>
      </c>
      <c r="Y184" s="1302"/>
      <c r="Z184" s="1303">
        <v>902.19</v>
      </c>
      <c r="AA184" s="1302"/>
      <c r="AB184" s="1303">
        <v>1547.24</v>
      </c>
      <c r="AC184" s="1302"/>
      <c r="AD184" s="1303">
        <v>2186.79</v>
      </c>
      <c r="AE184" s="1302"/>
      <c r="AF184" s="1303">
        <v>1862.35</v>
      </c>
      <c r="AG184" s="1302"/>
      <c r="AH184" s="1303">
        <f t="shared" si="18"/>
        <v>13865.46</v>
      </c>
      <c r="AI184" s="1304">
        <f t="shared" si="19"/>
        <v>3.1576581747404593E-3</v>
      </c>
      <c r="AJ184" s="12"/>
    </row>
    <row r="185" spans="2:36" s="407" customFormat="1" outlineLevel="1">
      <c r="B185" s="24" t="s">
        <v>397</v>
      </c>
      <c r="D185" s="1298">
        <v>70036</v>
      </c>
      <c r="E185" s="1298" t="s">
        <v>228</v>
      </c>
      <c r="F185" s="1299"/>
      <c r="G185" s="1300"/>
      <c r="H185" s="1301"/>
      <c r="I185" s="1302"/>
      <c r="J185" s="1303">
        <v>0</v>
      </c>
      <c r="K185" s="1302"/>
      <c r="L185" s="1303">
        <v>0</v>
      </c>
      <c r="M185" s="1302"/>
      <c r="N185" s="1303">
        <v>170</v>
      </c>
      <c r="O185" s="1302"/>
      <c r="P185" s="1303">
        <v>155.96</v>
      </c>
      <c r="Q185" s="1302"/>
      <c r="R185" s="1303">
        <v>284.29000000000002</v>
      </c>
      <c r="S185" s="1302"/>
      <c r="T185" s="1303">
        <v>0</v>
      </c>
      <c r="U185" s="1302"/>
      <c r="V185" s="1303">
        <v>321.5</v>
      </c>
      <c r="W185" s="1302"/>
      <c r="X185" s="1303">
        <v>0</v>
      </c>
      <c r="Y185" s="1302"/>
      <c r="Z185" s="1303">
        <v>327.96</v>
      </c>
      <c r="AA185" s="1302"/>
      <c r="AB185" s="1303">
        <v>0</v>
      </c>
      <c r="AC185" s="1302"/>
      <c r="AD185" s="1303">
        <v>0</v>
      </c>
      <c r="AE185" s="1302"/>
      <c r="AF185" s="1303">
        <v>106.63</v>
      </c>
      <c r="AG185" s="1302"/>
      <c r="AH185" s="1303">
        <f t="shared" si="18"/>
        <v>1366.34</v>
      </c>
      <c r="AI185" s="1304">
        <f t="shared" si="19"/>
        <v>3.1116419292795758E-4</v>
      </c>
      <c r="AJ185" s="12"/>
    </row>
    <row r="186" spans="2:36" s="407" customFormat="1" outlineLevel="1">
      <c r="B186" s="24" t="s">
        <v>397</v>
      </c>
      <c r="D186" s="1298">
        <v>70045</v>
      </c>
      <c r="E186" s="1298" t="s">
        <v>27</v>
      </c>
      <c r="F186" s="1299"/>
      <c r="G186" s="1300"/>
      <c r="H186" s="1301"/>
      <c r="I186" s="1302"/>
      <c r="J186" s="1303">
        <v>3375.2</v>
      </c>
      <c r="K186" s="1302"/>
      <c r="L186" s="1303">
        <v>2362.61</v>
      </c>
      <c r="M186" s="1302"/>
      <c r="N186" s="1303">
        <v>0</v>
      </c>
      <c r="O186" s="1302"/>
      <c r="P186" s="1303">
        <v>0</v>
      </c>
      <c r="Q186" s="1302"/>
      <c r="R186" s="1303">
        <v>0</v>
      </c>
      <c r="S186" s="1302"/>
      <c r="T186" s="1303">
        <v>0</v>
      </c>
      <c r="U186" s="1302"/>
      <c r="V186" s="1303">
        <v>0</v>
      </c>
      <c r="W186" s="1302"/>
      <c r="X186" s="1303">
        <v>0</v>
      </c>
      <c r="Y186" s="1302"/>
      <c r="Z186" s="1303">
        <v>0</v>
      </c>
      <c r="AA186" s="1302"/>
      <c r="AB186" s="1303">
        <v>0</v>
      </c>
      <c r="AC186" s="1302"/>
      <c r="AD186" s="1303">
        <v>0</v>
      </c>
      <c r="AE186" s="1302"/>
      <c r="AF186" s="1303">
        <v>0</v>
      </c>
      <c r="AG186" s="1302"/>
      <c r="AH186" s="1303">
        <f t="shared" si="18"/>
        <v>5737.8099999999995</v>
      </c>
      <c r="AI186" s="1304">
        <f t="shared" si="19"/>
        <v>1.3067033226165994E-3</v>
      </c>
      <c r="AJ186" s="12"/>
    </row>
    <row r="187" spans="2:36" s="407" customFormat="1" outlineLevel="1">
      <c r="B187" s="24" t="s">
        <v>397</v>
      </c>
      <c r="D187" s="1298">
        <v>70050</v>
      </c>
      <c r="E187" s="1298" t="s">
        <v>166</v>
      </c>
      <c r="F187" s="1299"/>
      <c r="G187" s="1300"/>
      <c r="H187" s="1301"/>
      <c r="I187" s="1302"/>
      <c r="J187" s="1303">
        <v>957.82</v>
      </c>
      <c r="K187" s="1302"/>
      <c r="L187" s="1303">
        <v>933.6</v>
      </c>
      <c r="M187" s="1302"/>
      <c r="N187" s="1303">
        <v>918.96</v>
      </c>
      <c r="O187" s="1302"/>
      <c r="P187" s="1303">
        <v>957.75</v>
      </c>
      <c r="Q187" s="1302"/>
      <c r="R187" s="1303">
        <v>805.46</v>
      </c>
      <c r="S187" s="1302"/>
      <c r="T187" s="1303">
        <v>983.68</v>
      </c>
      <c r="U187" s="1302"/>
      <c r="V187" s="1303">
        <v>919.8</v>
      </c>
      <c r="W187" s="1302"/>
      <c r="X187" s="1303">
        <v>896.5</v>
      </c>
      <c r="Y187" s="1302"/>
      <c r="Z187" s="1303">
        <v>1144.17</v>
      </c>
      <c r="AA187" s="1302"/>
      <c r="AB187" s="1303">
        <v>921.77</v>
      </c>
      <c r="AC187" s="1302"/>
      <c r="AD187" s="1303">
        <v>1002.66</v>
      </c>
      <c r="AE187" s="1302"/>
      <c r="AF187" s="1303">
        <v>1064.03</v>
      </c>
      <c r="AG187" s="1302"/>
      <c r="AH187" s="1303">
        <f t="shared" si="18"/>
        <v>11506.199999999999</v>
      </c>
      <c r="AI187" s="1304">
        <f t="shared" si="19"/>
        <v>2.620370798386687E-3</v>
      </c>
      <c r="AJ187" s="12"/>
    </row>
    <row r="188" spans="2:36" s="407" customFormat="1" outlineLevel="1">
      <c r="B188" s="24" t="s">
        <v>397</v>
      </c>
      <c r="D188" s="1298">
        <v>70060</v>
      </c>
      <c r="E188" s="1298" t="s">
        <v>75</v>
      </c>
      <c r="F188" s="1299"/>
      <c r="G188" s="1300"/>
      <c r="H188" s="1301"/>
      <c r="I188" s="1302"/>
      <c r="J188" s="1303">
        <v>1978.22</v>
      </c>
      <c r="K188" s="1302"/>
      <c r="L188" s="1303">
        <v>2931.85</v>
      </c>
      <c r="M188" s="1302"/>
      <c r="N188" s="1303">
        <v>3120.27</v>
      </c>
      <c r="O188" s="1302"/>
      <c r="P188" s="1303">
        <v>3119.25</v>
      </c>
      <c r="Q188" s="1302"/>
      <c r="R188" s="1303">
        <v>3136.27</v>
      </c>
      <c r="S188" s="1302"/>
      <c r="T188" s="1303">
        <v>2853.26</v>
      </c>
      <c r="U188" s="1302"/>
      <c r="V188" s="1303">
        <v>3117.34</v>
      </c>
      <c r="W188" s="1302"/>
      <c r="X188" s="1303">
        <v>3121.02</v>
      </c>
      <c r="Y188" s="1302"/>
      <c r="Z188" s="1303">
        <v>3266.27</v>
      </c>
      <c r="AA188" s="1302"/>
      <c r="AB188" s="1303">
        <v>3244</v>
      </c>
      <c r="AC188" s="1302"/>
      <c r="AD188" s="1303">
        <v>3262.75</v>
      </c>
      <c r="AE188" s="1302"/>
      <c r="AF188" s="1303">
        <v>3224.69</v>
      </c>
      <c r="AG188" s="1302"/>
      <c r="AH188" s="1303">
        <f t="shared" si="18"/>
        <v>36375.19</v>
      </c>
      <c r="AI188" s="1304">
        <f t="shared" si="19"/>
        <v>8.2839239420284226E-3</v>
      </c>
      <c r="AJ188" s="12"/>
    </row>
    <row r="189" spans="2:36" s="407" customFormat="1" outlineLevel="1">
      <c r="B189" s="24" t="s">
        <v>397</v>
      </c>
      <c r="D189" s="1298">
        <v>70065</v>
      </c>
      <c r="E189" s="1298" t="s">
        <v>21</v>
      </c>
      <c r="F189" s="1299"/>
      <c r="G189" s="1300"/>
      <c r="H189" s="1301"/>
      <c r="I189" s="1302"/>
      <c r="J189" s="1303">
        <v>1493.25</v>
      </c>
      <c r="K189" s="1302"/>
      <c r="L189" s="1303">
        <v>1574.98</v>
      </c>
      <c r="M189" s="1302"/>
      <c r="N189" s="1303">
        <v>-63.27</v>
      </c>
      <c r="O189" s="1302"/>
      <c r="P189" s="1303">
        <v>-26.71</v>
      </c>
      <c r="Q189" s="1302"/>
      <c r="R189" s="1303">
        <v>17.350000000000001</v>
      </c>
      <c r="S189" s="1302"/>
      <c r="T189" s="1303">
        <v>16.88</v>
      </c>
      <c r="U189" s="1302"/>
      <c r="V189" s="1303">
        <v>8.1199999999999992</v>
      </c>
      <c r="W189" s="1302"/>
      <c r="X189" s="1303">
        <v>-348.39</v>
      </c>
      <c r="Y189" s="1302"/>
      <c r="Z189" s="1303">
        <v>657.1</v>
      </c>
      <c r="AA189" s="1302"/>
      <c r="AB189" s="1303">
        <v>192.43</v>
      </c>
      <c r="AC189" s="1302"/>
      <c r="AD189" s="1303">
        <v>586.49</v>
      </c>
      <c r="AE189" s="1302"/>
      <c r="AF189" s="1303">
        <v>250.99</v>
      </c>
      <c r="AG189" s="1302"/>
      <c r="AH189" s="1303">
        <f t="shared" si="18"/>
        <v>4359.22</v>
      </c>
      <c r="AI189" s="1304">
        <f t="shared" si="19"/>
        <v>9.9274936918732634E-4</v>
      </c>
      <c r="AJ189" s="12"/>
    </row>
    <row r="190" spans="2:36" s="407" customFormat="1" outlineLevel="1">
      <c r="B190" s="24" t="s">
        <v>397</v>
      </c>
      <c r="D190" s="1298">
        <v>70070</v>
      </c>
      <c r="E190" s="1298" t="s">
        <v>22</v>
      </c>
      <c r="F190" s="1299"/>
      <c r="G190" s="1300"/>
      <c r="H190" s="1301"/>
      <c r="I190" s="1302"/>
      <c r="J190" s="1303">
        <v>191.77</v>
      </c>
      <c r="K190" s="1302"/>
      <c r="L190" s="1303">
        <v>328.77</v>
      </c>
      <c r="M190" s="1302"/>
      <c r="N190" s="1303">
        <v>321.49</v>
      </c>
      <c r="O190" s="1302"/>
      <c r="P190" s="1303">
        <v>391.92</v>
      </c>
      <c r="Q190" s="1302"/>
      <c r="R190" s="1303">
        <v>846.65</v>
      </c>
      <c r="S190" s="1302"/>
      <c r="T190" s="1303">
        <v>310.66000000000003</v>
      </c>
      <c r="U190" s="1302"/>
      <c r="V190" s="1303">
        <v>333.35</v>
      </c>
      <c r="W190" s="1302"/>
      <c r="X190" s="1303">
        <v>560.6</v>
      </c>
      <c r="Y190" s="1302"/>
      <c r="Z190" s="1303">
        <v>274.88</v>
      </c>
      <c r="AA190" s="1302"/>
      <c r="AB190" s="1303">
        <v>734.82</v>
      </c>
      <c r="AC190" s="1302"/>
      <c r="AD190" s="1303">
        <v>366.04</v>
      </c>
      <c r="AE190" s="1302"/>
      <c r="AF190" s="1303">
        <v>232.28</v>
      </c>
      <c r="AG190" s="1302"/>
      <c r="AH190" s="1303">
        <f t="shared" si="18"/>
        <v>4893.2299999999996</v>
      </c>
      <c r="AI190" s="1304">
        <f t="shared" si="19"/>
        <v>1.1143624308450825E-3</v>
      </c>
      <c r="AJ190" s="12"/>
    </row>
    <row r="191" spans="2:36" s="407" customFormat="1" outlineLevel="1">
      <c r="B191" s="24" t="s">
        <v>397</v>
      </c>
      <c r="D191" s="1298">
        <v>70090</v>
      </c>
      <c r="E191" s="1298" t="s">
        <v>126</v>
      </c>
      <c r="F191" s="1299"/>
      <c r="G191" s="1300"/>
      <c r="H191" s="1301"/>
      <c r="I191" s="1302"/>
      <c r="J191" s="1303">
        <v>0</v>
      </c>
      <c r="K191" s="1302"/>
      <c r="L191" s="1303">
        <v>0</v>
      </c>
      <c r="M191" s="1302"/>
      <c r="N191" s="1303">
        <v>0</v>
      </c>
      <c r="O191" s="1302"/>
      <c r="P191" s="1303">
        <v>0</v>
      </c>
      <c r="Q191" s="1302"/>
      <c r="R191" s="1303">
        <v>0</v>
      </c>
      <c r="S191" s="1302"/>
      <c r="T191" s="1303">
        <v>0</v>
      </c>
      <c r="U191" s="1302"/>
      <c r="V191" s="1303">
        <v>0</v>
      </c>
      <c r="W191" s="1302"/>
      <c r="X191" s="1303">
        <v>0</v>
      </c>
      <c r="Y191" s="1302"/>
      <c r="Z191" s="1303">
        <v>0</v>
      </c>
      <c r="AA191" s="1302"/>
      <c r="AB191" s="1303">
        <v>116.16</v>
      </c>
      <c r="AC191" s="1302"/>
      <c r="AD191" s="1303">
        <v>-17.7</v>
      </c>
      <c r="AE191" s="1302"/>
      <c r="AF191" s="1303">
        <v>0</v>
      </c>
      <c r="AG191" s="1302"/>
      <c r="AH191" s="1303">
        <f t="shared" si="18"/>
        <v>98.46</v>
      </c>
      <c r="AI191" s="1304">
        <f t="shared" si="19"/>
        <v>2.2422842364043143E-5</v>
      </c>
      <c r="AJ191" s="12"/>
    </row>
    <row r="192" spans="2:36" s="407" customFormat="1" outlineLevel="1">
      <c r="B192" s="24" t="s">
        <v>397</v>
      </c>
      <c r="D192" s="1298">
        <v>70095</v>
      </c>
      <c r="E192" s="1298" t="s">
        <v>240</v>
      </c>
      <c r="F192" s="1299"/>
      <c r="G192" s="1300"/>
      <c r="H192" s="1301"/>
      <c r="I192" s="1302"/>
      <c r="J192" s="1303">
        <v>0</v>
      </c>
      <c r="K192" s="1302"/>
      <c r="L192" s="1303">
        <v>0</v>
      </c>
      <c r="M192" s="1302"/>
      <c r="N192" s="1303">
        <v>39.58</v>
      </c>
      <c r="O192" s="1302"/>
      <c r="P192" s="1303">
        <v>0</v>
      </c>
      <c r="Q192" s="1302"/>
      <c r="R192" s="1303">
        <v>5981.64</v>
      </c>
      <c r="S192" s="1302"/>
      <c r="T192" s="1303">
        <v>37.979999999999997</v>
      </c>
      <c r="U192" s="1302"/>
      <c r="V192" s="1303">
        <v>292.61</v>
      </c>
      <c r="W192" s="1302"/>
      <c r="X192" s="1303">
        <v>902</v>
      </c>
      <c r="Y192" s="1302"/>
      <c r="Z192" s="1303">
        <v>69.97</v>
      </c>
      <c r="AA192" s="1302"/>
      <c r="AB192" s="1303">
        <v>1222.48</v>
      </c>
      <c r="AC192" s="1302"/>
      <c r="AD192" s="1303">
        <v>0</v>
      </c>
      <c r="AE192" s="1302"/>
      <c r="AF192" s="1303">
        <v>834.63</v>
      </c>
      <c r="AG192" s="1302"/>
      <c r="AH192" s="1303">
        <f t="shared" si="18"/>
        <v>9380.8900000000012</v>
      </c>
      <c r="AI192" s="1304">
        <f t="shared" si="19"/>
        <v>2.1363621542192638E-3</v>
      </c>
      <c r="AJ192" s="12"/>
    </row>
    <row r="193" spans="2:36" s="407" customFormat="1" outlineLevel="1">
      <c r="B193" s="24" t="s">
        <v>397</v>
      </c>
      <c r="D193" s="1298">
        <v>70116</v>
      </c>
      <c r="E193" s="1298" t="s">
        <v>120</v>
      </c>
      <c r="F193" s="1299"/>
      <c r="G193" s="1300"/>
      <c r="H193" s="1301"/>
      <c r="I193" s="1302"/>
      <c r="J193" s="1303">
        <v>327.9</v>
      </c>
      <c r="K193" s="1302"/>
      <c r="L193" s="1303">
        <v>208.77</v>
      </c>
      <c r="M193" s="1302"/>
      <c r="N193" s="1303">
        <v>360.38</v>
      </c>
      <c r="O193" s="1302"/>
      <c r="P193" s="1303">
        <v>349.34</v>
      </c>
      <c r="Q193" s="1302"/>
      <c r="R193" s="1303">
        <v>324.7</v>
      </c>
      <c r="S193" s="1302"/>
      <c r="T193" s="1303">
        <v>343.3</v>
      </c>
      <c r="U193" s="1302"/>
      <c r="V193" s="1303">
        <v>310.95</v>
      </c>
      <c r="W193" s="1302"/>
      <c r="X193" s="1303">
        <v>335.91</v>
      </c>
      <c r="Y193" s="1302"/>
      <c r="Z193" s="1303">
        <v>617.64</v>
      </c>
      <c r="AA193" s="1302"/>
      <c r="AB193" s="1303">
        <v>555.76</v>
      </c>
      <c r="AC193" s="1302"/>
      <c r="AD193" s="1303">
        <v>606.09</v>
      </c>
      <c r="AE193" s="1302"/>
      <c r="AF193" s="1303">
        <v>610</v>
      </c>
      <c r="AG193" s="1302"/>
      <c r="AH193" s="1303">
        <f t="shared" si="18"/>
        <v>4950.74</v>
      </c>
      <c r="AI193" s="1304">
        <f t="shared" si="19"/>
        <v>1.1274595023904423E-3</v>
      </c>
      <c r="AJ193" s="12"/>
    </row>
    <row r="194" spans="2:36" s="407" customFormat="1" outlineLevel="1">
      <c r="B194" s="24" t="s">
        <v>397</v>
      </c>
      <c r="D194" s="1298">
        <v>70148</v>
      </c>
      <c r="E194" s="1298" t="s">
        <v>40</v>
      </c>
      <c r="F194" s="1299"/>
      <c r="G194" s="1300"/>
      <c r="H194" s="1301"/>
      <c r="I194" s="1302"/>
      <c r="J194" s="1303">
        <v>779.05</v>
      </c>
      <c r="K194" s="1302"/>
      <c r="L194" s="1303">
        <v>794.89</v>
      </c>
      <c r="M194" s="1302"/>
      <c r="N194" s="1303">
        <v>290.05</v>
      </c>
      <c r="O194" s="1302"/>
      <c r="P194" s="1303">
        <v>426.19</v>
      </c>
      <c r="Q194" s="1302"/>
      <c r="R194" s="1303">
        <v>568.83000000000004</v>
      </c>
      <c r="S194" s="1302"/>
      <c r="T194" s="1303">
        <v>387.01</v>
      </c>
      <c r="U194" s="1302"/>
      <c r="V194" s="1303">
        <v>443.29</v>
      </c>
      <c r="W194" s="1302"/>
      <c r="X194" s="1303">
        <v>406.36</v>
      </c>
      <c r="Y194" s="1302"/>
      <c r="Z194" s="1303">
        <v>678.41</v>
      </c>
      <c r="AA194" s="1302"/>
      <c r="AB194" s="1303">
        <v>494.88</v>
      </c>
      <c r="AC194" s="1302"/>
      <c r="AD194" s="1303">
        <v>784.4</v>
      </c>
      <c r="AE194" s="1302"/>
      <c r="AF194" s="1303">
        <v>1197.1500000000001</v>
      </c>
      <c r="AG194" s="1302"/>
      <c r="AH194" s="1303">
        <f t="shared" si="18"/>
        <v>7250.51</v>
      </c>
      <c r="AI194" s="1304">
        <f t="shared" si="19"/>
        <v>1.6511988908076219E-3</v>
      </c>
      <c r="AJ194" s="12"/>
    </row>
    <row r="195" spans="2:36" s="407" customFormat="1" outlineLevel="1">
      <c r="B195" s="24" t="s">
        <v>397</v>
      </c>
      <c r="D195" s="1298">
        <v>70165</v>
      </c>
      <c r="E195" s="1298" t="s">
        <v>235</v>
      </c>
      <c r="F195" s="1299"/>
      <c r="G195" s="1300"/>
      <c r="H195" s="1301"/>
      <c r="I195" s="1302"/>
      <c r="J195" s="1303">
        <v>0</v>
      </c>
      <c r="K195" s="1302"/>
      <c r="L195" s="1303">
        <v>0</v>
      </c>
      <c r="M195" s="1302"/>
      <c r="N195" s="1303">
        <v>0</v>
      </c>
      <c r="O195" s="1302"/>
      <c r="P195" s="1303">
        <v>0</v>
      </c>
      <c r="Q195" s="1302"/>
      <c r="R195" s="1303">
        <v>0</v>
      </c>
      <c r="S195" s="1302"/>
      <c r="T195" s="1303">
        <v>0</v>
      </c>
      <c r="U195" s="1302"/>
      <c r="V195" s="1303">
        <v>0</v>
      </c>
      <c r="W195" s="1302"/>
      <c r="X195" s="1303">
        <v>0</v>
      </c>
      <c r="Y195" s="1302"/>
      <c r="Z195" s="1303">
        <v>0</v>
      </c>
      <c r="AA195" s="1302"/>
      <c r="AB195" s="1303">
        <v>0</v>
      </c>
      <c r="AC195" s="1302"/>
      <c r="AD195" s="1303">
        <v>0</v>
      </c>
      <c r="AE195" s="1302"/>
      <c r="AF195" s="1303">
        <v>0</v>
      </c>
      <c r="AG195" s="1302"/>
      <c r="AH195" s="1303">
        <f t="shared" si="18"/>
        <v>0</v>
      </c>
      <c r="AI195" s="1304">
        <f t="shared" si="19"/>
        <v>0</v>
      </c>
      <c r="AJ195" s="12"/>
    </row>
    <row r="196" spans="2:36" s="407" customFormat="1" outlineLevel="1">
      <c r="B196" s="24" t="s">
        <v>397</v>
      </c>
      <c r="D196" s="1298">
        <v>70167</v>
      </c>
      <c r="E196" s="1298" t="s">
        <v>260</v>
      </c>
      <c r="F196" s="1299"/>
      <c r="G196" s="1300"/>
      <c r="H196" s="1301"/>
      <c r="I196" s="1302"/>
      <c r="J196" s="1303">
        <v>56.42</v>
      </c>
      <c r="K196" s="1302"/>
      <c r="L196" s="1303">
        <v>1999.81</v>
      </c>
      <c r="M196" s="1302"/>
      <c r="N196" s="1303">
        <v>1010.72</v>
      </c>
      <c r="O196" s="1302"/>
      <c r="P196" s="1303">
        <v>1011.29</v>
      </c>
      <c r="Q196" s="1302"/>
      <c r="R196" s="1303">
        <v>1012.03</v>
      </c>
      <c r="S196" s="1302"/>
      <c r="T196" s="1303">
        <v>66.099999999999994</v>
      </c>
      <c r="U196" s="1302"/>
      <c r="V196" s="1303">
        <v>1013.82</v>
      </c>
      <c r="W196" s="1302"/>
      <c r="X196" s="1303">
        <v>1981.35</v>
      </c>
      <c r="Y196" s="1302"/>
      <c r="Z196" s="1303">
        <v>1007.76</v>
      </c>
      <c r="AA196" s="1302"/>
      <c r="AB196" s="1303">
        <v>1073.58</v>
      </c>
      <c r="AC196" s="1302"/>
      <c r="AD196" s="1303">
        <v>940.73</v>
      </c>
      <c r="AE196" s="1302"/>
      <c r="AF196" s="1303">
        <v>1157.6400000000001</v>
      </c>
      <c r="AG196" s="1302"/>
      <c r="AH196" s="1303">
        <f t="shared" si="18"/>
        <v>12331.249999999998</v>
      </c>
      <c r="AI196" s="1304">
        <f t="shared" si="19"/>
        <v>2.8082640148446776E-3</v>
      </c>
      <c r="AJ196" s="12"/>
    </row>
    <row r="197" spans="2:36" s="407" customFormat="1" outlineLevel="1">
      <c r="B197" s="24" t="s">
        <v>397</v>
      </c>
      <c r="D197" s="1298">
        <v>70185</v>
      </c>
      <c r="E197" s="1298" t="s">
        <v>76</v>
      </c>
      <c r="F197" s="1299"/>
      <c r="G197" s="1300"/>
      <c r="H197" s="1301"/>
      <c r="I197" s="1302"/>
      <c r="J197" s="1303">
        <v>0</v>
      </c>
      <c r="K197" s="1302"/>
      <c r="L197" s="1303">
        <v>0</v>
      </c>
      <c r="M197" s="1302"/>
      <c r="N197" s="1303">
        <v>0</v>
      </c>
      <c r="O197" s="1302"/>
      <c r="P197" s="1303">
        <v>0</v>
      </c>
      <c r="Q197" s="1302"/>
      <c r="R197" s="1303">
        <v>36.42</v>
      </c>
      <c r="S197" s="1302"/>
      <c r="T197" s="1303">
        <v>36.42</v>
      </c>
      <c r="U197" s="1302"/>
      <c r="V197" s="1303">
        <v>0</v>
      </c>
      <c r="W197" s="1302"/>
      <c r="X197" s="1303">
        <v>0</v>
      </c>
      <c r="Y197" s="1302"/>
      <c r="Z197" s="1303">
        <v>0</v>
      </c>
      <c r="AA197" s="1302"/>
      <c r="AB197" s="1303">
        <v>0</v>
      </c>
      <c r="AC197" s="1302"/>
      <c r="AD197" s="1303">
        <v>0</v>
      </c>
      <c r="AE197" s="1302"/>
      <c r="AF197" s="1303">
        <v>0</v>
      </c>
      <c r="AG197" s="1302"/>
      <c r="AH197" s="1303">
        <f t="shared" si="18"/>
        <v>72.84</v>
      </c>
      <c r="AI197" s="1304">
        <f t="shared" si="19"/>
        <v>1.6588257544148918E-5</v>
      </c>
      <c r="AJ197" s="12"/>
    </row>
    <row r="198" spans="2:36" s="407" customFormat="1" outlineLevel="1">
      <c r="B198" s="24" t="s">
        <v>397</v>
      </c>
      <c r="D198" s="1298">
        <v>70195</v>
      </c>
      <c r="E198" s="1298" t="s">
        <v>81</v>
      </c>
      <c r="F198" s="1299"/>
      <c r="G198" s="1300"/>
      <c r="H198" s="1301"/>
      <c r="I198" s="1302"/>
      <c r="J198" s="1303">
        <v>0</v>
      </c>
      <c r="K198" s="1302"/>
      <c r="L198" s="1303">
        <v>0</v>
      </c>
      <c r="M198" s="1302"/>
      <c r="N198" s="1303">
        <v>26.26</v>
      </c>
      <c r="O198" s="1302"/>
      <c r="P198" s="1303">
        <v>0</v>
      </c>
      <c r="Q198" s="1302"/>
      <c r="R198" s="1303">
        <v>0</v>
      </c>
      <c r="S198" s="1302"/>
      <c r="T198" s="1303">
        <v>0</v>
      </c>
      <c r="U198" s="1302"/>
      <c r="V198" s="1303">
        <v>0</v>
      </c>
      <c r="W198" s="1302"/>
      <c r="X198" s="1303">
        <v>0</v>
      </c>
      <c r="Y198" s="1302"/>
      <c r="Z198" s="1303">
        <v>594</v>
      </c>
      <c r="AA198" s="1302"/>
      <c r="AB198" s="1303">
        <v>0</v>
      </c>
      <c r="AC198" s="1302"/>
      <c r="AD198" s="1303">
        <v>0</v>
      </c>
      <c r="AE198" s="1302"/>
      <c r="AF198" s="1303">
        <v>0</v>
      </c>
      <c r="AG198" s="1302"/>
      <c r="AH198" s="1303">
        <f t="shared" si="18"/>
        <v>620.26</v>
      </c>
      <c r="AI198" s="1304">
        <f t="shared" si="19"/>
        <v>1.4125525294252894E-4</v>
      </c>
      <c r="AJ198" s="12"/>
    </row>
    <row r="199" spans="2:36" s="407" customFormat="1" outlineLevel="1">
      <c r="B199" s="24" t="s">
        <v>397</v>
      </c>
      <c r="D199" s="1298">
        <v>70201</v>
      </c>
      <c r="E199" s="1298" t="s">
        <v>77</v>
      </c>
      <c r="F199" s="1299"/>
      <c r="G199" s="1300"/>
      <c r="H199" s="1301"/>
      <c r="I199" s="1302"/>
      <c r="J199" s="1303">
        <v>0</v>
      </c>
      <c r="K199" s="1302"/>
      <c r="L199" s="1303">
        <v>0</v>
      </c>
      <c r="M199" s="1302"/>
      <c r="N199" s="1303">
        <v>0</v>
      </c>
      <c r="O199" s="1302"/>
      <c r="P199" s="1303">
        <v>0</v>
      </c>
      <c r="Q199" s="1302"/>
      <c r="R199" s="1303">
        <v>0</v>
      </c>
      <c r="S199" s="1302"/>
      <c r="T199" s="1303">
        <v>0</v>
      </c>
      <c r="U199" s="1302"/>
      <c r="V199" s="1303">
        <v>0</v>
      </c>
      <c r="W199" s="1302"/>
      <c r="X199" s="1303">
        <v>0</v>
      </c>
      <c r="Y199" s="1302"/>
      <c r="Z199" s="1303">
        <v>77.53</v>
      </c>
      <c r="AA199" s="1302"/>
      <c r="AB199" s="1303">
        <v>0</v>
      </c>
      <c r="AC199" s="1302"/>
      <c r="AD199" s="1303">
        <v>0</v>
      </c>
      <c r="AE199" s="1302"/>
      <c r="AF199" s="1303">
        <v>0</v>
      </c>
      <c r="AG199" s="1302"/>
      <c r="AH199" s="1303">
        <f t="shared" si="18"/>
        <v>77.53</v>
      </c>
      <c r="AI199" s="1304">
        <f t="shared" si="19"/>
        <v>1.7656337278938297E-5</v>
      </c>
      <c r="AJ199" s="12"/>
    </row>
    <row r="200" spans="2:36" s="407" customFormat="1" outlineLevel="1">
      <c r="B200" s="24" t="s">
        <v>397</v>
      </c>
      <c r="D200" s="1298">
        <v>70202</v>
      </c>
      <c r="E200" s="1298" t="s">
        <v>261</v>
      </c>
      <c r="F200" s="1299"/>
      <c r="G200" s="1300"/>
      <c r="H200" s="1301"/>
      <c r="I200" s="1302"/>
      <c r="J200" s="1303">
        <v>0</v>
      </c>
      <c r="K200" s="1302"/>
      <c r="L200" s="1303">
        <v>0</v>
      </c>
      <c r="M200" s="1302"/>
      <c r="N200" s="1303">
        <v>117.36</v>
      </c>
      <c r="O200" s="1302"/>
      <c r="P200" s="1303">
        <v>0</v>
      </c>
      <c r="Q200" s="1302"/>
      <c r="R200" s="1303">
        <v>0</v>
      </c>
      <c r="S200" s="1302"/>
      <c r="T200" s="1303">
        <v>0</v>
      </c>
      <c r="U200" s="1302"/>
      <c r="V200" s="1303">
        <v>0</v>
      </c>
      <c r="W200" s="1302"/>
      <c r="X200" s="1303">
        <v>77.53</v>
      </c>
      <c r="Y200" s="1302"/>
      <c r="Z200" s="1303">
        <v>-77.53</v>
      </c>
      <c r="AA200" s="1302"/>
      <c r="AB200" s="1303">
        <v>141.97999999999999</v>
      </c>
      <c r="AC200" s="1302"/>
      <c r="AD200" s="1303">
        <v>0</v>
      </c>
      <c r="AE200" s="1302"/>
      <c r="AF200" s="1303">
        <v>0</v>
      </c>
      <c r="AG200" s="1302"/>
      <c r="AH200" s="1303">
        <f t="shared" si="18"/>
        <v>259.33999999999997</v>
      </c>
      <c r="AI200" s="1304">
        <f t="shared" si="19"/>
        <v>5.9060937829483526E-5</v>
      </c>
      <c r="AJ200" s="12"/>
    </row>
    <row r="201" spans="2:36" s="407" customFormat="1" outlineLevel="1">
      <c r="B201" s="24" t="s">
        <v>397</v>
      </c>
      <c r="D201" s="1298">
        <v>70203</v>
      </c>
      <c r="E201" s="1298" t="s">
        <v>136</v>
      </c>
      <c r="F201" s="1299"/>
      <c r="G201" s="1300"/>
      <c r="H201" s="1301"/>
      <c r="I201" s="1302"/>
      <c r="J201" s="1303">
        <v>727.77</v>
      </c>
      <c r="K201" s="1302"/>
      <c r="L201" s="1303">
        <v>781.11</v>
      </c>
      <c r="M201" s="1302"/>
      <c r="N201" s="1303">
        <v>908.61</v>
      </c>
      <c r="O201" s="1302"/>
      <c r="P201" s="1303">
        <v>1128.92</v>
      </c>
      <c r="Q201" s="1302"/>
      <c r="R201" s="1303">
        <v>1184.1300000000001</v>
      </c>
      <c r="S201" s="1302"/>
      <c r="T201" s="1303">
        <v>889.03</v>
      </c>
      <c r="U201" s="1302"/>
      <c r="V201" s="1303">
        <v>870.4</v>
      </c>
      <c r="W201" s="1302"/>
      <c r="X201" s="1303">
        <v>709.52</v>
      </c>
      <c r="Y201" s="1302"/>
      <c r="Z201" s="1303">
        <v>687.32</v>
      </c>
      <c r="AA201" s="1302"/>
      <c r="AB201" s="1303">
        <v>864.38</v>
      </c>
      <c r="AC201" s="1302"/>
      <c r="AD201" s="1303">
        <v>731.71</v>
      </c>
      <c r="AE201" s="1302"/>
      <c r="AF201" s="1303">
        <v>1184.71</v>
      </c>
      <c r="AG201" s="1302"/>
      <c r="AH201" s="1303">
        <f t="shared" si="18"/>
        <v>10667.61</v>
      </c>
      <c r="AI201" s="1304">
        <f t="shared" si="19"/>
        <v>2.4293940425664257E-3</v>
      </c>
      <c r="AJ201" s="12"/>
    </row>
    <row r="202" spans="2:36" s="407" customFormat="1" outlineLevel="1">
      <c r="B202" s="24" t="s">
        <v>397</v>
      </c>
      <c r="D202" s="1298">
        <v>70205</v>
      </c>
      <c r="E202" s="1298" t="s">
        <v>262</v>
      </c>
      <c r="F202" s="1299"/>
      <c r="G202" s="1300"/>
      <c r="H202" s="1301"/>
      <c r="I202" s="1302"/>
      <c r="J202" s="1303">
        <v>35.53</v>
      </c>
      <c r="K202" s="1302"/>
      <c r="L202" s="1303">
        <v>0</v>
      </c>
      <c r="M202" s="1302"/>
      <c r="N202" s="1303">
        <v>0</v>
      </c>
      <c r="O202" s="1302"/>
      <c r="P202" s="1303">
        <v>0</v>
      </c>
      <c r="Q202" s="1302"/>
      <c r="R202" s="1303">
        <v>0</v>
      </c>
      <c r="S202" s="1302"/>
      <c r="T202" s="1303">
        <v>0</v>
      </c>
      <c r="U202" s="1302"/>
      <c r="V202" s="1303">
        <v>0</v>
      </c>
      <c r="W202" s="1302"/>
      <c r="X202" s="1303">
        <v>0</v>
      </c>
      <c r="Y202" s="1302"/>
      <c r="Z202" s="1303">
        <v>0</v>
      </c>
      <c r="AA202" s="1302"/>
      <c r="AB202" s="1303">
        <v>0</v>
      </c>
      <c r="AC202" s="1302"/>
      <c r="AD202" s="1303">
        <v>0</v>
      </c>
      <c r="AE202" s="1302"/>
      <c r="AF202" s="1303">
        <v>0</v>
      </c>
      <c r="AG202" s="1302"/>
      <c r="AH202" s="1303">
        <f t="shared" si="18"/>
        <v>35.53</v>
      </c>
      <c r="AI202" s="1304">
        <f t="shared" si="19"/>
        <v>8.0914441315707175E-6</v>
      </c>
      <c r="AJ202" s="12"/>
    </row>
    <row r="203" spans="2:36" s="407" customFormat="1" outlineLevel="1">
      <c r="B203" s="24" t="s">
        <v>397</v>
      </c>
      <c r="D203" s="1298">
        <v>70210</v>
      </c>
      <c r="E203" s="1298" t="s">
        <v>264</v>
      </c>
      <c r="F203" s="1299"/>
      <c r="G203" s="1300"/>
      <c r="H203" s="1301"/>
      <c r="I203" s="1302"/>
      <c r="J203" s="1303">
        <v>265.97000000000003</v>
      </c>
      <c r="K203" s="1302"/>
      <c r="L203" s="1303">
        <v>89.95</v>
      </c>
      <c r="M203" s="1302"/>
      <c r="N203" s="1303">
        <v>0</v>
      </c>
      <c r="O203" s="1302"/>
      <c r="P203" s="1303">
        <v>20</v>
      </c>
      <c r="Q203" s="1302"/>
      <c r="R203" s="1303">
        <v>68.78</v>
      </c>
      <c r="S203" s="1302"/>
      <c r="T203" s="1303">
        <v>0</v>
      </c>
      <c r="U203" s="1302"/>
      <c r="V203" s="1303">
        <v>0</v>
      </c>
      <c r="W203" s="1302"/>
      <c r="X203" s="1303">
        <v>43.54</v>
      </c>
      <c r="Y203" s="1302"/>
      <c r="Z203" s="1303">
        <v>1393.82</v>
      </c>
      <c r="AA203" s="1302"/>
      <c r="AB203" s="1303">
        <v>209.43</v>
      </c>
      <c r="AC203" s="1302"/>
      <c r="AD203" s="1303">
        <v>716.5</v>
      </c>
      <c r="AE203" s="1302"/>
      <c r="AF203" s="1303">
        <v>51.65</v>
      </c>
      <c r="AG203" s="1302"/>
      <c r="AH203" s="1303">
        <f t="shared" si="18"/>
        <v>2859.6399999999994</v>
      </c>
      <c r="AI203" s="1304">
        <f t="shared" si="19"/>
        <v>6.5124169142710057E-4</v>
      </c>
      <c r="AJ203" s="12"/>
    </row>
    <row r="204" spans="2:36" s="407" customFormat="1" outlineLevel="1">
      <c r="B204" s="24" t="s">
        <v>397</v>
      </c>
      <c r="D204" s="1298">
        <v>70214</v>
      </c>
      <c r="E204" s="1298" t="s">
        <v>105</v>
      </c>
      <c r="F204" s="1299"/>
      <c r="G204" s="1300"/>
      <c r="H204" s="1301"/>
      <c r="I204" s="1302"/>
      <c r="J204" s="1303">
        <v>935.49</v>
      </c>
      <c r="K204" s="1302"/>
      <c r="L204" s="1303">
        <v>768.6</v>
      </c>
      <c r="M204" s="1302"/>
      <c r="N204" s="1303">
        <v>957.08</v>
      </c>
      <c r="O204" s="1302"/>
      <c r="P204" s="1303">
        <v>832.94</v>
      </c>
      <c r="Q204" s="1302"/>
      <c r="R204" s="1303">
        <v>891.64</v>
      </c>
      <c r="S204" s="1302"/>
      <c r="T204" s="1303">
        <v>996.61</v>
      </c>
      <c r="U204" s="1302"/>
      <c r="V204" s="1303">
        <v>941.98</v>
      </c>
      <c r="W204" s="1302"/>
      <c r="X204" s="1303">
        <v>958.7</v>
      </c>
      <c r="Y204" s="1302"/>
      <c r="Z204" s="1303">
        <v>801.51</v>
      </c>
      <c r="AA204" s="1302"/>
      <c r="AB204" s="1303">
        <v>946.74</v>
      </c>
      <c r="AC204" s="1302"/>
      <c r="AD204" s="1303">
        <v>1092.46</v>
      </c>
      <c r="AE204" s="1302"/>
      <c r="AF204" s="1303">
        <v>1074.1600000000001</v>
      </c>
      <c r="AG204" s="1302"/>
      <c r="AH204" s="1303">
        <f t="shared" si="18"/>
        <v>11197.91</v>
      </c>
      <c r="AI204" s="1304">
        <f t="shared" si="19"/>
        <v>2.5501622053294977E-3</v>
      </c>
      <c r="AJ204" s="12"/>
    </row>
    <row r="205" spans="2:36" s="407" customFormat="1" outlineLevel="1">
      <c r="B205" s="24" t="s">
        <v>397</v>
      </c>
      <c r="D205" s="1298">
        <v>70255</v>
      </c>
      <c r="E205" s="1298" t="s">
        <v>63</v>
      </c>
      <c r="F205" s="1299"/>
      <c r="G205" s="1300"/>
      <c r="H205" s="1301"/>
      <c r="I205" s="1302"/>
      <c r="J205" s="1303">
        <v>40.74</v>
      </c>
      <c r="K205" s="1302"/>
      <c r="L205" s="1303">
        <v>19.329999999999998</v>
      </c>
      <c r="M205" s="1302"/>
      <c r="N205" s="1303">
        <v>1.63</v>
      </c>
      <c r="O205" s="1302"/>
      <c r="P205" s="1303">
        <v>5.32</v>
      </c>
      <c r="Q205" s="1302"/>
      <c r="R205" s="1303">
        <v>6.72</v>
      </c>
      <c r="S205" s="1302"/>
      <c r="T205" s="1303">
        <v>1.07</v>
      </c>
      <c r="U205" s="1302"/>
      <c r="V205" s="1303">
        <v>0</v>
      </c>
      <c r="W205" s="1302"/>
      <c r="X205" s="1303">
        <v>0</v>
      </c>
      <c r="Y205" s="1302"/>
      <c r="Z205" s="1303">
        <v>0</v>
      </c>
      <c r="AA205" s="1302"/>
      <c r="AB205" s="1303">
        <v>0</v>
      </c>
      <c r="AC205" s="1302"/>
      <c r="AD205" s="1303">
        <v>0</v>
      </c>
      <c r="AE205" s="1302"/>
      <c r="AF205" s="1303">
        <v>0</v>
      </c>
      <c r="AG205" s="1302"/>
      <c r="AH205" s="1303">
        <f t="shared" si="18"/>
        <v>74.81</v>
      </c>
      <c r="AI205" s="1304">
        <f t="shared" si="19"/>
        <v>1.7036896579870684E-5</v>
      </c>
      <c r="AJ205" s="12"/>
    </row>
    <row r="206" spans="2:36" s="407" customFormat="1" outlineLevel="1">
      <c r="B206" s="24" t="s">
        <v>397</v>
      </c>
      <c r="D206" s="1298">
        <v>70300</v>
      </c>
      <c r="E206" s="1298" t="s">
        <v>107</v>
      </c>
      <c r="F206" s="1299"/>
      <c r="G206" s="1300"/>
      <c r="H206" s="1301"/>
      <c r="I206" s="1302"/>
      <c r="J206" s="1303">
        <v>1399.29</v>
      </c>
      <c r="K206" s="1302"/>
      <c r="L206" s="1303">
        <v>1399.29</v>
      </c>
      <c r="M206" s="1302"/>
      <c r="N206" s="1303">
        <v>1399.29</v>
      </c>
      <c r="O206" s="1302"/>
      <c r="P206" s="1303">
        <v>1399.29</v>
      </c>
      <c r="Q206" s="1302"/>
      <c r="R206" s="1303">
        <v>1399.29</v>
      </c>
      <c r="S206" s="1302"/>
      <c r="T206" s="1303">
        <v>1399.29</v>
      </c>
      <c r="U206" s="1302"/>
      <c r="V206" s="1303">
        <v>1399.29</v>
      </c>
      <c r="W206" s="1302"/>
      <c r="X206" s="1303">
        <v>1399.29</v>
      </c>
      <c r="Y206" s="1302"/>
      <c r="Z206" s="1303">
        <v>1467.73</v>
      </c>
      <c r="AA206" s="1302"/>
      <c r="AB206" s="1303">
        <v>1467.73</v>
      </c>
      <c r="AC206" s="1302"/>
      <c r="AD206" s="1303">
        <v>1467.73</v>
      </c>
      <c r="AE206" s="1302"/>
      <c r="AF206" s="1303">
        <v>1467.73</v>
      </c>
      <c r="AG206" s="1302"/>
      <c r="AH206" s="1303">
        <f t="shared" si="18"/>
        <v>17065.240000000005</v>
      </c>
      <c r="AI206" s="1304">
        <f t="shared" si="19"/>
        <v>3.886361836528171E-3</v>
      </c>
      <c r="AJ206" s="12"/>
    </row>
    <row r="207" spans="2:36" s="407" customFormat="1" outlineLevel="1">
      <c r="B207" s="24" t="s">
        <v>397</v>
      </c>
      <c r="D207" s="1298">
        <v>70310</v>
      </c>
      <c r="E207" s="1298" t="s">
        <v>121</v>
      </c>
      <c r="F207" s="1299"/>
      <c r="G207" s="1300"/>
      <c r="H207" s="1301"/>
      <c r="I207" s="1302"/>
      <c r="J207" s="1303">
        <v>567.07000000000005</v>
      </c>
      <c r="K207" s="1302"/>
      <c r="L207" s="1303">
        <v>6152.78</v>
      </c>
      <c r="M207" s="1302"/>
      <c r="N207" s="1303">
        <v>-9131.39</v>
      </c>
      <c r="O207" s="1302"/>
      <c r="P207" s="1303">
        <v>2068.0700000000002</v>
      </c>
      <c r="Q207" s="1302"/>
      <c r="R207" s="1303">
        <v>4354.1400000000003</v>
      </c>
      <c r="S207" s="1302"/>
      <c r="T207" s="1303">
        <v>2287.79</v>
      </c>
      <c r="U207" s="1302"/>
      <c r="V207" s="1303">
        <v>89.38</v>
      </c>
      <c r="W207" s="1302"/>
      <c r="X207" s="1303">
        <v>-6571.4</v>
      </c>
      <c r="Y207" s="1302"/>
      <c r="Z207" s="1303">
        <v>-9.5</v>
      </c>
      <c r="AA207" s="1302"/>
      <c r="AB207" s="1303">
        <v>-765.26</v>
      </c>
      <c r="AC207" s="1302"/>
      <c r="AD207" s="1303">
        <v>-2127.44</v>
      </c>
      <c r="AE207" s="1302"/>
      <c r="AF207" s="1303">
        <v>222.59</v>
      </c>
      <c r="AG207" s="1302"/>
      <c r="AH207" s="1303">
        <f t="shared" si="18"/>
        <v>-2863.1700000000005</v>
      </c>
      <c r="AI207" s="1304">
        <f t="shared" si="19"/>
        <v>-6.5204559792258197E-4</v>
      </c>
      <c r="AJ207" s="12"/>
    </row>
    <row r="208" spans="2:36" s="407" customFormat="1" outlineLevel="1">
      <c r="B208" s="24" t="s">
        <v>397</v>
      </c>
      <c r="D208" s="1298">
        <v>70320</v>
      </c>
      <c r="E208" s="1298" t="s">
        <v>110</v>
      </c>
      <c r="F208" s="1299"/>
      <c r="G208" s="1300"/>
      <c r="H208" s="1301"/>
      <c r="I208" s="1302"/>
      <c r="J208" s="1303">
        <v>9.6300000000000008</v>
      </c>
      <c r="K208" s="1302"/>
      <c r="L208" s="1303">
        <v>9.74</v>
      </c>
      <c r="M208" s="1302"/>
      <c r="N208" s="1303">
        <v>12</v>
      </c>
      <c r="O208" s="1302"/>
      <c r="P208" s="1303">
        <v>11</v>
      </c>
      <c r="Q208" s="1302"/>
      <c r="R208" s="1303">
        <v>7.47</v>
      </c>
      <c r="S208" s="1302"/>
      <c r="T208" s="1303">
        <v>11.17</v>
      </c>
      <c r="U208" s="1302"/>
      <c r="V208" s="1303">
        <v>20.21</v>
      </c>
      <c r="W208" s="1302"/>
      <c r="X208" s="1303">
        <v>11</v>
      </c>
      <c r="Y208" s="1302"/>
      <c r="Z208" s="1303">
        <v>10.75</v>
      </c>
      <c r="AA208" s="1302"/>
      <c r="AB208" s="1303">
        <v>32.5</v>
      </c>
      <c r="AC208" s="1302"/>
      <c r="AD208" s="1303">
        <v>35.92</v>
      </c>
      <c r="AE208" s="1302"/>
      <c r="AF208" s="1303">
        <v>-25.84</v>
      </c>
      <c r="AG208" s="1302"/>
      <c r="AH208" s="1303">
        <f t="shared" si="18"/>
        <v>145.54999999999998</v>
      </c>
      <c r="AI208" s="1304">
        <f t="shared" si="19"/>
        <v>3.3146909466651217E-5</v>
      </c>
      <c r="AJ208" s="12"/>
    </row>
    <row r="209" spans="1:36" s="407" customFormat="1" outlineLevel="1">
      <c r="B209" s="24" t="s">
        <v>397</v>
      </c>
      <c r="D209" s="1298">
        <v>70330</v>
      </c>
      <c r="E209" s="1298" t="s">
        <v>438</v>
      </c>
      <c r="F209" s="1299"/>
      <c r="G209" s="1300"/>
      <c r="H209" s="1301"/>
      <c r="I209" s="1302"/>
      <c r="J209" s="1303">
        <v>1381.06</v>
      </c>
      <c r="K209" s="1302"/>
      <c r="L209" s="1303">
        <v>0</v>
      </c>
      <c r="M209" s="1302"/>
      <c r="N209" s="1303">
        <v>0</v>
      </c>
      <c r="O209" s="1302"/>
      <c r="P209" s="1303">
        <v>354.14</v>
      </c>
      <c r="Q209" s="1302"/>
      <c r="R209" s="1303">
        <v>0</v>
      </c>
      <c r="S209" s="1302"/>
      <c r="T209" s="1303">
        <v>0</v>
      </c>
      <c r="U209" s="1302"/>
      <c r="V209" s="1303">
        <v>0</v>
      </c>
      <c r="W209" s="1302"/>
      <c r="X209" s="1303">
        <v>0</v>
      </c>
      <c r="Y209" s="1302"/>
      <c r="Z209" s="1303">
        <v>0</v>
      </c>
      <c r="AA209" s="1302"/>
      <c r="AB209" s="1303">
        <v>0</v>
      </c>
      <c r="AC209" s="1302"/>
      <c r="AD209" s="1303">
        <v>0</v>
      </c>
      <c r="AE209" s="1302"/>
      <c r="AF209" s="1303">
        <v>0</v>
      </c>
      <c r="AG209" s="1302"/>
      <c r="AH209" s="1303">
        <f t="shared" si="18"/>
        <v>1735.1999999999998</v>
      </c>
      <c r="AI209" s="1304">
        <f t="shared" si="19"/>
        <v>3.951667283169577E-4</v>
      </c>
      <c r="AJ209" s="12"/>
    </row>
    <row r="210" spans="1:36" s="407" customFormat="1" outlineLevel="1">
      <c r="B210" s="24" t="s">
        <v>397</v>
      </c>
      <c r="D210" s="1298">
        <v>70335</v>
      </c>
      <c r="E210" s="1298" t="s">
        <v>43</v>
      </c>
      <c r="F210" s="1299"/>
      <c r="G210" s="1300"/>
      <c r="H210" s="1301"/>
      <c r="I210" s="1302"/>
      <c r="J210" s="1303">
        <v>0</v>
      </c>
      <c r="K210" s="1302"/>
      <c r="L210" s="1303">
        <v>0</v>
      </c>
      <c r="M210" s="1302"/>
      <c r="N210" s="1303">
        <v>0</v>
      </c>
      <c r="O210" s="1302"/>
      <c r="P210" s="1303">
        <v>0</v>
      </c>
      <c r="Q210" s="1302"/>
      <c r="R210" s="1303">
        <v>0</v>
      </c>
      <c r="S210" s="1302"/>
      <c r="T210" s="1303">
        <v>0</v>
      </c>
      <c r="U210" s="1302"/>
      <c r="V210" s="1303">
        <v>0</v>
      </c>
      <c r="W210" s="1302"/>
      <c r="X210" s="1303">
        <v>0.01</v>
      </c>
      <c r="Y210" s="1302"/>
      <c r="Z210" s="1303">
        <v>0</v>
      </c>
      <c r="AA210" s="1302"/>
      <c r="AB210" s="1303">
        <v>0</v>
      </c>
      <c r="AC210" s="1302"/>
      <c r="AD210" s="1303">
        <v>0</v>
      </c>
      <c r="AE210" s="1302"/>
      <c r="AF210" s="1303">
        <v>0</v>
      </c>
      <c r="AG210" s="1302"/>
      <c r="AH210" s="1303">
        <f t="shared" si="18"/>
        <v>0.01</v>
      </c>
      <c r="AI210" s="1304">
        <f t="shared" si="19"/>
        <v>2.2773555112779954E-9</v>
      </c>
      <c r="AJ210" s="12"/>
    </row>
    <row r="211" spans="1:36" s="407" customFormat="1" outlineLevel="1">
      <c r="B211" s="24" t="s">
        <v>397</v>
      </c>
      <c r="D211" s="1298">
        <v>70357</v>
      </c>
      <c r="E211" s="1298" t="s">
        <v>146</v>
      </c>
      <c r="F211" s="1299"/>
      <c r="G211" s="1300"/>
      <c r="H211" s="1301"/>
      <c r="I211" s="1302"/>
      <c r="J211" s="1303">
        <v>0</v>
      </c>
      <c r="K211" s="1302"/>
      <c r="L211" s="1303">
        <v>0</v>
      </c>
      <c r="M211" s="1302"/>
      <c r="N211" s="1303">
        <v>0</v>
      </c>
      <c r="O211" s="1302"/>
      <c r="P211" s="1303">
        <v>0</v>
      </c>
      <c r="Q211" s="1302"/>
      <c r="R211" s="1303">
        <v>105</v>
      </c>
      <c r="S211" s="1302"/>
      <c r="T211" s="1303">
        <v>0</v>
      </c>
      <c r="U211" s="1302"/>
      <c r="V211" s="1303">
        <v>0</v>
      </c>
      <c r="W211" s="1302"/>
      <c r="X211" s="1303">
        <v>30</v>
      </c>
      <c r="Y211" s="1302"/>
      <c r="Z211" s="1303">
        <v>0</v>
      </c>
      <c r="AA211" s="1302"/>
      <c r="AB211" s="1303">
        <v>0</v>
      </c>
      <c r="AC211" s="1302"/>
      <c r="AD211" s="1303">
        <v>0</v>
      </c>
      <c r="AE211" s="1302"/>
      <c r="AF211" s="1303">
        <v>0</v>
      </c>
      <c r="AG211" s="1302"/>
      <c r="AH211" s="1303">
        <f t="shared" si="18"/>
        <v>135</v>
      </c>
      <c r="AI211" s="1304">
        <f t="shared" si="19"/>
        <v>3.0744299402252938E-5</v>
      </c>
      <c r="AJ211" s="12"/>
    </row>
    <row r="212" spans="1:36" s="8" customFormat="1" ht="5.0999999999999996" customHeight="1" outlineLevel="1">
      <c r="B212" s="2" t="s">
        <v>194</v>
      </c>
      <c r="D212" s="1299"/>
      <c r="E212" s="1299"/>
      <c r="F212" s="1299"/>
      <c r="G212" s="1299"/>
      <c r="H212" s="1301"/>
      <c r="I212" s="1301"/>
      <c r="J212" s="1311"/>
      <c r="K212" s="1309"/>
      <c r="L212" s="1311"/>
      <c r="M212" s="1309"/>
      <c r="N212" s="1311"/>
      <c r="O212" s="1309"/>
      <c r="P212" s="1311"/>
      <c r="Q212" s="1309"/>
      <c r="R212" s="1311"/>
      <c r="S212" s="1309"/>
      <c r="T212" s="1311"/>
      <c r="U212" s="1309"/>
      <c r="V212" s="1311"/>
      <c r="W212" s="1309"/>
      <c r="X212" s="1311"/>
      <c r="Y212" s="1309"/>
      <c r="Z212" s="1311"/>
      <c r="AA212" s="1309"/>
      <c r="AB212" s="1311"/>
      <c r="AC212" s="1309"/>
      <c r="AD212" s="1311"/>
      <c r="AE212" s="1309"/>
      <c r="AF212" s="1311"/>
      <c r="AG212" s="1309"/>
      <c r="AH212" s="1311"/>
      <c r="AI212" s="1306"/>
      <c r="AJ212" s="15"/>
    </row>
    <row r="213" spans="1:36" s="8" customFormat="1" ht="15">
      <c r="B213" s="2" t="s">
        <v>194</v>
      </c>
      <c r="D213" s="1301"/>
      <c r="E213" s="1301"/>
      <c r="F213" s="1299" t="s">
        <v>266</v>
      </c>
      <c r="G213" s="1301"/>
      <c r="H213" s="1301"/>
      <c r="I213" s="1301"/>
      <c r="J213" s="1308">
        <f>SUM(J181:J212)</f>
        <v>24910.510000000006</v>
      </c>
      <c r="K213" s="1309"/>
      <c r="L213" s="1308">
        <f>SUM(L181:L212)</f>
        <v>31569.580000000005</v>
      </c>
      <c r="M213" s="1309"/>
      <c r="N213" s="1308">
        <f>SUM(N181:N212)</f>
        <v>12385.770000000008</v>
      </c>
      <c r="O213" s="1309"/>
      <c r="P213" s="1308">
        <f>SUM(P181:P212)</f>
        <v>24319.859999999997</v>
      </c>
      <c r="Q213" s="1309"/>
      <c r="R213" s="1308">
        <f>SUM(R181:R212)</f>
        <v>30760.04</v>
      </c>
      <c r="S213" s="1309"/>
      <c r="T213" s="1308">
        <f>SUM(T181:T212)</f>
        <v>23290.239999999994</v>
      </c>
      <c r="U213" s="1309"/>
      <c r="V213" s="1308">
        <f>SUM(V181:V212)</f>
        <v>21828.520000000004</v>
      </c>
      <c r="W213" s="1309"/>
      <c r="X213" s="1308">
        <f>SUM(X181:X212)</f>
        <v>15336.720000000001</v>
      </c>
      <c r="Y213" s="1309"/>
      <c r="Z213" s="1308">
        <f>SUM(Z181:Z212)</f>
        <v>25788.989999999994</v>
      </c>
      <c r="AA213" s="1309"/>
      <c r="AB213" s="1308">
        <f>SUM(AB181:AB212)</f>
        <v>21912.49</v>
      </c>
      <c r="AC213" s="1309"/>
      <c r="AD213" s="1308">
        <f>SUM(AD181:AD212)</f>
        <v>21681.29</v>
      </c>
      <c r="AE213" s="1309"/>
      <c r="AF213" s="1308">
        <f>SUM(AF181:AF212)</f>
        <v>26112.560000000001</v>
      </c>
      <c r="AG213" s="1309"/>
      <c r="AH213" s="1308">
        <f>SUM(AH181:AH212)</f>
        <v>279896.57</v>
      </c>
      <c r="AI213" s="1304">
        <f>IF(AH$48=0,0,AH213/AH$48)</f>
        <v>6.374239962773072E-2</v>
      </c>
      <c r="AJ213" s="15"/>
    </row>
    <row r="214" spans="1:36" s="8" customFormat="1" ht="15" outlineLevel="1">
      <c r="B214" s="2" t="s">
        <v>194</v>
      </c>
      <c r="D214" s="1301"/>
      <c r="E214" s="1301"/>
      <c r="F214" s="1301"/>
      <c r="G214" s="1301"/>
      <c r="H214" s="1301"/>
      <c r="I214" s="1301"/>
      <c r="J214" s="1310"/>
      <c r="K214" s="1309"/>
      <c r="L214" s="1310"/>
      <c r="M214" s="1309"/>
      <c r="N214" s="1310"/>
      <c r="O214" s="1309"/>
      <c r="P214" s="1310"/>
      <c r="Q214" s="1309"/>
      <c r="R214" s="1310"/>
      <c r="S214" s="1309"/>
      <c r="T214" s="1310"/>
      <c r="U214" s="1309"/>
      <c r="V214" s="1310"/>
      <c r="W214" s="1309"/>
      <c r="X214" s="1310"/>
      <c r="Y214" s="1309"/>
      <c r="Z214" s="1310"/>
      <c r="AA214" s="1309"/>
      <c r="AB214" s="1310"/>
      <c r="AC214" s="1309"/>
      <c r="AD214" s="1310"/>
      <c r="AE214" s="1309"/>
      <c r="AF214" s="1310"/>
      <c r="AG214" s="1309"/>
      <c r="AH214" s="1310"/>
      <c r="AI214" s="1306"/>
      <c r="AJ214" s="15"/>
    </row>
    <row r="215" spans="1:36" s="407" customFormat="1" outlineLevel="1">
      <c r="B215" s="24" t="s">
        <v>420</v>
      </c>
      <c r="D215" s="1298">
        <v>70149</v>
      </c>
      <c r="E215" s="1298" t="s">
        <v>267</v>
      </c>
      <c r="F215" s="1299"/>
      <c r="G215" s="1300"/>
      <c r="H215" s="1301"/>
      <c r="I215" s="1302"/>
      <c r="J215" s="1303">
        <v>12502.27</v>
      </c>
      <c r="K215" s="1302"/>
      <c r="L215" s="1303">
        <v>10693.29</v>
      </c>
      <c r="M215" s="1302"/>
      <c r="N215" s="1303">
        <v>10708.41</v>
      </c>
      <c r="O215" s="1302"/>
      <c r="P215" s="1303">
        <v>10596.38</v>
      </c>
      <c r="Q215" s="1302"/>
      <c r="R215" s="1303">
        <v>9359.43</v>
      </c>
      <c r="S215" s="1302"/>
      <c r="T215" s="1303">
        <v>11883.19</v>
      </c>
      <c r="U215" s="1302"/>
      <c r="V215" s="1303">
        <v>9933.19</v>
      </c>
      <c r="W215" s="1302"/>
      <c r="X215" s="1303">
        <v>9842.5400000000009</v>
      </c>
      <c r="Y215" s="1302"/>
      <c r="Z215" s="1303">
        <v>11921.92</v>
      </c>
      <c r="AA215" s="1302"/>
      <c r="AB215" s="1303">
        <v>11003.26</v>
      </c>
      <c r="AC215" s="1302"/>
      <c r="AD215" s="1303">
        <v>12047.66</v>
      </c>
      <c r="AE215" s="1302"/>
      <c r="AF215" s="1303">
        <v>12696.69</v>
      </c>
      <c r="AG215" s="1302"/>
      <c r="AH215" s="1303">
        <f>AF215+AD215+AB215+Z215+X215+V215+T215+R215+P215+N215+L215+J215</f>
        <v>133188.23000000001</v>
      </c>
      <c r="AI215" s="1304">
        <f>IF(AH$48=0,0,AH215/AH$48)</f>
        <v>3.0331694962786128E-2</v>
      </c>
      <c r="AJ215" s="12"/>
    </row>
    <row r="216" spans="1:36" s="8" customFormat="1" ht="5.0999999999999996" customHeight="1" outlineLevel="1">
      <c r="B216" s="2" t="s">
        <v>194</v>
      </c>
      <c r="D216" s="1299"/>
      <c r="E216" s="1299"/>
      <c r="F216" s="1299"/>
      <c r="G216" s="1299"/>
      <c r="H216" s="1301"/>
      <c r="I216" s="1301"/>
      <c r="J216" s="1311"/>
      <c r="K216" s="1309"/>
      <c r="L216" s="1311"/>
      <c r="M216" s="1309"/>
      <c r="N216" s="1311"/>
      <c r="O216" s="1309"/>
      <c r="P216" s="1311"/>
      <c r="Q216" s="1309"/>
      <c r="R216" s="1311"/>
      <c r="S216" s="1309"/>
      <c r="T216" s="1311"/>
      <c r="U216" s="1309"/>
      <c r="V216" s="1311"/>
      <c r="W216" s="1309"/>
      <c r="X216" s="1311"/>
      <c r="Y216" s="1309"/>
      <c r="Z216" s="1311"/>
      <c r="AA216" s="1309"/>
      <c r="AB216" s="1311"/>
      <c r="AC216" s="1309"/>
      <c r="AD216" s="1311"/>
      <c r="AE216" s="1309"/>
      <c r="AF216" s="1311"/>
      <c r="AG216" s="1309"/>
      <c r="AH216" s="1311"/>
      <c r="AI216" s="1306"/>
      <c r="AJ216" s="15"/>
    </row>
    <row r="217" spans="1:36" s="8" customFormat="1" ht="15">
      <c r="B217" s="2" t="s">
        <v>194</v>
      </c>
      <c r="D217" s="1301"/>
      <c r="E217" s="1301"/>
      <c r="F217" s="1298" t="s">
        <v>268</v>
      </c>
      <c r="G217" s="1301"/>
      <c r="H217" s="1301"/>
      <c r="I217" s="1301"/>
      <c r="J217" s="1308">
        <f>SUM(J214:J216)</f>
        <v>12502.27</v>
      </c>
      <c r="K217" s="1309"/>
      <c r="L217" s="1308">
        <f>SUM(L214:L216)</f>
        <v>10693.29</v>
      </c>
      <c r="M217" s="1309"/>
      <c r="N217" s="1308">
        <f>SUM(N214:N216)</f>
        <v>10708.41</v>
      </c>
      <c r="O217" s="1309"/>
      <c r="P217" s="1308">
        <f>SUM(P214:P216)</f>
        <v>10596.38</v>
      </c>
      <c r="Q217" s="1309"/>
      <c r="R217" s="1308">
        <f>SUM(R214:R216)</f>
        <v>9359.43</v>
      </c>
      <c r="S217" s="1309"/>
      <c r="T217" s="1308">
        <f>SUM(T214:T216)</f>
        <v>11883.19</v>
      </c>
      <c r="U217" s="1309"/>
      <c r="V217" s="1308">
        <f>SUM(V214:V216)</f>
        <v>9933.19</v>
      </c>
      <c r="W217" s="1309"/>
      <c r="X217" s="1308">
        <f>SUM(X214:X216)</f>
        <v>9842.5400000000009</v>
      </c>
      <c r="Y217" s="1309"/>
      <c r="Z217" s="1308">
        <f>SUM(Z214:Z216)</f>
        <v>11921.92</v>
      </c>
      <c r="AA217" s="1309"/>
      <c r="AB217" s="1308">
        <f>SUM(AB214:AB216)</f>
        <v>11003.26</v>
      </c>
      <c r="AC217" s="1309"/>
      <c r="AD217" s="1308">
        <f>SUM(AD214:AD216)</f>
        <v>12047.66</v>
      </c>
      <c r="AE217" s="1309"/>
      <c r="AF217" s="1308">
        <f>SUM(AF214:AF216)</f>
        <v>12696.69</v>
      </c>
      <c r="AG217" s="1309"/>
      <c r="AH217" s="1308">
        <f>SUM(AH214:AH216)</f>
        <v>133188.23000000001</v>
      </c>
      <c r="AI217" s="1304">
        <f>IF(AH$48=0,0,AH217/AH$48)</f>
        <v>3.0331694962786128E-2</v>
      </c>
      <c r="AJ217" s="15"/>
    </row>
    <row r="218" spans="1:36" s="8" customFormat="1" ht="7.5" customHeight="1">
      <c r="B218" s="2"/>
      <c r="D218" s="1301"/>
      <c r="E218" s="1301"/>
      <c r="F218" s="1301"/>
      <c r="G218" s="1301"/>
      <c r="H218" s="1301"/>
      <c r="I218" s="1301"/>
      <c r="J218" s="1310"/>
      <c r="K218" s="1309"/>
      <c r="L218" s="1310"/>
      <c r="M218" s="1309"/>
      <c r="N218" s="1310"/>
      <c r="O218" s="1309"/>
      <c r="P218" s="1310"/>
      <c r="Q218" s="1309"/>
      <c r="R218" s="1310"/>
      <c r="S218" s="1309"/>
      <c r="T218" s="1310"/>
      <c r="U218" s="1309"/>
      <c r="V218" s="1310"/>
      <c r="W218" s="1309"/>
      <c r="X218" s="1310"/>
      <c r="Y218" s="1309"/>
      <c r="Z218" s="1310"/>
      <c r="AA218" s="1309"/>
      <c r="AB218" s="1310"/>
      <c r="AC218" s="1309"/>
      <c r="AD218" s="1310"/>
      <c r="AE218" s="1309"/>
      <c r="AF218" s="1310"/>
      <c r="AG218" s="1309"/>
      <c r="AH218" s="1310"/>
      <c r="AI218" s="1306"/>
      <c r="AJ218" s="15"/>
    </row>
    <row r="219" spans="1:36" s="8" customFormat="1" ht="15">
      <c r="B219" s="2"/>
      <c r="D219" s="1301"/>
      <c r="E219" s="1313" t="s">
        <v>269</v>
      </c>
      <c r="F219" s="1301"/>
      <c r="G219" s="1301"/>
      <c r="H219" s="1301"/>
      <c r="I219" s="1301"/>
      <c r="J219" s="1314">
        <f>+J179+J213+J217</f>
        <v>68432.640000000014</v>
      </c>
      <c r="K219" s="1309"/>
      <c r="L219" s="1314">
        <f>+L179+L213+L217</f>
        <v>68462.080000000016</v>
      </c>
      <c r="M219" s="1309"/>
      <c r="N219" s="1314">
        <f>+N179+N213+N217</f>
        <v>45572.900000000009</v>
      </c>
      <c r="O219" s="1309"/>
      <c r="P219" s="1314">
        <f>+P179+P213+P217</f>
        <v>65487.779999999992</v>
      </c>
      <c r="Q219" s="1309"/>
      <c r="R219" s="1314">
        <f>+R179+R213+R217</f>
        <v>64806.89</v>
      </c>
      <c r="S219" s="1309"/>
      <c r="T219" s="1314">
        <f>+T179+T213+T217</f>
        <v>68106.61</v>
      </c>
      <c r="U219" s="1309"/>
      <c r="V219" s="1314">
        <f>+V179+V213+V217</f>
        <v>52242.62000000001</v>
      </c>
      <c r="W219" s="1309"/>
      <c r="X219" s="1314">
        <f>+X179+X213+X217</f>
        <v>50174.01</v>
      </c>
      <c r="Y219" s="1309"/>
      <c r="Z219" s="1314">
        <f>+Z179+Z213+Z217</f>
        <v>68275.759999999995</v>
      </c>
      <c r="AA219" s="1309"/>
      <c r="AB219" s="1314">
        <f>+AB179+AB213+AB217</f>
        <v>53863.600000000013</v>
      </c>
      <c r="AC219" s="1309"/>
      <c r="AD219" s="1314">
        <f>+AD179+AD213+AD217</f>
        <v>59859.229999999996</v>
      </c>
      <c r="AE219" s="1309"/>
      <c r="AF219" s="1314">
        <f>+AF179+AF213+AF217</f>
        <v>69969.89</v>
      </c>
      <c r="AG219" s="1309"/>
      <c r="AH219" s="1314">
        <f>+AH179+AH213+AH217</f>
        <v>735254.01</v>
      </c>
      <c r="AI219" s="1304">
        <f>IF(AH$48=0,0,AH219/AH$48)</f>
        <v>0.16744347718627464</v>
      </c>
      <c r="AJ219" s="15"/>
    </row>
    <row r="220" spans="1:36" s="8" customFormat="1" ht="7.5" customHeight="1">
      <c r="B220" s="2"/>
      <c r="D220" s="1301"/>
      <c r="E220" s="1301"/>
      <c r="F220" s="1301"/>
      <c r="G220" s="1301"/>
      <c r="H220" s="1301"/>
      <c r="I220" s="1301"/>
      <c r="J220" s="1310"/>
      <c r="K220" s="1309"/>
      <c r="L220" s="1310"/>
      <c r="M220" s="1309"/>
      <c r="N220" s="1310"/>
      <c r="O220" s="1309"/>
      <c r="P220" s="1310"/>
      <c r="Q220" s="1309"/>
      <c r="R220" s="1310"/>
      <c r="S220" s="1309"/>
      <c r="T220" s="1310"/>
      <c r="U220" s="1309"/>
      <c r="V220" s="1310"/>
      <c r="W220" s="1309"/>
      <c r="X220" s="1310"/>
      <c r="Y220" s="1309"/>
      <c r="Z220" s="1310"/>
      <c r="AA220" s="1309"/>
      <c r="AB220" s="1310"/>
      <c r="AC220" s="1309"/>
      <c r="AD220" s="1310"/>
      <c r="AE220" s="1309"/>
      <c r="AF220" s="1310"/>
      <c r="AG220" s="1309"/>
      <c r="AH220" s="1310"/>
      <c r="AI220" s="1306"/>
      <c r="AJ220" s="15"/>
    </row>
    <row r="221" spans="1:36" s="8" customFormat="1" ht="7.5" customHeight="1">
      <c r="B221" s="2" t="s">
        <v>194</v>
      </c>
      <c r="D221" s="1320"/>
      <c r="E221" s="1320"/>
      <c r="F221" s="1320"/>
      <c r="G221" s="1320"/>
      <c r="H221" s="1320"/>
      <c r="I221" s="1320"/>
      <c r="J221" s="1318"/>
      <c r="K221" s="1309"/>
      <c r="L221" s="1318"/>
      <c r="M221" s="1309"/>
      <c r="N221" s="1318"/>
      <c r="O221" s="1309"/>
      <c r="P221" s="1318"/>
      <c r="Q221" s="1309"/>
      <c r="R221" s="1318"/>
      <c r="S221" s="1309"/>
      <c r="T221" s="1318"/>
      <c r="U221" s="1309"/>
      <c r="V221" s="1318"/>
      <c r="W221" s="1309"/>
      <c r="X221" s="1318"/>
      <c r="Y221" s="1309"/>
      <c r="Z221" s="1318"/>
      <c r="AA221" s="1309"/>
      <c r="AB221" s="1318"/>
      <c r="AC221" s="1309"/>
      <c r="AD221" s="1318"/>
      <c r="AE221" s="1309"/>
      <c r="AF221" s="1318"/>
      <c r="AG221" s="1309"/>
      <c r="AH221" s="1318"/>
      <c r="AI221" s="1306"/>
      <c r="AJ221" s="15"/>
    </row>
    <row r="222" spans="1:36" s="8" customFormat="1" ht="15">
      <c r="B222" s="2" t="s">
        <v>194</v>
      </c>
      <c r="D222" s="1301"/>
      <c r="E222" s="1316" t="s">
        <v>270</v>
      </c>
      <c r="F222" s="1301"/>
      <c r="G222" s="1301"/>
      <c r="H222" s="1301"/>
      <c r="I222" s="1301"/>
      <c r="J222" s="1314">
        <f>+J160-J219</f>
        <v>115904.48000000001</v>
      </c>
      <c r="K222" s="1309"/>
      <c r="L222" s="1314">
        <f>+L160-L219</f>
        <v>159765.55999999997</v>
      </c>
      <c r="M222" s="1321"/>
      <c r="N222" s="1314">
        <f>+N160-N219</f>
        <v>153737.95000000001</v>
      </c>
      <c r="O222" s="1321"/>
      <c r="P222" s="1314">
        <f>+P160-P219</f>
        <v>181794.54000000004</v>
      </c>
      <c r="Q222" s="1309"/>
      <c r="R222" s="1314">
        <f>+R160-R219</f>
        <v>139397.78999999998</v>
      </c>
      <c r="S222" s="1321"/>
      <c r="T222" s="1314">
        <f>+T160-T219</f>
        <v>152812.32999999996</v>
      </c>
      <c r="U222" s="1321"/>
      <c r="V222" s="1314">
        <f>+V160-V219</f>
        <v>100135.3</v>
      </c>
      <c r="W222" s="1309"/>
      <c r="X222" s="1314">
        <f>+X160-X219</f>
        <v>126105.04999999999</v>
      </c>
      <c r="Y222" s="1321"/>
      <c r="Z222" s="1314">
        <f>+Z160-Z219</f>
        <v>168880.68999999994</v>
      </c>
      <c r="AA222" s="1321"/>
      <c r="AB222" s="1314">
        <f>+AB160-AB219</f>
        <v>127677.69999999998</v>
      </c>
      <c r="AC222" s="1309"/>
      <c r="AD222" s="1314">
        <f>+AD160-AD219</f>
        <v>159625.57000000007</v>
      </c>
      <c r="AE222" s="1321"/>
      <c r="AF222" s="1314">
        <f>+AF160-AF219</f>
        <v>170557.40999999997</v>
      </c>
      <c r="AG222" s="1321"/>
      <c r="AH222" s="1314">
        <f>+AH160-AH219</f>
        <v>1756394.3699999999</v>
      </c>
      <c r="AI222" s="1304">
        <f>IF(AH$48=0,0,AH222/AH$48)</f>
        <v>0.39999343984971425</v>
      </c>
      <c r="AJ222" s="19"/>
    </row>
    <row r="223" spans="1:36" s="8" customFormat="1" ht="6.75" customHeight="1">
      <c r="A223" s="27"/>
      <c r="B223" s="2" t="s">
        <v>194</v>
      </c>
      <c r="C223" s="2"/>
      <c r="D223" s="1322"/>
      <c r="E223" s="1322"/>
      <c r="F223" s="1322"/>
      <c r="G223" s="1322"/>
      <c r="H223" s="1322"/>
      <c r="I223" s="1322"/>
      <c r="J223" s="1323"/>
      <c r="K223" s="1322"/>
      <c r="L223" s="1323"/>
      <c r="M223" s="1322"/>
      <c r="N223" s="1323"/>
      <c r="O223" s="1322"/>
      <c r="P223" s="1323"/>
      <c r="Q223" s="1322"/>
      <c r="R223" s="1323"/>
      <c r="S223" s="1322"/>
      <c r="T223" s="1323"/>
      <c r="U223" s="1322"/>
      <c r="V223" s="1323"/>
      <c r="W223" s="1322"/>
      <c r="X223" s="1323"/>
      <c r="Y223" s="1322"/>
      <c r="Z223" s="1323"/>
      <c r="AA223" s="1322"/>
      <c r="AB223" s="1323"/>
      <c r="AC223" s="1322"/>
      <c r="AD223" s="1323"/>
      <c r="AE223" s="1322"/>
      <c r="AF223" s="1323"/>
      <c r="AG223" s="1322"/>
      <c r="AH223" s="1323"/>
      <c r="AI223" s="1324"/>
      <c r="AJ223" s="15"/>
    </row>
    <row r="224" spans="1:36" s="8" customFormat="1" ht="15">
      <c r="A224" s="27"/>
      <c r="B224" s="2" t="s">
        <v>194</v>
      </c>
      <c r="C224" s="2"/>
      <c r="D224" s="1301"/>
      <c r="E224" s="1313" t="s">
        <v>271</v>
      </c>
      <c r="F224" s="1301"/>
      <c r="G224" s="1301"/>
      <c r="H224" s="1301"/>
      <c r="I224" s="1301"/>
      <c r="J224" s="1325">
        <f>J222 +J152+SUMIF($D:$D,52141,J:J)+SUMIF($D:$D,52142,J:J)+SUMIF($D:$D,52143,J:J)+SUMIF($D:$D,55142,J:J)+SUMIF($D:$D,56142,J:J)+SUMIF($D:$D,70142,J:J)</f>
        <v>169361.33000000002</v>
      </c>
      <c r="K224" s="1301"/>
      <c r="L224" s="1325">
        <f>L222 +L152+SUMIF($D:$D,52141,L:L)+SUMIF($D:$D,52142,L:L)+SUMIF($D:$D,52143,L:L)+SUMIF($D:$D,55142,L:L)+SUMIF($D:$D,56142,L:L)+SUMIF($D:$D,70142,L:L)</f>
        <v>178430.11999999997</v>
      </c>
      <c r="M224" s="1301"/>
      <c r="N224" s="1325">
        <f>N222 +N152+SUMIF($D:$D,52141,N:N)+SUMIF($D:$D,52142,N:N)+SUMIF($D:$D,52143,N:N)+SUMIF($D:$D,55142,N:N)+SUMIF($D:$D,56142,N:N)+SUMIF($D:$D,70142,N:N)</f>
        <v>179637.27</v>
      </c>
      <c r="O224" s="1301"/>
      <c r="P224" s="1325">
        <f>P222 +P152+SUMIF($D:$D,52141,P:P)+SUMIF($D:$D,52142,P:P)+SUMIF($D:$D,52143,P:P)+SUMIF($D:$D,55142,P:P)+SUMIF($D:$D,56142,P:P)+SUMIF($D:$D,70142,P:P)</f>
        <v>209390.54000000004</v>
      </c>
      <c r="Q224" s="1301"/>
      <c r="R224" s="1325">
        <f>R222 +R152+SUMIF($D:$D,52141,R:R)+SUMIF($D:$D,52142,R:R)+SUMIF($D:$D,52143,R:R)+SUMIF($D:$D,55142,R:R)+SUMIF($D:$D,56142,R:R)+SUMIF($D:$D,70142,R:R)</f>
        <v>158630.13</v>
      </c>
      <c r="S224" s="1301"/>
      <c r="T224" s="1325">
        <f>T222 +T152+SUMIF($D:$D,52141,T:T)+SUMIF($D:$D,52142,T:T)+SUMIF($D:$D,52143,T:T)+SUMIF($D:$D,55142,T:T)+SUMIF($D:$D,56142,T:T)+SUMIF($D:$D,70142,T:T)</f>
        <v>174707.62999999995</v>
      </c>
      <c r="U224" s="1301"/>
      <c r="V224" s="1325">
        <f>V222 +V152+SUMIF($D:$D,52141,V:V)+SUMIF($D:$D,52142,V:V)+SUMIF($D:$D,52143,V:V)+SUMIF($D:$D,55142,V:V)+SUMIF($D:$D,56142,V:V)+SUMIF($D:$D,70142,V:V)</f>
        <v>117061.38</v>
      </c>
      <c r="W224" s="1301"/>
      <c r="X224" s="1325">
        <f>X222 +X152+SUMIF($D:$D,52141,X:X)+SUMIF($D:$D,52142,X:X)+SUMIF($D:$D,52143,X:X)+SUMIF($D:$D,55142,X:X)+SUMIF($D:$D,56142,X:X)+SUMIF($D:$D,70142,X:X)</f>
        <v>143123.84</v>
      </c>
      <c r="Y224" s="1301"/>
      <c r="Z224" s="1325">
        <f>Z222 +Z152+SUMIF($D:$D,52141,Z:Z)+SUMIF($D:$D,52142,Z:Z)+SUMIF($D:$D,52143,Z:Z)+SUMIF($D:$D,55142,Z:Z)+SUMIF($D:$D,56142,Z:Z)+SUMIF($D:$D,70142,Z:Z)</f>
        <v>182524.08999999994</v>
      </c>
      <c r="AA224" s="1301"/>
      <c r="AB224" s="1325">
        <f>AB222 +AB152+SUMIF($D:$D,52141,AB:AB)+SUMIF($D:$D,52142,AB:AB)+SUMIF($D:$D,52143,AB:AB)+SUMIF($D:$D,55142,AB:AB)+SUMIF($D:$D,56142,AB:AB)+SUMIF($D:$D,70142,AB:AB)</f>
        <v>138012.68</v>
      </c>
      <c r="AC224" s="1301"/>
      <c r="AD224" s="1325">
        <f>AD222 +AD152+SUMIF($D:$D,52141,AD:AD)+SUMIF($D:$D,52142,AD:AD)+SUMIF($D:$D,52143,AD:AD)+SUMIF($D:$D,55142,AD:AD)+SUMIF($D:$D,56142,AD:AD)+SUMIF($D:$D,70142,AD:AD)</f>
        <v>179143.36000000004</v>
      </c>
      <c r="AE224" s="1301"/>
      <c r="AF224" s="1325">
        <f>AF222 +AF152+SUMIF($D:$D,52141,AF:AF)+SUMIF($D:$D,52142,AF:AF)+SUMIF($D:$D,52143,AF:AF)+SUMIF($D:$D,55142,AF:AF)+SUMIF($D:$D,56142,AF:AF)+SUMIF($D:$D,70142,AF:AF)</f>
        <v>182215.85999999996</v>
      </c>
      <c r="AG224" s="1301"/>
      <c r="AH224" s="1325">
        <f>AH222 +AH152+SUMIF($D:$D,52141,AH:AH)+SUMIF($D:$D,52142,AH:AH)+SUMIF($D:$D,52143,AH:AH)+SUMIF($D:$D,55142,AH:AH)+SUMIF($D:$D,56142,AH:AH)+SUMIF($D:$D,70142,AH:AH)</f>
        <v>2012238.2299999997</v>
      </c>
      <c r="AI224" s="1304">
        <f>IF(AH$48=0,0,AH224/AH$48)</f>
        <v>0.45825818230947779</v>
      </c>
      <c r="AJ224" s="19"/>
    </row>
    <row r="225" spans="1:36" s="8" customFormat="1" ht="6.75" customHeight="1">
      <c r="A225" s="13"/>
      <c r="B225" s="2" t="s">
        <v>194</v>
      </c>
      <c r="C225" s="2"/>
      <c r="D225" s="1301"/>
      <c r="E225" s="1301"/>
      <c r="F225" s="1301"/>
      <c r="G225" s="1301"/>
      <c r="H225" s="1301"/>
      <c r="I225" s="1301"/>
      <c r="J225" s="1310"/>
      <c r="K225" s="1310"/>
      <c r="L225" s="1310"/>
      <c r="M225" s="1310"/>
      <c r="N225" s="1310"/>
      <c r="O225" s="1310"/>
      <c r="P225" s="1310"/>
      <c r="Q225" s="1310"/>
      <c r="R225" s="1310"/>
      <c r="S225" s="1310"/>
      <c r="T225" s="1310"/>
      <c r="U225" s="1310"/>
      <c r="V225" s="1310"/>
      <c r="W225" s="1310"/>
      <c r="X225" s="1310"/>
      <c r="Y225" s="1310"/>
      <c r="Z225" s="1310"/>
      <c r="AA225" s="1310"/>
      <c r="AB225" s="1310"/>
      <c r="AC225" s="1310"/>
      <c r="AD225" s="1310"/>
      <c r="AE225" s="1310"/>
      <c r="AF225" s="1310"/>
      <c r="AG225" s="1310"/>
      <c r="AH225" s="1310"/>
      <c r="AI225" s="1324"/>
      <c r="AJ225" s="15"/>
    </row>
    <row r="226" spans="1:36" s="407" customFormat="1" outlineLevel="1">
      <c r="B226" s="24" t="s">
        <v>421</v>
      </c>
      <c r="D226" s="1298">
        <v>51260</v>
      </c>
      <c r="E226" s="1298" t="s">
        <v>272</v>
      </c>
      <c r="F226" s="1299"/>
      <c r="G226" s="1300"/>
      <c r="H226" s="1301"/>
      <c r="I226" s="1302"/>
      <c r="J226" s="1303">
        <v>20360.259999999998</v>
      </c>
      <c r="K226" s="1302"/>
      <c r="L226" s="1303">
        <v>20360.28</v>
      </c>
      <c r="M226" s="1302"/>
      <c r="N226" s="1303">
        <v>20360.21</v>
      </c>
      <c r="O226" s="1302"/>
      <c r="P226" s="1303">
        <v>20360.259999999998</v>
      </c>
      <c r="Q226" s="1302"/>
      <c r="R226" s="1303">
        <v>20360.240000000002</v>
      </c>
      <c r="S226" s="1302"/>
      <c r="T226" s="1303">
        <v>20360.21</v>
      </c>
      <c r="U226" s="1302"/>
      <c r="V226" s="1303">
        <v>20360.22</v>
      </c>
      <c r="W226" s="1302"/>
      <c r="X226" s="1303">
        <v>20360.25</v>
      </c>
      <c r="Y226" s="1302"/>
      <c r="Z226" s="1303">
        <v>23728.65</v>
      </c>
      <c r="AA226" s="1302"/>
      <c r="AB226" s="1303">
        <v>23728.65</v>
      </c>
      <c r="AC226" s="1302"/>
      <c r="AD226" s="1303">
        <v>23728.66</v>
      </c>
      <c r="AE226" s="1302"/>
      <c r="AF226" s="1303">
        <v>23728.59</v>
      </c>
      <c r="AG226" s="1302"/>
      <c r="AH226" s="1303">
        <f t="shared" ref="AH226:AH229" si="20">AF226+AD226+AB226+Z226+X226+V226+T226+R226+P226+N226+L226+J226</f>
        <v>257796.47999999998</v>
      </c>
      <c r="AI226" s="1304">
        <f t="shared" ref="AI226:AI229" si="21">IF(AH$48=0,0,AH226/AH$48)</f>
        <v>5.8709423451606749E-2</v>
      </c>
      <c r="AJ226" s="12"/>
    </row>
    <row r="227" spans="1:36" s="407" customFormat="1" outlineLevel="1">
      <c r="B227" s="24" t="s">
        <v>397</v>
      </c>
      <c r="D227" s="1298">
        <v>54260</v>
      </c>
      <c r="E227" s="1298" t="s">
        <v>272</v>
      </c>
      <c r="F227" s="1299"/>
      <c r="G227" s="1300"/>
      <c r="H227" s="1301"/>
      <c r="I227" s="1302"/>
      <c r="J227" s="1303">
        <v>3870</v>
      </c>
      <c r="K227" s="1302"/>
      <c r="L227" s="1303">
        <v>3870.03</v>
      </c>
      <c r="M227" s="1302"/>
      <c r="N227" s="1303">
        <v>3869.95</v>
      </c>
      <c r="O227" s="1302"/>
      <c r="P227" s="1303">
        <v>3869.97</v>
      </c>
      <c r="Q227" s="1302"/>
      <c r="R227" s="1303">
        <v>3870.06</v>
      </c>
      <c r="S227" s="1302"/>
      <c r="T227" s="1303">
        <v>3869.97</v>
      </c>
      <c r="U227" s="1302"/>
      <c r="V227" s="1303">
        <v>3869.98</v>
      </c>
      <c r="W227" s="1302"/>
      <c r="X227" s="1303">
        <v>3869.98</v>
      </c>
      <c r="Y227" s="1302"/>
      <c r="Z227" s="1303">
        <v>3797.01</v>
      </c>
      <c r="AA227" s="1302"/>
      <c r="AB227" s="1303">
        <v>3797</v>
      </c>
      <c r="AC227" s="1302"/>
      <c r="AD227" s="1303">
        <v>3797</v>
      </c>
      <c r="AE227" s="1302"/>
      <c r="AF227" s="1303">
        <v>3797.01</v>
      </c>
      <c r="AG227" s="1302"/>
      <c r="AH227" s="1303">
        <f t="shared" si="20"/>
        <v>46147.96</v>
      </c>
      <c r="AI227" s="1304">
        <f t="shared" si="21"/>
        <v>1.0509531104023648E-2</v>
      </c>
      <c r="AJ227" s="12"/>
    </row>
    <row r="228" spans="1:36" s="407" customFormat="1" outlineLevel="1">
      <c r="B228" s="24" t="s">
        <v>397</v>
      </c>
      <c r="D228" s="1298">
        <v>57260</v>
      </c>
      <c r="E228" s="1298" t="s">
        <v>272</v>
      </c>
      <c r="F228" s="1299"/>
      <c r="G228" s="1300"/>
      <c r="H228" s="1301"/>
      <c r="I228" s="1302"/>
      <c r="J228" s="1303">
        <v>25</v>
      </c>
      <c r="K228" s="1302"/>
      <c r="L228" s="1303">
        <v>25</v>
      </c>
      <c r="M228" s="1302"/>
      <c r="N228" s="1303">
        <v>25</v>
      </c>
      <c r="O228" s="1302"/>
      <c r="P228" s="1303">
        <v>25</v>
      </c>
      <c r="Q228" s="1302"/>
      <c r="R228" s="1303">
        <v>25</v>
      </c>
      <c r="S228" s="1302"/>
      <c r="T228" s="1303">
        <v>25</v>
      </c>
      <c r="U228" s="1302"/>
      <c r="V228" s="1303">
        <v>25</v>
      </c>
      <c r="W228" s="1302"/>
      <c r="X228" s="1303">
        <v>25</v>
      </c>
      <c r="Y228" s="1302"/>
      <c r="Z228" s="1303">
        <v>25</v>
      </c>
      <c r="AA228" s="1302"/>
      <c r="AB228" s="1303">
        <v>25</v>
      </c>
      <c r="AC228" s="1302"/>
      <c r="AD228" s="1303">
        <v>25</v>
      </c>
      <c r="AE228" s="1302"/>
      <c r="AF228" s="1303">
        <v>25</v>
      </c>
      <c r="AG228" s="1302"/>
      <c r="AH228" s="1303">
        <f t="shared" si="20"/>
        <v>300</v>
      </c>
      <c r="AI228" s="1304">
        <f t="shared" si="21"/>
        <v>6.8320665338339866E-5</v>
      </c>
      <c r="AJ228" s="12"/>
    </row>
    <row r="229" spans="1:36" s="407" customFormat="1" outlineLevel="1">
      <c r="B229" s="24" t="s">
        <v>397</v>
      </c>
      <c r="D229" s="1298">
        <v>70260</v>
      </c>
      <c r="E229" s="1298" t="s">
        <v>272</v>
      </c>
      <c r="F229" s="1299"/>
      <c r="G229" s="1300"/>
      <c r="H229" s="1301"/>
      <c r="I229" s="1302"/>
      <c r="J229" s="1303">
        <v>112.76</v>
      </c>
      <c r="K229" s="1302"/>
      <c r="L229" s="1303">
        <v>112.78</v>
      </c>
      <c r="M229" s="1302"/>
      <c r="N229" s="1303">
        <v>112.74</v>
      </c>
      <c r="O229" s="1302"/>
      <c r="P229" s="1303">
        <v>112.76</v>
      </c>
      <c r="Q229" s="1302"/>
      <c r="R229" s="1303">
        <v>112.75</v>
      </c>
      <c r="S229" s="1302"/>
      <c r="T229" s="1303">
        <v>112.76</v>
      </c>
      <c r="U229" s="1302"/>
      <c r="V229" s="1303">
        <v>112.74</v>
      </c>
      <c r="W229" s="1302"/>
      <c r="X229" s="1303">
        <v>112.76</v>
      </c>
      <c r="Y229" s="1302"/>
      <c r="Z229" s="1303">
        <v>58.08</v>
      </c>
      <c r="AA229" s="1302"/>
      <c r="AB229" s="1303">
        <v>58.07</v>
      </c>
      <c r="AC229" s="1302"/>
      <c r="AD229" s="1303">
        <v>58.08</v>
      </c>
      <c r="AE229" s="1302"/>
      <c r="AF229" s="1303">
        <v>58.07</v>
      </c>
      <c r="AG229" s="1302"/>
      <c r="AH229" s="1303">
        <f t="shared" si="20"/>
        <v>1134.3500000000001</v>
      </c>
      <c r="AI229" s="1304">
        <f t="shared" si="21"/>
        <v>2.5833182242181944E-4</v>
      </c>
      <c r="AJ229" s="12"/>
    </row>
    <row r="230" spans="1:36" s="8" customFormat="1" ht="5.0999999999999996" customHeight="1" outlineLevel="1">
      <c r="A230" s="13"/>
      <c r="B230" s="2" t="s">
        <v>194</v>
      </c>
      <c r="C230" s="2"/>
      <c r="D230" s="1299"/>
      <c r="E230" s="1299"/>
      <c r="F230" s="1299"/>
      <c r="G230" s="1299"/>
      <c r="H230" s="1301"/>
      <c r="I230" s="1301"/>
      <c r="J230" s="1311"/>
      <c r="K230" s="1310"/>
      <c r="L230" s="1311"/>
      <c r="M230" s="1310"/>
      <c r="N230" s="1311"/>
      <c r="O230" s="1310"/>
      <c r="P230" s="1311"/>
      <c r="Q230" s="1310"/>
      <c r="R230" s="1311"/>
      <c r="S230" s="1310"/>
      <c r="T230" s="1311"/>
      <c r="U230" s="1310"/>
      <c r="V230" s="1311"/>
      <c r="W230" s="1310"/>
      <c r="X230" s="1311"/>
      <c r="Y230" s="1310"/>
      <c r="Z230" s="1311"/>
      <c r="AA230" s="1310"/>
      <c r="AB230" s="1311"/>
      <c r="AC230" s="1310"/>
      <c r="AD230" s="1311"/>
      <c r="AE230" s="1310"/>
      <c r="AF230" s="1311"/>
      <c r="AG230" s="1310"/>
      <c r="AH230" s="1311"/>
      <c r="AI230" s="1324"/>
      <c r="AJ230" s="15"/>
    </row>
    <row r="231" spans="1:36" s="8" customFormat="1" ht="15">
      <c r="A231" s="13"/>
      <c r="B231" s="2" t="s">
        <v>194</v>
      </c>
      <c r="C231" s="2"/>
      <c r="D231" s="1301"/>
      <c r="E231" s="1301"/>
      <c r="F231" s="1299" t="s">
        <v>272</v>
      </c>
      <c r="G231" s="1301"/>
      <c r="H231" s="1301"/>
      <c r="I231" s="1301"/>
      <c r="J231" s="1308">
        <f>SUM(J226:J230)</f>
        <v>24368.019999999997</v>
      </c>
      <c r="K231" s="1310"/>
      <c r="L231" s="1308">
        <f>SUM(L226:L230)</f>
        <v>24368.089999999997</v>
      </c>
      <c r="M231" s="1310"/>
      <c r="N231" s="1308">
        <f>SUM(N226:N230)</f>
        <v>24367.9</v>
      </c>
      <c r="O231" s="1326">
        <f>IF(N$42=0,0,N231/N$42)</f>
        <v>0</v>
      </c>
      <c r="P231" s="1308">
        <f>SUM(P226:P230)</f>
        <v>24367.989999999998</v>
      </c>
      <c r="Q231" s="1310"/>
      <c r="R231" s="1308">
        <f>SUM(R226:R230)</f>
        <v>24368.050000000003</v>
      </c>
      <c r="S231" s="1310"/>
      <c r="T231" s="1308">
        <f>SUM(T226:T230)</f>
        <v>24367.94</v>
      </c>
      <c r="U231" s="1326">
        <f>IF(T$42=0,0,T231/T$42)</f>
        <v>0</v>
      </c>
      <c r="V231" s="1308">
        <f>SUM(V226:V230)</f>
        <v>24367.940000000002</v>
      </c>
      <c r="W231" s="1310"/>
      <c r="X231" s="1308">
        <f>SUM(X226:X230)</f>
        <v>24367.989999999998</v>
      </c>
      <c r="Y231" s="1310"/>
      <c r="Z231" s="1308">
        <f>SUM(Z226:Z230)</f>
        <v>27608.740000000005</v>
      </c>
      <c r="AA231" s="1326">
        <f>IF(Z$42=0,0,Z231/Z$42)</f>
        <v>0</v>
      </c>
      <c r="AB231" s="1308">
        <f>SUM(AB226:AB230)</f>
        <v>27608.720000000001</v>
      </c>
      <c r="AC231" s="1310"/>
      <c r="AD231" s="1308">
        <f>SUM(AD226:AD230)</f>
        <v>27608.74</v>
      </c>
      <c r="AE231" s="1310"/>
      <c r="AF231" s="1308">
        <f>SUM(AF226:AF230)</f>
        <v>27608.67</v>
      </c>
      <c r="AG231" s="1326">
        <f>IF(AF$42=0,0,AF231/AF$42)</f>
        <v>0</v>
      </c>
      <c r="AH231" s="1308">
        <f>SUM(J231,L231,N231,P231,R231,T231,V231,X231,Z231,AB231,AD231,AF231)</f>
        <v>305378.78999999998</v>
      </c>
      <c r="AI231" s="1304">
        <f>IF(AH$48=0,0,AH231/AH$48)</f>
        <v>6.954560704339055E-2</v>
      </c>
      <c r="AJ231" s="15"/>
    </row>
    <row r="232" spans="1:36" s="8" customFormat="1" ht="15" outlineLevel="1">
      <c r="A232" s="13"/>
      <c r="B232" s="2" t="s">
        <v>194</v>
      </c>
      <c r="C232" s="2"/>
      <c r="D232" s="1301"/>
      <c r="E232" s="1301"/>
      <c r="F232" s="1299"/>
      <c r="G232" s="1301"/>
      <c r="H232" s="1301"/>
      <c r="I232" s="1301"/>
      <c r="J232" s="1310"/>
      <c r="K232" s="1310"/>
      <c r="L232" s="1310"/>
      <c r="M232" s="1310"/>
      <c r="N232" s="1310"/>
      <c r="O232" s="1324"/>
      <c r="P232" s="1310"/>
      <c r="Q232" s="1310"/>
      <c r="R232" s="1310"/>
      <c r="S232" s="1310"/>
      <c r="T232" s="1310"/>
      <c r="U232" s="1324"/>
      <c r="V232" s="1310"/>
      <c r="W232" s="1310"/>
      <c r="X232" s="1310"/>
      <c r="Y232" s="1310"/>
      <c r="Z232" s="1310"/>
      <c r="AA232" s="1324"/>
      <c r="AB232" s="1310"/>
      <c r="AC232" s="1310"/>
      <c r="AD232" s="1310"/>
      <c r="AE232" s="1310"/>
      <c r="AF232" s="1310"/>
      <c r="AG232" s="1324"/>
      <c r="AH232" s="1310"/>
      <c r="AI232" s="1324"/>
      <c r="AJ232" s="15"/>
    </row>
    <row r="233" spans="1:36" s="407" customFormat="1" outlineLevel="1">
      <c r="B233" s="24" t="s">
        <v>422</v>
      </c>
      <c r="D233" s="1298"/>
      <c r="E233" s="1298"/>
      <c r="F233" s="1299"/>
      <c r="G233" s="1300"/>
      <c r="H233" s="1301"/>
      <c r="I233" s="1302"/>
      <c r="J233" s="1303"/>
      <c r="K233" s="1302"/>
      <c r="L233" s="1303"/>
      <c r="M233" s="1302"/>
      <c r="N233" s="1303"/>
      <c r="O233" s="1302"/>
      <c r="P233" s="1303"/>
      <c r="Q233" s="1302"/>
      <c r="R233" s="1303"/>
      <c r="S233" s="1302"/>
      <c r="T233" s="1303"/>
      <c r="U233" s="1302"/>
      <c r="V233" s="1303"/>
      <c r="W233" s="1302"/>
      <c r="X233" s="1303"/>
      <c r="Y233" s="1302"/>
      <c r="Z233" s="1303"/>
      <c r="AA233" s="1302"/>
      <c r="AB233" s="1303"/>
      <c r="AC233" s="1302"/>
      <c r="AD233" s="1303"/>
      <c r="AE233" s="1302"/>
      <c r="AF233" s="1303"/>
      <c r="AG233" s="1302"/>
      <c r="AH233" s="1303">
        <f>AF233+AD233+AB233+Z233+X233+V233+T233+R233+P233+N233+L233+J233</f>
        <v>0</v>
      </c>
      <c r="AI233" s="1304">
        <f>IF(AH$48=0,0,AH233/AH$48)</f>
        <v>0</v>
      </c>
      <c r="AJ233" s="12"/>
    </row>
    <row r="234" spans="1:36" s="8" customFormat="1" ht="5.0999999999999996" customHeight="1" outlineLevel="1">
      <c r="A234" s="13"/>
      <c r="B234" s="2" t="s">
        <v>194</v>
      </c>
      <c r="C234" s="2"/>
      <c r="D234" s="1299"/>
      <c r="E234" s="1299"/>
      <c r="F234" s="1299"/>
      <c r="G234" s="1299"/>
      <c r="H234" s="1301"/>
      <c r="I234" s="1301"/>
      <c r="J234" s="1311"/>
      <c r="K234" s="1310"/>
      <c r="L234" s="1311"/>
      <c r="M234" s="1310"/>
      <c r="N234" s="1311"/>
      <c r="O234" s="1324"/>
      <c r="P234" s="1311"/>
      <c r="Q234" s="1310"/>
      <c r="R234" s="1311"/>
      <c r="S234" s="1310"/>
      <c r="T234" s="1311"/>
      <c r="U234" s="1324"/>
      <c r="V234" s="1311"/>
      <c r="W234" s="1310"/>
      <c r="X234" s="1311"/>
      <c r="Y234" s="1310"/>
      <c r="Z234" s="1311"/>
      <c r="AA234" s="1324"/>
      <c r="AB234" s="1311"/>
      <c r="AC234" s="1310"/>
      <c r="AD234" s="1311"/>
      <c r="AE234" s="1310"/>
      <c r="AF234" s="1311"/>
      <c r="AG234" s="1324"/>
      <c r="AH234" s="1311"/>
      <c r="AI234" s="1324"/>
      <c r="AJ234" s="15"/>
    </row>
    <row r="235" spans="1:36" s="8" customFormat="1" ht="15">
      <c r="A235" s="13"/>
      <c r="B235" s="2" t="s">
        <v>194</v>
      </c>
      <c r="C235" s="2"/>
      <c r="D235" s="1301"/>
      <c r="E235" s="1301"/>
      <c r="F235" s="1298" t="s">
        <v>273</v>
      </c>
      <c r="G235" s="1301"/>
      <c r="H235" s="1301"/>
      <c r="I235" s="1301"/>
      <c r="J235" s="1308">
        <f>SUM(J233:J234)</f>
        <v>0</v>
      </c>
      <c r="K235" s="1310"/>
      <c r="L235" s="1308">
        <f>SUM(L233:L234)</f>
        <v>0</v>
      </c>
      <c r="M235" s="1310"/>
      <c r="N235" s="1308">
        <f>SUM(N233:N234)</f>
        <v>0</v>
      </c>
      <c r="O235" s="1326">
        <f>IF(N$42=0,0,N235/N$42)</f>
        <v>0</v>
      </c>
      <c r="P235" s="1308">
        <f>SUM(P233:P234)</f>
        <v>0</v>
      </c>
      <c r="Q235" s="1310"/>
      <c r="R235" s="1308">
        <f>SUM(R233:R234)</f>
        <v>0</v>
      </c>
      <c r="S235" s="1310"/>
      <c r="T235" s="1308">
        <f>SUM(T233:T234)</f>
        <v>0</v>
      </c>
      <c r="U235" s="1326">
        <f>IF(T$42=0,0,T235/T$42)</f>
        <v>0</v>
      </c>
      <c r="V235" s="1308">
        <f>SUM(V233:V234)</f>
        <v>0</v>
      </c>
      <c r="W235" s="1310"/>
      <c r="X235" s="1308">
        <f>SUM(X233:X234)</f>
        <v>0</v>
      </c>
      <c r="Y235" s="1310"/>
      <c r="Z235" s="1308">
        <f>SUM(Z233:Z234)</f>
        <v>0</v>
      </c>
      <c r="AA235" s="1326">
        <f>IF(Z$42=0,0,Z235/Z$42)</f>
        <v>0</v>
      </c>
      <c r="AB235" s="1308">
        <f>SUM(AB233:AB234)</f>
        <v>0</v>
      </c>
      <c r="AC235" s="1310"/>
      <c r="AD235" s="1308">
        <f>SUM(AD233:AD234)</f>
        <v>0</v>
      </c>
      <c r="AE235" s="1310"/>
      <c r="AF235" s="1308">
        <f>SUM(AF233:AF234)</f>
        <v>0</v>
      </c>
      <c r="AG235" s="1326">
        <f>IF(AF$42=0,0,AF235/AF$42)</f>
        <v>0</v>
      </c>
      <c r="AH235" s="1308">
        <f>SUM(J235,L235,N235)</f>
        <v>0</v>
      </c>
      <c r="AI235" s="1304">
        <f>IF(AH$48=0,0,AH235/AH$48)</f>
        <v>0</v>
      </c>
      <c r="AJ235" s="15"/>
    </row>
    <row r="236" spans="1:36" s="8" customFormat="1" ht="15" outlineLevel="1">
      <c r="A236" s="13"/>
      <c r="B236" s="2" t="s">
        <v>194</v>
      </c>
      <c r="C236" s="2"/>
      <c r="D236" s="1301"/>
      <c r="E236" s="1301"/>
      <c r="F236" s="1301"/>
      <c r="G236" s="1301"/>
      <c r="H236" s="1301"/>
      <c r="I236" s="1301"/>
      <c r="J236" s="1310"/>
      <c r="K236" s="1310"/>
      <c r="L236" s="1310"/>
      <c r="M236" s="1310"/>
      <c r="N236" s="1310"/>
      <c r="O236" s="1324"/>
      <c r="P236" s="1310"/>
      <c r="Q236" s="1310"/>
      <c r="R236" s="1310"/>
      <c r="S236" s="1310"/>
      <c r="T236" s="1310"/>
      <c r="U236" s="1324"/>
      <c r="V236" s="1310"/>
      <c r="W236" s="1310"/>
      <c r="X236" s="1310"/>
      <c r="Y236" s="1310"/>
      <c r="Z236" s="1310"/>
      <c r="AA236" s="1324"/>
      <c r="AB236" s="1310"/>
      <c r="AC236" s="1310"/>
      <c r="AD236" s="1310"/>
      <c r="AE236" s="1310"/>
      <c r="AF236" s="1310"/>
      <c r="AG236" s="1324"/>
      <c r="AH236" s="1310"/>
      <c r="AI236" s="1324"/>
      <c r="AJ236" s="15"/>
    </row>
    <row r="237" spans="1:36" s="407" customFormat="1" outlineLevel="1">
      <c r="B237" s="24" t="s">
        <v>423</v>
      </c>
      <c r="D237" s="1298">
        <v>70264</v>
      </c>
      <c r="E237" s="1298" t="s">
        <v>156</v>
      </c>
      <c r="F237" s="1299"/>
      <c r="G237" s="1300"/>
      <c r="H237" s="1301"/>
      <c r="I237" s="1302"/>
      <c r="J237" s="1303">
        <v>38949.879999999997</v>
      </c>
      <c r="K237" s="1302"/>
      <c r="L237" s="1303">
        <v>38949.879999999997</v>
      </c>
      <c r="M237" s="1302"/>
      <c r="N237" s="1303">
        <v>38949.879999999997</v>
      </c>
      <c r="O237" s="1302"/>
      <c r="P237" s="1303">
        <v>38949.870000000003</v>
      </c>
      <c r="Q237" s="1302"/>
      <c r="R237" s="1303">
        <v>38949.879999999997</v>
      </c>
      <c r="S237" s="1302"/>
      <c r="T237" s="1303">
        <v>38949.870000000003</v>
      </c>
      <c r="U237" s="1302"/>
      <c r="V237" s="1303">
        <v>0</v>
      </c>
      <c r="W237" s="1302"/>
      <c r="X237" s="1303">
        <v>0</v>
      </c>
      <c r="Y237" s="1302"/>
      <c r="Z237" s="1303">
        <v>0</v>
      </c>
      <c r="AA237" s="1302"/>
      <c r="AB237" s="1303">
        <v>0</v>
      </c>
      <c r="AC237" s="1302"/>
      <c r="AD237" s="1303">
        <v>0</v>
      </c>
      <c r="AE237" s="1302"/>
      <c r="AF237" s="1303">
        <v>0</v>
      </c>
      <c r="AG237" s="1302"/>
      <c r="AH237" s="1303">
        <f>AF237+AD237+AB237+Z237+X237+V237+T237+R237+P237+N237+L237+J237</f>
        <v>233699.26</v>
      </c>
      <c r="AI237" s="1304">
        <f>IF(AH$48=0,0,AH237/AH$48)</f>
        <v>5.322162977425892E-2</v>
      </c>
      <c r="AJ237" s="12"/>
    </row>
    <row r="238" spans="1:36" s="8" customFormat="1" ht="5.0999999999999996" customHeight="1" outlineLevel="1">
      <c r="A238" s="13"/>
      <c r="B238" s="16" t="s">
        <v>194</v>
      </c>
      <c r="C238" s="16"/>
      <c r="D238" s="1299"/>
      <c r="E238" s="1299"/>
      <c r="F238" s="1299"/>
      <c r="G238" s="1299"/>
      <c r="H238" s="1301"/>
      <c r="I238" s="1301"/>
      <c r="J238" s="1311"/>
      <c r="K238" s="1310"/>
      <c r="L238" s="1311"/>
      <c r="M238" s="1310"/>
      <c r="N238" s="1311"/>
      <c r="O238" s="1324"/>
      <c r="P238" s="1311"/>
      <c r="Q238" s="1310"/>
      <c r="R238" s="1311"/>
      <c r="S238" s="1310"/>
      <c r="T238" s="1311"/>
      <c r="U238" s="1324"/>
      <c r="V238" s="1311"/>
      <c r="W238" s="1310"/>
      <c r="X238" s="1311"/>
      <c r="Y238" s="1310"/>
      <c r="Z238" s="1311"/>
      <c r="AA238" s="1324"/>
      <c r="AB238" s="1311"/>
      <c r="AC238" s="1310"/>
      <c r="AD238" s="1311"/>
      <c r="AE238" s="1310"/>
      <c r="AF238" s="1311"/>
      <c r="AG238" s="1324"/>
      <c r="AH238" s="1311"/>
      <c r="AI238" s="1324"/>
      <c r="AJ238" s="15"/>
    </row>
    <row r="239" spans="1:36" s="8" customFormat="1" ht="15">
      <c r="A239" s="13"/>
      <c r="B239" s="16" t="s">
        <v>194</v>
      </c>
      <c r="C239" s="16"/>
      <c r="D239" s="1301"/>
      <c r="E239" s="1301"/>
      <c r="F239" s="1299" t="s">
        <v>274</v>
      </c>
      <c r="G239" s="1301"/>
      <c r="H239" s="1301"/>
      <c r="I239" s="1301"/>
      <c r="J239" s="1308">
        <f>SUM(J237:J238)</f>
        <v>38949.879999999997</v>
      </c>
      <c r="K239" s="1310"/>
      <c r="L239" s="1308">
        <f>SUM(L237:L238)</f>
        <v>38949.879999999997</v>
      </c>
      <c r="M239" s="1310"/>
      <c r="N239" s="1308">
        <f>SUM(N237:N238)</f>
        <v>38949.879999999997</v>
      </c>
      <c r="O239" s="1326">
        <f>IF(N$42=0,0,N239/N$42)</f>
        <v>0</v>
      </c>
      <c r="P239" s="1308">
        <f>SUM(P237:P238)</f>
        <v>38949.870000000003</v>
      </c>
      <c r="Q239" s="1310"/>
      <c r="R239" s="1308">
        <f>SUM(R237:R238)</f>
        <v>38949.879999999997</v>
      </c>
      <c r="S239" s="1310"/>
      <c r="T239" s="1308">
        <f>SUM(T237:T238)</f>
        <v>38949.870000000003</v>
      </c>
      <c r="U239" s="1326">
        <f>IF(T$42=0,0,T239/T$42)</f>
        <v>0</v>
      </c>
      <c r="V239" s="1308">
        <f>SUM(V237:V238)</f>
        <v>0</v>
      </c>
      <c r="W239" s="1310"/>
      <c r="X239" s="1308">
        <f>SUM(X237:X238)</f>
        <v>0</v>
      </c>
      <c r="Y239" s="1310"/>
      <c r="Z239" s="1308">
        <f>SUM(Z237:Z238)</f>
        <v>0</v>
      </c>
      <c r="AA239" s="1326">
        <f>IF(Z$42=0,0,Z239/Z$42)</f>
        <v>0</v>
      </c>
      <c r="AB239" s="1308">
        <f>SUM(AB237:AB238)</f>
        <v>0</v>
      </c>
      <c r="AC239" s="1310"/>
      <c r="AD239" s="1308">
        <f>SUM(AD237:AD238)</f>
        <v>0</v>
      </c>
      <c r="AE239" s="1310"/>
      <c r="AF239" s="1308">
        <f>SUM(AF237:AF238)</f>
        <v>0</v>
      </c>
      <c r="AG239" s="1326">
        <f>IF(AF$42=0,0,AF239/AF$42)</f>
        <v>0</v>
      </c>
      <c r="AH239" s="1308">
        <f>SUM(J239,L239,N239,P239,R239,T239,V239,X239,Z239,AB239,AD239,AF239)</f>
        <v>233699.25999999998</v>
      </c>
      <c r="AI239" s="1304">
        <f>IF(AH$48=0,0,AH239/AH$48)</f>
        <v>5.3221629774258913E-2</v>
      </c>
      <c r="AJ239" s="15"/>
    </row>
    <row r="240" spans="1:36" s="8" customFormat="1" ht="6.75" customHeight="1">
      <c r="A240" s="13"/>
      <c r="B240" s="16" t="s">
        <v>194</v>
      </c>
      <c r="C240" s="16"/>
      <c r="D240" s="1301"/>
      <c r="E240" s="1301"/>
      <c r="F240" s="1301"/>
      <c r="G240" s="1301"/>
      <c r="H240" s="1301"/>
      <c r="I240" s="1301"/>
      <c r="J240" s="1310"/>
      <c r="K240" s="1310"/>
      <c r="L240" s="1310"/>
      <c r="M240" s="1310"/>
      <c r="N240" s="1310"/>
      <c r="O240" s="1324"/>
      <c r="P240" s="1310"/>
      <c r="Q240" s="1310"/>
      <c r="R240" s="1310"/>
      <c r="S240" s="1310"/>
      <c r="T240" s="1310"/>
      <c r="U240" s="1324"/>
      <c r="V240" s="1310"/>
      <c r="W240" s="1310"/>
      <c r="X240" s="1310"/>
      <c r="Y240" s="1310"/>
      <c r="Z240" s="1310"/>
      <c r="AA240" s="1324"/>
      <c r="AB240" s="1310"/>
      <c r="AC240" s="1310"/>
      <c r="AD240" s="1310"/>
      <c r="AE240" s="1310"/>
      <c r="AF240" s="1310"/>
      <c r="AG240" s="1324"/>
      <c r="AH240" s="1310"/>
      <c r="AI240" s="1324"/>
      <c r="AJ240" s="15"/>
    </row>
    <row r="241" spans="1:36" s="8" customFormat="1" ht="15">
      <c r="A241" s="13"/>
      <c r="B241" s="16" t="s">
        <v>194</v>
      </c>
      <c r="C241" s="16"/>
      <c r="D241" s="1301"/>
      <c r="E241" s="1313" t="s">
        <v>275</v>
      </c>
      <c r="F241" s="1301"/>
      <c r="G241" s="1301"/>
      <c r="H241" s="1301"/>
      <c r="I241" s="1301"/>
      <c r="J241" s="1314">
        <f>+J231+J235+J239</f>
        <v>63317.899999999994</v>
      </c>
      <c r="K241" s="1310"/>
      <c r="L241" s="1314">
        <f>+L231+L235+L239</f>
        <v>63317.969999999994</v>
      </c>
      <c r="M241" s="1310"/>
      <c r="N241" s="1314">
        <f>+N231+N235+N239</f>
        <v>63317.78</v>
      </c>
      <c r="O241" s="1326">
        <f>IF(N$42=0,0,N241/N$42)</f>
        <v>0</v>
      </c>
      <c r="P241" s="1314">
        <f>+P231+P235+P239</f>
        <v>63317.86</v>
      </c>
      <c r="Q241" s="1310"/>
      <c r="R241" s="1314">
        <f>+R231+R235+R239</f>
        <v>63317.93</v>
      </c>
      <c r="S241" s="1310"/>
      <c r="T241" s="1314">
        <f>+T231+T235+T239</f>
        <v>63317.81</v>
      </c>
      <c r="U241" s="1326">
        <f>IF(T$42=0,0,T241/T$42)</f>
        <v>0</v>
      </c>
      <c r="V241" s="1314">
        <f>+V231+V235+V239</f>
        <v>24367.940000000002</v>
      </c>
      <c r="W241" s="1310"/>
      <c r="X241" s="1314">
        <f>+X231+X235+X239</f>
        <v>24367.989999999998</v>
      </c>
      <c r="Y241" s="1310"/>
      <c r="Z241" s="1314">
        <f>+Z231+Z235+Z239</f>
        <v>27608.740000000005</v>
      </c>
      <c r="AA241" s="1326">
        <f>IF(Z$42=0,0,Z241/Z$42)</f>
        <v>0</v>
      </c>
      <c r="AB241" s="1314">
        <f>+AB231+AB235+AB239</f>
        <v>27608.720000000001</v>
      </c>
      <c r="AC241" s="1310"/>
      <c r="AD241" s="1314">
        <f>+AD231+AD235+AD239</f>
        <v>27608.74</v>
      </c>
      <c r="AE241" s="1310"/>
      <c r="AF241" s="1314">
        <f>+AF231+AF235+AF239</f>
        <v>27608.67</v>
      </c>
      <c r="AG241" s="1326">
        <f>IF(AF$42=0,0,AF241/AF$42)</f>
        <v>0</v>
      </c>
      <c r="AH241" s="1314">
        <f>+AH231+AH235+AH239</f>
        <v>539078.04999999993</v>
      </c>
      <c r="AI241" s="1304">
        <f>IF(AH$48=0,0,AH241/AH$48)</f>
        <v>0.12276723681764946</v>
      </c>
      <c r="AJ241" s="15"/>
    </row>
    <row r="242" spans="1:36" s="8" customFormat="1" ht="6.75" customHeight="1">
      <c r="A242" s="13"/>
      <c r="B242" s="16" t="s">
        <v>194</v>
      </c>
      <c r="C242" s="16"/>
      <c r="D242" s="1301"/>
      <c r="E242" s="1301"/>
      <c r="F242" s="1301"/>
      <c r="G242" s="1301"/>
      <c r="H242" s="1301"/>
      <c r="I242" s="1301"/>
      <c r="J242" s="1310"/>
      <c r="K242" s="1310"/>
      <c r="L242" s="1310"/>
      <c r="M242" s="1310"/>
      <c r="N242" s="1310"/>
      <c r="O242" s="1324"/>
      <c r="P242" s="1310"/>
      <c r="Q242" s="1310"/>
      <c r="R242" s="1310"/>
      <c r="S242" s="1310"/>
      <c r="T242" s="1310"/>
      <c r="U242" s="1324"/>
      <c r="V242" s="1310"/>
      <c r="W242" s="1310"/>
      <c r="X242" s="1310"/>
      <c r="Y242" s="1310"/>
      <c r="Z242" s="1310"/>
      <c r="AA242" s="1324"/>
      <c r="AB242" s="1310"/>
      <c r="AC242" s="1310"/>
      <c r="AD242" s="1310"/>
      <c r="AE242" s="1310"/>
      <c r="AF242" s="1310"/>
      <c r="AG242" s="1324"/>
      <c r="AH242" s="1310"/>
      <c r="AI242" s="1324"/>
      <c r="AJ242" s="15"/>
    </row>
    <row r="243" spans="1:36" s="8" customFormat="1" ht="15">
      <c r="A243" s="13"/>
      <c r="B243" s="16" t="s">
        <v>194</v>
      </c>
      <c r="C243" s="16"/>
      <c r="D243" s="1301"/>
      <c r="E243" s="1316" t="s">
        <v>276</v>
      </c>
      <c r="F243" s="1301"/>
      <c r="G243" s="1301"/>
      <c r="H243" s="1301"/>
      <c r="I243" s="1301"/>
      <c r="J243" s="1314">
        <f>+J222-J241</f>
        <v>52586.580000000016</v>
      </c>
      <c r="K243" s="1310"/>
      <c r="L243" s="1314">
        <f>+L222-L241</f>
        <v>96447.589999999967</v>
      </c>
      <c r="M243" s="1310"/>
      <c r="N243" s="1314">
        <f>+N222-N241</f>
        <v>90420.170000000013</v>
      </c>
      <c r="O243" s="1326">
        <f>IF(N$42=0,0,N243/N$42)</f>
        <v>0</v>
      </c>
      <c r="P243" s="1314">
        <f>+P222-P241</f>
        <v>118476.68000000004</v>
      </c>
      <c r="Q243" s="1310"/>
      <c r="R243" s="1314">
        <f>+R222-R241</f>
        <v>76079.859999999986</v>
      </c>
      <c r="S243" s="1310"/>
      <c r="T243" s="1314">
        <f>+T222-T241</f>
        <v>89494.51999999996</v>
      </c>
      <c r="U243" s="1326">
        <f>IF(T$42=0,0,T243/T$42)</f>
        <v>0</v>
      </c>
      <c r="V243" s="1314">
        <f>+V222-V241</f>
        <v>75767.360000000001</v>
      </c>
      <c r="W243" s="1310"/>
      <c r="X243" s="1314">
        <f>+X222-X241</f>
        <v>101737.06</v>
      </c>
      <c r="Y243" s="1310"/>
      <c r="Z243" s="1314">
        <f>+Z222-Z241</f>
        <v>141271.94999999995</v>
      </c>
      <c r="AA243" s="1326">
        <f>IF(Z$42=0,0,Z243/Z$42)</f>
        <v>0</v>
      </c>
      <c r="AB243" s="1314">
        <f>+AB222-AB241</f>
        <v>100068.97999999998</v>
      </c>
      <c r="AC243" s="1310"/>
      <c r="AD243" s="1314">
        <f>+AD222-AD241</f>
        <v>132016.83000000007</v>
      </c>
      <c r="AE243" s="1310"/>
      <c r="AF243" s="1314">
        <f>+AF222-AF241</f>
        <v>142948.74</v>
      </c>
      <c r="AG243" s="1326">
        <f>IF(AF$42=0,0,AF243/AF$42)</f>
        <v>0</v>
      </c>
      <c r="AH243" s="1314">
        <f>+AH222-AH241</f>
        <v>1217316.3199999998</v>
      </c>
      <c r="AI243" s="1304">
        <f>IF(AH$48=0,0,AH243/AH$48)</f>
        <v>0.27722620303206474</v>
      </c>
      <c r="AJ243" s="15"/>
    </row>
    <row r="244" spans="1:36" s="8" customFormat="1" ht="6.75" customHeight="1">
      <c r="A244" s="13"/>
      <c r="B244" s="16" t="s">
        <v>194</v>
      </c>
      <c r="C244" s="16"/>
      <c r="D244" s="1301"/>
      <c r="E244" s="1301"/>
      <c r="F244" s="1301"/>
      <c r="G244" s="1301"/>
      <c r="H244" s="1301"/>
      <c r="I244" s="1301"/>
      <c r="J244" s="1310"/>
      <c r="K244" s="1310"/>
      <c r="L244" s="1310"/>
      <c r="M244" s="1310"/>
      <c r="N244" s="1310"/>
      <c r="O244" s="1324"/>
      <c r="P244" s="1310"/>
      <c r="Q244" s="1310"/>
      <c r="R244" s="1310"/>
      <c r="S244" s="1310"/>
      <c r="T244" s="1310"/>
      <c r="U244" s="1324"/>
      <c r="V244" s="1310"/>
      <c r="W244" s="1310"/>
      <c r="X244" s="1310"/>
      <c r="Y244" s="1310"/>
      <c r="Z244" s="1310"/>
      <c r="AA244" s="1324"/>
      <c r="AB244" s="1310"/>
      <c r="AC244" s="1310"/>
      <c r="AD244" s="1310"/>
      <c r="AE244" s="1310"/>
      <c r="AF244" s="1310"/>
      <c r="AG244" s="1324"/>
      <c r="AH244" s="1310"/>
      <c r="AI244" s="1324"/>
      <c r="AJ244" s="15"/>
    </row>
    <row r="245" spans="1:36" s="407" customFormat="1" outlineLevel="1">
      <c r="B245" s="24" t="s">
        <v>424</v>
      </c>
      <c r="D245" s="1298"/>
      <c r="E245" s="1298"/>
      <c r="F245" s="1299"/>
      <c r="G245" s="1300"/>
      <c r="H245" s="1301"/>
      <c r="I245" s="1302"/>
      <c r="J245" s="1303"/>
      <c r="K245" s="1302"/>
      <c r="L245" s="1303"/>
      <c r="M245" s="1302"/>
      <c r="N245" s="1303"/>
      <c r="O245" s="1302"/>
      <c r="P245" s="1303"/>
      <c r="Q245" s="1302"/>
      <c r="R245" s="1303"/>
      <c r="S245" s="1302"/>
      <c r="T245" s="1303"/>
      <c r="U245" s="1302"/>
      <c r="V245" s="1303"/>
      <c r="W245" s="1302"/>
      <c r="X245" s="1303"/>
      <c r="Y245" s="1302"/>
      <c r="Z245" s="1303"/>
      <c r="AA245" s="1302"/>
      <c r="AB245" s="1303"/>
      <c r="AC245" s="1302"/>
      <c r="AD245" s="1303"/>
      <c r="AE245" s="1302"/>
      <c r="AF245" s="1303"/>
      <c r="AG245" s="1302"/>
      <c r="AH245" s="1303">
        <f>AF245+AD245+AB245+Z245+X245+V245+T245+R245+P245+N245+L245+J245</f>
        <v>0</v>
      </c>
      <c r="AI245" s="1304">
        <f>IF(AH$48=0,0,AH245/AH$48)</f>
        <v>0</v>
      </c>
      <c r="AJ245" s="12"/>
    </row>
    <row r="246" spans="1:36" s="8" customFormat="1" ht="5.0999999999999996" customHeight="1" outlineLevel="1">
      <c r="A246" s="13"/>
      <c r="B246" s="16" t="s">
        <v>194</v>
      </c>
      <c r="C246" s="16"/>
      <c r="D246" s="1299"/>
      <c r="E246" s="1299"/>
      <c r="F246" s="1299"/>
      <c r="G246" s="1299"/>
      <c r="H246" s="1301"/>
      <c r="I246" s="1301"/>
      <c r="J246" s="1311"/>
      <c r="K246" s="1310"/>
      <c r="L246" s="1311"/>
      <c r="M246" s="1310"/>
      <c r="N246" s="1311"/>
      <c r="O246" s="1324"/>
      <c r="P246" s="1311"/>
      <c r="Q246" s="1310"/>
      <c r="R246" s="1311"/>
      <c r="S246" s="1310"/>
      <c r="T246" s="1311"/>
      <c r="U246" s="1324"/>
      <c r="V246" s="1311"/>
      <c r="W246" s="1310"/>
      <c r="X246" s="1311"/>
      <c r="Y246" s="1310"/>
      <c r="Z246" s="1311"/>
      <c r="AA246" s="1324"/>
      <c r="AB246" s="1311"/>
      <c r="AC246" s="1310"/>
      <c r="AD246" s="1311"/>
      <c r="AE246" s="1310"/>
      <c r="AF246" s="1311"/>
      <c r="AG246" s="1324"/>
      <c r="AH246" s="1311"/>
      <c r="AI246" s="1324"/>
      <c r="AJ246" s="15"/>
    </row>
    <row r="247" spans="1:36" s="8" customFormat="1" ht="15">
      <c r="A247" s="13"/>
      <c r="B247" s="16" t="s">
        <v>194</v>
      </c>
      <c r="C247" s="16"/>
      <c r="D247" s="1301"/>
      <c r="E247" s="1301"/>
      <c r="F247" s="1299" t="s">
        <v>277</v>
      </c>
      <c r="G247" s="1301"/>
      <c r="H247" s="1301"/>
      <c r="I247" s="1301"/>
      <c r="J247" s="1308">
        <f>SUM(J245:J246)</f>
        <v>0</v>
      </c>
      <c r="K247" s="1310"/>
      <c r="L247" s="1308">
        <f>SUM(L245:L246)</f>
        <v>0</v>
      </c>
      <c r="M247" s="1310"/>
      <c r="N247" s="1308">
        <f>SUM(N245:N246)</f>
        <v>0</v>
      </c>
      <c r="O247" s="1326">
        <f>IF(N$42=0,0,N247/N$42)</f>
        <v>0</v>
      </c>
      <c r="P247" s="1308">
        <f>SUM(P245:P246)</f>
        <v>0</v>
      </c>
      <c r="Q247" s="1310"/>
      <c r="R247" s="1308">
        <f>SUM(R245:R246)</f>
        <v>0</v>
      </c>
      <c r="S247" s="1310"/>
      <c r="T247" s="1308">
        <f>SUM(T245:T246)</f>
        <v>0</v>
      </c>
      <c r="U247" s="1326">
        <f>IF(T$42=0,0,T247/T$42)</f>
        <v>0</v>
      </c>
      <c r="V247" s="1308">
        <f>SUM(V245:V246)</f>
        <v>0</v>
      </c>
      <c r="W247" s="1310"/>
      <c r="X247" s="1308">
        <f>SUM(X245:X246)</f>
        <v>0</v>
      </c>
      <c r="Y247" s="1310"/>
      <c r="Z247" s="1308">
        <f>SUM(Z245:Z246)</f>
        <v>0</v>
      </c>
      <c r="AA247" s="1326">
        <f>IF(Z$42=0,0,Z247/Z$42)</f>
        <v>0</v>
      </c>
      <c r="AB247" s="1308">
        <f>SUM(AB245:AB246)</f>
        <v>0</v>
      </c>
      <c r="AC247" s="1310"/>
      <c r="AD247" s="1308">
        <f>SUM(AD245:AD246)</f>
        <v>0</v>
      </c>
      <c r="AE247" s="1310"/>
      <c r="AF247" s="1308">
        <f>SUM(AF245:AF246)</f>
        <v>0</v>
      </c>
      <c r="AG247" s="1326">
        <f>IF(AF$42=0,0,AF247/AF$42)</f>
        <v>0</v>
      </c>
      <c r="AH247" s="1308">
        <f>SUM(AH245:AH246)</f>
        <v>0</v>
      </c>
      <c r="AI247" s="1304">
        <f>IF(AH$48=0,0,AH247/AH$48)</f>
        <v>0</v>
      </c>
      <c r="AJ247" s="15"/>
    </row>
    <row r="248" spans="1:36" s="8" customFormat="1" ht="15" outlineLevel="1">
      <c r="A248" s="13"/>
      <c r="B248" s="16" t="s">
        <v>194</v>
      </c>
      <c r="C248" s="16"/>
      <c r="D248" s="1301"/>
      <c r="E248" s="1301"/>
      <c r="F248" s="1301"/>
      <c r="G248" s="1301"/>
      <c r="H248" s="1301"/>
      <c r="I248" s="1301"/>
      <c r="J248" s="1310"/>
      <c r="K248" s="1310"/>
      <c r="L248" s="1310"/>
      <c r="M248" s="1310"/>
      <c r="N248" s="1310"/>
      <c r="O248" s="1324"/>
      <c r="P248" s="1310"/>
      <c r="Q248" s="1310"/>
      <c r="R248" s="1310"/>
      <c r="S248" s="1310"/>
      <c r="T248" s="1310"/>
      <c r="U248" s="1324"/>
      <c r="V248" s="1310"/>
      <c r="W248" s="1310"/>
      <c r="X248" s="1310"/>
      <c r="Y248" s="1310"/>
      <c r="Z248" s="1310"/>
      <c r="AA248" s="1324"/>
      <c r="AB248" s="1310"/>
      <c r="AC248" s="1310"/>
      <c r="AD248" s="1310"/>
      <c r="AE248" s="1310"/>
      <c r="AF248" s="1310"/>
      <c r="AG248" s="1324"/>
      <c r="AH248" s="1310"/>
      <c r="AI248" s="1324"/>
      <c r="AJ248" s="15"/>
    </row>
    <row r="249" spans="1:36" s="407" customFormat="1" outlineLevel="1">
      <c r="B249" s="24" t="s">
        <v>425</v>
      </c>
      <c r="D249" s="1298"/>
      <c r="E249" s="1298"/>
      <c r="F249" s="1299"/>
      <c r="G249" s="1300"/>
      <c r="H249" s="1301"/>
      <c r="I249" s="1302"/>
      <c r="J249" s="1303"/>
      <c r="K249" s="1302"/>
      <c r="L249" s="1303"/>
      <c r="M249" s="1302"/>
      <c r="N249" s="1303"/>
      <c r="O249" s="1302"/>
      <c r="P249" s="1303"/>
      <c r="Q249" s="1302"/>
      <c r="R249" s="1303"/>
      <c r="S249" s="1302"/>
      <c r="T249" s="1303"/>
      <c r="U249" s="1302"/>
      <c r="V249" s="1303"/>
      <c r="W249" s="1302"/>
      <c r="X249" s="1303"/>
      <c r="Y249" s="1302"/>
      <c r="Z249" s="1303"/>
      <c r="AA249" s="1302"/>
      <c r="AB249" s="1303"/>
      <c r="AC249" s="1302"/>
      <c r="AD249" s="1303"/>
      <c r="AE249" s="1302"/>
      <c r="AF249" s="1303"/>
      <c r="AG249" s="1302"/>
      <c r="AH249" s="1303">
        <f>AF249+AD249+AB249+Z249+X249+V249+T249+R249+P249+N249+L249+J249</f>
        <v>0</v>
      </c>
      <c r="AI249" s="1304">
        <f>IF(AH$48=0,0,AH249/AH$48)</f>
        <v>0</v>
      </c>
      <c r="AJ249" s="12"/>
    </row>
    <row r="250" spans="1:36" s="8" customFormat="1" ht="5.0999999999999996" customHeight="1" outlineLevel="1">
      <c r="A250" s="13"/>
      <c r="B250" s="16" t="s">
        <v>194</v>
      </c>
      <c r="C250" s="16"/>
      <c r="D250" s="1299"/>
      <c r="E250" s="1299"/>
      <c r="F250" s="1299"/>
      <c r="G250" s="1299"/>
      <c r="H250" s="1301"/>
      <c r="I250" s="1301"/>
      <c r="J250" s="1311"/>
      <c r="K250" s="1310"/>
      <c r="L250" s="1311"/>
      <c r="M250" s="1310"/>
      <c r="N250" s="1311"/>
      <c r="O250" s="1324"/>
      <c r="P250" s="1311"/>
      <c r="Q250" s="1310"/>
      <c r="R250" s="1311"/>
      <c r="S250" s="1310"/>
      <c r="T250" s="1311"/>
      <c r="U250" s="1324"/>
      <c r="V250" s="1311"/>
      <c r="W250" s="1310"/>
      <c r="X250" s="1311"/>
      <c r="Y250" s="1310"/>
      <c r="Z250" s="1311"/>
      <c r="AA250" s="1324"/>
      <c r="AB250" s="1311"/>
      <c r="AC250" s="1310"/>
      <c r="AD250" s="1311"/>
      <c r="AE250" s="1310"/>
      <c r="AF250" s="1311"/>
      <c r="AG250" s="1324"/>
      <c r="AH250" s="1311"/>
      <c r="AI250" s="1324"/>
      <c r="AJ250" s="15"/>
    </row>
    <row r="251" spans="1:36" s="8" customFormat="1" ht="15">
      <c r="A251" s="13"/>
      <c r="B251" s="16" t="s">
        <v>194</v>
      </c>
      <c r="C251" s="16"/>
      <c r="D251" s="1301"/>
      <c r="E251" s="1301"/>
      <c r="F251" s="1298" t="s">
        <v>278</v>
      </c>
      <c r="G251" s="1301"/>
      <c r="H251" s="1301"/>
      <c r="I251" s="1301"/>
      <c r="J251" s="1308">
        <f>SUM(J249:J250)</f>
        <v>0</v>
      </c>
      <c r="K251" s="1310"/>
      <c r="L251" s="1308">
        <f>SUM(L249:L250)</f>
        <v>0</v>
      </c>
      <c r="M251" s="1310"/>
      <c r="N251" s="1308">
        <f>SUM(N249:N250)</f>
        <v>0</v>
      </c>
      <c r="O251" s="1326">
        <f>IF(N$42=0,0,N251/N$42)</f>
        <v>0</v>
      </c>
      <c r="P251" s="1308">
        <f>SUM(P249:P250)</f>
        <v>0</v>
      </c>
      <c r="Q251" s="1310"/>
      <c r="R251" s="1308">
        <f>SUM(R249:R250)</f>
        <v>0</v>
      </c>
      <c r="S251" s="1310"/>
      <c r="T251" s="1308">
        <f>SUM(T249:T250)</f>
        <v>0</v>
      </c>
      <c r="U251" s="1326">
        <f>IF(T$42=0,0,T251/T$42)</f>
        <v>0</v>
      </c>
      <c r="V251" s="1308">
        <f>SUM(V249:V250)</f>
        <v>0</v>
      </c>
      <c r="W251" s="1310"/>
      <c r="X251" s="1308">
        <f>SUM(X249:X250)</f>
        <v>0</v>
      </c>
      <c r="Y251" s="1310"/>
      <c r="Z251" s="1308">
        <f>SUM(Z249:Z250)</f>
        <v>0</v>
      </c>
      <c r="AA251" s="1326">
        <f>IF(Z$42=0,0,Z251/Z$42)</f>
        <v>0</v>
      </c>
      <c r="AB251" s="1308">
        <f>SUM(AB249:AB250)</f>
        <v>0</v>
      </c>
      <c r="AC251" s="1310"/>
      <c r="AD251" s="1308">
        <f>SUM(AD249:AD250)</f>
        <v>0</v>
      </c>
      <c r="AE251" s="1310"/>
      <c r="AF251" s="1308">
        <f>SUM(AF249:AF250)</f>
        <v>0</v>
      </c>
      <c r="AG251" s="1326">
        <f>IF(AF$42=0,0,AF251/AF$42)</f>
        <v>0</v>
      </c>
      <c r="AH251" s="1308">
        <f>SUM(AH249:AH250)</f>
        <v>0</v>
      </c>
      <c r="AI251" s="1304">
        <f>IF(AH$48=0,0,AH251/AH$48)</f>
        <v>0</v>
      </c>
      <c r="AJ251" s="15"/>
    </row>
    <row r="252" spans="1:36" s="8" customFormat="1" ht="15" outlineLevel="1">
      <c r="A252" s="13"/>
      <c r="B252" s="16" t="s">
        <v>194</v>
      </c>
      <c r="C252" s="16"/>
      <c r="D252" s="1301"/>
      <c r="E252" s="1301"/>
      <c r="F252" s="1301"/>
      <c r="G252" s="1301"/>
      <c r="H252" s="1301"/>
      <c r="I252" s="1301"/>
      <c r="J252" s="1310"/>
      <c r="K252" s="1310"/>
      <c r="L252" s="1310"/>
      <c r="M252" s="1310"/>
      <c r="N252" s="1310"/>
      <c r="O252" s="1324"/>
      <c r="P252" s="1310"/>
      <c r="Q252" s="1310"/>
      <c r="R252" s="1310"/>
      <c r="S252" s="1310"/>
      <c r="T252" s="1310"/>
      <c r="U252" s="1324"/>
      <c r="V252" s="1310"/>
      <c r="W252" s="1310"/>
      <c r="X252" s="1310"/>
      <c r="Y252" s="1310"/>
      <c r="Z252" s="1310"/>
      <c r="AA252" s="1324"/>
      <c r="AB252" s="1310"/>
      <c r="AC252" s="1310"/>
      <c r="AD252" s="1310"/>
      <c r="AE252" s="1310"/>
      <c r="AF252" s="1310"/>
      <c r="AG252" s="1324"/>
      <c r="AH252" s="1310"/>
      <c r="AI252" s="1324"/>
      <c r="AJ252" s="15"/>
    </row>
    <row r="253" spans="1:36" s="407" customFormat="1" outlineLevel="1">
      <c r="B253" s="24" t="s">
        <v>426</v>
      </c>
      <c r="D253" s="1298"/>
      <c r="E253" s="1298"/>
      <c r="F253" s="1299"/>
      <c r="G253" s="1300"/>
      <c r="H253" s="1301"/>
      <c r="I253" s="1302"/>
      <c r="J253" s="1303"/>
      <c r="K253" s="1302"/>
      <c r="L253" s="1303"/>
      <c r="M253" s="1302"/>
      <c r="N253" s="1303"/>
      <c r="O253" s="1302"/>
      <c r="P253" s="1303"/>
      <c r="Q253" s="1302"/>
      <c r="R253" s="1303"/>
      <c r="S253" s="1302"/>
      <c r="T253" s="1303"/>
      <c r="U253" s="1302"/>
      <c r="V253" s="1303"/>
      <c r="W253" s="1302"/>
      <c r="X253" s="1303"/>
      <c r="Y253" s="1302"/>
      <c r="Z253" s="1303"/>
      <c r="AA253" s="1302"/>
      <c r="AB253" s="1303"/>
      <c r="AC253" s="1302"/>
      <c r="AD253" s="1303"/>
      <c r="AE253" s="1302"/>
      <c r="AF253" s="1303"/>
      <c r="AG253" s="1302"/>
      <c r="AH253" s="1303">
        <f>AF253+AD253+AB253+Z253+X253+V253+T253+R253+P253+N253+L253+J253</f>
        <v>0</v>
      </c>
      <c r="AI253" s="1304">
        <f>IF(AH$48=0,0,AH253/AH$48)</f>
        <v>0</v>
      </c>
      <c r="AJ253" s="12"/>
    </row>
    <row r="254" spans="1:36" s="8" customFormat="1" ht="5.0999999999999996" customHeight="1" outlineLevel="1">
      <c r="A254" s="13"/>
      <c r="B254" s="16" t="s">
        <v>194</v>
      </c>
      <c r="C254" s="16"/>
      <c r="D254" s="1299"/>
      <c r="E254" s="1299"/>
      <c r="F254" s="1299"/>
      <c r="G254" s="1299"/>
      <c r="H254" s="1301"/>
      <c r="I254" s="1301"/>
      <c r="J254" s="1311"/>
      <c r="K254" s="1310"/>
      <c r="L254" s="1311"/>
      <c r="M254" s="1310"/>
      <c r="N254" s="1311"/>
      <c r="O254" s="1324"/>
      <c r="P254" s="1311"/>
      <c r="Q254" s="1310"/>
      <c r="R254" s="1311"/>
      <c r="S254" s="1310"/>
      <c r="T254" s="1311"/>
      <c r="U254" s="1324"/>
      <c r="V254" s="1311"/>
      <c r="W254" s="1310"/>
      <c r="X254" s="1311"/>
      <c r="Y254" s="1310"/>
      <c r="Z254" s="1311"/>
      <c r="AA254" s="1324"/>
      <c r="AB254" s="1311"/>
      <c r="AC254" s="1310"/>
      <c r="AD254" s="1311"/>
      <c r="AE254" s="1310"/>
      <c r="AF254" s="1311"/>
      <c r="AG254" s="1324"/>
      <c r="AH254" s="1311"/>
      <c r="AI254" s="1324"/>
      <c r="AJ254" s="15"/>
    </row>
    <row r="255" spans="1:36" s="8" customFormat="1" ht="15">
      <c r="A255" s="13"/>
      <c r="B255" s="16" t="s">
        <v>194</v>
      </c>
      <c r="C255" s="16"/>
      <c r="D255" s="1301"/>
      <c r="E255" s="1301"/>
      <c r="F255" s="1299" t="s">
        <v>279</v>
      </c>
      <c r="G255" s="1301"/>
      <c r="H255" s="1301"/>
      <c r="I255" s="1301"/>
      <c r="J255" s="1308">
        <f>SUM(J253:J254)</f>
        <v>0</v>
      </c>
      <c r="K255" s="1310"/>
      <c r="L255" s="1308">
        <f>SUM(L253:L254)</f>
        <v>0</v>
      </c>
      <c r="M255" s="1310"/>
      <c r="N255" s="1308">
        <f>SUM(N253:N254)</f>
        <v>0</v>
      </c>
      <c r="O255" s="1326">
        <f>IF(N$42=0,0,N255/N$42)</f>
        <v>0</v>
      </c>
      <c r="P255" s="1308">
        <f>SUM(P253:P254)</f>
        <v>0</v>
      </c>
      <c r="Q255" s="1310"/>
      <c r="R255" s="1308">
        <f>SUM(R253:R254)</f>
        <v>0</v>
      </c>
      <c r="S255" s="1310"/>
      <c r="T255" s="1308">
        <f>SUM(T253:T254)</f>
        <v>0</v>
      </c>
      <c r="U255" s="1326">
        <f>IF(T$42=0,0,T255/T$42)</f>
        <v>0</v>
      </c>
      <c r="V255" s="1308">
        <f>SUM(V253:V254)</f>
        <v>0</v>
      </c>
      <c r="W255" s="1310"/>
      <c r="X255" s="1308">
        <f>SUM(X253:X254)</f>
        <v>0</v>
      </c>
      <c r="Y255" s="1310"/>
      <c r="Z255" s="1308">
        <f>SUM(Z253:Z254)</f>
        <v>0</v>
      </c>
      <c r="AA255" s="1326">
        <f>IF(Z$42=0,0,Z255/Z$42)</f>
        <v>0</v>
      </c>
      <c r="AB255" s="1308">
        <f>SUM(AB253:AB254)</f>
        <v>0</v>
      </c>
      <c r="AC255" s="1310"/>
      <c r="AD255" s="1308">
        <f>SUM(AD253:AD254)</f>
        <v>0</v>
      </c>
      <c r="AE255" s="1310"/>
      <c r="AF255" s="1308">
        <f>SUM(AF253:AF254)</f>
        <v>0</v>
      </c>
      <c r="AG255" s="1326">
        <f>IF(AF$42=0,0,AF255/AF$42)</f>
        <v>0</v>
      </c>
      <c r="AH255" s="1308">
        <f>SUM(AH253:AH254)</f>
        <v>0</v>
      </c>
      <c r="AI255" s="1304">
        <f>IF(AH$48=0,0,AH255/AH$48)</f>
        <v>0</v>
      </c>
      <c r="AJ255" s="15"/>
    </row>
    <row r="256" spans="1:36" s="8" customFormat="1" ht="6.75" customHeight="1">
      <c r="A256" s="13"/>
      <c r="B256" s="2" t="s">
        <v>194</v>
      </c>
      <c r="C256" s="2"/>
      <c r="D256" s="1301"/>
      <c r="E256" s="1301"/>
      <c r="F256" s="1301"/>
      <c r="G256" s="1301"/>
      <c r="H256" s="1301"/>
      <c r="I256" s="1301"/>
      <c r="J256" s="1310"/>
      <c r="K256" s="1310"/>
      <c r="L256" s="1310"/>
      <c r="M256" s="1310"/>
      <c r="N256" s="1310"/>
      <c r="O256" s="1324"/>
      <c r="P256" s="1310"/>
      <c r="Q256" s="1310"/>
      <c r="R256" s="1310"/>
      <c r="S256" s="1310"/>
      <c r="T256" s="1310"/>
      <c r="U256" s="1324"/>
      <c r="V256" s="1310"/>
      <c r="W256" s="1310"/>
      <c r="X256" s="1310"/>
      <c r="Y256" s="1310"/>
      <c r="Z256" s="1310"/>
      <c r="AA256" s="1324"/>
      <c r="AB256" s="1310"/>
      <c r="AC256" s="1310"/>
      <c r="AD256" s="1310"/>
      <c r="AE256" s="1310"/>
      <c r="AF256" s="1310"/>
      <c r="AG256" s="1324"/>
      <c r="AH256" s="1310"/>
      <c r="AI256" s="1324"/>
      <c r="AJ256" s="15"/>
    </row>
    <row r="257" spans="1:36" s="8" customFormat="1" ht="15">
      <c r="A257" s="13"/>
      <c r="B257" s="2" t="s">
        <v>194</v>
      </c>
      <c r="C257" s="2"/>
      <c r="D257" s="1301"/>
      <c r="E257" s="1313" t="s">
        <v>280</v>
      </c>
      <c r="F257" s="1301"/>
      <c r="G257" s="1301"/>
      <c r="H257" s="1301"/>
      <c r="I257" s="1301"/>
      <c r="J257" s="1314">
        <f>+J243-J247-J251-J255</f>
        <v>52586.580000000016</v>
      </c>
      <c r="K257" s="1310"/>
      <c r="L257" s="1314">
        <f>+L243-L247-L251-L255</f>
        <v>96447.589999999967</v>
      </c>
      <c r="M257" s="1310"/>
      <c r="N257" s="1314">
        <f>+N243-N247-N251-N255</f>
        <v>90420.170000000013</v>
      </c>
      <c r="O257" s="1326">
        <f>IF(N$42=0,0,N257/N$42)</f>
        <v>0</v>
      </c>
      <c r="P257" s="1314">
        <f>+P243-P247-P251-P255</f>
        <v>118476.68000000004</v>
      </c>
      <c r="Q257" s="1310"/>
      <c r="R257" s="1314">
        <f>+R243-R247-R251-R255</f>
        <v>76079.859999999986</v>
      </c>
      <c r="S257" s="1310"/>
      <c r="T257" s="1314">
        <f>+T243-T247-T251-T255</f>
        <v>89494.51999999996</v>
      </c>
      <c r="U257" s="1326">
        <f>IF(T$42=0,0,T257/T$42)</f>
        <v>0</v>
      </c>
      <c r="V257" s="1314">
        <f>+V243-V247-V251-V255</f>
        <v>75767.360000000001</v>
      </c>
      <c r="W257" s="1310"/>
      <c r="X257" s="1314">
        <f>+X243-X247-X251-X255</f>
        <v>101737.06</v>
      </c>
      <c r="Y257" s="1310"/>
      <c r="Z257" s="1314">
        <f>+Z243-Z247-Z251-Z255</f>
        <v>141271.94999999995</v>
      </c>
      <c r="AA257" s="1326">
        <f>IF(Z$42=0,0,Z257/Z$42)</f>
        <v>0</v>
      </c>
      <c r="AB257" s="1314">
        <f>+AB243-AB247-AB251-AB255</f>
        <v>100068.97999999998</v>
      </c>
      <c r="AC257" s="1310"/>
      <c r="AD257" s="1314">
        <f>+AD243-AD247-AD251-AD255</f>
        <v>132016.83000000007</v>
      </c>
      <c r="AE257" s="1310"/>
      <c r="AF257" s="1314">
        <f>+AF243-AF247-AF251-AF255</f>
        <v>142948.74</v>
      </c>
      <c r="AG257" s="1326">
        <f>IF(AF$42=0,0,AF257/AF$42)</f>
        <v>0</v>
      </c>
      <c r="AH257" s="1314">
        <f>+AH243-AH247-AH251-AH255</f>
        <v>1217316.3199999998</v>
      </c>
      <c r="AI257" s="1304">
        <f>IF(AH$48=0,0,AH257/AH$48)</f>
        <v>0.27722620303206474</v>
      </c>
      <c r="AJ257" s="15"/>
    </row>
    <row r="258" spans="1:36" s="8" customFormat="1" ht="6.75" customHeight="1">
      <c r="A258" s="13"/>
      <c r="B258" s="2" t="s">
        <v>194</v>
      </c>
      <c r="C258" s="2"/>
      <c r="D258" s="1301"/>
      <c r="E258" s="1301"/>
      <c r="F258" s="1301"/>
      <c r="G258" s="1301"/>
      <c r="H258" s="1301"/>
      <c r="I258" s="1301"/>
      <c r="J258" s="1310"/>
      <c r="K258" s="1310"/>
      <c r="L258" s="1310"/>
      <c r="M258" s="1310"/>
      <c r="N258" s="1310"/>
      <c r="O258" s="1324"/>
      <c r="P258" s="1310"/>
      <c r="Q258" s="1310"/>
      <c r="R258" s="1310"/>
      <c r="S258" s="1310"/>
      <c r="T258" s="1310"/>
      <c r="U258" s="1324"/>
      <c r="V258" s="1310"/>
      <c r="W258" s="1310"/>
      <c r="X258" s="1310"/>
      <c r="Y258" s="1310"/>
      <c r="Z258" s="1310"/>
      <c r="AA258" s="1324"/>
      <c r="AB258" s="1310"/>
      <c r="AC258" s="1310"/>
      <c r="AD258" s="1310"/>
      <c r="AE258" s="1310"/>
      <c r="AF258" s="1310"/>
      <c r="AG258" s="1324"/>
      <c r="AH258" s="1310"/>
      <c r="AI258" s="1324"/>
      <c r="AJ258" s="15"/>
    </row>
    <row r="259" spans="1:36" s="407" customFormat="1" outlineLevel="1">
      <c r="B259" s="24" t="s">
        <v>427</v>
      </c>
      <c r="D259" s="1298"/>
      <c r="E259" s="1298"/>
      <c r="F259" s="1299"/>
      <c r="G259" s="1300"/>
      <c r="H259" s="1301"/>
      <c r="I259" s="1302"/>
      <c r="J259" s="1303"/>
      <c r="K259" s="1302"/>
      <c r="L259" s="1303"/>
      <c r="M259" s="1302"/>
      <c r="N259" s="1303"/>
      <c r="O259" s="1302"/>
      <c r="P259" s="1303"/>
      <c r="Q259" s="1302"/>
      <c r="R259" s="1303"/>
      <c r="S259" s="1302"/>
      <c r="T259" s="1303"/>
      <c r="U259" s="1302"/>
      <c r="V259" s="1303"/>
      <c r="W259" s="1302"/>
      <c r="X259" s="1303"/>
      <c r="Y259" s="1302"/>
      <c r="Z259" s="1303"/>
      <c r="AA259" s="1302"/>
      <c r="AB259" s="1303"/>
      <c r="AC259" s="1302"/>
      <c r="AD259" s="1303"/>
      <c r="AE259" s="1302"/>
      <c r="AF259" s="1303"/>
      <c r="AG259" s="1302"/>
      <c r="AH259" s="1303">
        <f>AF259+AD259+AB259+Z259+X259+V259+T259+R259+P259+N259+L259+J259</f>
        <v>0</v>
      </c>
      <c r="AI259" s="1304">
        <f>IF(AH$48=0,0,AH259/AH$48)</f>
        <v>0</v>
      </c>
      <c r="AJ259" s="12"/>
    </row>
    <row r="260" spans="1:36" s="8" customFormat="1" ht="5.0999999999999996" customHeight="1" outlineLevel="1">
      <c r="A260" s="13"/>
      <c r="B260" s="16" t="s">
        <v>194</v>
      </c>
      <c r="C260" s="16"/>
      <c r="D260" s="1299"/>
      <c r="E260" s="1299"/>
      <c r="F260" s="1299"/>
      <c r="G260" s="1299"/>
      <c r="H260" s="1301"/>
      <c r="I260" s="1301"/>
      <c r="J260" s="1311"/>
      <c r="K260" s="1310"/>
      <c r="L260" s="1311"/>
      <c r="M260" s="1310"/>
      <c r="N260" s="1311"/>
      <c r="O260" s="1324"/>
      <c r="P260" s="1311"/>
      <c r="Q260" s="1310"/>
      <c r="R260" s="1311"/>
      <c r="S260" s="1310"/>
      <c r="T260" s="1311"/>
      <c r="U260" s="1324"/>
      <c r="V260" s="1311"/>
      <c r="W260" s="1310"/>
      <c r="X260" s="1311"/>
      <c r="Y260" s="1310"/>
      <c r="Z260" s="1311"/>
      <c r="AA260" s="1324"/>
      <c r="AB260" s="1311"/>
      <c r="AC260" s="1310"/>
      <c r="AD260" s="1311"/>
      <c r="AE260" s="1310"/>
      <c r="AF260" s="1311"/>
      <c r="AG260" s="1324"/>
      <c r="AH260" s="1311"/>
      <c r="AI260" s="1324"/>
      <c r="AJ260" s="15"/>
    </row>
    <row r="261" spans="1:36" s="8" customFormat="1" ht="15">
      <c r="A261" s="13"/>
      <c r="B261" s="16" t="s">
        <v>194</v>
      </c>
      <c r="C261" s="16"/>
      <c r="D261" s="1301"/>
      <c r="E261" s="1301"/>
      <c r="F261" s="1298" t="s">
        <v>281</v>
      </c>
      <c r="G261" s="1301"/>
      <c r="H261" s="1301"/>
      <c r="I261" s="1301"/>
      <c r="J261" s="1308">
        <f>SUM(J259:J260)</f>
        <v>0</v>
      </c>
      <c r="K261" s="1310"/>
      <c r="L261" s="1308">
        <f>SUM(L259:L260)</f>
        <v>0</v>
      </c>
      <c r="M261" s="1310"/>
      <c r="N261" s="1308">
        <f>SUM(N259:N260)</f>
        <v>0</v>
      </c>
      <c r="O261" s="1326">
        <f>IF(N$42=0,0,N261/N$42)</f>
        <v>0</v>
      </c>
      <c r="P261" s="1308">
        <f>SUM(P259:P260)</f>
        <v>0</v>
      </c>
      <c r="Q261" s="1310"/>
      <c r="R261" s="1308">
        <f>SUM(R259:R260)</f>
        <v>0</v>
      </c>
      <c r="S261" s="1310"/>
      <c r="T261" s="1308">
        <f>SUM(T259:T260)</f>
        <v>0</v>
      </c>
      <c r="U261" s="1326">
        <f>IF(T$42=0,0,T261/T$42)</f>
        <v>0</v>
      </c>
      <c r="V261" s="1308">
        <f>SUM(V259:V260)</f>
        <v>0</v>
      </c>
      <c r="W261" s="1310"/>
      <c r="X261" s="1308">
        <f>SUM(X259:X260)</f>
        <v>0</v>
      </c>
      <c r="Y261" s="1310"/>
      <c r="Z261" s="1308">
        <f>SUM(Z259:Z260)</f>
        <v>0</v>
      </c>
      <c r="AA261" s="1326">
        <f>IF(Z$42=0,0,Z261/Z$42)</f>
        <v>0</v>
      </c>
      <c r="AB261" s="1308">
        <f>SUM(AB259:AB260)</f>
        <v>0</v>
      </c>
      <c r="AC261" s="1310"/>
      <c r="AD261" s="1308">
        <f>SUM(AD259:AD260)</f>
        <v>0</v>
      </c>
      <c r="AE261" s="1310"/>
      <c r="AF261" s="1308">
        <f>SUM(AF259:AF260)</f>
        <v>0</v>
      </c>
      <c r="AG261" s="1326">
        <f>IF(AF$42=0,0,AF261/AF$42)</f>
        <v>0</v>
      </c>
      <c r="AH261" s="1308">
        <f>SUM(AH259:AH260)</f>
        <v>0</v>
      </c>
      <c r="AI261" s="1304">
        <f>IF(AH$48=0,0,AH261/AH$48)</f>
        <v>0</v>
      </c>
      <c r="AJ261" s="15"/>
    </row>
    <row r="262" spans="1:36" s="8" customFormat="1" ht="6.75" customHeight="1">
      <c r="A262" s="13"/>
      <c r="B262" s="2" t="s">
        <v>194</v>
      </c>
      <c r="C262" s="2"/>
      <c r="D262" s="1301"/>
      <c r="E262" s="1301"/>
      <c r="F262" s="1301"/>
      <c r="G262" s="1301"/>
      <c r="H262" s="1301"/>
      <c r="I262" s="1301"/>
      <c r="J262" s="1310"/>
      <c r="K262" s="1310"/>
      <c r="L262" s="1310"/>
      <c r="M262" s="1310"/>
      <c r="N262" s="1310"/>
      <c r="O262" s="1324"/>
      <c r="P262" s="1310"/>
      <c r="Q262" s="1310"/>
      <c r="R262" s="1310"/>
      <c r="S262" s="1310"/>
      <c r="T262" s="1310"/>
      <c r="U262" s="1324"/>
      <c r="V262" s="1310"/>
      <c r="W262" s="1310"/>
      <c r="X262" s="1310"/>
      <c r="Y262" s="1310"/>
      <c r="Z262" s="1310"/>
      <c r="AA262" s="1324"/>
      <c r="AB262" s="1310"/>
      <c r="AC262" s="1310"/>
      <c r="AD262" s="1310"/>
      <c r="AE262" s="1310"/>
      <c r="AF262" s="1310"/>
      <c r="AG262" s="1324"/>
      <c r="AH262" s="1310"/>
      <c r="AI262" s="1324"/>
      <c r="AJ262" s="15"/>
    </row>
    <row r="263" spans="1:36" s="8" customFormat="1" ht="15">
      <c r="A263" s="13"/>
      <c r="B263" s="16" t="s">
        <v>194</v>
      </c>
      <c r="C263" s="16"/>
      <c r="D263" s="1301"/>
      <c r="E263" s="1313" t="s">
        <v>282</v>
      </c>
      <c r="F263" s="1301"/>
      <c r="G263" s="1301"/>
      <c r="H263" s="1301"/>
      <c r="I263" s="1301"/>
      <c r="J263" s="1314">
        <f>+J257-J261</f>
        <v>52586.580000000016</v>
      </c>
      <c r="K263" s="1310"/>
      <c r="L263" s="1314">
        <f>+L257-L261</f>
        <v>96447.589999999967</v>
      </c>
      <c r="M263" s="1310"/>
      <c r="N263" s="1314">
        <f>+N257-N261</f>
        <v>90420.170000000013</v>
      </c>
      <c r="O263" s="1326">
        <f>IF(N$42=0,0,N263/N$42)</f>
        <v>0</v>
      </c>
      <c r="P263" s="1314">
        <f>+P257-P261</f>
        <v>118476.68000000004</v>
      </c>
      <c r="Q263" s="1310"/>
      <c r="R263" s="1314">
        <f>+R257-R261</f>
        <v>76079.859999999986</v>
      </c>
      <c r="S263" s="1310"/>
      <c r="T263" s="1314">
        <f>+T257-T261</f>
        <v>89494.51999999996</v>
      </c>
      <c r="U263" s="1326">
        <f>IF(T$42=0,0,T263/T$42)</f>
        <v>0</v>
      </c>
      <c r="V263" s="1314">
        <f>+V257-V261</f>
        <v>75767.360000000001</v>
      </c>
      <c r="W263" s="1310"/>
      <c r="X263" s="1314">
        <f>+X257-X261</f>
        <v>101737.06</v>
      </c>
      <c r="Y263" s="1310"/>
      <c r="Z263" s="1314">
        <f>+Z257-Z261</f>
        <v>141271.94999999995</v>
      </c>
      <c r="AA263" s="1326">
        <f>IF(Z$42=0,0,Z263/Z$42)</f>
        <v>0</v>
      </c>
      <c r="AB263" s="1314">
        <f>+AB257-AB261</f>
        <v>100068.97999999998</v>
      </c>
      <c r="AC263" s="1310"/>
      <c r="AD263" s="1314">
        <f>+AD257-AD261</f>
        <v>132016.83000000007</v>
      </c>
      <c r="AE263" s="1310"/>
      <c r="AF263" s="1314">
        <f>+AF257-AF261</f>
        <v>142948.74</v>
      </c>
      <c r="AG263" s="1326">
        <f>IF(AF$42=0,0,AF263/AF$42)</f>
        <v>0</v>
      </c>
      <c r="AH263" s="1314">
        <f>+AH257-AH261</f>
        <v>1217316.3199999998</v>
      </c>
      <c r="AI263" s="1304">
        <f>IF(AH$48=0,0,AH263/AH$48)</f>
        <v>0.27722620303206474</v>
      </c>
      <c r="AJ263" s="15"/>
    </row>
    <row r="264" spans="1:36" ht="6.75" customHeight="1">
      <c r="A264" s="13"/>
      <c r="B264" s="2" t="s">
        <v>194</v>
      </c>
      <c r="D264" s="1327"/>
      <c r="E264" s="1327"/>
      <c r="F264" s="1327"/>
      <c r="G264" s="1327"/>
      <c r="H264" s="1327"/>
      <c r="I264" s="1327"/>
      <c r="J264" s="1318"/>
      <c r="K264" s="1318"/>
      <c r="L264" s="1318"/>
      <c r="M264" s="1318"/>
      <c r="N264" s="1318"/>
      <c r="O264" s="1324"/>
      <c r="P264" s="1318"/>
      <c r="Q264" s="1318"/>
      <c r="R264" s="1318"/>
      <c r="S264" s="1318"/>
      <c r="T264" s="1318"/>
      <c r="U264" s="1324"/>
      <c r="V264" s="1318"/>
      <c r="W264" s="1318"/>
      <c r="X264" s="1318"/>
      <c r="Y264" s="1318"/>
      <c r="Z264" s="1318"/>
      <c r="AA264" s="1324"/>
      <c r="AB264" s="1318"/>
      <c r="AC264" s="1318"/>
      <c r="AD264" s="1318"/>
      <c r="AE264" s="1318"/>
      <c r="AF264" s="1318"/>
      <c r="AG264" s="1324"/>
      <c r="AH264" s="1318"/>
      <c r="AI264" s="1324"/>
      <c r="AJ264" s="15"/>
    </row>
    <row r="265" spans="1:36" s="407" customFormat="1" outlineLevel="1">
      <c r="B265" s="24" t="s">
        <v>428</v>
      </c>
      <c r="D265" s="1298"/>
      <c r="E265" s="1298"/>
      <c r="F265" s="1299"/>
      <c r="G265" s="1300"/>
      <c r="H265" s="1301"/>
      <c r="I265" s="1302"/>
      <c r="J265" s="1303"/>
      <c r="K265" s="1302"/>
      <c r="L265" s="1303"/>
      <c r="M265" s="1302"/>
      <c r="N265" s="1303"/>
      <c r="O265" s="1302"/>
      <c r="P265" s="1303"/>
      <c r="Q265" s="1302"/>
      <c r="R265" s="1303"/>
      <c r="S265" s="1302"/>
      <c r="T265" s="1303"/>
      <c r="U265" s="1302"/>
      <c r="V265" s="1303"/>
      <c r="W265" s="1302"/>
      <c r="X265" s="1303"/>
      <c r="Y265" s="1302"/>
      <c r="Z265" s="1303"/>
      <c r="AA265" s="1302"/>
      <c r="AB265" s="1303"/>
      <c r="AC265" s="1302"/>
      <c r="AD265" s="1303"/>
      <c r="AE265" s="1302"/>
      <c r="AF265" s="1303"/>
      <c r="AG265" s="1302"/>
      <c r="AH265" s="1303">
        <f>AF265+AD265+AB265+Z265+X265+V265+T265+R265+P265+N265+L265+J265</f>
        <v>0</v>
      </c>
      <c r="AI265" s="1304">
        <f>IF(AH$48=0,0,AH265/AH$48)</f>
        <v>0</v>
      </c>
      <c r="AJ265" s="12"/>
    </row>
    <row r="266" spans="1:36" s="8" customFormat="1" ht="5.0999999999999996" customHeight="1" outlineLevel="1">
      <c r="A266" s="13"/>
      <c r="B266" s="16" t="s">
        <v>194</v>
      </c>
      <c r="C266" s="16"/>
      <c r="D266" s="1299"/>
      <c r="E266" s="1299"/>
      <c r="F266" s="1299"/>
      <c r="G266" s="1299"/>
      <c r="H266" s="1301"/>
      <c r="I266" s="1301"/>
      <c r="J266" s="1311"/>
      <c r="K266" s="1310"/>
      <c r="L266" s="1311"/>
      <c r="M266" s="1310"/>
      <c r="N266" s="1311"/>
      <c r="O266" s="1324"/>
      <c r="P266" s="1311"/>
      <c r="Q266" s="1310"/>
      <c r="R266" s="1311"/>
      <c r="S266" s="1310"/>
      <c r="T266" s="1311"/>
      <c r="U266" s="1324"/>
      <c r="V266" s="1311"/>
      <c r="W266" s="1310"/>
      <c r="X266" s="1311"/>
      <c r="Y266" s="1310"/>
      <c r="Z266" s="1311"/>
      <c r="AA266" s="1324"/>
      <c r="AB266" s="1311"/>
      <c r="AC266" s="1310"/>
      <c r="AD266" s="1311"/>
      <c r="AE266" s="1310"/>
      <c r="AF266" s="1311"/>
      <c r="AG266" s="1324"/>
      <c r="AH266" s="1311"/>
      <c r="AI266" s="1324"/>
      <c r="AJ266" s="15"/>
    </row>
    <row r="267" spans="1:36" s="8" customFormat="1" ht="15">
      <c r="A267" s="2"/>
      <c r="B267" s="16"/>
      <c r="C267" s="16"/>
      <c r="D267" s="1301"/>
      <c r="E267" s="1301"/>
      <c r="F267" s="1298" t="s">
        <v>283</v>
      </c>
      <c r="G267" s="1301"/>
      <c r="H267" s="1301"/>
      <c r="I267" s="1301"/>
      <c r="J267" s="1308">
        <f>SUM(J265:J266)</f>
        <v>0</v>
      </c>
      <c r="K267" s="1310"/>
      <c r="L267" s="1308">
        <f>SUM(L265:L266)</f>
        <v>0</v>
      </c>
      <c r="M267" s="1310"/>
      <c r="N267" s="1308">
        <f>SUM(N265:N266)</f>
        <v>0</v>
      </c>
      <c r="O267" s="1326">
        <f>IF(N$42=0,0,N267/N$42)</f>
        <v>0</v>
      </c>
      <c r="P267" s="1308">
        <f>SUM(P265:P266)</f>
        <v>0</v>
      </c>
      <c r="Q267" s="1310"/>
      <c r="R267" s="1308">
        <f>SUM(R265:R266)</f>
        <v>0</v>
      </c>
      <c r="S267" s="1310"/>
      <c r="T267" s="1308">
        <f>SUM(T265:T266)</f>
        <v>0</v>
      </c>
      <c r="U267" s="1326">
        <f>IF(T$42=0,0,T267/T$42)</f>
        <v>0</v>
      </c>
      <c r="V267" s="1308">
        <f>SUM(V265:V266)</f>
        <v>0</v>
      </c>
      <c r="W267" s="1310"/>
      <c r="X267" s="1308">
        <f>SUM(X265:X266)</f>
        <v>0</v>
      </c>
      <c r="Y267" s="1310"/>
      <c r="Z267" s="1308">
        <f>SUM(Z265:Z266)</f>
        <v>0</v>
      </c>
      <c r="AA267" s="1326">
        <f>IF(Z$42=0,0,Z267/Z$42)</f>
        <v>0</v>
      </c>
      <c r="AB267" s="1308">
        <f>SUM(AB265:AB266)</f>
        <v>0</v>
      </c>
      <c r="AC267" s="1310"/>
      <c r="AD267" s="1308">
        <f>SUM(AD265:AD266)</f>
        <v>0</v>
      </c>
      <c r="AE267" s="1310"/>
      <c r="AF267" s="1308">
        <f>SUM(AF265:AF266)</f>
        <v>0</v>
      </c>
      <c r="AG267" s="1326">
        <f>IF(AF$42=0,0,AF267/AF$42)</f>
        <v>0</v>
      </c>
      <c r="AH267" s="1308">
        <f>SUM(AH265:AH266)</f>
        <v>0</v>
      </c>
      <c r="AI267" s="1304">
        <f>IF(AH$48=0,0,AH267/AH$48)</f>
        <v>0</v>
      </c>
      <c r="AJ267" s="15"/>
    </row>
    <row r="268" spans="1:36" s="8" customFormat="1" ht="6.75" customHeight="1">
      <c r="A268" s="2"/>
      <c r="B268" s="16"/>
      <c r="C268" s="16"/>
      <c r="D268" s="1301"/>
      <c r="E268" s="1301"/>
      <c r="F268" s="1301"/>
      <c r="G268" s="1301"/>
      <c r="H268" s="1301"/>
      <c r="I268" s="1301"/>
      <c r="J268" s="1310"/>
      <c r="K268" s="1310"/>
      <c r="L268" s="1310"/>
      <c r="M268" s="1310"/>
      <c r="N268" s="1310"/>
      <c r="O268" s="1324"/>
      <c r="P268" s="1310"/>
      <c r="Q268" s="1310"/>
      <c r="R268" s="1310"/>
      <c r="S268" s="1310"/>
      <c r="T268" s="1310"/>
      <c r="U268" s="1324"/>
      <c r="V268" s="1310"/>
      <c r="W268" s="1310"/>
      <c r="X268" s="1310"/>
      <c r="Y268" s="1310"/>
      <c r="Z268" s="1310"/>
      <c r="AA268" s="1324"/>
      <c r="AB268" s="1310"/>
      <c r="AC268" s="1310"/>
      <c r="AD268" s="1310"/>
      <c r="AE268" s="1310"/>
      <c r="AF268" s="1310"/>
      <c r="AG268" s="1324"/>
      <c r="AH268" s="1310"/>
      <c r="AI268" s="1324"/>
      <c r="AJ268" s="15"/>
    </row>
    <row r="269" spans="1:36" s="8" customFormat="1" ht="15">
      <c r="A269" s="2"/>
      <c r="B269" s="2"/>
      <c r="C269" s="2"/>
      <c r="D269" s="1301"/>
      <c r="E269" s="1313" t="s">
        <v>284</v>
      </c>
      <c r="F269" s="1301"/>
      <c r="G269" s="1301"/>
      <c r="H269" s="1301"/>
      <c r="I269" s="1301"/>
      <c r="J269" s="1314">
        <f>+J263-J267</f>
        <v>52586.580000000016</v>
      </c>
      <c r="K269" s="1310"/>
      <c r="L269" s="1314">
        <f>+L263-L267</f>
        <v>96447.589999999967</v>
      </c>
      <c r="M269" s="1310"/>
      <c r="N269" s="1314">
        <f>+N263-N267</f>
        <v>90420.170000000013</v>
      </c>
      <c r="O269" s="1326">
        <f>IF(N$42=0,0,N269/N$42)</f>
        <v>0</v>
      </c>
      <c r="P269" s="1314">
        <f>+P263-P267</f>
        <v>118476.68000000004</v>
      </c>
      <c r="Q269" s="1310"/>
      <c r="R269" s="1314">
        <f>+R263-R267</f>
        <v>76079.859999999986</v>
      </c>
      <c r="S269" s="1310"/>
      <c r="T269" s="1314">
        <f>+T263-T267</f>
        <v>89494.51999999996</v>
      </c>
      <c r="U269" s="1326">
        <f>IF(T$42=0,0,T269/T$42)</f>
        <v>0</v>
      </c>
      <c r="V269" s="1314">
        <f>+V263-V267</f>
        <v>75767.360000000001</v>
      </c>
      <c r="W269" s="1310"/>
      <c r="X269" s="1314">
        <f>+X263-X267</f>
        <v>101737.06</v>
      </c>
      <c r="Y269" s="1310"/>
      <c r="Z269" s="1314">
        <f>+Z263-Z267</f>
        <v>141271.94999999995</v>
      </c>
      <c r="AA269" s="1326">
        <f>IF(Z$42=0,0,Z269/Z$42)</f>
        <v>0</v>
      </c>
      <c r="AB269" s="1314">
        <f>+AB263-AB267</f>
        <v>100068.97999999998</v>
      </c>
      <c r="AC269" s="1310"/>
      <c r="AD269" s="1314">
        <f>+AD263-AD267</f>
        <v>132016.83000000007</v>
      </c>
      <c r="AE269" s="1310"/>
      <c r="AF269" s="1314">
        <f>+AF263-AF267</f>
        <v>142948.74</v>
      </c>
      <c r="AG269" s="1326">
        <f>IF(AF$42=0,0,AF269/AF$42)</f>
        <v>0</v>
      </c>
      <c r="AH269" s="1314">
        <f>+AH263-AH267</f>
        <v>1217316.3199999998</v>
      </c>
      <c r="AI269" s="1304">
        <f>IF(AH$48=0,0,AH269/AH$48)</f>
        <v>0.27722620303206474</v>
      </c>
      <c r="AJ269" s="15"/>
    </row>
    <row r="270" spans="1:36" s="8" customFormat="1" ht="6.75" customHeight="1">
      <c r="A270" s="2"/>
      <c r="B270" s="16"/>
      <c r="C270" s="16"/>
      <c r="D270" s="1301"/>
      <c r="E270" s="1301"/>
      <c r="F270" s="1301"/>
      <c r="G270" s="1301"/>
      <c r="H270" s="1301"/>
      <c r="I270" s="1301"/>
      <c r="J270" s="1310"/>
      <c r="K270" s="1310"/>
      <c r="L270" s="1310"/>
      <c r="M270" s="1310"/>
      <c r="N270" s="1310"/>
      <c r="O270" s="1324"/>
      <c r="P270" s="1310"/>
      <c r="Q270" s="1310"/>
      <c r="R270" s="1310"/>
      <c r="S270" s="1310"/>
      <c r="T270" s="1310"/>
      <c r="U270" s="1324"/>
      <c r="V270" s="1310"/>
      <c r="W270" s="1310"/>
      <c r="X270" s="1310"/>
      <c r="Y270" s="1310"/>
      <c r="Z270" s="1310"/>
      <c r="AA270" s="1324"/>
      <c r="AB270" s="1310"/>
      <c r="AC270" s="1310"/>
      <c r="AD270" s="1310"/>
      <c r="AE270" s="1310"/>
      <c r="AF270" s="1310"/>
      <c r="AG270" s="1324"/>
      <c r="AH270" s="1310"/>
      <c r="AI270" s="1324"/>
      <c r="AJ270" s="15"/>
    </row>
    <row r="271" spans="1:36" s="407" customFormat="1" outlineLevel="1">
      <c r="B271" s="24" t="s">
        <v>429</v>
      </c>
      <c r="D271" s="1298"/>
      <c r="E271" s="1298"/>
      <c r="F271" s="1299"/>
      <c r="G271" s="1300"/>
      <c r="H271" s="1301"/>
      <c r="I271" s="1302"/>
      <c r="J271" s="1303"/>
      <c r="K271" s="1302"/>
      <c r="L271" s="1303"/>
      <c r="M271" s="1302"/>
      <c r="N271" s="1303"/>
      <c r="O271" s="1302"/>
      <c r="P271" s="1303"/>
      <c r="Q271" s="1302"/>
      <c r="R271" s="1303"/>
      <c r="S271" s="1302"/>
      <c r="T271" s="1303"/>
      <c r="U271" s="1302"/>
      <c r="V271" s="1303"/>
      <c r="W271" s="1302"/>
      <c r="X271" s="1303"/>
      <c r="Y271" s="1302"/>
      <c r="Z271" s="1303"/>
      <c r="AA271" s="1302"/>
      <c r="AB271" s="1303"/>
      <c r="AC271" s="1302"/>
      <c r="AD271" s="1303"/>
      <c r="AE271" s="1302"/>
      <c r="AF271" s="1303"/>
      <c r="AG271" s="1302"/>
      <c r="AH271" s="1303">
        <f>AF271+AD271+AB271+Z271+X271+V271+T271+R271+P271+N271+L271+J271</f>
        <v>0</v>
      </c>
      <c r="AI271" s="1304">
        <f>IF(AH$48=0,0,AH271/AH$48)</f>
        <v>0</v>
      </c>
      <c r="AJ271" s="12"/>
    </row>
    <row r="272" spans="1:36" s="8" customFormat="1" ht="5.0999999999999996" customHeight="1" outlineLevel="1">
      <c r="A272" s="13"/>
      <c r="B272" s="16" t="s">
        <v>194</v>
      </c>
      <c r="C272" s="16"/>
      <c r="D272" s="1299"/>
      <c r="E272" s="1299"/>
      <c r="F272" s="1299"/>
      <c r="G272" s="1299"/>
      <c r="H272" s="1301"/>
      <c r="I272" s="1301"/>
      <c r="J272" s="1311"/>
      <c r="K272" s="1310"/>
      <c r="L272" s="1311"/>
      <c r="M272" s="1310"/>
      <c r="N272" s="1311"/>
      <c r="O272" s="1324"/>
      <c r="P272" s="1311"/>
      <c r="Q272" s="1310"/>
      <c r="R272" s="1311"/>
      <c r="S272" s="1310"/>
      <c r="T272" s="1311"/>
      <c r="U272" s="1324"/>
      <c r="V272" s="1311"/>
      <c r="W272" s="1310"/>
      <c r="X272" s="1311"/>
      <c r="Y272" s="1310"/>
      <c r="Z272" s="1311"/>
      <c r="AA272" s="1324"/>
      <c r="AB272" s="1311"/>
      <c r="AC272" s="1310"/>
      <c r="AD272" s="1311"/>
      <c r="AE272" s="1310"/>
      <c r="AF272" s="1311"/>
      <c r="AG272" s="1324"/>
      <c r="AH272" s="1311"/>
      <c r="AI272" s="1324"/>
      <c r="AJ272" s="15"/>
    </row>
    <row r="273" spans="1:36" s="8" customFormat="1" ht="15">
      <c r="A273" s="13"/>
      <c r="B273" s="16" t="s">
        <v>194</v>
      </c>
      <c r="C273" s="16"/>
      <c r="D273" s="1301"/>
      <c r="E273" s="1301"/>
      <c r="F273" s="1298" t="s">
        <v>285</v>
      </c>
      <c r="G273" s="1301"/>
      <c r="H273" s="1301"/>
      <c r="I273" s="1301"/>
      <c r="J273" s="1308">
        <f>SUM(J271:J272)</f>
        <v>0</v>
      </c>
      <c r="K273" s="1310"/>
      <c r="L273" s="1308">
        <f>SUM(L271:L272)</f>
        <v>0</v>
      </c>
      <c r="M273" s="1310"/>
      <c r="N273" s="1308">
        <f>SUM(N271:N272)</f>
        <v>0</v>
      </c>
      <c r="O273" s="1326">
        <f>IF(N$42=0,0,N273/N$42)</f>
        <v>0</v>
      </c>
      <c r="P273" s="1308">
        <f>SUM(P271:P272)</f>
        <v>0</v>
      </c>
      <c r="Q273" s="1310"/>
      <c r="R273" s="1308">
        <f>SUM(R271:R272)</f>
        <v>0</v>
      </c>
      <c r="S273" s="1310"/>
      <c r="T273" s="1308">
        <f>SUM(T271:T272)</f>
        <v>0</v>
      </c>
      <c r="U273" s="1326">
        <f>IF(T$42=0,0,T273/T$42)</f>
        <v>0</v>
      </c>
      <c r="V273" s="1308">
        <f>SUM(V271:V272)</f>
        <v>0</v>
      </c>
      <c r="W273" s="1310"/>
      <c r="X273" s="1308">
        <f>SUM(X271:X272)</f>
        <v>0</v>
      </c>
      <c r="Y273" s="1310"/>
      <c r="Z273" s="1308">
        <f>SUM(Z271:Z272)</f>
        <v>0</v>
      </c>
      <c r="AA273" s="1326">
        <f>IF(Z$42=0,0,Z273/Z$42)</f>
        <v>0</v>
      </c>
      <c r="AB273" s="1308">
        <f>SUM(AB271:AB272)</f>
        <v>0</v>
      </c>
      <c r="AC273" s="1310"/>
      <c r="AD273" s="1308">
        <f>SUM(AD271:AD272)</f>
        <v>0</v>
      </c>
      <c r="AE273" s="1310"/>
      <c r="AF273" s="1308">
        <f>SUM(AF271:AF272)</f>
        <v>0</v>
      </c>
      <c r="AG273" s="1326">
        <f>IF(AF$42=0,0,AF273/AF$42)</f>
        <v>0</v>
      </c>
      <c r="AH273" s="1308">
        <f>SUM(AH271:AH272)</f>
        <v>0</v>
      </c>
      <c r="AI273" s="1304">
        <f>IF(AH$48=0,0,AH273/AH$48)</f>
        <v>0</v>
      </c>
      <c r="AJ273" s="15"/>
    </row>
    <row r="274" spans="1:36" s="8" customFormat="1" ht="6.75" customHeight="1">
      <c r="A274" s="2"/>
      <c r="B274" s="16"/>
      <c r="C274" s="16"/>
      <c r="D274" s="1301"/>
      <c r="E274" s="1301"/>
      <c r="F274" s="1301"/>
      <c r="G274" s="1301"/>
      <c r="H274" s="1301"/>
      <c r="I274" s="1301"/>
      <c r="J274" s="1310"/>
      <c r="K274" s="1310"/>
      <c r="L274" s="1310"/>
      <c r="M274" s="1310"/>
      <c r="N274" s="1310"/>
      <c r="O274" s="1324"/>
      <c r="P274" s="1310"/>
      <c r="Q274" s="1310"/>
      <c r="R274" s="1310"/>
      <c r="S274" s="1310"/>
      <c r="T274" s="1310"/>
      <c r="U274" s="1324"/>
      <c r="V274" s="1310"/>
      <c r="W274" s="1310"/>
      <c r="X274" s="1310"/>
      <c r="Y274" s="1310"/>
      <c r="Z274" s="1310"/>
      <c r="AA274" s="1324"/>
      <c r="AB274" s="1310"/>
      <c r="AC274" s="1310"/>
      <c r="AD274" s="1310"/>
      <c r="AE274" s="1310"/>
      <c r="AF274" s="1310"/>
      <c r="AG274" s="1324"/>
      <c r="AH274" s="1310"/>
      <c r="AI274" s="1324"/>
      <c r="AJ274" s="15"/>
    </row>
    <row r="275" spans="1:36" s="8" customFormat="1" ht="15.75" thickBot="1">
      <c r="A275" s="2"/>
      <c r="B275" s="2"/>
      <c r="C275" s="2"/>
      <c r="D275" s="1301"/>
      <c r="E275" s="1313" t="s">
        <v>286</v>
      </c>
      <c r="F275" s="1301"/>
      <c r="G275" s="1301"/>
      <c r="H275" s="1301"/>
      <c r="I275" s="1301"/>
      <c r="J275" s="1328">
        <f>+J269-J273</f>
        <v>52586.580000000016</v>
      </c>
      <c r="K275" s="1310"/>
      <c r="L275" s="1328">
        <f>+L269-L273</f>
        <v>96447.589999999967</v>
      </c>
      <c r="M275" s="1310"/>
      <c r="N275" s="1328">
        <f>+N269-N273</f>
        <v>90420.170000000013</v>
      </c>
      <c r="O275" s="1326">
        <f>IF(N$42=0,0,N275/N$42)</f>
        <v>0</v>
      </c>
      <c r="P275" s="1328">
        <f>+P269-P273</f>
        <v>118476.68000000004</v>
      </c>
      <c r="Q275" s="1310"/>
      <c r="R275" s="1328">
        <f>+R269-R273</f>
        <v>76079.859999999986</v>
      </c>
      <c r="S275" s="1310"/>
      <c r="T275" s="1328">
        <f>+T269-T273</f>
        <v>89494.51999999996</v>
      </c>
      <c r="U275" s="1326">
        <f>IF(T$42=0,0,T275/T$42)</f>
        <v>0</v>
      </c>
      <c r="V275" s="1328">
        <f>+V269-V273</f>
        <v>75767.360000000001</v>
      </c>
      <c r="W275" s="1310"/>
      <c r="X275" s="1328">
        <f>+X269-X273</f>
        <v>101737.06</v>
      </c>
      <c r="Y275" s="1310"/>
      <c r="Z275" s="1328">
        <f>+Z269-Z273</f>
        <v>141271.94999999995</v>
      </c>
      <c r="AA275" s="1326">
        <f>IF(Z$42=0,0,Z275/Z$42)</f>
        <v>0</v>
      </c>
      <c r="AB275" s="1328">
        <f>+AB269-AB273</f>
        <v>100068.97999999998</v>
      </c>
      <c r="AC275" s="1310"/>
      <c r="AD275" s="1328">
        <f>+AD269-AD273</f>
        <v>132016.83000000007</v>
      </c>
      <c r="AE275" s="1310"/>
      <c r="AF275" s="1328">
        <f>+AF269-AF273</f>
        <v>142948.74</v>
      </c>
      <c r="AG275" s="1326">
        <f>IF(AF$42=0,0,AF275/AF$42)</f>
        <v>0</v>
      </c>
      <c r="AH275" s="1328">
        <f>+AH269-AH273</f>
        <v>1217316.3199999998</v>
      </c>
      <c r="AI275" s="1304">
        <f>IF(AH$48=0,0,AH275/AH$48)</f>
        <v>0.27722620303206474</v>
      </c>
      <c r="AJ275" s="15"/>
    </row>
    <row r="276" spans="1:36" s="20" customFormat="1" ht="15.75" thickTop="1">
      <c r="A276" s="13"/>
      <c r="B276" s="16"/>
      <c r="C276" s="16"/>
      <c r="D276" s="1301"/>
      <c r="E276" s="1301"/>
      <c r="F276" s="1298"/>
      <c r="G276" s="1301"/>
      <c r="H276" s="1327"/>
      <c r="I276" s="1327"/>
      <c r="J276" s="1329"/>
      <c r="K276" s="1327"/>
      <c r="L276" s="1329"/>
      <c r="M276" s="1281"/>
      <c r="N276" s="1329"/>
      <c r="O276" s="1281"/>
      <c r="P276" s="1329"/>
      <c r="Q276" s="1327"/>
      <c r="R276" s="1329"/>
      <c r="S276" s="1281"/>
      <c r="T276" s="1329"/>
      <c r="U276" s="1281"/>
      <c r="V276" s="1329"/>
      <c r="W276" s="1327"/>
      <c r="X276" s="1329"/>
      <c r="Y276" s="1281"/>
      <c r="Z276" s="1329"/>
      <c r="AA276" s="1281"/>
      <c r="AB276" s="1329"/>
      <c r="AC276" s="1327"/>
      <c r="AD276" s="1329"/>
      <c r="AE276" s="1281"/>
      <c r="AF276" s="1329"/>
      <c r="AG276" s="1281"/>
      <c r="AH276" s="1329"/>
      <c r="AI276" s="1329"/>
      <c r="AJ276" s="2"/>
    </row>
    <row r="277" spans="1:36" customFormat="1" ht="15" outlineLevel="1">
      <c r="B277" t="s">
        <v>430</v>
      </c>
      <c r="D277" s="1330"/>
      <c r="E277" s="1330"/>
      <c r="F277" s="1330"/>
      <c r="G277" s="1330"/>
      <c r="H277" s="1330"/>
      <c r="I277" s="1330"/>
      <c r="J277" s="1330"/>
      <c r="K277" s="1330"/>
      <c r="L277" s="1330"/>
      <c r="M277" s="1330"/>
      <c r="N277" s="1330"/>
      <c r="O277" s="1330"/>
      <c r="P277" s="1330"/>
      <c r="Q277" s="1330"/>
      <c r="R277" s="1330"/>
      <c r="S277" s="1330"/>
      <c r="T277" s="1330"/>
      <c r="U277" s="1330"/>
      <c r="V277" s="1330"/>
      <c r="W277" s="1330"/>
      <c r="X277" s="1330"/>
      <c r="Y277" s="1330"/>
      <c r="Z277" s="1330"/>
      <c r="AA277" s="1330"/>
      <c r="AB277" s="1330"/>
      <c r="AC277" s="1330"/>
      <c r="AD277" s="1330"/>
      <c r="AE277" s="1330"/>
      <c r="AF277" s="1330"/>
      <c r="AG277" s="1330"/>
      <c r="AH277" s="1330"/>
      <c r="AI277" s="1330"/>
    </row>
    <row r="278" spans="1:36" ht="6" customHeight="1" outlineLevel="1">
      <c r="A278" s="13"/>
      <c r="D278" s="1327"/>
      <c r="E278" s="1327"/>
      <c r="F278" s="1327"/>
      <c r="G278" s="1327"/>
      <c r="H278" s="1327"/>
      <c r="I278" s="1327"/>
      <c r="J278" s="1311"/>
      <c r="K278" s="1310"/>
      <c r="L278" s="1311"/>
      <c r="M278" s="1310"/>
      <c r="N278" s="1311"/>
      <c r="O278" s="1324"/>
      <c r="P278" s="1311"/>
      <c r="Q278" s="1310"/>
      <c r="R278" s="1311"/>
      <c r="S278" s="1310"/>
      <c r="T278" s="1311"/>
      <c r="U278" s="1324"/>
      <c r="V278" s="1311"/>
      <c r="W278" s="1310"/>
      <c r="X278" s="1311"/>
      <c r="Y278" s="1310"/>
      <c r="Z278" s="1311"/>
      <c r="AA278" s="1324"/>
      <c r="AB278" s="1311"/>
      <c r="AC278" s="1310"/>
      <c r="AD278" s="1311"/>
      <c r="AE278" s="1310"/>
      <c r="AF278" s="1311"/>
      <c r="AG278" s="1324"/>
      <c r="AH278" s="1311"/>
      <c r="AI278" s="1327"/>
    </row>
    <row r="279" spans="1:36" s="5" customFormat="1">
      <c r="A279" s="28"/>
      <c r="D279" s="1318"/>
      <c r="E279" s="1318" t="s">
        <v>287</v>
      </c>
      <c r="F279" s="1318"/>
      <c r="G279" s="1318"/>
      <c r="H279" s="1318"/>
      <c r="I279" s="1318"/>
      <c r="J279" s="1308">
        <f>SUM(J277:J278)</f>
        <v>0</v>
      </c>
      <c r="K279" s="1310"/>
      <c r="L279" s="1308">
        <f>SUM(L277:L278)</f>
        <v>0</v>
      </c>
      <c r="M279" s="1310"/>
      <c r="N279" s="1308">
        <f>SUM(N277:N278)</f>
        <v>0</v>
      </c>
      <c r="O279" s="1326"/>
      <c r="P279" s="1308">
        <f>SUM(P277:P278)</f>
        <v>0</v>
      </c>
      <c r="Q279" s="1310"/>
      <c r="R279" s="1308">
        <f>SUM(R277:R278)</f>
        <v>0</v>
      </c>
      <c r="S279" s="1310"/>
      <c r="T279" s="1308">
        <f>SUM(T277:T278)</f>
        <v>0</v>
      </c>
      <c r="U279" s="1326"/>
      <c r="V279" s="1308">
        <f>SUM(V277:V278)</f>
        <v>0</v>
      </c>
      <c r="W279" s="1310"/>
      <c r="X279" s="1308">
        <f>SUM(X277:X278)</f>
        <v>0</v>
      </c>
      <c r="Y279" s="1310"/>
      <c r="Z279" s="1308">
        <f>SUM(Z277:Z278)</f>
        <v>0</v>
      </c>
      <c r="AA279" s="1326"/>
      <c r="AB279" s="1308">
        <f>SUM(AB277:AB278)</f>
        <v>0</v>
      </c>
      <c r="AC279" s="1310"/>
      <c r="AD279" s="1308">
        <f>SUM(AD277:AD278)</f>
        <v>0</v>
      </c>
      <c r="AE279" s="1310"/>
      <c r="AF279" s="1308">
        <f>SUM(AF277:AF278)</f>
        <v>0</v>
      </c>
      <c r="AG279" s="1326"/>
      <c r="AH279" s="1308">
        <f>SUM(AH277:AH278)</f>
        <v>0</v>
      </c>
      <c r="AI279" s="1318"/>
    </row>
    <row r="280" spans="1:36">
      <c r="A280" s="13"/>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row>
    <row r="281" spans="1:36" ht="15">
      <c r="A281" s="13"/>
      <c r="B281" s="16"/>
      <c r="C281" s="16"/>
      <c r="D281" s="7"/>
      <c r="E281" s="7"/>
      <c r="F281" s="7"/>
      <c r="G281" s="7"/>
      <c r="M281" s="15"/>
      <c r="O281" s="15"/>
      <c r="S281" s="15"/>
      <c r="U281" s="15"/>
      <c r="Y281" s="15"/>
      <c r="AA281" s="15"/>
      <c r="AE281" s="15"/>
      <c r="AG281" s="15"/>
    </row>
    <row r="282" spans="1:36" ht="15.75">
      <c r="A282" s="13"/>
      <c r="B282" s="16"/>
      <c r="C282" s="16"/>
      <c r="D282" s="8"/>
      <c r="E282" s="8"/>
      <c r="F282" s="7"/>
      <c r="G282" s="8"/>
      <c r="M282" s="15"/>
      <c r="O282" s="15"/>
      <c r="S282" s="15"/>
      <c r="U282" s="15"/>
      <c r="Y282" s="15"/>
      <c r="AA282" s="15"/>
      <c r="AE282" s="15"/>
      <c r="AF282" s="21"/>
      <c r="AG282" s="22"/>
      <c r="AH282" s="23"/>
    </row>
    <row r="283" spans="1:36" s="20" customFormat="1" ht="15">
      <c r="A283" s="13"/>
      <c r="B283" s="16"/>
      <c r="C283" s="16"/>
      <c r="D283" s="8"/>
      <c r="E283" s="8"/>
      <c r="F283" s="8"/>
      <c r="G283" s="8"/>
      <c r="H283" s="2"/>
      <c r="I283" s="2"/>
      <c r="K283" s="2"/>
      <c r="M283" s="15"/>
      <c r="O283" s="15"/>
      <c r="Q283" s="2"/>
      <c r="S283" s="15"/>
      <c r="U283" s="15"/>
      <c r="W283" s="2"/>
      <c r="Y283" s="15"/>
      <c r="AA283" s="15"/>
      <c r="AC283" s="2"/>
      <c r="AE283" s="15"/>
      <c r="AG283" s="15"/>
      <c r="AI283" s="2"/>
      <c r="AJ283" s="2"/>
    </row>
    <row r="284" spans="1:36" s="20" customFormat="1" ht="15">
      <c r="A284" s="18"/>
      <c r="B284" s="18"/>
      <c r="C284" s="18"/>
      <c r="D284" s="18"/>
      <c r="E284" s="18"/>
      <c r="F284" s="18"/>
      <c r="G284" s="18"/>
      <c r="H284" s="2"/>
      <c r="I284" s="2"/>
      <c r="K284" s="2"/>
      <c r="M284" s="15"/>
      <c r="O284" s="15"/>
      <c r="Q284" s="2"/>
      <c r="S284" s="15"/>
      <c r="U284" s="15"/>
      <c r="Y284" s="15"/>
      <c r="AA284" s="15"/>
      <c r="AC284" s="2"/>
      <c r="AE284" s="15"/>
      <c r="AG284" s="15"/>
      <c r="AJ284" s="2"/>
    </row>
    <row r="285" spans="1:36" s="20" customFormat="1" ht="15">
      <c r="A285" s="13"/>
      <c r="B285" s="16"/>
      <c r="C285" s="16"/>
      <c r="D285" s="7"/>
      <c r="E285" s="7"/>
      <c r="F285" s="7"/>
      <c r="G285" s="7"/>
      <c r="H285" s="2"/>
      <c r="I285" s="2"/>
      <c r="K285" s="2"/>
      <c r="M285" s="15"/>
      <c r="O285" s="15"/>
      <c r="Q285" s="2"/>
      <c r="S285" s="15"/>
      <c r="U285" s="15"/>
      <c r="V285" s="29"/>
      <c r="W285" s="29"/>
      <c r="X285" s="29"/>
      <c r="Y285" s="15"/>
      <c r="Z285" s="29"/>
      <c r="AA285" s="15"/>
      <c r="AB285" s="29"/>
      <c r="AC285" s="2"/>
      <c r="AD285" s="29"/>
      <c r="AE285" s="15"/>
      <c r="AF285" s="29"/>
      <c r="AG285" s="15"/>
      <c r="AH285" s="29"/>
      <c r="AJ285" s="2"/>
    </row>
    <row r="286" spans="1:36" s="20" customFormat="1" ht="15">
      <c r="A286" s="13"/>
      <c r="B286" s="16"/>
      <c r="C286" s="16"/>
      <c r="D286" s="8"/>
      <c r="E286" s="8"/>
      <c r="F286" s="6"/>
      <c r="G286" s="8"/>
      <c r="H286" s="2"/>
      <c r="I286" s="2"/>
      <c r="K286" s="2"/>
      <c r="M286" s="15"/>
      <c r="O286" s="15"/>
      <c r="Q286" s="2"/>
      <c r="S286" s="15"/>
      <c r="U286" s="15"/>
      <c r="W286" s="2"/>
      <c r="Y286" s="15"/>
      <c r="AA286" s="15"/>
      <c r="AC286" s="2"/>
      <c r="AE286" s="15"/>
      <c r="AG286" s="15"/>
      <c r="AJ286" s="2"/>
    </row>
    <row r="287" spans="1:36" s="20" customFormat="1" ht="15">
      <c r="A287" s="13"/>
      <c r="B287" s="16"/>
      <c r="C287" s="16"/>
      <c r="D287" s="8"/>
      <c r="E287" s="8"/>
      <c r="F287" s="8"/>
      <c r="G287" s="8"/>
      <c r="H287" s="2"/>
      <c r="I287" s="2"/>
      <c r="K287" s="2"/>
      <c r="M287" s="15"/>
      <c r="O287" s="15"/>
      <c r="Q287" s="2"/>
      <c r="S287" s="15"/>
      <c r="U287" s="15"/>
      <c r="W287" s="2"/>
      <c r="Y287" s="15"/>
      <c r="AA287" s="15"/>
      <c r="AC287" s="2"/>
      <c r="AE287" s="15"/>
      <c r="AG287" s="15"/>
      <c r="AJ287" s="2"/>
    </row>
    <row r="288" spans="1:36" s="20" customFormat="1" ht="15">
      <c r="A288" s="18"/>
      <c r="B288" s="18"/>
      <c r="C288" s="18"/>
      <c r="D288" s="18"/>
      <c r="E288" s="18"/>
      <c r="F288" s="18"/>
      <c r="G288" s="18"/>
      <c r="H288" s="2"/>
      <c r="I288" s="2"/>
      <c r="K288" s="2"/>
      <c r="M288" s="15"/>
      <c r="O288" s="15"/>
      <c r="Q288" s="2"/>
      <c r="S288" s="15"/>
      <c r="U288" s="15"/>
      <c r="W288" s="2"/>
      <c r="Y288" s="15"/>
      <c r="AA288" s="15"/>
      <c r="AC288" s="2"/>
      <c r="AE288" s="15"/>
      <c r="AG288" s="15"/>
      <c r="AJ288" s="2"/>
    </row>
    <row r="289" spans="1:36" s="20" customFormat="1" ht="15">
      <c r="A289" s="13"/>
      <c r="B289" s="16"/>
      <c r="C289" s="16"/>
      <c r="D289" s="7"/>
      <c r="E289" s="7"/>
      <c r="F289" s="7"/>
      <c r="G289" s="7"/>
      <c r="H289" s="2"/>
      <c r="I289" s="2"/>
      <c r="K289" s="2"/>
      <c r="M289" s="15"/>
      <c r="O289" s="15"/>
      <c r="Q289" s="2"/>
      <c r="S289" s="15"/>
      <c r="U289" s="15"/>
      <c r="W289" s="2"/>
      <c r="Y289" s="15"/>
      <c r="AA289" s="15"/>
      <c r="AC289" s="2"/>
      <c r="AE289" s="15"/>
      <c r="AG289" s="15"/>
      <c r="AJ289" s="2"/>
    </row>
    <row r="290" spans="1:36" s="20" customFormat="1" ht="15">
      <c r="A290" s="13"/>
      <c r="B290" s="16"/>
      <c r="C290" s="16"/>
      <c r="D290" s="8"/>
      <c r="E290" s="8"/>
      <c r="F290" s="7"/>
      <c r="G290" s="8"/>
      <c r="H290" s="2"/>
      <c r="I290" s="2"/>
      <c r="K290" s="2"/>
      <c r="M290" s="15"/>
      <c r="O290" s="15"/>
      <c r="Q290" s="2"/>
      <c r="S290" s="15"/>
      <c r="U290" s="15"/>
      <c r="W290" s="2"/>
      <c r="Y290" s="15"/>
      <c r="AA290" s="15"/>
      <c r="AC290" s="2"/>
      <c r="AE290" s="15"/>
      <c r="AG290" s="15"/>
      <c r="AJ290" s="2"/>
    </row>
    <row r="291" spans="1:36" s="20" customFormat="1" ht="15">
      <c r="A291" s="13"/>
      <c r="B291" s="2"/>
      <c r="C291" s="2"/>
      <c r="D291" s="8"/>
      <c r="E291" s="8"/>
      <c r="F291" s="8"/>
      <c r="G291" s="8"/>
      <c r="H291" s="2"/>
      <c r="I291" s="2"/>
      <c r="K291" s="2"/>
      <c r="M291" s="15"/>
      <c r="O291" s="15"/>
      <c r="Q291" s="2"/>
      <c r="S291" s="15"/>
      <c r="U291" s="15"/>
      <c r="W291" s="2"/>
      <c r="Y291" s="15"/>
      <c r="AA291" s="15"/>
      <c r="AC291" s="2"/>
      <c r="AE291" s="15"/>
      <c r="AG291" s="15"/>
      <c r="AJ291" s="2"/>
    </row>
    <row r="292" spans="1:36" s="20" customFormat="1" ht="15">
      <c r="A292" s="13"/>
      <c r="B292" s="2"/>
      <c r="C292" s="2"/>
      <c r="D292" s="8"/>
      <c r="E292" s="17"/>
      <c r="F292" s="8"/>
      <c r="G292" s="8"/>
      <c r="H292" s="2"/>
      <c r="I292" s="2"/>
      <c r="K292" s="2"/>
      <c r="M292" s="15"/>
      <c r="O292" s="15"/>
      <c r="Q292" s="2"/>
      <c r="S292" s="15"/>
      <c r="U292" s="15"/>
      <c r="W292" s="2"/>
      <c r="Y292" s="15"/>
      <c r="AA292" s="15"/>
      <c r="AC292" s="2"/>
      <c r="AE292" s="15"/>
      <c r="AG292" s="15"/>
      <c r="AJ292" s="2"/>
    </row>
    <row r="293" spans="1:36" s="20" customFormat="1" ht="15">
      <c r="A293" s="13"/>
      <c r="B293" s="2"/>
      <c r="C293" s="2"/>
      <c r="D293" s="8"/>
      <c r="E293" s="8"/>
      <c r="F293" s="8"/>
      <c r="G293" s="8"/>
      <c r="H293" s="2"/>
      <c r="I293" s="2"/>
      <c r="K293" s="2"/>
      <c r="M293" s="15"/>
      <c r="O293" s="15"/>
      <c r="Q293" s="2"/>
      <c r="S293" s="15"/>
      <c r="U293" s="15"/>
      <c r="W293" s="2"/>
      <c r="Y293" s="15"/>
      <c r="AA293" s="15"/>
      <c r="AC293" s="2"/>
      <c r="AE293" s="15"/>
      <c r="AG293" s="15"/>
      <c r="AJ293" s="2"/>
    </row>
    <row r="294" spans="1:36" s="20" customFormat="1" ht="15">
      <c r="A294" s="18"/>
      <c r="B294" s="18"/>
      <c r="C294" s="18"/>
      <c r="D294" s="18"/>
      <c r="E294" s="18"/>
      <c r="F294" s="18"/>
      <c r="G294" s="18"/>
      <c r="H294" s="2"/>
      <c r="I294" s="2"/>
      <c r="K294" s="2"/>
      <c r="M294" s="15"/>
      <c r="O294" s="15"/>
      <c r="Q294" s="2"/>
      <c r="S294" s="15"/>
      <c r="U294" s="15"/>
      <c r="W294" s="2"/>
      <c r="Y294" s="15"/>
      <c r="AA294" s="15"/>
      <c r="AC294" s="2"/>
      <c r="AE294" s="15"/>
      <c r="AG294" s="15"/>
      <c r="AJ294" s="2"/>
    </row>
    <row r="295" spans="1:36" s="20" customFormat="1" ht="15">
      <c r="A295" s="13"/>
      <c r="B295" s="16"/>
      <c r="C295" s="16"/>
      <c r="D295" s="7"/>
      <c r="E295" s="7"/>
      <c r="F295" s="7"/>
      <c r="G295" s="7"/>
      <c r="H295" s="2"/>
      <c r="I295" s="2"/>
      <c r="K295" s="2"/>
      <c r="M295" s="15"/>
      <c r="O295" s="15"/>
      <c r="Q295" s="2"/>
      <c r="S295" s="15"/>
      <c r="U295" s="15"/>
      <c r="W295" s="2"/>
      <c r="Y295" s="15"/>
      <c r="AA295" s="15"/>
      <c r="AC295" s="2"/>
      <c r="AE295" s="15"/>
      <c r="AG295" s="15"/>
      <c r="AJ295" s="2"/>
    </row>
    <row r="296" spans="1:36" s="20" customFormat="1" ht="15">
      <c r="A296" s="13"/>
      <c r="B296" s="16"/>
      <c r="C296" s="16"/>
      <c r="D296" s="8"/>
      <c r="E296" s="8"/>
      <c r="F296" s="6"/>
      <c r="G296" s="8"/>
      <c r="H296" s="2"/>
      <c r="I296" s="2"/>
      <c r="K296" s="2"/>
      <c r="M296" s="15"/>
      <c r="O296" s="15"/>
      <c r="Q296" s="2"/>
      <c r="S296" s="15"/>
      <c r="U296" s="15"/>
      <c r="W296" s="2"/>
      <c r="Y296" s="15"/>
      <c r="AA296" s="15"/>
      <c r="AC296" s="2"/>
      <c r="AE296" s="15"/>
      <c r="AG296" s="15"/>
      <c r="AJ296" s="2"/>
    </row>
    <row r="297" spans="1:36" s="20" customFormat="1" ht="15">
      <c r="A297" s="13"/>
      <c r="B297" s="2"/>
      <c r="C297" s="2"/>
      <c r="D297" s="8"/>
      <c r="E297" s="8"/>
      <c r="F297" s="8"/>
      <c r="G297" s="8"/>
      <c r="H297" s="2"/>
      <c r="I297" s="2"/>
      <c r="K297" s="2"/>
      <c r="M297" s="15"/>
      <c r="O297" s="15"/>
      <c r="Q297" s="2"/>
      <c r="S297" s="15"/>
      <c r="U297" s="15"/>
      <c r="W297" s="2"/>
      <c r="Y297" s="15"/>
      <c r="AA297" s="15"/>
      <c r="AC297" s="2"/>
      <c r="AE297" s="15"/>
      <c r="AG297" s="15"/>
      <c r="AJ297" s="2"/>
    </row>
    <row r="298" spans="1:36" s="20" customFormat="1" ht="15">
      <c r="A298" s="13"/>
      <c r="B298" s="16"/>
      <c r="C298" s="16"/>
      <c r="D298" s="8"/>
      <c r="E298" s="17"/>
      <c r="F298" s="8"/>
      <c r="G298" s="8"/>
      <c r="H298" s="2"/>
      <c r="I298" s="2"/>
      <c r="K298" s="2"/>
      <c r="M298" s="15"/>
      <c r="O298" s="15"/>
      <c r="Q298" s="2"/>
      <c r="S298" s="15"/>
      <c r="U298" s="15"/>
      <c r="W298" s="2"/>
      <c r="Y298" s="15"/>
      <c r="AA298" s="15"/>
      <c r="AC298" s="2"/>
      <c r="AE298" s="15"/>
      <c r="AG298" s="15"/>
      <c r="AJ298" s="2"/>
    </row>
    <row r="299" spans="1:36" s="20" customFormat="1" ht="15">
      <c r="A299" s="13"/>
      <c r="B299" s="2"/>
      <c r="C299" s="2"/>
      <c r="D299" s="2"/>
      <c r="E299" s="2"/>
      <c r="F299" s="2"/>
      <c r="G299" s="2"/>
      <c r="H299" s="2"/>
      <c r="I299" s="2"/>
      <c r="K299" s="2"/>
      <c r="M299" s="15"/>
      <c r="O299" s="15"/>
      <c r="Q299" s="2"/>
      <c r="S299" s="15"/>
      <c r="U299" s="15"/>
      <c r="W299" s="2"/>
      <c r="Y299" s="15"/>
      <c r="AA299" s="15"/>
      <c r="AC299" s="2"/>
      <c r="AE299" s="15"/>
      <c r="AG299" s="15"/>
      <c r="AJ299" s="2"/>
    </row>
    <row r="300" spans="1:36" s="20" customFormat="1" ht="15">
      <c r="A300" s="18"/>
      <c r="B300" s="18"/>
      <c r="C300" s="18"/>
      <c r="D300" s="18"/>
      <c r="E300" s="18"/>
      <c r="F300" s="18"/>
      <c r="G300" s="18"/>
      <c r="H300" s="2"/>
      <c r="I300" s="2"/>
      <c r="K300" s="2"/>
      <c r="M300" s="15"/>
      <c r="O300" s="15"/>
      <c r="Q300" s="2"/>
      <c r="S300" s="15"/>
      <c r="U300" s="15"/>
      <c r="W300" s="2"/>
      <c r="Y300" s="15"/>
      <c r="AA300" s="15"/>
      <c r="AC300" s="2"/>
      <c r="AE300" s="15"/>
      <c r="AG300" s="15"/>
      <c r="AJ300" s="2"/>
    </row>
    <row r="301" spans="1:36" s="20" customFormat="1" ht="15">
      <c r="A301" s="13"/>
      <c r="B301" s="16"/>
      <c r="C301" s="16"/>
      <c r="D301" s="7"/>
      <c r="E301" s="7"/>
      <c r="F301" s="7"/>
      <c r="G301" s="7"/>
      <c r="H301" s="2"/>
      <c r="I301" s="2"/>
      <c r="K301" s="2"/>
      <c r="M301" s="15"/>
      <c r="O301" s="15"/>
      <c r="Q301" s="2"/>
      <c r="S301" s="15"/>
      <c r="U301" s="15"/>
      <c r="W301" s="2"/>
      <c r="Y301" s="15"/>
      <c r="AA301" s="15"/>
      <c r="AC301" s="2"/>
      <c r="AE301" s="15"/>
      <c r="AG301" s="15"/>
      <c r="AJ301" s="2"/>
    </row>
    <row r="302" spans="1:36" s="20" customFormat="1" ht="15">
      <c r="A302" s="2"/>
      <c r="B302" s="16"/>
      <c r="C302" s="16"/>
      <c r="D302" s="8"/>
      <c r="E302" s="8"/>
      <c r="F302" s="6"/>
      <c r="G302" s="8"/>
      <c r="H302" s="2"/>
      <c r="I302" s="2"/>
      <c r="K302" s="2"/>
      <c r="M302" s="15"/>
      <c r="O302" s="15"/>
      <c r="Q302" s="2"/>
      <c r="S302" s="15"/>
      <c r="U302" s="15"/>
      <c r="W302" s="2"/>
      <c r="Y302" s="15"/>
      <c r="AA302" s="15"/>
      <c r="AC302" s="2"/>
      <c r="AE302" s="15"/>
      <c r="AG302" s="15"/>
      <c r="AJ302" s="2"/>
    </row>
    <row r="303" spans="1:36" s="20" customFormat="1" ht="15">
      <c r="A303" s="2"/>
      <c r="B303" s="16"/>
      <c r="C303" s="16"/>
      <c r="D303" s="8"/>
      <c r="E303" s="8"/>
      <c r="F303" s="8"/>
      <c r="G303" s="8"/>
      <c r="H303" s="2"/>
      <c r="I303" s="2"/>
      <c r="K303" s="2"/>
      <c r="M303" s="15"/>
      <c r="O303" s="15"/>
      <c r="Q303" s="2"/>
      <c r="S303" s="15"/>
      <c r="U303" s="15"/>
      <c r="W303" s="2"/>
      <c r="Y303" s="15"/>
      <c r="AA303" s="15"/>
      <c r="AC303" s="2"/>
      <c r="AE303" s="15"/>
      <c r="AG303" s="15"/>
      <c r="AJ303" s="2"/>
    </row>
    <row r="304" spans="1:36" s="20" customFormat="1" ht="15">
      <c r="A304" s="2"/>
      <c r="B304" s="2"/>
      <c r="C304" s="2"/>
      <c r="D304" s="8"/>
      <c r="E304" s="17"/>
      <c r="F304" s="8"/>
      <c r="G304" s="8"/>
      <c r="H304" s="2"/>
      <c r="I304" s="2"/>
      <c r="K304" s="2"/>
      <c r="M304" s="15"/>
      <c r="O304" s="15"/>
      <c r="Q304" s="2"/>
      <c r="S304" s="15"/>
      <c r="U304" s="15"/>
      <c r="W304" s="2"/>
      <c r="Y304" s="15"/>
      <c r="AA304" s="15"/>
      <c r="AC304" s="2"/>
      <c r="AE304" s="15"/>
      <c r="AG304" s="15"/>
      <c r="AJ304" s="2"/>
    </row>
    <row r="305" spans="1:36" s="20" customFormat="1" ht="15">
      <c r="A305" s="2"/>
      <c r="B305" s="16"/>
      <c r="C305" s="16"/>
      <c r="D305" s="8"/>
      <c r="E305" s="8"/>
      <c r="F305" s="8"/>
      <c r="G305" s="8"/>
      <c r="H305" s="2"/>
      <c r="I305" s="2"/>
      <c r="K305" s="2"/>
      <c r="M305" s="15"/>
      <c r="O305" s="15"/>
      <c r="Q305" s="2"/>
      <c r="S305" s="15"/>
      <c r="U305" s="15"/>
      <c r="W305" s="2"/>
      <c r="Y305" s="15"/>
      <c r="AA305" s="15"/>
      <c r="AC305" s="2"/>
      <c r="AE305" s="15"/>
      <c r="AG305" s="15"/>
      <c r="AJ305" s="2"/>
    </row>
    <row r="306" spans="1:36" s="20" customFormat="1" ht="15">
      <c r="A306" s="13"/>
      <c r="B306" s="30"/>
      <c r="C306" s="13"/>
      <c r="D306" s="13"/>
      <c r="E306" s="13"/>
      <c r="F306" s="13"/>
      <c r="G306" s="13"/>
      <c r="H306" s="2"/>
      <c r="I306" s="2"/>
      <c r="K306" s="2"/>
      <c r="M306" s="15"/>
      <c r="O306" s="15"/>
      <c r="Q306" s="2"/>
      <c r="S306" s="15"/>
      <c r="U306" s="15"/>
      <c r="W306" s="2"/>
      <c r="Y306" s="15"/>
      <c r="AA306" s="15"/>
      <c r="AC306" s="2"/>
      <c r="AE306" s="15"/>
      <c r="AG306" s="15"/>
      <c r="AJ306" s="2"/>
    </row>
    <row r="307" spans="1:36" s="20" customFormat="1" ht="15">
      <c r="A307" s="13"/>
      <c r="B307" s="16"/>
      <c r="C307" s="16"/>
      <c r="D307" s="7"/>
      <c r="E307" s="7"/>
      <c r="F307" s="7"/>
      <c r="G307" s="7"/>
      <c r="H307" s="2"/>
      <c r="I307" s="2"/>
      <c r="K307" s="2"/>
      <c r="M307" s="15"/>
      <c r="O307" s="15"/>
      <c r="Q307" s="2"/>
      <c r="S307" s="15"/>
      <c r="U307" s="15"/>
      <c r="W307" s="2"/>
      <c r="Y307" s="15"/>
      <c r="AA307" s="15"/>
      <c r="AC307" s="2"/>
      <c r="AE307" s="15"/>
      <c r="AG307" s="15"/>
      <c r="AJ307" s="2"/>
    </row>
    <row r="308" spans="1:36" s="20" customFormat="1" ht="15">
      <c r="A308" s="13"/>
      <c r="B308" s="16"/>
      <c r="C308" s="16"/>
      <c r="D308" s="8"/>
      <c r="E308" s="8"/>
      <c r="F308" s="6"/>
      <c r="G308" s="8"/>
      <c r="H308" s="2"/>
      <c r="I308" s="2"/>
      <c r="K308" s="2"/>
      <c r="M308" s="15"/>
      <c r="O308" s="15"/>
      <c r="Q308" s="2"/>
      <c r="S308" s="15"/>
      <c r="U308" s="15"/>
      <c r="W308" s="2"/>
      <c r="Y308" s="15"/>
      <c r="AA308" s="15"/>
      <c r="AC308" s="2"/>
      <c r="AE308" s="15"/>
      <c r="AG308" s="15"/>
      <c r="AJ308" s="2"/>
    </row>
    <row r="309" spans="1:36" s="20" customFormat="1" ht="15">
      <c r="A309" s="2"/>
      <c r="B309" s="16"/>
      <c r="C309" s="16"/>
      <c r="D309" s="8"/>
      <c r="E309" s="8"/>
      <c r="F309" s="8"/>
      <c r="G309" s="8"/>
      <c r="H309" s="2"/>
      <c r="I309" s="2"/>
      <c r="K309" s="2"/>
      <c r="M309" s="15"/>
      <c r="O309" s="15"/>
      <c r="Q309" s="2"/>
      <c r="S309" s="15"/>
      <c r="U309" s="15"/>
      <c r="W309" s="2"/>
      <c r="Y309" s="15"/>
      <c r="AA309" s="15"/>
      <c r="AC309" s="2"/>
      <c r="AE309" s="15"/>
      <c r="AG309" s="15"/>
      <c r="AJ309" s="2"/>
    </row>
    <row r="310" spans="1:36" s="20" customFormat="1" ht="15">
      <c r="A310" s="2"/>
      <c r="B310" s="2"/>
      <c r="C310" s="2"/>
      <c r="D310" s="8"/>
      <c r="E310" s="17"/>
      <c r="F310" s="8"/>
      <c r="G310" s="8"/>
      <c r="H310" s="2"/>
      <c r="I310" s="2"/>
      <c r="K310" s="2"/>
      <c r="M310" s="15"/>
      <c r="O310" s="15"/>
      <c r="Q310" s="2"/>
      <c r="S310" s="15"/>
      <c r="U310" s="15"/>
      <c r="W310" s="2"/>
      <c r="Y310" s="15"/>
      <c r="AA310" s="15"/>
      <c r="AC310" s="2"/>
      <c r="AE310" s="15"/>
      <c r="AG310" s="15"/>
      <c r="AJ310" s="2"/>
    </row>
    <row r="311" spans="1:36" s="20" customFormat="1" ht="15">
      <c r="A311" s="2"/>
      <c r="B311" s="2"/>
      <c r="C311" s="2"/>
      <c r="D311" s="2"/>
      <c r="E311" s="2"/>
      <c r="F311" s="2"/>
      <c r="G311" s="2"/>
      <c r="H311" s="2"/>
      <c r="I311" s="2"/>
      <c r="K311" s="2"/>
      <c r="M311" s="15"/>
      <c r="O311" s="15"/>
      <c r="Q311" s="2"/>
      <c r="S311" s="15"/>
      <c r="U311" s="15"/>
      <c r="W311" s="2"/>
      <c r="Y311" s="15"/>
      <c r="AA311" s="15"/>
      <c r="AC311" s="2"/>
      <c r="AE311" s="15"/>
      <c r="AG311" s="15"/>
      <c r="AJ311" s="2"/>
    </row>
    <row r="312" spans="1:36" s="20" customFormat="1" ht="15">
      <c r="B312" s="2"/>
      <c r="D312" s="2"/>
      <c r="E312" s="2"/>
      <c r="F312" s="2"/>
      <c r="G312" s="2"/>
      <c r="H312" s="2"/>
      <c r="I312" s="2"/>
      <c r="K312" s="2"/>
      <c r="M312" s="15"/>
      <c r="O312" s="15"/>
      <c r="Q312" s="2"/>
      <c r="S312" s="15"/>
      <c r="U312" s="15"/>
      <c r="W312" s="2"/>
      <c r="Y312" s="15"/>
      <c r="AA312" s="15"/>
      <c r="AC312" s="2"/>
      <c r="AE312" s="15"/>
      <c r="AG312" s="15"/>
      <c r="AJ312" s="2"/>
    </row>
    <row r="313" spans="1:36" s="20" customFormat="1" ht="15">
      <c r="B313" s="2"/>
      <c r="D313" s="2"/>
      <c r="E313" s="2"/>
      <c r="F313" s="2"/>
      <c r="G313" s="2"/>
      <c r="H313" s="2"/>
      <c r="I313" s="2"/>
      <c r="K313" s="2"/>
      <c r="M313" s="15"/>
      <c r="O313" s="15"/>
      <c r="Q313" s="2"/>
      <c r="S313" s="15"/>
      <c r="U313" s="15"/>
      <c r="W313" s="2"/>
      <c r="Y313" s="15"/>
      <c r="AA313" s="15"/>
      <c r="AC313" s="2"/>
      <c r="AE313" s="15"/>
      <c r="AG313" s="15"/>
      <c r="AJ313" s="2"/>
    </row>
    <row r="314" spans="1:36" s="20" customFormat="1" ht="15">
      <c r="B314" s="2"/>
      <c r="D314" s="2"/>
      <c r="E314" s="2"/>
      <c r="F314" s="2"/>
      <c r="G314" s="2"/>
      <c r="H314" s="2"/>
      <c r="I314" s="2"/>
      <c r="K314" s="2"/>
      <c r="M314" s="15"/>
      <c r="O314" s="15"/>
      <c r="Q314" s="2"/>
      <c r="S314" s="15"/>
      <c r="U314" s="15"/>
      <c r="W314" s="2"/>
      <c r="Y314" s="15"/>
      <c r="AA314" s="15"/>
      <c r="AC314" s="2"/>
      <c r="AE314" s="15"/>
      <c r="AG314" s="15"/>
      <c r="AJ314" s="2"/>
    </row>
    <row r="315" spans="1:36" s="20" customFormat="1" ht="15">
      <c r="B315" s="2"/>
      <c r="D315" s="2"/>
      <c r="E315" s="2"/>
      <c r="F315" s="2"/>
      <c r="G315" s="2"/>
      <c r="H315" s="2"/>
      <c r="I315" s="2"/>
      <c r="K315" s="2"/>
      <c r="M315" s="15"/>
      <c r="O315" s="15"/>
      <c r="Q315" s="2"/>
      <c r="S315" s="15"/>
      <c r="U315" s="15"/>
      <c r="W315" s="2"/>
      <c r="Y315" s="15"/>
      <c r="AA315" s="15"/>
      <c r="AC315" s="2"/>
      <c r="AE315" s="15"/>
      <c r="AG315" s="15"/>
      <c r="AJ315" s="2"/>
    </row>
    <row r="316" spans="1:36" s="20" customFormat="1" ht="15">
      <c r="B316" s="2"/>
      <c r="D316" s="2"/>
      <c r="E316" s="2"/>
      <c r="F316" s="2"/>
      <c r="G316" s="2"/>
      <c r="H316" s="2"/>
      <c r="I316" s="2"/>
      <c r="K316" s="2"/>
      <c r="M316" s="15"/>
      <c r="O316" s="15"/>
      <c r="Q316" s="2"/>
      <c r="S316" s="15"/>
      <c r="U316" s="15"/>
      <c r="W316" s="2"/>
      <c r="Y316" s="15"/>
      <c r="AA316" s="15"/>
      <c r="AC316" s="2"/>
      <c r="AE316" s="15"/>
      <c r="AG316" s="15"/>
      <c r="AJ316" s="2"/>
    </row>
    <row r="317" spans="1:36" s="20" customFormat="1" ht="15">
      <c r="B317" s="2"/>
      <c r="D317" s="2"/>
      <c r="E317" s="2"/>
      <c r="F317" s="2"/>
      <c r="G317" s="2"/>
      <c r="H317" s="2"/>
      <c r="I317" s="2"/>
      <c r="K317" s="2"/>
      <c r="M317" s="15"/>
      <c r="O317" s="15"/>
      <c r="Q317" s="2"/>
      <c r="S317" s="15"/>
      <c r="U317" s="15"/>
      <c r="W317" s="2"/>
      <c r="Y317" s="15"/>
      <c r="AA317" s="15"/>
      <c r="AC317" s="2"/>
      <c r="AE317" s="15"/>
      <c r="AG317" s="15"/>
      <c r="AJ317" s="2"/>
    </row>
    <row r="318" spans="1:36" s="20" customFormat="1" ht="15">
      <c r="B318" s="2"/>
      <c r="D318" s="2"/>
      <c r="E318" s="2"/>
      <c r="F318" s="2"/>
      <c r="G318" s="2"/>
      <c r="H318" s="2"/>
      <c r="I318" s="2"/>
      <c r="K318" s="2"/>
      <c r="M318" s="15"/>
      <c r="O318" s="15"/>
      <c r="Q318" s="2"/>
      <c r="S318" s="15"/>
      <c r="U318" s="15"/>
      <c r="W318" s="2"/>
      <c r="Y318" s="15"/>
      <c r="AA318" s="15"/>
      <c r="AC318" s="2"/>
      <c r="AE318" s="15"/>
      <c r="AG318" s="15"/>
      <c r="AJ318" s="2"/>
    </row>
    <row r="319" spans="1:36" s="20" customFormat="1" ht="15">
      <c r="D319" s="2"/>
      <c r="E319" s="2"/>
      <c r="F319" s="2"/>
      <c r="G319" s="2"/>
      <c r="H319" s="2"/>
      <c r="I319" s="2"/>
      <c r="K319" s="2"/>
      <c r="M319" s="15"/>
      <c r="O319" s="15"/>
      <c r="Q319" s="2"/>
      <c r="S319" s="15"/>
      <c r="U319" s="15"/>
      <c r="W319" s="2"/>
      <c r="Y319" s="15"/>
      <c r="AA319" s="15"/>
      <c r="AC319" s="2"/>
      <c r="AE319" s="15"/>
      <c r="AG319" s="15"/>
      <c r="AJ319" s="2"/>
    </row>
    <row r="320" spans="1:36" s="20" customFormat="1" ht="15">
      <c r="D320" s="2"/>
      <c r="E320" s="2"/>
      <c r="F320" s="2"/>
      <c r="G320" s="2"/>
      <c r="H320" s="2"/>
      <c r="I320" s="2"/>
      <c r="K320" s="2"/>
      <c r="M320" s="15"/>
      <c r="O320" s="15"/>
      <c r="Q320" s="2"/>
      <c r="S320" s="15"/>
      <c r="U320" s="15"/>
      <c r="W320" s="2"/>
      <c r="Y320" s="15"/>
      <c r="AA320" s="15"/>
      <c r="AC320" s="2"/>
      <c r="AE320" s="15"/>
      <c r="AG320" s="15"/>
      <c r="AJ320" s="2"/>
    </row>
    <row r="321" spans="4:36" s="20" customFormat="1" ht="15">
      <c r="D321" s="2"/>
      <c r="E321" s="2"/>
      <c r="F321" s="2"/>
      <c r="G321" s="2"/>
      <c r="H321" s="2"/>
      <c r="I321" s="2"/>
      <c r="K321" s="2"/>
      <c r="M321" s="15"/>
      <c r="O321" s="15"/>
      <c r="Q321" s="2"/>
      <c r="S321" s="15"/>
      <c r="U321" s="15"/>
      <c r="W321" s="2"/>
      <c r="Y321" s="15"/>
      <c r="AA321" s="15"/>
      <c r="AC321" s="2"/>
      <c r="AE321" s="15"/>
      <c r="AG321" s="15"/>
      <c r="AJ321" s="2"/>
    </row>
    <row r="322" spans="4:36" s="20" customFormat="1" ht="15">
      <c r="D322" s="2"/>
      <c r="E322" s="2"/>
      <c r="F322" s="2"/>
      <c r="G322" s="2"/>
      <c r="H322" s="2"/>
      <c r="I322" s="2"/>
      <c r="K322" s="2"/>
      <c r="M322" s="15"/>
      <c r="O322" s="15"/>
      <c r="Q322" s="2"/>
      <c r="S322" s="15"/>
      <c r="U322" s="15"/>
      <c r="W322" s="2"/>
      <c r="Y322" s="15"/>
      <c r="AA322" s="15"/>
      <c r="AC322" s="2"/>
      <c r="AE322" s="15"/>
      <c r="AG322" s="15"/>
      <c r="AJ322" s="2"/>
    </row>
    <row r="323" spans="4:36" s="20" customFormat="1" ht="15">
      <c r="D323" s="2"/>
      <c r="E323" s="2"/>
      <c r="F323" s="2"/>
      <c r="G323" s="2"/>
      <c r="H323" s="2"/>
      <c r="I323" s="2"/>
      <c r="K323" s="2"/>
      <c r="M323" s="15"/>
      <c r="O323" s="15"/>
      <c r="Q323" s="2"/>
      <c r="S323" s="15"/>
      <c r="U323" s="15"/>
      <c r="W323" s="2"/>
      <c r="Y323" s="15"/>
      <c r="AA323" s="15"/>
      <c r="AC323" s="2"/>
      <c r="AE323" s="15"/>
      <c r="AG323" s="15"/>
      <c r="AJ323" s="2"/>
    </row>
    <row r="324" spans="4:36" s="20" customFormat="1" ht="15">
      <c r="D324" s="2"/>
      <c r="E324" s="2"/>
      <c r="F324" s="2"/>
      <c r="G324" s="2"/>
      <c r="H324" s="2"/>
      <c r="I324" s="2"/>
      <c r="K324" s="2"/>
      <c r="M324" s="15"/>
      <c r="O324" s="15"/>
      <c r="Q324" s="2"/>
      <c r="S324" s="15"/>
      <c r="U324" s="15"/>
      <c r="W324" s="2"/>
      <c r="Y324" s="15"/>
      <c r="AA324" s="15"/>
      <c r="AC324" s="2"/>
      <c r="AE324" s="15"/>
      <c r="AG324" s="15"/>
      <c r="AJ324" s="2"/>
    </row>
    <row r="325" spans="4:36" s="20" customFormat="1" ht="15">
      <c r="D325" s="2"/>
      <c r="E325" s="2"/>
      <c r="F325" s="2"/>
      <c r="G325" s="2"/>
      <c r="H325" s="2"/>
      <c r="I325" s="2"/>
      <c r="K325" s="2"/>
      <c r="M325" s="15"/>
      <c r="O325" s="15"/>
      <c r="Q325" s="2"/>
      <c r="S325" s="15"/>
      <c r="U325" s="15"/>
      <c r="W325" s="2"/>
      <c r="Y325" s="15"/>
      <c r="AA325" s="15"/>
      <c r="AC325" s="2"/>
      <c r="AE325" s="15"/>
      <c r="AG325" s="15"/>
      <c r="AJ325" s="2"/>
    </row>
    <row r="326" spans="4:36" s="20" customFormat="1" ht="15">
      <c r="D326" s="2"/>
      <c r="E326" s="2"/>
      <c r="F326" s="2"/>
      <c r="G326" s="2"/>
      <c r="H326" s="2"/>
      <c r="I326" s="2"/>
      <c r="K326" s="2"/>
      <c r="M326" s="15"/>
      <c r="O326" s="15"/>
      <c r="Q326" s="2"/>
      <c r="S326" s="15"/>
      <c r="U326" s="15"/>
      <c r="W326" s="2"/>
      <c r="Y326" s="15"/>
      <c r="AA326" s="15"/>
      <c r="AC326" s="2"/>
      <c r="AE326" s="15"/>
      <c r="AG326" s="15"/>
      <c r="AJ326" s="2"/>
    </row>
    <row r="327" spans="4:36" s="20" customFormat="1" ht="15">
      <c r="D327" s="2"/>
      <c r="E327" s="2"/>
      <c r="F327" s="2"/>
      <c r="G327" s="2"/>
      <c r="H327" s="2"/>
      <c r="I327" s="2"/>
      <c r="K327" s="2"/>
      <c r="M327" s="15"/>
      <c r="O327" s="15"/>
      <c r="Q327" s="2"/>
      <c r="S327" s="15"/>
      <c r="U327" s="15"/>
      <c r="W327" s="2"/>
      <c r="Y327" s="15"/>
      <c r="AA327" s="15"/>
      <c r="AC327" s="2"/>
      <c r="AE327" s="15"/>
      <c r="AG327" s="15"/>
      <c r="AJ327" s="2"/>
    </row>
    <row r="328" spans="4:36" s="20" customFormat="1" ht="15">
      <c r="D328" s="2"/>
      <c r="E328" s="2"/>
      <c r="F328" s="2"/>
      <c r="G328" s="2"/>
      <c r="H328" s="2"/>
      <c r="I328" s="2"/>
      <c r="K328" s="2"/>
      <c r="M328" s="15"/>
      <c r="O328" s="15"/>
      <c r="Q328" s="2"/>
      <c r="S328" s="15"/>
      <c r="U328" s="15"/>
      <c r="W328" s="2"/>
      <c r="Y328" s="15"/>
      <c r="AA328" s="15"/>
      <c r="AC328" s="2"/>
      <c r="AE328" s="15"/>
      <c r="AG328" s="15"/>
      <c r="AJ328" s="2"/>
    </row>
    <row r="329" spans="4:36" s="20" customFormat="1" ht="15">
      <c r="D329" s="2"/>
      <c r="E329" s="2"/>
      <c r="F329" s="2"/>
      <c r="G329" s="2"/>
      <c r="H329" s="2"/>
      <c r="I329" s="2"/>
      <c r="K329" s="2"/>
      <c r="M329" s="15"/>
      <c r="O329" s="15"/>
      <c r="Q329" s="2"/>
      <c r="S329" s="15"/>
      <c r="U329" s="15"/>
      <c r="W329" s="2"/>
      <c r="Y329" s="15"/>
      <c r="AA329" s="15"/>
      <c r="AC329" s="2"/>
      <c r="AE329" s="15"/>
      <c r="AG329" s="15"/>
      <c r="AJ329" s="2"/>
    </row>
    <row r="330" spans="4:36" s="20" customFormat="1" ht="15">
      <c r="D330" s="2"/>
      <c r="E330" s="2"/>
      <c r="F330" s="2"/>
      <c r="G330" s="2"/>
      <c r="H330" s="2"/>
      <c r="I330" s="2"/>
      <c r="K330" s="2"/>
      <c r="M330" s="15"/>
      <c r="O330" s="15"/>
      <c r="Q330" s="2"/>
      <c r="S330" s="15"/>
      <c r="U330" s="15"/>
      <c r="W330" s="2"/>
      <c r="Y330" s="15"/>
      <c r="AA330" s="15"/>
      <c r="AC330" s="2"/>
      <c r="AE330" s="15"/>
      <c r="AG330" s="15"/>
      <c r="AJ330" s="2"/>
    </row>
    <row r="331" spans="4:36" s="20" customFormat="1" ht="15">
      <c r="D331" s="2"/>
      <c r="E331" s="2"/>
      <c r="F331" s="2"/>
      <c r="G331" s="2"/>
      <c r="H331" s="2"/>
      <c r="I331" s="2"/>
      <c r="K331" s="2"/>
      <c r="M331" s="15"/>
      <c r="O331" s="15"/>
      <c r="Q331" s="2"/>
      <c r="S331" s="15"/>
      <c r="U331" s="15"/>
      <c r="W331" s="2"/>
      <c r="Y331" s="15"/>
      <c r="AA331" s="15"/>
      <c r="AC331" s="2"/>
      <c r="AE331" s="15"/>
      <c r="AG331" s="15"/>
      <c r="AJ331" s="2"/>
    </row>
    <row r="332" spans="4:36" s="20" customFormat="1" ht="15">
      <c r="D332" s="2"/>
      <c r="E332" s="2"/>
      <c r="F332" s="2"/>
      <c r="G332" s="2"/>
      <c r="H332" s="2"/>
      <c r="I332" s="2"/>
      <c r="K332" s="2"/>
      <c r="M332" s="15"/>
      <c r="O332" s="15"/>
      <c r="Q332" s="2"/>
      <c r="S332" s="15"/>
      <c r="U332" s="15"/>
      <c r="W332" s="2"/>
      <c r="Y332" s="15"/>
      <c r="AA332" s="15"/>
      <c r="AC332" s="2"/>
      <c r="AE332" s="15"/>
      <c r="AG332" s="15"/>
      <c r="AJ332" s="2"/>
    </row>
    <row r="333" spans="4:36" s="20" customFormat="1" ht="15">
      <c r="D333" s="2"/>
      <c r="E333" s="2"/>
      <c r="F333" s="2"/>
      <c r="G333" s="2"/>
      <c r="H333" s="2"/>
      <c r="I333" s="2"/>
      <c r="K333" s="2"/>
      <c r="M333" s="15"/>
      <c r="O333" s="15"/>
      <c r="Q333" s="2"/>
      <c r="S333" s="15"/>
      <c r="U333" s="15"/>
      <c r="W333" s="2"/>
      <c r="Y333" s="15"/>
      <c r="AA333" s="15"/>
      <c r="AC333" s="2"/>
      <c r="AE333" s="15"/>
      <c r="AG333" s="15"/>
      <c r="AJ333" s="2"/>
    </row>
    <row r="334" spans="4:36" s="20" customFormat="1" ht="15">
      <c r="D334" s="2"/>
      <c r="E334" s="2"/>
      <c r="F334" s="2"/>
      <c r="G334" s="2"/>
      <c r="H334" s="2"/>
      <c r="I334" s="2"/>
      <c r="K334" s="2"/>
      <c r="M334" s="15"/>
      <c r="O334" s="15"/>
      <c r="Q334" s="2"/>
      <c r="S334" s="15"/>
      <c r="U334" s="15"/>
      <c r="W334" s="2"/>
      <c r="Y334" s="15"/>
      <c r="AA334" s="15"/>
      <c r="AC334" s="2"/>
      <c r="AE334" s="15"/>
      <c r="AG334" s="15"/>
      <c r="AJ334" s="2"/>
    </row>
    <row r="335" spans="4:36" s="20" customFormat="1" ht="15">
      <c r="D335" s="2"/>
      <c r="E335" s="2"/>
      <c r="F335" s="2"/>
      <c r="G335" s="2"/>
      <c r="H335" s="2"/>
      <c r="I335" s="2"/>
      <c r="K335" s="2"/>
      <c r="M335" s="15"/>
      <c r="O335" s="15"/>
      <c r="Q335" s="2"/>
      <c r="S335" s="15"/>
      <c r="U335" s="15"/>
      <c r="W335" s="2"/>
      <c r="Y335" s="15"/>
      <c r="AA335" s="15"/>
      <c r="AC335" s="2"/>
      <c r="AE335" s="15"/>
      <c r="AG335" s="15"/>
      <c r="AJ335" s="2"/>
    </row>
    <row r="336" spans="4:36" s="20" customFormat="1" ht="15">
      <c r="D336" s="2"/>
      <c r="E336" s="2"/>
      <c r="F336" s="2"/>
      <c r="G336" s="2"/>
      <c r="H336" s="2"/>
      <c r="I336" s="2"/>
      <c r="K336" s="2"/>
      <c r="M336" s="15"/>
      <c r="O336" s="15"/>
      <c r="Q336" s="2"/>
      <c r="S336" s="15"/>
      <c r="U336" s="15"/>
      <c r="W336" s="2"/>
      <c r="Y336" s="15"/>
      <c r="AA336" s="15"/>
      <c r="AC336" s="2"/>
      <c r="AE336" s="15"/>
      <c r="AG336" s="15"/>
      <c r="AJ336" s="2"/>
    </row>
    <row r="337" spans="4:36" s="20" customFormat="1" ht="15">
      <c r="D337" s="2"/>
      <c r="E337" s="2"/>
      <c r="F337" s="2"/>
      <c r="G337" s="2"/>
      <c r="H337" s="2"/>
      <c r="I337" s="2"/>
      <c r="K337" s="2"/>
      <c r="M337" s="15"/>
      <c r="O337" s="15"/>
      <c r="Q337" s="2"/>
      <c r="S337" s="15"/>
      <c r="U337" s="15"/>
      <c r="W337" s="2"/>
      <c r="Y337" s="15"/>
      <c r="AA337" s="15"/>
      <c r="AC337" s="2"/>
      <c r="AE337" s="15"/>
      <c r="AG337" s="15"/>
      <c r="AJ337" s="2"/>
    </row>
    <row r="338" spans="4:36" s="20" customFormat="1" ht="15">
      <c r="D338" s="2"/>
      <c r="E338" s="2"/>
      <c r="F338" s="2"/>
      <c r="G338" s="2"/>
      <c r="H338" s="2"/>
      <c r="I338" s="2"/>
      <c r="K338" s="2"/>
      <c r="M338" s="15"/>
      <c r="O338" s="15"/>
      <c r="Q338" s="2"/>
      <c r="S338" s="15"/>
      <c r="U338" s="15"/>
      <c r="W338" s="2"/>
      <c r="Y338" s="15"/>
      <c r="AA338" s="15"/>
      <c r="AC338" s="2"/>
      <c r="AE338" s="15"/>
      <c r="AG338" s="15"/>
      <c r="AJ338" s="2"/>
    </row>
    <row r="339" spans="4:36" s="20" customFormat="1" ht="15">
      <c r="D339" s="2"/>
      <c r="E339" s="2"/>
      <c r="F339" s="2"/>
      <c r="G339" s="2"/>
      <c r="H339" s="2"/>
      <c r="I339" s="2"/>
      <c r="K339" s="2"/>
      <c r="M339" s="15"/>
      <c r="O339" s="15"/>
      <c r="Q339" s="2"/>
      <c r="S339" s="15"/>
      <c r="U339" s="15"/>
      <c r="W339" s="2"/>
      <c r="Y339" s="15"/>
      <c r="AA339" s="15"/>
      <c r="AC339" s="2"/>
      <c r="AE339" s="15"/>
      <c r="AG339" s="15"/>
      <c r="AJ339" s="2"/>
    </row>
    <row r="340" spans="4:36" s="20" customFormat="1" ht="15">
      <c r="D340" s="2"/>
      <c r="E340" s="2"/>
      <c r="F340" s="2"/>
      <c r="G340" s="2"/>
      <c r="H340" s="2"/>
      <c r="I340" s="2"/>
      <c r="K340" s="2"/>
      <c r="M340" s="15"/>
      <c r="O340" s="15"/>
      <c r="Q340" s="2"/>
      <c r="S340" s="15"/>
      <c r="U340" s="15"/>
      <c r="W340" s="2"/>
      <c r="Y340" s="15"/>
      <c r="AA340" s="15"/>
      <c r="AC340" s="2"/>
      <c r="AE340" s="15"/>
      <c r="AG340" s="15"/>
      <c r="AJ340" s="2"/>
    </row>
    <row r="341" spans="4:36" s="20" customFormat="1" ht="15">
      <c r="D341" s="2"/>
      <c r="E341" s="2"/>
      <c r="F341" s="2"/>
      <c r="G341" s="2"/>
      <c r="H341" s="2"/>
      <c r="I341" s="2"/>
      <c r="K341" s="2"/>
      <c r="M341" s="15"/>
      <c r="O341" s="15"/>
      <c r="Q341" s="2"/>
      <c r="S341" s="15"/>
      <c r="U341" s="15"/>
      <c r="W341" s="2"/>
      <c r="Y341" s="15"/>
      <c r="AA341" s="15"/>
      <c r="AC341" s="2"/>
      <c r="AE341" s="15"/>
      <c r="AG341" s="15"/>
      <c r="AJ341" s="2"/>
    </row>
    <row r="342" spans="4:36" s="20" customFormat="1" ht="15">
      <c r="D342" s="2"/>
      <c r="E342" s="2"/>
      <c r="F342" s="2"/>
      <c r="G342" s="2"/>
      <c r="H342" s="2"/>
      <c r="I342" s="2"/>
      <c r="K342" s="2"/>
      <c r="M342" s="15"/>
      <c r="O342" s="15"/>
      <c r="Q342" s="2"/>
      <c r="S342" s="15"/>
      <c r="U342" s="15"/>
      <c r="W342" s="2"/>
      <c r="Y342" s="15"/>
      <c r="AA342" s="15"/>
      <c r="AC342" s="2"/>
      <c r="AE342" s="15"/>
      <c r="AG342" s="15"/>
      <c r="AJ342" s="2"/>
    </row>
    <row r="343" spans="4:36" s="20" customFormat="1" ht="15">
      <c r="D343" s="2"/>
      <c r="E343" s="2"/>
      <c r="F343" s="2"/>
      <c r="G343" s="2"/>
      <c r="H343" s="2"/>
      <c r="I343" s="2"/>
      <c r="K343" s="2"/>
      <c r="M343" s="15"/>
      <c r="O343" s="15"/>
      <c r="Q343" s="2"/>
      <c r="S343" s="15"/>
      <c r="U343" s="15"/>
      <c r="W343" s="2"/>
      <c r="Y343" s="15"/>
      <c r="AA343" s="15"/>
      <c r="AC343" s="2"/>
      <c r="AE343" s="15"/>
      <c r="AG343" s="15"/>
      <c r="AJ343" s="2"/>
    </row>
    <row r="344" spans="4:36" s="20" customFormat="1" ht="15">
      <c r="D344" s="2"/>
      <c r="E344" s="2"/>
      <c r="F344" s="2"/>
      <c r="G344" s="2"/>
      <c r="H344" s="2"/>
      <c r="I344" s="2"/>
      <c r="K344" s="2"/>
      <c r="M344" s="15"/>
      <c r="O344" s="15"/>
      <c r="Q344" s="2"/>
      <c r="S344" s="15"/>
      <c r="U344" s="15"/>
      <c r="W344" s="2"/>
      <c r="Y344" s="15"/>
      <c r="AA344" s="15"/>
      <c r="AC344" s="2"/>
      <c r="AE344" s="15"/>
      <c r="AG344" s="15"/>
      <c r="AJ344" s="2"/>
    </row>
    <row r="345" spans="4:36" s="20" customFormat="1" ht="15">
      <c r="D345" s="2"/>
      <c r="E345" s="2"/>
      <c r="F345" s="2"/>
      <c r="G345" s="2"/>
      <c r="H345" s="2"/>
      <c r="I345" s="2"/>
      <c r="K345" s="2"/>
      <c r="M345" s="15"/>
      <c r="O345" s="15"/>
      <c r="Q345" s="2"/>
      <c r="S345" s="15"/>
      <c r="U345" s="15"/>
      <c r="W345" s="2"/>
      <c r="Y345" s="15"/>
      <c r="AA345" s="15"/>
      <c r="AC345" s="2"/>
      <c r="AE345" s="15"/>
      <c r="AG345" s="15"/>
      <c r="AJ345" s="2"/>
    </row>
    <row r="346" spans="4:36" s="20" customFormat="1" ht="15">
      <c r="D346" s="2"/>
      <c r="E346" s="2"/>
      <c r="F346" s="2"/>
      <c r="G346" s="2"/>
      <c r="H346" s="2"/>
      <c r="I346" s="2"/>
      <c r="K346" s="2"/>
      <c r="M346" s="15"/>
      <c r="O346" s="15"/>
      <c r="Q346" s="2"/>
      <c r="S346" s="15"/>
      <c r="U346" s="15"/>
      <c r="W346" s="2"/>
      <c r="Y346" s="15"/>
      <c r="AA346" s="15"/>
      <c r="AC346" s="2"/>
      <c r="AE346" s="15"/>
      <c r="AG346" s="15"/>
      <c r="AJ346" s="2"/>
    </row>
    <row r="347" spans="4:36" s="20" customFormat="1" ht="15">
      <c r="D347" s="2"/>
      <c r="E347" s="2"/>
      <c r="F347" s="2"/>
      <c r="G347" s="2"/>
      <c r="H347" s="2"/>
      <c r="I347" s="2"/>
      <c r="K347" s="2"/>
      <c r="M347" s="15"/>
      <c r="O347" s="15"/>
      <c r="Q347" s="2"/>
      <c r="S347" s="15"/>
      <c r="U347" s="15"/>
      <c r="W347" s="2"/>
      <c r="Y347" s="15"/>
      <c r="AA347" s="15"/>
      <c r="AC347" s="2"/>
      <c r="AE347" s="15"/>
      <c r="AG347" s="15"/>
      <c r="AJ347" s="2"/>
    </row>
    <row r="348" spans="4:36" s="20" customFormat="1" ht="15">
      <c r="D348" s="2"/>
      <c r="E348" s="2"/>
      <c r="F348" s="2"/>
      <c r="G348" s="2"/>
      <c r="H348" s="2"/>
      <c r="I348" s="2"/>
      <c r="K348" s="2"/>
      <c r="M348" s="15"/>
      <c r="O348" s="15"/>
      <c r="Q348" s="2"/>
      <c r="S348" s="15"/>
      <c r="U348" s="15"/>
      <c r="W348" s="2"/>
      <c r="Y348" s="15"/>
      <c r="AA348" s="15"/>
      <c r="AC348" s="2"/>
      <c r="AE348" s="15"/>
      <c r="AG348" s="15"/>
      <c r="AJ348" s="2"/>
    </row>
    <row r="349" spans="4:36" s="20" customFormat="1" ht="15">
      <c r="D349" s="2"/>
      <c r="E349" s="2"/>
      <c r="F349" s="2"/>
      <c r="G349" s="2"/>
      <c r="H349" s="2"/>
      <c r="I349" s="2"/>
      <c r="K349" s="2"/>
      <c r="M349" s="15"/>
      <c r="O349" s="15"/>
      <c r="Q349" s="2"/>
      <c r="S349" s="15"/>
      <c r="U349" s="15"/>
      <c r="W349" s="2"/>
      <c r="Y349" s="15"/>
      <c r="AA349" s="15"/>
      <c r="AC349" s="2"/>
      <c r="AE349" s="15"/>
      <c r="AG349" s="15"/>
      <c r="AJ349" s="2"/>
    </row>
    <row r="350" spans="4:36" s="20" customFormat="1" ht="15">
      <c r="D350" s="2"/>
      <c r="E350" s="2"/>
      <c r="F350" s="2"/>
      <c r="G350" s="2"/>
      <c r="H350" s="2"/>
      <c r="I350" s="2"/>
      <c r="K350" s="2"/>
      <c r="M350" s="15"/>
      <c r="O350" s="15"/>
      <c r="Q350" s="2"/>
      <c r="S350" s="15"/>
      <c r="U350" s="15"/>
      <c r="W350" s="2"/>
      <c r="Y350" s="15"/>
      <c r="AA350" s="15"/>
      <c r="AC350" s="2"/>
      <c r="AE350" s="15"/>
      <c r="AG350" s="15"/>
      <c r="AJ350" s="2"/>
    </row>
    <row r="351" spans="4:36" s="20" customFormat="1" ht="15">
      <c r="D351" s="2"/>
      <c r="E351" s="2"/>
      <c r="F351" s="2"/>
      <c r="G351" s="2"/>
      <c r="H351" s="2"/>
      <c r="I351" s="2"/>
      <c r="K351" s="2"/>
      <c r="M351" s="15"/>
      <c r="O351" s="15"/>
      <c r="Q351" s="2"/>
      <c r="S351" s="15"/>
      <c r="U351" s="15"/>
      <c r="W351" s="2"/>
      <c r="Y351" s="15"/>
      <c r="AA351" s="15"/>
      <c r="AC351" s="2"/>
      <c r="AE351" s="15"/>
      <c r="AG351" s="15"/>
      <c r="AJ351" s="2"/>
    </row>
    <row r="352" spans="4:36" s="20" customFormat="1" ht="15">
      <c r="D352" s="2"/>
      <c r="E352" s="2"/>
      <c r="F352" s="2"/>
      <c r="G352" s="2"/>
      <c r="H352" s="2"/>
      <c r="I352" s="2"/>
      <c r="K352" s="2"/>
      <c r="M352" s="15"/>
      <c r="O352" s="15"/>
      <c r="Q352" s="2"/>
      <c r="S352" s="15"/>
      <c r="U352" s="15"/>
      <c r="W352" s="2"/>
      <c r="Y352" s="15"/>
      <c r="AA352" s="15"/>
      <c r="AC352" s="2"/>
      <c r="AE352" s="15"/>
      <c r="AG352" s="15"/>
      <c r="AJ352" s="2"/>
    </row>
    <row r="353" spans="4:36" s="20" customFormat="1" ht="15">
      <c r="D353" s="2"/>
      <c r="E353" s="2"/>
      <c r="F353" s="2"/>
      <c r="G353" s="2"/>
      <c r="H353" s="2"/>
      <c r="I353" s="2"/>
      <c r="K353" s="2"/>
      <c r="M353" s="15"/>
      <c r="O353" s="15"/>
      <c r="Q353" s="2"/>
      <c r="S353" s="15"/>
      <c r="U353" s="15"/>
      <c r="W353" s="2"/>
      <c r="Y353" s="15"/>
      <c r="AA353" s="15"/>
      <c r="AC353" s="2"/>
      <c r="AE353" s="15"/>
      <c r="AG353" s="15"/>
      <c r="AJ353" s="2"/>
    </row>
    <row r="354" spans="4:36" s="20" customFormat="1" ht="15">
      <c r="D354" s="2"/>
      <c r="E354" s="2"/>
      <c r="F354" s="2"/>
      <c r="G354" s="2"/>
      <c r="H354" s="2"/>
      <c r="I354" s="2"/>
      <c r="K354" s="2"/>
      <c r="M354" s="15"/>
      <c r="O354" s="15"/>
      <c r="Q354" s="2"/>
      <c r="S354" s="15"/>
      <c r="U354" s="15"/>
      <c r="W354" s="2"/>
      <c r="Y354" s="15"/>
      <c r="AA354" s="15"/>
      <c r="AC354" s="2"/>
      <c r="AE354" s="15"/>
      <c r="AG354" s="15"/>
      <c r="AJ354" s="2"/>
    </row>
    <row r="355" spans="4:36" s="20" customFormat="1" ht="15">
      <c r="D355" s="2"/>
      <c r="E355" s="2"/>
      <c r="F355" s="2"/>
      <c r="G355" s="2"/>
      <c r="H355" s="2"/>
      <c r="I355" s="2"/>
      <c r="K355" s="2"/>
      <c r="M355" s="15"/>
      <c r="O355" s="15"/>
      <c r="Q355" s="2"/>
      <c r="S355" s="15"/>
      <c r="U355" s="15"/>
      <c r="W355" s="2"/>
      <c r="Y355" s="15"/>
      <c r="AA355" s="15"/>
      <c r="AC355" s="2"/>
      <c r="AE355" s="15"/>
      <c r="AG355" s="15"/>
      <c r="AJ355" s="2"/>
    </row>
    <row r="356" spans="4:36" s="20" customFormat="1" ht="15">
      <c r="D356" s="2"/>
      <c r="E356" s="2"/>
      <c r="F356" s="2"/>
      <c r="G356" s="2"/>
      <c r="H356" s="2"/>
      <c r="I356" s="2"/>
      <c r="K356" s="2"/>
      <c r="M356" s="15"/>
      <c r="O356" s="15"/>
      <c r="Q356" s="2"/>
      <c r="S356" s="15"/>
      <c r="U356" s="15"/>
      <c r="W356" s="2"/>
      <c r="Y356" s="15"/>
      <c r="AA356" s="15"/>
      <c r="AC356" s="2"/>
      <c r="AE356" s="15"/>
      <c r="AG356" s="15"/>
      <c r="AJ356" s="2"/>
    </row>
    <row r="357" spans="4:36" s="20" customFormat="1" ht="15">
      <c r="D357" s="2"/>
      <c r="E357" s="2"/>
      <c r="F357" s="2"/>
      <c r="G357" s="2"/>
      <c r="H357" s="2"/>
      <c r="I357" s="2"/>
      <c r="K357" s="2"/>
      <c r="M357" s="15"/>
      <c r="O357" s="15"/>
      <c r="Q357" s="2"/>
      <c r="S357" s="15"/>
      <c r="U357" s="15"/>
      <c r="W357" s="2"/>
      <c r="Y357" s="15"/>
      <c r="AA357" s="15"/>
      <c r="AC357" s="2"/>
      <c r="AE357" s="15"/>
      <c r="AG357" s="15"/>
      <c r="AJ357" s="2"/>
    </row>
    <row r="358" spans="4:36" s="20" customFormat="1" ht="15">
      <c r="D358" s="2"/>
      <c r="E358" s="2"/>
      <c r="F358" s="2"/>
      <c r="G358" s="2"/>
      <c r="H358" s="2"/>
      <c r="I358" s="2"/>
      <c r="K358" s="2"/>
      <c r="M358" s="15"/>
      <c r="O358" s="15"/>
      <c r="Q358" s="2"/>
      <c r="S358" s="15"/>
      <c r="U358" s="15"/>
      <c r="W358" s="2"/>
      <c r="Y358" s="15"/>
      <c r="AA358" s="15"/>
      <c r="AC358" s="2"/>
      <c r="AE358" s="15"/>
      <c r="AG358" s="15"/>
      <c r="AJ358" s="2"/>
    </row>
    <row r="359" spans="4:36" s="20" customFormat="1" ht="15">
      <c r="D359" s="2"/>
      <c r="E359" s="2"/>
      <c r="F359" s="2"/>
      <c r="G359" s="2"/>
      <c r="H359" s="2"/>
      <c r="I359" s="2"/>
      <c r="K359" s="2"/>
      <c r="M359" s="15"/>
      <c r="O359" s="15"/>
      <c r="Q359" s="2"/>
      <c r="S359" s="15"/>
      <c r="U359" s="15"/>
      <c r="W359" s="2"/>
      <c r="Y359" s="15"/>
      <c r="AA359" s="15"/>
      <c r="AC359" s="2"/>
      <c r="AE359" s="15"/>
      <c r="AG359" s="15"/>
      <c r="AJ359" s="2"/>
    </row>
    <row r="360" spans="4:36" s="20" customFormat="1" ht="15">
      <c r="D360" s="2"/>
      <c r="E360" s="2"/>
      <c r="F360" s="2"/>
      <c r="G360" s="2"/>
      <c r="H360" s="2"/>
      <c r="I360" s="2"/>
      <c r="K360" s="2"/>
      <c r="M360" s="15"/>
      <c r="O360" s="15"/>
      <c r="Q360" s="2"/>
      <c r="S360" s="15"/>
      <c r="U360" s="15"/>
      <c r="W360" s="2"/>
      <c r="Y360" s="15"/>
      <c r="AA360" s="15"/>
      <c r="AC360" s="2"/>
      <c r="AE360" s="15"/>
      <c r="AG360" s="15"/>
      <c r="AJ360" s="2"/>
    </row>
    <row r="361" spans="4:36" s="20" customFormat="1" ht="15">
      <c r="D361" s="2"/>
      <c r="E361" s="2"/>
      <c r="F361" s="2"/>
      <c r="G361" s="2"/>
      <c r="H361" s="2"/>
      <c r="I361" s="2"/>
      <c r="K361" s="2"/>
      <c r="M361" s="15"/>
      <c r="O361" s="15"/>
      <c r="Q361" s="2"/>
      <c r="S361" s="15"/>
      <c r="U361" s="15"/>
      <c r="W361" s="2"/>
      <c r="Y361" s="15"/>
      <c r="AA361" s="15"/>
      <c r="AC361" s="2"/>
      <c r="AE361" s="15"/>
      <c r="AG361" s="15"/>
      <c r="AJ361" s="2"/>
    </row>
    <row r="362" spans="4:36" s="20" customFormat="1" ht="15">
      <c r="D362" s="2"/>
      <c r="E362" s="2"/>
      <c r="F362" s="2"/>
      <c r="G362" s="2"/>
      <c r="H362" s="2"/>
      <c r="I362" s="2"/>
      <c r="K362" s="2"/>
      <c r="M362" s="15"/>
      <c r="O362" s="15"/>
      <c r="Q362" s="2"/>
      <c r="S362" s="15"/>
      <c r="U362" s="15"/>
      <c r="W362" s="2"/>
      <c r="Y362" s="15"/>
      <c r="AA362" s="15"/>
      <c r="AC362" s="2"/>
      <c r="AE362" s="15"/>
      <c r="AG362" s="15"/>
      <c r="AJ362" s="2"/>
    </row>
    <row r="363" spans="4:36" s="20" customFormat="1" ht="15">
      <c r="D363" s="2"/>
      <c r="E363" s="2"/>
      <c r="F363" s="2"/>
      <c r="G363" s="2"/>
      <c r="H363" s="2"/>
      <c r="I363" s="2"/>
      <c r="K363" s="2"/>
      <c r="M363" s="15"/>
      <c r="O363" s="15"/>
      <c r="Q363" s="2"/>
      <c r="S363" s="15"/>
      <c r="U363" s="15"/>
      <c r="W363" s="2"/>
      <c r="Y363" s="15"/>
      <c r="AA363" s="15"/>
      <c r="AC363" s="2"/>
      <c r="AE363" s="15"/>
      <c r="AG363" s="15"/>
      <c r="AJ363" s="2"/>
    </row>
    <row r="364" spans="4:36" s="20" customFormat="1" ht="15">
      <c r="D364" s="2"/>
      <c r="E364" s="2"/>
      <c r="F364" s="2"/>
      <c r="G364" s="2"/>
      <c r="H364" s="2"/>
      <c r="I364" s="2"/>
      <c r="K364" s="2"/>
      <c r="M364" s="15"/>
      <c r="O364" s="15"/>
      <c r="Q364" s="2"/>
      <c r="S364" s="15"/>
      <c r="U364" s="15"/>
      <c r="W364" s="2"/>
      <c r="Y364" s="15"/>
      <c r="AA364" s="15"/>
      <c r="AC364" s="2"/>
      <c r="AE364" s="15"/>
      <c r="AG364" s="15"/>
      <c r="AJ364" s="2"/>
    </row>
    <row r="365" spans="4:36" s="20" customFormat="1" ht="15">
      <c r="D365" s="2"/>
      <c r="E365" s="2"/>
      <c r="F365" s="2"/>
      <c r="G365" s="2"/>
      <c r="H365" s="2"/>
      <c r="I365" s="2"/>
      <c r="K365" s="2"/>
      <c r="M365" s="15"/>
      <c r="O365" s="15"/>
      <c r="Q365" s="2"/>
      <c r="S365" s="15"/>
      <c r="U365" s="15"/>
      <c r="W365" s="2"/>
      <c r="Y365" s="15"/>
      <c r="AA365" s="15"/>
      <c r="AC365" s="2"/>
      <c r="AE365" s="15"/>
      <c r="AG365" s="15"/>
      <c r="AJ365" s="2"/>
    </row>
    <row r="366" spans="4:36" s="20" customFormat="1" ht="15">
      <c r="D366" s="2"/>
      <c r="E366" s="2"/>
      <c r="F366" s="2"/>
      <c r="G366" s="2"/>
      <c r="H366" s="2"/>
      <c r="I366" s="2"/>
      <c r="K366" s="2"/>
      <c r="M366" s="15"/>
      <c r="O366" s="15"/>
      <c r="Q366" s="2"/>
      <c r="S366" s="15"/>
      <c r="U366" s="15"/>
      <c r="W366" s="2"/>
      <c r="Y366" s="15"/>
      <c r="AA366" s="15"/>
      <c r="AC366" s="2"/>
      <c r="AE366" s="15"/>
      <c r="AG366" s="15"/>
      <c r="AJ366" s="2"/>
    </row>
    <row r="367" spans="4:36" s="20" customFormat="1" ht="15">
      <c r="D367" s="2"/>
      <c r="E367" s="2"/>
      <c r="F367" s="2"/>
      <c r="G367" s="2"/>
      <c r="H367" s="2"/>
      <c r="I367" s="2"/>
      <c r="K367" s="2"/>
      <c r="M367" s="15"/>
      <c r="O367" s="15"/>
      <c r="Q367" s="2"/>
      <c r="S367" s="15"/>
      <c r="U367" s="15"/>
      <c r="W367" s="2"/>
      <c r="Y367" s="15"/>
      <c r="AA367" s="15"/>
      <c r="AC367" s="2"/>
      <c r="AE367" s="15"/>
      <c r="AG367" s="15"/>
      <c r="AJ367" s="2"/>
    </row>
    <row r="368" spans="4:36" s="20" customFormat="1" ht="15">
      <c r="D368" s="2"/>
      <c r="E368" s="2"/>
      <c r="F368" s="2"/>
      <c r="G368" s="2"/>
      <c r="H368" s="2"/>
      <c r="I368" s="2"/>
      <c r="K368" s="2"/>
      <c r="M368" s="15"/>
      <c r="O368" s="15"/>
      <c r="Q368" s="2"/>
      <c r="S368" s="15"/>
      <c r="U368" s="15"/>
      <c r="W368" s="2"/>
      <c r="Y368" s="15"/>
      <c r="AA368" s="15"/>
      <c r="AC368" s="2"/>
      <c r="AE368" s="15"/>
      <c r="AG368" s="15"/>
      <c r="AJ368" s="2"/>
    </row>
    <row r="369" spans="4:36" s="20" customFormat="1" ht="15">
      <c r="D369" s="2"/>
      <c r="E369" s="2"/>
      <c r="F369" s="2"/>
      <c r="G369" s="2"/>
      <c r="H369" s="2"/>
      <c r="I369" s="2"/>
      <c r="K369" s="2"/>
      <c r="M369" s="15"/>
      <c r="O369" s="15"/>
      <c r="Q369" s="2"/>
      <c r="S369" s="15"/>
      <c r="U369" s="15"/>
      <c r="W369" s="2"/>
      <c r="Y369" s="15"/>
      <c r="AA369" s="15"/>
      <c r="AC369" s="2"/>
      <c r="AE369" s="15"/>
      <c r="AG369" s="15"/>
      <c r="AJ369" s="2"/>
    </row>
    <row r="370" spans="4:36" s="20" customFormat="1" ht="15">
      <c r="D370" s="2"/>
      <c r="E370" s="2"/>
      <c r="F370" s="2"/>
      <c r="G370" s="2"/>
      <c r="H370" s="2"/>
      <c r="I370" s="2"/>
      <c r="K370" s="2"/>
      <c r="M370" s="15"/>
      <c r="O370" s="15"/>
      <c r="Q370" s="2"/>
      <c r="S370" s="15"/>
      <c r="U370" s="15"/>
      <c r="W370" s="2"/>
      <c r="Y370" s="15"/>
      <c r="AA370" s="15"/>
      <c r="AC370" s="2"/>
      <c r="AE370" s="15"/>
      <c r="AG370" s="15"/>
      <c r="AJ370" s="2"/>
    </row>
    <row r="371" spans="4:36" s="20" customFormat="1" ht="15">
      <c r="D371" s="2"/>
      <c r="E371" s="2"/>
      <c r="F371" s="2"/>
      <c r="G371" s="2"/>
      <c r="H371" s="2"/>
      <c r="I371" s="2"/>
      <c r="K371" s="2"/>
      <c r="M371" s="15"/>
      <c r="O371" s="15"/>
      <c r="Q371" s="2"/>
      <c r="S371" s="15"/>
      <c r="U371" s="15"/>
      <c r="W371" s="2"/>
      <c r="Y371" s="15"/>
      <c r="AA371" s="15"/>
      <c r="AC371" s="2"/>
      <c r="AE371" s="15"/>
      <c r="AG371" s="15"/>
      <c r="AJ371" s="2"/>
    </row>
    <row r="372" spans="4:36" s="20" customFormat="1" ht="15">
      <c r="D372" s="2"/>
      <c r="E372" s="2"/>
      <c r="F372" s="2"/>
      <c r="G372" s="2"/>
      <c r="H372" s="2"/>
      <c r="I372" s="2"/>
      <c r="K372" s="2"/>
      <c r="M372" s="15"/>
      <c r="O372" s="15"/>
      <c r="Q372" s="2"/>
      <c r="S372" s="15"/>
      <c r="U372" s="15"/>
      <c r="W372" s="2"/>
      <c r="Y372" s="15"/>
      <c r="AA372" s="15"/>
      <c r="AC372" s="2"/>
      <c r="AE372" s="15"/>
      <c r="AG372" s="15"/>
      <c r="AJ372" s="2"/>
    </row>
    <row r="373" spans="4:36" s="20" customFormat="1" ht="15">
      <c r="D373" s="2"/>
      <c r="E373" s="2"/>
      <c r="F373" s="2"/>
      <c r="G373" s="2"/>
      <c r="H373" s="2"/>
      <c r="I373" s="2"/>
      <c r="K373" s="2"/>
      <c r="M373" s="15"/>
      <c r="O373" s="15"/>
      <c r="Q373" s="2"/>
      <c r="S373" s="15"/>
      <c r="U373" s="15"/>
      <c r="W373" s="2"/>
      <c r="Y373" s="15"/>
      <c r="AA373" s="15"/>
      <c r="AC373" s="2"/>
      <c r="AE373" s="15"/>
      <c r="AG373" s="15"/>
      <c r="AJ373" s="2"/>
    </row>
    <row r="374" spans="4:36" s="20" customFormat="1" ht="15">
      <c r="D374" s="2"/>
      <c r="E374" s="2"/>
      <c r="F374" s="2"/>
      <c r="G374" s="2"/>
      <c r="H374" s="2"/>
      <c r="I374" s="2"/>
      <c r="K374" s="2"/>
      <c r="M374" s="15"/>
      <c r="O374" s="15"/>
      <c r="Q374" s="2"/>
      <c r="S374" s="15"/>
      <c r="U374" s="15"/>
      <c r="W374" s="2"/>
      <c r="Y374" s="15"/>
      <c r="AA374" s="15"/>
      <c r="AC374" s="2"/>
      <c r="AE374" s="15"/>
      <c r="AG374" s="15"/>
      <c r="AJ374" s="2"/>
    </row>
    <row r="375" spans="4:36" s="20" customFormat="1" ht="15">
      <c r="D375" s="2"/>
      <c r="E375" s="2"/>
      <c r="F375" s="2"/>
      <c r="G375" s="2"/>
      <c r="H375" s="2"/>
      <c r="I375" s="2"/>
      <c r="K375" s="2"/>
      <c r="M375" s="15"/>
      <c r="O375" s="15"/>
      <c r="Q375" s="2"/>
      <c r="S375" s="15"/>
      <c r="U375" s="15"/>
      <c r="W375" s="2"/>
      <c r="Y375" s="15"/>
      <c r="AA375" s="15"/>
      <c r="AC375" s="2"/>
      <c r="AE375" s="15"/>
      <c r="AG375" s="15"/>
      <c r="AJ375" s="2"/>
    </row>
    <row r="376" spans="4:36" s="20" customFormat="1" ht="15">
      <c r="D376" s="2"/>
      <c r="E376" s="2"/>
      <c r="F376" s="2"/>
      <c r="G376" s="2"/>
      <c r="H376" s="2"/>
      <c r="I376" s="2"/>
      <c r="K376" s="2"/>
      <c r="M376" s="15"/>
      <c r="O376" s="15"/>
      <c r="Q376" s="2"/>
      <c r="S376" s="15"/>
      <c r="U376" s="15"/>
      <c r="W376" s="2"/>
      <c r="Y376" s="15"/>
      <c r="AA376" s="15"/>
      <c r="AC376" s="2"/>
      <c r="AE376" s="15"/>
      <c r="AG376" s="15"/>
      <c r="AJ376" s="2"/>
    </row>
    <row r="377" spans="4:36" s="20" customFormat="1" ht="15">
      <c r="D377" s="2"/>
      <c r="E377" s="2"/>
      <c r="F377" s="2"/>
      <c r="G377" s="2"/>
      <c r="H377" s="2"/>
      <c r="I377" s="2"/>
      <c r="K377" s="2"/>
      <c r="M377" s="15"/>
      <c r="O377" s="15"/>
      <c r="Q377" s="2"/>
      <c r="S377" s="15"/>
      <c r="U377" s="15"/>
      <c r="W377" s="2"/>
      <c r="Y377" s="15"/>
      <c r="AA377" s="15"/>
      <c r="AC377" s="2"/>
      <c r="AE377" s="15"/>
      <c r="AG377" s="15"/>
      <c r="AJ377" s="2"/>
    </row>
    <row r="378" spans="4:36" s="20" customFormat="1" ht="15">
      <c r="D378" s="2"/>
      <c r="E378" s="2"/>
      <c r="F378" s="2"/>
      <c r="G378" s="2"/>
      <c r="H378" s="2"/>
      <c r="I378" s="2"/>
      <c r="K378" s="2"/>
      <c r="M378" s="15"/>
      <c r="O378" s="15"/>
      <c r="Q378" s="2"/>
      <c r="S378" s="15"/>
      <c r="U378" s="15"/>
      <c r="W378" s="2"/>
      <c r="Y378" s="15"/>
      <c r="AA378" s="15"/>
      <c r="AC378" s="2"/>
      <c r="AE378" s="15"/>
      <c r="AG378" s="15"/>
      <c r="AJ378" s="2"/>
    </row>
    <row r="379" spans="4:36" s="20" customFormat="1" ht="15">
      <c r="D379" s="2"/>
      <c r="E379" s="2"/>
      <c r="F379" s="2"/>
      <c r="G379" s="2"/>
      <c r="H379" s="2"/>
      <c r="I379" s="2"/>
      <c r="K379" s="2"/>
      <c r="M379" s="15"/>
      <c r="O379" s="15"/>
      <c r="Q379" s="2"/>
      <c r="S379" s="15"/>
      <c r="U379" s="15"/>
      <c r="W379" s="2"/>
      <c r="Y379" s="15"/>
      <c r="AA379" s="15"/>
      <c r="AC379" s="2"/>
      <c r="AE379" s="15"/>
      <c r="AG379" s="15"/>
      <c r="AJ379" s="2"/>
    </row>
    <row r="380" spans="4:36" s="20" customFormat="1" ht="15">
      <c r="D380" s="2"/>
      <c r="E380" s="2"/>
      <c r="F380" s="2"/>
      <c r="G380" s="2"/>
      <c r="H380" s="2"/>
      <c r="I380" s="2"/>
      <c r="K380" s="2"/>
      <c r="M380" s="15"/>
      <c r="O380" s="15"/>
      <c r="Q380" s="2"/>
      <c r="S380" s="15"/>
      <c r="U380" s="15"/>
      <c r="W380" s="2"/>
      <c r="Y380" s="15"/>
      <c r="AA380" s="15"/>
      <c r="AC380" s="2"/>
      <c r="AE380" s="15"/>
      <c r="AG380" s="15"/>
      <c r="AJ380" s="2"/>
    </row>
    <row r="381" spans="4:36" s="20" customFormat="1" ht="15">
      <c r="D381" s="2"/>
      <c r="E381" s="2"/>
      <c r="F381" s="2"/>
      <c r="G381" s="2"/>
      <c r="H381" s="2"/>
      <c r="I381" s="2"/>
      <c r="K381" s="2"/>
      <c r="M381" s="15"/>
      <c r="O381" s="15"/>
      <c r="Q381" s="2"/>
      <c r="S381" s="15"/>
      <c r="U381" s="15"/>
      <c r="W381" s="2"/>
      <c r="Y381" s="15"/>
      <c r="AA381" s="15"/>
      <c r="AC381" s="2"/>
      <c r="AE381" s="15"/>
      <c r="AG381" s="15"/>
      <c r="AJ381" s="2"/>
    </row>
    <row r="382" spans="4:36" s="20" customFormat="1" ht="15">
      <c r="D382" s="2"/>
      <c r="E382" s="2"/>
      <c r="F382" s="2"/>
      <c r="G382" s="2"/>
      <c r="H382" s="2"/>
      <c r="I382" s="2"/>
      <c r="K382" s="2"/>
      <c r="M382" s="15"/>
      <c r="O382" s="15"/>
      <c r="Q382" s="2"/>
      <c r="S382" s="15"/>
      <c r="U382" s="15"/>
      <c r="W382" s="2"/>
      <c r="Y382" s="15"/>
      <c r="AA382" s="15"/>
      <c r="AC382" s="2"/>
      <c r="AE382" s="15"/>
      <c r="AG382" s="15"/>
      <c r="AJ382" s="2"/>
    </row>
    <row r="383" spans="4:36" s="20" customFormat="1" ht="15">
      <c r="D383" s="2"/>
      <c r="E383" s="2"/>
      <c r="F383" s="2"/>
      <c r="G383" s="2"/>
      <c r="H383" s="2"/>
      <c r="I383" s="2"/>
      <c r="K383" s="2"/>
      <c r="M383" s="15"/>
      <c r="O383" s="15"/>
      <c r="Q383" s="2"/>
      <c r="S383" s="15"/>
      <c r="U383" s="15"/>
      <c r="W383" s="2"/>
      <c r="Y383" s="15"/>
      <c r="AA383" s="15"/>
      <c r="AC383" s="2"/>
      <c r="AE383" s="15"/>
      <c r="AG383" s="15"/>
      <c r="AJ383" s="2"/>
    </row>
    <row r="384" spans="4:36" s="20" customFormat="1" ht="15">
      <c r="D384" s="2"/>
      <c r="E384" s="2"/>
      <c r="F384" s="2"/>
      <c r="G384" s="2"/>
      <c r="H384" s="2"/>
      <c r="I384" s="2"/>
      <c r="K384" s="2"/>
      <c r="M384" s="15"/>
      <c r="O384" s="15"/>
      <c r="Q384" s="2"/>
      <c r="S384" s="15"/>
      <c r="U384" s="15"/>
      <c r="W384" s="2"/>
      <c r="Y384" s="15"/>
      <c r="AA384" s="15"/>
      <c r="AC384" s="2"/>
      <c r="AE384" s="15"/>
      <c r="AG384" s="15"/>
      <c r="AJ384" s="2"/>
    </row>
    <row r="385" spans="4:36" s="20" customFormat="1" ht="15">
      <c r="D385" s="2"/>
      <c r="E385" s="2"/>
      <c r="F385" s="2"/>
      <c r="G385" s="2"/>
      <c r="H385" s="2"/>
      <c r="I385" s="2"/>
      <c r="K385" s="2"/>
      <c r="M385" s="15"/>
      <c r="O385" s="15"/>
      <c r="Q385" s="2"/>
      <c r="S385" s="15"/>
      <c r="U385" s="15"/>
      <c r="W385" s="2"/>
      <c r="Y385" s="15"/>
      <c r="AA385" s="15"/>
      <c r="AC385" s="2"/>
      <c r="AE385" s="15"/>
      <c r="AG385" s="15"/>
      <c r="AJ385" s="2"/>
    </row>
    <row r="386" spans="4:36" s="20" customFormat="1" ht="15">
      <c r="D386" s="2"/>
      <c r="E386" s="2"/>
      <c r="F386" s="2"/>
      <c r="G386" s="2"/>
      <c r="H386" s="2"/>
      <c r="I386" s="2"/>
      <c r="K386" s="2"/>
      <c r="M386" s="15"/>
      <c r="O386" s="15"/>
      <c r="Q386" s="2"/>
      <c r="S386" s="15"/>
      <c r="U386" s="15"/>
      <c r="W386" s="2"/>
      <c r="Y386" s="15"/>
      <c r="AA386" s="15"/>
      <c r="AC386" s="2"/>
      <c r="AE386" s="15"/>
      <c r="AG386" s="15"/>
      <c r="AJ386" s="2"/>
    </row>
    <row r="387" spans="4:36" s="20" customFormat="1" ht="15">
      <c r="D387" s="2"/>
      <c r="E387" s="2"/>
      <c r="F387" s="2"/>
      <c r="G387" s="2"/>
      <c r="H387" s="2"/>
      <c r="I387" s="2"/>
      <c r="K387" s="2"/>
      <c r="M387" s="15"/>
      <c r="O387" s="15"/>
      <c r="Q387" s="2"/>
      <c r="S387" s="15"/>
      <c r="U387" s="15"/>
      <c r="W387" s="2"/>
      <c r="Y387" s="15"/>
      <c r="AA387" s="15"/>
      <c r="AC387" s="2"/>
      <c r="AE387" s="15"/>
      <c r="AG387" s="15"/>
      <c r="AJ387" s="2"/>
    </row>
    <row r="388" spans="4:36" s="20" customFormat="1" ht="15">
      <c r="D388" s="2"/>
      <c r="E388" s="2"/>
      <c r="F388" s="2"/>
      <c r="G388" s="2"/>
      <c r="H388" s="2"/>
      <c r="I388" s="2"/>
      <c r="K388" s="2"/>
      <c r="M388" s="15"/>
      <c r="O388" s="15"/>
      <c r="Q388" s="2"/>
      <c r="S388" s="15"/>
      <c r="U388" s="15"/>
      <c r="W388" s="2"/>
      <c r="Y388" s="15"/>
      <c r="AA388" s="15"/>
      <c r="AC388" s="2"/>
      <c r="AE388" s="15"/>
      <c r="AG388" s="15"/>
      <c r="AJ388" s="2"/>
    </row>
    <row r="389" spans="4:36" s="20" customFormat="1" ht="15">
      <c r="D389" s="2"/>
      <c r="E389" s="2"/>
      <c r="F389" s="2"/>
      <c r="G389" s="2"/>
      <c r="H389" s="2"/>
      <c r="I389" s="2"/>
      <c r="K389" s="2"/>
      <c r="M389" s="15"/>
      <c r="O389" s="15"/>
      <c r="Q389" s="2"/>
      <c r="S389" s="15"/>
      <c r="U389" s="15"/>
      <c r="W389" s="2"/>
      <c r="Y389" s="15"/>
      <c r="AA389" s="15"/>
      <c r="AC389" s="2"/>
      <c r="AE389" s="15"/>
      <c r="AG389" s="15"/>
      <c r="AJ389" s="2"/>
    </row>
    <row r="390" spans="4:36" s="20" customFormat="1" ht="15">
      <c r="D390" s="2"/>
      <c r="E390" s="2"/>
      <c r="F390" s="2"/>
      <c r="G390" s="2"/>
      <c r="H390" s="2"/>
      <c r="I390" s="2"/>
      <c r="K390" s="2"/>
      <c r="M390" s="15"/>
      <c r="O390" s="15"/>
      <c r="Q390" s="2"/>
      <c r="S390" s="15"/>
      <c r="U390" s="15"/>
      <c r="W390" s="2"/>
      <c r="Y390" s="15"/>
      <c r="AA390" s="15"/>
      <c r="AC390" s="2"/>
      <c r="AE390" s="15"/>
      <c r="AG390" s="15"/>
      <c r="AJ390" s="2"/>
    </row>
    <row r="391" spans="4:36" s="20" customFormat="1" ht="15">
      <c r="D391" s="2"/>
      <c r="E391" s="2"/>
      <c r="F391" s="2"/>
      <c r="G391" s="2"/>
      <c r="H391" s="2"/>
      <c r="I391" s="2"/>
      <c r="K391" s="2"/>
      <c r="M391" s="15"/>
      <c r="O391" s="15"/>
      <c r="Q391" s="2"/>
      <c r="S391" s="15"/>
      <c r="U391" s="15"/>
      <c r="W391" s="2"/>
      <c r="Y391" s="15"/>
      <c r="AA391" s="15"/>
      <c r="AC391" s="2"/>
      <c r="AE391" s="15"/>
      <c r="AG391" s="15"/>
      <c r="AJ391" s="2"/>
    </row>
    <row r="392" spans="4:36" s="20" customFormat="1" ht="15">
      <c r="D392" s="2"/>
      <c r="E392" s="2"/>
      <c r="F392" s="2"/>
      <c r="G392" s="2"/>
      <c r="H392" s="2"/>
      <c r="I392" s="2"/>
      <c r="K392" s="2"/>
      <c r="M392" s="15"/>
      <c r="O392" s="15"/>
      <c r="Q392" s="2"/>
      <c r="S392" s="15"/>
      <c r="U392" s="15"/>
      <c r="W392" s="2"/>
      <c r="Y392" s="15"/>
      <c r="AA392" s="15"/>
      <c r="AC392" s="2"/>
      <c r="AE392" s="15"/>
      <c r="AG392" s="15"/>
      <c r="AJ392" s="2"/>
    </row>
    <row r="393" spans="4:36" s="20" customFormat="1" ht="15">
      <c r="D393" s="2"/>
      <c r="E393" s="2"/>
      <c r="F393" s="2"/>
      <c r="G393" s="2"/>
      <c r="H393" s="2"/>
      <c r="I393" s="2"/>
      <c r="K393" s="2"/>
      <c r="M393" s="15"/>
      <c r="O393" s="15"/>
      <c r="Q393" s="2"/>
      <c r="S393" s="15"/>
      <c r="U393" s="15"/>
      <c r="W393" s="2"/>
      <c r="Y393" s="15"/>
      <c r="AA393" s="15"/>
      <c r="AC393" s="2"/>
      <c r="AE393" s="15"/>
      <c r="AG393" s="15"/>
      <c r="AJ393" s="2"/>
    </row>
    <row r="394" spans="4:36" s="20" customFormat="1" ht="15">
      <c r="D394" s="2"/>
      <c r="E394" s="2"/>
      <c r="F394" s="2"/>
      <c r="G394" s="2"/>
      <c r="H394" s="2"/>
      <c r="I394" s="2"/>
      <c r="K394" s="2"/>
      <c r="M394" s="15"/>
      <c r="O394" s="15"/>
      <c r="Q394" s="2"/>
      <c r="S394" s="15"/>
      <c r="U394" s="15"/>
      <c r="W394" s="2"/>
      <c r="Y394" s="15"/>
      <c r="AA394" s="15"/>
      <c r="AC394" s="2"/>
      <c r="AE394" s="15"/>
      <c r="AG394" s="15"/>
      <c r="AJ394" s="2"/>
    </row>
    <row r="395" spans="4:36" s="20" customFormat="1" ht="15">
      <c r="D395" s="2"/>
      <c r="E395" s="2"/>
      <c r="F395" s="2"/>
      <c r="G395" s="2"/>
      <c r="H395" s="2"/>
      <c r="I395" s="2"/>
      <c r="K395" s="2"/>
      <c r="M395" s="15"/>
      <c r="O395" s="15"/>
      <c r="Q395" s="2"/>
      <c r="S395" s="15"/>
      <c r="U395" s="15"/>
      <c r="W395" s="2"/>
      <c r="Y395" s="15"/>
      <c r="AA395" s="15"/>
      <c r="AC395" s="2"/>
      <c r="AE395" s="15"/>
      <c r="AG395" s="15"/>
      <c r="AJ395" s="2"/>
    </row>
    <row r="396" spans="4:36" s="20" customFormat="1" ht="15">
      <c r="D396" s="2"/>
      <c r="E396" s="2"/>
      <c r="F396" s="2"/>
      <c r="G396" s="2"/>
      <c r="H396" s="2"/>
      <c r="I396" s="2"/>
      <c r="K396" s="2"/>
      <c r="M396" s="15"/>
      <c r="O396" s="15"/>
      <c r="Q396" s="2"/>
      <c r="S396" s="15"/>
      <c r="U396" s="15"/>
      <c r="W396" s="2"/>
      <c r="Y396" s="15"/>
      <c r="AA396" s="15"/>
      <c r="AC396" s="2"/>
      <c r="AE396" s="15"/>
      <c r="AG396" s="15"/>
      <c r="AJ396" s="2"/>
    </row>
    <row r="397" spans="4:36" s="20" customFormat="1" ht="15">
      <c r="D397" s="2"/>
      <c r="E397" s="2"/>
      <c r="F397" s="2"/>
      <c r="G397" s="2"/>
      <c r="H397" s="2"/>
      <c r="I397" s="2"/>
      <c r="K397" s="2"/>
      <c r="M397" s="15"/>
      <c r="O397" s="15"/>
      <c r="Q397" s="2"/>
      <c r="S397" s="15"/>
      <c r="U397" s="15"/>
      <c r="W397" s="2"/>
      <c r="Y397" s="15"/>
      <c r="AA397" s="15"/>
      <c r="AC397" s="2"/>
      <c r="AE397" s="15"/>
      <c r="AG397" s="15"/>
      <c r="AJ397" s="2"/>
    </row>
    <row r="398" spans="4:36" s="20" customFormat="1" ht="15">
      <c r="D398" s="2"/>
      <c r="E398" s="2"/>
      <c r="F398" s="2"/>
      <c r="G398" s="2"/>
      <c r="H398" s="2"/>
      <c r="I398" s="2"/>
      <c r="K398" s="2"/>
      <c r="M398" s="15"/>
      <c r="O398" s="15"/>
      <c r="Q398" s="2"/>
      <c r="S398" s="15"/>
      <c r="U398" s="15"/>
      <c r="W398" s="2"/>
      <c r="Y398" s="15"/>
      <c r="AA398" s="15"/>
      <c r="AC398" s="2"/>
      <c r="AE398" s="15"/>
      <c r="AG398" s="15"/>
      <c r="AJ398" s="2"/>
    </row>
    <row r="399" spans="4:36" s="20" customFormat="1" ht="15">
      <c r="D399" s="2"/>
      <c r="E399" s="2"/>
      <c r="F399" s="2"/>
      <c r="G399" s="2"/>
      <c r="H399" s="2"/>
      <c r="I399" s="2"/>
      <c r="K399" s="2"/>
      <c r="M399" s="15"/>
      <c r="O399" s="15"/>
      <c r="Q399" s="2"/>
      <c r="S399" s="15"/>
      <c r="U399" s="15"/>
      <c r="W399" s="2"/>
      <c r="Y399" s="15"/>
      <c r="AA399" s="15"/>
      <c r="AC399" s="2"/>
      <c r="AE399" s="15"/>
      <c r="AG399" s="15"/>
      <c r="AJ399" s="2"/>
    </row>
    <row r="400" spans="4:36" s="20" customFormat="1" ht="15">
      <c r="D400" s="2"/>
      <c r="E400" s="2"/>
      <c r="F400" s="2"/>
      <c r="G400" s="2"/>
      <c r="H400" s="2"/>
      <c r="I400" s="2"/>
      <c r="K400" s="2"/>
      <c r="M400" s="15"/>
      <c r="O400" s="15"/>
      <c r="Q400" s="2"/>
      <c r="S400" s="15"/>
      <c r="U400" s="15"/>
      <c r="W400" s="2"/>
      <c r="Y400" s="15"/>
      <c r="AA400" s="15"/>
      <c r="AC400" s="2"/>
      <c r="AE400" s="15"/>
      <c r="AG400" s="15"/>
      <c r="AJ400" s="2"/>
    </row>
    <row r="401" spans="4:36" s="20" customFormat="1" ht="15">
      <c r="D401" s="2"/>
      <c r="E401" s="2"/>
      <c r="F401" s="2"/>
      <c r="G401" s="2"/>
      <c r="H401" s="2"/>
      <c r="I401" s="2"/>
      <c r="K401" s="2"/>
      <c r="M401" s="15"/>
      <c r="O401" s="15"/>
      <c r="Q401" s="2"/>
      <c r="S401" s="15"/>
      <c r="U401" s="15"/>
      <c r="W401" s="2"/>
      <c r="Y401" s="15"/>
      <c r="AA401" s="15"/>
      <c r="AC401" s="2"/>
      <c r="AE401" s="15"/>
      <c r="AG401" s="15"/>
      <c r="AJ401" s="2"/>
    </row>
    <row r="402" spans="4:36" s="20" customFormat="1" ht="15">
      <c r="D402" s="2"/>
      <c r="E402" s="2"/>
      <c r="F402" s="2"/>
      <c r="G402" s="2"/>
      <c r="H402" s="2"/>
      <c r="I402" s="2"/>
      <c r="K402" s="2"/>
      <c r="M402" s="15"/>
      <c r="O402" s="15"/>
      <c r="Q402" s="2"/>
      <c r="S402" s="15"/>
      <c r="U402" s="15"/>
      <c r="W402" s="2"/>
      <c r="Y402" s="15"/>
      <c r="AA402" s="15"/>
      <c r="AC402" s="2"/>
      <c r="AE402" s="15"/>
      <c r="AG402" s="15"/>
      <c r="AJ402" s="2"/>
    </row>
    <row r="403" spans="4:36" s="20" customFormat="1" ht="15">
      <c r="D403" s="2"/>
      <c r="E403" s="2"/>
      <c r="F403" s="2"/>
      <c r="G403" s="2"/>
      <c r="H403" s="2"/>
      <c r="I403" s="2"/>
      <c r="K403" s="2"/>
      <c r="M403" s="15"/>
      <c r="O403" s="15"/>
      <c r="Q403" s="2"/>
      <c r="S403" s="15"/>
      <c r="U403" s="15"/>
      <c r="W403" s="2"/>
      <c r="Y403" s="15"/>
      <c r="AA403" s="15"/>
      <c r="AC403" s="2"/>
      <c r="AE403" s="15"/>
      <c r="AG403" s="15"/>
      <c r="AJ403" s="2"/>
    </row>
    <row r="404" spans="4:36" s="20" customFormat="1" ht="15">
      <c r="D404" s="2"/>
      <c r="E404" s="2"/>
      <c r="F404" s="2"/>
      <c r="G404" s="2"/>
      <c r="H404" s="2"/>
      <c r="I404" s="2"/>
      <c r="K404" s="2"/>
      <c r="M404" s="15"/>
      <c r="O404" s="15"/>
      <c r="Q404" s="2"/>
      <c r="S404" s="15"/>
      <c r="U404" s="15"/>
      <c r="W404" s="2"/>
      <c r="Y404" s="15"/>
      <c r="AA404" s="15"/>
      <c r="AC404" s="2"/>
      <c r="AE404" s="15"/>
      <c r="AG404" s="15"/>
      <c r="AJ404" s="2"/>
    </row>
    <row r="405" spans="4:36" s="20" customFormat="1" ht="15">
      <c r="D405" s="2"/>
      <c r="E405" s="2"/>
      <c r="F405" s="2"/>
      <c r="G405" s="2"/>
      <c r="H405" s="2"/>
      <c r="I405" s="2"/>
      <c r="K405" s="2"/>
      <c r="M405" s="15"/>
      <c r="O405" s="15"/>
      <c r="Q405" s="2"/>
      <c r="S405" s="15"/>
      <c r="U405" s="15"/>
      <c r="W405" s="2"/>
      <c r="Y405" s="15"/>
      <c r="AA405" s="15"/>
      <c r="AC405" s="2"/>
      <c r="AE405" s="15"/>
      <c r="AG405" s="15"/>
      <c r="AJ405" s="2"/>
    </row>
    <row r="406" spans="4:36" s="20" customFormat="1" ht="15">
      <c r="D406" s="2"/>
      <c r="E406" s="2"/>
      <c r="F406" s="2"/>
      <c r="G406" s="2"/>
      <c r="H406" s="2"/>
      <c r="I406" s="2"/>
      <c r="K406" s="2"/>
      <c r="M406" s="15"/>
      <c r="O406" s="15"/>
      <c r="Q406" s="2"/>
      <c r="S406" s="15"/>
      <c r="U406" s="15"/>
      <c r="W406" s="2"/>
      <c r="Y406" s="15"/>
      <c r="AA406" s="15"/>
      <c r="AC406" s="2"/>
      <c r="AE406" s="15"/>
      <c r="AG406" s="15"/>
      <c r="AJ406" s="2"/>
    </row>
    <row r="407" spans="4:36" s="20" customFormat="1" ht="15">
      <c r="D407" s="2"/>
      <c r="E407" s="2"/>
      <c r="F407" s="2"/>
      <c r="G407" s="2"/>
      <c r="H407" s="2"/>
      <c r="I407" s="2"/>
      <c r="K407" s="2"/>
      <c r="M407" s="15"/>
      <c r="O407" s="15"/>
      <c r="Q407" s="2"/>
      <c r="S407" s="15"/>
      <c r="U407" s="15"/>
      <c r="W407" s="2"/>
      <c r="Y407" s="15"/>
      <c r="AA407" s="15"/>
      <c r="AC407" s="2"/>
      <c r="AE407" s="15"/>
      <c r="AG407" s="15"/>
      <c r="AJ407" s="2"/>
    </row>
    <row r="408" spans="4:36" s="20" customFormat="1" ht="15">
      <c r="D408" s="2"/>
      <c r="E408" s="2"/>
      <c r="F408" s="2"/>
      <c r="G408" s="2"/>
      <c r="H408" s="2"/>
      <c r="I408" s="2"/>
      <c r="K408" s="2"/>
      <c r="M408" s="15"/>
      <c r="O408" s="15"/>
      <c r="Q408" s="2"/>
      <c r="S408" s="15"/>
      <c r="U408" s="15"/>
      <c r="W408" s="2"/>
      <c r="Y408" s="15"/>
      <c r="AA408" s="15"/>
      <c r="AC408" s="2"/>
      <c r="AE408" s="15"/>
      <c r="AG408" s="15"/>
      <c r="AJ408" s="2"/>
    </row>
    <row r="409" spans="4:36" s="20" customFormat="1" ht="15">
      <c r="D409" s="2"/>
      <c r="E409" s="2"/>
      <c r="F409" s="2"/>
      <c r="G409" s="2"/>
      <c r="H409" s="2"/>
      <c r="I409" s="2"/>
      <c r="K409" s="2"/>
      <c r="M409" s="15"/>
      <c r="O409" s="15"/>
      <c r="Q409" s="2"/>
      <c r="S409" s="15"/>
      <c r="U409" s="15"/>
      <c r="W409" s="2"/>
      <c r="Y409" s="15"/>
      <c r="AA409" s="15"/>
      <c r="AC409" s="2"/>
      <c r="AE409" s="15"/>
      <c r="AG409" s="15"/>
      <c r="AJ409" s="2"/>
    </row>
    <row r="410" spans="4:36" s="20" customFormat="1" ht="15">
      <c r="D410" s="2"/>
      <c r="E410" s="2"/>
      <c r="F410" s="2"/>
      <c r="G410" s="2"/>
      <c r="H410" s="2"/>
      <c r="I410" s="2"/>
      <c r="K410" s="2"/>
      <c r="M410" s="15"/>
      <c r="O410" s="15"/>
      <c r="Q410" s="2"/>
      <c r="S410" s="15"/>
      <c r="U410" s="15"/>
      <c r="W410" s="2"/>
      <c r="Y410" s="15"/>
      <c r="AA410" s="15"/>
      <c r="AC410" s="2"/>
      <c r="AE410" s="15"/>
      <c r="AG410" s="15"/>
      <c r="AJ410" s="2"/>
    </row>
    <row r="411" spans="4:36" s="20" customFormat="1" ht="15">
      <c r="D411" s="2"/>
      <c r="E411" s="2"/>
      <c r="F411" s="2"/>
      <c r="G411" s="2"/>
      <c r="H411" s="2"/>
      <c r="I411" s="2"/>
      <c r="K411" s="2"/>
      <c r="M411" s="15"/>
      <c r="O411" s="15"/>
      <c r="Q411" s="2"/>
      <c r="S411" s="15"/>
      <c r="U411" s="15"/>
      <c r="W411" s="2"/>
      <c r="Y411" s="15"/>
      <c r="AA411" s="15"/>
      <c r="AC411" s="2"/>
      <c r="AE411" s="15"/>
      <c r="AG411" s="15"/>
      <c r="AJ411" s="2"/>
    </row>
    <row r="412" spans="4:36" s="20" customFormat="1" ht="15">
      <c r="D412" s="2"/>
      <c r="E412" s="2"/>
      <c r="F412" s="2"/>
      <c r="G412" s="2"/>
      <c r="H412" s="2"/>
      <c r="I412" s="2"/>
      <c r="K412" s="2"/>
      <c r="M412" s="15"/>
      <c r="O412" s="15"/>
      <c r="Q412" s="2"/>
      <c r="S412" s="15"/>
      <c r="U412" s="15"/>
      <c r="W412" s="2"/>
      <c r="Y412" s="15"/>
      <c r="AA412" s="15"/>
      <c r="AC412" s="2"/>
      <c r="AE412" s="15"/>
      <c r="AG412" s="15"/>
      <c r="AJ412" s="2"/>
    </row>
    <row r="413" spans="4:36" s="20" customFormat="1" ht="15">
      <c r="D413" s="2"/>
      <c r="E413" s="2"/>
      <c r="F413" s="2"/>
      <c r="G413" s="2"/>
      <c r="H413" s="2"/>
      <c r="I413" s="2"/>
      <c r="K413" s="2"/>
      <c r="M413" s="15"/>
      <c r="O413" s="15"/>
      <c r="Q413" s="2"/>
      <c r="S413" s="15"/>
      <c r="U413" s="15"/>
      <c r="W413" s="2"/>
      <c r="Y413" s="15"/>
      <c r="AA413" s="15"/>
      <c r="AC413" s="2"/>
      <c r="AE413" s="15"/>
      <c r="AG413" s="15"/>
      <c r="AJ413" s="2"/>
    </row>
    <row r="414" spans="4:36" s="20" customFormat="1" ht="15">
      <c r="D414" s="2"/>
      <c r="E414" s="2"/>
      <c r="F414" s="2"/>
      <c r="G414" s="2"/>
      <c r="H414" s="2"/>
      <c r="I414" s="2"/>
      <c r="K414" s="2"/>
      <c r="M414" s="15"/>
      <c r="O414" s="15"/>
      <c r="Q414" s="2"/>
      <c r="S414" s="15"/>
      <c r="U414" s="15"/>
      <c r="W414" s="2"/>
      <c r="Y414" s="15"/>
      <c r="AA414" s="15"/>
      <c r="AC414" s="2"/>
      <c r="AE414" s="15"/>
      <c r="AG414" s="15"/>
      <c r="AJ414" s="2"/>
    </row>
    <row r="415" spans="4:36" s="20" customFormat="1" ht="15">
      <c r="D415" s="2"/>
      <c r="E415" s="2"/>
      <c r="F415" s="2"/>
      <c r="G415" s="2"/>
      <c r="H415" s="2"/>
      <c r="I415" s="2"/>
      <c r="K415" s="2"/>
      <c r="M415" s="15"/>
      <c r="O415" s="15"/>
      <c r="Q415" s="2"/>
      <c r="S415" s="15"/>
      <c r="U415" s="15"/>
      <c r="W415" s="2"/>
      <c r="Y415" s="15"/>
      <c r="AA415" s="15"/>
      <c r="AC415" s="2"/>
      <c r="AE415" s="15"/>
      <c r="AG415" s="15"/>
      <c r="AJ415" s="2"/>
    </row>
    <row r="416" spans="4:36" s="20" customFormat="1" ht="15">
      <c r="D416" s="2"/>
      <c r="E416" s="2"/>
      <c r="F416" s="2"/>
      <c r="G416" s="2"/>
      <c r="H416" s="2"/>
      <c r="I416" s="2"/>
      <c r="K416" s="2"/>
      <c r="M416" s="15"/>
      <c r="O416" s="15"/>
      <c r="Q416" s="2"/>
      <c r="S416" s="15"/>
      <c r="U416" s="15"/>
      <c r="W416" s="2"/>
      <c r="Y416" s="15"/>
      <c r="AA416" s="15"/>
      <c r="AC416" s="2"/>
      <c r="AE416" s="15"/>
      <c r="AG416" s="15"/>
      <c r="AJ416" s="2"/>
    </row>
    <row r="417" spans="4:36" s="20" customFormat="1" ht="15">
      <c r="D417" s="2"/>
      <c r="E417" s="2"/>
      <c r="F417" s="2"/>
      <c r="G417" s="2"/>
      <c r="H417" s="2"/>
      <c r="I417" s="2"/>
      <c r="K417" s="2"/>
      <c r="M417" s="15"/>
      <c r="O417" s="15"/>
      <c r="Q417" s="2"/>
      <c r="S417" s="15"/>
      <c r="U417" s="15"/>
      <c r="W417" s="2"/>
      <c r="Y417" s="15"/>
      <c r="AA417" s="15"/>
      <c r="AC417" s="2"/>
      <c r="AE417" s="15"/>
      <c r="AG417" s="15"/>
      <c r="AJ417" s="2"/>
    </row>
    <row r="418" spans="4:36" s="20" customFormat="1" ht="15">
      <c r="D418" s="2"/>
      <c r="E418" s="2"/>
      <c r="F418" s="2"/>
      <c r="G418" s="2"/>
      <c r="H418" s="2"/>
      <c r="I418" s="2"/>
      <c r="K418" s="2"/>
      <c r="M418" s="15"/>
      <c r="O418" s="15"/>
      <c r="Q418" s="2"/>
      <c r="S418" s="15"/>
      <c r="U418" s="15"/>
      <c r="W418" s="2"/>
      <c r="Y418" s="15"/>
      <c r="AA418" s="15"/>
      <c r="AC418" s="2"/>
      <c r="AE418" s="15"/>
      <c r="AG418" s="15"/>
      <c r="AJ418" s="2"/>
    </row>
    <row r="419" spans="4:36" s="20" customFormat="1" ht="15">
      <c r="D419" s="2"/>
      <c r="E419" s="2"/>
      <c r="F419" s="2"/>
      <c r="G419" s="2"/>
      <c r="H419" s="2"/>
      <c r="I419" s="2"/>
      <c r="K419" s="2"/>
      <c r="M419" s="15"/>
      <c r="O419" s="15"/>
      <c r="Q419" s="2"/>
      <c r="S419" s="15"/>
      <c r="U419" s="15"/>
      <c r="W419" s="2"/>
      <c r="Y419" s="15"/>
      <c r="AA419" s="15"/>
      <c r="AC419" s="2"/>
      <c r="AE419" s="15"/>
      <c r="AG419" s="15"/>
      <c r="AJ419" s="2"/>
    </row>
    <row r="420" spans="4:36" s="20" customFormat="1" ht="15">
      <c r="D420" s="2"/>
      <c r="E420" s="2"/>
      <c r="F420" s="2"/>
      <c r="G420" s="2"/>
      <c r="H420" s="2"/>
      <c r="I420" s="2"/>
      <c r="K420" s="2"/>
      <c r="M420" s="15"/>
      <c r="O420" s="15"/>
      <c r="Q420" s="2"/>
      <c r="S420" s="15"/>
      <c r="U420" s="15"/>
      <c r="W420" s="2"/>
      <c r="Y420" s="15"/>
      <c r="AA420" s="15"/>
      <c r="AC420" s="2"/>
      <c r="AE420" s="15"/>
      <c r="AG420" s="15"/>
      <c r="AJ420" s="2"/>
    </row>
    <row r="421" spans="4:36" s="20" customFormat="1" ht="15">
      <c r="D421" s="2"/>
      <c r="E421" s="2"/>
      <c r="F421" s="2"/>
      <c r="G421" s="2"/>
      <c r="H421" s="2"/>
      <c r="I421" s="2"/>
      <c r="K421" s="2"/>
      <c r="M421" s="15"/>
      <c r="O421" s="15"/>
      <c r="Q421" s="2"/>
      <c r="S421" s="15"/>
      <c r="U421" s="15"/>
      <c r="W421" s="2"/>
      <c r="Y421" s="15"/>
      <c r="AA421" s="15"/>
      <c r="AC421" s="2"/>
      <c r="AE421" s="15"/>
      <c r="AG421" s="15"/>
      <c r="AJ421" s="2"/>
    </row>
    <row r="422" spans="4:36" s="20" customFormat="1" ht="15">
      <c r="D422" s="2"/>
      <c r="E422" s="2"/>
      <c r="F422" s="2"/>
      <c r="G422" s="2"/>
      <c r="H422" s="2"/>
      <c r="I422" s="2"/>
      <c r="K422" s="2"/>
      <c r="M422" s="15"/>
      <c r="O422" s="15"/>
      <c r="Q422" s="2"/>
      <c r="S422" s="15"/>
      <c r="U422" s="15"/>
      <c r="W422" s="2"/>
      <c r="Y422" s="15"/>
      <c r="AA422" s="15"/>
      <c r="AC422" s="2"/>
      <c r="AE422" s="15"/>
      <c r="AG422" s="15"/>
      <c r="AJ422" s="2"/>
    </row>
    <row r="423" spans="4:36" s="20" customFormat="1" ht="15">
      <c r="D423" s="2"/>
      <c r="E423" s="2"/>
      <c r="F423" s="2"/>
      <c r="G423" s="2"/>
      <c r="H423" s="2"/>
      <c r="I423" s="2"/>
      <c r="K423" s="2"/>
      <c r="M423" s="15"/>
      <c r="O423" s="15"/>
      <c r="Q423" s="2"/>
      <c r="S423" s="15"/>
      <c r="U423" s="15"/>
      <c r="W423" s="2"/>
      <c r="Y423" s="15"/>
      <c r="AA423" s="15"/>
      <c r="AC423" s="2"/>
      <c r="AE423" s="15"/>
      <c r="AG423" s="15"/>
      <c r="AJ423" s="2"/>
    </row>
    <row r="424" spans="4:36" s="20" customFormat="1" ht="15">
      <c r="D424" s="2"/>
      <c r="E424" s="2"/>
      <c r="F424" s="2"/>
      <c r="G424" s="2"/>
      <c r="H424" s="2"/>
      <c r="I424" s="2"/>
      <c r="K424" s="2"/>
      <c r="M424" s="15"/>
      <c r="O424" s="15"/>
      <c r="Q424" s="2"/>
      <c r="S424" s="15"/>
      <c r="U424" s="15"/>
      <c r="W424" s="2"/>
      <c r="Y424" s="15"/>
      <c r="AA424" s="15"/>
      <c r="AC424" s="2"/>
      <c r="AE424" s="15"/>
      <c r="AG424" s="15"/>
      <c r="AJ424" s="2"/>
    </row>
    <row r="425" spans="4:36" s="20" customFormat="1" ht="15">
      <c r="D425" s="2"/>
      <c r="E425" s="2"/>
      <c r="F425" s="2"/>
      <c r="G425" s="2"/>
      <c r="H425" s="2"/>
      <c r="I425" s="2"/>
      <c r="K425" s="2"/>
      <c r="M425" s="15"/>
      <c r="O425" s="15"/>
      <c r="Q425" s="2"/>
      <c r="S425" s="15"/>
      <c r="U425" s="15"/>
      <c r="W425" s="2"/>
      <c r="Y425" s="15"/>
      <c r="AA425" s="15"/>
      <c r="AC425" s="2"/>
      <c r="AE425" s="15"/>
      <c r="AG425" s="15"/>
      <c r="AJ425" s="2"/>
    </row>
    <row r="426" spans="4:36" s="20" customFormat="1" ht="15">
      <c r="D426" s="2"/>
      <c r="E426" s="2"/>
      <c r="F426" s="2"/>
      <c r="G426" s="2"/>
      <c r="H426" s="2"/>
      <c r="I426" s="2"/>
      <c r="K426" s="2"/>
      <c r="M426" s="15"/>
      <c r="O426" s="15"/>
      <c r="Q426" s="2"/>
      <c r="S426" s="15"/>
      <c r="U426" s="15"/>
      <c r="W426" s="2"/>
      <c r="Y426" s="15"/>
      <c r="AA426" s="15"/>
      <c r="AC426" s="2"/>
      <c r="AE426" s="15"/>
      <c r="AG426" s="15"/>
      <c r="AJ426" s="2"/>
    </row>
    <row r="427" spans="4:36" s="20" customFormat="1" ht="15">
      <c r="D427" s="2"/>
      <c r="E427" s="2"/>
      <c r="F427" s="2"/>
      <c r="G427" s="2"/>
      <c r="H427" s="2"/>
      <c r="I427" s="2"/>
      <c r="K427" s="2"/>
      <c r="M427" s="15"/>
      <c r="O427" s="15"/>
      <c r="Q427" s="2"/>
      <c r="S427" s="15"/>
      <c r="U427" s="15"/>
      <c r="W427" s="2"/>
      <c r="Y427" s="15"/>
      <c r="AA427" s="15"/>
      <c r="AC427" s="2"/>
      <c r="AE427" s="15"/>
      <c r="AG427" s="15"/>
      <c r="AJ427" s="2"/>
    </row>
    <row r="428" spans="4:36" s="20" customFormat="1" ht="15">
      <c r="D428" s="2"/>
      <c r="E428" s="2"/>
      <c r="F428" s="2"/>
      <c r="G428" s="2"/>
      <c r="H428" s="2"/>
      <c r="I428" s="2"/>
      <c r="K428" s="2"/>
      <c r="M428" s="15"/>
      <c r="O428" s="15"/>
      <c r="Q428" s="2"/>
      <c r="S428" s="15"/>
      <c r="U428" s="15"/>
      <c r="W428" s="2"/>
      <c r="Y428" s="15"/>
      <c r="AA428" s="15"/>
      <c r="AC428" s="2"/>
      <c r="AE428" s="15"/>
      <c r="AG428" s="15"/>
      <c r="AJ428" s="2"/>
    </row>
    <row r="429" spans="4:36" s="20" customFormat="1" ht="15">
      <c r="D429" s="2"/>
      <c r="E429" s="2"/>
      <c r="F429" s="2"/>
      <c r="G429" s="2"/>
      <c r="H429" s="2"/>
      <c r="I429" s="2"/>
      <c r="K429" s="2"/>
      <c r="M429" s="15"/>
      <c r="O429" s="15"/>
      <c r="Q429" s="2"/>
      <c r="S429" s="15"/>
      <c r="U429" s="15"/>
      <c r="W429" s="2"/>
      <c r="Y429" s="15"/>
      <c r="AA429" s="15"/>
      <c r="AC429" s="2"/>
      <c r="AE429" s="15"/>
      <c r="AG429" s="15"/>
      <c r="AJ429" s="2"/>
    </row>
    <row r="430" spans="4:36" s="20" customFormat="1" ht="15">
      <c r="D430" s="2"/>
      <c r="E430" s="2"/>
      <c r="F430" s="2"/>
      <c r="G430" s="2"/>
      <c r="H430" s="2"/>
      <c r="I430" s="2"/>
      <c r="K430" s="2"/>
      <c r="M430" s="15"/>
      <c r="O430" s="15"/>
      <c r="Q430" s="2"/>
      <c r="S430" s="15"/>
      <c r="U430" s="15"/>
      <c r="W430" s="2"/>
      <c r="Y430" s="15"/>
      <c r="AA430" s="15"/>
      <c r="AC430" s="2"/>
      <c r="AE430" s="15"/>
      <c r="AG430" s="15"/>
      <c r="AJ430" s="2"/>
    </row>
    <row r="431" spans="4:36" s="20" customFormat="1" ht="15">
      <c r="D431" s="2"/>
      <c r="E431" s="2"/>
      <c r="F431" s="2"/>
      <c r="G431" s="2"/>
      <c r="H431" s="2"/>
      <c r="I431" s="2"/>
      <c r="K431" s="2"/>
      <c r="M431" s="15"/>
      <c r="O431" s="15"/>
      <c r="Q431" s="2"/>
      <c r="S431" s="15"/>
      <c r="U431" s="15"/>
      <c r="W431" s="2"/>
      <c r="Y431" s="15"/>
      <c r="AA431" s="15"/>
      <c r="AC431" s="2"/>
      <c r="AE431" s="15"/>
      <c r="AG431" s="15"/>
      <c r="AJ431" s="2"/>
    </row>
    <row r="432" spans="4:36" s="20" customFormat="1" ht="15">
      <c r="D432" s="2"/>
      <c r="E432" s="2"/>
      <c r="F432" s="2"/>
      <c r="G432" s="2"/>
      <c r="H432" s="2"/>
      <c r="I432" s="2"/>
      <c r="K432" s="2"/>
      <c r="M432" s="15"/>
      <c r="O432" s="15"/>
      <c r="Q432" s="2"/>
      <c r="S432" s="15"/>
      <c r="U432" s="15"/>
      <c r="W432" s="2"/>
      <c r="Y432" s="15"/>
      <c r="AA432" s="15"/>
      <c r="AC432" s="2"/>
      <c r="AE432" s="15"/>
      <c r="AG432" s="15"/>
      <c r="AJ432" s="2"/>
    </row>
    <row r="433" spans="4:36" s="20" customFormat="1" ht="15">
      <c r="D433" s="2"/>
      <c r="E433" s="2"/>
      <c r="F433" s="2"/>
      <c r="G433" s="2"/>
      <c r="H433" s="2"/>
      <c r="I433" s="2"/>
      <c r="K433" s="2"/>
      <c r="M433" s="15"/>
      <c r="O433" s="15"/>
      <c r="Q433" s="2"/>
      <c r="S433" s="15"/>
      <c r="U433" s="15"/>
      <c r="W433" s="2"/>
      <c r="Y433" s="15"/>
      <c r="AA433" s="15"/>
      <c r="AC433" s="2"/>
      <c r="AE433" s="15"/>
      <c r="AG433" s="15"/>
      <c r="AJ433" s="2"/>
    </row>
    <row r="434" spans="4:36" s="20" customFormat="1" ht="15">
      <c r="D434" s="2"/>
      <c r="E434" s="2"/>
      <c r="F434" s="2"/>
      <c r="G434" s="2"/>
      <c r="H434" s="2"/>
      <c r="I434" s="2"/>
      <c r="K434" s="2"/>
      <c r="M434" s="15"/>
      <c r="O434" s="15"/>
      <c r="Q434" s="2"/>
      <c r="S434" s="15"/>
      <c r="U434" s="15"/>
      <c r="W434" s="2"/>
      <c r="Y434" s="15"/>
      <c r="AA434" s="15"/>
      <c r="AC434" s="2"/>
      <c r="AE434" s="15"/>
      <c r="AG434" s="15"/>
      <c r="AJ434" s="2"/>
    </row>
    <row r="435" spans="4:36" s="20" customFormat="1" ht="15">
      <c r="D435" s="2"/>
      <c r="E435" s="2"/>
      <c r="F435" s="2"/>
      <c r="G435" s="2"/>
      <c r="H435" s="2"/>
      <c r="I435" s="2"/>
      <c r="K435" s="2"/>
      <c r="M435" s="15"/>
      <c r="O435" s="15"/>
      <c r="Q435" s="2"/>
      <c r="S435" s="15"/>
      <c r="U435" s="15"/>
      <c r="W435" s="2"/>
      <c r="Y435" s="15"/>
      <c r="AA435" s="15"/>
      <c r="AC435" s="2"/>
      <c r="AE435" s="15"/>
      <c r="AG435" s="15"/>
      <c r="AJ435" s="2"/>
    </row>
    <row r="436" spans="4:36" s="20" customFormat="1" ht="15">
      <c r="D436" s="2"/>
      <c r="E436" s="2"/>
      <c r="F436" s="2"/>
      <c r="G436" s="2"/>
      <c r="H436" s="2"/>
      <c r="I436" s="2"/>
      <c r="K436" s="2"/>
      <c r="M436" s="15"/>
      <c r="O436" s="15"/>
      <c r="Q436" s="2"/>
      <c r="S436" s="15"/>
      <c r="U436" s="15"/>
      <c r="W436" s="2"/>
      <c r="Y436" s="15"/>
      <c r="AA436" s="15"/>
      <c r="AC436" s="2"/>
      <c r="AE436" s="15"/>
      <c r="AG436" s="15"/>
      <c r="AJ436" s="2"/>
    </row>
    <row r="437" spans="4:36" s="20" customFormat="1" ht="15">
      <c r="D437" s="2"/>
      <c r="E437" s="2"/>
      <c r="F437" s="2"/>
      <c r="G437" s="2"/>
      <c r="H437" s="2"/>
      <c r="I437" s="2"/>
      <c r="K437" s="2"/>
      <c r="M437" s="15"/>
      <c r="O437" s="15"/>
      <c r="Q437" s="2"/>
      <c r="S437" s="15"/>
      <c r="U437" s="15"/>
      <c r="W437" s="2"/>
      <c r="Y437" s="15"/>
      <c r="AA437" s="15"/>
      <c r="AC437" s="2"/>
      <c r="AE437" s="15"/>
      <c r="AG437" s="15"/>
      <c r="AJ437" s="2"/>
    </row>
    <row r="438" spans="4:36" s="20" customFormat="1" ht="15">
      <c r="D438" s="2"/>
      <c r="E438" s="2"/>
      <c r="F438" s="2"/>
      <c r="G438" s="2"/>
      <c r="H438" s="2"/>
      <c r="I438" s="2"/>
      <c r="K438" s="2"/>
      <c r="M438" s="15"/>
      <c r="O438" s="15"/>
      <c r="Q438" s="2"/>
      <c r="S438" s="15"/>
      <c r="U438" s="15"/>
      <c r="W438" s="2"/>
      <c r="Y438" s="15"/>
      <c r="AA438" s="15"/>
      <c r="AC438" s="2"/>
      <c r="AE438" s="15"/>
      <c r="AG438" s="15"/>
      <c r="AJ438" s="2"/>
    </row>
    <row r="439" spans="4:36" s="20" customFormat="1" ht="15">
      <c r="D439" s="2"/>
      <c r="E439" s="2"/>
      <c r="F439" s="2"/>
      <c r="G439" s="2"/>
      <c r="H439" s="2"/>
      <c r="I439" s="2"/>
      <c r="K439" s="2"/>
      <c r="M439" s="15"/>
      <c r="O439" s="15"/>
      <c r="Q439" s="2"/>
      <c r="S439" s="15"/>
      <c r="U439" s="15"/>
      <c r="W439" s="2"/>
      <c r="Y439" s="15"/>
      <c r="AA439" s="15"/>
      <c r="AC439" s="2"/>
      <c r="AE439" s="15"/>
      <c r="AG439" s="15"/>
      <c r="AJ439" s="2"/>
    </row>
    <row r="440" spans="4:36" s="20" customFormat="1" ht="15">
      <c r="D440" s="2"/>
      <c r="E440" s="2"/>
      <c r="F440" s="2"/>
      <c r="G440" s="2"/>
      <c r="H440" s="2"/>
      <c r="I440" s="2"/>
      <c r="K440" s="2"/>
      <c r="M440" s="15"/>
      <c r="O440" s="15"/>
      <c r="Q440" s="2"/>
      <c r="S440" s="15"/>
      <c r="U440" s="15"/>
      <c r="W440" s="2"/>
      <c r="Y440" s="15"/>
      <c r="AA440" s="15"/>
      <c r="AC440" s="2"/>
      <c r="AE440" s="15"/>
      <c r="AG440" s="15"/>
      <c r="AJ440" s="2"/>
    </row>
    <row r="441" spans="4:36" s="20" customFormat="1" ht="15">
      <c r="D441" s="2"/>
      <c r="E441" s="2"/>
      <c r="F441" s="2"/>
      <c r="G441" s="2"/>
      <c r="H441" s="2"/>
      <c r="I441" s="2"/>
      <c r="K441" s="2"/>
      <c r="M441" s="15"/>
      <c r="O441" s="15"/>
      <c r="Q441" s="2"/>
      <c r="S441" s="15"/>
      <c r="U441" s="15"/>
      <c r="W441" s="2"/>
      <c r="Y441" s="15"/>
      <c r="AA441" s="15"/>
      <c r="AC441" s="2"/>
      <c r="AE441" s="15"/>
      <c r="AG441" s="15"/>
      <c r="AJ441" s="2"/>
    </row>
    <row r="442" spans="4:36" s="20" customFormat="1" ht="15">
      <c r="D442" s="2"/>
      <c r="E442" s="2"/>
      <c r="F442" s="2"/>
      <c r="G442" s="2"/>
      <c r="H442" s="2"/>
      <c r="I442" s="2"/>
      <c r="K442" s="2"/>
      <c r="M442" s="15"/>
      <c r="O442" s="15"/>
      <c r="Q442" s="2"/>
      <c r="S442" s="15"/>
      <c r="U442" s="15"/>
      <c r="W442" s="2"/>
      <c r="Y442" s="15"/>
      <c r="AA442" s="15"/>
      <c r="AC442" s="2"/>
      <c r="AE442" s="15"/>
      <c r="AG442" s="15"/>
      <c r="AJ442" s="2"/>
    </row>
    <row r="443" spans="4:36" s="20" customFormat="1" ht="15">
      <c r="D443" s="2"/>
      <c r="E443" s="2"/>
      <c r="F443" s="2"/>
      <c r="G443" s="2"/>
      <c r="H443" s="2"/>
      <c r="I443" s="2"/>
      <c r="K443" s="2"/>
      <c r="M443" s="15"/>
      <c r="O443" s="15"/>
      <c r="Q443" s="2"/>
      <c r="S443" s="15"/>
      <c r="U443" s="15"/>
      <c r="W443" s="2"/>
      <c r="Y443" s="15"/>
      <c r="AA443" s="15"/>
      <c r="AC443" s="2"/>
      <c r="AE443" s="15"/>
      <c r="AG443" s="15"/>
      <c r="AJ443" s="2"/>
    </row>
    <row r="444" spans="4:36" s="20" customFormat="1" ht="15">
      <c r="D444" s="2"/>
      <c r="E444" s="2"/>
      <c r="F444" s="2"/>
      <c r="G444" s="2"/>
      <c r="H444" s="2"/>
      <c r="I444" s="2"/>
      <c r="K444" s="2"/>
      <c r="M444" s="15"/>
      <c r="O444" s="15"/>
      <c r="Q444" s="2"/>
      <c r="S444" s="15"/>
      <c r="U444" s="15"/>
      <c r="W444" s="2"/>
      <c r="Y444" s="15"/>
      <c r="AA444" s="15"/>
      <c r="AC444" s="2"/>
      <c r="AE444" s="15"/>
      <c r="AG444" s="15"/>
      <c r="AJ444" s="2"/>
    </row>
    <row r="445" spans="4:36" s="20" customFormat="1" ht="15">
      <c r="D445" s="2"/>
      <c r="E445" s="2"/>
      <c r="F445" s="2"/>
      <c r="G445" s="2"/>
      <c r="H445" s="2"/>
      <c r="I445" s="2"/>
      <c r="K445" s="2"/>
      <c r="M445" s="15"/>
      <c r="O445" s="15"/>
      <c r="Q445" s="2"/>
      <c r="S445" s="15"/>
      <c r="U445" s="15"/>
      <c r="W445" s="2"/>
      <c r="Y445" s="15"/>
      <c r="AA445" s="15"/>
      <c r="AC445" s="2"/>
      <c r="AE445" s="15"/>
      <c r="AG445" s="15"/>
      <c r="AJ445" s="2"/>
    </row>
    <row r="446" spans="4:36" s="20" customFormat="1" ht="15">
      <c r="D446" s="2"/>
      <c r="E446" s="2"/>
      <c r="F446" s="2"/>
      <c r="G446" s="2"/>
      <c r="H446" s="2"/>
      <c r="I446" s="2"/>
      <c r="K446" s="2"/>
      <c r="M446" s="15"/>
      <c r="O446" s="15"/>
      <c r="Q446" s="2"/>
      <c r="S446" s="15"/>
      <c r="U446" s="15"/>
      <c r="W446" s="2"/>
      <c r="Y446" s="15"/>
      <c r="AA446" s="15"/>
      <c r="AC446" s="2"/>
      <c r="AE446" s="15"/>
      <c r="AG446" s="15"/>
      <c r="AJ446" s="2"/>
    </row>
    <row r="447" spans="4:36" s="20" customFormat="1" ht="15">
      <c r="D447" s="2"/>
      <c r="E447" s="2"/>
      <c r="F447" s="2"/>
      <c r="G447" s="2"/>
      <c r="H447" s="2"/>
      <c r="I447" s="2"/>
      <c r="K447" s="2"/>
      <c r="M447" s="15"/>
      <c r="O447" s="15"/>
      <c r="Q447" s="2"/>
      <c r="S447" s="15"/>
      <c r="U447" s="15"/>
      <c r="W447" s="2"/>
      <c r="Y447" s="15"/>
      <c r="AA447" s="15"/>
      <c r="AC447" s="2"/>
      <c r="AE447" s="15"/>
      <c r="AG447" s="15"/>
      <c r="AJ447" s="2"/>
    </row>
    <row r="448" spans="4:36" s="20" customFormat="1" ht="15">
      <c r="D448" s="2"/>
      <c r="E448" s="2"/>
      <c r="F448" s="2"/>
      <c r="G448" s="2"/>
      <c r="H448" s="2"/>
      <c r="I448" s="2"/>
      <c r="K448" s="2"/>
      <c r="M448" s="15"/>
      <c r="O448" s="15"/>
      <c r="Q448" s="2"/>
      <c r="S448" s="15"/>
      <c r="U448" s="15"/>
      <c r="W448" s="2"/>
      <c r="Y448" s="15"/>
      <c r="AA448" s="15"/>
      <c r="AC448" s="2"/>
      <c r="AE448" s="15"/>
      <c r="AG448" s="15"/>
      <c r="AJ448" s="2"/>
    </row>
    <row r="449" spans="4:36" s="20" customFormat="1" ht="15">
      <c r="D449" s="2"/>
      <c r="E449" s="2"/>
      <c r="F449" s="2"/>
      <c r="G449" s="2"/>
      <c r="H449" s="2"/>
      <c r="I449" s="2"/>
      <c r="K449" s="2"/>
      <c r="M449" s="15"/>
      <c r="O449" s="15"/>
      <c r="Q449" s="2"/>
      <c r="S449" s="15"/>
      <c r="U449" s="15"/>
      <c r="W449" s="2"/>
      <c r="Y449" s="15"/>
      <c r="AA449" s="15"/>
      <c r="AC449" s="2"/>
      <c r="AE449" s="15"/>
      <c r="AG449" s="15"/>
      <c r="AJ449" s="2"/>
    </row>
    <row r="450" spans="4:36" s="20" customFormat="1" ht="15">
      <c r="D450" s="2"/>
      <c r="E450" s="2"/>
      <c r="F450" s="2"/>
      <c r="G450" s="2"/>
      <c r="H450" s="2"/>
      <c r="I450" s="2"/>
      <c r="K450" s="2"/>
      <c r="M450" s="15"/>
      <c r="O450" s="15"/>
      <c r="Q450" s="2"/>
      <c r="S450" s="15"/>
      <c r="U450" s="15"/>
      <c r="W450" s="2"/>
      <c r="Y450" s="15"/>
      <c r="AA450" s="15"/>
      <c r="AC450" s="2"/>
      <c r="AE450" s="15"/>
      <c r="AG450" s="15"/>
      <c r="AJ450" s="2"/>
    </row>
    <row r="451" spans="4:36" s="20" customFormat="1" ht="15">
      <c r="D451" s="2"/>
      <c r="E451" s="2"/>
      <c r="F451" s="2"/>
      <c r="G451" s="2"/>
      <c r="H451" s="2"/>
      <c r="I451" s="2"/>
      <c r="K451" s="2"/>
      <c r="M451" s="15"/>
      <c r="O451" s="15"/>
      <c r="Q451" s="2"/>
      <c r="S451" s="15"/>
      <c r="U451" s="15"/>
      <c r="W451" s="2"/>
      <c r="Y451" s="15"/>
      <c r="AA451" s="15"/>
      <c r="AC451" s="2"/>
      <c r="AE451" s="15"/>
      <c r="AG451" s="15"/>
      <c r="AJ451" s="2"/>
    </row>
    <row r="452" spans="4:36" s="20" customFormat="1" ht="15">
      <c r="D452" s="2"/>
      <c r="E452" s="2"/>
      <c r="F452" s="2"/>
      <c r="G452" s="2"/>
      <c r="H452" s="2"/>
      <c r="I452" s="2"/>
      <c r="K452" s="2"/>
      <c r="M452" s="15"/>
      <c r="O452" s="15"/>
      <c r="Q452" s="2"/>
      <c r="S452" s="15"/>
      <c r="U452" s="15"/>
      <c r="W452" s="2"/>
      <c r="Y452" s="15"/>
      <c r="AA452" s="15"/>
      <c r="AC452" s="2"/>
      <c r="AE452" s="15"/>
      <c r="AG452" s="15"/>
      <c r="AJ452" s="2"/>
    </row>
    <row r="453" spans="4:36" s="20" customFormat="1" ht="15">
      <c r="D453" s="2"/>
      <c r="E453" s="2"/>
      <c r="F453" s="2"/>
      <c r="G453" s="2"/>
      <c r="H453" s="2"/>
      <c r="I453" s="2"/>
      <c r="K453" s="2"/>
      <c r="M453" s="15"/>
      <c r="O453" s="15"/>
      <c r="Q453" s="2"/>
      <c r="S453" s="15"/>
      <c r="U453" s="15"/>
      <c r="W453" s="2"/>
      <c r="Y453" s="15"/>
      <c r="AA453" s="15"/>
      <c r="AC453" s="2"/>
      <c r="AE453" s="15"/>
      <c r="AG453" s="15"/>
      <c r="AJ453" s="2"/>
    </row>
    <row r="454" spans="4:36" s="20" customFormat="1" ht="15">
      <c r="D454" s="2"/>
      <c r="E454" s="2"/>
      <c r="F454" s="2"/>
      <c r="G454" s="2"/>
      <c r="H454" s="2"/>
      <c r="I454" s="2"/>
      <c r="K454" s="2"/>
      <c r="M454" s="15"/>
      <c r="O454" s="15"/>
      <c r="Q454" s="2"/>
      <c r="S454" s="15"/>
      <c r="U454" s="15"/>
      <c r="W454" s="2"/>
      <c r="Y454" s="15"/>
      <c r="AA454" s="15"/>
      <c r="AC454" s="2"/>
      <c r="AE454" s="15"/>
      <c r="AG454" s="15"/>
      <c r="AJ454" s="2"/>
    </row>
    <row r="455" spans="4:36" s="20" customFormat="1" ht="15">
      <c r="D455" s="2"/>
      <c r="E455" s="2"/>
      <c r="F455" s="2"/>
      <c r="G455" s="2"/>
      <c r="H455" s="2"/>
      <c r="I455" s="2"/>
      <c r="K455" s="2"/>
      <c r="M455" s="15"/>
      <c r="O455" s="15"/>
      <c r="Q455" s="2"/>
      <c r="S455" s="15"/>
      <c r="U455" s="15"/>
      <c r="W455" s="2"/>
      <c r="Y455" s="15"/>
      <c r="AA455" s="15"/>
      <c r="AC455" s="2"/>
      <c r="AE455" s="15"/>
      <c r="AG455" s="15"/>
      <c r="AJ455" s="2"/>
    </row>
    <row r="456" spans="4:36" s="20" customFormat="1" ht="15">
      <c r="D456" s="2"/>
      <c r="E456" s="2"/>
      <c r="F456" s="2"/>
      <c r="G456" s="2"/>
      <c r="H456" s="2"/>
      <c r="I456" s="2"/>
      <c r="K456" s="2"/>
      <c r="M456" s="15"/>
      <c r="O456" s="15"/>
      <c r="Q456" s="2"/>
      <c r="S456" s="15"/>
      <c r="U456" s="15"/>
      <c r="W456" s="2"/>
      <c r="Y456" s="15"/>
      <c r="AA456" s="15"/>
      <c r="AC456" s="2"/>
      <c r="AE456" s="15"/>
      <c r="AG456" s="15"/>
      <c r="AJ456" s="2"/>
    </row>
    <row r="457" spans="4:36" s="20" customFormat="1" ht="15">
      <c r="D457" s="2"/>
      <c r="E457" s="2"/>
      <c r="F457" s="2"/>
      <c r="G457" s="2"/>
      <c r="H457" s="2"/>
      <c r="I457" s="2"/>
      <c r="K457" s="2"/>
      <c r="M457" s="15"/>
      <c r="O457" s="15"/>
      <c r="Q457" s="2"/>
      <c r="S457" s="15"/>
      <c r="U457" s="15"/>
      <c r="W457" s="2"/>
      <c r="Y457" s="15"/>
      <c r="AA457" s="15"/>
      <c r="AC457" s="2"/>
      <c r="AE457" s="15"/>
      <c r="AG457" s="15"/>
      <c r="AJ457" s="2"/>
    </row>
    <row r="458" spans="4:36" s="20" customFormat="1" ht="15">
      <c r="D458" s="2"/>
      <c r="E458" s="2"/>
      <c r="F458" s="2"/>
      <c r="G458" s="2"/>
      <c r="H458" s="2"/>
      <c r="I458" s="2"/>
      <c r="K458" s="2"/>
      <c r="M458" s="15"/>
      <c r="O458" s="15"/>
      <c r="Q458" s="2"/>
      <c r="S458" s="15"/>
      <c r="U458" s="15"/>
      <c r="W458" s="2"/>
      <c r="Y458" s="15"/>
      <c r="AA458" s="15"/>
      <c r="AC458" s="2"/>
      <c r="AE458" s="15"/>
      <c r="AG458" s="15"/>
      <c r="AJ458" s="2"/>
    </row>
    <row r="459" spans="4:36" s="20" customFormat="1" ht="15">
      <c r="D459" s="2"/>
      <c r="E459" s="2"/>
      <c r="F459" s="2"/>
      <c r="G459" s="2"/>
      <c r="H459" s="2"/>
      <c r="I459" s="2"/>
      <c r="K459" s="2"/>
      <c r="M459" s="15"/>
      <c r="O459" s="15"/>
      <c r="Q459" s="2"/>
      <c r="S459" s="15"/>
      <c r="U459" s="15"/>
      <c r="W459" s="2"/>
      <c r="Y459" s="15"/>
      <c r="AA459" s="15"/>
      <c r="AC459" s="2"/>
      <c r="AE459" s="15"/>
      <c r="AG459" s="15"/>
      <c r="AJ459" s="2"/>
    </row>
    <row r="460" spans="4:36" s="20" customFormat="1" ht="15">
      <c r="D460" s="2"/>
      <c r="E460" s="2"/>
      <c r="F460" s="2"/>
      <c r="G460" s="2"/>
      <c r="H460" s="2"/>
      <c r="I460" s="2"/>
      <c r="K460" s="2"/>
      <c r="M460" s="15"/>
      <c r="O460" s="15"/>
      <c r="Q460" s="2"/>
      <c r="S460" s="15"/>
      <c r="U460" s="15"/>
      <c r="W460" s="2"/>
      <c r="Y460" s="15"/>
      <c r="AA460" s="15"/>
      <c r="AC460" s="2"/>
      <c r="AE460" s="15"/>
      <c r="AG460" s="15"/>
      <c r="AJ460" s="2"/>
    </row>
    <row r="461" spans="4:36" s="20" customFormat="1" ht="15">
      <c r="D461" s="2"/>
      <c r="E461" s="2"/>
      <c r="F461" s="2"/>
      <c r="G461" s="2"/>
      <c r="H461" s="2"/>
      <c r="I461" s="2"/>
      <c r="K461" s="2"/>
      <c r="M461" s="15"/>
      <c r="O461" s="15"/>
      <c r="Q461" s="2"/>
      <c r="S461" s="15"/>
      <c r="U461" s="15"/>
      <c r="W461" s="2"/>
      <c r="Y461" s="15"/>
      <c r="AA461" s="15"/>
      <c r="AC461" s="2"/>
      <c r="AE461" s="15"/>
      <c r="AG461" s="15"/>
      <c r="AJ461" s="2"/>
    </row>
    <row r="462" spans="4:36" s="20" customFormat="1" ht="15">
      <c r="D462" s="2"/>
      <c r="E462" s="2"/>
      <c r="F462" s="2"/>
      <c r="G462" s="2"/>
      <c r="H462" s="2"/>
      <c r="I462" s="2"/>
      <c r="K462" s="2"/>
      <c r="M462" s="15"/>
      <c r="O462" s="15"/>
      <c r="Q462" s="2"/>
      <c r="S462" s="15"/>
      <c r="U462" s="15"/>
      <c r="W462" s="2"/>
      <c r="Y462" s="15"/>
      <c r="AA462" s="15"/>
      <c r="AC462" s="2"/>
      <c r="AE462" s="15"/>
      <c r="AG462" s="15"/>
      <c r="AJ462" s="2"/>
    </row>
    <row r="463" spans="4:36" s="20" customFormat="1" ht="15">
      <c r="D463" s="2"/>
      <c r="E463" s="2"/>
      <c r="F463" s="2"/>
      <c r="G463" s="2"/>
      <c r="H463" s="2"/>
      <c r="I463" s="2"/>
      <c r="K463" s="2"/>
      <c r="M463" s="15"/>
      <c r="O463" s="15"/>
      <c r="Q463" s="2"/>
      <c r="S463" s="15"/>
      <c r="U463" s="15"/>
      <c r="W463" s="2"/>
      <c r="Y463" s="15"/>
      <c r="AA463" s="15"/>
      <c r="AC463" s="2"/>
      <c r="AE463" s="15"/>
      <c r="AG463" s="15"/>
      <c r="AJ463" s="2"/>
    </row>
    <row r="464" spans="4:36" s="20" customFormat="1" ht="15">
      <c r="D464" s="2"/>
      <c r="E464" s="2"/>
      <c r="F464" s="2"/>
      <c r="G464" s="2"/>
      <c r="H464" s="2"/>
      <c r="I464" s="2"/>
      <c r="K464" s="2"/>
      <c r="M464" s="15"/>
      <c r="O464" s="15"/>
      <c r="Q464" s="2"/>
      <c r="S464" s="15"/>
      <c r="U464" s="15"/>
      <c r="W464" s="2"/>
      <c r="Y464" s="15"/>
      <c r="AA464" s="15"/>
      <c r="AC464" s="2"/>
      <c r="AE464" s="15"/>
      <c r="AG464" s="15"/>
      <c r="AJ464" s="2"/>
    </row>
    <row r="465" spans="1:36" s="20" customFormat="1" ht="15">
      <c r="D465" s="2"/>
      <c r="E465" s="2"/>
      <c r="F465" s="2"/>
      <c r="G465" s="2"/>
      <c r="H465" s="2"/>
      <c r="I465" s="2"/>
      <c r="K465" s="2"/>
      <c r="M465" s="15"/>
      <c r="O465" s="15"/>
      <c r="Q465" s="2"/>
      <c r="S465" s="15"/>
      <c r="U465" s="15"/>
      <c r="W465" s="2"/>
      <c r="Y465" s="15"/>
      <c r="AA465" s="15"/>
      <c r="AC465" s="2"/>
      <c r="AE465" s="15"/>
      <c r="AG465" s="15"/>
      <c r="AJ465" s="2"/>
    </row>
    <row r="466" spans="1:36" s="20" customFormat="1" ht="15">
      <c r="D466" s="2"/>
      <c r="E466" s="2"/>
      <c r="F466" s="2"/>
      <c r="G466" s="2"/>
      <c r="H466" s="2"/>
      <c r="I466" s="2"/>
      <c r="K466" s="2"/>
      <c r="M466" s="15"/>
      <c r="O466" s="15"/>
      <c r="Q466" s="2"/>
      <c r="S466" s="15"/>
      <c r="U466" s="15"/>
      <c r="W466" s="2"/>
      <c r="Y466" s="15"/>
      <c r="AA466" s="15"/>
      <c r="AC466" s="2"/>
      <c r="AE466" s="15"/>
      <c r="AG466" s="15"/>
      <c r="AJ466" s="2"/>
    </row>
    <row r="467" spans="1:36" s="20" customFormat="1" ht="15">
      <c r="D467" s="2"/>
      <c r="E467" s="2"/>
      <c r="F467" s="2"/>
      <c r="G467" s="2"/>
      <c r="H467" s="2"/>
      <c r="I467" s="2"/>
      <c r="K467" s="2"/>
      <c r="M467" s="15"/>
      <c r="O467" s="15"/>
      <c r="Q467" s="2"/>
      <c r="S467" s="15"/>
      <c r="U467" s="15"/>
      <c r="W467" s="2"/>
      <c r="Y467" s="15"/>
      <c r="AA467" s="15"/>
      <c r="AC467" s="2"/>
      <c r="AE467" s="15"/>
      <c r="AG467" s="15"/>
      <c r="AJ467" s="2"/>
    </row>
    <row r="468" spans="1:36" s="20" customFormat="1" ht="15">
      <c r="D468" s="2"/>
      <c r="E468" s="2"/>
      <c r="F468" s="2"/>
      <c r="G468" s="2"/>
      <c r="H468" s="2"/>
      <c r="I468" s="2"/>
      <c r="K468" s="2"/>
      <c r="M468" s="15"/>
      <c r="O468" s="15"/>
      <c r="Q468" s="2"/>
      <c r="S468" s="15"/>
      <c r="U468" s="15"/>
      <c r="W468" s="2"/>
      <c r="Y468" s="15"/>
      <c r="AA468" s="15"/>
      <c r="AC468" s="2"/>
      <c r="AE468" s="15"/>
      <c r="AG468" s="15"/>
      <c r="AJ468" s="2"/>
    </row>
    <row r="469" spans="1:36" s="20" customFormat="1" ht="15">
      <c r="D469" s="2"/>
      <c r="E469" s="2"/>
      <c r="F469" s="2"/>
      <c r="G469" s="2"/>
      <c r="H469" s="2"/>
      <c r="I469" s="2"/>
      <c r="K469" s="2"/>
      <c r="M469" s="15"/>
      <c r="O469" s="15"/>
      <c r="Q469" s="2"/>
      <c r="S469" s="15"/>
      <c r="U469" s="15"/>
      <c r="W469" s="2"/>
      <c r="Y469" s="15"/>
      <c r="AA469" s="15"/>
      <c r="AC469" s="2"/>
      <c r="AE469" s="15"/>
      <c r="AG469" s="15"/>
      <c r="AJ469" s="2"/>
    </row>
    <row r="470" spans="1:36" s="20" customFormat="1" ht="15">
      <c r="D470" s="2"/>
      <c r="E470" s="2"/>
      <c r="F470" s="2"/>
      <c r="G470" s="2"/>
      <c r="H470" s="2"/>
      <c r="I470" s="2"/>
      <c r="K470" s="2"/>
      <c r="M470" s="15"/>
      <c r="O470" s="15"/>
      <c r="Q470" s="2"/>
      <c r="S470" s="15"/>
      <c r="U470" s="15"/>
      <c r="W470" s="2"/>
      <c r="Y470" s="15"/>
      <c r="AA470" s="15"/>
      <c r="AC470" s="2"/>
      <c r="AE470" s="15"/>
      <c r="AG470" s="15"/>
      <c r="AJ470" s="2"/>
    </row>
    <row r="471" spans="1:36" s="20" customFormat="1" ht="15">
      <c r="D471" s="2"/>
      <c r="E471" s="2"/>
      <c r="F471" s="2"/>
      <c r="G471" s="2"/>
      <c r="H471" s="2"/>
      <c r="I471" s="2"/>
      <c r="K471" s="2"/>
      <c r="M471" s="15"/>
      <c r="O471" s="15"/>
      <c r="Q471" s="2"/>
      <c r="S471" s="15"/>
      <c r="U471" s="15"/>
      <c r="W471" s="2"/>
      <c r="Y471" s="15"/>
      <c r="AA471" s="15"/>
      <c r="AC471" s="2"/>
      <c r="AE471" s="15"/>
      <c r="AG471" s="15"/>
      <c r="AJ471" s="2"/>
    </row>
    <row r="472" spans="1:36" s="20" customFormat="1" ht="15">
      <c r="D472" s="2"/>
      <c r="E472" s="2"/>
      <c r="F472" s="2"/>
      <c r="G472" s="2"/>
      <c r="H472" s="2"/>
      <c r="I472" s="2"/>
      <c r="K472" s="2"/>
      <c r="M472" s="15"/>
      <c r="O472" s="15"/>
      <c r="Q472" s="2"/>
      <c r="S472" s="15"/>
      <c r="U472" s="15"/>
      <c r="W472" s="2"/>
      <c r="Y472" s="15"/>
      <c r="AA472" s="15"/>
      <c r="AC472" s="2"/>
      <c r="AE472" s="15"/>
      <c r="AG472" s="15"/>
      <c r="AJ472" s="2"/>
    </row>
    <row r="473" spans="1:36" s="20" customFormat="1" ht="15">
      <c r="D473" s="2"/>
      <c r="E473" s="2"/>
      <c r="F473" s="2"/>
      <c r="G473" s="2"/>
      <c r="H473" s="2"/>
      <c r="I473" s="2"/>
      <c r="K473" s="2"/>
      <c r="M473" s="15"/>
      <c r="O473" s="15"/>
      <c r="Q473" s="2"/>
      <c r="S473" s="15"/>
      <c r="U473" s="15"/>
      <c r="W473" s="2"/>
      <c r="Y473" s="15"/>
      <c r="AA473" s="15"/>
      <c r="AC473" s="2"/>
      <c r="AE473" s="15"/>
      <c r="AG473" s="15"/>
      <c r="AJ473" s="2"/>
    </row>
    <row r="474" spans="1:36" s="20" customFormat="1" ht="15">
      <c r="D474" s="2"/>
      <c r="E474" s="2"/>
      <c r="F474" s="2"/>
      <c r="G474" s="2"/>
      <c r="H474" s="2"/>
      <c r="I474" s="2"/>
      <c r="K474" s="2"/>
      <c r="M474" s="15"/>
      <c r="O474" s="15"/>
      <c r="Q474" s="2"/>
      <c r="S474" s="15"/>
      <c r="U474" s="15"/>
      <c r="W474" s="2"/>
      <c r="Y474" s="15"/>
      <c r="AA474" s="15"/>
      <c r="AC474" s="2"/>
      <c r="AE474" s="15"/>
      <c r="AG474" s="15"/>
      <c r="AJ474" s="2"/>
    </row>
    <row r="475" spans="1:36" s="20" customFormat="1" ht="15">
      <c r="D475" s="2"/>
      <c r="E475" s="2"/>
      <c r="F475" s="2"/>
      <c r="G475" s="2"/>
      <c r="H475" s="2"/>
      <c r="I475" s="2"/>
      <c r="K475" s="2"/>
      <c r="M475" s="15"/>
      <c r="O475" s="15"/>
      <c r="Q475" s="2"/>
      <c r="S475" s="15"/>
      <c r="U475" s="15"/>
      <c r="W475" s="2"/>
      <c r="Y475" s="15"/>
      <c r="AA475" s="15"/>
      <c r="AC475" s="2"/>
      <c r="AE475" s="15"/>
      <c r="AG475" s="15"/>
      <c r="AJ475" s="2"/>
    </row>
    <row r="476" spans="1:36" s="20" customFormat="1">
      <c r="A476" s="2"/>
      <c r="C476" s="2"/>
      <c r="D476" s="2"/>
      <c r="E476" s="2"/>
      <c r="F476" s="2"/>
      <c r="G476" s="2"/>
      <c r="H476" s="2"/>
      <c r="I476" s="2"/>
      <c r="K476" s="2"/>
      <c r="M476" s="2"/>
      <c r="O476" s="2"/>
      <c r="Q476" s="2"/>
      <c r="S476" s="2"/>
      <c r="U476" s="2"/>
      <c r="W476" s="2"/>
      <c r="Y476" s="2"/>
      <c r="AA476" s="2"/>
      <c r="AC476" s="2"/>
      <c r="AE476" s="2"/>
      <c r="AG476" s="2"/>
      <c r="AI476" s="2"/>
      <c r="AJ476" s="2"/>
    </row>
    <row r="477" spans="1:36" s="20" customFormat="1">
      <c r="A477" s="2"/>
      <c r="C477" s="2"/>
      <c r="D477" s="2"/>
      <c r="E477" s="2"/>
      <c r="F477" s="2"/>
      <c r="G477" s="2"/>
      <c r="H477" s="2"/>
      <c r="I477" s="2"/>
      <c r="K477" s="2"/>
      <c r="M477" s="2"/>
      <c r="O477" s="2"/>
      <c r="Q477" s="2"/>
      <c r="S477" s="2"/>
      <c r="U477" s="2"/>
      <c r="W477" s="2"/>
      <c r="Y477" s="2"/>
      <c r="AA477" s="2"/>
      <c r="AC477" s="2"/>
      <c r="AE477" s="2"/>
      <c r="AG477" s="2"/>
      <c r="AI477" s="2"/>
      <c r="AJ477" s="2"/>
    </row>
    <row r="478" spans="1:36" s="20" customFormat="1">
      <c r="A478" s="2"/>
      <c r="C478" s="2"/>
      <c r="D478" s="2"/>
      <c r="E478" s="2"/>
      <c r="F478" s="2"/>
      <c r="G478" s="2"/>
      <c r="H478" s="2"/>
      <c r="I478" s="2"/>
      <c r="K478" s="2"/>
      <c r="M478" s="2"/>
      <c r="O478" s="2"/>
      <c r="Q478" s="2"/>
      <c r="S478" s="2"/>
      <c r="U478" s="2"/>
      <c r="W478" s="2"/>
      <c r="Y478" s="2"/>
      <c r="AA478" s="2"/>
      <c r="AC478" s="2"/>
      <c r="AE478" s="2"/>
      <c r="AG478" s="2"/>
      <c r="AI478" s="2"/>
      <c r="AJ478" s="2"/>
    </row>
    <row r="479" spans="1:36" s="20" customFormat="1">
      <c r="A479" s="2"/>
      <c r="C479" s="2"/>
      <c r="D479" s="2"/>
      <c r="E479" s="2"/>
      <c r="F479" s="2"/>
      <c r="G479" s="2"/>
      <c r="H479" s="2"/>
      <c r="I479" s="2"/>
      <c r="K479" s="2"/>
      <c r="M479" s="2"/>
      <c r="O479" s="2"/>
      <c r="Q479" s="2"/>
      <c r="S479" s="2"/>
      <c r="U479" s="2"/>
      <c r="W479" s="2"/>
      <c r="Y479" s="2"/>
      <c r="AA479" s="2"/>
      <c r="AC479" s="2"/>
      <c r="AE479" s="2"/>
      <c r="AG479" s="2"/>
      <c r="AI479" s="2"/>
      <c r="AJ479" s="2"/>
    </row>
    <row r="480" spans="1:36" s="20" customFormat="1">
      <c r="A480" s="2"/>
      <c r="C480" s="2"/>
      <c r="D480" s="2"/>
      <c r="E480" s="2"/>
      <c r="F480" s="2"/>
      <c r="G480" s="2"/>
      <c r="H480" s="2"/>
      <c r="I480" s="2"/>
      <c r="K480" s="2"/>
      <c r="M480" s="2"/>
      <c r="O480" s="2"/>
      <c r="Q480" s="2"/>
      <c r="S480" s="2"/>
      <c r="U480" s="2"/>
      <c r="W480" s="2"/>
      <c r="Y480" s="2"/>
      <c r="AA480" s="2"/>
      <c r="AC480" s="2"/>
      <c r="AE480" s="2"/>
      <c r="AG480" s="2"/>
      <c r="AI480" s="2"/>
      <c r="AJ480" s="2"/>
    </row>
    <row r="481" spans="1:36" s="20" customFormat="1">
      <c r="A481" s="2"/>
      <c r="C481" s="2"/>
      <c r="D481" s="2"/>
      <c r="E481" s="2"/>
      <c r="F481" s="2"/>
      <c r="G481" s="2"/>
      <c r="H481" s="2"/>
      <c r="I481" s="2"/>
      <c r="K481" s="2"/>
      <c r="M481" s="2"/>
      <c r="O481" s="2"/>
      <c r="Q481" s="2"/>
      <c r="S481" s="2"/>
      <c r="U481" s="2"/>
      <c r="W481" s="2"/>
      <c r="Y481" s="2"/>
      <c r="AA481" s="2"/>
      <c r="AC481" s="2"/>
      <c r="AE481" s="2"/>
      <c r="AG481" s="2"/>
      <c r="AI481" s="2"/>
      <c r="AJ481" s="2"/>
    </row>
    <row r="482" spans="1:36" s="20" customFormat="1">
      <c r="A482" s="2"/>
      <c r="C482" s="2"/>
      <c r="D482" s="2"/>
      <c r="E482" s="2"/>
      <c r="F482" s="2"/>
      <c r="G482" s="2"/>
      <c r="H482" s="2"/>
      <c r="I482" s="2"/>
      <c r="K482" s="2"/>
      <c r="M482" s="2"/>
      <c r="O482" s="2"/>
      <c r="Q482" s="2"/>
      <c r="S482" s="2"/>
      <c r="U482" s="2"/>
      <c r="W482" s="2"/>
      <c r="Y482" s="2"/>
      <c r="AA482" s="2"/>
      <c r="AC482" s="2"/>
      <c r="AE482" s="2"/>
      <c r="AG482" s="2"/>
      <c r="AI482" s="2"/>
      <c r="AJ482" s="2"/>
    </row>
    <row r="483" spans="1:36" s="20" customFormat="1">
      <c r="A483" s="2"/>
      <c r="C483" s="2"/>
      <c r="D483" s="2"/>
      <c r="E483" s="2"/>
      <c r="F483" s="2"/>
      <c r="G483" s="2"/>
      <c r="H483" s="2"/>
      <c r="I483" s="2"/>
      <c r="K483" s="2"/>
      <c r="M483" s="2"/>
      <c r="O483" s="2"/>
      <c r="Q483" s="2"/>
      <c r="S483" s="2"/>
      <c r="U483" s="2"/>
      <c r="W483" s="2"/>
      <c r="Y483" s="2"/>
      <c r="AA483" s="2"/>
      <c r="AC483" s="2"/>
      <c r="AE483" s="2"/>
      <c r="AG483" s="2"/>
      <c r="AI483" s="2"/>
      <c r="AJ483" s="2"/>
    </row>
    <row r="484" spans="1:36" s="20" customFormat="1">
      <c r="A484" s="2"/>
      <c r="C484" s="2"/>
      <c r="D484" s="2"/>
      <c r="E484" s="2"/>
      <c r="F484" s="2"/>
      <c r="G484" s="2"/>
      <c r="H484" s="2"/>
      <c r="I484" s="2"/>
      <c r="K484" s="2"/>
      <c r="M484" s="2"/>
      <c r="O484" s="2"/>
      <c r="Q484" s="2"/>
      <c r="S484" s="2"/>
      <c r="U484" s="2"/>
      <c r="W484" s="2"/>
      <c r="Y484" s="2"/>
      <c r="AA484" s="2"/>
      <c r="AC484" s="2"/>
      <c r="AE484" s="2"/>
      <c r="AG484" s="2"/>
      <c r="AI484" s="2"/>
      <c r="AJ484" s="2"/>
    </row>
    <row r="485" spans="1:36" s="20" customFormat="1">
      <c r="A485" s="2"/>
      <c r="C485" s="2"/>
      <c r="D485" s="2"/>
      <c r="E485" s="2"/>
      <c r="F485" s="2"/>
      <c r="G485" s="2"/>
      <c r="H485" s="2"/>
      <c r="I485" s="2"/>
      <c r="K485" s="2"/>
      <c r="M485" s="2"/>
      <c r="O485" s="2"/>
      <c r="Q485" s="2"/>
      <c r="S485" s="2"/>
      <c r="U485" s="2"/>
      <c r="W485" s="2"/>
      <c r="Y485" s="2"/>
      <c r="AA485" s="2"/>
      <c r="AC485" s="2"/>
      <c r="AE485" s="2"/>
      <c r="AG485" s="2"/>
      <c r="AI485" s="2"/>
      <c r="AJ485" s="2"/>
    </row>
    <row r="486" spans="1:36" s="20" customFormat="1">
      <c r="A486" s="2"/>
      <c r="C486" s="2"/>
      <c r="D486" s="2"/>
      <c r="E486" s="2"/>
      <c r="F486" s="2"/>
      <c r="G486" s="2"/>
      <c r="H486" s="2"/>
      <c r="I486" s="2"/>
      <c r="K486" s="2"/>
      <c r="M486" s="2"/>
      <c r="O486" s="2"/>
      <c r="Q486" s="2"/>
      <c r="S486" s="2"/>
      <c r="U486" s="2"/>
      <c r="W486" s="2"/>
      <c r="Y486" s="2"/>
      <c r="AA486" s="2"/>
      <c r="AC486" s="2"/>
      <c r="AE486" s="2"/>
      <c r="AG486" s="2"/>
      <c r="AI486" s="2"/>
      <c r="AJ486" s="2"/>
    </row>
    <row r="487" spans="1:36" s="20" customFormat="1">
      <c r="A487" s="2"/>
      <c r="C487" s="2"/>
      <c r="D487" s="2"/>
      <c r="E487" s="2"/>
      <c r="F487" s="2"/>
      <c r="G487" s="2"/>
      <c r="H487" s="2"/>
      <c r="I487" s="2"/>
      <c r="K487" s="2"/>
      <c r="M487" s="2"/>
      <c r="O487" s="2"/>
      <c r="Q487" s="2"/>
      <c r="S487" s="2"/>
      <c r="U487" s="2"/>
      <c r="W487" s="2"/>
      <c r="Y487" s="2"/>
      <c r="AA487" s="2"/>
      <c r="AC487" s="2"/>
      <c r="AE487" s="2"/>
      <c r="AG487" s="2"/>
      <c r="AI487" s="2"/>
      <c r="AJ487" s="2"/>
    </row>
    <row r="488" spans="1:36" s="20" customFormat="1">
      <c r="A488" s="2"/>
      <c r="C488" s="2"/>
      <c r="D488" s="2"/>
      <c r="E488" s="2"/>
      <c r="F488" s="2"/>
      <c r="G488" s="2"/>
      <c r="H488" s="2"/>
      <c r="I488" s="2"/>
      <c r="K488" s="2"/>
      <c r="M488" s="2"/>
      <c r="O488" s="2"/>
      <c r="Q488" s="2"/>
      <c r="S488" s="2"/>
      <c r="U488" s="2"/>
      <c r="W488" s="2"/>
      <c r="Y488" s="2"/>
      <c r="AA488" s="2"/>
      <c r="AC488" s="2"/>
      <c r="AE488" s="2"/>
      <c r="AG488" s="2"/>
      <c r="AI488" s="2"/>
      <c r="AJ488" s="2"/>
    </row>
    <row r="489" spans="1:36" s="20" customFormat="1">
      <c r="A489" s="2"/>
      <c r="C489" s="2"/>
      <c r="D489" s="2"/>
      <c r="E489" s="2"/>
      <c r="F489" s="2"/>
      <c r="G489" s="2"/>
      <c r="H489" s="2"/>
      <c r="I489" s="2"/>
      <c r="K489" s="2"/>
      <c r="M489" s="2"/>
      <c r="O489" s="2"/>
      <c r="Q489" s="2"/>
      <c r="S489" s="2"/>
      <c r="U489" s="2"/>
      <c r="W489" s="2"/>
      <c r="Y489" s="2"/>
      <c r="AA489" s="2"/>
      <c r="AC489" s="2"/>
      <c r="AE489" s="2"/>
      <c r="AG489" s="2"/>
      <c r="AI489" s="2"/>
      <c r="AJ489" s="2"/>
    </row>
    <row r="490" spans="1:36" s="20" customFormat="1">
      <c r="A490" s="2"/>
      <c r="C490" s="2"/>
      <c r="D490" s="2"/>
      <c r="E490" s="2"/>
      <c r="F490" s="2"/>
      <c r="G490" s="2"/>
      <c r="H490" s="2"/>
      <c r="I490" s="2"/>
      <c r="K490" s="2"/>
      <c r="M490" s="2"/>
      <c r="O490" s="2"/>
      <c r="Q490" s="2"/>
      <c r="S490" s="2"/>
      <c r="U490" s="2"/>
      <c r="W490" s="2"/>
      <c r="Y490" s="2"/>
      <c r="AA490" s="2"/>
      <c r="AC490" s="2"/>
      <c r="AE490" s="2"/>
      <c r="AG490" s="2"/>
      <c r="AI490" s="2"/>
      <c r="AJ490" s="2"/>
    </row>
    <row r="491" spans="1:36">
      <c r="B491" s="20"/>
    </row>
    <row r="492" spans="1:36">
      <c r="B492" s="20"/>
    </row>
    <row r="493" spans="1:36">
      <c r="B493" s="20"/>
    </row>
    <row r="494" spans="1:36">
      <c r="B494" s="20"/>
    </row>
    <row r="495" spans="1:36">
      <c r="B495" s="20"/>
    </row>
    <row r="496" spans="1:36">
      <c r="B496" s="20"/>
    </row>
    <row r="497" spans="2:2">
      <c r="B497" s="20"/>
    </row>
    <row r="498" spans="2:2">
      <c r="B498" s="20"/>
    </row>
    <row r="499" spans="2:2">
      <c r="B499" s="20"/>
    </row>
    <row r="500" spans="2:2">
      <c r="B500" s="20"/>
    </row>
    <row r="501" spans="2:2">
      <c r="B501" s="20"/>
    </row>
    <row r="502" spans="2:2">
      <c r="B502" s="20"/>
    </row>
    <row r="503" spans="2:2">
      <c r="B503" s="20"/>
    </row>
    <row r="504" spans="2:2">
      <c r="B504" s="20"/>
    </row>
    <row r="505" spans="2:2">
      <c r="B505" s="20"/>
    </row>
    <row r="506" spans="2:2">
      <c r="B506" s="20"/>
    </row>
    <row r="507" spans="2:2">
      <c r="B507" s="20"/>
    </row>
    <row r="508" spans="2:2">
      <c r="B508" s="20"/>
    </row>
    <row r="509" spans="2:2">
      <c r="B509" s="20"/>
    </row>
    <row r="510" spans="2:2">
      <c r="B510" s="20"/>
    </row>
  </sheetData>
  <pageMargins left="0.25" right="0.25" top="0.35" bottom="0.4" header="0.18" footer="0.25"/>
  <pageSetup scale="47" fitToHeight="3" orientation="landscape" errors="blank" r:id="rId1"/>
  <headerFooter alignWithMargins="0">
    <oddHeader>&amp;CDESIGNATED INFORMATION IS CONFIDENTIAL PER WAC 480-07-160</oddHeader>
    <oddFooter>&amp;L&amp;F - &amp;A&amp;CPrinted &amp;D - &amp;T&amp;RPage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48"/>
  <sheetViews>
    <sheetView showGridLines="0" tabSelected="1" view="pageBreakPreview" topLeftCell="D9" zoomScale="60" zoomScaleNormal="80" workbookViewId="0">
      <pane ySplit="11" topLeftCell="A20" activePane="bottomLeft" state="frozen"/>
      <selection activeCell="AR41" sqref="AR41"/>
      <selection pane="bottomLeft" activeCell="AR41" sqref="AR41"/>
    </sheetView>
  </sheetViews>
  <sheetFormatPr defaultRowHeight="12.75" outlineLevelRow="1"/>
  <cols>
    <col min="1" max="1" width="2.7109375" style="714" customWidth="1"/>
    <col min="2" max="2" width="18" style="714" customWidth="1"/>
    <col min="3" max="3" width="12.42578125" style="714" customWidth="1"/>
    <col min="4" max="5" width="18.710937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27.28515625" style="714" bestFit="1"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_xll.ReportDrill('[54]JE Lookup'!B1,,_xll.PairGroup(_xll.Pair(G20:G30,'[54]JE Lookup'!N8),_xll.Pair(AB20:AB30,'[54]JE Lookup'!N7)),"JE Lookup")</f>
        <v>OK!: ReportDrill 'JE Lookup' Formula OK [jAction{}]</v>
      </c>
      <c r="U4" s="714" t="str">
        <f ca="1">_xll.ReportDrill(,"APDrill",_xll.PairGroup(_xll.PairExt(AQ20:AQ30,"H8")),"AP Detail")</f>
        <v>OK!: ReportDrill 'AP Detail' Formula OK [jAction{}]</v>
      </c>
      <c r="Y4" s="714" t="str">
        <f ca="1">_xll.ReportDrill(,"JEStaged_DrillToDetail",_xll.PairGroup(_xll.PairExt(Q19:Q30,"dControlNum",TRUE),_xll.PairExt(AP19:AP30,"dDistrict",TRUE),_xll.PairExt(AO19:AO30,"dApplyMonth",TRUE)),"JE Staged Details")</f>
        <v>OK!: ReportDrill 'JE Staged Details' Formula OK [jAction{}]</v>
      </c>
    </row>
    <row r="5" spans="1:43" hidden="1" outlineLevel="1">
      <c r="B5" s="714" t="str">
        <f ca="1">_xll.ReportRange("JEQuery_WithStaged",B20:AS29,B2:AS2,,_xll.Param(I12,DateTo,IF(M12="","all",M12),M13,M14,M15,P12,P13,P14,P15,EntrieShownLimit,DateFrom,DateTo),TRUE)</f>
        <v>OK!: ReportRange Formula OK [jAction{}]</v>
      </c>
      <c r="Q5" s="714" t="str">
        <f ca="1">_xll.ReportDrill('[54]JE Lookup'!B1,,_xll.PairGroup(_xll.Pair(V20:V30,'[54]JE Lookup'!N8),_xll.Pair(AS20:AS30,'[54]JE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2018-05</v>
      </c>
      <c r="E8" s="717" t="s">
        <v>1012</v>
      </c>
      <c r="G8" s="714" t="str">
        <f>IF(DateTo="",CurrentMonth,DateTo)</f>
        <v>2019-04</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2524</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SUM(D19:D30)</f>
        <v>37555.630000000005</v>
      </c>
      <c r="E16" s="735">
        <f>SUM(E19:E30)</f>
        <v>0</v>
      </c>
      <c r="F16" s="714" t="s">
        <v>1030</v>
      </c>
      <c r="N16" s="736"/>
      <c r="O16" s="736"/>
      <c r="P16" s="736"/>
      <c r="Q16" s="736"/>
    </row>
    <row r="17" spans="2:45">
      <c r="B17" s="733" t="s">
        <v>1031</v>
      </c>
      <c r="C17" s="734"/>
      <c r="D17" s="737">
        <f>COUNT(D20:D31)</f>
        <v>9</v>
      </c>
      <c r="E17" s="737">
        <f>COUNT(E20:E31)</f>
        <v>9</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964" t="s">
        <v>1808</v>
      </c>
      <c r="P19" s="965" t="s">
        <v>979</v>
      </c>
      <c r="Q19" s="965" t="s">
        <v>1035</v>
      </c>
      <c r="R19" s="966" t="s">
        <v>1809</v>
      </c>
      <c r="S19" s="967" t="s">
        <v>1810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c r="B20" s="714" t="s">
        <v>2525</v>
      </c>
      <c r="C20" s="745">
        <v>43312</v>
      </c>
      <c r="D20" s="746">
        <v>250</v>
      </c>
      <c r="E20" s="746">
        <v>0</v>
      </c>
      <c r="F20" s="747" t="s">
        <v>1074</v>
      </c>
      <c r="G20" s="714" t="s">
        <v>1830</v>
      </c>
      <c r="H20" s="748" t="s">
        <v>1075</v>
      </c>
      <c r="I20" s="714" t="s">
        <v>1831</v>
      </c>
      <c r="J20" s="714" t="s">
        <v>1146</v>
      </c>
      <c r="K20" s="714" t="s">
        <v>1078</v>
      </c>
      <c r="L20" s="718"/>
      <c r="M20" s="718"/>
      <c r="N20" s="968" t="s">
        <v>2526</v>
      </c>
      <c r="O20" s="969" t="s">
        <v>2527</v>
      </c>
      <c r="P20" s="970" t="s">
        <v>2528</v>
      </c>
      <c r="Q20" s="971">
        <v>42843</v>
      </c>
      <c r="R20" s="678" t="s">
        <v>305</v>
      </c>
      <c r="S20" s="678" t="s">
        <v>1817</v>
      </c>
      <c r="U20" s="714" t="s">
        <v>1836</v>
      </c>
      <c r="V20" s="714" t="s">
        <v>1836</v>
      </c>
      <c r="X20" s="745">
        <v>43313</v>
      </c>
      <c r="Y20" s="745">
        <v>43313</v>
      </c>
      <c r="AA20" s="745"/>
      <c r="AB20" s="714" t="s">
        <v>1079</v>
      </c>
      <c r="AC20" s="714">
        <v>0</v>
      </c>
      <c r="AD20" s="714">
        <v>0</v>
      </c>
      <c r="AE20" s="714">
        <v>0</v>
      </c>
      <c r="AF20" s="714">
        <v>0</v>
      </c>
      <c r="AG20" s="714">
        <v>0</v>
      </c>
      <c r="AH20" s="714">
        <v>1</v>
      </c>
      <c r="AI20" s="714">
        <v>59342</v>
      </c>
      <c r="AJ20" s="714">
        <v>2183</v>
      </c>
      <c r="AK20" s="714">
        <v>0</v>
      </c>
      <c r="AL20" s="714">
        <v>0</v>
      </c>
      <c r="AO20" s="748"/>
      <c r="AP20" s="748"/>
      <c r="AQ20" s="714" t="str">
        <f t="shared" ref="AQ20:AQ28" si="0">IF(LEFT(U20,2)="VO",U20,"")</f>
        <v/>
      </c>
      <c r="AS20" s="714" t="str">
        <f t="shared" ref="AS20:AS28" si="1">IF(RIGHT(K20,2)="IC",IF(OR(AB20="wci_canada",AB20="wci_can_corp"),"wci_can_Corp","wci_corp"),AB20)</f>
        <v>wci_corp</v>
      </c>
    </row>
    <row r="21" spans="2:45">
      <c r="B21" s="714" t="s">
        <v>2525</v>
      </c>
      <c r="C21" s="745">
        <v>43404</v>
      </c>
      <c r="D21" s="746">
        <v>500</v>
      </c>
      <c r="E21" s="746">
        <v>0</v>
      </c>
      <c r="F21" s="747" t="s">
        <v>1074</v>
      </c>
      <c r="G21" s="714" t="s">
        <v>1843</v>
      </c>
      <c r="H21" s="748" t="s">
        <v>1075</v>
      </c>
      <c r="I21" s="714" t="s">
        <v>1844</v>
      </c>
      <c r="J21" s="714" t="s">
        <v>1092</v>
      </c>
      <c r="K21" s="714" t="s">
        <v>1078</v>
      </c>
      <c r="L21" s="718"/>
      <c r="M21" s="718"/>
      <c r="N21" s="718" t="s">
        <v>2526</v>
      </c>
      <c r="O21" s="969"/>
      <c r="P21" s="972"/>
      <c r="Q21" s="972"/>
      <c r="R21" s="678"/>
      <c r="S21" s="678"/>
      <c r="U21" s="714" t="s">
        <v>1845</v>
      </c>
      <c r="V21" s="714" t="s">
        <v>1845</v>
      </c>
      <c r="X21" s="745">
        <v>43404</v>
      </c>
      <c r="Y21" s="745">
        <v>43404</v>
      </c>
      <c r="AA21" s="745"/>
      <c r="AB21" s="714" t="s">
        <v>1079</v>
      </c>
      <c r="AC21" s="714">
        <v>0</v>
      </c>
      <c r="AD21" s="714">
        <v>0</v>
      </c>
      <c r="AE21" s="714">
        <v>0</v>
      </c>
      <c r="AF21" s="714">
        <v>0</v>
      </c>
      <c r="AG21" s="714">
        <v>0</v>
      </c>
      <c r="AH21" s="714">
        <v>1</v>
      </c>
      <c r="AI21" s="714">
        <v>59342</v>
      </c>
      <c r="AJ21" s="714">
        <v>2183</v>
      </c>
      <c r="AK21" s="714">
        <v>0</v>
      </c>
      <c r="AL21" s="714">
        <v>0</v>
      </c>
      <c r="AO21" s="748"/>
      <c r="AP21" s="748"/>
      <c r="AQ21" s="714" t="str">
        <f t="shared" si="0"/>
        <v/>
      </c>
      <c r="AS21" s="714" t="str">
        <f t="shared" si="1"/>
        <v>wci_corp</v>
      </c>
    </row>
    <row r="22" spans="2:45">
      <c r="B22" s="714" t="s">
        <v>2525</v>
      </c>
      <c r="C22" s="745">
        <v>43465</v>
      </c>
      <c r="D22" s="746">
        <v>27421.41</v>
      </c>
      <c r="E22" s="746">
        <v>0</v>
      </c>
      <c r="F22" s="747" t="s">
        <v>1074</v>
      </c>
      <c r="G22" s="714" t="s">
        <v>1864</v>
      </c>
      <c r="H22" s="748" t="s">
        <v>1075</v>
      </c>
      <c r="I22" s="714" t="s">
        <v>1865</v>
      </c>
      <c r="J22" s="714" t="s">
        <v>1146</v>
      </c>
      <c r="K22" s="714" t="s">
        <v>1078</v>
      </c>
      <c r="L22" s="718"/>
      <c r="M22" s="718"/>
      <c r="N22" s="968" t="s">
        <v>2526</v>
      </c>
      <c r="O22" s="969"/>
      <c r="P22" s="972"/>
      <c r="Q22" s="972"/>
      <c r="R22" s="678"/>
      <c r="S22" s="678"/>
      <c r="U22" s="714" t="s">
        <v>1867</v>
      </c>
      <c r="V22" s="714" t="s">
        <v>1867</v>
      </c>
      <c r="X22" s="745">
        <v>43465</v>
      </c>
      <c r="Y22" s="745">
        <v>43467</v>
      </c>
      <c r="AA22" s="745"/>
      <c r="AB22" s="714" t="s">
        <v>1079</v>
      </c>
      <c r="AC22" s="714">
        <v>0</v>
      </c>
      <c r="AD22" s="714">
        <v>0</v>
      </c>
      <c r="AE22" s="714">
        <v>0</v>
      </c>
      <c r="AF22" s="714">
        <v>0</v>
      </c>
      <c r="AG22" s="714">
        <v>0</v>
      </c>
      <c r="AH22" s="714">
        <v>1</v>
      </c>
      <c r="AI22" s="714">
        <v>59342</v>
      </c>
      <c r="AJ22" s="714">
        <v>2183</v>
      </c>
      <c r="AK22" s="714">
        <v>0</v>
      </c>
      <c r="AL22" s="714">
        <v>0</v>
      </c>
      <c r="AO22" s="748"/>
      <c r="AP22" s="748"/>
      <c r="AQ22" s="714" t="str">
        <f t="shared" si="0"/>
        <v/>
      </c>
      <c r="AS22" s="714" t="str">
        <f t="shared" si="1"/>
        <v>wci_corp</v>
      </c>
    </row>
    <row r="23" spans="2:45">
      <c r="B23" s="714" t="s">
        <v>2525</v>
      </c>
      <c r="C23" s="745">
        <v>43496</v>
      </c>
      <c r="D23" s="746">
        <v>189</v>
      </c>
      <c r="E23" s="746">
        <v>0</v>
      </c>
      <c r="F23" s="747" t="s">
        <v>1074</v>
      </c>
      <c r="G23" s="714" t="s">
        <v>2529</v>
      </c>
      <c r="H23" s="748" t="s">
        <v>1075</v>
      </c>
      <c r="I23" s="714" t="s">
        <v>2530</v>
      </c>
      <c r="J23" s="714" t="s">
        <v>1082</v>
      </c>
      <c r="K23" s="714" t="s">
        <v>1078</v>
      </c>
      <c r="L23" s="718"/>
      <c r="M23" s="718"/>
      <c r="N23" s="718" t="s">
        <v>2526</v>
      </c>
      <c r="O23" s="969"/>
      <c r="P23" s="972"/>
      <c r="Q23" s="972"/>
      <c r="R23" s="678"/>
      <c r="S23" s="678"/>
      <c r="U23" s="714" t="s">
        <v>2531</v>
      </c>
      <c r="V23" s="714" t="s">
        <v>2531</v>
      </c>
      <c r="X23" s="745">
        <v>43496</v>
      </c>
      <c r="Y23" s="745">
        <v>43496</v>
      </c>
      <c r="AA23" s="745"/>
      <c r="AB23" s="714" t="s">
        <v>1079</v>
      </c>
      <c r="AC23" s="714">
        <v>0</v>
      </c>
      <c r="AD23" s="714">
        <v>0</v>
      </c>
      <c r="AE23" s="714">
        <v>0</v>
      </c>
      <c r="AF23" s="714">
        <v>0</v>
      </c>
      <c r="AG23" s="714">
        <v>0</v>
      </c>
      <c r="AH23" s="714">
        <v>1</v>
      </c>
      <c r="AI23" s="714">
        <v>59342</v>
      </c>
      <c r="AJ23" s="714">
        <v>2183</v>
      </c>
      <c r="AK23" s="714">
        <v>0</v>
      </c>
      <c r="AL23" s="714">
        <v>0</v>
      </c>
      <c r="AO23" s="748"/>
      <c r="AP23" s="748"/>
      <c r="AQ23" s="714" t="str">
        <f t="shared" si="0"/>
        <v/>
      </c>
      <c r="AS23" s="714" t="str">
        <f t="shared" si="1"/>
        <v>wci_corp</v>
      </c>
    </row>
    <row r="24" spans="2:45" s="384" customFormat="1">
      <c r="B24" s="384" t="s">
        <v>2525</v>
      </c>
      <c r="C24" s="973">
        <v>43524</v>
      </c>
      <c r="D24" s="974">
        <v>1680</v>
      </c>
      <c r="E24" s="974">
        <v>0</v>
      </c>
      <c r="F24" s="975" t="s">
        <v>1074</v>
      </c>
      <c r="G24" s="384" t="s">
        <v>1868</v>
      </c>
      <c r="H24" s="976" t="s">
        <v>1075</v>
      </c>
      <c r="I24" s="384" t="s">
        <v>1869</v>
      </c>
      <c r="J24" s="384" t="s">
        <v>1082</v>
      </c>
      <c r="K24" s="384" t="s">
        <v>1078</v>
      </c>
      <c r="L24" s="977"/>
      <c r="M24" s="977"/>
      <c r="N24" s="977" t="s">
        <v>2526</v>
      </c>
      <c r="O24" s="978"/>
      <c r="P24" s="979"/>
      <c r="Q24" s="979"/>
      <c r="R24" s="980"/>
      <c r="S24" s="980"/>
      <c r="U24" s="384" t="s">
        <v>1875</v>
      </c>
      <c r="V24" s="384" t="s">
        <v>1875</v>
      </c>
      <c r="X24" s="973">
        <v>43530</v>
      </c>
      <c r="Y24" s="973">
        <v>43530</v>
      </c>
      <c r="AA24" s="973"/>
      <c r="AB24" s="384" t="s">
        <v>1079</v>
      </c>
      <c r="AC24" s="384">
        <v>0</v>
      </c>
      <c r="AD24" s="384">
        <v>0</v>
      </c>
      <c r="AE24" s="384">
        <v>0</v>
      </c>
      <c r="AF24" s="384">
        <v>0</v>
      </c>
      <c r="AG24" s="384">
        <v>0</v>
      </c>
      <c r="AH24" s="384">
        <v>1</v>
      </c>
      <c r="AI24" s="384">
        <v>59342</v>
      </c>
      <c r="AJ24" s="384">
        <v>2183</v>
      </c>
      <c r="AK24" s="384">
        <v>0</v>
      </c>
      <c r="AL24" s="384">
        <v>0</v>
      </c>
      <c r="AO24" s="976"/>
      <c r="AP24" s="976"/>
      <c r="AQ24" s="384" t="str">
        <f t="shared" si="0"/>
        <v/>
      </c>
      <c r="AS24" s="384" t="str">
        <f t="shared" si="1"/>
        <v>wci_corp</v>
      </c>
    </row>
    <row r="25" spans="2:45" s="384" customFormat="1" ht="22.5">
      <c r="B25" s="384" t="s">
        <v>2525</v>
      </c>
      <c r="C25" s="973">
        <v>43496</v>
      </c>
      <c r="D25" s="974">
        <v>-1234</v>
      </c>
      <c r="E25" s="974">
        <v>0</v>
      </c>
      <c r="F25" s="975" t="s">
        <v>1074</v>
      </c>
      <c r="G25" s="384" t="s">
        <v>2529</v>
      </c>
      <c r="H25" s="976" t="s">
        <v>1075</v>
      </c>
      <c r="I25" s="384" t="s">
        <v>2530</v>
      </c>
      <c r="J25" s="384" t="s">
        <v>1082</v>
      </c>
      <c r="K25" s="384" t="s">
        <v>1078</v>
      </c>
      <c r="L25" s="977"/>
      <c r="M25" s="977"/>
      <c r="N25" s="981" t="s">
        <v>1857</v>
      </c>
      <c r="O25" s="803" t="s">
        <v>1858</v>
      </c>
      <c r="P25" s="803" t="s">
        <v>1859</v>
      </c>
      <c r="Q25" s="804">
        <v>43350</v>
      </c>
      <c r="R25" s="980" t="s">
        <v>305</v>
      </c>
      <c r="S25" s="980" t="s">
        <v>1817</v>
      </c>
      <c r="U25" s="384" t="s">
        <v>2531</v>
      </c>
      <c r="V25" s="384" t="s">
        <v>2531</v>
      </c>
      <c r="X25" s="973">
        <v>43496</v>
      </c>
      <c r="Y25" s="973">
        <v>43496</v>
      </c>
      <c r="AA25" s="973"/>
      <c r="AB25" s="384" t="s">
        <v>1079</v>
      </c>
      <c r="AC25" s="384">
        <v>0</v>
      </c>
      <c r="AD25" s="384">
        <v>0</v>
      </c>
      <c r="AE25" s="384">
        <v>0</v>
      </c>
      <c r="AF25" s="384">
        <v>0</v>
      </c>
      <c r="AG25" s="384">
        <v>0</v>
      </c>
      <c r="AH25" s="384">
        <v>1</v>
      </c>
      <c r="AI25" s="384">
        <v>59342</v>
      </c>
      <c r="AJ25" s="384">
        <v>2183</v>
      </c>
      <c r="AK25" s="384">
        <v>0</v>
      </c>
      <c r="AL25" s="384">
        <v>0</v>
      </c>
      <c r="AO25" s="976"/>
      <c r="AP25" s="976"/>
      <c r="AQ25" s="384" t="str">
        <f t="shared" si="0"/>
        <v/>
      </c>
      <c r="AS25" s="384" t="str">
        <f t="shared" si="1"/>
        <v>wci_corp</v>
      </c>
    </row>
    <row r="26" spans="2:45">
      <c r="B26" s="714" t="s">
        <v>2525</v>
      </c>
      <c r="C26" s="745">
        <v>43524</v>
      </c>
      <c r="D26" s="746">
        <v>7000</v>
      </c>
      <c r="E26" s="746">
        <v>0</v>
      </c>
      <c r="F26" s="747" t="s">
        <v>1074</v>
      </c>
      <c r="G26" s="714" t="s">
        <v>1868</v>
      </c>
      <c r="H26" s="748" t="s">
        <v>1075</v>
      </c>
      <c r="I26" s="714" t="s">
        <v>1869</v>
      </c>
      <c r="J26" s="714" t="s">
        <v>1082</v>
      </c>
      <c r="K26" s="714" t="s">
        <v>1078</v>
      </c>
      <c r="L26" s="718"/>
      <c r="M26" s="718"/>
      <c r="N26" s="718" t="s">
        <v>1866</v>
      </c>
      <c r="O26" s="969"/>
      <c r="P26" s="972"/>
      <c r="Q26" s="972"/>
      <c r="R26" s="678"/>
      <c r="S26" s="678"/>
      <c r="U26" s="714" t="s">
        <v>1875</v>
      </c>
      <c r="V26" s="714" t="s">
        <v>1875</v>
      </c>
      <c r="X26" s="745">
        <v>43530</v>
      </c>
      <c r="Y26" s="745">
        <v>43530</v>
      </c>
      <c r="AA26" s="745"/>
      <c r="AB26" s="714" t="s">
        <v>1079</v>
      </c>
      <c r="AC26" s="714">
        <v>0</v>
      </c>
      <c r="AD26" s="714">
        <v>0</v>
      </c>
      <c r="AE26" s="714">
        <v>0</v>
      </c>
      <c r="AF26" s="714">
        <v>0</v>
      </c>
      <c r="AG26" s="714">
        <v>0</v>
      </c>
      <c r="AH26" s="714">
        <v>1</v>
      </c>
      <c r="AI26" s="714">
        <v>59342</v>
      </c>
      <c r="AJ26" s="714">
        <v>2183</v>
      </c>
      <c r="AK26" s="714">
        <v>0</v>
      </c>
      <c r="AL26" s="714">
        <v>0</v>
      </c>
      <c r="AO26" s="748"/>
      <c r="AP26" s="748"/>
      <c r="AQ26" s="714" t="str">
        <f t="shared" si="0"/>
        <v/>
      </c>
      <c r="AS26" s="714" t="str">
        <f t="shared" si="1"/>
        <v>wci_corp</v>
      </c>
    </row>
    <row r="27" spans="2:45" s="384" customFormat="1" ht="22.5">
      <c r="B27" s="384" t="s">
        <v>2525</v>
      </c>
      <c r="C27" s="973">
        <v>43585</v>
      </c>
      <c r="D27" s="974">
        <v>1740.72</v>
      </c>
      <c r="E27" s="974">
        <v>0</v>
      </c>
      <c r="F27" s="975" t="s">
        <v>1074</v>
      </c>
      <c r="G27" s="384" t="s">
        <v>1883</v>
      </c>
      <c r="H27" s="976" t="s">
        <v>1075</v>
      </c>
      <c r="I27" s="384" t="s">
        <v>1884</v>
      </c>
      <c r="J27" s="384" t="s">
        <v>1092</v>
      </c>
      <c r="K27" s="384" t="s">
        <v>1078</v>
      </c>
      <c r="L27" s="977"/>
      <c r="M27" s="977"/>
      <c r="N27" s="981" t="s">
        <v>1866</v>
      </c>
      <c r="O27" s="803" t="s">
        <v>1823</v>
      </c>
      <c r="P27" s="803" t="s">
        <v>1824</v>
      </c>
      <c r="Q27" s="804">
        <v>43168</v>
      </c>
      <c r="R27" s="980" t="s">
        <v>1835</v>
      </c>
      <c r="S27" s="980" t="s">
        <v>1825</v>
      </c>
      <c r="U27" s="384" t="s">
        <v>1885</v>
      </c>
      <c r="V27" s="384" t="s">
        <v>1885</v>
      </c>
      <c r="X27" s="973">
        <v>43586</v>
      </c>
      <c r="Y27" s="973">
        <v>43586</v>
      </c>
      <c r="AA27" s="973"/>
      <c r="AB27" s="384" t="s">
        <v>1079</v>
      </c>
      <c r="AC27" s="384">
        <v>0</v>
      </c>
      <c r="AD27" s="384">
        <v>0</v>
      </c>
      <c r="AE27" s="384">
        <v>0</v>
      </c>
      <c r="AF27" s="384">
        <v>0</v>
      </c>
      <c r="AG27" s="384">
        <v>0</v>
      </c>
      <c r="AH27" s="384">
        <v>1</v>
      </c>
      <c r="AI27" s="384">
        <v>59342</v>
      </c>
      <c r="AJ27" s="384">
        <v>2183</v>
      </c>
      <c r="AK27" s="384">
        <v>0</v>
      </c>
      <c r="AL27" s="384">
        <v>0</v>
      </c>
      <c r="AO27" s="976"/>
      <c r="AP27" s="976"/>
      <c r="AQ27" s="384" t="str">
        <f t="shared" si="0"/>
        <v/>
      </c>
      <c r="AS27" s="384" t="str">
        <f t="shared" si="1"/>
        <v>wci_corp</v>
      </c>
    </row>
    <row r="28" spans="2:45">
      <c r="B28" s="714" t="s">
        <v>2525</v>
      </c>
      <c r="C28" s="745">
        <v>43555</v>
      </c>
      <c r="D28" s="746">
        <v>8.5</v>
      </c>
      <c r="E28" s="746">
        <v>0</v>
      </c>
      <c r="F28" s="747" t="s">
        <v>1074</v>
      </c>
      <c r="G28" s="714" t="s">
        <v>1876</v>
      </c>
      <c r="H28" s="748" t="s">
        <v>1075</v>
      </c>
      <c r="I28" s="714" t="s">
        <v>1877</v>
      </c>
      <c r="J28" s="714" t="s">
        <v>1092</v>
      </c>
      <c r="K28" s="714" t="s">
        <v>1078</v>
      </c>
      <c r="L28" s="718"/>
      <c r="M28" s="718"/>
      <c r="N28" s="968" t="s">
        <v>2532</v>
      </c>
      <c r="O28" s="969" t="s">
        <v>2533</v>
      </c>
      <c r="P28" s="810" t="s">
        <v>2534</v>
      </c>
      <c r="Q28" s="811">
        <v>43451</v>
      </c>
      <c r="R28" s="678" t="s">
        <v>305</v>
      </c>
      <c r="S28" s="678" t="s">
        <v>1817</v>
      </c>
      <c r="U28" s="714" t="s">
        <v>1878</v>
      </c>
      <c r="V28" s="714" t="s">
        <v>1878</v>
      </c>
      <c r="X28" s="745">
        <v>43557</v>
      </c>
      <c r="Y28" s="745">
        <v>43557</v>
      </c>
      <c r="AA28" s="745"/>
      <c r="AB28" s="714" t="s">
        <v>1079</v>
      </c>
      <c r="AC28" s="714">
        <v>0</v>
      </c>
      <c r="AD28" s="714">
        <v>0</v>
      </c>
      <c r="AE28" s="714">
        <v>0</v>
      </c>
      <c r="AF28" s="714">
        <v>0</v>
      </c>
      <c r="AG28" s="714">
        <v>0</v>
      </c>
      <c r="AH28" s="714">
        <v>1</v>
      </c>
      <c r="AI28" s="714">
        <v>59342</v>
      </c>
      <c r="AJ28" s="714">
        <v>2183</v>
      </c>
      <c r="AK28" s="714">
        <v>0</v>
      </c>
      <c r="AL28" s="714">
        <v>0</v>
      </c>
      <c r="AO28" s="748"/>
      <c r="AP28" s="748"/>
      <c r="AQ28" s="714" t="str">
        <f t="shared" si="0"/>
        <v/>
      </c>
      <c r="AS28" s="714" t="str">
        <f t="shared" si="1"/>
        <v>wci_corp</v>
      </c>
    </row>
    <row r="29" spans="2:45">
      <c r="C29" s="745"/>
      <c r="D29" s="749"/>
      <c r="E29" s="749"/>
      <c r="F29" s="749"/>
      <c r="H29" s="717"/>
    </row>
    <row r="30" spans="2:45">
      <c r="B30" s="750" t="s">
        <v>1111</v>
      </c>
      <c r="C30" s="750"/>
      <c r="D30" s="751"/>
      <c r="E30" s="751"/>
      <c r="F30" s="751"/>
      <c r="G30" s="750"/>
      <c r="H30" s="752"/>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0"/>
      <c r="AG30" s="750"/>
      <c r="AH30" s="750"/>
      <c r="AI30" s="750"/>
      <c r="AJ30" s="750"/>
      <c r="AK30" s="750"/>
      <c r="AL30" s="750"/>
      <c r="AM30" s="750"/>
      <c r="AN30" s="750"/>
      <c r="AO30" s="750"/>
      <c r="AP30" s="753"/>
    </row>
    <row r="31" spans="2:45">
      <c r="H31" s="717"/>
    </row>
    <row r="32" spans="2:45">
      <c r="H32" s="717"/>
    </row>
    <row r="33" spans="2:8">
      <c r="H33" s="717"/>
    </row>
    <row r="34" spans="2:8">
      <c r="H34" s="717"/>
    </row>
    <row r="35" spans="2:8">
      <c r="H35" s="717"/>
    </row>
    <row r="36" spans="2:8">
      <c r="H36" s="717"/>
    </row>
    <row r="37" spans="2:8">
      <c r="H37" s="717"/>
    </row>
    <row r="38" spans="2:8">
      <c r="H38" s="717"/>
    </row>
    <row r="39" spans="2:8">
      <c r="H39" s="717"/>
    </row>
    <row r="40" spans="2:8">
      <c r="H40" s="717"/>
    </row>
    <row r="41" spans="2:8">
      <c r="H41" s="717"/>
    </row>
    <row r="42" spans="2:8">
      <c r="H42" s="717"/>
    </row>
    <row r="43" spans="2:8">
      <c r="H43" s="717"/>
    </row>
    <row r="44" spans="2:8">
      <c r="H44" s="717"/>
    </row>
    <row r="45" spans="2:8">
      <c r="H45" s="717"/>
    </row>
    <row r="46" spans="2:8">
      <c r="H46" s="717"/>
    </row>
    <row r="47" spans="2:8">
      <c r="H47" s="717"/>
    </row>
    <row r="48" spans="2:8">
      <c r="B48" s="982"/>
      <c r="H48" s="717"/>
    </row>
  </sheetData>
  <autoFilter ref="A19:AS19">
    <sortState ref="A20:AS28">
      <sortCondition ref="N19"/>
    </sortState>
  </autoFilter>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8" fitToHeight="0" orientation="landscape" r:id="rId1"/>
  <headerFooter alignWithMargins="0">
    <oddHeader>&amp;L&amp;"Arial"&amp;L&amp;08 &amp;R&amp;"Arial"&amp;R&amp;08 &amp;D-&amp;T-Jeff Honsowetz</oddHeader>
    <oddFooter>&amp;L&amp;"Arial"&amp;L&amp;08 Path:D:\Data_WCNX\Financials\MidMonths\BrentProject\\&amp;F-&amp;A&amp;R&amp;"Arial"&amp;R&amp;08  Page &amp;P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S96"/>
  <sheetViews>
    <sheetView showGridLines="0" tabSelected="1" view="pageBreakPreview" topLeftCell="A9" zoomScale="60" zoomScaleNormal="80" workbookViewId="0">
      <pane ySplit="11" topLeftCell="A23" activePane="bottomLeft" state="frozen"/>
      <selection activeCell="AR41" sqref="AR41"/>
      <selection pane="bottomLeft" activeCell="AR41" sqref="AR41"/>
    </sheetView>
  </sheetViews>
  <sheetFormatPr defaultRowHeight="12.75" outlineLevelRow="1"/>
  <cols>
    <col min="1" max="1" width="2.7109375" style="714" customWidth="1"/>
    <col min="2" max="2" width="45.5703125" style="714" customWidth="1"/>
    <col min="3" max="3" width="21.28515625" style="714" customWidth="1"/>
    <col min="4" max="5" width="18.710937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11.42578125" style="714"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_xll.ReportDrill('[55]JE Lookup'!B1,,_xll.PairGroup(_xll.Pair(G20:G72,'[55]JE Lookup'!N8),_xll.Pair(AB20:AB72,'[55]JE Lookup'!N7)),"JE Lookup")</f>
        <v>OK!: ReportDrill 'JE Lookup' Formula OK [jAction{}]</v>
      </c>
      <c r="U4" s="714" t="str">
        <f ca="1">_xll.ReportDrill(,"APDrill",_xll.PairGroup(_xll.PairExt(AQ20:AQ72,"H8")),"AP Detail")</f>
        <v>OK!: ReportDrill 'AP Detail' Formula OK [jAction{}]</v>
      </c>
      <c r="Y4" s="714" t="str">
        <f ca="1">_xll.ReportDrill(,"JEStaged_DrillToDetail",_xll.PairGroup(_xll.PairExt(Q19:Q72,"dControlNum",TRUE),_xll.PairExt(AP19:AP72,"dDistrict",TRUE),_xll.PairExt(AO19:AO72,"dApplyMonth",TRUE)),"JE Staged Details")</f>
        <v>OK!: ReportDrill 'JE Staged Details' Formula OK [jAction{}]</v>
      </c>
    </row>
    <row r="5" spans="1:43" hidden="1" outlineLevel="1">
      <c r="B5" s="714" t="str">
        <f ca="1">_xll.ReportRange("JEQuery_WithStaged",B20:AS71,B2:AS2,,_xll.Param(I12,DateTo,IF(M12="","all",M12),M13,M14,M15,P12,P13,P14,P15,EntrieShownLimit,DateFrom,DateTo),TRUE)</f>
        <v>OK!: ReportRange Formula OK [jAction{}]</v>
      </c>
      <c r="Q5" s="714" t="str">
        <f ca="1">_xll.ReportDrill('[55]JE Lookup'!B1,,_xll.PairGroup(_xll.Pair(V20:V72,'[55]JE Lookup'!N8),_xll.Pair(AS20:AS72,'[55]JE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2018-05</v>
      </c>
      <c r="E8" s="717" t="s">
        <v>1012</v>
      </c>
      <c r="G8" s="714" t="str">
        <f>IF(DateTo="",CurrentMonth,DateTo)</f>
        <v>2019-04</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1115</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SUM(D19:D72)</f>
        <v>8437.25</v>
      </c>
      <c r="E16" s="735">
        <f>SUM(E19:E72)</f>
        <v>0</v>
      </c>
      <c r="F16" s="714" t="s">
        <v>1030</v>
      </c>
      <c r="N16" s="736"/>
      <c r="O16" s="736"/>
      <c r="P16" s="736"/>
      <c r="Q16" s="736"/>
    </row>
    <row r="17" spans="2:45">
      <c r="B17" s="733" t="s">
        <v>1031</v>
      </c>
      <c r="C17" s="734"/>
      <c r="D17" s="737">
        <f>COUNT(D20:D73)</f>
        <v>51</v>
      </c>
      <c r="E17" s="737">
        <f>COUNT(E20:E73)</f>
        <v>51</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695" t="s">
        <v>1046</v>
      </c>
      <c r="P19" s="697" t="s">
        <v>1047</v>
      </c>
      <c r="Q19" s="697" t="s">
        <v>1048</v>
      </c>
      <c r="R19" s="697" t="s">
        <v>1049</v>
      </c>
      <c r="S19" s="697" t="s">
        <v>1050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c r="B20" s="714" t="s">
        <v>1116</v>
      </c>
      <c r="C20" s="745">
        <v>43234</v>
      </c>
      <c r="D20" s="746">
        <v>3543.5</v>
      </c>
      <c r="E20" s="746">
        <v>0</v>
      </c>
      <c r="F20" s="747" t="s">
        <v>1074</v>
      </c>
      <c r="G20" s="714" t="s">
        <v>1117</v>
      </c>
      <c r="H20" s="748" t="s">
        <v>1075</v>
      </c>
      <c r="I20" s="714" t="s">
        <v>1076</v>
      </c>
      <c r="J20" s="714" t="s">
        <v>1118</v>
      </c>
      <c r="K20" s="714" t="s">
        <v>1078</v>
      </c>
      <c r="L20" s="718" t="s">
        <v>1119</v>
      </c>
      <c r="M20" s="718"/>
      <c r="N20" s="718" t="s">
        <v>1120</v>
      </c>
      <c r="O20" s="739">
        <v>43220</v>
      </c>
      <c r="P20" s="718" t="s">
        <v>1121</v>
      </c>
      <c r="Q20" s="718">
        <v>1835</v>
      </c>
      <c r="R20" s="714" t="s">
        <v>1122</v>
      </c>
      <c r="U20" s="714" t="s">
        <v>1123</v>
      </c>
      <c r="V20" s="714" t="s">
        <v>1124</v>
      </c>
      <c r="W20" s="714">
        <v>2183</v>
      </c>
      <c r="X20" s="745">
        <v>43234</v>
      </c>
      <c r="Y20" s="745">
        <v>43235</v>
      </c>
      <c r="Z20" s="714">
        <v>3543.5</v>
      </c>
      <c r="AA20" s="745">
        <v>43230</v>
      </c>
      <c r="AB20" s="714" t="s">
        <v>1079</v>
      </c>
      <c r="AC20" s="714">
        <v>0</v>
      </c>
      <c r="AD20" s="714">
        <v>0</v>
      </c>
      <c r="AE20" s="714">
        <v>0</v>
      </c>
      <c r="AF20" s="714">
        <v>0</v>
      </c>
      <c r="AG20" s="714">
        <v>0</v>
      </c>
      <c r="AH20" s="714">
        <v>1</v>
      </c>
      <c r="AI20" s="714">
        <v>60225</v>
      </c>
      <c r="AJ20" s="714">
        <v>2183</v>
      </c>
      <c r="AK20" s="714">
        <v>0</v>
      </c>
      <c r="AL20" s="714">
        <v>0</v>
      </c>
      <c r="AO20" s="748"/>
      <c r="AP20" s="748"/>
      <c r="AQ20" s="714" t="str">
        <f>IF(LEFT(U20,2)="VO",U20,"")</f>
        <v>VO04648185</v>
      </c>
      <c r="AS20" s="714" t="str">
        <f>IF(RIGHT(K20,2)="IC",IF(OR(AB20="wci_canada",AB20="wci_can_corp"),"wci_can_Corp","wci_corp"),AB20)</f>
        <v>wci_corp</v>
      </c>
    </row>
    <row r="21" spans="2:45">
      <c r="B21" s="714" t="s">
        <v>1116</v>
      </c>
      <c r="C21" s="745">
        <v>43251</v>
      </c>
      <c r="D21" s="746">
        <v>-3543.5</v>
      </c>
      <c r="E21" s="746">
        <v>0</v>
      </c>
      <c r="F21" s="747" t="s">
        <v>1074</v>
      </c>
      <c r="G21" s="714" t="s">
        <v>1125</v>
      </c>
      <c r="H21" s="748" t="s">
        <v>1075</v>
      </c>
      <c r="I21" s="714" t="s">
        <v>1126</v>
      </c>
      <c r="J21" s="714" t="s">
        <v>1082</v>
      </c>
      <c r="K21" s="714" t="s">
        <v>1078</v>
      </c>
      <c r="L21" s="718"/>
      <c r="M21" s="718"/>
      <c r="N21" s="718" t="s">
        <v>1127</v>
      </c>
      <c r="O21" s="739"/>
      <c r="P21" s="718"/>
      <c r="Q21" s="718"/>
      <c r="U21" s="714" t="s">
        <v>1128</v>
      </c>
      <c r="V21" s="714" t="s">
        <v>1129</v>
      </c>
      <c r="X21" s="745">
        <v>43227</v>
      </c>
      <c r="Y21" s="745">
        <v>43227</v>
      </c>
      <c r="AA21" s="745"/>
      <c r="AB21" s="714" t="s">
        <v>1079</v>
      </c>
      <c r="AC21" s="714">
        <v>0</v>
      </c>
      <c r="AD21" s="714">
        <v>0</v>
      </c>
      <c r="AE21" s="714">
        <v>0</v>
      </c>
      <c r="AF21" s="714">
        <v>0</v>
      </c>
      <c r="AG21" s="714">
        <v>5</v>
      </c>
      <c r="AH21" s="714">
        <v>1</v>
      </c>
      <c r="AI21" s="714">
        <v>60225</v>
      </c>
      <c r="AJ21" s="714">
        <v>2183</v>
      </c>
      <c r="AK21" s="714">
        <v>0</v>
      </c>
      <c r="AL21" s="714">
        <v>0</v>
      </c>
      <c r="AO21" s="748"/>
      <c r="AP21" s="748"/>
      <c r="AQ21" s="714" t="str">
        <f t="shared" ref="AQ21:AQ70" si="0">IF(LEFT(U21,2)="VO",U21,"")</f>
        <v/>
      </c>
      <c r="AS21" s="714" t="str">
        <f t="shared" ref="AS21:AS70" si="1">IF(RIGHT(K21,2)="IC",IF(OR(AB21="wci_canada",AB21="wci_can_corp"),"wci_can_Corp","wci_corp"),AB21)</f>
        <v>wci_corp</v>
      </c>
    </row>
    <row r="22" spans="2:45">
      <c r="B22" s="714" t="s">
        <v>1116</v>
      </c>
      <c r="C22" s="745">
        <v>43251</v>
      </c>
      <c r="D22" s="746">
        <v>-150</v>
      </c>
      <c r="E22" s="746">
        <v>0</v>
      </c>
      <c r="F22" s="747" t="s">
        <v>1074</v>
      </c>
      <c r="G22" s="714" t="s">
        <v>1130</v>
      </c>
      <c r="H22" s="748" t="s">
        <v>1075</v>
      </c>
      <c r="I22" s="714" t="s">
        <v>1131</v>
      </c>
      <c r="J22" s="714" t="s">
        <v>1082</v>
      </c>
      <c r="K22" s="714" t="s">
        <v>1078</v>
      </c>
      <c r="L22" s="718"/>
      <c r="M22" s="718"/>
      <c r="N22" s="718" t="s">
        <v>1132</v>
      </c>
      <c r="O22" s="739"/>
      <c r="P22" s="718"/>
      <c r="Q22" s="718"/>
      <c r="U22" s="714" t="s">
        <v>1133</v>
      </c>
      <c r="V22" s="714" t="s">
        <v>1134</v>
      </c>
      <c r="X22" s="745">
        <v>43227</v>
      </c>
      <c r="Y22" s="745">
        <v>43227</v>
      </c>
      <c r="AA22" s="745"/>
      <c r="AB22" s="714" t="s">
        <v>1079</v>
      </c>
      <c r="AC22" s="714">
        <v>0</v>
      </c>
      <c r="AD22" s="714">
        <v>0</v>
      </c>
      <c r="AE22" s="714">
        <v>0</v>
      </c>
      <c r="AF22" s="714">
        <v>0</v>
      </c>
      <c r="AG22" s="714">
        <v>5</v>
      </c>
      <c r="AH22" s="714">
        <v>1</v>
      </c>
      <c r="AI22" s="714">
        <v>60225</v>
      </c>
      <c r="AJ22" s="714">
        <v>2183</v>
      </c>
      <c r="AK22" s="714">
        <v>0</v>
      </c>
      <c r="AL22" s="714">
        <v>0</v>
      </c>
      <c r="AO22" s="748"/>
      <c r="AP22" s="748"/>
      <c r="AQ22" s="714" t="str">
        <f t="shared" si="0"/>
        <v/>
      </c>
      <c r="AS22" s="714" t="str">
        <f t="shared" si="1"/>
        <v>wci_corp</v>
      </c>
    </row>
    <row r="23" spans="2:45">
      <c r="B23" s="714" t="s">
        <v>1116</v>
      </c>
      <c r="C23" s="745">
        <v>43251</v>
      </c>
      <c r="D23" s="746">
        <v>150</v>
      </c>
      <c r="E23" s="746">
        <v>0</v>
      </c>
      <c r="F23" s="747" t="s">
        <v>1074</v>
      </c>
      <c r="G23" s="714" t="s">
        <v>1135</v>
      </c>
      <c r="H23" s="748" t="s">
        <v>1075</v>
      </c>
      <c r="I23" s="714" t="s">
        <v>1136</v>
      </c>
      <c r="J23" s="714" t="s">
        <v>1092</v>
      </c>
      <c r="K23" s="714" t="s">
        <v>1078</v>
      </c>
      <c r="L23" s="718"/>
      <c r="M23" s="718"/>
      <c r="N23" s="718" t="s">
        <v>1132</v>
      </c>
      <c r="O23" s="739"/>
      <c r="P23" s="718"/>
      <c r="Q23" s="718"/>
      <c r="U23" s="714" t="s">
        <v>1137</v>
      </c>
      <c r="V23" s="714" t="s">
        <v>1137</v>
      </c>
      <c r="X23" s="745">
        <v>43255</v>
      </c>
      <c r="Y23" s="745">
        <v>43255</v>
      </c>
      <c r="AA23" s="745"/>
      <c r="AB23" s="714" t="s">
        <v>1079</v>
      </c>
      <c r="AC23" s="714">
        <v>0</v>
      </c>
      <c r="AD23" s="714">
        <v>0</v>
      </c>
      <c r="AE23" s="714">
        <v>0</v>
      </c>
      <c r="AF23" s="714">
        <v>0</v>
      </c>
      <c r="AG23" s="714">
        <v>0</v>
      </c>
      <c r="AH23" s="714">
        <v>1</v>
      </c>
      <c r="AI23" s="714">
        <v>60225</v>
      </c>
      <c r="AJ23" s="714">
        <v>2183</v>
      </c>
      <c r="AK23" s="714">
        <v>0</v>
      </c>
      <c r="AL23" s="714">
        <v>0</v>
      </c>
      <c r="AO23" s="748"/>
      <c r="AP23" s="748"/>
      <c r="AQ23" s="714" t="str">
        <f t="shared" si="0"/>
        <v/>
      </c>
      <c r="AS23" s="714" t="str">
        <f t="shared" si="1"/>
        <v>wci_corp</v>
      </c>
    </row>
    <row r="24" spans="2:45">
      <c r="B24" s="714" t="s">
        <v>1116</v>
      </c>
      <c r="C24" s="745">
        <v>43251</v>
      </c>
      <c r="D24" s="746">
        <v>150</v>
      </c>
      <c r="E24" s="746">
        <v>0</v>
      </c>
      <c r="F24" s="747" t="s">
        <v>1074</v>
      </c>
      <c r="G24" s="714" t="s">
        <v>1138</v>
      </c>
      <c r="H24" s="748" t="s">
        <v>1075</v>
      </c>
      <c r="I24" s="714" t="s">
        <v>1126</v>
      </c>
      <c r="J24" s="714" t="s">
        <v>1082</v>
      </c>
      <c r="K24" s="714" t="s">
        <v>1078</v>
      </c>
      <c r="L24" s="718"/>
      <c r="M24" s="718"/>
      <c r="N24" s="718" t="s">
        <v>1139</v>
      </c>
      <c r="O24" s="739"/>
      <c r="P24" s="718"/>
      <c r="Q24" s="718"/>
      <c r="U24" s="714" t="s">
        <v>1140</v>
      </c>
      <c r="V24" s="714" t="s">
        <v>1140</v>
      </c>
      <c r="X24" s="745">
        <v>43257</v>
      </c>
      <c r="Y24" s="745">
        <v>43258</v>
      </c>
      <c r="AA24" s="745"/>
      <c r="AB24" s="714" t="s">
        <v>1079</v>
      </c>
      <c r="AC24" s="714">
        <v>0</v>
      </c>
      <c r="AD24" s="714">
        <v>0</v>
      </c>
      <c r="AE24" s="714">
        <v>0</v>
      </c>
      <c r="AF24" s="714">
        <v>0</v>
      </c>
      <c r="AG24" s="714">
        <v>0</v>
      </c>
      <c r="AH24" s="714">
        <v>1</v>
      </c>
      <c r="AI24" s="714">
        <v>60225</v>
      </c>
      <c r="AJ24" s="714">
        <v>2183</v>
      </c>
      <c r="AK24" s="714">
        <v>0</v>
      </c>
      <c r="AL24" s="714">
        <v>0</v>
      </c>
      <c r="AO24" s="748"/>
      <c r="AP24" s="748"/>
      <c r="AQ24" s="714" t="str">
        <f t="shared" si="0"/>
        <v/>
      </c>
      <c r="AS24" s="714" t="str">
        <f t="shared" si="1"/>
        <v>wci_corp</v>
      </c>
    </row>
    <row r="25" spans="2:45">
      <c r="B25" s="714" t="s">
        <v>1116</v>
      </c>
      <c r="C25" s="745">
        <v>43251</v>
      </c>
      <c r="D25" s="746">
        <v>150</v>
      </c>
      <c r="E25" s="746">
        <v>0</v>
      </c>
      <c r="F25" s="747" t="s">
        <v>1074</v>
      </c>
      <c r="G25" s="714" t="s">
        <v>1138</v>
      </c>
      <c r="H25" s="748" t="s">
        <v>1075</v>
      </c>
      <c r="I25" s="714" t="s">
        <v>1126</v>
      </c>
      <c r="J25" s="714" t="s">
        <v>1082</v>
      </c>
      <c r="K25" s="714" t="s">
        <v>1078</v>
      </c>
      <c r="L25" s="718"/>
      <c r="M25" s="718"/>
      <c r="N25" s="718" t="s">
        <v>1141</v>
      </c>
      <c r="O25" s="739"/>
      <c r="P25" s="718"/>
      <c r="Q25" s="718"/>
      <c r="U25" s="714" t="s">
        <v>1140</v>
      </c>
      <c r="V25" s="714" t="s">
        <v>1140</v>
      </c>
      <c r="X25" s="745">
        <v>43257</v>
      </c>
      <c r="Y25" s="745">
        <v>43258</v>
      </c>
      <c r="AA25" s="745"/>
      <c r="AB25" s="714" t="s">
        <v>1079</v>
      </c>
      <c r="AC25" s="714">
        <v>0</v>
      </c>
      <c r="AD25" s="714">
        <v>0</v>
      </c>
      <c r="AE25" s="714">
        <v>0</v>
      </c>
      <c r="AF25" s="714">
        <v>0</v>
      </c>
      <c r="AG25" s="714">
        <v>0</v>
      </c>
      <c r="AH25" s="714">
        <v>1</v>
      </c>
      <c r="AI25" s="714">
        <v>60225</v>
      </c>
      <c r="AJ25" s="714">
        <v>2183</v>
      </c>
      <c r="AK25" s="714">
        <v>0</v>
      </c>
      <c r="AL25" s="714">
        <v>0</v>
      </c>
      <c r="AO25" s="748"/>
      <c r="AP25" s="748"/>
      <c r="AQ25" s="714" t="str">
        <f t="shared" si="0"/>
        <v/>
      </c>
      <c r="AS25" s="714" t="str">
        <f t="shared" si="1"/>
        <v>wci_corp</v>
      </c>
    </row>
    <row r="26" spans="2:45">
      <c r="B26" s="714" t="s">
        <v>1116</v>
      </c>
      <c r="C26" s="745">
        <v>43281</v>
      </c>
      <c r="D26" s="746">
        <v>-150</v>
      </c>
      <c r="E26" s="746">
        <v>0</v>
      </c>
      <c r="F26" s="747" t="s">
        <v>1074</v>
      </c>
      <c r="G26" s="714" t="s">
        <v>1142</v>
      </c>
      <c r="H26" s="748" t="s">
        <v>1075</v>
      </c>
      <c r="I26" s="714" t="s">
        <v>1126</v>
      </c>
      <c r="J26" s="714" t="s">
        <v>1082</v>
      </c>
      <c r="K26" s="714" t="s">
        <v>1078</v>
      </c>
      <c r="L26" s="718"/>
      <c r="M26" s="718"/>
      <c r="N26" s="718" t="s">
        <v>1139</v>
      </c>
      <c r="O26" s="739"/>
      <c r="P26" s="718"/>
      <c r="Q26" s="718"/>
      <c r="U26" s="714" t="s">
        <v>1140</v>
      </c>
      <c r="V26" s="714" t="s">
        <v>1143</v>
      </c>
      <c r="X26" s="745">
        <v>43258</v>
      </c>
      <c r="Y26" s="745">
        <v>43258</v>
      </c>
      <c r="AA26" s="745"/>
      <c r="AB26" s="714" t="s">
        <v>1079</v>
      </c>
      <c r="AC26" s="714">
        <v>0</v>
      </c>
      <c r="AD26" s="714">
        <v>0</v>
      </c>
      <c r="AE26" s="714">
        <v>0</v>
      </c>
      <c r="AF26" s="714">
        <v>0</v>
      </c>
      <c r="AG26" s="714">
        <v>5</v>
      </c>
      <c r="AH26" s="714">
        <v>1</v>
      </c>
      <c r="AI26" s="714">
        <v>60225</v>
      </c>
      <c r="AJ26" s="714">
        <v>2183</v>
      </c>
      <c r="AK26" s="714">
        <v>0</v>
      </c>
      <c r="AL26" s="714">
        <v>0</v>
      </c>
      <c r="AO26" s="748"/>
      <c r="AP26" s="748"/>
      <c r="AQ26" s="714" t="str">
        <f t="shared" si="0"/>
        <v/>
      </c>
      <c r="AS26" s="714" t="str">
        <f t="shared" si="1"/>
        <v>wci_corp</v>
      </c>
    </row>
    <row r="27" spans="2:45">
      <c r="B27" s="714" t="s">
        <v>1116</v>
      </c>
      <c r="C27" s="745">
        <v>43281</v>
      </c>
      <c r="D27" s="746">
        <v>-150</v>
      </c>
      <c r="E27" s="746">
        <v>0</v>
      </c>
      <c r="F27" s="747" t="s">
        <v>1074</v>
      </c>
      <c r="G27" s="714" t="s">
        <v>1142</v>
      </c>
      <c r="H27" s="748" t="s">
        <v>1075</v>
      </c>
      <c r="I27" s="714" t="s">
        <v>1126</v>
      </c>
      <c r="J27" s="714" t="s">
        <v>1082</v>
      </c>
      <c r="K27" s="714" t="s">
        <v>1078</v>
      </c>
      <c r="L27" s="718"/>
      <c r="M27" s="718"/>
      <c r="N27" s="718" t="s">
        <v>1141</v>
      </c>
      <c r="O27" s="739"/>
      <c r="P27" s="718"/>
      <c r="Q27" s="718"/>
      <c r="U27" s="714" t="s">
        <v>1140</v>
      </c>
      <c r="V27" s="714" t="s">
        <v>1143</v>
      </c>
      <c r="X27" s="745">
        <v>43258</v>
      </c>
      <c r="Y27" s="745">
        <v>43258</v>
      </c>
      <c r="AA27" s="745"/>
      <c r="AB27" s="714" t="s">
        <v>1079</v>
      </c>
      <c r="AC27" s="714">
        <v>0</v>
      </c>
      <c r="AD27" s="714">
        <v>0</v>
      </c>
      <c r="AE27" s="714">
        <v>0</v>
      </c>
      <c r="AF27" s="714">
        <v>0</v>
      </c>
      <c r="AG27" s="714">
        <v>5</v>
      </c>
      <c r="AH27" s="714">
        <v>1</v>
      </c>
      <c r="AI27" s="714">
        <v>60225</v>
      </c>
      <c r="AJ27" s="714">
        <v>2183</v>
      </c>
      <c r="AK27" s="714">
        <v>0</v>
      </c>
      <c r="AL27" s="714">
        <v>0</v>
      </c>
      <c r="AO27" s="748"/>
      <c r="AP27" s="748"/>
      <c r="AQ27" s="714" t="str">
        <f t="shared" si="0"/>
        <v/>
      </c>
      <c r="AS27" s="714" t="str">
        <f t="shared" si="1"/>
        <v>wci_corp</v>
      </c>
    </row>
    <row r="28" spans="2:45">
      <c r="B28" s="714" t="s">
        <v>1116</v>
      </c>
      <c r="C28" s="745">
        <v>43281</v>
      </c>
      <c r="D28" s="746">
        <v>150</v>
      </c>
      <c r="E28" s="746">
        <v>0</v>
      </c>
      <c r="F28" s="747" t="s">
        <v>1074</v>
      </c>
      <c r="G28" s="714" t="s">
        <v>1144</v>
      </c>
      <c r="H28" s="748" t="s">
        <v>1075</v>
      </c>
      <c r="I28" s="714" t="s">
        <v>1145</v>
      </c>
      <c r="J28" s="714" t="s">
        <v>1146</v>
      </c>
      <c r="K28" s="714" t="s">
        <v>1078</v>
      </c>
      <c r="L28" s="718"/>
      <c r="M28" s="718"/>
      <c r="N28" s="718" t="s">
        <v>1147</v>
      </c>
      <c r="O28" s="739"/>
      <c r="P28" s="718"/>
      <c r="Q28" s="718"/>
      <c r="U28" s="714" t="s">
        <v>1148</v>
      </c>
      <c r="V28" s="714" t="s">
        <v>1148</v>
      </c>
      <c r="X28" s="745">
        <v>43284</v>
      </c>
      <c r="Y28" s="745">
        <v>43284</v>
      </c>
      <c r="AA28" s="745"/>
      <c r="AB28" s="714" t="s">
        <v>1079</v>
      </c>
      <c r="AC28" s="714">
        <v>0</v>
      </c>
      <c r="AD28" s="714">
        <v>0</v>
      </c>
      <c r="AE28" s="714">
        <v>0</v>
      </c>
      <c r="AF28" s="714">
        <v>0</v>
      </c>
      <c r="AG28" s="714">
        <v>0</v>
      </c>
      <c r="AH28" s="714">
        <v>1</v>
      </c>
      <c r="AI28" s="714">
        <v>60225</v>
      </c>
      <c r="AJ28" s="714">
        <v>2183</v>
      </c>
      <c r="AK28" s="714">
        <v>0</v>
      </c>
      <c r="AL28" s="714">
        <v>0</v>
      </c>
      <c r="AO28" s="748"/>
      <c r="AP28" s="748"/>
      <c r="AQ28" s="714" t="str">
        <f t="shared" si="0"/>
        <v/>
      </c>
      <c r="AS28" s="714" t="str">
        <f t="shared" si="1"/>
        <v>wci_corp</v>
      </c>
    </row>
    <row r="29" spans="2:45">
      <c r="B29" s="714" t="s">
        <v>1116</v>
      </c>
      <c r="C29" s="745">
        <v>43281</v>
      </c>
      <c r="D29" s="746">
        <v>150</v>
      </c>
      <c r="E29" s="746">
        <v>0</v>
      </c>
      <c r="F29" s="747" t="s">
        <v>1074</v>
      </c>
      <c r="G29" s="714" t="s">
        <v>1149</v>
      </c>
      <c r="H29" s="748" t="s">
        <v>1075</v>
      </c>
      <c r="I29" s="714" t="s">
        <v>1131</v>
      </c>
      <c r="J29" s="714" t="s">
        <v>1082</v>
      </c>
      <c r="K29" s="714" t="s">
        <v>1078</v>
      </c>
      <c r="L29" s="718"/>
      <c r="M29" s="718"/>
      <c r="N29" s="718" t="s">
        <v>1132</v>
      </c>
      <c r="O29" s="739"/>
      <c r="P29" s="718"/>
      <c r="Q29" s="718"/>
      <c r="U29" s="714" t="s">
        <v>1150</v>
      </c>
      <c r="V29" s="714" t="s">
        <v>1150</v>
      </c>
      <c r="X29" s="745">
        <v>43287</v>
      </c>
      <c r="Y29" s="745">
        <v>43290</v>
      </c>
      <c r="AA29" s="745"/>
      <c r="AB29" s="714" t="s">
        <v>1079</v>
      </c>
      <c r="AC29" s="714">
        <v>0</v>
      </c>
      <c r="AD29" s="714">
        <v>0</v>
      </c>
      <c r="AE29" s="714">
        <v>0</v>
      </c>
      <c r="AF29" s="714">
        <v>0</v>
      </c>
      <c r="AG29" s="714">
        <v>0</v>
      </c>
      <c r="AH29" s="714">
        <v>1</v>
      </c>
      <c r="AI29" s="714">
        <v>60225</v>
      </c>
      <c r="AJ29" s="714">
        <v>2183</v>
      </c>
      <c r="AK29" s="714">
        <v>0</v>
      </c>
      <c r="AL29" s="714">
        <v>0</v>
      </c>
      <c r="AO29" s="748"/>
      <c r="AP29" s="748"/>
      <c r="AQ29" s="714" t="str">
        <f t="shared" si="0"/>
        <v/>
      </c>
      <c r="AS29" s="714" t="str">
        <f t="shared" si="1"/>
        <v>wci_corp</v>
      </c>
    </row>
    <row r="30" spans="2:45">
      <c r="B30" s="714" t="s">
        <v>1116</v>
      </c>
      <c r="C30" s="745">
        <v>43306</v>
      </c>
      <c r="D30" s="746">
        <v>3543.5</v>
      </c>
      <c r="E30" s="746">
        <v>0</v>
      </c>
      <c r="F30" s="747" t="s">
        <v>1074</v>
      </c>
      <c r="G30" s="714" t="s">
        <v>1151</v>
      </c>
      <c r="H30" s="748" t="s">
        <v>1075</v>
      </c>
      <c r="I30" s="714" t="s">
        <v>1076</v>
      </c>
      <c r="J30" s="714" t="s">
        <v>1152</v>
      </c>
      <c r="K30" s="714" t="s">
        <v>1078</v>
      </c>
      <c r="L30" s="718" t="s">
        <v>1119</v>
      </c>
      <c r="M30" s="718"/>
      <c r="N30" s="718" t="s">
        <v>1120</v>
      </c>
      <c r="O30" s="739">
        <v>43282</v>
      </c>
      <c r="P30" s="718" t="s">
        <v>1153</v>
      </c>
      <c r="Q30" s="718">
        <v>1836</v>
      </c>
      <c r="R30" s="714" t="s">
        <v>1154</v>
      </c>
      <c r="U30" s="714" t="s">
        <v>1155</v>
      </c>
      <c r="V30" s="714" t="s">
        <v>1156</v>
      </c>
      <c r="W30" s="714">
        <v>2183</v>
      </c>
      <c r="X30" s="745">
        <v>43306</v>
      </c>
      <c r="Y30" s="745">
        <v>43308</v>
      </c>
      <c r="Z30" s="714">
        <v>3543.5</v>
      </c>
      <c r="AA30" s="745">
        <v>43292</v>
      </c>
      <c r="AB30" s="714" t="s">
        <v>1079</v>
      </c>
      <c r="AC30" s="714">
        <v>0</v>
      </c>
      <c r="AD30" s="714">
        <v>0</v>
      </c>
      <c r="AE30" s="714">
        <v>0</v>
      </c>
      <c r="AF30" s="714">
        <v>0</v>
      </c>
      <c r="AG30" s="714">
        <v>0</v>
      </c>
      <c r="AH30" s="714">
        <v>1</v>
      </c>
      <c r="AI30" s="714">
        <v>60225</v>
      </c>
      <c r="AJ30" s="714">
        <v>2183</v>
      </c>
      <c r="AK30" s="714">
        <v>0</v>
      </c>
      <c r="AL30" s="714">
        <v>0</v>
      </c>
      <c r="AO30" s="748"/>
      <c r="AP30" s="748"/>
      <c r="AQ30" s="714" t="str">
        <f t="shared" si="0"/>
        <v>VO04720829</v>
      </c>
      <c r="AS30" s="714" t="str">
        <f t="shared" si="1"/>
        <v>wci_corp</v>
      </c>
    </row>
    <row r="31" spans="2:45">
      <c r="B31" s="714" t="s">
        <v>1116</v>
      </c>
      <c r="C31" s="745">
        <v>43312</v>
      </c>
      <c r="D31" s="746">
        <v>-150</v>
      </c>
      <c r="E31" s="746">
        <v>0</v>
      </c>
      <c r="F31" s="747" t="s">
        <v>1074</v>
      </c>
      <c r="G31" s="714" t="s">
        <v>1157</v>
      </c>
      <c r="H31" s="748" t="s">
        <v>1075</v>
      </c>
      <c r="I31" s="714" t="s">
        <v>1131</v>
      </c>
      <c r="J31" s="714" t="s">
        <v>1082</v>
      </c>
      <c r="K31" s="714" t="s">
        <v>1078</v>
      </c>
      <c r="L31" s="718"/>
      <c r="M31" s="718"/>
      <c r="N31" s="718" t="s">
        <v>1132</v>
      </c>
      <c r="O31" s="739"/>
      <c r="P31" s="718"/>
      <c r="Q31" s="718"/>
      <c r="U31" s="714" t="s">
        <v>1150</v>
      </c>
      <c r="V31" s="714" t="s">
        <v>1158</v>
      </c>
      <c r="X31" s="745">
        <v>43290</v>
      </c>
      <c r="Y31" s="745">
        <v>43290</v>
      </c>
      <c r="AA31" s="745"/>
      <c r="AB31" s="714" t="s">
        <v>1079</v>
      </c>
      <c r="AC31" s="714">
        <v>0</v>
      </c>
      <c r="AD31" s="714">
        <v>0</v>
      </c>
      <c r="AE31" s="714">
        <v>0</v>
      </c>
      <c r="AF31" s="714">
        <v>0</v>
      </c>
      <c r="AG31" s="714">
        <v>5</v>
      </c>
      <c r="AH31" s="714">
        <v>1</v>
      </c>
      <c r="AI31" s="714">
        <v>60225</v>
      </c>
      <c r="AJ31" s="714">
        <v>2183</v>
      </c>
      <c r="AK31" s="714">
        <v>0</v>
      </c>
      <c r="AL31" s="714">
        <v>0</v>
      </c>
      <c r="AO31" s="748"/>
      <c r="AP31" s="748"/>
      <c r="AQ31" s="714" t="str">
        <f t="shared" si="0"/>
        <v/>
      </c>
      <c r="AS31" s="714" t="str">
        <f t="shared" si="1"/>
        <v>wci_corp</v>
      </c>
    </row>
    <row r="32" spans="2:45">
      <c r="B32" s="714" t="s">
        <v>1116</v>
      </c>
      <c r="C32" s="745">
        <v>43312</v>
      </c>
      <c r="D32" s="746">
        <v>150</v>
      </c>
      <c r="E32" s="746">
        <v>0</v>
      </c>
      <c r="F32" s="747" t="s">
        <v>1074</v>
      </c>
      <c r="G32" s="714" t="s">
        <v>1159</v>
      </c>
      <c r="H32" s="748" t="s">
        <v>1075</v>
      </c>
      <c r="I32" s="714" t="s">
        <v>1160</v>
      </c>
      <c r="J32" s="714" t="s">
        <v>1082</v>
      </c>
      <c r="K32" s="714" t="s">
        <v>1078</v>
      </c>
      <c r="L32" s="718"/>
      <c r="M32" s="718"/>
      <c r="N32" s="718" t="s">
        <v>1132</v>
      </c>
      <c r="O32" s="739"/>
      <c r="P32" s="718"/>
      <c r="Q32" s="718"/>
      <c r="U32" s="714" t="s">
        <v>1161</v>
      </c>
      <c r="V32" s="714" t="s">
        <v>1161</v>
      </c>
      <c r="X32" s="745">
        <v>43314</v>
      </c>
      <c r="Y32" s="745">
        <v>43314</v>
      </c>
      <c r="AA32" s="745"/>
      <c r="AB32" s="714" t="s">
        <v>1079</v>
      </c>
      <c r="AC32" s="714">
        <v>0</v>
      </c>
      <c r="AD32" s="714">
        <v>0</v>
      </c>
      <c r="AE32" s="714">
        <v>0</v>
      </c>
      <c r="AF32" s="714">
        <v>0</v>
      </c>
      <c r="AG32" s="714">
        <v>0</v>
      </c>
      <c r="AH32" s="714">
        <v>1</v>
      </c>
      <c r="AI32" s="714">
        <v>60225</v>
      </c>
      <c r="AJ32" s="714">
        <v>2183</v>
      </c>
      <c r="AK32" s="714">
        <v>0</v>
      </c>
      <c r="AL32" s="714">
        <v>0</v>
      </c>
      <c r="AO32" s="748"/>
      <c r="AP32" s="748"/>
      <c r="AQ32" s="714" t="str">
        <f t="shared" si="0"/>
        <v/>
      </c>
      <c r="AS32" s="714" t="str">
        <f t="shared" si="1"/>
        <v>wci_corp</v>
      </c>
    </row>
    <row r="33" spans="2:45">
      <c r="B33" s="714" t="s">
        <v>1116</v>
      </c>
      <c r="C33" s="745">
        <v>43312</v>
      </c>
      <c r="D33" s="746">
        <v>150</v>
      </c>
      <c r="E33" s="746">
        <v>0</v>
      </c>
      <c r="F33" s="747" t="s">
        <v>1074</v>
      </c>
      <c r="G33" s="714" t="s">
        <v>1162</v>
      </c>
      <c r="H33" s="748" t="s">
        <v>1075</v>
      </c>
      <c r="I33" s="714" t="s">
        <v>1126</v>
      </c>
      <c r="J33" s="714" t="s">
        <v>1082</v>
      </c>
      <c r="K33" s="714" t="s">
        <v>1078</v>
      </c>
      <c r="L33" s="718"/>
      <c r="M33" s="718"/>
      <c r="N33" s="718" t="s">
        <v>1163</v>
      </c>
      <c r="O33" s="739"/>
      <c r="P33" s="718"/>
      <c r="Q33" s="718"/>
      <c r="U33" s="714" t="s">
        <v>1164</v>
      </c>
      <c r="V33" s="714" t="s">
        <v>1164</v>
      </c>
      <c r="X33" s="745">
        <v>43318</v>
      </c>
      <c r="Y33" s="745">
        <v>43319</v>
      </c>
      <c r="AA33" s="745"/>
      <c r="AB33" s="714" t="s">
        <v>1079</v>
      </c>
      <c r="AC33" s="714">
        <v>0</v>
      </c>
      <c r="AD33" s="714">
        <v>0</v>
      </c>
      <c r="AE33" s="714">
        <v>0</v>
      </c>
      <c r="AF33" s="714">
        <v>0</v>
      </c>
      <c r="AG33" s="714">
        <v>0</v>
      </c>
      <c r="AH33" s="714">
        <v>1</v>
      </c>
      <c r="AI33" s="714">
        <v>60225</v>
      </c>
      <c r="AJ33" s="714">
        <v>2183</v>
      </c>
      <c r="AK33" s="714">
        <v>0</v>
      </c>
      <c r="AL33" s="714">
        <v>0</v>
      </c>
      <c r="AO33" s="748"/>
      <c r="AP33" s="748"/>
      <c r="AQ33" s="714" t="str">
        <f t="shared" si="0"/>
        <v/>
      </c>
      <c r="AS33" s="714" t="str">
        <f t="shared" si="1"/>
        <v>wci_corp</v>
      </c>
    </row>
    <row r="34" spans="2:45">
      <c r="B34" s="714" t="s">
        <v>1116</v>
      </c>
      <c r="C34" s="745">
        <v>43312</v>
      </c>
      <c r="D34" s="746">
        <v>150</v>
      </c>
      <c r="E34" s="746">
        <v>0</v>
      </c>
      <c r="F34" s="747" t="s">
        <v>1074</v>
      </c>
      <c r="G34" s="714" t="s">
        <v>1162</v>
      </c>
      <c r="H34" s="748" t="s">
        <v>1075</v>
      </c>
      <c r="I34" s="714" t="s">
        <v>1126</v>
      </c>
      <c r="J34" s="714" t="s">
        <v>1082</v>
      </c>
      <c r="K34" s="714" t="s">
        <v>1078</v>
      </c>
      <c r="L34" s="718"/>
      <c r="M34" s="718"/>
      <c r="N34" s="718" t="s">
        <v>1165</v>
      </c>
      <c r="O34" s="739"/>
      <c r="P34" s="718"/>
      <c r="Q34" s="718"/>
      <c r="U34" s="714" t="s">
        <v>1164</v>
      </c>
      <c r="V34" s="714" t="s">
        <v>1164</v>
      </c>
      <c r="X34" s="745">
        <v>43318</v>
      </c>
      <c r="Y34" s="745">
        <v>43319</v>
      </c>
      <c r="AA34" s="745"/>
      <c r="AB34" s="714" t="s">
        <v>1079</v>
      </c>
      <c r="AC34" s="714">
        <v>0</v>
      </c>
      <c r="AD34" s="714">
        <v>0</v>
      </c>
      <c r="AE34" s="714">
        <v>0</v>
      </c>
      <c r="AF34" s="714">
        <v>0</v>
      </c>
      <c r="AG34" s="714">
        <v>0</v>
      </c>
      <c r="AH34" s="714">
        <v>1</v>
      </c>
      <c r="AI34" s="714">
        <v>60225</v>
      </c>
      <c r="AJ34" s="714">
        <v>2183</v>
      </c>
      <c r="AK34" s="714">
        <v>0</v>
      </c>
      <c r="AL34" s="714">
        <v>0</v>
      </c>
      <c r="AO34" s="748"/>
      <c r="AP34" s="748"/>
      <c r="AQ34" s="714" t="str">
        <f t="shared" si="0"/>
        <v/>
      </c>
      <c r="AS34" s="714" t="str">
        <f t="shared" si="1"/>
        <v>wci_corp</v>
      </c>
    </row>
    <row r="35" spans="2:45">
      <c r="B35" s="714" t="s">
        <v>1116</v>
      </c>
      <c r="C35" s="745">
        <v>43343</v>
      </c>
      <c r="D35" s="746">
        <v>-150</v>
      </c>
      <c r="E35" s="746">
        <v>0</v>
      </c>
      <c r="F35" s="747" t="s">
        <v>1074</v>
      </c>
      <c r="G35" s="714" t="s">
        <v>1166</v>
      </c>
      <c r="H35" s="748" t="s">
        <v>1075</v>
      </c>
      <c r="I35" s="714" t="s">
        <v>1126</v>
      </c>
      <c r="J35" s="714" t="s">
        <v>1092</v>
      </c>
      <c r="K35" s="714" t="s">
        <v>1078</v>
      </c>
      <c r="L35" s="718"/>
      <c r="M35" s="718"/>
      <c r="N35" s="718" t="s">
        <v>1163</v>
      </c>
      <c r="O35" s="739"/>
      <c r="P35" s="718"/>
      <c r="Q35" s="718"/>
      <c r="U35" s="714" t="s">
        <v>1164</v>
      </c>
      <c r="V35" s="714" t="s">
        <v>1167</v>
      </c>
      <c r="X35" s="745">
        <v>43319</v>
      </c>
      <c r="Y35" s="745">
        <v>43319</v>
      </c>
      <c r="AA35" s="745"/>
      <c r="AB35" s="714" t="s">
        <v>1079</v>
      </c>
      <c r="AC35" s="714">
        <v>0</v>
      </c>
      <c r="AD35" s="714">
        <v>0</v>
      </c>
      <c r="AE35" s="714">
        <v>0</v>
      </c>
      <c r="AF35" s="714">
        <v>0</v>
      </c>
      <c r="AG35" s="714">
        <v>5</v>
      </c>
      <c r="AH35" s="714">
        <v>1</v>
      </c>
      <c r="AI35" s="714">
        <v>60225</v>
      </c>
      <c r="AJ35" s="714">
        <v>2183</v>
      </c>
      <c r="AK35" s="714">
        <v>0</v>
      </c>
      <c r="AL35" s="714">
        <v>0</v>
      </c>
      <c r="AO35" s="748"/>
      <c r="AP35" s="748"/>
      <c r="AQ35" s="714" t="str">
        <f t="shared" si="0"/>
        <v/>
      </c>
      <c r="AS35" s="714" t="str">
        <f t="shared" si="1"/>
        <v>wci_corp</v>
      </c>
    </row>
    <row r="36" spans="2:45">
      <c r="B36" s="714" t="s">
        <v>1116</v>
      </c>
      <c r="C36" s="745">
        <v>43343</v>
      </c>
      <c r="D36" s="746">
        <v>-150</v>
      </c>
      <c r="E36" s="746">
        <v>0</v>
      </c>
      <c r="F36" s="747" t="s">
        <v>1074</v>
      </c>
      <c r="G36" s="714" t="s">
        <v>1166</v>
      </c>
      <c r="H36" s="748" t="s">
        <v>1075</v>
      </c>
      <c r="I36" s="714" t="s">
        <v>1126</v>
      </c>
      <c r="J36" s="714" t="s">
        <v>1092</v>
      </c>
      <c r="K36" s="714" t="s">
        <v>1078</v>
      </c>
      <c r="L36" s="718"/>
      <c r="M36" s="718"/>
      <c r="N36" s="718" t="s">
        <v>1165</v>
      </c>
      <c r="O36" s="739"/>
      <c r="P36" s="718"/>
      <c r="Q36" s="718"/>
      <c r="U36" s="714" t="s">
        <v>1164</v>
      </c>
      <c r="V36" s="714" t="s">
        <v>1167</v>
      </c>
      <c r="X36" s="745">
        <v>43319</v>
      </c>
      <c r="Y36" s="745">
        <v>43319</v>
      </c>
      <c r="AA36" s="745"/>
      <c r="AB36" s="714" t="s">
        <v>1079</v>
      </c>
      <c r="AC36" s="714">
        <v>0</v>
      </c>
      <c r="AD36" s="714">
        <v>0</v>
      </c>
      <c r="AE36" s="714">
        <v>0</v>
      </c>
      <c r="AF36" s="714">
        <v>0</v>
      </c>
      <c r="AG36" s="714">
        <v>5</v>
      </c>
      <c r="AH36" s="714">
        <v>1</v>
      </c>
      <c r="AI36" s="714">
        <v>60225</v>
      </c>
      <c r="AJ36" s="714">
        <v>2183</v>
      </c>
      <c r="AK36" s="714">
        <v>0</v>
      </c>
      <c r="AL36" s="714">
        <v>0</v>
      </c>
      <c r="AO36" s="748"/>
      <c r="AP36" s="748"/>
      <c r="AQ36" s="714" t="str">
        <f t="shared" si="0"/>
        <v/>
      </c>
      <c r="AS36" s="714" t="str">
        <f t="shared" si="1"/>
        <v>wci_corp</v>
      </c>
    </row>
    <row r="37" spans="2:45">
      <c r="B37" s="714" t="s">
        <v>1116</v>
      </c>
      <c r="C37" s="745">
        <v>43343</v>
      </c>
      <c r="D37" s="746">
        <v>150</v>
      </c>
      <c r="E37" s="746">
        <v>0</v>
      </c>
      <c r="F37" s="747" t="s">
        <v>1074</v>
      </c>
      <c r="G37" s="714" t="s">
        <v>1168</v>
      </c>
      <c r="H37" s="748" t="s">
        <v>1075</v>
      </c>
      <c r="I37" s="714" t="s">
        <v>1169</v>
      </c>
      <c r="J37" s="714" t="s">
        <v>1092</v>
      </c>
      <c r="K37" s="714" t="s">
        <v>1078</v>
      </c>
      <c r="L37" s="718"/>
      <c r="M37" s="718"/>
      <c r="N37" s="718" t="s">
        <v>1132</v>
      </c>
      <c r="O37" s="739"/>
      <c r="P37" s="718"/>
      <c r="Q37" s="718"/>
      <c r="U37" s="714" t="s">
        <v>1170</v>
      </c>
      <c r="V37" s="714" t="s">
        <v>1170</v>
      </c>
      <c r="X37" s="745">
        <v>43348</v>
      </c>
      <c r="Y37" s="745">
        <v>43348</v>
      </c>
      <c r="AA37" s="745"/>
      <c r="AB37" s="714" t="s">
        <v>1079</v>
      </c>
      <c r="AC37" s="714">
        <v>0</v>
      </c>
      <c r="AD37" s="714">
        <v>0</v>
      </c>
      <c r="AE37" s="714">
        <v>0</v>
      </c>
      <c r="AF37" s="714">
        <v>0</v>
      </c>
      <c r="AG37" s="714">
        <v>0</v>
      </c>
      <c r="AH37" s="714">
        <v>1</v>
      </c>
      <c r="AI37" s="714">
        <v>60225</v>
      </c>
      <c r="AJ37" s="714">
        <v>2183</v>
      </c>
      <c r="AK37" s="714">
        <v>0</v>
      </c>
      <c r="AL37" s="714">
        <v>0</v>
      </c>
      <c r="AO37" s="748"/>
      <c r="AP37" s="748"/>
      <c r="AQ37" s="714" t="str">
        <f t="shared" si="0"/>
        <v/>
      </c>
      <c r="AS37" s="714" t="str">
        <f t="shared" si="1"/>
        <v>wci_corp</v>
      </c>
    </row>
    <row r="38" spans="2:45">
      <c r="B38" s="714" t="s">
        <v>1116</v>
      </c>
      <c r="C38" s="745">
        <v>43343</v>
      </c>
      <c r="D38" s="746">
        <v>150</v>
      </c>
      <c r="E38" s="746">
        <v>0</v>
      </c>
      <c r="F38" s="747" t="s">
        <v>1074</v>
      </c>
      <c r="G38" s="714" t="s">
        <v>1168</v>
      </c>
      <c r="H38" s="748" t="s">
        <v>1075</v>
      </c>
      <c r="I38" s="714" t="s">
        <v>1169</v>
      </c>
      <c r="J38" s="714" t="s">
        <v>1092</v>
      </c>
      <c r="K38" s="714" t="s">
        <v>1078</v>
      </c>
      <c r="L38" s="718"/>
      <c r="M38" s="718"/>
      <c r="N38" s="718" t="s">
        <v>1132</v>
      </c>
      <c r="O38" s="739"/>
      <c r="P38" s="718"/>
      <c r="Q38" s="718"/>
      <c r="U38" s="714" t="s">
        <v>1170</v>
      </c>
      <c r="V38" s="714" t="s">
        <v>1170</v>
      </c>
      <c r="X38" s="745">
        <v>43348</v>
      </c>
      <c r="Y38" s="745">
        <v>43348</v>
      </c>
      <c r="AA38" s="745"/>
      <c r="AB38" s="714" t="s">
        <v>1079</v>
      </c>
      <c r="AC38" s="714">
        <v>0</v>
      </c>
      <c r="AD38" s="714">
        <v>0</v>
      </c>
      <c r="AE38" s="714">
        <v>0</v>
      </c>
      <c r="AF38" s="714">
        <v>0</v>
      </c>
      <c r="AG38" s="714">
        <v>0</v>
      </c>
      <c r="AH38" s="714">
        <v>1</v>
      </c>
      <c r="AI38" s="714">
        <v>60225</v>
      </c>
      <c r="AJ38" s="714">
        <v>2183</v>
      </c>
      <c r="AK38" s="714">
        <v>0</v>
      </c>
      <c r="AL38" s="714">
        <v>0</v>
      </c>
      <c r="AO38" s="748"/>
      <c r="AP38" s="748"/>
      <c r="AQ38" s="714" t="str">
        <f t="shared" si="0"/>
        <v/>
      </c>
      <c r="AS38" s="714" t="str">
        <f t="shared" si="1"/>
        <v>wci_corp</v>
      </c>
    </row>
    <row r="39" spans="2:45">
      <c r="B39" s="714" t="s">
        <v>1116</v>
      </c>
      <c r="C39" s="745">
        <v>43343</v>
      </c>
      <c r="D39" s="746">
        <v>750</v>
      </c>
      <c r="E39" s="746">
        <v>0</v>
      </c>
      <c r="F39" s="747" t="s">
        <v>1074</v>
      </c>
      <c r="G39" s="714" t="s">
        <v>1168</v>
      </c>
      <c r="H39" s="748" t="s">
        <v>1075</v>
      </c>
      <c r="I39" s="714" t="s">
        <v>1169</v>
      </c>
      <c r="J39" s="714" t="s">
        <v>1092</v>
      </c>
      <c r="K39" s="714" t="s">
        <v>1078</v>
      </c>
      <c r="L39" s="718"/>
      <c r="M39" s="718"/>
      <c r="N39" s="718" t="s">
        <v>1171</v>
      </c>
      <c r="O39" s="739"/>
      <c r="P39" s="718"/>
      <c r="Q39" s="718"/>
      <c r="U39" s="714" t="s">
        <v>1170</v>
      </c>
      <c r="V39" s="714" t="s">
        <v>1170</v>
      </c>
      <c r="X39" s="745">
        <v>43348</v>
      </c>
      <c r="Y39" s="745">
        <v>43348</v>
      </c>
      <c r="AA39" s="745"/>
      <c r="AB39" s="714" t="s">
        <v>1079</v>
      </c>
      <c r="AC39" s="714">
        <v>0</v>
      </c>
      <c r="AD39" s="714">
        <v>0</v>
      </c>
      <c r="AE39" s="714">
        <v>0</v>
      </c>
      <c r="AF39" s="714">
        <v>0</v>
      </c>
      <c r="AG39" s="714">
        <v>0</v>
      </c>
      <c r="AH39" s="714">
        <v>1</v>
      </c>
      <c r="AI39" s="714">
        <v>60225</v>
      </c>
      <c r="AJ39" s="714">
        <v>2183</v>
      </c>
      <c r="AK39" s="714">
        <v>0</v>
      </c>
      <c r="AL39" s="714">
        <v>0</v>
      </c>
      <c r="AO39" s="748"/>
      <c r="AP39" s="748"/>
      <c r="AQ39" s="714" t="str">
        <f t="shared" si="0"/>
        <v/>
      </c>
      <c r="AS39" s="714" t="str">
        <f t="shared" si="1"/>
        <v>wci_corp</v>
      </c>
    </row>
    <row r="40" spans="2:45">
      <c r="B40" s="714" t="s">
        <v>1116</v>
      </c>
      <c r="C40" s="745">
        <v>43343</v>
      </c>
      <c r="D40" s="746">
        <v>150</v>
      </c>
      <c r="E40" s="746">
        <v>0</v>
      </c>
      <c r="F40" s="747" t="s">
        <v>1074</v>
      </c>
      <c r="G40" s="714" t="s">
        <v>1172</v>
      </c>
      <c r="H40" s="748" t="s">
        <v>1075</v>
      </c>
      <c r="I40" s="714" t="s">
        <v>1126</v>
      </c>
      <c r="J40" s="714" t="s">
        <v>1082</v>
      </c>
      <c r="K40" s="714" t="s">
        <v>1078</v>
      </c>
      <c r="L40" s="718"/>
      <c r="M40" s="718"/>
      <c r="N40" s="718" t="s">
        <v>1173</v>
      </c>
      <c r="O40" s="739"/>
      <c r="P40" s="718"/>
      <c r="Q40" s="718"/>
      <c r="U40" s="714" t="s">
        <v>1174</v>
      </c>
      <c r="V40" s="714" t="s">
        <v>1174</v>
      </c>
      <c r="X40" s="745">
        <v>43350</v>
      </c>
      <c r="Y40" s="745">
        <v>43353</v>
      </c>
      <c r="AA40" s="745"/>
      <c r="AB40" s="714" t="s">
        <v>1079</v>
      </c>
      <c r="AC40" s="714">
        <v>0</v>
      </c>
      <c r="AD40" s="714">
        <v>0</v>
      </c>
      <c r="AE40" s="714">
        <v>0</v>
      </c>
      <c r="AF40" s="714">
        <v>0</v>
      </c>
      <c r="AG40" s="714">
        <v>0</v>
      </c>
      <c r="AH40" s="714">
        <v>1</v>
      </c>
      <c r="AI40" s="714">
        <v>60225</v>
      </c>
      <c r="AJ40" s="714">
        <v>2183</v>
      </c>
      <c r="AK40" s="714">
        <v>0</v>
      </c>
      <c r="AL40" s="714">
        <v>0</v>
      </c>
      <c r="AO40" s="748"/>
      <c r="AP40" s="748"/>
      <c r="AQ40" s="714" t="str">
        <f t="shared" si="0"/>
        <v/>
      </c>
      <c r="AS40" s="714" t="str">
        <f t="shared" si="1"/>
        <v>wci_corp</v>
      </c>
    </row>
    <row r="41" spans="2:45">
      <c r="B41" s="714" t="s">
        <v>1116</v>
      </c>
      <c r="C41" s="745">
        <v>43373</v>
      </c>
      <c r="D41" s="746">
        <v>-150</v>
      </c>
      <c r="E41" s="746">
        <v>0</v>
      </c>
      <c r="F41" s="747" t="s">
        <v>1074</v>
      </c>
      <c r="G41" s="714" t="s">
        <v>1175</v>
      </c>
      <c r="H41" s="748" t="s">
        <v>1075</v>
      </c>
      <c r="I41" s="714" t="s">
        <v>1126</v>
      </c>
      <c r="J41" s="714" t="s">
        <v>1082</v>
      </c>
      <c r="K41" s="714" t="s">
        <v>1078</v>
      </c>
      <c r="L41" s="718"/>
      <c r="M41" s="718"/>
      <c r="N41" s="718" t="s">
        <v>1173</v>
      </c>
      <c r="O41" s="739"/>
      <c r="P41" s="718"/>
      <c r="Q41" s="718"/>
      <c r="U41" s="714" t="s">
        <v>1174</v>
      </c>
      <c r="V41" s="714" t="s">
        <v>1176</v>
      </c>
      <c r="X41" s="745">
        <v>43353</v>
      </c>
      <c r="Y41" s="745">
        <v>43353</v>
      </c>
      <c r="AA41" s="745"/>
      <c r="AB41" s="714" t="s">
        <v>1079</v>
      </c>
      <c r="AC41" s="714">
        <v>0</v>
      </c>
      <c r="AD41" s="714">
        <v>0</v>
      </c>
      <c r="AE41" s="714">
        <v>0</v>
      </c>
      <c r="AF41" s="714">
        <v>0</v>
      </c>
      <c r="AG41" s="714">
        <v>5</v>
      </c>
      <c r="AH41" s="714">
        <v>1</v>
      </c>
      <c r="AI41" s="714">
        <v>60225</v>
      </c>
      <c r="AJ41" s="714">
        <v>2183</v>
      </c>
      <c r="AK41" s="714">
        <v>0</v>
      </c>
      <c r="AL41" s="714">
        <v>0</v>
      </c>
      <c r="AO41" s="748"/>
      <c r="AP41" s="748"/>
      <c r="AQ41" s="714" t="str">
        <f t="shared" si="0"/>
        <v/>
      </c>
      <c r="AS41" s="714" t="str">
        <f t="shared" si="1"/>
        <v>wci_corp</v>
      </c>
    </row>
    <row r="42" spans="2:45">
      <c r="B42" s="714" t="s">
        <v>1116</v>
      </c>
      <c r="C42" s="745">
        <v>43373</v>
      </c>
      <c r="D42" s="746">
        <v>150</v>
      </c>
      <c r="E42" s="746">
        <v>0</v>
      </c>
      <c r="F42" s="747" t="s">
        <v>1074</v>
      </c>
      <c r="G42" s="714" t="s">
        <v>1177</v>
      </c>
      <c r="H42" s="748" t="s">
        <v>1075</v>
      </c>
      <c r="I42" s="714" t="s">
        <v>1178</v>
      </c>
      <c r="J42" s="714" t="s">
        <v>1082</v>
      </c>
      <c r="K42" s="714" t="s">
        <v>1078</v>
      </c>
      <c r="L42" s="718"/>
      <c r="M42" s="718"/>
      <c r="N42" s="718" t="s">
        <v>1132</v>
      </c>
      <c r="O42" s="739"/>
      <c r="P42" s="718"/>
      <c r="Q42" s="718"/>
      <c r="U42" s="714" t="s">
        <v>1179</v>
      </c>
      <c r="V42" s="714" t="s">
        <v>1179</v>
      </c>
      <c r="X42" s="745">
        <v>43375</v>
      </c>
      <c r="Y42" s="745">
        <v>43375</v>
      </c>
      <c r="AA42" s="745"/>
      <c r="AB42" s="714" t="s">
        <v>1079</v>
      </c>
      <c r="AC42" s="714">
        <v>0</v>
      </c>
      <c r="AD42" s="714">
        <v>0</v>
      </c>
      <c r="AE42" s="714">
        <v>0</v>
      </c>
      <c r="AF42" s="714">
        <v>0</v>
      </c>
      <c r="AG42" s="714">
        <v>0</v>
      </c>
      <c r="AH42" s="714">
        <v>1</v>
      </c>
      <c r="AI42" s="714">
        <v>60225</v>
      </c>
      <c r="AJ42" s="714">
        <v>2183</v>
      </c>
      <c r="AK42" s="714">
        <v>0</v>
      </c>
      <c r="AL42" s="714">
        <v>0</v>
      </c>
      <c r="AO42" s="748"/>
      <c r="AP42" s="748"/>
      <c r="AQ42" s="714" t="str">
        <f t="shared" si="0"/>
        <v/>
      </c>
      <c r="AS42" s="714" t="str">
        <f t="shared" si="1"/>
        <v>wci_corp</v>
      </c>
    </row>
    <row r="43" spans="2:45">
      <c r="B43" s="714" t="s">
        <v>1116</v>
      </c>
      <c r="C43" s="745">
        <v>43373</v>
      </c>
      <c r="D43" s="746">
        <v>150</v>
      </c>
      <c r="E43" s="746">
        <v>0</v>
      </c>
      <c r="F43" s="747" t="s">
        <v>1074</v>
      </c>
      <c r="G43" s="714" t="s">
        <v>1180</v>
      </c>
      <c r="H43" s="748" t="s">
        <v>1075</v>
      </c>
      <c r="I43" s="714" t="s">
        <v>1126</v>
      </c>
      <c r="J43" s="714" t="s">
        <v>1082</v>
      </c>
      <c r="K43" s="714" t="s">
        <v>1078</v>
      </c>
      <c r="L43" s="718"/>
      <c r="M43" s="718"/>
      <c r="N43" s="718" t="s">
        <v>1181</v>
      </c>
      <c r="O43" s="739"/>
      <c r="P43" s="718"/>
      <c r="Q43" s="718"/>
      <c r="U43" s="714" t="s">
        <v>1182</v>
      </c>
      <c r="V43" s="714" t="s">
        <v>1182</v>
      </c>
      <c r="X43" s="745">
        <v>43377</v>
      </c>
      <c r="Y43" s="745">
        <v>43378</v>
      </c>
      <c r="AA43" s="745"/>
      <c r="AB43" s="714" t="s">
        <v>1079</v>
      </c>
      <c r="AC43" s="714">
        <v>0</v>
      </c>
      <c r="AD43" s="714">
        <v>0</v>
      </c>
      <c r="AE43" s="714">
        <v>0</v>
      </c>
      <c r="AF43" s="714">
        <v>0</v>
      </c>
      <c r="AG43" s="714">
        <v>0</v>
      </c>
      <c r="AH43" s="714">
        <v>1</v>
      </c>
      <c r="AI43" s="714">
        <v>60225</v>
      </c>
      <c r="AJ43" s="714">
        <v>2183</v>
      </c>
      <c r="AK43" s="714">
        <v>0</v>
      </c>
      <c r="AL43" s="714">
        <v>0</v>
      </c>
      <c r="AO43" s="748"/>
      <c r="AP43" s="748"/>
      <c r="AQ43" s="714" t="str">
        <f t="shared" si="0"/>
        <v/>
      </c>
      <c r="AS43" s="714" t="str">
        <f t="shared" si="1"/>
        <v>wci_corp</v>
      </c>
    </row>
    <row r="44" spans="2:45">
      <c r="B44" s="678" t="s">
        <v>1116</v>
      </c>
      <c r="C44" s="677">
        <v>43404</v>
      </c>
      <c r="D44" s="676">
        <v>150</v>
      </c>
      <c r="E44" s="676">
        <v>0</v>
      </c>
      <c r="F44" s="675" t="s">
        <v>1074</v>
      </c>
      <c r="G44" s="678"/>
      <c r="H44" s="674" t="s">
        <v>1183</v>
      </c>
      <c r="I44" s="678" t="s">
        <v>1184</v>
      </c>
      <c r="J44" s="678" t="s">
        <v>1185</v>
      </c>
      <c r="K44" s="678"/>
      <c r="L44" s="673"/>
      <c r="M44" s="673"/>
      <c r="N44" s="673" t="s">
        <v>1132</v>
      </c>
      <c r="O44" s="739"/>
      <c r="P44" s="718"/>
      <c r="Q44" s="718" t="s">
        <v>1186</v>
      </c>
      <c r="X44" s="745">
        <v>43406</v>
      </c>
      <c r="Y44" s="745"/>
      <c r="AA44" s="745"/>
      <c r="AC44" s="714">
        <v>0</v>
      </c>
      <c r="AI44" s="714">
        <v>60225</v>
      </c>
      <c r="AJ44" s="714">
        <v>2183</v>
      </c>
      <c r="AK44" s="714">
        <v>0</v>
      </c>
      <c r="AL44" s="714">
        <v>0</v>
      </c>
      <c r="AN44" s="714" t="s">
        <v>1187</v>
      </c>
      <c r="AO44" s="748">
        <v>2018010</v>
      </c>
      <c r="AP44" s="748">
        <v>2000</v>
      </c>
      <c r="AQ44" s="714" t="str">
        <f t="shared" si="0"/>
        <v/>
      </c>
      <c r="AS44" s="714">
        <f t="shared" si="1"/>
        <v>0</v>
      </c>
    </row>
    <row r="45" spans="2:45">
      <c r="B45" s="714" t="s">
        <v>1116</v>
      </c>
      <c r="C45" s="745">
        <v>43404</v>
      </c>
      <c r="D45" s="746">
        <v>-150</v>
      </c>
      <c r="E45" s="746">
        <v>0</v>
      </c>
      <c r="F45" s="747" t="s">
        <v>1074</v>
      </c>
      <c r="G45" s="714" t="s">
        <v>1188</v>
      </c>
      <c r="H45" s="748" t="s">
        <v>1075</v>
      </c>
      <c r="I45" s="714" t="s">
        <v>1126</v>
      </c>
      <c r="J45" s="714" t="s">
        <v>1092</v>
      </c>
      <c r="K45" s="714" t="s">
        <v>1078</v>
      </c>
      <c r="L45" s="718"/>
      <c r="M45" s="718"/>
      <c r="N45" s="718" t="s">
        <v>1181</v>
      </c>
      <c r="O45" s="739"/>
      <c r="P45" s="718"/>
      <c r="Q45" s="718"/>
      <c r="U45" s="714" t="s">
        <v>1182</v>
      </c>
      <c r="V45" s="714" t="s">
        <v>1189</v>
      </c>
      <c r="X45" s="745">
        <v>43378</v>
      </c>
      <c r="Y45" s="745">
        <v>43378</v>
      </c>
      <c r="AA45" s="745"/>
      <c r="AB45" s="714" t="s">
        <v>1079</v>
      </c>
      <c r="AC45" s="714">
        <v>0</v>
      </c>
      <c r="AD45" s="714">
        <v>0</v>
      </c>
      <c r="AE45" s="714">
        <v>0</v>
      </c>
      <c r="AF45" s="714">
        <v>0</v>
      </c>
      <c r="AG45" s="714">
        <v>5</v>
      </c>
      <c r="AH45" s="714">
        <v>1</v>
      </c>
      <c r="AI45" s="714">
        <v>60225</v>
      </c>
      <c r="AJ45" s="714">
        <v>2183</v>
      </c>
      <c r="AK45" s="714">
        <v>0</v>
      </c>
      <c r="AL45" s="714">
        <v>0</v>
      </c>
      <c r="AO45" s="748"/>
      <c r="AP45" s="748"/>
      <c r="AQ45" s="714" t="str">
        <f t="shared" si="0"/>
        <v/>
      </c>
      <c r="AS45" s="714" t="str">
        <f t="shared" si="1"/>
        <v>wci_corp</v>
      </c>
    </row>
    <row r="46" spans="2:45">
      <c r="B46" s="714" t="s">
        <v>1116</v>
      </c>
      <c r="C46" s="745">
        <v>43404</v>
      </c>
      <c r="D46" s="746">
        <v>150</v>
      </c>
      <c r="E46" s="746">
        <v>0</v>
      </c>
      <c r="F46" s="747" t="s">
        <v>1074</v>
      </c>
      <c r="G46" s="714" t="s">
        <v>1190</v>
      </c>
      <c r="H46" s="748" t="s">
        <v>1075</v>
      </c>
      <c r="I46" s="714" t="s">
        <v>1191</v>
      </c>
      <c r="J46" s="714" t="s">
        <v>1082</v>
      </c>
      <c r="K46" s="714" t="s">
        <v>1078</v>
      </c>
      <c r="L46" s="718"/>
      <c r="M46" s="718"/>
      <c r="N46" s="718" t="s">
        <v>1132</v>
      </c>
      <c r="O46" s="739"/>
      <c r="P46" s="718"/>
      <c r="Q46" s="718"/>
      <c r="U46" s="714" t="s">
        <v>1192</v>
      </c>
      <c r="V46" s="714" t="s">
        <v>1192</v>
      </c>
      <c r="X46" s="745">
        <v>43406</v>
      </c>
      <c r="Y46" s="745">
        <v>43406</v>
      </c>
      <c r="AA46" s="745"/>
      <c r="AB46" s="714" t="s">
        <v>1079</v>
      </c>
      <c r="AC46" s="714">
        <v>0</v>
      </c>
      <c r="AD46" s="714">
        <v>0</v>
      </c>
      <c r="AE46" s="714">
        <v>0</v>
      </c>
      <c r="AF46" s="714">
        <v>0</v>
      </c>
      <c r="AG46" s="714">
        <v>0</v>
      </c>
      <c r="AH46" s="714">
        <v>1</v>
      </c>
      <c r="AI46" s="714">
        <v>60225</v>
      </c>
      <c r="AJ46" s="714">
        <v>2183</v>
      </c>
      <c r="AK46" s="714">
        <v>0</v>
      </c>
      <c r="AL46" s="714">
        <v>0</v>
      </c>
      <c r="AO46" s="748"/>
      <c r="AP46" s="748"/>
      <c r="AQ46" s="714" t="str">
        <f t="shared" si="0"/>
        <v/>
      </c>
      <c r="AS46" s="714" t="str">
        <f t="shared" si="1"/>
        <v>wci_corp</v>
      </c>
    </row>
    <row r="47" spans="2:45">
      <c r="B47" s="714" t="s">
        <v>1116</v>
      </c>
      <c r="C47" s="745">
        <v>43404</v>
      </c>
      <c r="D47" s="746">
        <v>3543.5</v>
      </c>
      <c r="E47" s="746">
        <v>0</v>
      </c>
      <c r="F47" s="747" t="s">
        <v>1074</v>
      </c>
      <c r="G47" s="714" t="s">
        <v>1080</v>
      </c>
      <c r="H47" s="748" t="s">
        <v>1075</v>
      </c>
      <c r="I47" s="714" t="s">
        <v>1081</v>
      </c>
      <c r="J47" s="714" t="s">
        <v>1082</v>
      </c>
      <c r="K47" s="714" t="s">
        <v>1078</v>
      </c>
      <c r="L47" s="718"/>
      <c r="M47" s="718"/>
      <c r="N47" s="718" t="s">
        <v>1193</v>
      </c>
      <c r="O47" s="739"/>
      <c r="P47" s="718"/>
      <c r="Q47" s="718"/>
      <c r="U47" s="714" t="s">
        <v>1083</v>
      </c>
      <c r="V47" s="714" t="s">
        <v>1083</v>
      </c>
      <c r="X47" s="745">
        <v>43411</v>
      </c>
      <c r="Y47" s="745">
        <v>43411</v>
      </c>
      <c r="AA47" s="745"/>
      <c r="AB47" s="714" t="s">
        <v>1079</v>
      </c>
      <c r="AC47" s="714">
        <v>0</v>
      </c>
      <c r="AD47" s="714">
        <v>0</v>
      </c>
      <c r="AE47" s="714">
        <v>0</v>
      </c>
      <c r="AF47" s="714">
        <v>0</v>
      </c>
      <c r="AG47" s="714">
        <v>0</v>
      </c>
      <c r="AH47" s="714">
        <v>1</v>
      </c>
      <c r="AI47" s="714">
        <v>60225</v>
      </c>
      <c r="AJ47" s="714">
        <v>2183</v>
      </c>
      <c r="AK47" s="714">
        <v>0</v>
      </c>
      <c r="AL47" s="714">
        <v>0</v>
      </c>
      <c r="AO47" s="748"/>
      <c r="AP47" s="748"/>
      <c r="AQ47" s="714" t="str">
        <f t="shared" si="0"/>
        <v/>
      </c>
      <c r="AS47" s="714" t="str">
        <f t="shared" si="1"/>
        <v>wci_corp</v>
      </c>
    </row>
    <row r="48" spans="2:45">
      <c r="B48" s="714" t="s">
        <v>1116</v>
      </c>
      <c r="C48" s="745">
        <v>43434</v>
      </c>
      <c r="D48" s="746">
        <v>-3543.5</v>
      </c>
      <c r="E48" s="746">
        <v>0</v>
      </c>
      <c r="F48" s="747" t="s">
        <v>1074</v>
      </c>
      <c r="G48" s="714" t="s">
        <v>1084</v>
      </c>
      <c r="H48" s="748" t="s">
        <v>1075</v>
      </c>
      <c r="I48" s="714" t="s">
        <v>1081</v>
      </c>
      <c r="J48" s="714" t="s">
        <v>1082</v>
      </c>
      <c r="K48" s="714" t="s">
        <v>1078</v>
      </c>
      <c r="L48" s="718"/>
      <c r="M48" s="718"/>
      <c r="N48" s="718" t="s">
        <v>1193</v>
      </c>
      <c r="O48" s="739"/>
      <c r="P48" s="718"/>
      <c r="Q48" s="718"/>
      <c r="U48" s="714" t="s">
        <v>1083</v>
      </c>
      <c r="V48" s="714" t="s">
        <v>1085</v>
      </c>
      <c r="X48" s="745">
        <v>43411</v>
      </c>
      <c r="Y48" s="745">
        <v>43411</v>
      </c>
      <c r="AA48" s="745"/>
      <c r="AB48" s="714" t="s">
        <v>1079</v>
      </c>
      <c r="AC48" s="714">
        <v>0</v>
      </c>
      <c r="AD48" s="714">
        <v>0</v>
      </c>
      <c r="AE48" s="714">
        <v>0</v>
      </c>
      <c r="AF48" s="714">
        <v>0</v>
      </c>
      <c r="AG48" s="714">
        <v>5</v>
      </c>
      <c r="AH48" s="714">
        <v>1</v>
      </c>
      <c r="AI48" s="714">
        <v>60225</v>
      </c>
      <c r="AJ48" s="714">
        <v>2183</v>
      </c>
      <c r="AK48" s="714">
        <v>0</v>
      </c>
      <c r="AL48" s="714">
        <v>0</v>
      </c>
      <c r="AO48" s="748"/>
      <c r="AP48" s="748"/>
      <c r="AQ48" s="714" t="str">
        <f t="shared" si="0"/>
        <v/>
      </c>
      <c r="AS48" s="714" t="str">
        <f t="shared" si="1"/>
        <v>wci_corp</v>
      </c>
    </row>
    <row r="49" spans="2:45">
      <c r="B49" s="714" t="s">
        <v>1116</v>
      </c>
      <c r="C49" s="745">
        <v>43434</v>
      </c>
      <c r="D49" s="746">
        <v>656.25</v>
      </c>
      <c r="E49" s="746">
        <v>0</v>
      </c>
      <c r="F49" s="747" t="s">
        <v>1074</v>
      </c>
      <c r="G49" s="714" t="s">
        <v>1086</v>
      </c>
      <c r="H49" s="748" t="s">
        <v>1075</v>
      </c>
      <c r="I49" s="714" t="s">
        <v>1081</v>
      </c>
      <c r="J49" s="714" t="s">
        <v>1082</v>
      </c>
      <c r="K49" s="714" t="s">
        <v>1078</v>
      </c>
      <c r="L49" s="718"/>
      <c r="M49" s="718"/>
      <c r="N49" s="718" t="s">
        <v>1194</v>
      </c>
      <c r="O49" s="739"/>
      <c r="P49" s="718"/>
      <c r="Q49" s="718"/>
      <c r="U49" s="714" t="s">
        <v>1087</v>
      </c>
      <c r="V49" s="714" t="s">
        <v>1087</v>
      </c>
      <c r="X49" s="745">
        <v>43440</v>
      </c>
      <c r="Y49" s="745">
        <v>43441</v>
      </c>
      <c r="AA49" s="745"/>
      <c r="AB49" s="714" t="s">
        <v>1079</v>
      </c>
      <c r="AC49" s="714">
        <v>0</v>
      </c>
      <c r="AD49" s="714">
        <v>0</v>
      </c>
      <c r="AE49" s="714">
        <v>0</v>
      </c>
      <c r="AF49" s="714">
        <v>0</v>
      </c>
      <c r="AG49" s="714">
        <v>0</v>
      </c>
      <c r="AH49" s="714">
        <v>1</v>
      </c>
      <c r="AI49" s="714">
        <v>60225</v>
      </c>
      <c r="AJ49" s="714">
        <v>2183</v>
      </c>
      <c r="AK49" s="714">
        <v>0</v>
      </c>
      <c r="AL49" s="714">
        <v>0</v>
      </c>
      <c r="AO49" s="748"/>
      <c r="AP49" s="748"/>
      <c r="AQ49" s="714" t="str">
        <f t="shared" si="0"/>
        <v/>
      </c>
      <c r="AS49" s="714" t="str">
        <f t="shared" si="1"/>
        <v>wci_corp</v>
      </c>
    </row>
    <row r="50" spans="2:45">
      <c r="B50" s="714" t="s">
        <v>1116</v>
      </c>
      <c r="C50" s="745">
        <v>43447</v>
      </c>
      <c r="D50" s="746">
        <v>656.25</v>
      </c>
      <c r="E50" s="746">
        <v>0</v>
      </c>
      <c r="F50" s="747" t="s">
        <v>1074</v>
      </c>
      <c r="G50" s="714" t="s">
        <v>1195</v>
      </c>
      <c r="H50" s="748" t="s">
        <v>1075</v>
      </c>
      <c r="I50" s="714" t="s">
        <v>1076</v>
      </c>
      <c r="J50" s="714" t="s">
        <v>1077</v>
      </c>
      <c r="K50" s="714" t="s">
        <v>1078</v>
      </c>
      <c r="L50" s="718" t="s">
        <v>1119</v>
      </c>
      <c r="M50" s="718"/>
      <c r="N50" s="718" t="s">
        <v>1120</v>
      </c>
      <c r="O50" s="739">
        <v>43437</v>
      </c>
      <c r="P50" s="718" t="s">
        <v>1196</v>
      </c>
      <c r="Q50" s="718">
        <v>2137</v>
      </c>
      <c r="R50" s="714" t="s">
        <v>1197</v>
      </c>
      <c r="U50" s="714" t="s">
        <v>1198</v>
      </c>
      <c r="V50" s="714" t="s">
        <v>1199</v>
      </c>
      <c r="W50" s="714">
        <v>2183</v>
      </c>
      <c r="X50" s="745">
        <v>43447</v>
      </c>
      <c r="Y50" s="745">
        <v>43454</v>
      </c>
      <c r="Z50" s="714">
        <v>2625</v>
      </c>
      <c r="AA50" s="745">
        <v>43447</v>
      </c>
      <c r="AB50" s="714" t="s">
        <v>1079</v>
      </c>
      <c r="AC50" s="714">
        <v>0</v>
      </c>
      <c r="AD50" s="714">
        <v>0</v>
      </c>
      <c r="AE50" s="714">
        <v>0</v>
      </c>
      <c r="AF50" s="714">
        <v>0</v>
      </c>
      <c r="AG50" s="714">
        <v>0</v>
      </c>
      <c r="AH50" s="714">
        <v>1</v>
      </c>
      <c r="AI50" s="714">
        <v>60225</v>
      </c>
      <c r="AJ50" s="714">
        <v>2183</v>
      </c>
      <c r="AK50" s="714">
        <v>0</v>
      </c>
      <c r="AL50" s="714">
        <v>0</v>
      </c>
      <c r="AO50" s="748"/>
      <c r="AP50" s="748"/>
      <c r="AQ50" s="714" t="str">
        <f t="shared" si="0"/>
        <v>VO04860493</v>
      </c>
      <c r="AS50" s="714" t="str">
        <f t="shared" si="1"/>
        <v>wci_corp</v>
      </c>
    </row>
    <row r="51" spans="2:45">
      <c r="B51" s="714" t="s">
        <v>1116</v>
      </c>
      <c r="C51" s="745">
        <v>43465</v>
      </c>
      <c r="D51" s="746">
        <v>-656.25</v>
      </c>
      <c r="E51" s="746">
        <v>0</v>
      </c>
      <c r="F51" s="747" t="s">
        <v>1074</v>
      </c>
      <c r="G51" s="714" t="s">
        <v>1088</v>
      </c>
      <c r="H51" s="748" t="s">
        <v>1075</v>
      </c>
      <c r="I51" s="714" t="s">
        <v>1081</v>
      </c>
      <c r="J51" s="714" t="s">
        <v>1082</v>
      </c>
      <c r="K51" s="714" t="s">
        <v>1078</v>
      </c>
      <c r="L51" s="718"/>
      <c r="M51" s="718"/>
      <c r="N51" s="718" t="s">
        <v>1194</v>
      </c>
      <c r="O51" s="739"/>
      <c r="P51" s="718"/>
      <c r="Q51" s="718"/>
      <c r="U51" s="714" t="s">
        <v>1087</v>
      </c>
      <c r="V51" s="714" t="s">
        <v>1089</v>
      </c>
      <c r="X51" s="745">
        <v>43441</v>
      </c>
      <c r="Y51" s="745">
        <v>43441</v>
      </c>
      <c r="AA51" s="745"/>
      <c r="AB51" s="714" t="s">
        <v>1079</v>
      </c>
      <c r="AC51" s="714">
        <v>0</v>
      </c>
      <c r="AD51" s="714">
        <v>0</v>
      </c>
      <c r="AE51" s="714">
        <v>0</v>
      </c>
      <c r="AF51" s="714">
        <v>0</v>
      </c>
      <c r="AG51" s="714">
        <v>5</v>
      </c>
      <c r="AH51" s="714">
        <v>1</v>
      </c>
      <c r="AI51" s="714">
        <v>60225</v>
      </c>
      <c r="AJ51" s="714">
        <v>2183</v>
      </c>
      <c r="AK51" s="714">
        <v>0</v>
      </c>
      <c r="AL51" s="714">
        <v>0</v>
      </c>
      <c r="AO51" s="748"/>
      <c r="AP51" s="748"/>
      <c r="AQ51" s="714" t="str">
        <f t="shared" si="0"/>
        <v/>
      </c>
      <c r="AS51" s="714" t="str">
        <f t="shared" si="1"/>
        <v>wci_corp</v>
      </c>
    </row>
    <row r="52" spans="2:45">
      <c r="B52" s="714" t="s">
        <v>1116</v>
      </c>
      <c r="C52" s="745">
        <v>43465</v>
      </c>
      <c r="D52" s="746">
        <v>150</v>
      </c>
      <c r="E52" s="746">
        <v>0</v>
      </c>
      <c r="F52" s="747" t="s">
        <v>1074</v>
      </c>
      <c r="G52" s="714" t="s">
        <v>1090</v>
      </c>
      <c r="H52" s="748" t="s">
        <v>1075</v>
      </c>
      <c r="I52" s="714" t="s">
        <v>1091</v>
      </c>
      <c r="J52" s="714" t="s">
        <v>1092</v>
      </c>
      <c r="K52" s="714" t="s">
        <v>1078</v>
      </c>
      <c r="L52" s="718"/>
      <c r="M52" s="718"/>
      <c r="N52" s="718" t="s">
        <v>1132</v>
      </c>
      <c r="O52" s="739"/>
      <c r="P52" s="718"/>
      <c r="Q52" s="718"/>
      <c r="U52" s="714" t="s">
        <v>1093</v>
      </c>
      <c r="V52" s="714" t="s">
        <v>1093</v>
      </c>
      <c r="X52" s="745">
        <v>43468</v>
      </c>
      <c r="Y52" s="745">
        <v>43468</v>
      </c>
      <c r="AA52" s="745"/>
      <c r="AB52" s="714" t="s">
        <v>1079</v>
      </c>
      <c r="AC52" s="714">
        <v>0</v>
      </c>
      <c r="AD52" s="714">
        <v>0</v>
      </c>
      <c r="AE52" s="714">
        <v>0</v>
      </c>
      <c r="AF52" s="714">
        <v>0</v>
      </c>
      <c r="AG52" s="714">
        <v>0</v>
      </c>
      <c r="AH52" s="714">
        <v>1</v>
      </c>
      <c r="AI52" s="714">
        <v>60225</v>
      </c>
      <c r="AJ52" s="714">
        <v>2183</v>
      </c>
      <c r="AK52" s="714">
        <v>0</v>
      </c>
      <c r="AL52" s="714">
        <v>0</v>
      </c>
      <c r="AO52" s="748"/>
      <c r="AP52" s="748"/>
      <c r="AQ52" s="714" t="str">
        <f t="shared" si="0"/>
        <v/>
      </c>
      <c r="AS52" s="714" t="str">
        <f t="shared" si="1"/>
        <v>wci_corp</v>
      </c>
    </row>
    <row r="53" spans="2:45">
      <c r="B53" s="714" t="s">
        <v>1116</v>
      </c>
      <c r="C53" s="745">
        <v>43465</v>
      </c>
      <c r="D53" s="746">
        <v>150</v>
      </c>
      <c r="E53" s="746">
        <v>0</v>
      </c>
      <c r="F53" s="747" t="s">
        <v>1074</v>
      </c>
      <c r="G53" s="714" t="s">
        <v>1090</v>
      </c>
      <c r="H53" s="748" t="s">
        <v>1075</v>
      </c>
      <c r="I53" s="714" t="s">
        <v>1091</v>
      </c>
      <c r="J53" s="714" t="s">
        <v>1092</v>
      </c>
      <c r="K53" s="714" t="s">
        <v>1078</v>
      </c>
      <c r="L53" s="718"/>
      <c r="M53" s="718"/>
      <c r="N53" s="718" t="s">
        <v>1132</v>
      </c>
      <c r="O53" s="739"/>
      <c r="P53" s="718"/>
      <c r="Q53" s="718"/>
      <c r="U53" s="714" t="s">
        <v>1093</v>
      </c>
      <c r="V53" s="714" t="s">
        <v>1093</v>
      </c>
      <c r="X53" s="745">
        <v>43468</v>
      </c>
      <c r="Y53" s="745">
        <v>43468</v>
      </c>
      <c r="AA53" s="745"/>
      <c r="AB53" s="714" t="s">
        <v>1079</v>
      </c>
      <c r="AC53" s="714">
        <v>0</v>
      </c>
      <c r="AD53" s="714">
        <v>0</v>
      </c>
      <c r="AE53" s="714">
        <v>0</v>
      </c>
      <c r="AF53" s="714">
        <v>0</v>
      </c>
      <c r="AG53" s="714">
        <v>0</v>
      </c>
      <c r="AH53" s="714">
        <v>1</v>
      </c>
      <c r="AI53" s="714">
        <v>60225</v>
      </c>
      <c r="AJ53" s="714">
        <v>2183</v>
      </c>
      <c r="AK53" s="714">
        <v>0</v>
      </c>
      <c r="AL53" s="714">
        <v>0</v>
      </c>
      <c r="AO53" s="748"/>
      <c r="AP53" s="748"/>
      <c r="AQ53" s="714" t="str">
        <f t="shared" si="0"/>
        <v/>
      </c>
      <c r="AS53" s="714" t="str">
        <f t="shared" si="1"/>
        <v>wci_corp</v>
      </c>
    </row>
    <row r="54" spans="2:45">
      <c r="B54" s="714" t="s">
        <v>1116</v>
      </c>
      <c r="C54" s="745">
        <v>43465</v>
      </c>
      <c r="D54" s="746">
        <v>225</v>
      </c>
      <c r="E54" s="746">
        <v>0</v>
      </c>
      <c r="F54" s="747" t="s">
        <v>1074</v>
      </c>
      <c r="G54" s="714" t="s">
        <v>1094</v>
      </c>
      <c r="H54" s="748" t="s">
        <v>1075</v>
      </c>
      <c r="I54" s="714" t="s">
        <v>1081</v>
      </c>
      <c r="J54" s="714" t="s">
        <v>1082</v>
      </c>
      <c r="K54" s="714" t="s">
        <v>1078</v>
      </c>
      <c r="L54" s="718"/>
      <c r="M54" s="718"/>
      <c r="N54" s="718" t="s">
        <v>1200</v>
      </c>
      <c r="O54" s="739"/>
      <c r="P54" s="718"/>
      <c r="Q54" s="718"/>
      <c r="U54" s="714" t="s">
        <v>1095</v>
      </c>
      <c r="V54" s="714" t="s">
        <v>1095</v>
      </c>
      <c r="X54" s="745">
        <v>43472</v>
      </c>
      <c r="Y54" s="745">
        <v>43473</v>
      </c>
      <c r="AA54" s="745"/>
      <c r="AB54" s="714" t="s">
        <v>1079</v>
      </c>
      <c r="AC54" s="714">
        <v>0</v>
      </c>
      <c r="AD54" s="714">
        <v>0</v>
      </c>
      <c r="AE54" s="714">
        <v>0</v>
      </c>
      <c r="AF54" s="714">
        <v>0</v>
      </c>
      <c r="AG54" s="714">
        <v>0</v>
      </c>
      <c r="AH54" s="714">
        <v>1</v>
      </c>
      <c r="AI54" s="714">
        <v>60225</v>
      </c>
      <c r="AJ54" s="714">
        <v>2183</v>
      </c>
      <c r="AK54" s="714">
        <v>0</v>
      </c>
      <c r="AL54" s="714">
        <v>0</v>
      </c>
      <c r="AO54" s="748"/>
      <c r="AP54" s="748"/>
      <c r="AQ54" s="714" t="str">
        <f t="shared" si="0"/>
        <v/>
      </c>
      <c r="AS54" s="714" t="str">
        <f t="shared" si="1"/>
        <v>wci_corp</v>
      </c>
    </row>
    <row r="55" spans="2:45">
      <c r="B55" s="714" t="s">
        <v>1116</v>
      </c>
      <c r="C55" s="745">
        <v>43481</v>
      </c>
      <c r="D55" s="746">
        <v>656.25</v>
      </c>
      <c r="E55" s="746">
        <v>0</v>
      </c>
      <c r="F55" s="747" t="s">
        <v>1074</v>
      </c>
      <c r="G55" s="714" t="s">
        <v>1201</v>
      </c>
      <c r="H55" s="748" t="s">
        <v>1075</v>
      </c>
      <c r="I55" s="714" t="s">
        <v>1076</v>
      </c>
      <c r="J55" s="714" t="s">
        <v>1077</v>
      </c>
      <c r="K55" s="714" t="s">
        <v>1078</v>
      </c>
      <c r="L55" s="718" t="s">
        <v>1119</v>
      </c>
      <c r="M55" s="718"/>
      <c r="N55" s="718" t="s">
        <v>1120</v>
      </c>
      <c r="O55" s="739">
        <v>43466</v>
      </c>
      <c r="P55" s="718" t="s">
        <v>1202</v>
      </c>
      <c r="Q55" s="718">
        <v>2180</v>
      </c>
      <c r="R55" s="714" t="s">
        <v>1203</v>
      </c>
      <c r="U55" s="714" t="s">
        <v>1204</v>
      </c>
      <c r="V55" s="714" t="s">
        <v>1205</v>
      </c>
      <c r="W55" s="714">
        <v>2183</v>
      </c>
      <c r="X55" s="745">
        <v>43481</v>
      </c>
      <c r="Y55" s="745">
        <v>43482</v>
      </c>
      <c r="Z55" s="714">
        <v>2625</v>
      </c>
      <c r="AA55" s="745">
        <v>43476</v>
      </c>
      <c r="AB55" s="714" t="s">
        <v>1079</v>
      </c>
      <c r="AC55" s="714">
        <v>0</v>
      </c>
      <c r="AD55" s="714">
        <v>0</v>
      </c>
      <c r="AE55" s="714">
        <v>0</v>
      </c>
      <c r="AF55" s="714">
        <v>0</v>
      </c>
      <c r="AG55" s="714">
        <v>0</v>
      </c>
      <c r="AH55" s="714">
        <v>1</v>
      </c>
      <c r="AI55" s="714">
        <v>60225</v>
      </c>
      <c r="AJ55" s="714">
        <v>2183</v>
      </c>
      <c r="AK55" s="714">
        <v>0</v>
      </c>
      <c r="AL55" s="714">
        <v>0</v>
      </c>
      <c r="AO55" s="748"/>
      <c r="AP55" s="748"/>
      <c r="AQ55" s="714" t="str">
        <f t="shared" si="0"/>
        <v>VO04893449</v>
      </c>
      <c r="AS55" s="714" t="str">
        <f t="shared" si="1"/>
        <v>wci_corp</v>
      </c>
    </row>
    <row r="56" spans="2:45">
      <c r="B56" s="714" t="s">
        <v>1116</v>
      </c>
      <c r="C56" s="745">
        <v>43496</v>
      </c>
      <c r="D56" s="746">
        <v>-225</v>
      </c>
      <c r="E56" s="746">
        <v>0</v>
      </c>
      <c r="F56" s="747" t="s">
        <v>1074</v>
      </c>
      <c r="G56" s="714" t="s">
        <v>1096</v>
      </c>
      <c r="H56" s="748" t="s">
        <v>1075</v>
      </c>
      <c r="I56" s="714" t="s">
        <v>1081</v>
      </c>
      <c r="J56" s="714" t="s">
        <v>1082</v>
      </c>
      <c r="K56" s="714" t="s">
        <v>1078</v>
      </c>
      <c r="L56" s="718"/>
      <c r="M56" s="718"/>
      <c r="N56" s="718" t="s">
        <v>1200</v>
      </c>
      <c r="O56" s="739"/>
      <c r="P56" s="718"/>
      <c r="Q56" s="718"/>
      <c r="U56" s="714" t="s">
        <v>1095</v>
      </c>
      <c r="V56" s="714" t="s">
        <v>1097</v>
      </c>
      <c r="X56" s="745">
        <v>43473</v>
      </c>
      <c r="Y56" s="745">
        <v>43473</v>
      </c>
      <c r="AA56" s="745"/>
      <c r="AB56" s="714" t="s">
        <v>1079</v>
      </c>
      <c r="AC56" s="714">
        <v>0</v>
      </c>
      <c r="AD56" s="714">
        <v>0</v>
      </c>
      <c r="AE56" s="714">
        <v>0</v>
      </c>
      <c r="AF56" s="714">
        <v>0</v>
      </c>
      <c r="AG56" s="714">
        <v>5</v>
      </c>
      <c r="AH56" s="714">
        <v>1</v>
      </c>
      <c r="AI56" s="714">
        <v>60225</v>
      </c>
      <c r="AJ56" s="714">
        <v>2183</v>
      </c>
      <c r="AK56" s="714">
        <v>0</v>
      </c>
      <c r="AL56" s="714">
        <v>0</v>
      </c>
      <c r="AO56" s="748"/>
      <c r="AP56" s="748"/>
      <c r="AQ56" s="714" t="str">
        <f t="shared" si="0"/>
        <v/>
      </c>
      <c r="AS56" s="714" t="str">
        <f t="shared" si="1"/>
        <v>wci_corp</v>
      </c>
    </row>
    <row r="57" spans="2:45">
      <c r="B57" s="714" t="s">
        <v>1116</v>
      </c>
      <c r="C57" s="745">
        <v>43496</v>
      </c>
      <c r="D57" s="746">
        <v>225</v>
      </c>
      <c r="E57" s="746">
        <v>0</v>
      </c>
      <c r="F57" s="747" t="s">
        <v>1074</v>
      </c>
      <c r="G57" s="714" t="s">
        <v>1206</v>
      </c>
      <c r="H57" s="748" t="s">
        <v>1075</v>
      </c>
      <c r="I57" s="714" t="s">
        <v>1207</v>
      </c>
      <c r="J57" s="714" t="s">
        <v>1082</v>
      </c>
      <c r="K57" s="714" t="s">
        <v>1078</v>
      </c>
      <c r="L57" s="718"/>
      <c r="M57" s="718"/>
      <c r="N57" s="718" t="s">
        <v>1132</v>
      </c>
      <c r="O57" s="739"/>
      <c r="P57" s="718"/>
      <c r="Q57" s="718"/>
      <c r="U57" s="714" t="s">
        <v>1208</v>
      </c>
      <c r="V57" s="714" t="s">
        <v>1208</v>
      </c>
      <c r="X57" s="745">
        <v>43500</v>
      </c>
      <c r="Y57" s="745">
        <v>43500</v>
      </c>
      <c r="AA57" s="745"/>
      <c r="AB57" s="714" t="s">
        <v>1079</v>
      </c>
      <c r="AC57" s="714">
        <v>0</v>
      </c>
      <c r="AD57" s="714">
        <v>0</v>
      </c>
      <c r="AE57" s="714">
        <v>0</v>
      </c>
      <c r="AF57" s="714">
        <v>0</v>
      </c>
      <c r="AG57" s="714">
        <v>0</v>
      </c>
      <c r="AH57" s="714">
        <v>1</v>
      </c>
      <c r="AI57" s="714">
        <v>60225</v>
      </c>
      <c r="AJ57" s="714">
        <v>2183</v>
      </c>
      <c r="AK57" s="714">
        <v>0</v>
      </c>
      <c r="AL57" s="714">
        <v>0</v>
      </c>
      <c r="AO57" s="748"/>
      <c r="AP57" s="748"/>
      <c r="AQ57" s="714" t="str">
        <f t="shared" si="0"/>
        <v/>
      </c>
      <c r="AS57" s="714" t="str">
        <f t="shared" si="1"/>
        <v>wci_corp</v>
      </c>
    </row>
    <row r="58" spans="2:45">
      <c r="B58" s="714" t="s">
        <v>1116</v>
      </c>
      <c r="C58" s="745">
        <v>43496</v>
      </c>
      <c r="D58" s="746">
        <v>150</v>
      </c>
      <c r="E58" s="746">
        <v>0</v>
      </c>
      <c r="F58" s="747" t="s">
        <v>1074</v>
      </c>
      <c r="G58" s="714" t="s">
        <v>1098</v>
      </c>
      <c r="H58" s="748" t="s">
        <v>1075</v>
      </c>
      <c r="I58" s="714" t="s">
        <v>1081</v>
      </c>
      <c r="J58" s="714" t="s">
        <v>1082</v>
      </c>
      <c r="K58" s="714" t="s">
        <v>1078</v>
      </c>
      <c r="L58" s="718"/>
      <c r="M58" s="718"/>
      <c r="N58" s="718" t="s">
        <v>1209</v>
      </c>
      <c r="O58" s="739"/>
      <c r="P58" s="718"/>
      <c r="Q58" s="718"/>
      <c r="U58" s="714" t="s">
        <v>1099</v>
      </c>
      <c r="V58" s="714" t="s">
        <v>1099</v>
      </c>
      <c r="X58" s="745">
        <v>43502</v>
      </c>
      <c r="Y58" s="745">
        <v>43503</v>
      </c>
      <c r="AA58" s="745"/>
      <c r="AB58" s="714" t="s">
        <v>1079</v>
      </c>
      <c r="AC58" s="714">
        <v>0</v>
      </c>
      <c r="AD58" s="714">
        <v>0</v>
      </c>
      <c r="AE58" s="714">
        <v>0</v>
      </c>
      <c r="AF58" s="714">
        <v>0</v>
      </c>
      <c r="AG58" s="714">
        <v>0</v>
      </c>
      <c r="AH58" s="714">
        <v>1</v>
      </c>
      <c r="AI58" s="714">
        <v>60225</v>
      </c>
      <c r="AJ58" s="714">
        <v>2183</v>
      </c>
      <c r="AK58" s="714">
        <v>0</v>
      </c>
      <c r="AL58" s="714">
        <v>0</v>
      </c>
      <c r="AO58" s="748"/>
      <c r="AP58" s="748"/>
      <c r="AQ58" s="714" t="str">
        <f t="shared" si="0"/>
        <v/>
      </c>
      <c r="AS58" s="714" t="str">
        <f t="shared" si="1"/>
        <v>wci_corp</v>
      </c>
    </row>
    <row r="59" spans="2:45">
      <c r="B59" s="714" t="s">
        <v>1116</v>
      </c>
      <c r="C59" s="745">
        <v>43524</v>
      </c>
      <c r="D59" s="746">
        <v>-150</v>
      </c>
      <c r="E59" s="746">
        <v>0</v>
      </c>
      <c r="F59" s="747" t="s">
        <v>1074</v>
      </c>
      <c r="G59" s="714" t="s">
        <v>1100</v>
      </c>
      <c r="H59" s="748" t="s">
        <v>1075</v>
      </c>
      <c r="I59" s="714" t="s">
        <v>1081</v>
      </c>
      <c r="J59" s="714" t="s">
        <v>1082</v>
      </c>
      <c r="K59" s="714" t="s">
        <v>1078</v>
      </c>
      <c r="L59" s="718"/>
      <c r="M59" s="718"/>
      <c r="N59" s="718" t="s">
        <v>1209</v>
      </c>
      <c r="O59" s="739"/>
      <c r="P59" s="718"/>
      <c r="Q59" s="718"/>
      <c r="U59" s="714" t="s">
        <v>1099</v>
      </c>
      <c r="V59" s="714" t="s">
        <v>1101</v>
      </c>
      <c r="X59" s="745">
        <v>43503</v>
      </c>
      <c r="Y59" s="745">
        <v>43503</v>
      </c>
      <c r="AA59" s="745"/>
      <c r="AB59" s="714" t="s">
        <v>1079</v>
      </c>
      <c r="AC59" s="714">
        <v>0</v>
      </c>
      <c r="AD59" s="714">
        <v>0</v>
      </c>
      <c r="AE59" s="714">
        <v>0</v>
      </c>
      <c r="AF59" s="714">
        <v>0</v>
      </c>
      <c r="AG59" s="714">
        <v>5</v>
      </c>
      <c r="AH59" s="714">
        <v>1</v>
      </c>
      <c r="AI59" s="714">
        <v>60225</v>
      </c>
      <c r="AJ59" s="714">
        <v>2183</v>
      </c>
      <c r="AK59" s="714">
        <v>0</v>
      </c>
      <c r="AL59" s="714">
        <v>0</v>
      </c>
      <c r="AO59" s="748"/>
      <c r="AP59" s="748"/>
      <c r="AQ59" s="714" t="str">
        <f t="shared" si="0"/>
        <v/>
      </c>
      <c r="AS59" s="714" t="str">
        <f t="shared" si="1"/>
        <v>wci_corp</v>
      </c>
    </row>
    <row r="60" spans="2:45">
      <c r="B60" s="714" t="s">
        <v>1116</v>
      </c>
      <c r="C60" s="745">
        <v>43524</v>
      </c>
      <c r="D60" s="746">
        <v>150</v>
      </c>
      <c r="E60" s="746">
        <v>0</v>
      </c>
      <c r="F60" s="747" t="s">
        <v>1074</v>
      </c>
      <c r="G60" s="714" t="s">
        <v>1210</v>
      </c>
      <c r="H60" s="748" t="s">
        <v>1075</v>
      </c>
      <c r="I60" s="714" t="s">
        <v>1211</v>
      </c>
      <c r="J60" s="714" t="s">
        <v>1082</v>
      </c>
      <c r="K60" s="714" t="s">
        <v>1078</v>
      </c>
      <c r="L60" s="718"/>
      <c r="M60" s="718"/>
      <c r="N60" s="718" t="s">
        <v>1147</v>
      </c>
      <c r="O60" s="739"/>
      <c r="P60" s="718"/>
      <c r="Q60" s="718"/>
      <c r="U60" s="714" t="s">
        <v>1212</v>
      </c>
      <c r="V60" s="714" t="s">
        <v>1212</v>
      </c>
      <c r="X60" s="745">
        <v>43528</v>
      </c>
      <c r="Y60" s="745">
        <v>43528</v>
      </c>
      <c r="AA60" s="745"/>
      <c r="AB60" s="714" t="s">
        <v>1079</v>
      </c>
      <c r="AC60" s="714">
        <v>0</v>
      </c>
      <c r="AD60" s="714">
        <v>0</v>
      </c>
      <c r="AE60" s="714">
        <v>0</v>
      </c>
      <c r="AF60" s="714">
        <v>0</v>
      </c>
      <c r="AG60" s="714">
        <v>0</v>
      </c>
      <c r="AH60" s="714">
        <v>1</v>
      </c>
      <c r="AI60" s="714">
        <v>60225</v>
      </c>
      <c r="AJ60" s="714">
        <v>2183</v>
      </c>
      <c r="AK60" s="714">
        <v>0</v>
      </c>
      <c r="AL60" s="714">
        <v>0</v>
      </c>
      <c r="AO60" s="748"/>
      <c r="AP60" s="748"/>
      <c r="AQ60" s="714" t="str">
        <f t="shared" si="0"/>
        <v/>
      </c>
      <c r="AS60" s="714" t="str">
        <f t="shared" si="1"/>
        <v>wci_corp</v>
      </c>
    </row>
    <row r="61" spans="2:45">
      <c r="B61" s="714" t="s">
        <v>1116</v>
      </c>
      <c r="C61" s="745">
        <v>43555</v>
      </c>
      <c r="D61" s="746">
        <v>150</v>
      </c>
      <c r="E61" s="746">
        <v>0</v>
      </c>
      <c r="F61" s="747" t="s">
        <v>1074</v>
      </c>
      <c r="G61" s="714" t="s">
        <v>1213</v>
      </c>
      <c r="H61" s="748" t="s">
        <v>1075</v>
      </c>
      <c r="I61" s="714" t="s">
        <v>1081</v>
      </c>
      <c r="J61" s="714" t="s">
        <v>1092</v>
      </c>
      <c r="K61" s="714" t="s">
        <v>1078</v>
      </c>
      <c r="L61" s="718"/>
      <c r="M61" s="718"/>
      <c r="N61" s="718" t="s">
        <v>1214</v>
      </c>
      <c r="O61" s="739"/>
      <c r="P61" s="718"/>
      <c r="Q61" s="718"/>
      <c r="U61" s="714" t="s">
        <v>1215</v>
      </c>
      <c r="V61" s="714" t="s">
        <v>1215</v>
      </c>
      <c r="X61" s="745">
        <v>43559</v>
      </c>
      <c r="Y61" s="745">
        <v>43560</v>
      </c>
      <c r="AA61" s="745"/>
      <c r="AB61" s="714" t="s">
        <v>1079</v>
      </c>
      <c r="AC61" s="714">
        <v>0</v>
      </c>
      <c r="AD61" s="714">
        <v>0</v>
      </c>
      <c r="AE61" s="714">
        <v>0</v>
      </c>
      <c r="AF61" s="714">
        <v>0</v>
      </c>
      <c r="AG61" s="714">
        <v>0</v>
      </c>
      <c r="AH61" s="714">
        <v>1</v>
      </c>
      <c r="AI61" s="714">
        <v>60225</v>
      </c>
      <c r="AJ61" s="714">
        <v>2183</v>
      </c>
      <c r="AK61" s="714">
        <v>0</v>
      </c>
      <c r="AL61" s="714">
        <v>0</v>
      </c>
      <c r="AO61" s="748"/>
      <c r="AP61" s="748"/>
      <c r="AQ61" s="714" t="str">
        <f t="shared" si="0"/>
        <v/>
      </c>
      <c r="AS61" s="714" t="str">
        <f t="shared" si="1"/>
        <v>wci_corp</v>
      </c>
    </row>
    <row r="62" spans="2:45">
      <c r="B62" s="714" t="s">
        <v>1116</v>
      </c>
      <c r="C62" s="745">
        <v>43555</v>
      </c>
      <c r="D62" s="746">
        <v>150</v>
      </c>
      <c r="E62" s="746">
        <v>0</v>
      </c>
      <c r="F62" s="747" t="s">
        <v>1074</v>
      </c>
      <c r="G62" s="714" t="s">
        <v>1216</v>
      </c>
      <c r="H62" s="748" t="s">
        <v>1075</v>
      </c>
      <c r="I62" s="714" t="s">
        <v>1131</v>
      </c>
      <c r="J62" s="714" t="s">
        <v>1092</v>
      </c>
      <c r="K62" s="714" t="s">
        <v>1078</v>
      </c>
      <c r="L62" s="718"/>
      <c r="M62" s="718"/>
      <c r="N62" s="718" t="s">
        <v>1132</v>
      </c>
      <c r="O62" s="739"/>
      <c r="P62" s="718"/>
      <c r="Q62" s="718"/>
      <c r="U62" s="714" t="s">
        <v>1217</v>
      </c>
      <c r="V62" s="714" t="s">
        <v>1217</v>
      </c>
      <c r="X62" s="745">
        <v>43559</v>
      </c>
      <c r="Y62" s="745">
        <v>43560</v>
      </c>
      <c r="AA62" s="745"/>
      <c r="AB62" s="714" t="s">
        <v>1079</v>
      </c>
      <c r="AC62" s="714">
        <v>0</v>
      </c>
      <c r="AD62" s="714">
        <v>0</v>
      </c>
      <c r="AE62" s="714">
        <v>0</v>
      </c>
      <c r="AF62" s="714">
        <v>0</v>
      </c>
      <c r="AG62" s="714">
        <v>0</v>
      </c>
      <c r="AH62" s="714">
        <v>1</v>
      </c>
      <c r="AI62" s="714">
        <v>60225</v>
      </c>
      <c r="AJ62" s="714">
        <v>2183</v>
      </c>
      <c r="AK62" s="714">
        <v>0</v>
      </c>
      <c r="AL62" s="714">
        <v>0</v>
      </c>
      <c r="AO62" s="748"/>
      <c r="AP62" s="748"/>
      <c r="AQ62" s="714" t="str">
        <f t="shared" si="0"/>
        <v/>
      </c>
      <c r="AS62" s="714" t="str">
        <f t="shared" si="1"/>
        <v>wci_corp</v>
      </c>
    </row>
    <row r="63" spans="2:45">
      <c r="B63" s="714" t="s">
        <v>1116</v>
      </c>
      <c r="C63" s="745">
        <v>43585</v>
      </c>
      <c r="D63" s="746">
        <v>-150</v>
      </c>
      <c r="E63" s="746">
        <v>0</v>
      </c>
      <c r="F63" s="747" t="s">
        <v>1074</v>
      </c>
      <c r="G63" s="714" t="s">
        <v>1218</v>
      </c>
      <c r="H63" s="748" t="s">
        <v>1075</v>
      </c>
      <c r="I63" s="714" t="s">
        <v>1081</v>
      </c>
      <c r="J63" s="714" t="s">
        <v>1082</v>
      </c>
      <c r="K63" s="714" t="s">
        <v>1078</v>
      </c>
      <c r="L63" s="718"/>
      <c r="M63" s="718"/>
      <c r="N63" s="718" t="s">
        <v>1214</v>
      </c>
      <c r="O63" s="739"/>
      <c r="P63" s="718"/>
      <c r="Q63" s="718"/>
      <c r="U63" s="714" t="s">
        <v>1215</v>
      </c>
      <c r="V63" s="714" t="s">
        <v>1219</v>
      </c>
      <c r="X63" s="745">
        <v>43560</v>
      </c>
      <c r="Y63" s="745">
        <v>43560</v>
      </c>
      <c r="AA63" s="745"/>
      <c r="AB63" s="714" t="s">
        <v>1079</v>
      </c>
      <c r="AC63" s="714">
        <v>0</v>
      </c>
      <c r="AD63" s="714">
        <v>0</v>
      </c>
      <c r="AE63" s="714">
        <v>0</v>
      </c>
      <c r="AF63" s="714">
        <v>0</v>
      </c>
      <c r="AG63" s="714">
        <v>5</v>
      </c>
      <c r="AH63" s="714">
        <v>1</v>
      </c>
      <c r="AI63" s="714">
        <v>60225</v>
      </c>
      <c r="AJ63" s="714">
        <v>2183</v>
      </c>
      <c r="AK63" s="714">
        <v>0</v>
      </c>
      <c r="AL63" s="714">
        <v>0</v>
      </c>
      <c r="AO63" s="748"/>
      <c r="AP63" s="748"/>
      <c r="AQ63" s="714" t="str">
        <f t="shared" si="0"/>
        <v/>
      </c>
      <c r="AS63" s="714" t="str">
        <f t="shared" si="1"/>
        <v>wci_corp</v>
      </c>
    </row>
    <row r="64" spans="2:45">
      <c r="B64" s="714" t="s">
        <v>1116</v>
      </c>
      <c r="C64" s="745">
        <v>43585</v>
      </c>
      <c r="D64" s="746">
        <v>-150</v>
      </c>
      <c r="E64" s="746">
        <v>0</v>
      </c>
      <c r="F64" s="747" t="s">
        <v>1074</v>
      </c>
      <c r="G64" s="714" t="s">
        <v>1220</v>
      </c>
      <c r="H64" s="748" t="s">
        <v>1075</v>
      </c>
      <c r="I64" s="714" t="s">
        <v>1131</v>
      </c>
      <c r="J64" s="714" t="s">
        <v>1082</v>
      </c>
      <c r="K64" s="714" t="s">
        <v>1078</v>
      </c>
      <c r="L64" s="718"/>
      <c r="M64" s="718"/>
      <c r="N64" s="718" t="s">
        <v>1132</v>
      </c>
      <c r="O64" s="739"/>
      <c r="P64" s="718"/>
      <c r="Q64" s="718"/>
      <c r="U64" s="714" t="s">
        <v>1217</v>
      </c>
      <c r="V64" s="714" t="s">
        <v>1221</v>
      </c>
      <c r="X64" s="745">
        <v>43560</v>
      </c>
      <c r="Y64" s="745">
        <v>43560</v>
      </c>
      <c r="AA64" s="745"/>
      <c r="AB64" s="714" t="s">
        <v>1079</v>
      </c>
      <c r="AC64" s="714">
        <v>0</v>
      </c>
      <c r="AD64" s="714">
        <v>0</v>
      </c>
      <c r="AE64" s="714">
        <v>0</v>
      </c>
      <c r="AF64" s="714">
        <v>0</v>
      </c>
      <c r="AG64" s="714">
        <v>5</v>
      </c>
      <c r="AH64" s="714">
        <v>1</v>
      </c>
      <c r="AI64" s="714">
        <v>60225</v>
      </c>
      <c r="AJ64" s="714">
        <v>2183</v>
      </c>
      <c r="AK64" s="714">
        <v>0</v>
      </c>
      <c r="AL64" s="714">
        <v>0</v>
      </c>
      <c r="AO64" s="748"/>
      <c r="AP64" s="748"/>
      <c r="AQ64" s="714" t="str">
        <f t="shared" si="0"/>
        <v/>
      </c>
      <c r="AS64" s="714" t="str">
        <f t="shared" si="1"/>
        <v>wci_corp</v>
      </c>
    </row>
    <row r="65" spans="2:45">
      <c r="B65" s="714" t="s">
        <v>1116</v>
      </c>
      <c r="C65" s="745">
        <v>43585</v>
      </c>
      <c r="D65" s="746">
        <v>150</v>
      </c>
      <c r="E65" s="746">
        <v>0</v>
      </c>
      <c r="F65" s="747" t="s">
        <v>1074</v>
      </c>
      <c r="G65" s="714" t="s">
        <v>1102</v>
      </c>
      <c r="H65" s="748" t="s">
        <v>1075</v>
      </c>
      <c r="I65" s="714" t="s">
        <v>1103</v>
      </c>
      <c r="J65" s="714" t="s">
        <v>1092</v>
      </c>
      <c r="K65" s="714" t="s">
        <v>1078</v>
      </c>
      <c r="L65" s="718"/>
      <c r="M65" s="718"/>
      <c r="N65" s="718" t="s">
        <v>1132</v>
      </c>
      <c r="O65" s="739"/>
      <c r="P65" s="718"/>
      <c r="Q65" s="718"/>
      <c r="U65" s="714" t="s">
        <v>1104</v>
      </c>
      <c r="V65" s="714" t="s">
        <v>1104</v>
      </c>
      <c r="X65" s="745">
        <v>43586</v>
      </c>
      <c r="Y65" s="745">
        <v>43587</v>
      </c>
      <c r="AA65" s="745"/>
      <c r="AB65" s="714" t="s">
        <v>1079</v>
      </c>
      <c r="AC65" s="714">
        <v>0</v>
      </c>
      <c r="AD65" s="714">
        <v>0</v>
      </c>
      <c r="AE65" s="714">
        <v>0</v>
      </c>
      <c r="AF65" s="714">
        <v>0</v>
      </c>
      <c r="AG65" s="714">
        <v>0</v>
      </c>
      <c r="AH65" s="714">
        <v>1</v>
      </c>
      <c r="AI65" s="714">
        <v>60225</v>
      </c>
      <c r="AJ65" s="714">
        <v>2183</v>
      </c>
      <c r="AK65" s="714">
        <v>0</v>
      </c>
      <c r="AL65" s="714">
        <v>0</v>
      </c>
      <c r="AO65" s="748"/>
      <c r="AP65" s="748"/>
      <c r="AQ65" s="714" t="str">
        <f t="shared" si="0"/>
        <v/>
      </c>
      <c r="AS65" s="714" t="str">
        <f t="shared" si="1"/>
        <v>wci_corp</v>
      </c>
    </row>
    <row r="66" spans="2:45">
      <c r="B66" s="714" t="s">
        <v>1116</v>
      </c>
      <c r="C66" s="745">
        <v>43585</v>
      </c>
      <c r="D66" s="746">
        <v>150</v>
      </c>
      <c r="E66" s="746">
        <v>0</v>
      </c>
      <c r="F66" s="747" t="s">
        <v>1074</v>
      </c>
      <c r="G66" s="714" t="s">
        <v>1102</v>
      </c>
      <c r="H66" s="748" t="s">
        <v>1075</v>
      </c>
      <c r="I66" s="714" t="s">
        <v>1103</v>
      </c>
      <c r="J66" s="714" t="s">
        <v>1092</v>
      </c>
      <c r="K66" s="714" t="s">
        <v>1078</v>
      </c>
      <c r="L66" s="718"/>
      <c r="M66" s="718"/>
      <c r="N66" s="718" t="s">
        <v>1132</v>
      </c>
      <c r="O66" s="739"/>
      <c r="P66" s="718"/>
      <c r="Q66" s="718"/>
      <c r="U66" s="714" t="s">
        <v>1104</v>
      </c>
      <c r="V66" s="714" t="s">
        <v>1104</v>
      </c>
      <c r="X66" s="745">
        <v>43586</v>
      </c>
      <c r="Y66" s="745">
        <v>43587</v>
      </c>
      <c r="AA66" s="745"/>
      <c r="AB66" s="714" t="s">
        <v>1079</v>
      </c>
      <c r="AC66" s="714">
        <v>0</v>
      </c>
      <c r="AD66" s="714">
        <v>0</v>
      </c>
      <c r="AE66" s="714">
        <v>0</v>
      </c>
      <c r="AF66" s="714">
        <v>0</v>
      </c>
      <c r="AG66" s="714">
        <v>0</v>
      </c>
      <c r="AH66" s="714">
        <v>1</v>
      </c>
      <c r="AI66" s="714">
        <v>60225</v>
      </c>
      <c r="AJ66" s="714">
        <v>2183</v>
      </c>
      <c r="AK66" s="714">
        <v>0</v>
      </c>
      <c r="AL66" s="714">
        <v>0</v>
      </c>
      <c r="AO66" s="748"/>
      <c r="AP66" s="748"/>
      <c r="AQ66" s="714" t="str">
        <f t="shared" si="0"/>
        <v/>
      </c>
      <c r="AS66" s="714" t="str">
        <f t="shared" si="1"/>
        <v>wci_corp</v>
      </c>
    </row>
    <row r="67" spans="2:45">
      <c r="B67" s="714" t="s">
        <v>1116</v>
      </c>
      <c r="C67" s="745">
        <v>43585</v>
      </c>
      <c r="D67" s="746">
        <v>150</v>
      </c>
      <c r="E67" s="746">
        <v>0</v>
      </c>
      <c r="F67" s="747" t="s">
        <v>1074</v>
      </c>
      <c r="G67" s="714" t="s">
        <v>1105</v>
      </c>
      <c r="H67" s="748" t="s">
        <v>1075</v>
      </c>
      <c r="I67" s="714" t="s">
        <v>1081</v>
      </c>
      <c r="J67" s="714" t="s">
        <v>1092</v>
      </c>
      <c r="K67" s="714" t="s">
        <v>1078</v>
      </c>
      <c r="L67" s="718"/>
      <c r="M67" s="718"/>
      <c r="N67" s="718" t="s">
        <v>1222</v>
      </c>
      <c r="O67" s="739"/>
      <c r="P67" s="718"/>
      <c r="Q67" s="718"/>
      <c r="U67" s="714" t="s">
        <v>1106</v>
      </c>
      <c r="V67" s="714" t="s">
        <v>1106</v>
      </c>
      <c r="X67" s="745">
        <v>43588</v>
      </c>
      <c r="Y67" s="745">
        <v>43588</v>
      </c>
      <c r="AA67" s="745"/>
      <c r="AB67" s="714" t="s">
        <v>1079</v>
      </c>
      <c r="AC67" s="714">
        <v>0</v>
      </c>
      <c r="AD67" s="714">
        <v>0</v>
      </c>
      <c r="AE67" s="714">
        <v>0</v>
      </c>
      <c r="AF67" s="714">
        <v>0</v>
      </c>
      <c r="AG67" s="714">
        <v>0</v>
      </c>
      <c r="AH67" s="714">
        <v>1</v>
      </c>
      <c r="AI67" s="714">
        <v>60225</v>
      </c>
      <c r="AJ67" s="714">
        <v>2183</v>
      </c>
      <c r="AK67" s="714">
        <v>0</v>
      </c>
      <c r="AL67" s="714">
        <v>0</v>
      </c>
      <c r="AO67" s="748"/>
      <c r="AP67" s="748"/>
      <c r="AQ67" s="714" t="str">
        <f t="shared" si="0"/>
        <v/>
      </c>
      <c r="AS67" s="714" t="str">
        <f t="shared" si="1"/>
        <v>wci_corp</v>
      </c>
    </row>
    <row r="68" spans="2:45">
      <c r="B68" s="714" t="s">
        <v>1116</v>
      </c>
      <c r="C68" s="745">
        <v>43585</v>
      </c>
      <c r="D68" s="746">
        <v>-150</v>
      </c>
      <c r="E68" s="746">
        <v>0</v>
      </c>
      <c r="F68" s="747" t="s">
        <v>1074</v>
      </c>
      <c r="G68" s="714" t="s">
        <v>1107</v>
      </c>
      <c r="H68" s="748" t="s">
        <v>1075</v>
      </c>
      <c r="I68" s="714" t="s">
        <v>1081</v>
      </c>
      <c r="J68" s="714" t="s">
        <v>1082</v>
      </c>
      <c r="K68" s="714" t="s">
        <v>1078</v>
      </c>
      <c r="L68" s="718"/>
      <c r="M68" s="718"/>
      <c r="N68" s="718" t="s">
        <v>1222</v>
      </c>
      <c r="O68" s="739"/>
      <c r="P68" s="718"/>
      <c r="Q68" s="718"/>
      <c r="U68" s="714" t="s">
        <v>1108</v>
      </c>
      <c r="V68" s="714" t="s">
        <v>1108</v>
      </c>
      <c r="X68" s="745">
        <v>43588</v>
      </c>
      <c r="Y68" s="745">
        <v>43588</v>
      </c>
      <c r="AA68" s="745"/>
      <c r="AB68" s="714" t="s">
        <v>1079</v>
      </c>
      <c r="AC68" s="714">
        <v>0</v>
      </c>
      <c r="AD68" s="714">
        <v>0</v>
      </c>
      <c r="AE68" s="714">
        <v>0</v>
      </c>
      <c r="AF68" s="714">
        <v>0</v>
      </c>
      <c r="AG68" s="714">
        <v>0</v>
      </c>
      <c r="AH68" s="714">
        <v>1</v>
      </c>
      <c r="AI68" s="714">
        <v>60225</v>
      </c>
      <c r="AJ68" s="714">
        <v>2183</v>
      </c>
      <c r="AK68" s="714">
        <v>0</v>
      </c>
      <c r="AL68" s="714">
        <v>0</v>
      </c>
      <c r="AO68" s="748"/>
      <c r="AP68" s="748"/>
      <c r="AQ68" s="714" t="str">
        <f t="shared" si="0"/>
        <v/>
      </c>
      <c r="AS68" s="714" t="str">
        <f t="shared" si="1"/>
        <v>wci_corp</v>
      </c>
    </row>
    <row r="69" spans="2:45">
      <c r="B69" s="714" t="s">
        <v>1116</v>
      </c>
      <c r="C69" s="745">
        <v>43585</v>
      </c>
      <c r="D69" s="746">
        <v>656.25</v>
      </c>
      <c r="E69" s="746">
        <v>0</v>
      </c>
      <c r="F69" s="747" t="s">
        <v>1074</v>
      </c>
      <c r="G69" s="714" t="s">
        <v>1109</v>
      </c>
      <c r="H69" s="748" t="s">
        <v>1075</v>
      </c>
      <c r="I69" s="714" t="s">
        <v>1081</v>
      </c>
      <c r="J69" s="714" t="s">
        <v>1092</v>
      </c>
      <c r="K69" s="714" t="s">
        <v>1078</v>
      </c>
      <c r="L69" s="718"/>
      <c r="M69" s="718"/>
      <c r="N69" s="718" t="s">
        <v>1223</v>
      </c>
      <c r="O69" s="739"/>
      <c r="P69" s="718"/>
      <c r="Q69" s="718"/>
      <c r="U69" s="714" t="s">
        <v>1110</v>
      </c>
      <c r="V69" s="714" t="s">
        <v>1110</v>
      </c>
      <c r="X69" s="745">
        <v>43591</v>
      </c>
      <c r="Y69" s="745">
        <v>43592</v>
      </c>
      <c r="AA69" s="745"/>
      <c r="AB69" s="714" t="s">
        <v>1079</v>
      </c>
      <c r="AC69" s="714">
        <v>0</v>
      </c>
      <c r="AD69" s="714">
        <v>0</v>
      </c>
      <c r="AE69" s="714">
        <v>0</v>
      </c>
      <c r="AF69" s="714">
        <v>0</v>
      </c>
      <c r="AG69" s="714">
        <v>0</v>
      </c>
      <c r="AH69" s="714">
        <v>1</v>
      </c>
      <c r="AI69" s="714">
        <v>60225</v>
      </c>
      <c r="AJ69" s="714">
        <v>2183</v>
      </c>
      <c r="AK69" s="714">
        <v>0</v>
      </c>
      <c r="AL69" s="714">
        <v>0</v>
      </c>
      <c r="AO69" s="748"/>
      <c r="AP69" s="748"/>
      <c r="AQ69" s="714" t="str">
        <f t="shared" si="0"/>
        <v/>
      </c>
      <c r="AS69" s="714" t="str">
        <f t="shared" si="1"/>
        <v>wci_corp</v>
      </c>
    </row>
    <row r="70" spans="2:45">
      <c r="B70" s="714" t="s">
        <v>1116</v>
      </c>
      <c r="C70" s="745">
        <v>43585</v>
      </c>
      <c r="D70" s="746">
        <v>150</v>
      </c>
      <c r="E70" s="746">
        <v>0</v>
      </c>
      <c r="F70" s="747" t="s">
        <v>1074</v>
      </c>
      <c r="G70" s="714" t="s">
        <v>1109</v>
      </c>
      <c r="H70" s="748" t="s">
        <v>1075</v>
      </c>
      <c r="I70" s="714" t="s">
        <v>1081</v>
      </c>
      <c r="J70" s="714" t="s">
        <v>1092</v>
      </c>
      <c r="K70" s="714" t="s">
        <v>1078</v>
      </c>
      <c r="L70" s="718"/>
      <c r="M70" s="718"/>
      <c r="N70" s="718" t="s">
        <v>1222</v>
      </c>
      <c r="O70" s="739"/>
      <c r="P70" s="718"/>
      <c r="Q70" s="718"/>
      <c r="U70" s="714" t="s">
        <v>1110</v>
      </c>
      <c r="V70" s="714" t="s">
        <v>1110</v>
      </c>
      <c r="X70" s="745">
        <v>43591</v>
      </c>
      <c r="Y70" s="745">
        <v>43592</v>
      </c>
      <c r="AA70" s="745"/>
      <c r="AB70" s="714" t="s">
        <v>1079</v>
      </c>
      <c r="AC70" s="714">
        <v>0</v>
      </c>
      <c r="AD70" s="714">
        <v>0</v>
      </c>
      <c r="AE70" s="714">
        <v>0</v>
      </c>
      <c r="AF70" s="714">
        <v>0</v>
      </c>
      <c r="AG70" s="714">
        <v>0</v>
      </c>
      <c r="AH70" s="714">
        <v>1</v>
      </c>
      <c r="AI70" s="714">
        <v>60225</v>
      </c>
      <c r="AJ70" s="714">
        <v>2183</v>
      </c>
      <c r="AK70" s="714">
        <v>0</v>
      </c>
      <c r="AL70" s="714">
        <v>0</v>
      </c>
      <c r="AO70" s="748"/>
      <c r="AP70" s="748"/>
      <c r="AQ70" s="714" t="str">
        <f t="shared" si="0"/>
        <v/>
      </c>
      <c r="AS70" s="714" t="str">
        <f t="shared" si="1"/>
        <v>wci_corp</v>
      </c>
    </row>
    <row r="71" spans="2:45">
      <c r="C71" s="745"/>
      <c r="D71" s="749"/>
      <c r="E71" s="749"/>
      <c r="F71" s="749"/>
      <c r="H71" s="717"/>
    </row>
    <row r="72" spans="2:45">
      <c r="B72" s="750" t="s">
        <v>1111</v>
      </c>
      <c r="C72" s="750"/>
      <c r="D72" s="751"/>
      <c r="E72" s="751"/>
      <c r="F72" s="751"/>
      <c r="G72" s="750"/>
      <c r="H72" s="752"/>
      <c r="I72" s="750"/>
      <c r="J72" s="750"/>
      <c r="K72" s="750"/>
      <c r="L72" s="750"/>
      <c r="M72" s="750"/>
      <c r="N72" s="750"/>
      <c r="O72" s="750"/>
      <c r="P72" s="750"/>
      <c r="Q72" s="750"/>
      <c r="R72" s="750"/>
      <c r="S72" s="750"/>
      <c r="T72" s="750"/>
      <c r="U72" s="750"/>
      <c r="V72" s="750"/>
      <c r="W72" s="750"/>
      <c r="X72" s="750"/>
      <c r="Y72" s="750"/>
      <c r="Z72" s="750"/>
      <c r="AA72" s="750"/>
      <c r="AB72" s="750"/>
      <c r="AC72" s="750"/>
      <c r="AD72" s="750"/>
      <c r="AE72" s="750"/>
      <c r="AF72" s="750"/>
      <c r="AG72" s="750"/>
      <c r="AH72" s="750"/>
      <c r="AI72" s="750"/>
      <c r="AJ72" s="750"/>
      <c r="AK72" s="750"/>
      <c r="AL72" s="750"/>
      <c r="AM72" s="750"/>
      <c r="AN72" s="750"/>
      <c r="AO72" s="750"/>
      <c r="AP72" s="753"/>
    </row>
    <row r="73" spans="2:45">
      <c r="H73" s="717"/>
    </row>
    <row r="74" spans="2:45">
      <c r="B74" s="672"/>
      <c r="H74" s="717"/>
    </row>
    <row r="75" spans="2:45">
      <c r="B75" s="714" t="s">
        <v>1112</v>
      </c>
      <c r="C75" s="714" t="s">
        <v>1113</v>
      </c>
      <c r="D75" s="755" t="s">
        <v>1114</v>
      </c>
      <c r="H75" s="717"/>
    </row>
    <row r="76" spans="2:45">
      <c r="B76" s="673" t="s">
        <v>1120</v>
      </c>
      <c r="C76" s="671">
        <v>8399.5</v>
      </c>
      <c r="D76" s="671">
        <v>8399.5</v>
      </c>
      <c r="E76" s="671">
        <f>+SUM(D76:D77,D93)</f>
        <v>5512.25</v>
      </c>
      <c r="F76" s="714" t="s">
        <v>1224</v>
      </c>
      <c r="H76" s="717"/>
    </row>
    <row r="77" spans="2:45">
      <c r="B77" s="673" t="s">
        <v>1127</v>
      </c>
      <c r="C77" s="671">
        <v>-3543.5</v>
      </c>
      <c r="D77" s="671">
        <v>-3543.5</v>
      </c>
      <c r="H77" s="717"/>
    </row>
    <row r="78" spans="2:45">
      <c r="B78" s="718" t="s">
        <v>1132</v>
      </c>
      <c r="C78" s="680">
        <v>1725</v>
      </c>
      <c r="D78" s="680">
        <v>1725</v>
      </c>
      <c r="E78" s="714" t="s">
        <v>1225</v>
      </c>
      <c r="H78" s="717"/>
    </row>
    <row r="79" spans="2:45">
      <c r="B79" s="718" t="s">
        <v>1139</v>
      </c>
      <c r="C79" s="680">
        <v>0</v>
      </c>
      <c r="D79" s="680">
        <v>0</v>
      </c>
      <c r="H79" s="717"/>
    </row>
    <row r="80" spans="2:45">
      <c r="B80" s="718" t="s">
        <v>1141</v>
      </c>
      <c r="C80" s="680">
        <v>0</v>
      </c>
      <c r="D80" s="680">
        <v>0</v>
      </c>
      <c r="H80" s="717"/>
    </row>
    <row r="81" spans="2:8">
      <c r="B81" s="718" t="s">
        <v>1147</v>
      </c>
      <c r="C81" s="680">
        <v>300</v>
      </c>
      <c r="D81" s="680">
        <v>300</v>
      </c>
      <c r="E81" s="714" t="s">
        <v>1225</v>
      </c>
      <c r="H81" s="717"/>
    </row>
    <row r="82" spans="2:8">
      <c r="B82" s="718" t="s">
        <v>1163</v>
      </c>
      <c r="C82" s="680">
        <v>0</v>
      </c>
      <c r="D82" s="680">
        <v>0</v>
      </c>
      <c r="H82" s="717"/>
    </row>
    <row r="83" spans="2:8">
      <c r="B83" s="718" t="s">
        <v>1165</v>
      </c>
      <c r="C83" s="680">
        <v>0</v>
      </c>
      <c r="D83" s="680">
        <v>0</v>
      </c>
      <c r="H83" s="717"/>
    </row>
    <row r="84" spans="2:8">
      <c r="B84" s="718" t="s">
        <v>1171</v>
      </c>
      <c r="C84" s="680">
        <v>750</v>
      </c>
      <c r="D84" s="680">
        <v>750</v>
      </c>
      <c r="E84" s="714" t="s">
        <v>1225</v>
      </c>
      <c r="H84" s="717"/>
    </row>
    <row r="85" spans="2:8">
      <c r="B85" s="718" t="s">
        <v>1173</v>
      </c>
      <c r="C85" s="680">
        <v>0</v>
      </c>
      <c r="D85" s="680">
        <v>0</v>
      </c>
      <c r="H85" s="717"/>
    </row>
    <row r="86" spans="2:8">
      <c r="B86" s="718" t="s">
        <v>1181</v>
      </c>
      <c r="C86" s="680">
        <v>0</v>
      </c>
      <c r="D86" s="680">
        <v>0</v>
      </c>
      <c r="H86" s="717"/>
    </row>
    <row r="87" spans="2:8">
      <c r="B87" s="718" t="s">
        <v>1193</v>
      </c>
      <c r="C87" s="680">
        <v>0</v>
      </c>
      <c r="D87" s="680">
        <v>0</v>
      </c>
      <c r="H87" s="717"/>
    </row>
    <row r="88" spans="2:8">
      <c r="B88" s="718" t="s">
        <v>1194</v>
      </c>
      <c r="C88" s="680">
        <v>0</v>
      </c>
      <c r="D88" s="680">
        <v>0</v>
      </c>
      <c r="H88" s="717"/>
    </row>
    <row r="89" spans="2:8">
      <c r="B89" s="718" t="s">
        <v>1200</v>
      </c>
      <c r="C89" s="680">
        <v>0</v>
      </c>
      <c r="D89" s="680">
        <v>0</v>
      </c>
      <c r="H89" s="717"/>
    </row>
    <row r="90" spans="2:8">
      <c r="B90" s="718" t="s">
        <v>1209</v>
      </c>
      <c r="C90" s="680">
        <v>0</v>
      </c>
      <c r="D90" s="680">
        <v>0</v>
      </c>
      <c r="H90" s="717"/>
    </row>
    <row r="91" spans="2:8">
      <c r="B91" s="718" t="s">
        <v>1214</v>
      </c>
      <c r="C91" s="680">
        <v>0</v>
      </c>
      <c r="D91" s="680">
        <v>0</v>
      </c>
    </row>
    <row r="92" spans="2:8">
      <c r="B92" s="718" t="s">
        <v>1222</v>
      </c>
      <c r="C92" s="680">
        <v>150</v>
      </c>
      <c r="D92" s="680">
        <v>150</v>
      </c>
      <c r="E92" s="715" t="s">
        <v>1226</v>
      </c>
    </row>
    <row r="93" spans="2:8">
      <c r="B93" s="673" t="s">
        <v>1223</v>
      </c>
      <c r="C93" s="671">
        <v>656.25</v>
      </c>
      <c r="D93" s="671">
        <v>656.25</v>
      </c>
    </row>
    <row r="94" spans="2:8">
      <c r="B94" s="718" t="s">
        <v>646</v>
      </c>
      <c r="C94" s="680">
        <v>8437.25</v>
      </c>
      <c r="D94" s="679">
        <v>8437.25</v>
      </c>
    </row>
    <row r="96" spans="2:8" ht="13.5" thickBot="1">
      <c r="C96" s="670" t="s">
        <v>642</v>
      </c>
      <c r="D96" s="703">
        <f>+SUM(D78:D91)</f>
        <v>2775</v>
      </c>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3"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S582"/>
  <sheetViews>
    <sheetView showGridLines="0" tabSelected="1" view="pageBreakPreview" topLeftCell="A9" zoomScale="60" zoomScaleNormal="80" workbookViewId="0">
      <pane ySplit="11" topLeftCell="A490" activePane="bottomLeft" state="frozen"/>
      <selection activeCell="AR41" sqref="AR41"/>
      <selection pane="bottomLeft" activeCell="AR41" sqref="AR41"/>
    </sheetView>
  </sheetViews>
  <sheetFormatPr defaultRowHeight="12.75" outlineLevelRow="1"/>
  <cols>
    <col min="1" max="1" width="2.7109375" style="714" customWidth="1"/>
    <col min="2" max="2" width="48.28515625" style="714" customWidth="1"/>
    <col min="3" max="3" width="21.28515625" style="714" customWidth="1"/>
    <col min="4" max="4" width="18.7109375" style="714" customWidth="1"/>
    <col min="5" max="5" width="6.570312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11.42578125" style="714"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_xll.ReportDrill('[55]JE Lookup'!B1,,_xll.PairGroup(_xll.Pair(G20:G435,'[55]JE Lookup'!N8),_xll.Pair(AB20:AB435,'[55]JE Lookup'!N7)),"JE Lookup")</f>
        <v>OK!: ReportDrill 'JE Lookup' Formula OK [jAction{}]</v>
      </c>
      <c r="U4" s="714" t="str">
        <f ca="1">_xll.ReportDrill(,"APDrill",_xll.PairGroup(_xll.PairExt(AQ20:AQ435,"H8")),"AP Detail")</f>
        <v>OK!: ReportDrill 'AP Detail' Formula OK [jAction{}]</v>
      </c>
      <c r="Y4" s="714" t="str">
        <f ca="1">_xll.ReportDrill(,"JEStaged_DrillToDetail",_xll.PairGroup(_xll.PairExt(Q19:Q435,"dControlNum",TRUE),_xll.PairExt(AP19:AP435,"dDistrict",TRUE),_xll.PairExt(AO19:AO435,"dApplyMonth",TRUE)),"JE Staged Details")</f>
        <v>OK!: ReportDrill 'JE Staged Details' Formula OK [jAction{}]</v>
      </c>
    </row>
    <row r="5" spans="1:43" hidden="1" outlineLevel="1">
      <c r="B5" s="714" t="str">
        <f ca="1">_xll.ReportRange("JEQuery_WithStaged",B20:AS434,B2:AS2,,_xll.Param(I12,DateTo,IF(M12="","all",M12),M13,M14,M15,P12,P13,P14,P15,EntrieShownLimit,DateFrom,DateTo),TRUE)</f>
        <v>OK!: ReportRange Formula OK [jAction{}]</v>
      </c>
      <c r="Q5" s="714" t="str">
        <f ca="1">_xll.ReportDrill('[55]JE Lookup'!B1,,_xll.PairGroup(_xll.Pair(V20:V435,'[55]JE Lookup'!N8),_xll.Pair(AS20:AS435,'[55]JE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2018-05</v>
      </c>
      <c r="E8" s="717" t="s">
        <v>1012</v>
      </c>
      <c r="G8" s="714" t="str">
        <f>IF(DateTo="",CurrentMonth,DateTo)</f>
        <v>2019-04</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1227</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SUM(D19:D435)</f>
        <v>95021.730000000025</v>
      </c>
      <c r="E16" s="735">
        <f>SUM(E19:E435)</f>
        <v>0</v>
      </c>
      <c r="F16" s="714" t="s">
        <v>1030</v>
      </c>
      <c r="N16" s="736"/>
      <c r="O16" s="736"/>
      <c r="P16" s="736"/>
      <c r="Q16" s="736"/>
    </row>
    <row r="17" spans="2:45">
      <c r="B17" s="733" t="s">
        <v>1031</v>
      </c>
      <c r="C17" s="734"/>
      <c r="D17" s="737">
        <f>COUNT(D20:D436)</f>
        <v>414</v>
      </c>
      <c r="E17" s="737">
        <f>COUNT(E20:E436)</f>
        <v>414</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695" t="s">
        <v>1046</v>
      </c>
      <c r="P19" s="697" t="s">
        <v>1047</v>
      </c>
      <c r="Q19" s="697" t="s">
        <v>1048</v>
      </c>
      <c r="R19" s="697" t="s">
        <v>1049</v>
      </c>
      <c r="S19" s="697" t="s">
        <v>1050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c r="B20" s="714" t="s">
        <v>1228</v>
      </c>
      <c r="C20" s="745">
        <v>43223</v>
      </c>
      <c r="D20" s="746">
        <v>40</v>
      </c>
      <c r="E20" s="746">
        <v>0</v>
      </c>
      <c r="F20" s="747" t="s">
        <v>1074</v>
      </c>
      <c r="G20" s="714" t="s">
        <v>1229</v>
      </c>
      <c r="H20" s="748" t="s">
        <v>1075</v>
      </c>
      <c r="I20" s="714" t="s">
        <v>1076</v>
      </c>
      <c r="J20" s="714" t="s">
        <v>1118</v>
      </c>
      <c r="K20" s="714" t="s">
        <v>1078</v>
      </c>
      <c r="L20" s="718" t="s">
        <v>1230</v>
      </c>
      <c r="M20" s="718"/>
      <c r="N20" s="718" t="s">
        <v>1231</v>
      </c>
      <c r="O20" s="739">
        <v>43220</v>
      </c>
      <c r="P20" s="718" t="s">
        <v>1232</v>
      </c>
      <c r="Q20" s="718" t="s">
        <v>1233</v>
      </c>
      <c r="U20" s="714" t="s">
        <v>1234</v>
      </c>
      <c r="V20" s="714" t="s">
        <v>1235</v>
      </c>
      <c r="W20" s="714">
        <v>2183</v>
      </c>
      <c r="X20" s="745">
        <v>43223</v>
      </c>
      <c r="Y20" s="745">
        <v>43223</v>
      </c>
      <c r="Z20" s="714">
        <v>250.19</v>
      </c>
      <c r="AA20" s="745">
        <v>43221</v>
      </c>
      <c r="AB20" s="714" t="s">
        <v>1079</v>
      </c>
      <c r="AC20" s="714">
        <v>0</v>
      </c>
      <c r="AD20" s="714">
        <v>0</v>
      </c>
      <c r="AE20" s="714">
        <v>0</v>
      </c>
      <c r="AF20" s="714">
        <v>0</v>
      </c>
      <c r="AG20" s="714">
        <v>0</v>
      </c>
      <c r="AH20" s="714">
        <v>1</v>
      </c>
      <c r="AI20" s="714">
        <v>70095</v>
      </c>
      <c r="AJ20" s="714">
        <v>2183</v>
      </c>
      <c r="AK20" s="714">
        <v>0</v>
      </c>
      <c r="AL20" s="714">
        <v>0</v>
      </c>
      <c r="AO20" s="748"/>
      <c r="AP20" s="748"/>
      <c r="AQ20" s="714" t="str">
        <f>IF(LEFT(U20,2)="VO",U20,"")</f>
        <v>VO04641240</v>
      </c>
      <c r="AS20" s="714" t="str">
        <f>IF(RIGHT(K20,2)="IC",IF(OR(AB20="wci_canada",AB20="wci_can_corp"),"wci_can_Corp","wci_corp"),AB20)</f>
        <v>wci_corp</v>
      </c>
    </row>
    <row r="21" spans="2:45">
      <c r="B21" s="714" t="s">
        <v>1228</v>
      </c>
      <c r="C21" s="745">
        <v>43223</v>
      </c>
      <c r="D21" s="746">
        <v>40</v>
      </c>
      <c r="E21" s="746">
        <v>0</v>
      </c>
      <c r="F21" s="747" t="s">
        <v>1074</v>
      </c>
      <c r="G21" s="714" t="s">
        <v>1229</v>
      </c>
      <c r="H21" s="748" t="s">
        <v>1075</v>
      </c>
      <c r="I21" s="714" t="s">
        <v>1076</v>
      </c>
      <c r="J21" s="714" t="s">
        <v>1118</v>
      </c>
      <c r="K21" s="714" t="s">
        <v>1078</v>
      </c>
      <c r="L21" s="718" t="s">
        <v>1230</v>
      </c>
      <c r="M21" s="718"/>
      <c r="N21" s="718" t="s">
        <v>1231</v>
      </c>
      <c r="O21" s="739">
        <v>43220</v>
      </c>
      <c r="P21" s="718" t="s">
        <v>1232</v>
      </c>
      <c r="Q21" s="718" t="s">
        <v>1233</v>
      </c>
      <c r="U21" s="714" t="s">
        <v>1234</v>
      </c>
      <c r="V21" s="714" t="s">
        <v>1235</v>
      </c>
      <c r="W21" s="714">
        <v>2183</v>
      </c>
      <c r="X21" s="745">
        <v>43223</v>
      </c>
      <c r="Y21" s="745">
        <v>43223</v>
      </c>
      <c r="Z21" s="714">
        <v>250.19</v>
      </c>
      <c r="AA21" s="745">
        <v>43221</v>
      </c>
      <c r="AB21" s="714" t="s">
        <v>1079</v>
      </c>
      <c r="AC21" s="714">
        <v>0</v>
      </c>
      <c r="AD21" s="714">
        <v>0</v>
      </c>
      <c r="AE21" s="714">
        <v>0</v>
      </c>
      <c r="AF21" s="714">
        <v>0</v>
      </c>
      <c r="AG21" s="714">
        <v>0</v>
      </c>
      <c r="AH21" s="714">
        <v>1</v>
      </c>
      <c r="AI21" s="714">
        <v>70095</v>
      </c>
      <c r="AJ21" s="714">
        <v>2183</v>
      </c>
      <c r="AK21" s="714">
        <v>0</v>
      </c>
      <c r="AL21" s="714">
        <v>0</v>
      </c>
      <c r="AO21" s="748"/>
      <c r="AP21" s="748"/>
      <c r="AQ21" s="714" t="str">
        <f t="shared" ref="AQ21:AQ84" si="0">IF(LEFT(U21,2)="VO",U21,"")</f>
        <v>VO04641240</v>
      </c>
      <c r="AS21" s="714" t="str">
        <f t="shared" ref="AS21:AS84" si="1">IF(RIGHT(K21,2)="IC",IF(OR(AB21="wci_canada",AB21="wci_can_corp"),"wci_can_Corp","wci_corp"),AB21)</f>
        <v>wci_corp</v>
      </c>
    </row>
    <row r="22" spans="2:45">
      <c r="B22" s="714" t="s">
        <v>1228</v>
      </c>
      <c r="C22" s="745">
        <v>43223</v>
      </c>
      <c r="D22" s="746">
        <v>56.83</v>
      </c>
      <c r="E22" s="746">
        <v>0</v>
      </c>
      <c r="F22" s="747" t="s">
        <v>1074</v>
      </c>
      <c r="G22" s="714" t="s">
        <v>1229</v>
      </c>
      <c r="H22" s="748" t="s">
        <v>1075</v>
      </c>
      <c r="I22" s="714" t="s">
        <v>1076</v>
      </c>
      <c r="J22" s="714" t="s">
        <v>1118</v>
      </c>
      <c r="K22" s="714" t="s">
        <v>1078</v>
      </c>
      <c r="L22" s="718" t="s">
        <v>1230</v>
      </c>
      <c r="M22" s="718"/>
      <c r="N22" s="718" t="s">
        <v>1231</v>
      </c>
      <c r="O22" s="739">
        <v>43220</v>
      </c>
      <c r="P22" s="718" t="s">
        <v>1232</v>
      </c>
      <c r="Q22" s="718" t="s">
        <v>1233</v>
      </c>
      <c r="U22" s="714" t="s">
        <v>1234</v>
      </c>
      <c r="V22" s="714" t="s">
        <v>1235</v>
      </c>
      <c r="W22" s="714">
        <v>2183</v>
      </c>
      <c r="X22" s="745">
        <v>43223</v>
      </c>
      <c r="Y22" s="745">
        <v>43223</v>
      </c>
      <c r="Z22" s="714">
        <v>250.19</v>
      </c>
      <c r="AA22" s="745">
        <v>43221</v>
      </c>
      <c r="AB22" s="714" t="s">
        <v>1079</v>
      </c>
      <c r="AC22" s="714">
        <v>0</v>
      </c>
      <c r="AD22" s="714">
        <v>0</v>
      </c>
      <c r="AE22" s="714">
        <v>0</v>
      </c>
      <c r="AF22" s="714">
        <v>0</v>
      </c>
      <c r="AG22" s="714">
        <v>0</v>
      </c>
      <c r="AH22" s="714">
        <v>1</v>
      </c>
      <c r="AI22" s="714">
        <v>70095</v>
      </c>
      <c r="AJ22" s="714">
        <v>2183</v>
      </c>
      <c r="AK22" s="714">
        <v>0</v>
      </c>
      <c r="AL22" s="714">
        <v>0</v>
      </c>
      <c r="AO22" s="748"/>
      <c r="AP22" s="748"/>
      <c r="AQ22" s="714" t="str">
        <f t="shared" si="0"/>
        <v>VO04641240</v>
      </c>
      <c r="AS22" s="714" t="str">
        <f t="shared" si="1"/>
        <v>wci_corp</v>
      </c>
    </row>
    <row r="23" spans="2:45">
      <c r="B23" s="714" t="s">
        <v>1228</v>
      </c>
      <c r="C23" s="745">
        <v>43245</v>
      </c>
      <c r="D23" s="746">
        <v>84.78</v>
      </c>
      <c r="E23" s="746">
        <v>0</v>
      </c>
      <c r="F23" s="747" t="s">
        <v>1074</v>
      </c>
      <c r="G23" s="714" t="s">
        <v>1236</v>
      </c>
      <c r="H23" s="748" t="s">
        <v>1075</v>
      </c>
      <c r="I23" s="714" t="s">
        <v>1076</v>
      </c>
      <c r="J23" s="714" t="s">
        <v>1237</v>
      </c>
      <c r="K23" s="714" t="s">
        <v>1078</v>
      </c>
      <c r="L23" s="718" t="s">
        <v>1238</v>
      </c>
      <c r="M23" s="718" t="s">
        <v>1239</v>
      </c>
      <c r="N23" s="718" t="s">
        <v>1240</v>
      </c>
      <c r="O23" s="739">
        <v>43243</v>
      </c>
      <c r="P23" s="718" t="s">
        <v>1241</v>
      </c>
      <c r="Q23" s="718">
        <v>5232018</v>
      </c>
      <c r="R23" s="714" t="s">
        <v>1242</v>
      </c>
      <c r="U23" s="714" t="s">
        <v>1243</v>
      </c>
      <c r="V23" s="714" t="s">
        <v>1244</v>
      </c>
      <c r="W23" s="714">
        <v>2183</v>
      </c>
      <c r="X23" s="745">
        <v>43245</v>
      </c>
      <c r="Y23" s="745">
        <v>43245</v>
      </c>
      <c r="Z23" s="714">
        <v>985.13</v>
      </c>
      <c r="AA23" s="745">
        <v>43244</v>
      </c>
      <c r="AB23" s="714" t="s">
        <v>1079</v>
      </c>
      <c r="AC23" s="714">
        <v>0</v>
      </c>
      <c r="AD23" s="714">
        <v>0</v>
      </c>
      <c r="AE23" s="714">
        <v>0</v>
      </c>
      <c r="AF23" s="714">
        <v>0</v>
      </c>
      <c r="AG23" s="714">
        <v>0</v>
      </c>
      <c r="AH23" s="714">
        <v>1</v>
      </c>
      <c r="AI23" s="714">
        <v>70095</v>
      </c>
      <c r="AJ23" s="714">
        <v>2183</v>
      </c>
      <c r="AK23" s="714">
        <v>0</v>
      </c>
      <c r="AL23" s="714">
        <v>0</v>
      </c>
      <c r="AO23" s="748"/>
      <c r="AP23" s="748"/>
      <c r="AQ23" s="714" t="str">
        <f t="shared" si="0"/>
        <v>VO04662654</v>
      </c>
      <c r="AS23" s="714" t="str">
        <f t="shared" si="1"/>
        <v>wci_corp</v>
      </c>
    </row>
    <row r="24" spans="2:45">
      <c r="B24" s="714" t="s">
        <v>1228</v>
      </c>
      <c r="C24" s="745">
        <v>43251</v>
      </c>
      <c r="D24" s="746">
        <v>-40</v>
      </c>
      <c r="E24" s="746">
        <v>0</v>
      </c>
      <c r="F24" s="747" t="s">
        <v>1074</v>
      </c>
      <c r="G24" s="714" t="s">
        <v>1125</v>
      </c>
      <c r="H24" s="748" t="s">
        <v>1075</v>
      </c>
      <c r="I24" s="714" t="s">
        <v>1126</v>
      </c>
      <c r="J24" s="714" t="s">
        <v>1082</v>
      </c>
      <c r="K24" s="714" t="s">
        <v>1078</v>
      </c>
      <c r="L24" s="718"/>
      <c r="M24" s="718"/>
      <c r="N24" s="718" t="s">
        <v>1245</v>
      </c>
      <c r="O24" s="739"/>
      <c r="P24" s="718"/>
      <c r="Q24" s="718"/>
      <c r="U24" s="714" t="s">
        <v>1128</v>
      </c>
      <c r="V24" s="714" t="s">
        <v>1129</v>
      </c>
      <c r="X24" s="745">
        <v>43227</v>
      </c>
      <c r="Y24" s="745">
        <v>43227</v>
      </c>
      <c r="AA24" s="745"/>
      <c r="AB24" s="714" t="s">
        <v>1079</v>
      </c>
      <c r="AC24" s="714">
        <v>0</v>
      </c>
      <c r="AD24" s="714">
        <v>0</v>
      </c>
      <c r="AE24" s="714">
        <v>0</v>
      </c>
      <c r="AF24" s="714">
        <v>0</v>
      </c>
      <c r="AG24" s="714">
        <v>5</v>
      </c>
      <c r="AH24" s="714">
        <v>1</v>
      </c>
      <c r="AI24" s="714">
        <v>70095</v>
      </c>
      <c r="AJ24" s="714">
        <v>2183</v>
      </c>
      <c r="AK24" s="714">
        <v>0</v>
      </c>
      <c r="AL24" s="714">
        <v>0</v>
      </c>
      <c r="AO24" s="748"/>
      <c r="AP24" s="748"/>
      <c r="AQ24" s="714" t="str">
        <f t="shared" si="0"/>
        <v/>
      </c>
      <c r="AS24" s="714" t="str">
        <f t="shared" si="1"/>
        <v>wci_corp</v>
      </c>
    </row>
    <row r="25" spans="2:45">
      <c r="B25" s="714" t="s">
        <v>1228</v>
      </c>
      <c r="C25" s="745">
        <v>43251</v>
      </c>
      <c r="D25" s="746">
        <v>-40</v>
      </c>
      <c r="E25" s="746">
        <v>0</v>
      </c>
      <c r="F25" s="747" t="s">
        <v>1074</v>
      </c>
      <c r="G25" s="714" t="s">
        <v>1125</v>
      </c>
      <c r="H25" s="748" t="s">
        <v>1075</v>
      </c>
      <c r="I25" s="714" t="s">
        <v>1126</v>
      </c>
      <c r="J25" s="714" t="s">
        <v>1082</v>
      </c>
      <c r="K25" s="714" t="s">
        <v>1078</v>
      </c>
      <c r="L25" s="718"/>
      <c r="M25" s="718"/>
      <c r="N25" s="718" t="s">
        <v>1246</v>
      </c>
      <c r="O25" s="739"/>
      <c r="P25" s="718"/>
      <c r="Q25" s="718"/>
      <c r="U25" s="714" t="s">
        <v>1128</v>
      </c>
      <c r="V25" s="714" t="s">
        <v>1129</v>
      </c>
      <c r="X25" s="745">
        <v>43227</v>
      </c>
      <c r="Y25" s="745">
        <v>43227</v>
      </c>
      <c r="AA25" s="745"/>
      <c r="AB25" s="714" t="s">
        <v>1079</v>
      </c>
      <c r="AC25" s="714">
        <v>0</v>
      </c>
      <c r="AD25" s="714">
        <v>0</v>
      </c>
      <c r="AE25" s="714">
        <v>0</v>
      </c>
      <c r="AF25" s="714">
        <v>0</v>
      </c>
      <c r="AG25" s="714">
        <v>5</v>
      </c>
      <c r="AH25" s="714">
        <v>1</v>
      </c>
      <c r="AI25" s="714">
        <v>70095</v>
      </c>
      <c r="AJ25" s="714">
        <v>2183</v>
      </c>
      <c r="AK25" s="714">
        <v>0</v>
      </c>
      <c r="AL25" s="714">
        <v>0</v>
      </c>
      <c r="AO25" s="748"/>
      <c r="AP25" s="748"/>
      <c r="AQ25" s="714" t="str">
        <f t="shared" si="0"/>
        <v/>
      </c>
      <c r="AS25" s="714" t="str">
        <f t="shared" si="1"/>
        <v>wci_corp</v>
      </c>
    </row>
    <row r="26" spans="2:45">
      <c r="B26" s="714" t="s">
        <v>1228</v>
      </c>
      <c r="C26" s="745">
        <v>43251</v>
      </c>
      <c r="D26" s="746">
        <v>-56.83</v>
      </c>
      <c r="E26" s="746">
        <v>0</v>
      </c>
      <c r="F26" s="747" t="s">
        <v>1074</v>
      </c>
      <c r="G26" s="714" t="s">
        <v>1125</v>
      </c>
      <c r="H26" s="748" t="s">
        <v>1075</v>
      </c>
      <c r="I26" s="714" t="s">
        <v>1126</v>
      </c>
      <c r="J26" s="714" t="s">
        <v>1082</v>
      </c>
      <c r="K26" s="714" t="s">
        <v>1078</v>
      </c>
      <c r="L26" s="718"/>
      <c r="M26" s="718"/>
      <c r="N26" s="718" t="s">
        <v>1247</v>
      </c>
      <c r="O26" s="739"/>
      <c r="P26" s="718"/>
      <c r="Q26" s="718"/>
      <c r="U26" s="714" t="s">
        <v>1128</v>
      </c>
      <c r="V26" s="714" t="s">
        <v>1129</v>
      </c>
      <c r="X26" s="745">
        <v>43227</v>
      </c>
      <c r="Y26" s="745">
        <v>43227</v>
      </c>
      <c r="AA26" s="745"/>
      <c r="AB26" s="714" t="s">
        <v>1079</v>
      </c>
      <c r="AC26" s="714">
        <v>0</v>
      </c>
      <c r="AD26" s="714">
        <v>0</v>
      </c>
      <c r="AE26" s="714">
        <v>0</v>
      </c>
      <c r="AF26" s="714">
        <v>0</v>
      </c>
      <c r="AG26" s="714">
        <v>5</v>
      </c>
      <c r="AH26" s="714">
        <v>1</v>
      </c>
      <c r="AI26" s="714">
        <v>70095</v>
      </c>
      <c r="AJ26" s="714">
        <v>2183</v>
      </c>
      <c r="AK26" s="714">
        <v>0</v>
      </c>
      <c r="AL26" s="714">
        <v>0</v>
      </c>
      <c r="AO26" s="748"/>
      <c r="AP26" s="748"/>
      <c r="AQ26" s="714" t="str">
        <f t="shared" si="0"/>
        <v/>
      </c>
      <c r="AS26" s="714" t="str">
        <f t="shared" si="1"/>
        <v>wci_corp</v>
      </c>
    </row>
    <row r="27" spans="2:45">
      <c r="B27" s="714" t="s">
        <v>1228</v>
      </c>
      <c r="C27" s="745">
        <v>43251</v>
      </c>
      <c r="D27" s="746">
        <v>-30.98</v>
      </c>
      <c r="E27" s="746">
        <v>0</v>
      </c>
      <c r="F27" s="747" t="s">
        <v>1074</v>
      </c>
      <c r="G27" s="714" t="s">
        <v>1125</v>
      </c>
      <c r="H27" s="748" t="s">
        <v>1075</v>
      </c>
      <c r="I27" s="714" t="s">
        <v>1126</v>
      </c>
      <c r="J27" s="714" t="s">
        <v>1082</v>
      </c>
      <c r="K27" s="714" t="s">
        <v>1078</v>
      </c>
      <c r="L27" s="718"/>
      <c r="M27" s="718"/>
      <c r="N27" s="718" t="s">
        <v>1248</v>
      </c>
      <c r="O27" s="739"/>
      <c r="P27" s="718"/>
      <c r="Q27" s="718"/>
      <c r="U27" s="714" t="s">
        <v>1128</v>
      </c>
      <c r="V27" s="714" t="s">
        <v>1129</v>
      </c>
      <c r="X27" s="745">
        <v>43227</v>
      </c>
      <c r="Y27" s="745">
        <v>43227</v>
      </c>
      <c r="AA27" s="745"/>
      <c r="AB27" s="714" t="s">
        <v>1079</v>
      </c>
      <c r="AC27" s="714">
        <v>0</v>
      </c>
      <c r="AD27" s="714">
        <v>0</v>
      </c>
      <c r="AE27" s="714">
        <v>0</v>
      </c>
      <c r="AF27" s="714">
        <v>0</v>
      </c>
      <c r="AG27" s="714">
        <v>5</v>
      </c>
      <c r="AH27" s="714">
        <v>1</v>
      </c>
      <c r="AI27" s="714">
        <v>70095</v>
      </c>
      <c r="AJ27" s="714">
        <v>2183</v>
      </c>
      <c r="AK27" s="714">
        <v>0</v>
      </c>
      <c r="AL27" s="714">
        <v>0</v>
      </c>
      <c r="AO27" s="748"/>
      <c r="AP27" s="748"/>
      <c r="AQ27" s="714" t="str">
        <f t="shared" si="0"/>
        <v/>
      </c>
      <c r="AS27" s="714" t="str">
        <f t="shared" si="1"/>
        <v>wci_corp</v>
      </c>
    </row>
    <row r="28" spans="2:45">
      <c r="B28" s="714" t="s">
        <v>1228</v>
      </c>
      <c r="C28" s="745">
        <v>43251</v>
      </c>
      <c r="D28" s="746">
        <v>-2401.84</v>
      </c>
      <c r="E28" s="746">
        <v>0</v>
      </c>
      <c r="F28" s="747" t="s">
        <v>1074</v>
      </c>
      <c r="G28" s="714" t="s">
        <v>1130</v>
      </c>
      <c r="H28" s="748" t="s">
        <v>1075</v>
      </c>
      <c r="I28" s="714" t="s">
        <v>1131</v>
      </c>
      <c r="J28" s="714" t="s">
        <v>1082</v>
      </c>
      <c r="K28" s="714" t="s">
        <v>1078</v>
      </c>
      <c r="L28" s="718"/>
      <c r="M28" s="718"/>
      <c r="N28" s="718" t="s">
        <v>1249</v>
      </c>
      <c r="O28" s="739"/>
      <c r="P28" s="718"/>
      <c r="Q28" s="718"/>
      <c r="U28" s="714" t="s">
        <v>1133</v>
      </c>
      <c r="V28" s="714" t="s">
        <v>1134</v>
      </c>
      <c r="X28" s="745">
        <v>43227</v>
      </c>
      <c r="Y28" s="745">
        <v>43227</v>
      </c>
      <c r="AA28" s="745"/>
      <c r="AB28" s="714" t="s">
        <v>1079</v>
      </c>
      <c r="AC28" s="714">
        <v>0</v>
      </c>
      <c r="AD28" s="714">
        <v>0</v>
      </c>
      <c r="AE28" s="714">
        <v>0</v>
      </c>
      <c r="AF28" s="714">
        <v>0</v>
      </c>
      <c r="AG28" s="714">
        <v>5</v>
      </c>
      <c r="AH28" s="714">
        <v>1</v>
      </c>
      <c r="AI28" s="714">
        <v>70095</v>
      </c>
      <c r="AJ28" s="714">
        <v>2183</v>
      </c>
      <c r="AK28" s="714">
        <v>0</v>
      </c>
      <c r="AL28" s="714">
        <v>0</v>
      </c>
      <c r="AO28" s="748"/>
      <c r="AP28" s="748"/>
      <c r="AQ28" s="714" t="str">
        <f t="shared" si="0"/>
        <v/>
      </c>
      <c r="AS28" s="714" t="str">
        <f t="shared" si="1"/>
        <v>wci_corp</v>
      </c>
    </row>
    <row r="29" spans="2:45">
      <c r="B29" s="714" t="s">
        <v>1228</v>
      </c>
      <c r="C29" s="745">
        <v>43251</v>
      </c>
      <c r="D29" s="746">
        <v>-148.65</v>
      </c>
      <c r="E29" s="746">
        <v>0</v>
      </c>
      <c r="F29" s="747" t="s">
        <v>1074</v>
      </c>
      <c r="G29" s="714" t="s">
        <v>1130</v>
      </c>
      <c r="H29" s="748" t="s">
        <v>1075</v>
      </c>
      <c r="I29" s="714" t="s">
        <v>1131</v>
      </c>
      <c r="J29" s="714" t="s">
        <v>1082</v>
      </c>
      <c r="K29" s="714" t="s">
        <v>1078</v>
      </c>
      <c r="L29" s="718"/>
      <c r="M29" s="718"/>
      <c r="N29" s="718" t="s">
        <v>1250</v>
      </c>
      <c r="O29" s="739"/>
      <c r="P29" s="718"/>
      <c r="Q29" s="718"/>
      <c r="U29" s="714" t="s">
        <v>1133</v>
      </c>
      <c r="V29" s="714" t="s">
        <v>1134</v>
      </c>
      <c r="X29" s="745">
        <v>43227</v>
      </c>
      <c r="Y29" s="745">
        <v>43227</v>
      </c>
      <c r="AA29" s="745"/>
      <c r="AB29" s="714" t="s">
        <v>1079</v>
      </c>
      <c r="AC29" s="714">
        <v>0</v>
      </c>
      <c r="AD29" s="714">
        <v>0</v>
      </c>
      <c r="AE29" s="714">
        <v>0</v>
      </c>
      <c r="AF29" s="714">
        <v>0</v>
      </c>
      <c r="AG29" s="714">
        <v>5</v>
      </c>
      <c r="AH29" s="714">
        <v>1</v>
      </c>
      <c r="AI29" s="714">
        <v>70095</v>
      </c>
      <c r="AJ29" s="714">
        <v>2183</v>
      </c>
      <c r="AK29" s="714">
        <v>0</v>
      </c>
      <c r="AL29" s="714">
        <v>0</v>
      </c>
      <c r="AO29" s="748"/>
      <c r="AP29" s="748"/>
      <c r="AQ29" s="714" t="str">
        <f t="shared" si="0"/>
        <v/>
      </c>
      <c r="AS29" s="714" t="str">
        <f t="shared" si="1"/>
        <v>wci_corp</v>
      </c>
    </row>
    <row r="30" spans="2:45">
      <c r="B30" s="714" t="s">
        <v>1228</v>
      </c>
      <c r="C30" s="745">
        <v>43251</v>
      </c>
      <c r="D30" s="746">
        <v>-146.31</v>
      </c>
      <c r="E30" s="746">
        <v>0</v>
      </c>
      <c r="F30" s="747" t="s">
        <v>1074</v>
      </c>
      <c r="G30" s="714" t="s">
        <v>1130</v>
      </c>
      <c r="H30" s="748" t="s">
        <v>1075</v>
      </c>
      <c r="I30" s="714" t="s">
        <v>1131</v>
      </c>
      <c r="J30" s="714" t="s">
        <v>1082</v>
      </c>
      <c r="K30" s="714" t="s">
        <v>1078</v>
      </c>
      <c r="L30" s="718"/>
      <c r="M30" s="718"/>
      <c r="N30" s="718" t="s">
        <v>1251</v>
      </c>
      <c r="O30" s="739"/>
      <c r="P30" s="718"/>
      <c r="Q30" s="718"/>
      <c r="U30" s="714" t="s">
        <v>1133</v>
      </c>
      <c r="V30" s="714" t="s">
        <v>1134</v>
      </c>
      <c r="X30" s="745">
        <v>43227</v>
      </c>
      <c r="Y30" s="745">
        <v>43227</v>
      </c>
      <c r="AA30" s="745"/>
      <c r="AB30" s="714" t="s">
        <v>1079</v>
      </c>
      <c r="AC30" s="714">
        <v>0</v>
      </c>
      <c r="AD30" s="714">
        <v>0</v>
      </c>
      <c r="AE30" s="714">
        <v>0</v>
      </c>
      <c r="AF30" s="714">
        <v>0</v>
      </c>
      <c r="AG30" s="714">
        <v>5</v>
      </c>
      <c r="AH30" s="714">
        <v>1</v>
      </c>
      <c r="AI30" s="714">
        <v>70095</v>
      </c>
      <c r="AJ30" s="714">
        <v>2183</v>
      </c>
      <c r="AK30" s="714">
        <v>0</v>
      </c>
      <c r="AL30" s="714">
        <v>0</v>
      </c>
      <c r="AO30" s="748"/>
      <c r="AP30" s="748"/>
      <c r="AQ30" s="714" t="str">
        <f t="shared" si="0"/>
        <v/>
      </c>
      <c r="AS30" s="714" t="str">
        <f t="shared" si="1"/>
        <v>wci_corp</v>
      </c>
    </row>
    <row r="31" spans="2:45">
      <c r="B31" s="714" t="s">
        <v>1228</v>
      </c>
      <c r="C31" s="745">
        <v>43251</v>
      </c>
      <c r="D31" s="746">
        <v>57.61</v>
      </c>
      <c r="E31" s="746">
        <v>0</v>
      </c>
      <c r="F31" s="747" t="s">
        <v>1074</v>
      </c>
      <c r="G31" s="714" t="s">
        <v>1252</v>
      </c>
      <c r="H31" s="748" t="s">
        <v>1075</v>
      </c>
      <c r="I31" s="714" t="s">
        <v>1076</v>
      </c>
      <c r="J31" s="714" t="s">
        <v>1118</v>
      </c>
      <c r="K31" s="714" t="s">
        <v>1078</v>
      </c>
      <c r="L31" s="718" t="s">
        <v>1253</v>
      </c>
      <c r="M31" s="718"/>
      <c r="N31" s="718" t="s">
        <v>1254</v>
      </c>
      <c r="O31" s="739">
        <v>43242</v>
      </c>
      <c r="P31" s="718" t="s">
        <v>1255</v>
      </c>
      <c r="Q31" s="718">
        <v>74019</v>
      </c>
      <c r="R31" s="714" t="s">
        <v>1256</v>
      </c>
      <c r="U31" s="714" t="s">
        <v>1257</v>
      </c>
      <c r="V31" s="714" t="s">
        <v>1258</v>
      </c>
      <c r="W31" s="714">
        <v>2183</v>
      </c>
      <c r="X31" s="745">
        <v>43255</v>
      </c>
      <c r="Y31" s="745">
        <v>43255</v>
      </c>
      <c r="Z31" s="714">
        <v>52.9</v>
      </c>
      <c r="AA31" s="745">
        <v>43272</v>
      </c>
      <c r="AB31" s="714" t="s">
        <v>1079</v>
      </c>
      <c r="AC31" s="714">
        <v>0</v>
      </c>
      <c r="AD31" s="714">
        <v>0</v>
      </c>
      <c r="AE31" s="714">
        <v>0</v>
      </c>
      <c r="AF31" s="714">
        <v>0</v>
      </c>
      <c r="AG31" s="714">
        <v>0</v>
      </c>
      <c r="AH31" s="714">
        <v>1</v>
      </c>
      <c r="AI31" s="714">
        <v>70095</v>
      </c>
      <c r="AJ31" s="714">
        <v>2183</v>
      </c>
      <c r="AK31" s="714">
        <v>0</v>
      </c>
      <c r="AL31" s="714">
        <v>0</v>
      </c>
      <c r="AO31" s="748"/>
      <c r="AP31" s="748"/>
      <c r="AQ31" s="714" t="str">
        <f t="shared" si="0"/>
        <v>VO04669973</v>
      </c>
      <c r="AS31" s="714" t="str">
        <f t="shared" si="1"/>
        <v>wci_corp</v>
      </c>
    </row>
    <row r="32" spans="2:45">
      <c r="B32" s="714" t="s">
        <v>1228</v>
      </c>
      <c r="C32" s="745">
        <v>43251</v>
      </c>
      <c r="D32" s="746">
        <v>2401.84</v>
      </c>
      <c r="E32" s="746">
        <v>0</v>
      </c>
      <c r="F32" s="747" t="s">
        <v>1074</v>
      </c>
      <c r="G32" s="714" t="s">
        <v>1135</v>
      </c>
      <c r="H32" s="748" t="s">
        <v>1075</v>
      </c>
      <c r="I32" s="714" t="s">
        <v>1136</v>
      </c>
      <c r="J32" s="714" t="s">
        <v>1092</v>
      </c>
      <c r="K32" s="714" t="s">
        <v>1078</v>
      </c>
      <c r="L32" s="718"/>
      <c r="M32" s="718"/>
      <c r="N32" s="718" t="s">
        <v>1249</v>
      </c>
      <c r="O32" s="739"/>
      <c r="P32" s="718"/>
      <c r="Q32" s="718"/>
      <c r="U32" s="714" t="s">
        <v>1137</v>
      </c>
      <c r="V32" s="714" t="s">
        <v>1137</v>
      </c>
      <c r="X32" s="745">
        <v>43255</v>
      </c>
      <c r="Y32" s="745">
        <v>43255</v>
      </c>
      <c r="AA32" s="745"/>
      <c r="AB32" s="714" t="s">
        <v>1079</v>
      </c>
      <c r="AC32" s="714">
        <v>0</v>
      </c>
      <c r="AD32" s="714">
        <v>0</v>
      </c>
      <c r="AE32" s="714">
        <v>0</v>
      </c>
      <c r="AF32" s="714">
        <v>0</v>
      </c>
      <c r="AG32" s="714">
        <v>0</v>
      </c>
      <c r="AH32" s="714">
        <v>1</v>
      </c>
      <c r="AI32" s="714">
        <v>70095</v>
      </c>
      <c r="AJ32" s="714">
        <v>2183</v>
      </c>
      <c r="AK32" s="714">
        <v>0</v>
      </c>
      <c r="AL32" s="714">
        <v>0</v>
      </c>
      <c r="AO32" s="748"/>
      <c r="AP32" s="748"/>
      <c r="AQ32" s="714" t="str">
        <f t="shared" si="0"/>
        <v/>
      </c>
      <c r="AS32" s="714" t="str">
        <f t="shared" si="1"/>
        <v>wci_corp</v>
      </c>
    </row>
    <row r="33" spans="2:45">
      <c r="B33" s="714" t="s">
        <v>1228</v>
      </c>
      <c r="C33" s="745">
        <v>43251</v>
      </c>
      <c r="D33" s="746">
        <v>148.65</v>
      </c>
      <c r="E33" s="746">
        <v>0</v>
      </c>
      <c r="F33" s="747" t="s">
        <v>1074</v>
      </c>
      <c r="G33" s="714" t="s">
        <v>1135</v>
      </c>
      <c r="H33" s="748" t="s">
        <v>1075</v>
      </c>
      <c r="I33" s="714" t="s">
        <v>1136</v>
      </c>
      <c r="J33" s="714" t="s">
        <v>1092</v>
      </c>
      <c r="K33" s="714" t="s">
        <v>1078</v>
      </c>
      <c r="L33" s="718"/>
      <c r="M33" s="718"/>
      <c r="N33" s="718" t="s">
        <v>1250</v>
      </c>
      <c r="O33" s="739"/>
      <c r="P33" s="718"/>
      <c r="Q33" s="718"/>
      <c r="U33" s="714" t="s">
        <v>1137</v>
      </c>
      <c r="V33" s="714" t="s">
        <v>1137</v>
      </c>
      <c r="X33" s="745">
        <v>43255</v>
      </c>
      <c r="Y33" s="745">
        <v>43255</v>
      </c>
      <c r="AA33" s="745"/>
      <c r="AB33" s="714" t="s">
        <v>1079</v>
      </c>
      <c r="AC33" s="714">
        <v>0</v>
      </c>
      <c r="AD33" s="714">
        <v>0</v>
      </c>
      <c r="AE33" s="714">
        <v>0</v>
      </c>
      <c r="AF33" s="714">
        <v>0</v>
      </c>
      <c r="AG33" s="714">
        <v>0</v>
      </c>
      <c r="AH33" s="714">
        <v>1</v>
      </c>
      <c r="AI33" s="714">
        <v>70095</v>
      </c>
      <c r="AJ33" s="714">
        <v>2183</v>
      </c>
      <c r="AK33" s="714">
        <v>0</v>
      </c>
      <c r="AL33" s="714">
        <v>0</v>
      </c>
      <c r="AO33" s="748"/>
      <c r="AP33" s="748"/>
      <c r="AQ33" s="714" t="str">
        <f t="shared" si="0"/>
        <v/>
      </c>
      <c r="AS33" s="714" t="str">
        <f t="shared" si="1"/>
        <v>wci_corp</v>
      </c>
    </row>
    <row r="34" spans="2:45">
      <c r="B34" s="714" t="s">
        <v>1228</v>
      </c>
      <c r="C34" s="745">
        <v>43251</v>
      </c>
      <c r="D34" s="746">
        <v>146.31</v>
      </c>
      <c r="E34" s="746">
        <v>0</v>
      </c>
      <c r="F34" s="747" t="s">
        <v>1074</v>
      </c>
      <c r="G34" s="714" t="s">
        <v>1135</v>
      </c>
      <c r="H34" s="748" t="s">
        <v>1075</v>
      </c>
      <c r="I34" s="714" t="s">
        <v>1136</v>
      </c>
      <c r="J34" s="714" t="s">
        <v>1092</v>
      </c>
      <c r="K34" s="714" t="s">
        <v>1078</v>
      </c>
      <c r="L34" s="718"/>
      <c r="M34" s="718"/>
      <c r="N34" s="718" t="s">
        <v>1251</v>
      </c>
      <c r="O34" s="739"/>
      <c r="P34" s="718"/>
      <c r="Q34" s="718"/>
      <c r="U34" s="714" t="s">
        <v>1137</v>
      </c>
      <c r="V34" s="714" t="s">
        <v>1137</v>
      </c>
      <c r="X34" s="745">
        <v>43255</v>
      </c>
      <c r="Y34" s="745">
        <v>43255</v>
      </c>
      <c r="AA34" s="745"/>
      <c r="AB34" s="714" t="s">
        <v>1079</v>
      </c>
      <c r="AC34" s="714">
        <v>0</v>
      </c>
      <c r="AD34" s="714">
        <v>0</v>
      </c>
      <c r="AE34" s="714">
        <v>0</v>
      </c>
      <c r="AF34" s="714">
        <v>0</v>
      </c>
      <c r="AG34" s="714">
        <v>0</v>
      </c>
      <c r="AH34" s="714">
        <v>1</v>
      </c>
      <c r="AI34" s="714">
        <v>70095</v>
      </c>
      <c r="AJ34" s="714">
        <v>2183</v>
      </c>
      <c r="AK34" s="714">
        <v>0</v>
      </c>
      <c r="AL34" s="714">
        <v>0</v>
      </c>
      <c r="AO34" s="748"/>
      <c r="AP34" s="748"/>
      <c r="AQ34" s="714" t="str">
        <f t="shared" si="0"/>
        <v/>
      </c>
      <c r="AS34" s="714" t="str">
        <f t="shared" si="1"/>
        <v>wci_corp</v>
      </c>
    </row>
    <row r="35" spans="2:45">
      <c r="B35" s="714" t="s">
        <v>1228</v>
      </c>
      <c r="C35" s="745">
        <v>43251</v>
      </c>
      <c r="D35" s="746">
        <v>30.98</v>
      </c>
      <c r="E35" s="746">
        <v>0</v>
      </c>
      <c r="F35" s="747" t="s">
        <v>1074</v>
      </c>
      <c r="G35" s="714" t="s">
        <v>1135</v>
      </c>
      <c r="H35" s="748" t="s">
        <v>1075</v>
      </c>
      <c r="I35" s="714" t="s">
        <v>1136</v>
      </c>
      <c r="J35" s="714" t="s">
        <v>1092</v>
      </c>
      <c r="K35" s="714" t="s">
        <v>1078</v>
      </c>
      <c r="L35" s="718"/>
      <c r="M35" s="718"/>
      <c r="N35" s="718" t="s">
        <v>1259</v>
      </c>
      <c r="O35" s="739"/>
      <c r="P35" s="718"/>
      <c r="Q35" s="718"/>
      <c r="U35" s="714" t="s">
        <v>1137</v>
      </c>
      <c r="V35" s="714" t="s">
        <v>1137</v>
      </c>
      <c r="X35" s="745">
        <v>43255</v>
      </c>
      <c r="Y35" s="745">
        <v>43255</v>
      </c>
      <c r="AA35" s="745"/>
      <c r="AB35" s="714" t="s">
        <v>1079</v>
      </c>
      <c r="AC35" s="714">
        <v>0</v>
      </c>
      <c r="AD35" s="714">
        <v>0</v>
      </c>
      <c r="AE35" s="714">
        <v>0</v>
      </c>
      <c r="AF35" s="714">
        <v>0</v>
      </c>
      <c r="AG35" s="714">
        <v>0</v>
      </c>
      <c r="AH35" s="714">
        <v>1</v>
      </c>
      <c r="AI35" s="714">
        <v>70095</v>
      </c>
      <c r="AJ35" s="714">
        <v>2183</v>
      </c>
      <c r="AK35" s="714">
        <v>0</v>
      </c>
      <c r="AL35" s="714">
        <v>0</v>
      </c>
      <c r="AO35" s="748"/>
      <c r="AP35" s="748"/>
      <c r="AQ35" s="714" t="str">
        <f t="shared" si="0"/>
        <v/>
      </c>
      <c r="AS35" s="714" t="str">
        <f t="shared" si="1"/>
        <v>wci_corp</v>
      </c>
    </row>
    <row r="36" spans="2:45">
      <c r="B36" s="714" t="s">
        <v>1228</v>
      </c>
      <c r="C36" s="745">
        <v>43251</v>
      </c>
      <c r="D36" s="746">
        <v>32.86</v>
      </c>
      <c r="E36" s="746">
        <v>0</v>
      </c>
      <c r="F36" s="747" t="s">
        <v>1074</v>
      </c>
      <c r="G36" s="714" t="s">
        <v>1135</v>
      </c>
      <c r="H36" s="748" t="s">
        <v>1075</v>
      </c>
      <c r="I36" s="714" t="s">
        <v>1136</v>
      </c>
      <c r="J36" s="714" t="s">
        <v>1092</v>
      </c>
      <c r="K36" s="714" t="s">
        <v>1078</v>
      </c>
      <c r="L36" s="718"/>
      <c r="M36" s="718"/>
      <c r="N36" s="718" t="s">
        <v>1260</v>
      </c>
      <c r="O36" s="739"/>
      <c r="P36" s="718"/>
      <c r="Q36" s="718"/>
      <c r="U36" s="714" t="s">
        <v>1137</v>
      </c>
      <c r="V36" s="714" t="s">
        <v>1137</v>
      </c>
      <c r="X36" s="745">
        <v>43255</v>
      </c>
      <c r="Y36" s="745">
        <v>43255</v>
      </c>
      <c r="AA36" s="745"/>
      <c r="AB36" s="714" t="s">
        <v>1079</v>
      </c>
      <c r="AC36" s="714">
        <v>0</v>
      </c>
      <c r="AD36" s="714">
        <v>0</v>
      </c>
      <c r="AE36" s="714">
        <v>0</v>
      </c>
      <c r="AF36" s="714">
        <v>0</v>
      </c>
      <c r="AG36" s="714">
        <v>0</v>
      </c>
      <c r="AH36" s="714">
        <v>1</v>
      </c>
      <c r="AI36" s="714">
        <v>70095</v>
      </c>
      <c r="AJ36" s="714">
        <v>2183</v>
      </c>
      <c r="AK36" s="714">
        <v>0</v>
      </c>
      <c r="AL36" s="714">
        <v>0</v>
      </c>
      <c r="AO36" s="748"/>
      <c r="AP36" s="748"/>
      <c r="AQ36" s="714" t="str">
        <f t="shared" si="0"/>
        <v/>
      </c>
      <c r="AS36" s="714" t="str">
        <f t="shared" si="1"/>
        <v>wci_corp</v>
      </c>
    </row>
    <row r="37" spans="2:45">
      <c r="B37" s="714" t="s">
        <v>1228</v>
      </c>
      <c r="C37" s="745">
        <v>43251</v>
      </c>
      <c r="D37" s="746">
        <v>8.76</v>
      </c>
      <c r="E37" s="746">
        <v>0</v>
      </c>
      <c r="F37" s="747" t="s">
        <v>1074</v>
      </c>
      <c r="G37" s="714" t="s">
        <v>1135</v>
      </c>
      <c r="H37" s="748" t="s">
        <v>1075</v>
      </c>
      <c r="I37" s="714" t="s">
        <v>1136</v>
      </c>
      <c r="J37" s="714" t="s">
        <v>1092</v>
      </c>
      <c r="K37" s="714" t="s">
        <v>1078</v>
      </c>
      <c r="L37" s="718"/>
      <c r="M37" s="718"/>
      <c r="N37" s="718" t="s">
        <v>1261</v>
      </c>
      <c r="O37" s="739"/>
      <c r="P37" s="718"/>
      <c r="Q37" s="718"/>
      <c r="U37" s="714" t="s">
        <v>1137</v>
      </c>
      <c r="V37" s="714" t="s">
        <v>1137</v>
      </c>
      <c r="X37" s="745">
        <v>43255</v>
      </c>
      <c r="Y37" s="745">
        <v>43255</v>
      </c>
      <c r="AA37" s="745"/>
      <c r="AB37" s="714" t="s">
        <v>1079</v>
      </c>
      <c r="AC37" s="714">
        <v>0</v>
      </c>
      <c r="AD37" s="714">
        <v>0</v>
      </c>
      <c r="AE37" s="714">
        <v>0</v>
      </c>
      <c r="AF37" s="714">
        <v>0</v>
      </c>
      <c r="AG37" s="714">
        <v>0</v>
      </c>
      <c r="AH37" s="714">
        <v>1</v>
      </c>
      <c r="AI37" s="714">
        <v>70095</v>
      </c>
      <c r="AJ37" s="714">
        <v>2183</v>
      </c>
      <c r="AK37" s="714">
        <v>0</v>
      </c>
      <c r="AL37" s="714">
        <v>0</v>
      </c>
      <c r="AO37" s="748"/>
      <c r="AP37" s="748"/>
      <c r="AQ37" s="714" t="str">
        <f t="shared" si="0"/>
        <v/>
      </c>
      <c r="AS37" s="714" t="str">
        <f t="shared" si="1"/>
        <v>wci_corp</v>
      </c>
    </row>
    <row r="38" spans="2:45">
      <c r="B38" s="714" t="s">
        <v>1228</v>
      </c>
      <c r="C38" s="745">
        <v>43251</v>
      </c>
      <c r="D38" s="746">
        <v>7.61</v>
      </c>
      <c r="E38" s="746">
        <v>0</v>
      </c>
      <c r="F38" s="747" t="s">
        <v>1074</v>
      </c>
      <c r="G38" s="714" t="s">
        <v>1135</v>
      </c>
      <c r="H38" s="748" t="s">
        <v>1075</v>
      </c>
      <c r="I38" s="714" t="s">
        <v>1136</v>
      </c>
      <c r="J38" s="714" t="s">
        <v>1092</v>
      </c>
      <c r="K38" s="714" t="s">
        <v>1078</v>
      </c>
      <c r="L38" s="718"/>
      <c r="M38" s="718"/>
      <c r="N38" s="718" t="s">
        <v>1262</v>
      </c>
      <c r="O38" s="739"/>
      <c r="P38" s="718"/>
      <c r="Q38" s="718"/>
      <c r="U38" s="714" t="s">
        <v>1137</v>
      </c>
      <c r="V38" s="714" t="s">
        <v>1137</v>
      </c>
      <c r="X38" s="745">
        <v>43255</v>
      </c>
      <c r="Y38" s="745">
        <v>43255</v>
      </c>
      <c r="AA38" s="745"/>
      <c r="AB38" s="714" t="s">
        <v>1079</v>
      </c>
      <c r="AC38" s="714">
        <v>0</v>
      </c>
      <c r="AD38" s="714">
        <v>0</v>
      </c>
      <c r="AE38" s="714">
        <v>0</v>
      </c>
      <c r="AF38" s="714">
        <v>0</v>
      </c>
      <c r="AG38" s="714">
        <v>0</v>
      </c>
      <c r="AH38" s="714">
        <v>1</v>
      </c>
      <c r="AI38" s="714">
        <v>70095</v>
      </c>
      <c r="AJ38" s="714">
        <v>2183</v>
      </c>
      <c r="AK38" s="714">
        <v>0</v>
      </c>
      <c r="AL38" s="714">
        <v>0</v>
      </c>
      <c r="AO38" s="748"/>
      <c r="AP38" s="748"/>
      <c r="AQ38" s="714" t="str">
        <f t="shared" si="0"/>
        <v/>
      </c>
      <c r="AS38" s="714" t="str">
        <f t="shared" si="1"/>
        <v>wci_corp</v>
      </c>
    </row>
    <row r="39" spans="2:45">
      <c r="B39" s="714" t="s">
        <v>1228</v>
      </c>
      <c r="C39" s="745">
        <v>43251</v>
      </c>
      <c r="D39" s="746">
        <v>2818.24</v>
      </c>
      <c r="E39" s="746">
        <v>0</v>
      </c>
      <c r="F39" s="747" t="s">
        <v>1074</v>
      </c>
      <c r="G39" s="714" t="s">
        <v>1138</v>
      </c>
      <c r="H39" s="748" t="s">
        <v>1075</v>
      </c>
      <c r="I39" s="714" t="s">
        <v>1126</v>
      </c>
      <c r="J39" s="714" t="s">
        <v>1082</v>
      </c>
      <c r="K39" s="714" t="s">
        <v>1078</v>
      </c>
      <c r="L39" s="718"/>
      <c r="M39" s="718"/>
      <c r="N39" s="718" t="s">
        <v>1263</v>
      </c>
      <c r="O39" s="739"/>
      <c r="P39" s="718"/>
      <c r="Q39" s="718"/>
      <c r="U39" s="714" t="s">
        <v>1140</v>
      </c>
      <c r="V39" s="714" t="s">
        <v>1140</v>
      </c>
      <c r="X39" s="745">
        <v>43257</v>
      </c>
      <c r="Y39" s="745">
        <v>43258</v>
      </c>
      <c r="AA39" s="745"/>
      <c r="AB39" s="714" t="s">
        <v>1079</v>
      </c>
      <c r="AC39" s="714">
        <v>0</v>
      </c>
      <c r="AD39" s="714">
        <v>0</v>
      </c>
      <c r="AE39" s="714">
        <v>0</v>
      </c>
      <c r="AF39" s="714">
        <v>0</v>
      </c>
      <c r="AG39" s="714">
        <v>0</v>
      </c>
      <c r="AH39" s="714">
        <v>1</v>
      </c>
      <c r="AI39" s="714">
        <v>70095</v>
      </c>
      <c r="AJ39" s="714">
        <v>2183</v>
      </c>
      <c r="AK39" s="714">
        <v>0</v>
      </c>
      <c r="AL39" s="714">
        <v>0</v>
      </c>
      <c r="AO39" s="748"/>
      <c r="AP39" s="748"/>
      <c r="AQ39" s="714" t="str">
        <f t="shared" si="0"/>
        <v/>
      </c>
      <c r="AS39" s="714" t="str">
        <f t="shared" si="1"/>
        <v>wci_corp</v>
      </c>
    </row>
    <row r="40" spans="2:45">
      <c r="B40" s="714" t="s">
        <v>1228</v>
      </c>
      <c r="C40" s="745">
        <v>43251</v>
      </c>
      <c r="D40" s="746">
        <v>96.38</v>
      </c>
      <c r="E40" s="746">
        <v>0</v>
      </c>
      <c r="F40" s="747" t="s">
        <v>1074</v>
      </c>
      <c r="G40" s="714" t="s">
        <v>1138</v>
      </c>
      <c r="H40" s="748" t="s">
        <v>1075</v>
      </c>
      <c r="I40" s="714" t="s">
        <v>1126</v>
      </c>
      <c r="J40" s="714" t="s">
        <v>1082</v>
      </c>
      <c r="K40" s="714" t="s">
        <v>1078</v>
      </c>
      <c r="L40" s="718"/>
      <c r="M40" s="718"/>
      <c r="N40" s="718" t="s">
        <v>1264</v>
      </c>
      <c r="O40" s="739"/>
      <c r="P40" s="718"/>
      <c r="Q40" s="718"/>
      <c r="U40" s="714" t="s">
        <v>1140</v>
      </c>
      <c r="V40" s="714" t="s">
        <v>1140</v>
      </c>
      <c r="X40" s="745">
        <v>43257</v>
      </c>
      <c r="Y40" s="745">
        <v>43258</v>
      </c>
      <c r="AA40" s="745"/>
      <c r="AB40" s="714" t="s">
        <v>1079</v>
      </c>
      <c r="AC40" s="714">
        <v>0</v>
      </c>
      <c r="AD40" s="714">
        <v>0</v>
      </c>
      <c r="AE40" s="714">
        <v>0</v>
      </c>
      <c r="AF40" s="714">
        <v>0</v>
      </c>
      <c r="AG40" s="714">
        <v>0</v>
      </c>
      <c r="AH40" s="714">
        <v>1</v>
      </c>
      <c r="AI40" s="714">
        <v>70095</v>
      </c>
      <c r="AJ40" s="714">
        <v>2183</v>
      </c>
      <c r="AK40" s="714">
        <v>0</v>
      </c>
      <c r="AL40" s="714">
        <v>0</v>
      </c>
      <c r="AO40" s="748"/>
      <c r="AP40" s="748"/>
      <c r="AQ40" s="714" t="str">
        <f t="shared" si="0"/>
        <v/>
      </c>
      <c r="AS40" s="714" t="str">
        <f t="shared" si="1"/>
        <v>wci_corp</v>
      </c>
    </row>
    <row r="41" spans="2:45">
      <c r="B41" s="714" t="s">
        <v>1228</v>
      </c>
      <c r="C41" s="745">
        <v>43251</v>
      </c>
      <c r="D41" s="746">
        <v>91.49</v>
      </c>
      <c r="E41" s="746">
        <v>0</v>
      </c>
      <c r="F41" s="747" t="s">
        <v>1074</v>
      </c>
      <c r="G41" s="714" t="s">
        <v>1265</v>
      </c>
      <c r="H41" s="748" t="s">
        <v>1075</v>
      </c>
      <c r="I41" s="714" t="s">
        <v>1131</v>
      </c>
      <c r="J41" s="714" t="s">
        <v>1082</v>
      </c>
      <c r="K41" s="714" t="s">
        <v>1078</v>
      </c>
      <c r="L41" s="718"/>
      <c r="M41" s="718"/>
      <c r="N41" s="718" t="s">
        <v>1266</v>
      </c>
      <c r="O41" s="739"/>
      <c r="P41" s="718"/>
      <c r="Q41" s="718"/>
      <c r="U41" s="714" t="s">
        <v>1267</v>
      </c>
      <c r="V41" s="714" t="s">
        <v>1267</v>
      </c>
      <c r="X41" s="745">
        <v>43257</v>
      </c>
      <c r="Y41" s="745">
        <v>43258</v>
      </c>
      <c r="AA41" s="745"/>
      <c r="AB41" s="714" t="s">
        <v>1079</v>
      </c>
      <c r="AC41" s="714">
        <v>0</v>
      </c>
      <c r="AD41" s="714">
        <v>0</v>
      </c>
      <c r="AE41" s="714">
        <v>0</v>
      </c>
      <c r="AF41" s="714">
        <v>0</v>
      </c>
      <c r="AG41" s="714">
        <v>0</v>
      </c>
      <c r="AH41" s="714">
        <v>1</v>
      </c>
      <c r="AI41" s="714">
        <v>70095</v>
      </c>
      <c r="AJ41" s="714">
        <v>2183</v>
      </c>
      <c r="AK41" s="714">
        <v>0</v>
      </c>
      <c r="AL41" s="714">
        <v>0</v>
      </c>
      <c r="AO41" s="748"/>
      <c r="AP41" s="748"/>
      <c r="AQ41" s="714" t="str">
        <f t="shared" si="0"/>
        <v/>
      </c>
      <c r="AS41" s="714" t="str">
        <f t="shared" si="1"/>
        <v>wci_corp</v>
      </c>
    </row>
    <row r="42" spans="2:45">
      <c r="B42" s="714" t="s">
        <v>1228</v>
      </c>
      <c r="C42" s="745">
        <v>43265</v>
      </c>
      <c r="D42" s="746">
        <v>1250</v>
      </c>
      <c r="E42" s="746">
        <v>0</v>
      </c>
      <c r="F42" s="747" t="s">
        <v>1074</v>
      </c>
      <c r="G42" s="714" t="s">
        <v>1268</v>
      </c>
      <c r="H42" s="748" t="s">
        <v>1075</v>
      </c>
      <c r="I42" s="714" t="s">
        <v>1076</v>
      </c>
      <c r="J42" s="714" t="s">
        <v>1118</v>
      </c>
      <c r="K42" s="714" t="s">
        <v>1078</v>
      </c>
      <c r="L42" s="718" t="s">
        <v>1269</v>
      </c>
      <c r="M42" s="718"/>
      <c r="N42" s="718" t="s">
        <v>1270</v>
      </c>
      <c r="O42" s="739">
        <v>43256</v>
      </c>
      <c r="P42" s="718" t="s">
        <v>1271</v>
      </c>
      <c r="Q42" s="718" t="s">
        <v>1272</v>
      </c>
      <c r="R42" s="714" t="s">
        <v>1273</v>
      </c>
      <c r="U42" s="714" t="s">
        <v>1274</v>
      </c>
      <c r="V42" s="714" t="s">
        <v>1275</v>
      </c>
      <c r="W42" s="714">
        <v>2183</v>
      </c>
      <c r="X42" s="745">
        <v>43265</v>
      </c>
      <c r="Y42" s="745">
        <v>43265</v>
      </c>
      <c r="Z42" s="714">
        <v>1250</v>
      </c>
      <c r="AA42" s="745">
        <v>43266</v>
      </c>
      <c r="AB42" s="714" t="s">
        <v>1079</v>
      </c>
      <c r="AC42" s="714">
        <v>0</v>
      </c>
      <c r="AD42" s="714">
        <v>0</v>
      </c>
      <c r="AE42" s="714">
        <v>0</v>
      </c>
      <c r="AF42" s="714">
        <v>0</v>
      </c>
      <c r="AG42" s="714">
        <v>0</v>
      </c>
      <c r="AH42" s="714">
        <v>1</v>
      </c>
      <c r="AI42" s="714">
        <v>70095</v>
      </c>
      <c r="AJ42" s="714">
        <v>2183</v>
      </c>
      <c r="AK42" s="714">
        <v>0</v>
      </c>
      <c r="AL42" s="714">
        <v>0</v>
      </c>
      <c r="AO42" s="748"/>
      <c r="AP42" s="748"/>
      <c r="AQ42" s="714" t="str">
        <f t="shared" si="0"/>
        <v>VO04678935</v>
      </c>
      <c r="AS42" s="714" t="str">
        <f t="shared" si="1"/>
        <v>wci_corp</v>
      </c>
    </row>
    <row r="43" spans="2:45">
      <c r="B43" s="714" t="s">
        <v>1228</v>
      </c>
      <c r="C43" s="745">
        <v>43270</v>
      </c>
      <c r="D43" s="746">
        <v>2818.24</v>
      </c>
      <c r="E43" s="746">
        <v>0</v>
      </c>
      <c r="F43" s="747" t="s">
        <v>1074</v>
      </c>
      <c r="G43" s="714" t="s">
        <v>1276</v>
      </c>
      <c r="H43" s="748" t="s">
        <v>1075</v>
      </c>
      <c r="I43" s="714" t="s">
        <v>1076</v>
      </c>
      <c r="J43" s="714" t="s">
        <v>1118</v>
      </c>
      <c r="K43" s="714" t="s">
        <v>1078</v>
      </c>
      <c r="L43" s="718" t="s">
        <v>1277</v>
      </c>
      <c r="M43" s="718"/>
      <c r="N43" s="718" t="s">
        <v>1278</v>
      </c>
      <c r="O43" s="739">
        <v>43250</v>
      </c>
      <c r="P43" s="718" t="s">
        <v>1279</v>
      </c>
      <c r="Q43" s="718">
        <v>4534</v>
      </c>
      <c r="R43" s="714" t="s">
        <v>1280</v>
      </c>
      <c r="U43" s="714" t="s">
        <v>1281</v>
      </c>
      <c r="V43" s="714" t="s">
        <v>1282</v>
      </c>
      <c r="W43" s="714">
        <v>2183</v>
      </c>
      <c r="X43" s="745">
        <v>43270</v>
      </c>
      <c r="Y43" s="745">
        <v>43270</v>
      </c>
      <c r="Z43" s="714">
        <v>2818.24</v>
      </c>
      <c r="AA43" s="745">
        <v>43280</v>
      </c>
      <c r="AB43" s="714" t="s">
        <v>1079</v>
      </c>
      <c r="AC43" s="714">
        <v>0</v>
      </c>
      <c r="AD43" s="714">
        <v>0</v>
      </c>
      <c r="AE43" s="714">
        <v>0</v>
      </c>
      <c r="AF43" s="714">
        <v>0</v>
      </c>
      <c r="AG43" s="714">
        <v>0</v>
      </c>
      <c r="AH43" s="714">
        <v>1</v>
      </c>
      <c r="AI43" s="714">
        <v>70095</v>
      </c>
      <c r="AJ43" s="714">
        <v>2183</v>
      </c>
      <c r="AK43" s="714">
        <v>0</v>
      </c>
      <c r="AL43" s="714">
        <v>0</v>
      </c>
      <c r="AO43" s="748"/>
      <c r="AP43" s="748"/>
      <c r="AQ43" s="714" t="str">
        <f t="shared" si="0"/>
        <v>VO04684589</v>
      </c>
      <c r="AS43" s="714" t="str">
        <f t="shared" si="1"/>
        <v>wci_corp</v>
      </c>
    </row>
    <row r="44" spans="2:45">
      <c r="B44" s="714" t="s">
        <v>1228</v>
      </c>
      <c r="C44" s="745">
        <v>43281</v>
      </c>
      <c r="D44" s="746">
        <v>-2818.24</v>
      </c>
      <c r="E44" s="746">
        <v>0</v>
      </c>
      <c r="F44" s="747" t="s">
        <v>1074</v>
      </c>
      <c r="G44" s="714" t="s">
        <v>1142</v>
      </c>
      <c r="H44" s="748" t="s">
        <v>1075</v>
      </c>
      <c r="I44" s="714" t="s">
        <v>1126</v>
      </c>
      <c r="J44" s="714" t="s">
        <v>1082</v>
      </c>
      <c r="K44" s="714" t="s">
        <v>1078</v>
      </c>
      <c r="L44" s="718"/>
      <c r="M44" s="718"/>
      <c r="N44" s="718" t="s">
        <v>1263</v>
      </c>
      <c r="O44" s="739"/>
      <c r="P44" s="718"/>
      <c r="Q44" s="718"/>
      <c r="U44" s="714" t="s">
        <v>1140</v>
      </c>
      <c r="V44" s="714" t="s">
        <v>1143</v>
      </c>
      <c r="X44" s="745">
        <v>43258</v>
      </c>
      <c r="Y44" s="745">
        <v>43258</v>
      </c>
      <c r="AA44" s="745"/>
      <c r="AB44" s="714" t="s">
        <v>1079</v>
      </c>
      <c r="AC44" s="714">
        <v>0</v>
      </c>
      <c r="AD44" s="714">
        <v>0</v>
      </c>
      <c r="AE44" s="714">
        <v>0</v>
      </c>
      <c r="AF44" s="714">
        <v>0</v>
      </c>
      <c r="AG44" s="714">
        <v>5</v>
      </c>
      <c r="AH44" s="714">
        <v>1</v>
      </c>
      <c r="AI44" s="714">
        <v>70095</v>
      </c>
      <c r="AJ44" s="714">
        <v>2183</v>
      </c>
      <c r="AK44" s="714">
        <v>0</v>
      </c>
      <c r="AL44" s="714">
        <v>0</v>
      </c>
      <c r="AO44" s="748"/>
      <c r="AP44" s="748"/>
      <c r="AQ44" s="714" t="str">
        <f t="shared" si="0"/>
        <v/>
      </c>
      <c r="AS44" s="714" t="str">
        <f t="shared" si="1"/>
        <v>wci_corp</v>
      </c>
    </row>
    <row r="45" spans="2:45">
      <c r="B45" s="714" t="s">
        <v>1228</v>
      </c>
      <c r="C45" s="745">
        <v>43281</v>
      </c>
      <c r="D45" s="746">
        <v>-96.38</v>
      </c>
      <c r="E45" s="746">
        <v>0</v>
      </c>
      <c r="F45" s="747" t="s">
        <v>1074</v>
      </c>
      <c r="G45" s="714" t="s">
        <v>1142</v>
      </c>
      <c r="H45" s="748" t="s">
        <v>1075</v>
      </c>
      <c r="I45" s="714" t="s">
        <v>1126</v>
      </c>
      <c r="J45" s="714" t="s">
        <v>1082</v>
      </c>
      <c r="K45" s="714" t="s">
        <v>1078</v>
      </c>
      <c r="L45" s="718"/>
      <c r="M45" s="718"/>
      <c r="N45" s="718" t="s">
        <v>1264</v>
      </c>
      <c r="O45" s="739"/>
      <c r="P45" s="718"/>
      <c r="Q45" s="718"/>
      <c r="U45" s="714" t="s">
        <v>1140</v>
      </c>
      <c r="V45" s="714" t="s">
        <v>1143</v>
      </c>
      <c r="X45" s="745">
        <v>43258</v>
      </c>
      <c r="Y45" s="745">
        <v>43258</v>
      </c>
      <c r="AA45" s="745"/>
      <c r="AB45" s="714" t="s">
        <v>1079</v>
      </c>
      <c r="AC45" s="714">
        <v>0</v>
      </c>
      <c r="AD45" s="714">
        <v>0</v>
      </c>
      <c r="AE45" s="714">
        <v>0</v>
      </c>
      <c r="AF45" s="714">
        <v>0</v>
      </c>
      <c r="AG45" s="714">
        <v>5</v>
      </c>
      <c r="AH45" s="714">
        <v>1</v>
      </c>
      <c r="AI45" s="714">
        <v>70095</v>
      </c>
      <c r="AJ45" s="714">
        <v>2183</v>
      </c>
      <c r="AK45" s="714">
        <v>0</v>
      </c>
      <c r="AL45" s="714">
        <v>0</v>
      </c>
      <c r="AO45" s="748"/>
      <c r="AP45" s="748"/>
      <c r="AQ45" s="714" t="str">
        <f t="shared" si="0"/>
        <v/>
      </c>
      <c r="AS45" s="714" t="str">
        <f t="shared" si="1"/>
        <v>wci_corp</v>
      </c>
    </row>
    <row r="46" spans="2:45">
      <c r="B46" s="714" t="s">
        <v>1228</v>
      </c>
      <c r="C46" s="745">
        <v>43281</v>
      </c>
      <c r="D46" s="746">
        <v>-91.49</v>
      </c>
      <c r="E46" s="746">
        <v>0</v>
      </c>
      <c r="F46" s="747" t="s">
        <v>1074</v>
      </c>
      <c r="G46" s="714" t="s">
        <v>1283</v>
      </c>
      <c r="H46" s="748" t="s">
        <v>1075</v>
      </c>
      <c r="I46" s="714" t="s">
        <v>1131</v>
      </c>
      <c r="J46" s="714" t="s">
        <v>1082</v>
      </c>
      <c r="K46" s="714" t="s">
        <v>1078</v>
      </c>
      <c r="L46" s="718"/>
      <c r="M46" s="718"/>
      <c r="N46" s="718" t="s">
        <v>1266</v>
      </c>
      <c r="O46" s="739"/>
      <c r="P46" s="718"/>
      <c r="Q46" s="718"/>
      <c r="U46" s="714" t="s">
        <v>1267</v>
      </c>
      <c r="V46" s="714" t="s">
        <v>1284</v>
      </c>
      <c r="X46" s="745">
        <v>43258</v>
      </c>
      <c r="Y46" s="745">
        <v>43258</v>
      </c>
      <c r="AA46" s="745"/>
      <c r="AB46" s="714" t="s">
        <v>1079</v>
      </c>
      <c r="AC46" s="714">
        <v>0</v>
      </c>
      <c r="AD46" s="714">
        <v>0</v>
      </c>
      <c r="AE46" s="714">
        <v>0</v>
      </c>
      <c r="AF46" s="714">
        <v>0</v>
      </c>
      <c r="AG46" s="714">
        <v>5</v>
      </c>
      <c r="AH46" s="714">
        <v>1</v>
      </c>
      <c r="AI46" s="714">
        <v>70095</v>
      </c>
      <c r="AJ46" s="714">
        <v>2183</v>
      </c>
      <c r="AK46" s="714">
        <v>0</v>
      </c>
      <c r="AL46" s="714">
        <v>0</v>
      </c>
      <c r="AO46" s="748"/>
      <c r="AP46" s="748"/>
      <c r="AQ46" s="714" t="str">
        <f t="shared" si="0"/>
        <v/>
      </c>
      <c r="AS46" s="714" t="str">
        <f t="shared" si="1"/>
        <v>wci_corp</v>
      </c>
    </row>
    <row r="47" spans="2:45">
      <c r="B47" s="714" t="s">
        <v>1228</v>
      </c>
      <c r="C47" s="745">
        <v>43281</v>
      </c>
      <c r="D47" s="746">
        <v>91.49</v>
      </c>
      <c r="E47" s="746">
        <v>0</v>
      </c>
      <c r="F47" s="747" t="s">
        <v>1074</v>
      </c>
      <c r="G47" s="714" t="s">
        <v>1144</v>
      </c>
      <c r="H47" s="748" t="s">
        <v>1075</v>
      </c>
      <c r="I47" s="714" t="s">
        <v>1145</v>
      </c>
      <c r="J47" s="714" t="s">
        <v>1146</v>
      </c>
      <c r="K47" s="714" t="s">
        <v>1078</v>
      </c>
      <c r="L47" s="718"/>
      <c r="M47" s="718"/>
      <c r="N47" s="718" t="s">
        <v>1266</v>
      </c>
      <c r="O47" s="739"/>
      <c r="P47" s="718"/>
      <c r="Q47" s="718"/>
      <c r="U47" s="714" t="s">
        <v>1148</v>
      </c>
      <c r="V47" s="714" t="s">
        <v>1148</v>
      </c>
      <c r="X47" s="745">
        <v>43284</v>
      </c>
      <c r="Y47" s="745">
        <v>43284</v>
      </c>
      <c r="AA47" s="745"/>
      <c r="AB47" s="714" t="s">
        <v>1079</v>
      </c>
      <c r="AC47" s="714">
        <v>0</v>
      </c>
      <c r="AD47" s="714">
        <v>0</v>
      </c>
      <c r="AE47" s="714">
        <v>0</v>
      </c>
      <c r="AF47" s="714">
        <v>0</v>
      </c>
      <c r="AG47" s="714">
        <v>0</v>
      </c>
      <c r="AH47" s="714">
        <v>1</v>
      </c>
      <c r="AI47" s="714">
        <v>70095</v>
      </c>
      <c r="AJ47" s="714">
        <v>2183</v>
      </c>
      <c r="AK47" s="714">
        <v>0</v>
      </c>
      <c r="AL47" s="714">
        <v>0</v>
      </c>
      <c r="AO47" s="748"/>
      <c r="AP47" s="748"/>
      <c r="AQ47" s="714" t="str">
        <f t="shared" si="0"/>
        <v/>
      </c>
      <c r="AS47" s="714" t="str">
        <f t="shared" si="1"/>
        <v>wci_corp</v>
      </c>
    </row>
    <row r="48" spans="2:45">
      <c r="B48" s="714" t="s">
        <v>1228</v>
      </c>
      <c r="C48" s="745">
        <v>43281</v>
      </c>
      <c r="D48" s="746">
        <v>96.38</v>
      </c>
      <c r="E48" s="746">
        <v>0</v>
      </c>
      <c r="F48" s="747" t="s">
        <v>1074</v>
      </c>
      <c r="G48" s="714" t="s">
        <v>1144</v>
      </c>
      <c r="H48" s="748" t="s">
        <v>1075</v>
      </c>
      <c r="I48" s="714" t="s">
        <v>1145</v>
      </c>
      <c r="J48" s="714" t="s">
        <v>1146</v>
      </c>
      <c r="K48" s="714" t="s">
        <v>1078</v>
      </c>
      <c r="L48" s="718"/>
      <c r="M48" s="718"/>
      <c r="N48" s="718" t="s">
        <v>1285</v>
      </c>
      <c r="O48" s="739"/>
      <c r="P48" s="718"/>
      <c r="Q48" s="718"/>
      <c r="U48" s="714" t="s">
        <v>1148</v>
      </c>
      <c r="V48" s="714" t="s">
        <v>1148</v>
      </c>
      <c r="X48" s="745">
        <v>43284</v>
      </c>
      <c r="Y48" s="745">
        <v>43284</v>
      </c>
      <c r="AA48" s="745"/>
      <c r="AB48" s="714" t="s">
        <v>1079</v>
      </c>
      <c r="AC48" s="714">
        <v>0</v>
      </c>
      <c r="AD48" s="714">
        <v>0</v>
      </c>
      <c r="AE48" s="714">
        <v>0</v>
      </c>
      <c r="AF48" s="714">
        <v>0</v>
      </c>
      <c r="AG48" s="714">
        <v>0</v>
      </c>
      <c r="AH48" s="714">
        <v>1</v>
      </c>
      <c r="AI48" s="714">
        <v>70095</v>
      </c>
      <c r="AJ48" s="714">
        <v>2183</v>
      </c>
      <c r="AK48" s="714">
        <v>0</v>
      </c>
      <c r="AL48" s="714">
        <v>0</v>
      </c>
      <c r="AO48" s="748"/>
      <c r="AP48" s="748"/>
      <c r="AQ48" s="714" t="str">
        <f t="shared" si="0"/>
        <v/>
      </c>
      <c r="AS48" s="714" t="str">
        <f t="shared" si="1"/>
        <v>wci_corp</v>
      </c>
    </row>
    <row r="49" spans="2:45">
      <c r="B49" s="714" t="s">
        <v>1228</v>
      </c>
      <c r="C49" s="745">
        <v>43281</v>
      </c>
      <c r="D49" s="746">
        <v>28.15</v>
      </c>
      <c r="E49" s="746">
        <v>0</v>
      </c>
      <c r="F49" s="747" t="s">
        <v>1074</v>
      </c>
      <c r="G49" s="714" t="s">
        <v>1144</v>
      </c>
      <c r="H49" s="748" t="s">
        <v>1075</v>
      </c>
      <c r="I49" s="714" t="s">
        <v>1145</v>
      </c>
      <c r="J49" s="714" t="s">
        <v>1146</v>
      </c>
      <c r="K49" s="714" t="s">
        <v>1078</v>
      </c>
      <c r="L49" s="718"/>
      <c r="M49" s="718"/>
      <c r="N49" s="718" t="s">
        <v>1286</v>
      </c>
      <c r="O49" s="739"/>
      <c r="P49" s="718"/>
      <c r="Q49" s="718"/>
      <c r="U49" s="714" t="s">
        <v>1148</v>
      </c>
      <c r="V49" s="714" t="s">
        <v>1148</v>
      </c>
      <c r="X49" s="745">
        <v>43284</v>
      </c>
      <c r="Y49" s="745">
        <v>43284</v>
      </c>
      <c r="AA49" s="745"/>
      <c r="AB49" s="714" t="s">
        <v>1079</v>
      </c>
      <c r="AC49" s="714">
        <v>0</v>
      </c>
      <c r="AD49" s="714">
        <v>0</v>
      </c>
      <c r="AE49" s="714">
        <v>0</v>
      </c>
      <c r="AF49" s="714">
        <v>0</v>
      </c>
      <c r="AG49" s="714">
        <v>0</v>
      </c>
      <c r="AH49" s="714">
        <v>1</v>
      </c>
      <c r="AI49" s="714">
        <v>70095</v>
      </c>
      <c r="AJ49" s="714">
        <v>2183</v>
      </c>
      <c r="AK49" s="714">
        <v>0</v>
      </c>
      <c r="AL49" s="714">
        <v>0</v>
      </c>
      <c r="AO49" s="748"/>
      <c r="AP49" s="748"/>
      <c r="AQ49" s="714" t="str">
        <f t="shared" si="0"/>
        <v/>
      </c>
      <c r="AS49" s="714" t="str">
        <f t="shared" si="1"/>
        <v>wci_corp</v>
      </c>
    </row>
    <row r="50" spans="2:45">
      <c r="B50" s="714" t="s">
        <v>1228</v>
      </c>
      <c r="C50" s="745">
        <v>43281</v>
      </c>
      <c r="D50" s="746">
        <v>250</v>
      </c>
      <c r="E50" s="746">
        <v>0</v>
      </c>
      <c r="F50" s="747" t="s">
        <v>1074</v>
      </c>
      <c r="G50" s="714" t="s">
        <v>1144</v>
      </c>
      <c r="H50" s="748" t="s">
        <v>1075</v>
      </c>
      <c r="I50" s="714" t="s">
        <v>1145</v>
      </c>
      <c r="J50" s="714" t="s">
        <v>1146</v>
      </c>
      <c r="K50" s="714" t="s">
        <v>1078</v>
      </c>
      <c r="L50" s="718"/>
      <c r="M50" s="718"/>
      <c r="N50" s="718" t="s">
        <v>1287</v>
      </c>
      <c r="O50" s="739"/>
      <c r="P50" s="718"/>
      <c r="Q50" s="718"/>
      <c r="U50" s="714" t="s">
        <v>1148</v>
      </c>
      <c r="V50" s="714" t="s">
        <v>1148</v>
      </c>
      <c r="X50" s="745">
        <v>43284</v>
      </c>
      <c r="Y50" s="745">
        <v>43284</v>
      </c>
      <c r="AA50" s="745"/>
      <c r="AB50" s="714" t="s">
        <v>1079</v>
      </c>
      <c r="AC50" s="714">
        <v>0</v>
      </c>
      <c r="AD50" s="714">
        <v>0</v>
      </c>
      <c r="AE50" s="714">
        <v>0</v>
      </c>
      <c r="AF50" s="714">
        <v>0</v>
      </c>
      <c r="AG50" s="714">
        <v>0</v>
      </c>
      <c r="AH50" s="714">
        <v>1</v>
      </c>
      <c r="AI50" s="714">
        <v>70095</v>
      </c>
      <c r="AJ50" s="714">
        <v>2183</v>
      </c>
      <c r="AK50" s="714">
        <v>0</v>
      </c>
      <c r="AL50" s="714">
        <v>0</v>
      </c>
      <c r="AO50" s="748"/>
      <c r="AP50" s="748"/>
      <c r="AQ50" s="714" t="str">
        <f t="shared" si="0"/>
        <v/>
      </c>
      <c r="AS50" s="714" t="str">
        <f t="shared" si="1"/>
        <v>wci_corp</v>
      </c>
    </row>
    <row r="51" spans="2:45">
      <c r="B51" s="714" t="s">
        <v>1228</v>
      </c>
      <c r="C51" s="745">
        <v>43281</v>
      </c>
      <c r="D51" s="746">
        <v>52.97</v>
      </c>
      <c r="E51" s="746">
        <v>0</v>
      </c>
      <c r="F51" s="747" t="s">
        <v>1074</v>
      </c>
      <c r="G51" s="714" t="s">
        <v>1144</v>
      </c>
      <c r="H51" s="748" t="s">
        <v>1075</v>
      </c>
      <c r="I51" s="714" t="s">
        <v>1145</v>
      </c>
      <c r="J51" s="714" t="s">
        <v>1146</v>
      </c>
      <c r="K51" s="714" t="s">
        <v>1078</v>
      </c>
      <c r="L51" s="718"/>
      <c r="M51" s="718"/>
      <c r="N51" s="718" t="s">
        <v>1288</v>
      </c>
      <c r="O51" s="739"/>
      <c r="P51" s="718"/>
      <c r="Q51" s="718"/>
      <c r="U51" s="714" t="s">
        <v>1148</v>
      </c>
      <c r="V51" s="714" t="s">
        <v>1148</v>
      </c>
      <c r="X51" s="745">
        <v>43284</v>
      </c>
      <c r="Y51" s="745">
        <v>43284</v>
      </c>
      <c r="AA51" s="745"/>
      <c r="AB51" s="714" t="s">
        <v>1079</v>
      </c>
      <c r="AC51" s="714">
        <v>0</v>
      </c>
      <c r="AD51" s="714">
        <v>0</v>
      </c>
      <c r="AE51" s="714">
        <v>0</v>
      </c>
      <c r="AF51" s="714">
        <v>0</v>
      </c>
      <c r="AG51" s="714">
        <v>0</v>
      </c>
      <c r="AH51" s="714">
        <v>1</v>
      </c>
      <c r="AI51" s="714">
        <v>70095</v>
      </c>
      <c r="AJ51" s="714">
        <v>2183</v>
      </c>
      <c r="AK51" s="714">
        <v>0</v>
      </c>
      <c r="AL51" s="714">
        <v>0</v>
      </c>
      <c r="AO51" s="748"/>
      <c r="AP51" s="748"/>
      <c r="AQ51" s="714" t="str">
        <f t="shared" si="0"/>
        <v/>
      </c>
      <c r="AS51" s="714" t="str">
        <f t="shared" si="1"/>
        <v>wci_corp</v>
      </c>
    </row>
    <row r="52" spans="2:45">
      <c r="B52" s="714" t="s">
        <v>1228</v>
      </c>
      <c r="C52" s="745">
        <v>43281</v>
      </c>
      <c r="D52" s="746">
        <v>700</v>
      </c>
      <c r="E52" s="746">
        <v>0</v>
      </c>
      <c r="F52" s="747" t="s">
        <v>1074</v>
      </c>
      <c r="G52" s="714" t="s">
        <v>1144</v>
      </c>
      <c r="H52" s="748" t="s">
        <v>1075</v>
      </c>
      <c r="I52" s="714" t="s">
        <v>1145</v>
      </c>
      <c r="J52" s="714" t="s">
        <v>1146</v>
      </c>
      <c r="K52" s="714" t="s">
        <v>1078</v>
      </c>
      <c r="L52" s="718"/>
      <c r="M52" s="718"/>
      <c r="N52" s="718" t="s">
        <v>1289</v>
      </c>
      <c r="O52" s="739"/>
      <c r="P52" s="718"/>
      <c r="Q52" s="718"/>
      <c r="U52" s="714" t="s">
        <v>1148</v>
      </c>
      <c r="V52" s="714" t="s">
        <v>1148</v>
      </c>
      <c r="X52" s="745">
        <v>43284</v>
      </c>
      <c r="Y52" s="745">
        <v>43284</v>
      </c>
      <c r="AA52" s="745"/>
      <c r="AB52" s="714" t="s">
        <v>1079</v>
      </c>
      <c r="AC52" s="714">
        <v>0</v>
      </c>
      <c r="AD52" s="714">
        <v>0</v>
      </c>
      <c r="AE52" s="714">
        <v>0</v>
      </c>
      <c r="AF52" s="714">
        <v>0</v>
      </c>
      <c r="AG52" s="714">
        <v>0</v>
      </c>
      <c r="AH52" s="714">
        <v>1</v>
      </c>
      <c r="AI52" s="714">
        <v>70095</v>
      </c>
      <c r="AJ52" s="714">
        <v>2183</v>
      </c>
      <c r="AK52" s="714">
        <v>0</v>
      </c>
      <c r="AL52" s="714">
        <v>0</v>
      </c>
      <c r="AO52" s="748"/>
      <c r="AP52" s="748"/>
      <c r="AQ52" s="714" t="str">
        <f t="shared" si="0"/>
        <v/>
      </c>
      <c r="AS52" s="714" t="str">
        <f t="shared" si="1"/>
        <v>wci_corp</v>
      </c>
    </row>
    <row r="53" spans="2:45">
      <c r="B53" s="714" t="s">
        <v>1228</v>
      </c>
      <c r="C53" s="745">
        <v>43281</v>
      </c>
      <c r="D53" s="746">
        <v>28.73</v>
      </c>
      <c r="E53" s="746">
        <v>0</v>
      </c>
      <c r="F53" s="747" t="s">
        <v>1074</v>
      </c>
      <c r="G53" s="714" t="s">
        <v>1144</v>
      </c>
      <c r="H53" s="748" t="s">
        <v>1075</v>
      </c>
      <c r="I53" s="714" t="s">
        <v>1145</v>
      </c>
      <c r="J53" s="714" t="s">
        <v>1146</v>
      </c>
      <c r="K53" s="714" t="s">
        <v>1078</v>
      </c>
      <c r="L53" s="718"/>
      <c r="M53" s="718"/>
      <c r="N53" s="718" t="s">
        <v>1290</v>
      </c>
      <c r="O53" s="739"/>
      <c r="P53" s="718"/>
      <c r="Q53" s="718"/>
      <c r="U53" s="714" t="s">
        <v>1148</v>
      </c>
      <c r="V53" s="714" t="s">
        <v>1148</v>
      </c>
      <c r="X53" s="745">
        <v>43284</v>
      </c>
      <c r="Y53" s="745">
        <v>43284</v>
      </c>
      <c r="AA53" s="745"/>
      <c r="AB53" s="714" t="s">
        <v>1079</v>
      </c>
      <c r="AC53" s="714">
        <v>0</v>
      </c>
      <c r="AD53" s="714">
        <v>0</v>
      </c>
      <c r="AE53" s="714">
        <v>0</v>
      </c>
      <c r="AF53" s="714">
        <v>0</v>
      </c>
      <c r="AG53" s="714">
        <v>0</v>
      </c>
      <c r="AH53" s="714">
        <v>1</v>
      </c>
      <c r="AI53" s="714">
        <v>70095</v>
      </c>
      <c r="AJ53" s="714">
        <v>2183</v>
      </c>
      <c r="AK53" s="714">
        <v>0</v>
      </c>
      <c r="AL53" s="714">
        <v>0</v>
      </c>
      <c r="AO53" s="748"/>
      <c r="AP53" s="748"/>
      <c r="AQ53" s="714" t="str">
        <f t="shared" si="0"/>
        <v/>
      </c>
      <c r="AS53" s="714" t="str">
        <f t="shared" si="1"/>
        <v>wci_corp</v>
      </c>
    </row>
    <row r="54" spans="2:45">
      <c r="B54" s="714" t="s">
        <v>1228</v>
      </c>
      <c r="C54" s="745">
        <v>43281</v>
      </c>
      <c r="D54" s="746">
        <v>7.6</v>
      </c>
      <c r="E54" s="746">
        <v>0</v>
      </c>
      <c r="F54" s="747" t="s">
        <v>1074</v>
      </c>
      <c r="G54" s="714" t="s">
        <v>1144</v>
      </c>
      <c r="H54" s="748" t="s">
        <v>1075</v>
      </c>
      <c r="I54" s="714" t="s">
        <v>1145</v>
      </c>
      <c r="J54" s="714" t="s">
        <v>1146</v>
      </c>
      <c r="K54" s="714" t="s">
        <v>1078</v>
      </c>
      <c r="L54" s="718"/>
      <c r="M54" s="718"/>
      <c r="N54" s="718" t="s">
        <v>1260</v>
      </c>
      <c r="O54" s="739"/>
      <c r="P54" s="718"/>
      <c r="Q54" s="718"/>
      <c r="U54" s="714" t="s">
        <v>1148</v>
      </c>
      <c r="V54" s="714" t="s">
        <v>1148</v>
      </c>
      <c r="X54" s="745">
        <v>43284</v>
      </c>
      <c r="Y54" s="745">
        <v>43284</v>
      </c>
      <c r="AA54" s="745"/>
      <c r="AB54" s="714" t="s">
        <v>1079</v>
      </c>
      <c r="AC54" s="714">
        <v>0</v>
      </c>
      <c r="AD54" s="714">
        <v>0</v>
      </c>
      <c r="AE54" s="714">
        <v>0</v>
      </c>
      <c r="AF54" s="714">
        <v>0</v>
      </c>
      <c r="AG54" s="714">
        <v>0</v>
      </c>
      <c r="AH54" s="714">
        <v>1</v>
      </c>
      <c r="AI54" s="714">
        <v>70095</v>
      </c>
      <c r="AJ54" s="714">
        <v>2183</v>
      </c>
      <c r="AK54" s="714">
        <v>0</v>
      </c>
      <c r="AL54" s="714">
        <v>0</v>
      </c>
      <c r="AO54" s="748"/>
      <c r="AP54" s="748"/>
      <c r="AQ54" s="714" t="str">
        <f t="shared" si="0"/>
        <v/>
      </c>
      <c r="AS54" s="714" t="str">
        <f t="shared" si="1"/>
        <v>wci_corp</v>
      </c>
    </row>
    <row r="55" spans="2:45">
      <c r="B55" s="714" t="s">
        <v>1228</v>
      </c>
      <c r="C55" s="745">
        <v>43281</v>
      </c>
      <c r="D55" s="746">
        <v>12.98</v>
      </c>
      <c r="E55" s="746">
        <v>0</v>
      </c>
      <c r="F55" s="747" t="s">
        <v>1074</v>
      </c>
      <c r="G55" s="714" t="s">
        <v>1144</v>
      </c>
      <c r="H55" s="748" t="s">
        <v>1075</v>
      </c>
      <c r="I55" s="714" t="s">
        <v>1145</v>
      </c>
      <c r="J55" s="714" t="s">
        <v>1146</v>
      </c>
      <c r="K55" s="714" t="s">
        <v>1078</v>
      </c>
      <c r="L55" s="718"/>
      <c r="M55" s="718"/>
      <c r="N55" s="718" t="s">
        <v>1291</v>
      </c>
      <c r="O55" s="739"/>
      <c r="P55" s="718"/>
      <c r="Q55" s="718"/>
      <c r="U55" s="714" t="s">
        <v>1148</v>
      </c>
      <c r="V55" s="714" t="s">
        <v>1148</v>
      </c>
      <c r="X55" s="745">
        <v>43284</v>
      </c>
      <c r="Y55" s="745">
        <v>43284</v>
      </c>
      <c r="AA55" s="745"/>
      <c r="AB55" s="714" t="s">
        <v>1079</v>
      </c>
      <c r="AC55" s="714">
        <v>0</v>
      </c>
      <c r="AD55" s="714">
        <v>0</v>
      </c>
      <c r="AE55" s="714">
        <v>0</v>
      </c>
      <c r="AF55" s="714">
        <v>0</v>
      </c>
      <c r="AG55" s="714">
        <v>0</v>
      </c>
      <c r="AH55" s="714">
        <v>1</v>
      </c>
      <c r="AI55" s="714">
        <v>70095</v>
      </c>
      <c r="AJ55" s="714">
        <v>2183</v>
      </c>
      <c r="AK55" s="714">
        <v>0</v>
      </c>
      <c r="AL55" s="714">
        <v>0</v>
      </c>
      <c r="AO55" s="748"/>
      <c r="AP55" s="748"/>
      <c r="AQ55" s="714" t="str">
        <f t="shared" si="0"/>
        <v/>
      </c>
      <c r="AS55" s="714" t="str">
        <f t="shared" si="1"/>
        <v>wci_corp</v>
      </c>
    </row>
    <row r="56" spans="2:45">
      <c r="B56" s="714" t="s">
        <v>1228</v>
      </c>
      <c r="C56" s="745">
        <v>43281</v>
      </c>
      <c r="D56" s="746">
        <v>82.6</v>
      </c>
      <c r="E56" s="746">
        <v>0</v>
      </c>
      <c r="F56" s="747" t="s">
        <v>1074</v>
      </c>
      <c r="G56" s="714" t="s">
        <v>1144</v>
      </c>
      <c r="H56" s="748" t="s">
        <v>1075</v>
      </c>
      <c r="I56" s="714" t="s">
        <v>1145</v>
      </c>
      <c r="J56" s="714" t="s">
        <v>1146</v>
      </c>
      <c r="K56" s="714" t="s">
        <v>1078</v>
      </c>
      <c r="L56" s="718"/>
      <c r="M56" s="718"/>
      <c r="N56" s="718" t="s">
        <v>1292</v>
      </c>
      <c r="O56" s="739"/>
      <c r="P56" s="718"/>
      <c r="Q56" s="718"/>
      <c r="U56" s="714" t="s">
        <v>1148</v>
      </c>
      <c r="V56" s="714" t="s">
        <v>1148</v>
      </c>
      <c r="X56" s="745">
        <v>43284</v>
      </c>
      <c r="Y56" s="745">
        <v>43284</v>
      </c>
      <c r="AA56" s="745"/>
      <c r="AB56" s="714" t="s">
        <v>1079</v>
      </c>
      <c r="AC56" s="714">
        <v>0</v>
      </c>
      <c r="AD56" s="714">
        <v>0</v>
      </c>
      <c r="AE56" s="714">
        <v>0</v>
      </c>
      <c r="AF56" s="714">
        <v>0</v>
      </c>
      <c r="AG56" s="714">
        <v>0</v>
      </c>
      <c r="AH56" s="714">
        <v>1</v>
      </c>
      <c r="AI56" s="714">
        <v>70095</v>
      </c>
      <c r="AJ56" s="714">
        <v>2183</v>
      </c>
      <c r="AK56" s="714">
        <v>0</v>
      </c>
      <c r="AL56" s="714">
        <v>0</v>
      </c>
      <c r="AO56" s="748"/>
      <c r="AP56" s="748"/>
      <c r="AQ56" s="714" t="str">
        <f t="shared" si="0"/>
        <v/>
      </c>
      <c r="AS56" s="714" t="str">
        <f t="shared" si="1"/>
        <v>wci_corp</v>
      </c>
    </row>
    <row r="57" spans="2:45">
      <c r="B57" s="714" t="s">
        <v>1228</v>
      </c>
      <c r="C57" s="745">
        <v>43281</v>
      </c>
      <c r="D57" s="746">
        <v>23.66</v>
      </c>
      <c r="E57" s="746">
        <v>0</v>
      </c>
      <c r="F57" s="747" t="s">
        <v>1074</v>
      </c>
      <c r="G57" s="714" t="s">
        <v>1144</v>
      </c>
      <c r="H57" s="748" t="s">
        <v>1075</v>
      </c>
      <c r="I57" s="714" t="s">
        <v>1145</v>
      </c>
      <c r="J57" s="714" t="s">
        <v>1146</v>
      </c>
      <c r="K57" s="714" t="s">
        <v>1078</v>
      </c>
      <c r="L57" s="718"/>
      <c r="M57" s="718"/>
      <c r="N57" s="718" t="s">
        <v>1291</v>
      </c>
      <c r="O57" s="739"/>
      <c r="P57" s="718"/>
      <c r="Q57" s="718"/>
      <c r="U57" s="714" t="s">
        <v>1148</v>
      </c>
      <c r="V57" s="714" t="s">
        <v>1148</v>
      </c>
      <c r="X57" s="745">
        <v>43284</v>
      </c>
      <c r="Y57" s="745">
        <v>43284</v>
      </c>
      <c r="AA57" s="745"/>
      <c r="AB57" s="714" t="s">
        <v>1079</v>
      </c>
      <c r="AC57" s="714">
        <v>0</v>
      </c>
      <c r="AD57" s="714">
        <v>0</v>
      </c>
      <c r="AE57" s="714">
        <v>0</v>
      </c>
      <c r="AF57" s="714">
        <v>0</v>
      </c>
      <c r="AG57" s="714">
        <v>0</v>
      </c>
      <c r="AH57" s="714">
        <v>1</v>
      </c>
      <c r="AI57" s="714">
        <v>70095</v>
      </c>
      <c r="AJ57" s="714">
        <v>2183</v>
      </c>
      <c r="AK57" s="714">
        <v>0</v>
      </c>
      <c r="AL57" s="714">
        <v>0</v>
      </c>
      <c r="AO57" s="748"/>
      <c r="AP57" s="748"/>
      <c r="AQ57" s="714" t="str">
        <f t="shared" si="0"/>
        <v/>
      </c>
      <c r="AS57" s="714" t="str">
        <f t="shared" si="1"/>
        <v>wci_corp</v>
      </c>
    </row>
    <row r="58" spans="2:45">
      <c r="B58" s="714" t="s">
        <v>1228</v>
      </c>
      <c r="C58" s="745">
        <v>43281</v>
      </c>
      <c r="D58" s="746">
        <v>6.47</v>
      </c>
      <c r="E58" s="746">
        <v>0</v>
      </c>
      <c r="F58" s="747" t="s">
        <v>1074</v>
      </c>
      <c r="G58" s="714" t="s">
        <v>1144</v>
      </c>
      <c r="H58" s="748" t="s">
        <v>1075</v>
      </c>
      <c r="I58" s="714" t="s">
        <v>1145</v>
      </c>
      <c r="J58" s="714" t="s">
        <v>1146</v>
      </c>
      <c r="K58" s="714" t="s">
        <v>1078</v>
      </c>
      <c r="L58" s="718"/>
      <c r="M58" s="718"/>
      <c r="N58" s="718" t="s">
        <v>1293</v>
      </c>
      <c r="O58" s="739"/>
      <c r="P58" s="718"/>
      <c r="Q58" s="718"/>
      <c r="U58" s="714" t="s">
        <v>1148</v>
      </c>
      <c r="V58" s="714" t="s">
        <v>1148</v>
      </c>
      <c r="X58" s="745">
        <v>43284</v>
      </c>
      <c r="Y58" s="745">
        <v>43284</v>
      </c>
      <c r="AA58" s="745"/>
      <c r="AB58" s="714" t="s">
        <v>1079</v>
      </c>
      <c r="AC58" s="714">
        <v>0</v>
      </c>
      <c r="AD58" s="714">
        <v>0</v>
      </c>
      <c r="AE58" s="714">
        <v>0</v>
      </c>
      <c r="AF58" s="714">
        <v>0</v>
      </c>
      <c r="AG58" s="714">
        <v>0</v>
      </c>
      <c r="AH58" s="714">
        <v>1</v>
      </c>
      <c r="AI58" s="714">
        <v>70095</v>
      </c>
      <c r="AJ58" s="714">
        <v>2183</v>
      </c>
      <c r="AK58" s="714">
        <v>0</v>
      </c>
      <c r="AL58" s="714">
        <v>0</v>
      </c>
      <c r="AO58" s="748"/>
      <c r="AP58" s="748"/>
      <c r="AQ58" s="714" t="str">
        <f t="shared" si="0"/>
        <v/>
      </c>
      <c r="AS58" s="714" t="str">
        <f t="shared" si="1"/>
        <v>wci_corp</v>
      </c>
    </row>
    <row r="59" spans="2:45">
      <c r="B59" s="714" t="s">
        <v>1228</v>
      </c>
      <c r="C59" s="745">
        <v>43281</v>
      </c>
      <c r="D59" s="746">
        <v>12.94</v>
      </c>
      <c r="E59" s="746">
        <v>0</v>
      </c>
      <c r="F59" s="747" t="s">
        <v>1074</v>
      </c>
      <c r="G59" s="714" t="s">
        <v>1144</v>
      </c>
      <c r="H59" s="748" t="s">
        <v>1075</v>
      </c>
      <c r="I59" s="714" t="s">
        <v>1145</v>
      </c>
      <c r="J59" s="714" t="s">
        <v>1146</v>
      </c>
      <c r="K59" s="714" t="s">
        <v>1078</v>
      </c>
      <c r="L59" s="718"/>
      <c r="M59" s="718"/>
      <c r="N59" s="718" t="s">
        <v>1293</v>
      </c>
      <c r="O59" s="739"/>
      <c r="P59" s="718"/>
      <c r="Q59" s="718"/>
      <c r="U59" s="714" t="s">
        <v>1148</v>
      </c>
      <c r="V59" s="714" t="s">
        <v>1148</v>
      </c>
      <c r="X59" s="745">
        <v>43284</v>
      </c>
      <c r="Y59" s="745">
        <v>43284</v>
      </c>
      <c r="AA59" s="745"/>
      <c r="AB59" s="714" t="s">
        <v>1079</v>
      </c>
      <c r="AC59" s="714">
        <v>0</v>
      </c>
      <c r="AD59" s="714">
        <v>0</v>
      </c>
      <c r="AE59" s="714">
        <v>0</v>
      </c>
      <c r="AF59" s="714">
        <v>0</v>
      </c>
      <c r="AG59" s="714">
        <v>0</v>
      </c>
      <c r="AH59" s="714">
        <v>1</v>
      </c>
      <c r="AI59" s="714">
        <v>70095</v>
      </c>
      <c r="AJ59" s="714">
        <v>2183</v>
      </c>
      <c r="AK59" s="714">
        <v>0</v>
      </c>
      <c r="AL59" s="714">
        <v>0</v>
      </c>
      <c r="AO59" s="748"/>
      <c r="AP59" s="748"/>
      <c r="AQ59" s="714" t="str">
        <f t="shared" si="0"/>
        <v/>
      </c>
      <c r="AS59" s="714" t="str">
        <f t="shared" si="1"/>
        <v>wci_corp</v>
      </c>
    </row>
    <row r="60" spans="2:45">
      <c r="B60" s="714" t="s">
        <v>1228</v>
      </c>
      <c r="C60" s="745">
        <v>43281</v>
      </c>
      <c r="D60" s="746">
        <v>77.489999999999995</v>
      </c>
      <c r="E60" s="746">
        <v>0</v>
      </c>
      <c r="F60" s="747" t="s">
        <v>1074</v>
      </c>
      <c r="G60" s="714" t="s">
        <v>1144</v>
      </c>
      <c r="H60" s="748" t="s">
        <v>1075</v>
      </c>
      <c r="I60" s="714" t="s">
        <v>1145</v>
      </c>
      <c r="J60" s="714" t="s">
        <v>1146</v>
      </c>
      <c r="K60" s="714" t="s">
        <v>1078</v>
      </c>
      <c r="L60" s="718"/>
      <c r="M60" s="718"/>
      <c r="N60" s="718" t="s">
        <v>1293</v>
      </c>
      <c r="O60" s="739"/>
      <c r="P60" s="718"/>
      <c r="Q60" s="718"/>
      <c r="U60" s="714" t="s">
        <v>1148</v>
      </c>
      <c r="V60" s="714" t="s">
        <v>1148</v>
      </c>
      <c r="X60" s="745">
        <v>43284</v>
      </c>
      <c r="Y60" s="745">
        <v>43284</v>
      </c>
      <c r="AA60" s="745"/>
      <c r="AB60" s="714" t="s">
        <v>1079</v>
      </c>
      <c r="AC60" s="714">
        <v>0</v>
      </c>
      <c r="AD60" s="714">
        <v>0</v>
      </c>
      <c r="AE60" s="714">
        <v>0</v>
      </c>
      <c r="AF60" s="714">
        <v>0</v>
      </c>
      <c r="AG60" s="714">
        <v>0</v>
      </c>
      <c r="AH60" s="714">
        <v>1</v>
      </c>
      <c r="AI60" s="714">
        <v>70095</v>
      </c>
      <c r="AJ60" s="714">
        <v>2183</v>
      </c>
      <c r="AK60" s="714">
        <v>0</v>
      </c>
      <c r="AL60" s="714">
        <v>0</v>
      </c>
      <c r="AO60" s="748"/>
      <c r="AP60" s="748"/>
      <c r="AQ60" s="714" t="str">
        <f t="shared" si="0"/>
        <v/>
      </c>
      <c r="AS60" s="714" t="str">
        <f t="shared" si="1"/>
        <v>wci_corp</v>
      </c>
    </row>
    <row r="61" spans="2:45">
      <c r="B61" s="714" t="s">
        <v>1228</v>
      </c>
      <c r="C61" s="745">
        <v>43281</v>
      </c>
      <c r="D61" s="746">
        <v>34.76</v>
      </c>
      <c r="E61" s="746">
        <v>0</v>
      </c>
      <c r="F61" s="747" t="s">
        <v>1074</v>
      </c>
      <c r="G61" s="714" t="s">
        <v>1144</v>
      </c>
      <c r="H61" s="748" t="s">
        <v>1075</v>
      </c>
      <c r="I61" s="714" t="s">
        <v>1145</v>
      </c>
      <c r="J61" s="714" t="s">
        <v>1146</v>
      </c>
      <c r="K61" s="714" t="s">
        <v>1078</v>
      </c>
      <c r="L61" s="718"/>
      <c r="M61" s="718"/>
      <c r="N61" s="718" t="s">
        <v>1294</v>
      </c>
      <c r="O61" s="739"/>
      <c r="P61" s="718"/>
      <c r="Q61" s="718"/>
      <c r="U61" s="714" t="s">
        <v>1148</v>
      </c>
      <c r="V61" s="714" t="s">
        <v>1148</v>
      </c>
      <c r="X61" s="745">
        <v>43284</v>
      </c>
      <c r="Y61" s="745">
        <v>43284</v>
      </c>
      <c r="AA61" s="745"/>
      <c r="AB61" s="714" t="s">
        <v>1079</v>
      </c>
      <c r="AC61" s="714">
        <v>0</v>
      </c>
      <c r="AD61" s="714">
        <v>0</v>
      </c>
      <c r="AE61" s="714">
        <v>0</v>
      </c>
      <c r="AF61" s="714">
        <v>0</v>
      </c>
      <c r="AG61" s="714">
        <v>0</v>
      </c>
      <c r="AH61" s="714">
        <v>1</v>
      </c>
      <c r="AI61" s="714">
        <v>70095</v>
      </c>
      <c r="AJ61" s="714">
        <v>2183</v>
      </c>
      <c r="AK61" s="714">
        <v>0</v>
      </c>
      <c r="AL61" s="714">
        <v>0</v>
      </c>
      <c r="AO61" s="748"/>
      <c r="AP61" s="748"/>
      <c r="AQ61" s="714" t="str">
        <f t="shared" si="0"/>
        <v/>
      </c>
      <c r="AS61" s="714" t="str">
        <f t="shared" si="1"/>
        <v>wci_corp</v>
      </c>
    </row>
    <row r="62" spans="2:45">
      <c r="B62" s="714" t="s">
        <v>1228</v>
      </c>
      <c r="C62" s="745">
        <v>43281</v>
      </c>
      <c r="D62" s="746">
        <v>18.7</v>
      </c>
      <c r="E62" s="746">
        <v>0</v>
      </c>
      <c r="F62" s="747" t="s">
        <v>1074</v>
      </c>
      <c r="G62" s="714" t="s">
        <v>1144</v>
      </c>
      <c r="H62" s="748" t="s">
        <v>1075</v>
      </c>
      <c r="I62" s="714" t="s">
        <v>1145</v>
      </c>
      <c r="J62" s="714" t="s">
        <v>1146</v>
      </c>
      <c r="K62" s="714" t="s">
        <v>1078</v>
      </c>
      <c r="L62" s="718"/>
      <c r="M62" s="718"/>
      <c r="N62" s="718" t="s">
        <v>1291</v>
      </c>
      <c r="O62" s="739"/>
      <c r="P62" s="718"/>
      <c r="Q62" s="718"/>
      <c r="U62" s="714" t="s">
        <v>1148</v>
      </c>
      <c r="V62" s="714" t="s">
        <v>1148</v>
      </c>
      <c r="X62" s="745">
        <v>43284</v>
      </c>
      <c r="Y62" s="745">
        <v>43284</v>
      </c>
      <c r="AA62" s="745"/>
      <c r="AB62" s="714" t="s">
        <v>1079</v>
      </c>
      <c r="AC62" s="714">
        <v>0</v>
      </c>
      <c r="AD62" s="714">
        <v>0</v>
      </c>
      <c r="AE62" s="714">
        <v>0</v>
      </c>
      <c r="AF62" s="714">
        <v>0</v>
      </c>
      <c r="AG62" s="714">
        <v>0</v>
      </c>
      <c r="AH62" s="714">
        <v>1</v>
      </c>
      <c r="AI62" s="714">
        <v>70095</v>
      </c>
      <c r="AJ62" s="714">
        <v>2183</v>
      </c>
      <c r="AK62" s="714">
        <v>0</v>
      </c>
      <c r="AL62" s="714">
        <v>0</v>
      </c>
      <c r="AO62" s="748"/>
      <c r="AP62" s="748"/>
      <c r="AQ62" s="714" t="str">
        <f t="shared" si="0"/>
        <v/>
      </c>
      <c r="AS62" s="714" t="str">
        <f t="shared" si="1"/>
        <v>wci_corp</v>
      </c>
    </row>
    <row r="63" spans="2:45">
      <c r="B63" s="714" t="s">
        <v>1228</v>
      </c>
      <c r="C63" s="745">
        <v>43281</v>
      </c>
      <c r="D63" s="746">
        <v>9.49</v>
      </c>
      <c r="E63" s="746">
        <v>0</v>
      </c>
      <c r="F63" s="747" t="s">
        <v>1074</v>
      </c>
      <c r="G63" s="714" t="s">
        <v>1144</v>
      </c>
      <c r="H63" s="748" t="s">
        <v>1075</v>
      </c>
      <c r="I63" s="714" t="s">
        <v>1145</v>
      </c>
      <c r="J63" s="714" t="s">
        <v>1146</v>
      </c>
      <c r="K63" s="714" t="s">
        <v>1078</v>
      </c>
      <c r="L63" s="718"/>
      <c r="M63" s="718"/>
      <c r="N63" s="718" t="s">
        <v>1291</v>
      </c>
      <c r="O63" s="739"/>
      <c r="P63" s="718"/>
      <c r="Q63" s="718"/>
      <c r="U63" s="714" t="s">
        <v>1148</v>
      </c>
      <c r="V63" s="714" t="s">
        <v>1148</v>
      </c>
      <c r="X63" s="745">
        <v>43284</v>
      </c>
      <c r="Y63" s="745">
        <v>43284</v>
      </c>
      <c r="AA63" s="745"/>
      <c r="AB63" s="714" t="s">
        <v>1079</v>
      </c>
      <c r="AC63" s="714">
        <v>0</v>
      </c>
      <c r="AD63" s="714">
        <v>0</v>
      </c>
      <c r="AE63" s="714">
        <v>0</v>
      </c>
      <c r="AF63" s="714">
        <v>0</v>
      </c>
      <c r="AG63" s="714">
        <v>0</v>
      </c>
      <c r="AH63" s="714">
        <v>1</v>
      </c>
      <c r="AI63" s="714">
        <v>70095</v>
      </c>
      <c r="AJ63" s="714">
        <v>2183</v>
      </c>
      <c r="AK63" s="714">
        <v>0</v>
      </c>
      <c r="AL63" s="714">
        <v>0</v>
      </c>
      <c r="AO63" s="748"/>
      <c r="AP63" s="748"/>
      <c r="AQ63" s="714" t="str">
        <f t="shared" si="0"/>
        <v/>
      </c>
      <c r="AS63" s="714" t="str">
        <f t="shared" si="1"/>
        <v>wci_corp</v>
      </c>
    </row>
    <row r="64" spans="2:45">
      <c r="B64" s="714" t="s">
        <v>1228</v>
      </c>
      <c r="C64" s="745">
        <v>43281</v>
      </c>
      <c r="D64" s="746">
        <v>322.10000000000002</v>
      </c>
      <c r="E64" s="746">
        <v>0</v>
      </c>
      <c r="F64" s="747" t="s">
        <v>1074</v>
      </c>
      <c r="G64" s="714" t="s">
        <v>1295</v>
      </c>
      <c r="H64" s="748" t="s">
        <v>1075</v>
      </c>
      <c r="I64" s="714" t="s">
        <v>1296</v>
      </c>
      <c r="J64" s="714" t="s">
        <v>1082</v>
      </c>
      <c r="K64" s="714" t="s">
        <v>1078</v>
      </c>
      <c r="L64" s="718"/>
      <c r="M64" s="718"/>
      <c r="N64" s="718" t="s">
        <v>1297</v>
      </c>
      <c r="O64" s="739"/>
      <c r="P64" s="718"/>
      <c r="Q64" s="718"/>
      <c r="U64" s="714" t="s">
        <v>1298</v>
      </c>
      <c r="V64" s="714" t="s">
        <v>1298</v>
      </c>
      <c r="X64" s="745">
        <v>43286</v>
      </c>
      <c r="Y64" s="745">
        <v>43286</v>
      </c>
      <c r="AA64" s="745"/>
      <c r="AB64" s="714" t="s">
        <v>1079</v>
      </c>
      <c r="AC64" s="714">
        <v>0</v>
      </c>
      <c r="AD64" s="714">
        <v>0</v>
      </c>
      <c r="AE64" s="714">
        <v>0</v>
      </c>
      <c r="AF64" s="714">
        <v>0</v>
      </c>
      <c r="AG64" s="714">
        <v>0</v>
      </c>
      <c r="AH64" s="714">
        <v>1</v>
      </c>
      <c r="AI64" s="714">
        <v>70095</v>
      </c>
      <c r="AJ64" s="714">
        <v>2183</v>
      </c>
      <c r="AK64" s="714">
        <v>0</v>
      </c>
      <c r="AL64" s="714">
        <v>0</v>
      </c>
      <c r="AO64" s="748"/>
      <c r="AP64" s="748"/>
      <c r="AQ64" s="714" t="str">
        <f t="shared" si="0"/>
        <v/>
      </c>
      <c r="AS64" s="714" t="str">
        <f t="shared" si="1"/>
        <v>wci_corp</v>
      </c>
    </row>
    <row r="65" spans="2:45">
      <c r="B65" s="714" t="s">
        <v>1228</v>
      </c>
      <c r="C65" s="745">
        <v>43281</v>
      </c>
      <c r="D65" s="746">
        <v>7393.48</v>
      </c>
      <c r="E65" s="746">
        <v>0</v>
      </c>
      <c r="F65" s="747" t="s">
        <v>1074</v>
      </c>
      <c r="G65" s="714" t="s">
        <v>1299</v>
      </c>
      <c r="H65" s="748" t="s">
        <v>1075</v>
      </c>
      <c r="I65" s="714" t="s">
        <v>1300</v>
      </c>
      <c r="J65" s="714" t="s">
        <v>1082</v>
      </c>
      <c r="K65" s="714" t="s">
        <v>1078</v>
      </c>
      <c r="L65" s="718"/>
      <c r="M65" s="718"/>
      <c r="N65" s="718" t="s">
        <v>1301</v>
      </c>
      <c r="O65" s="739"/>
      <c r="P65" s="718"/>
      <c r="Q65" s="718"/>
      <c r="U65" s="714" t="s">
        <v>1302</v>
      </c>
      <c r="V65" s="714" t="s">
        <v>1302</v>
      </c>
      <c r="X65" s="745">
        <v>43287</v>
      </c>
      <c r="Y65" s="745">
        <v>43290</v>
      </c>
      <c r="AA65" s="745"/>
      <c r="AB65" s="714" t="s">
        <v>1079</v>
      </c>
      <c r="AC65" s="714">
        <v>0</v>
      </c>
      <c r="AD65" s="714">
        <v>0</v>
      </c>
      <c r="AE65" s="714">
        <v>0</v>
      </c>
      <c r="AF65" s="714">
        <v>0</v>
      </c>
      <c r="AG65" s="714">
        <v>0</v>
      </c>
      <c r="AH65" s="714">
        <v>1</v>
      </c>
      <c r="AI65" s="714">
        <v>70095</v>
      </c>
      <c r="AJ65" s="714">
        <v>2183</v>
      </c>
      <c r="AK65" s="714">
        <v>0</v>
      </c>
      <c r="AL65" s="714">
        <v>0</v>
      </c>
      <c r="AO65" s="748"/>
      <c r="AP65" s="748"/>
      <c r="AQ65" s="714" t="str">
        <f t="shared" si="0"/>
        <v/>
      </c>
      <c r="AS65" s="714" t="str">
        <f t="shared" si="1"/>
        <v>wci_corp</v>
      </c>
    </row>
    <row r="66" spans="2:45">
      <c r="B66" s="714" t="s">
        <v>1228</v>
      </c>
      <c r="C66" s="745">
        <v>43281</v>
      </c>
      <c r="D66" s="746">
        <v>41.34</v>
      </c>
      <c r="E66" s="746">
        <v>0</v>
      </c>
      <c r="F66" s="747" t="s">
        <v>1074</v>
      </c>
      <c r="G66" s="714" t="s">
        <v>1149</v>
      </c>
      <c r="H66" s="748" t="s">
        <v>1075</v>
      </c>
      <c r="I66" s="714" t="s">
        <v>1131</v>
      </c>
      <c r="J66" s="714" t="s">
        <v>1082</v>
      </c>
      <c r="K66" s="714" t="s">
        <v>1078</v>
      </c>
      <c r="L66" s="718"/>
      <c r="M66" s="718"/>
      <c r="N66" s="718" t="s">
        <v>1303</v>
      </c>
      <c r="O66" s="739"/>
      <c r="P66" s="718"/>
      <c r="Q66" s="718"/>
      <c r="U66" s="714" t="s">
        <v>1150</v>
      </c>
      <c r="V66" s="714" t="s">
        <v>1150</v>
      </c>
      <c r="X66" s="745">
        <v>43287</v>
      </c>
      <c r="Y66" s="745">
        <v>43290</v>
      </c>
      <c r="AA66" s="745"/>
      <c r="AB66" s="714" t="s">
        <v>1079</v>
      </c>
      <c r="AC66" s="714">
        <v>0</v>
      </c>
      <c r="AD66" s="714">
        <v>0</v>
      </c>
      <c r="AE66" s="714">
        <v>0</v>
      </c>
      <c r="AF66" s="714">
        <v>0</v>
      </c>
      <c r="AG66" s="714">
        <v>0</v>
      </c>
      <c r="AH66" s="714">
        <v>1</v>
      </c>
      <c r="AI66" s="714">
        <v>70095</v>
      </c>
      <c r="AJ66" s="714">
        <v>2183</v>
      </c>
      <c r="AK66" s="714">
        <v>0</v>
      </c>
      <c r="AL66" s="714">
        <v>0</v>
      </c>
      <c r="AO66" s="748"/>
      <c r="AP66" s="748"/>
      <c r="AQ66" s="714" t="str">
        <f t="shared" si="0"/>
        <v/>
      </c>
      <c r="AS66" s="714" t="str">
        <f t="shared" si="1"/>
        <v>wci_corp</v>
      </c>
    </row>
    <row r="67" spans="2:45">
      <c r="B67" s="714" t="s">
        <v>1228</v>
      </c>
      <c r="C67" s="745">
        <v>43281</v>
      </c>
      <c r="D67" s="746">
        <v>446.49</v>
      </c>
      <c r="E67" s="746">
        <v>0</v>
      </c>
      <c r="F67" s="747" t="s">
        <v>1074</v>
      </c>
      <c r="G67" s="714" t="s">
        <v>1149</v>
      </c>
      <c r="H67" s="748" t="s">
        <v>1075</v>
      </c>
      <c r="I67" s="714" t="s">
        <v>1131</v>
      </c>
      <c r="J67" s="714" t="s">
        <v>1082</v>
      </c>
      <c r="K67" s="714" t="s">
        <v>1078</v>
      </c>
      <c r="L67" s="718"/>
      <c r="M67" s="718"/>
      <c r="N67" s="718" t="s">
        <v>1250</v>
      </c>
      <c r="O67" s="739"/>
      <c r="P67" s="718"/>
      <c r="Q67" s="718"/>
      <c r="U67" s="714" t="s">
        <v>1150</v>
      </c>
      <c r="V67" s="714" t="s">
        <v>1150</v>
      </c>
      <c r="X67" s="745">
        <v>43287</v>
      </c>
      <c r="Y67" s="745">
        <v>43290</v>
      </c>
      <c r="AA67" s="745"/>
      <c r="AB67" s="714" t="s">
        <v>1079</v>
      </c>
      <c r="AC67" s="714">
        <v>0</v>
      </c>
      <c r="AD67" s="714">
        <v>0</v>
      </c>
      <c r="AE67" s="714">
        <v>0</v>
      </c>
      <c r="AF67" s="714">
        <v>0</v>
      </c>
      <c r="AG67" s="714">
        <v>0</v>
      </c>
      <c r="AH67" s="714">
        <v>1</v>
      </c>
      <c r="AI67" s="714">
        <v>70095</v>
      </c>
      <c r="AJ67" s="714">
        <v>2183</v>
      </c>
      <c r="AK67" s="714">
        <v>0</v>
      </c>
      <c r="AL67" s="714">
        <v>0</v>
      </c>
      <c r="AO67" s="748"/>
      <c r="AP67" s="748"/>
      <c r="AQ67" s="714" t="str">
        <f t="shared" si="0"/>
        <v/>
      </c>
      <c r="AS67" s="714" t="str">
        <f t="shared" si="1"/>
        <v>wci_corp</v>
      </c>
    </row>
    <row r="68" spans="2:45">
      <c r="B68" s="714" t="s">
        <v>1228</v>
      </c>
      <c r="C68" s="745">
        <v>43281</v>
      </c>
      <c r="D68" s="746">
        <v>49.35</v>
      </c>
      <c r="E68" s="746">
        <v>0</v>
      </c>
      <c r="F68" s="747" t="s">
        <v>1074</v>
      </c>
      <c r="G68" s="714" t="s">
        <v>1149</v>
      </c>
      <c r="H68" s="748" t="s">
        <v>1075</v>
      </c>
      <c r="I68" s="714" t="s">
        <v>1131</v>
      </c>
      <c r="J68" s="714" t="s">
        <v>1082</v>
      </c>
      <c r="K68" s="714" t="s">
        <v>1078</v>
      </c>
      <c r="L68" s="718"/>
      <c r="M68" s="718"/>
      <c r="N68" s="718" t="s">
        <v>1259</v>
      </c>
      <c r="O68" s="739"/>
      <c r="P68" s="718"/>
      <c r="Q68" s="718"/>
      <c r="U68" s="714" t="s">
        <v>1150</v>
      </c>
      <c r="V68" s="714" t="s">
        <v>1150</v>
      </c>
      <c r="X68" s="745">
        <v>43287</v>
      </c>
      <c r="Y68" s="745">
        <v>43290</v>
      </c>
      <c r="AA68" s="745"/>
      <c r="AB68" s="714" t="s">
        <v>1079</v>
      </c>
      <c r="AC68" s="714">
        <v>0</v>
      </c>
      <c r="AD68" s="714">
        <v>0</v>
      </c>
      <c r="AE68" s="714">
        <v>0</v>
      </c>
      <c r="AF68" s="714">
        <v>0</v>
      </c>
      <c r="AG68" s="714">
        <v>0</v>
      </c>
      <c r="AH68" s="714">
        <v>1</v>
      </c>
      <c r="AI68" s="714">
        <v>70095</v>
      </c>
      <c r="AJ68" s="714">
        <v>2183</v>
      </c>
      <c r="AK68" s="714">
        <v>0</v>
      </c>
      <c r="AL68" s="714">
        <v>0</v>
      </c>
      <c r="AO68" s="748"/>
      <c r="AP68" s="748"/>
      <c r="AQ68" s="714" t="str">
        <f t="shared" si="0"/>
        <v/>
      </c>
      <c r="AS68" s="714" t="str">
        <f t="shared" si="1"/>
        <v>wci_corp</v>
      </c>
    </row>
    <row r="69" spans="2:45">
      <c r="B69" s="714" t="s">
        <v>1228</v>
      </c>
      <c r="C69" s="745">
        <v>43281</v>
      </c>
      <c r="D69" s="746">
        <v>579.25</v>
      </c>
      <c r="E69" s="746">
        <v>0</v>
      </c>
      <c r="F69" s="747" t="s">
        <v>1074</v>
      </c>
      <c r="G69" s="714" t="s">
        <v>1149</v>
      </c>
      <c r="H69" s="748" t="s">
        <v>1075</v>
      </c>
      <c r="I69" s="714" t="s">
        <v>1131</v>
      </c>
      <c r="J69" s="714" t="s">
        <v>1082</v>
      </c>
      <c r="K69" s="714" t="s">
        <v>1078</v>
      </c>
      <c r="L69" s="718"/>
      <c r="M69" s="718"/>
      <c r="N69" s="718" t="s">
        <v>1304</v>
      </c>
      <c r="O69" s="739"/>
      <c r="P69" s="718"/>
      <c r="Q69" s="718"/>
      <c r="U69" s="714" t="s">
        <v>1150</v>
      </c>
      <c r="V69" s="714" t="s">
        <v>1150</v>
      </c>
      <c r="X69" s="745">
        <v>43287</v>
      </c>
      <c r="Y69" s="745">
        <v>43290</v>
      </c>
      <c r="AA69" s="745"/>
      <c r="AB69" s="714" t="s">
        <v>1079</v>
      </c>
      <c r="AC69" s="714">
        <v>0</v>
      </c>
      <c r="AD69" s="714">
        <v>0</v>
      </c>
      <c r="AE69" s="714">
        <v>0</v>
      </c>
      <c r="AF69" s="714">
        <v>0</v>
      </c>
      <c r="AG69" s="714">
        <v>0</v>
      </c>
      <c r="AH69" s="714">
        <v>1</v>
      </c>
      <c r="AI69" s="714">
        <v>70095</v>
      </c>
      <c r="AJ69" s="714">
        <v>2183</v>
      </c>
      <c r="AK69" s="714">
        <v>0</v>
      </c>
      <c r="AL69" s="714">
        <v>0</v>
      </c>
      <c r="AO69" s="748"/>
      <c r="AP69" s="748"/>
      <c r="AQ69" s="714" t="str">
        <f t="shared" si="0"/>
        <v/>
      </c>
      <c r="AS69" s="714" t="str">
        <f t="shared" si="1"/>
        <v>wci_corp</v>
      </c>
    </row>
    <row r="70" spans="2:45">
      <c r="B70" s="714" t="s">
        <v>1228</v>
      </c>
      <c r="C70" s="745">
        <v>43281</v>
      </c>
      <c r="D70" s="746">
        <v>138.41999999999999</v>
      </c>
      <c r="E70" s="746">
        <v>0</v>
      </c>
      <c r="F70" s="747" t="s">
        <v>1074</v>
      </c>
      <c r="G70" s="714" t="s">
        <v>1149</v>
      </c>
      <c r="H70" s="748" t="s">
        <v>1075</v>
      </c>
      <c r="I70" s="714" t="s">
        <v>1131</v>
      </c>
      <c r="J70" s="714" t="s">
        <v>1082</v>
      </c>
      <c r="K70" s="714" t="s">
        <v>1078</v>
      </c>
      <c r="L70" s="718"/>
      <c r="M70" s="718"/>
      <c r="N70" s="718" t="s">
        <v>1305</v>
      </c>
      <c r="O70" s="739"/>
      <c r="P70" s="718"/>
      <c r="Q70" s="718"/>
      <c r="U70" s="714" t="s">
        <v>1150</v>
      </c>
      <c r="V70" s="714" t="s">
        <v>1150</v>
      </c>
      <c r="X70" s="745">
        <v>43287</v>
      </c>
      <c r="Y70" s="745">
        <v>43290</v>
      </c>
      <c r="AA70" s="745"/>
      <c r="AB70" s="714" t="s">
        <v>1079</v>
      </c>
      <c r="AC70" s="714">
        <v>0</v>
      </c>
      <c r="AD70" s="714">
        <v>0</v>
      </c>
      <c r="AE70" s="714">
        <v>0</v>
      </c>
      <c r="AF70" s="714">
        <v>0</v>
      </c>
      <c r="AG70" s="714">
        <v>0</v>
      </c>
      <c r="AH70" s="714">
        <v>1</v>
      </c>
      <c r="AI70" s="714">
        <v>70095</v>
      </c>
      <c r="AJ70" s="714">
        <v>2183</v>
      </c>
      <c r="AK70" s="714">
        <v>0</v>
      </c>
      <c r="AL70" s="714">
        <v>0</v>
      </c>
      <c r="AO70" s="748"/>
      <c r="AP70" s="748"/>
      <c r="AQ70" s="714" t="str">
        <f t="shared" si="0"/>
        <v/>
      </c>
      <c r="AS70" s="714" t="str">
        <f t="shared" si="1"/>
        <v>wci_corp</v>
      </c>
    </row>
    <row r="71" spans="2:45">
      <c r="B71" s="714" t="s">
        <v>1228</v>
      </c>
      <c r="C71" s="745">
        <v>43312</v>
      </c>
      <c r="D71" s="746">
        <v>-41.34</v>
      </c>
      <c r="E71" s="746">
        <v>0</v>
      </c>
      <c r="F71" s="747" t="s">
        <v>1074</v>
      </c>
      <c r="G71" s="714" t="s">
        <v>1157</v>
      </c>
      <c r="H71" s="748" t="s">
        <v>1075</v>
      </c>
      <c r="I71" s="714" t="s">
        <v>1131</v>
      </c>
      <c r="J71" s="714" t="s">
        <v>1082</v>
      </c>
      <c r="K71" s="714" t="s">
        <v>1078</v>
      </c>
      <c r="L71" s="718"/>
      <c r="M71" s="718"/>
      <c r="N71" s="718" t="s">
        <v>1303</v>
      </c>
      <c r="O71" s="739"/>
      <c r="P71" s="718"/>
      <c r="Q71" s="718"/>
      <c r="U71" s="714" t="s">
        <v>1150</v>
      </c>
      <c r="V71" s="714" t="s">
        <v>1158</v>
      </c>
      <c r="X71" s="745">
        <v>43290</v>
      </c>
      <c r="Y71" s="745">
        <v>43290</v>
      </c>
      <c r="AA71" s="745"/>
      <c r="AB71" s="714" t="s">
        <v>1079</v>
      </c>
      <c r="AC71" s="714">
        <v>0</v>
      </c>
      <c r="AD71" s="714">
        <v>0</v>
      </c>
      <c r="AE71" s="714">
        <v>0</v>
      </c>
      <c r="AF71" s="714">
        <v>0</v>
      </c>
      <c r="AG71" s="714">
        <v>5</v>
      </c>
      <c r="AH71" s="714">
        <v>1</v>
      </c>
      <c r="AI71" s="714">
        <v>70095</v>
      </c>
      <c r="AJ71" s="714">
        <v>2183</v>
      </c>
      <c r="AK71" s="714">
        <v>0</v>
      </c>
      <c r="AL71" s="714">
        <v>0</v>
      </c>
      <c r="AO71" s="748"/>
      <c r="AP71" s="748"/>
      <c r="AQ71" s="714" t="str">
        <f t="shared" si="0"/>
        <v/>
      </c>
      <c r="AS71" s="714" t="str">
        <f t="shared" si="1"/>
        <v>wci_corp</v>
      </c>
    </row>
    <row r="72" spans="2:45">
      <c r="B72" s="714" t="s">
        <v>1228</v>
      </c>
      <c r="C72" s="745">
        <v>43312</v>
      </c>
      <c r="D72" s="746">
        <v>-446.49</v>
      </c>
      <c r="E72" s="746">
        <v>0</v>
      </c>
      <c r="F72" s="747" t="s">
        <v>1074</v>
      </c>
      <c r="G72" s="714" t="s">
        <v>1157</v>
      </c>
      <c r="H72" s="748" t="s">
        <v>1075</v>
      </c>
      <c r="I72" s="714" t="s">
        <v>1131</v>
      </c>
      <c r="J72" s="714" t="s">
        <v>1082</v>
      </c>
      <c r="K72" s="714" t="s">
        <v>1078</v>
      </c>
      <c r="L72" s="718"/>
      <c r="M72" s="718"/>
      <c r="N72" s="718" t="s">
        <v>1250</v>
      </c>
      <c r="O72" s="739"/>
      <c r="P72" s="718"/>
      <c r="Q72" s="718"/>
      <c r="U72" s="714" t="s">
        <v>1150</v>
      </c>
      <c r="V72" s="714" t="s">
        <v>1158</v>
      </c>
      <c r="X72" s="745">
        <v>43290</v>
      </c>
      <c r="Y72" s="745">
        <v>43290</v>
      </c>
      <c r="AA72" s="745"/>
      <c r="AB72" s="714" t="s">
        <v>1079</v>
      </c>
      <c r="AC72" s="714">
        <v>0</v>
      </c>
      <c r="AD72" s="714">
        <v>0</v>
      </c>
      <c r="AE72" s="714">
        <v>0</v>
      </c>
      <c r="AF72" s="714">
        <v>0</v>
      </c>
      <c r="AG72" s="714">
        <v>5</v>
      </c>
      <c r="AH72" s="714">
        <v>1</v>
      </c>
      <c r="AI72" s="714">
        <v>70095</v>
      </c>
      <c r="AJ72" s="714">
        <v>2183</v>
      </c>
      <c r="AK72" s="714">
        <v>0</v>
      </c>
      <c r="AL72" s="714">
        <v>0</v>
      </c>
      <c r="AO72" s="748"/>
      <c r="AP72" s="748"/>
      <c r="AQ72" s="714" t="str">
        <f t="shared" si="0"/>
        <v/>
      </c>
      <c r="AS72" s="714" t="str">
        <f t="shared" si="1"/>
        <v>wci_corp</v>
      </c>
    </row>
    <row r="73" spans="2:45">
      <c r="B73" s="714" t="s">
        <v>1228</v>
      </c>
      <c r="C73" s="745">
        <v>43312</v>
      </c>
      <c r="D73" s="746">
        <v>-49.35</v>
      </c>
      <c r="E73" s="746">
        <v>0</v>
      </c>
      <c r="F73" s="747" t="s">
        <v>1074</v>
      </c>
      <c r="G73" s="714" t="s">
        <v>1157</v>
      </c>
      <c r="H73" s="748" t="s">
        <v>1075</v>
      </c>
      <c r="I73" s="714" t="s">
        <v>1131</v>
      </c>
      <c r="J73" s="714" t="s">
        <v>1082</v>
      </c>
      <c r="K73" s="714" t="s">
        <v>1078</v>
      </c>
      <c r="L73" s="718"/>
      <c r="M73" s="718"/>
      <c r="N73" s="718" t="s">
        <v>1259</v>
      </c>
      <c r="O73" s="739"/>
      <c r="P73" s="718"/>
      <c r="Q73" s="718"/>
      <c r="U73" s="714" t="s">
        <v>1150</v>
      </c>
      <c r="V73" s="714" t="s">
        <v>1158</v>
      </c>
      <c r="X73" s="745">
        <v>43290</v>
      </c>
      <c r="Y73" s="745">
        <v>43290</v>
      </c>
      <c r="AA73" s="745"/>
      <c r="AB73" s="714" t="s">
        <v>1079</v>
      </c>
      <c r="AC73" s="714">
        <v>0</v>
      </c>
      <c r="AD73" s="714">
        <v>0</v>
      </c>
      <c r="AE73" s="714">
        <v>0</v>
      </c>
      <c r="AF73" s="714">
        <v>0</v>
      </c>
      <c r="AG73" s="714">
        <v>5</v>
      </c>
      <c r="AH73" s="714">
        <v>1</v>
      </c>
      <c r="AI73" s="714">
        <v>70095</v>
      </c>
      <c r="AJ73" s="714">
        <v>2183</v>
      </c>
      <c r="AK73" s="714">
        <v>0</v>
      </c>
      <c r="AL73" s="714">
        <v>0</v>
      </c>
      <c r="AO73" s="748"/>
      <c r="AP73" s="748"/>
      <c r="AQ73" s="714" t="str">
        <f t="shared" si="0"/>
        <v/>
      </c>
      <c r="AS73" s="714" t="str">
        <f t="shared" si="1"/>
        <v>wci_corp</v>
      </c>
    </row>
    <row r="74" spans="2:45">
      <c r="B74" s="714" t="s">
        <v>1228</v>
      </c>
      <c r="C74" s="745">
        <v>43312</v>
      </c>
      <c r="D74" s="746">
        <v>-579.25</v>
      </c>
      <c r="E74" s="746">
        <v>0</v>
      </c>
      <c r="F74" s="747" t="s">
        <v>1074</v>
      </c>
      <c r="G74" s="714" t="s">
        <v>1157</v>
      </c>
      <c r="H74" s="748" t="s">
        <v>1075</v>
      </c>
      <c r="I74" s="714" t="s">
        <v>1131</v>
      </c>
      <c r="J74" s="714" t="s">
        <v>1082</v>
      </c>
      <c r="K74" s="714" t="s">
        <v>1078</v>
      </c>
      <c r="L74" s="718"/>
      <c r="M74" s="718"/>
      <c r="N74" s="718" t="s">
        <v>1304</v>
      </c>
      <c r="O74" s="739"/>
      <c r="P74" s="718"/>
      <c r="Q74" s="718"/>
      <c r="U74" s="714" t="s">
        <v>1150</v>
      </c>
      <c r="V74" s="714" t="s">
        <v>1158</v>
      </c>
      <c r="X74" s="745">
        <v>43290</v>
      </c>
      <c r="Y74" s="745">
        <v>43290</v>
      </c>
      <c r="AA74" s="745"/>
      <c r="AB74" s="714" t="s">
        <v>1079</v>
      </c>
      <c r="AC74" s="714">
        <v>0</v>
      </c>
      <c r="AD74" s="714">
        <v>0</v>
      </c>
      <c r="AE74" s="714">
        <v>0</v>
      </c>
      <c r="AF74" s="714">
        <v>0</v>
      </c>
      <c r="AG74" s="714">
        <v>5</v>
      </c>
      <c r="AH74" s="714">
        <v>1</v>
      </c>
      <c r="AI74" s="714">
        <v>70095</v>
      </c>
      <c r="AJ74" s="714">
        <v>2183</v>
      </c>
      <c r="AK74" s="714">
        <v>0</v>
      </c>
      <c r="AL74" s="714">
        <v>0</v>
      </c>
      <c r="AO74" s="748"/>
      <c r="AP74" s="748"/>
      <c r="AQ74" s="714" t="str">
        <f t="shared" si="0"/>
        <v/>
      </c>
      <c r="AS74" s="714" t="str">
        <f t="shared" si="1"/>
        <v>wci_corp</v>
      </c>
    </row>
    <row r="75" spans="2:45">
      <c r="B75" s="714" t="s">
        <v>1228</v>
      </c>
      <c r="C75" s="745">
        <v>43312</v>
      </c>
      <c r="D75" s="746">
        <v>-138.41999999999999</v>
      </c>
      <c r="E75" s="746">
        <v>0</v>
      </c>
      <c r="F75" s="747" t="s">
        <v>1074</v>
      </c>
      <c r="G75" s="714" t="s">
        <v>1157</v>
      </c>
      <c r="H75" s="748" t="s">
        <v>1075</v>
      </c>
      <c r="I75" s="714" t="s">
        <v>1131</v>
      </c>
      <c r="J75" s="714" t="s">
        <v>1082</v>
      </c>
      <c r="K75" s="714" t="s">
        <v>1078</v>
      </c>
      <c r="L75" s="718"/>
      <c r="M75" s="718"/>
      <c r="N75" s="718" t="s">
        <v>1305</v>
      </c>
      <c r="O75" s="739"/>
      <c r="P75" s="718"/>
      <c r="Q75" s="718"/>
      <c r="U75" s="714" t="s">
        <v>1150</v>
      </c>
      <c r="V75" s="714" t="s">
        <v>1158</v>
      </c>
      <c r="X75" s="745">
        <v>43290</v>
      </c>
      <c r="Y75" s="745">
        <v>43290</v>
      </c>
      <c r="AA75" s="745"/>
      <c r="AB75" s="714" t="s">
        <v>1079</v>
      </c>
      <c r="AC75" s="714">
        <v>0</v>
      </c>
      <c r="AD75" s="714">
        <v>0</v>
      </c>
      <c r="AE75" s="714">
        <v>0</v>
      </c>
      <c r="AF75" s="714">
        <v>0</v>
      </c>
      <c r="AG75" s="714">
        <v>5</v>
      </c>
      <c r="AH75" s="714">
        <v>1</v>
      </c>
      <c r="AI75" s="714">
        <v>70095</v>
      </c>
      <c r="AJ75" s="714">
        <v>2183</v>
      </c>
      <c r="AK75" s="714">
        <v>0</v>
      </c>
      <c r="AL75" s="714">
        <v>0</v>
      </c>
      <c r="AO75" s="748"/>
      <c r="AP75" s="748"/>
      <c r="AQ75" s="714" t="str">
        <f t="shared" si="0"/>
        <v/>
      </c>
      <c r="AS75" s="714" t="str">
        <f t="shared" si="1"/>
        <v>wci_corp</v>
      </c>
    </row>
    <row r="76" spans="2:45">
      <c r="B76" s="714" t="s">
        <v>1228</v>
      </c>
      <c r="C76" s="745">
        <v>43312</v>
      </c>
      <c r="D76" s="746">
        <v>41.34</v>
      </c>
      <c r="E76" s="746">
        <v>0</v>
      </c>
      <c r="F76" s="747" t="s">
        <v>1074</v>
      </c>
      <c r="G76" s="714" t="s">
        <v>1159</v>
      </c>
      <c r="H76" s="748" t="s">
        <v>1075</v>
      </c>
      <c r="I76" s="714" t="s">
        <v>1160</v>
      </c>
      <c r="J76" s="714" t="s">
        <v>1082</v>
      </c>
      <c r="K76" s="714" t="s">
        <v>1078</v>
      </c>
      <c r="L76" s="718"/>
      <c r="M76" s="718"/>
      <c r="N76" s="718" t="s">
        <v>1303</v>
      </c>
      <c r="O76" s="739"/>
      <c r="P76" s="718"/>
      <c r="Q76" s="718"/>
      <c r="U76" s="714" t="s">
        <v>1161</v>
      </c>
      <c r="V76" s="714" t="s">
        <v>1161</v>
      </c>
      <c r="X76" s="745">
        <v>43314</v>
      </c>
      <c r="Y76" s="745">
        <v>43314</v>
      </c>
      <c r="AA76" s="745"/>
      <c r="AB76" s="714" t="s">
        <v>1079</v>
      </c>
      <c r="AC76" s="714">
        <v>0</v>
      </c>
      <c r="AD76" s="714">
        <v>0</v>
      </c>
      <c r="AE76" s="714">
        <v>0</v>
      </c>
      <c r="AF76" s="714">
        <v>0</v>
      </c>
      <c r="AG76" s="714">
        <v>0</v>
      </c>
      <c r="AH76" s="714">
        <v>1</v>
      </c>
      <c r="AI76" s="714">
        <v>70095</v>
      </c>
      <c r="AJ76" s="714">
        <v>2183</v>
      </c>
      <c r="AK76" s="714">
        <v>0</v>
      </c>
      <c r="AL76" s="714">
        <v>0</v>
      </c>
      <c r="AO76" s="748"/>
      <c r="AP76" s="748"/>
      <c r="AQ76" s="714" t="str">
        <f t="shared" si="0"/>
        <v/>
      </c>
      <c r="AS76" s="714" t="str">
        <f t="shared" si="1"/>
        <v>wci_corp</v>
      </c>
    </row>
    <row r="77" spans="2:45">
      <c r="B77" s="714" t="s">
        <v>1228</v>
      </c>
      <c r="C77" s="745">
        <v>43312</v>
      </c>
      <c r="D77" s="746">
        <v>446.49</v>
      </c>
      <c r="E77" s="746">
        <v>0</v>
      </c>
      <c r="F77" s="747" t="s">
        <v>1074</v>
      </c>
      <c r="G77" s="714" t="s">
        <v>1159</v>
      </c>
      <c r="H77" s="748" t="s">
        <v>1075</v>
      </c>
      <c r="I77" s="714" t="s">
        <v>1160</v>
      </c>
      <c r="J77" s="714" t="s">
        <v>1082</v>
      </c>
      <c r="K77" s="714" t="s">
        <v>1078</v>
      </c>
      <c r="L77" s="718"/>
      <c r="M77" s="718"/>
      <c r="N77" s="718" t="s">
        <v>1250</v>
      </c>
      <c r="O77" s="739"/>
      <c r="P77" s="718"/>
      <c r="Q77" s="718"/>
      <c r="U77" s="714" t="s">
        <v>1161</v>
      </c>
      <c r="V77" s="714" t="s">
        <v>1161</v>
      </c>
      <c r="X77" s="745">
        <v>43314</v>
      </c>
      <c r="Y77" s="745">
        <v>43314</v>
      </c>
      <c r="AA77" s="745"/>
      <c r="AB77" s="714" t="s">
        <v>1079</v>
      </c>
      <c r="AC77" s="714">
        <v>0</v>
      </c>
      <c r="AD77" s="714">
        <v>0</v>
      </c>
      <c r="AE77" s="714">
        <v>0</v>
      </c>
      <c r="AF77" s="714">
        <v>0</v>
      </c>
      <c r="AG77" s="714">
        <v>0</v>
      </c>
      <c r="AH77" s="714">
        <v>1</v>
      </c>
      <c r="AI77" s="714">
        <v>70095</v>
      </c>
      <c r="AJ77" s="714">
        <v>2183</v>
      </c>
      <c r="AK77" s="714">
        <v>0</v>
      </c>
      <c r="AL77" s="714">
        <v>0</v>
      </c>
      <c r="AO77" s="748"/>
      <c r="AP77" s="748"/>
      <c r="AQ77" s="714" t="str">
        <f t="shared" si="0"/>
        <v/>
      </c>
      <c r="AS77" s="714" t="str">
        <f t="shared" si="1"/>
        <v>wci_corp</v>
      </c>
    </row>
    <row r="78" spans="2:45">
      <c r="B78" s="714" t="s">
        <v>1228</v>
      </c>
      <c r="C78" s="745">
        <v>43312</v>
      </c>
      <c r="D78" s="746">
        <v>49.35</v>
      </c>
      <c r="E78" s="746">
        <v>0</v>
      </c>
      <c r="F78" s="747" t="s">
        <v>1074</v>
      </c>
      <c r="G78" s="714" t="s">
        <v>1159</v>
      </c>
      <c r="H78" s="748" t="s">
        <v>1075</v>
      </c>
      <c r="I78" s="714" t="s">
        <v>1160</v>
      </c>
      <c r="J78" s="714" t="s">
        <v>1082</v>
      </c>
      <c r="K78" s="714" t="s">
        <v>1078</v>
      </c>
      <c r="L78" s="718"/>
      <c r="M78" s="718"/>
      <c r="N78" s="718" t="s">
        <v>1259</v>
      </c>
      <c r="O78" s="739"/>
      <c r="P78" s="718"/>
      <c r="Q78" s="718"/>
      <c r="U78" s="714" t="s">
        <v>1161</v>
      </c>
      <c r="V78" s="714" t="s">
        <v>1161</v>
      </c>
      <c r="X78" s="745">
        <v>43314</v>
      </c>
      <c r="Y78" s="745">
        <v>43314</v>
      </c>
      <c r="AA78" s="745"/>
      <c r="AB78" s="714" t="s">
        <v>1079</v>
      </c>
      <c r="AC78" s="714">
        <v>0</v>
      </c>
      <c r="AD78" s="714">
        <v>0</v>
      </c>
      <c r="AE78" s="714">
        <v>0</v>
      </c>
      <c r="AF78" s="714">
        <v>0</v>
      </c>
      <c r="AG78" s="714">
        <v>0</v>
      </c>
      <c r="AH78" s="714">
        <v>1</v>
      </c>
      <c r="AI78" s="714">
        <v>70095</v>
      </c>
      <c r="AJ78" s="714">
        <v>2183</v>
      </c>
      <c r="AK78" s="714">
        <v>0</v>
      </c>
      <c r="AL78" s="714">
        <v>0</v>
      </c>
      <c r="AO78" s="748"/>
      <c r="AP78" s="748"/>
      <c r="AQ78" s="714" t="str">
        <f t="shared" si="0"/>
        <v/>
      </c>
      <c r="AS78" s="714" t="str">
        <f t="shared" si="1"/>
        <v>wci_corp</v>
      </c>
    </row>
    <row r="79" spans="2:45">
      <c r="B79" s="714" t="s">
        <v>1228</v>
      </c>
      <c r="C79" s="745">
        <v>43312</v>
      </c>
      <c r="D79" s="746">
        <v>579.25</v>
      </c>
      <c r="E79" s="746">
        <v>0</v>
      </c>
      <c r="F79" s="747" t="s">
        <v>1074</v>
      </c>
      <c r="G79" s="714" t="s">
        <v>1159</v>
      </c>
      <c r="H79" s="748" t="s">
        <v>1075</v>
      </c>
      <c r="I79" s="714" t="s">
        <v>1160</v>
      </c>
      <c r="J79" s="714" t="s">
        <v>1082</v>
      </c>
      <c r="K79" s="714" t="s">
        <v>1078</v>
      </c>
      <c r="L79" s="718"/>
      <c r="M79" s="718"/>
      <c r="N79" s="718" t="s">
        <v>1304</v>
      </c>
      <c r="O79" s="739"/>
      <c r="P79" s="718"/>
      <c r="Q79" s="718"/>
      <c r="U79" s="714" t="s">
        <v>1161</v>
      </c>
      <c r="V79" s="714" t="s">
        <v>1161</v>
      </c>
      <c r="X79" s="745">
        <v>43314</v>
      </c>
      <c r="Y79" s="745">
        <v>43314</v>
      </c>
      <c r="AA79" s="745"/>
      <c r="AB79" s="714" t="s">
        <v>1079</v>
      </c>
      <c r="AC79" s="714">
        <v>0</v>
      </c>
      <c r="AD79" s="714">
        <v>0</v>
      </c>
      <c r="AE79" s="714">
        <v>0</v>
      </c>
      <c r="AF79" s="714">
        <v>0</v>
      </c>
      <c r="AG79" s="714">
        <v>0</v>
      </c>
      <c r="AH79" s="714">
        <v>1</v>
      </c>
      <c r="AI79" s="714">
        <v>70095</v>
      </c>
      <c r="AJ79" s="714">
        <v>2183</v>
      </c>
      <c r="AK79" s="714">
        <v>0</v>
      </c>
      <c r="AL79" s="714">
        <v>0</v>
      </c>
      <c r="AO79" s="748"/>
      <c r="AP79" s="748"/>
      <c r="AQ79" s="714" t="str">
        <f t="shared" si="0"/>
        <v/>
      </c>
      <c r="AS79" s="714" t="str">
        <f t="shared" si="1"/>
        <v>wci_corp</v>
      </c>
    </row>
    <row r="80" spans="2:45">
      <c r="B80" s="714" t="s">
        <v>1228</v>
      </c>
      <c r="C80" s="745">
        <v>43312</v>
      </c>
      <c r="D80" s="746">
        <v>138.41999999999999</v>
      </c>
      <c r="E80" s="746">
        <v>0</v>
      </c>
      <c r="F80" s="747" t="s">
        <v>1074</v>
      </c>
      <c r="G80" s="714" t="s">
        <v>1159</v>
      </c>
      <c r="H80" s="748" t="s">
        <v>1075</v>
      </c>
      <c r="I80" s="714" t="s">
        <v>1160</v>
      </c>
      <c r="J80" s="714" t="s">
        <v>1082</v>
      </c>
      <c r="K80" s="714" t="s">
        <v>1078</v>
      </c>
      <c r="L80" s="718"/>
      <c r="M80" s="718"/>
      <c r="N80" s="718" t="s">
        <v>1305</v>
      </c>
      <c r="O80" s="739"/>
      <c r="P80" s="718"/>
      <c r="Q80" s="718"/>
      <c r="U80" s="714" t="s">
        <v>1161</v>
      </c>
      <c r="V80" s="714" t="s">
        <v>1161</v>
      </c>
      <c r="X80" s="745">
        <v>43314</v>
      </c>
      <c r="Y80" s="745">
        <v>43314</v>
      </c>
      <c r="AA80" s="745"/>
      <c r="AB80" s="714" t="s">
        <v>1079</v>
      </c>
      <c r="AC80" s="714">
        <v>0</v>
      </c>
      <c r="AD80" s="714">
        <v>0</v>
      </c>
      <c r="AE80" s="714">
        <v>0</v>
      </c>
      <c r="AF80" s="714">
        <v>0</v>
      </c>
      <c r="AG80" s="714">
        <v>0</v>
      </c>
      <c r="AH80" s="714">
        <v>1</v>
      </c>
      <c r="AI80" s="714">
        <v>70095</v>
      </c>
      <c r="AJ80" s="714">
        <v>2183</v>
      </c>
      <c r="AK80" s="714">
        <v>0</v>
      </c>
      <c r="AL80" s="714">
        <v>0</v>
      </c>
      <c r="AO80" s="748"/>
      <c r="AP80" s="748"/>
      <c r="AQ80" s="714" t="str">
        <f t="shared" si="0"/>
        <v/>
      </c>
      <c r="AS80" s="714" t="str">
        <f t="shared" si="1"/>
        <v>wci_corp</v>
      </c>
    </row>
    <row r="81" spans="2:45">
      <c r="B81" s="714" t="s">
        <v>1228</v>
      </c>
      <c r="C81" s="745">
        <v>43312</v>
      </c>
      <c r="D81" s="746">
        <v>41.36</v>
      </c>
      <c r="E81" s="746">
        <v>0</v>
      </c>
      <c r="F81" s="747" t="s">
        <v>1074</v>
      </c>
      <c r="G81" s="714" t="s">
        <v>1159</v>
      </c>
      <c r="H81" s="748" t="s">
        <v>1075</v>
      </c>
      <c r="I81" s="714" t="s">
        <v>1160</v>
      </c>
      <c r="J81" s="714" t="s">
        <v>1082</v>
      </c>
      <c r="K81" s="714" t="s">
        <v>1078</v>
      </c>
      <c r="L81" s="718"/>
      <c r="M81" s="718"/>
      <c r="N81" s="718" t="s">
        <v>1306</v>
      </c>
      <c r="O81" s="739"/>
      <c r="P81" s="718"/>
      <c r="Q81" s="718"/>
      <c r="U81" s="714" t="s">
        <v>1161</v>
      </c>
      <c r="V81" s="714" t="s">
        <v>1161</v>
      </c>
      <c r="X81" s="745">
        <v>43314</v>
      </c>
      <c r="Y81" s="745">
        <v>43314</v>
      </c>
      <c r="AA81" s="745"/>
      <c r="AB81" s="714" t="s">
        <v>1079</v>
      </c>
      <c r="AC81" s="714">
        <v>0</v>
      </c>
      <c r="AD81" s="714">
        <v>0</v>
      </c>
      <c r="AE81" s="714">
        <v>0</v>
      </c>
      <c r="AF81" s="714">
        <v>0</v>
      </c>
      <c r="AG81" s="714">
        <v>0</v>
      </c>
      <c r="AH81" s="714">
        <v>1</v>
      </c>
      <c r="AI81" s="714">
        <v>70095</v>
      </c>
      <c r="AJ81" s="714">
        <v>2183</v>
      </c>
      <c r="AK81" s="714">
        <v>0</v>
      </c>
      <c r="AL81" s="714">
        <v>0</v>
      </c>
      <c r="AO81" s="748"/>
      <c r="AP81" s="748"/>
      <c r="AQ81" s="714" t="str">
        <f t="shared" si="0"/>
        <v/>
      </c>
      <c r="AS81" s="714" t="str">
        <f t="shared" si="1"/>
        <v>wci_corp</v>
      </c>
    </row>
    <row r="82" spans="2:45">
      <c r="B82" s="714" t="s">
        <v>1228</v>
      </c>
      <c r="C82" s="745">
        <v>43312</v>
      </c>
      <c r="D82" s="746">
        <v>205.56</v>
      </c>
      <c r="E82" s="746">
        <v>0</v>
      </c>
      <c r="F82" s="747" t="s">
        <v>1074</v>
      </c>
      <c r="G82" s="714" t="s">
        <v>1159</v>
      </c>
      <c r="H82" s="748" t="s">
        <v>1075</v>
      </c>
      <c r="I82" s="714" t="s">
        <v>1160</v>
      </c>
      <c r="J82" s="714" t="s">
        <v>1082</v>
      </c>
      <c r="K82" s="714" t="s">
        <v>1078</v>
      </c>
      <c r="L82" s="718"/>
      <c r="M82" s="718"/>
      <c r="N82" s="718" t="s">
        <v>1290</v>
      </c>
      <c r="O82" s="739"/>
      <c r="P82" s="718"/>
      <c r="Q82" s="718"/>
      <c r="U82" s="714" t="s">
        <v>1161</v>
      </c>
      <c r="V82" s="714" t="s">
        <v>1161</v>
      </c>
      <c r="X82" s="745">
        <v>43314</v>
      </c>
      <c r="Y82" s="745">
        <v>43314</v>
      </c>
      <c r="AA82" s="745"/>
      <c r="AB82" s="714" t="s">
        <v>1079</v>
      </c>
      <c r="AC82" s="714">
        <v>0</v>
      </c>
      <c r="AD82" s="714">
        <v>0</v>
      </c>
      <c r="AE82" s="714">
        <v>0</v>
      </c>
      <c r="AF82" s="714">
        <v>0</v>
      </c>
      <c r="AG82" s="714">
        <v>0</v>
      </c>
      <c r="AH82" s="714">
        <v>1</v>
      </c>
      <c r="AI82" s="714">
        <v>70095</v>
      </c>
      <c r="AJ82" s="714">
        <v>2183</v>
      </c>
      <c r="AK82" s="714">
        <v>0</v>
      </c>
      <c r="AL82" s="714">
        <v>0</v>
      </c>
      <c r="AO82" s="748"/>
      <c r="AP82" s="748"/>
      <c r="AQ82" s="714" t="str">
        <f t="shared" si="0"/>
        <v/>
      </c>
      <c r="AS82" s="714" t="str">
        <f t="shared" si="1"/>
        <v>wci_corp</v>
      </c>
    </row>
    <row r="83" spans="2:45">
      <c r="B83" s="714" t="s">
        <v>1228</v>
      </c>
      <c r="C83" s="745">
        <v>43312</v>
      </c>
      <c r="D83" s="746">
        <v>88.33</v>
      </c>
      <c r="E83" s="746">
        <v>0</v>
      </c>
      <c r="F83" s="747" t="s">
        <v>1074</v>
      </c>
      <c r="G83" s="714" t="s">
        <v>1159</v>
      </c>
      <c r="H83" s="748" t="s">
        <v>1075</v>
      </c>
      <c r="I83" s="714" t="s">
        <v>1160</v>
      </c>
      <c r="J83" s="714" t="s">
        <v>1082</v>
      </c>
      <c r="K83" s="714" t="s">
        <v>1078</v>
      </c>
      <c r="L83" s="718"/>
      <c r="M83" s="718"/>
      <c r="N83" s="718" t="s">
        <v>1307</v>
      </c>
      <c r="O83" s="739"/>
      <c r="P83" s="718"/>
      <c r="Q83" s="718"/>
      <c r="U83" s="714" t="s">
        <v>1161</v>
      </c>
      <c r="V83" s="714" t="s">
        <v>1161</v>
      </c>
      <c r="X83" s="745">
        <v>43314</v>
      </c>
      <c r="Y83" s="745">
        <v>43314</v>
      </c>
      <c r="AA83" s="745"/>
      <c r="AB83" s="714" t="s">
        <v>1079</v>
      </c>
      <c r="AC83" s="714">
        <v>0</v>
      </c>
      <c r="AD83" s="714">
        <v>0</v>
      </c>
      <c r="AE83" s="714">
        <v>0</v>
      </c>
      <c r="AF83" s="714">
        <v>0</v>
      </c>
      <c r="AG83" s="714">
        <v>0</v>
      </c>
      <c r="AH83" s="714">
        <v>1</v>
      </c>
      <c r="AI83" s="714">
        <v>70095</v>
      </c>
      <c r="AJ83" s="714">
        <v>2183</v>
      </c>
      <c r="AK83" s="714">
        <v>0</v>
      </c>
      <c r="AL83" s="714">
        <v>0</v>
      </c>
      <c r="AO83" s="748"/>
      <c r="AP83" s="748"/>
      <c r="AQ83" s="714" t="str">
        <f t="shared" si="0"/>
        <v/>
      </c>
      <c r="AS83" s="714" t="str">
        <f t="shared" si="1"/>
        <v>wci_corp</v>
      </c>
    </row>
    <row r="84" spans="2:45">
      <c r="B84" s="714" t="s">
        <v>1228</v>
      </c>
      <c r="C84" s="745">
        <v>43312</v>
      </c>
      <c r="D84" s="746">
        <v>12.95</v>
      </c>
      <c r="E84" s="746">
        <v>0</v>
      </c>
      <c r="F84" s="747" t="s">
        <v>1074</v>
      </c>
      <c r="G84" s="714" t="s">
        <v>1159</v>
      </c>
      <c r="H84" s="748" t="s">
        <v>1075</v>
      </c>
      <c r="I84" s="714" t="s">
        <v>1160</v>
      </c>
      <c r="J84" s="714" t="s">
        <v>1082</v>
      </c>
      <c r="K84" s="714" t="s">
        <v>1078</v>
      </c>
      <c r="L84" s="718"/>
      <c r="M84" s="718"/>
      <c r="N84" s="718" t="s">
        <v>1307</v>
      </c>
      <c r="O84" s="739"/>
      <c r="P84" s="718"/>
      <c r="Q84" s="718"/>
      <c r="U84" s="714" t="s">
        <v>1161</v>
      </c>
      <c r="V84" s="714" t="s">
        <v>1161</v>
      </c>
      <c r="X84" s="745">
        <v>43314</v>
      </c>
      <c r="Y84" s="745">
        <v>43314</v>
      </c>
      <c r="AA84" s="745"/>
      <c r="AB84" s="714" t="s">
        <v>1079</v>
      </c>
      <c r="AC84" s="714">
        <v>0</v>
      </c>
      <c r="AD84" s="714">
        <v>0</v>
      </c>
      <c r="AE84" s="714">
        <v>0</v>
      </c>
      <c r="AF84" s="714">
        <v>0</v>
      </c>
      <c r="AG84" s="714">
        <v>0</v>
      </c>
      <c r="AH84" s="714">
        <v>1</v>
      </c>
      <c r="AI84" s="714">
        <v>70095</v>
      </c>
      <c r="AJ84" s="714">
        <v>2183</v>
      </c>
      <c r="AK84" s="714">
        <v>0</v>
      </c>
      <c r="AL84" s="714">
        <v>0</v>
      </c>
      <c r="AO84" s="748"/>
      <c r="AP84" s="748"/>
      <c r="AQ84" s="714" t="str">
        <f t="shared" si="0"/>
        <v/>
      </c>
      <c r="AS84" s="714" t="str">
        <f t="shared" si="1"/>
        <v>wci_corp</v>
      </c>
    </row>
    <row r="85" spans="2:45">
      <c r="B85" s="714" t="s">
        <v>1228</v>
      </c>
      <c r="C85" s="745">
        <v>43312</v>
      </c>
      <c r="D85" s="746">
        <v>33.979999999999997</v>
      </c>
      <c r="E85" s="746">
        <v>0</v>
      </c>
      <c r="F85" s="747" t="s">
        <v>1074</v>
      </c>
      <c r="G85" s="714" t="s">
        <v>1159</v>
      </c>
      <c r="H85" s="748" t="s">
        <v>1075</v>
      </c>
      <c r="I85" s="714" t="s">
        <v>1160</v>
      </c>
      <c r="J85" s="714" t="s">
        <v>1082</v>
      </c>
      <c r="K85" s="714" t="s">
        <v>1078</v>
      </c>
      <c r="L85" s="718"/>
      <c r="M85" s="718"/>
      <c r="N85" s="718" t="s">
        <v>1259</v>
      </c>
      <c r="O85" s="739"/>
      <c r="P85" s="718"/>
      <c r="Q85" s="718"/>
      <c r="U85" s="714" t="s">
        <v>1161</v>
      </c>
      <c r="V85" s="714" t="s">
        <v>1161</v>
      </c>
      <c r="X85" s="745">
        <v>43314</v>
      </c>
      <c r="Y85" s="745">
        <v>43314</v>
      </c>
      <c r="AA85" s="745"/>
      <c r="AB85" s="714" t="s">
        <v>1079</v>
      </c>
      <c r="AC85" s="714">
        <v>0</v>
      </c>
      <c r="AD85" s="714">
        <v>0</v>
      </c>
      <c r="AE85" s="714">
        <v>0</v>
      </c>
      <c r="AF85" s="714">
        <v>0</v>
      </c>
      <c r="AG85" s="714">
        <v>0</v>
      </c>
      <c r="AH85" s="714">
        <v>1</v>
      </c>
      <c r="AI85" s="714">
        <v>70095</v>
      </c>
      <c r="AJ85" s="714">
        <v>2183</v>
      </c>
      <c r="AK85" s="714">
        <v>0</v>
      </c>
      <c r="AL85" s="714">
        <v>0</v>
      </c>
      <c r="AO85" s="748"/>
      <c r="AP85" s="748"/>
      <c r="AQ85" s="714" t="str">
        <f t="shared" ref="AQ85:AQ148" si="2">IF(LEFT(U85,2)="VO",U85,"")</f>
        <v/>
      </c>
      <c r="AS85" s="714" t="str">
        <f t="shared" ref="AS85:AS148" si="3">IF(RIGHT(K85,2)="IC",IF(OR(AB85="wci_canada",AB85="wci_can_corp"),"wci_can_Corp","wci_corp"),AB85)</f>
        <v>wci_corp</v>
      </c>
    </row>
    <row r="86" spans="2:45">
      <c r="B86" s="714" t="s">
        <v>1228</v>
      </c>
      <c r="C86" s="745">
        <v>43312</v>
      </c>
      <c r="D86" s="746">
        <v>97.47</v>
      </c>
      <c r="E86" s="746">
        <v>0</v>
      </c>
      <c r="F86" s="747" t="s">
        <v>1074</v>
      </c>
      <c r="G86" s="714" t="s">
        <v>1159</v>
      </c>
      <c r="H86" s="748" t="s">
        <v>1075</v>
      </c>
      <c r="I86" s="714" t="s">
        <v>1160</v>
      </c>
      <c r="J86" s="714" t="s">
        <v>1082</v>
      </c>
      <c r="K86" s="714" t="s">
        <v>1078</v>
      </c>
      <c r="L86" s="718"/>
      <c r="M86" s="718"/>
      <c r="N86" s="718" t="s">
        <v>1250</v>
      </c>
      <c r="O86" s="739"/>
      <c r="P86" s="718"/>
      <c r="Q86" s="718"/>
      <c r="U86" s="714" t="s">
        <v>1161</v>
      </c>
      <c r="V86" s="714" t="s">
        <v>1161</v>
      </c>
      <c r="X86" s="745">
        <v>43314</v>
      </c>
      <c r="Y86" s="745">
        <v>43314</v>
      </c>
      <c r="AA86" s="745"/>
      <c r="AB86" s="714" t="s">
        <v>1079</v>
      </c>
      <c r="AC86" s="714">
        <v>0</v>
      </c>
      <c r="AD86" s="714">
        <v>0</v>
      </c>
      <c r="AE86" s="714">
        <v>0</v>
      </c>
      <c r="AF86" s="714">
        <v>0</v>
      </c>
      <c r="AG86" s="714">
        <v>0</v>
      </c>
      <c r="AH86" s="714">
        <v>1</v>
      </c>
      <c r="AI86" s="714">
        <v>70095</v>
      </c>
      <c r="AJ86" s="714">
        <v>2183</v>
      </c>
      <c r="AK86" s="714">
        <v>0</v>
      </c>
      <c r="AL86" s="714">
        <v>0</v>
      </c>
      <c r="AO86" s="748"/>
      <c r="AP86" s="748"/>
      <c r="AQ86" s="714" t="str">
        <f t="shared" si="2"/>
        <v/>
      </c>
      <c r="AS86" s="714" t="str">
        <f t="shared" si="3"/>
        <v>wci_corp</v>
      </c>
    </row>
    <row r="87" spans="2:45">
      <c r="B87" s="714" t="s">
        <v>1228</v>
      </c>
      <c r="C87" s="745">
        <v>43312</v>
      </c>
      <c r="D87" s="746">
        <v>226.45</v>
      </c>
      <c r="E87" s="746">
        <v>0</v>
      </c>
      <c r="F87" s="747" t="s">
        <v>1074</v>
      </c>
      <c r="G87" s="714" t="s">
        <v>1159</v>
      </c>
      <c r="H87" s="748" t="s">
        <v>1075</v>
      </c>
      <c r="I87" s="714" t="s">
        <v>1160</v>
      </c>
      <c r="J87" s="714" t="s">
        <v>1082</v>
      </c>
      <c r="K87" s="714" t="s">
        <v>1078</v>
      </c>
      <c r="L87" s="718"/>
      <c r="M87" s="718"/>
      <c r="N87" s="718" t="s">
        <v>1308</v>
      </c>
      <c r="O87" s="739"/>
      <c r="P87" s="718"/>
      <c r="Q87" s="718"/>
      <c r="U87" s="714" t="s">
        <v>1161</v>
      </c>
      <c r="V87" s="714" t="s">
        <v>1161</v>
      </c>
      <c r="X87" s="745">
        <v>43314</v>
      </c>
      <c r="Y87" s="745">
        <v>43314</v>
      </c>
      <c r="AA87" s="745"/>
      <c r="AB87" s="714" t="s">
        <v>1079</v>
      </c>
      <c r="AC87" s="714">
        <v>0</v>
      </c>
      <c r="AD87" s="714">
        <v>0</v>
      </c>
      <c r="AE87" s="714">
        <v>0</v>
      </c>
      <c r="AF87" s="714">
        <v>0</v>
      </c>
      <c r="AG87" s="714">
        <v>0</v>
      </c>
      <c r="AH87" s="714">
        <v>1</v>
      </c>
      <c r="AI87" s="714">
        <v>70095</v>
      </c>
      <c r="AJ87" s="714">
        <v>2183</v>
      </c>
      <c r="AK87" s="714">
        <v>0</v>
      </c>
      <c r="AL87" s="714">
        <v>0</v>
      </c>
      <c r="AO87" s="748"/>
      <c r="AP87" s="748"/>
      <c r="AQ87" s="714" t="str">
        <f t="shared" si="2"/>
        <v/>
      </c>
      <c r="AS87" s="714" t="str">
        <f t="shared" si="3"/>
        <v>wci_corp</v>
      </c>
    </row>
    <row r="88" spans="2:45">
      <c r="B88" s="714" t="s">
        <v>1228</v>
      </c>
      <c r="C88" s="745">
        <v>43312</v>
      </c>
      <c r="D88" s="746">
        <v>101.83</v>
      </c>
      <c r="E88" s="746">
        <v>0</v>
      </c>
      <c r="F88" s="747" t="s">
        <v>1074</v>
      </c>
      <c r="G88" s="714" t="s">
        <v>1159</v>
      </c>
      <c r="H88" s="748" t="s">
        <v>1075</v>
      </c>
      <c r="I88" s="714" t="s">
        <v>1160</v>
      </c>
      <c r="J88" s="714" t="s">
        <v>1082</v>
      </c>
      <c r="K88" s="714" t="s">
        <v>1078</v>
      </c>
      <c r="L88" s="718"/>
      <c r="M88" s="718"/>
      <c r="N88" s="718" t="s">
        <v>1250</v>
      </c>
      <c r="O88" s="739"/>
      <c r="P88" s="718"/>
      <c r="Q88" s="718"/>
      <c r="U88" s="714" t="s">
        <v>1161</v>
      </c>
      <c r="V88" s="714" t="s">
        <v>1161</v>
      </c>
      <c r="X88" s="745">
        <v>43314</v>
      </c>
      <c r="Y88" s="745">
        <v>43314</v>
      </c>
      <c r="AA88" s="745"/>
      <c r="AB88" s="714" t="s">
        <v>1079</v>
      </c>
      <c r="AC88" s="714">
        <v>0</v>
      </c>
      <c r="AD88" s="714">
        <v>0</v>
      </c>
      <c r="AE88" s="714">
        <v>0</v>
      </c>
      <c r="AF88" s="714">
        <v>0</v>
      </c>
      <c r="AG88" s="714">
        <v>0</v>
      </c>
      <c r="AH88" s="714">
        <v>1</v>
      </c>
      <c r="AI88" s="714">
        <v>70095</v>
      </c>
      <c r="AJ88" s="714">
        <v>2183</v>
      </c>
      <c r="AK88" s="714">
        <v>0</v>
      </c>
      <c r="AL88" s="714">
        <v>0</v>
      </c>
      <c r="AO88" s="748"/>
      <c r="AP88" s="748"/>
      <c r="AQ88" s="714" t="str">
        <f t="shared" si="2"/>
        <v/>
      </c>
      <c r="AS88" s="714" t="str">
        <f t="shared" si="3"/>
        <v>wci_corp</v>
      </c>
    </row>
    <row r="89" spans="2:45">
      <c r="B89" s="714" t="s">
        <v>1228</v>
      </c>
      <c r="C89" s="745">
        <v>43312</v>
      </c>
      <c r="D89" s="746">
        <v>89.98</v>
      </c>
      <c r="E89" s="746">
        <v>0</v>
      </c>
      <c r="F89" s="747" t="s">
        <v>1074</v>
      </c>
      <c r="G89" s="714" t="s">
        <v>1309</v>
      </c>
      <c r="H89" s="748" t="s">
        <v>1075</v>
      </c>
      <c r="I89" s="714" t="s">
        <v>1131</v>
      </c>
      <c r="J89" s="714" t="s">
        <v>1082</v>
      </c>
      <c r="K89" s="714" t="s">
        <v>1078</v>
      </c>
      <c r="L89" s="718"/>
      <c r="M89" s="718"/>
      <c r="N89" s="718" t="s">
        <v>1259</v>
      </c>
      <c r="O89" s="739"/>
      <c r="P89" s="718"/>
      <c r="Q89" s="718"/>
      <c r="U89" s="714" t="s">
        <v>1310</v>
      </c>
      <c r="V89" s="714" t="s">
        <v>1310</v>
      </c>
      <c r="X89" s="745">
        <v>43318</v>
      </c>
      <c r="Y89" s="745">
        <v>43319</v>
      </c>
      <c r="AA89" s="745"/>
      <c r="AB89" s="714" t="s">
        <v>1079</v>
      </c>
      <c r="AC89" s="714">
        <v>0</v>
      </c>
      <c r="AD89" s="714">
        <v>0</v>
      </c>
      <c r="AE89" s="714">
        <v>0</v>
      </c>
      <c r="AF89" s="714">
        <v>0</v>
      </c>
      <c r="AG89" s="714">
        <v>0</v>
      </c>
      <c r="AH89" s="714">
        <v>1</v>
      </c>
      <c r="AI89" s="714">
        <v>70095</v>
      </c>
      <c r="AJ89" s="714">
        <v>2183</v>
      </c>
      <c r="AK89" s="714">
        <v>0</v>
      </c>
      <c r="AL89" s="714">
        <v>0</v>
      </c>
      <c r="AO89" s="748"/>
      <c r="AP89" s="748"/>
      <c r="AQ89" s="714" t="str">
        <f t="shared" si="2"/>
        <v/>
      </c>
      <c r="AS89" s="714" t="str">
        <f t="shared" si="3"/>
        <v>wci_corp</v>
      </c>
    </row>
    <row r="90" spans="2:45">
      <c r="B90" s="714" t="s">
        <v>1228</v>
      </c>
      <c r="C90" s="745">
        <v>43312</v>
      </c>
      <c r="D90" s="746">
        <v>115.74</v>
      </c>
      <c r="E90" s="746">
        <v>0</v>
      </c>
      <c r="F90" s="747" t="s">
        <v>1074</v>
      </c>
      <c r="G90" s="714" t="s">
        <v>1309</v>
      </c>
      <c r="H90" s="748" t="s">
        <v>1075</v>
      </c>
      <c r="I90" s="714" t="s">
        <v>1131</v>
      </c>
      <c r="J90" s="714" t="s">
        <v>1082</v>
      </c>
      <c r="K90" s="714" t="s">
        <v>1078</v>
      </c>
      <c r="L90" s="718"/>
      <c r="M90" s="718"/>
      <c r="N90" s="718" t="s">
        <v>1288</v>
      </c>
      <c r="O90" s="739"/>
      <c r="P90" s="718"/>
      <c r="Q90" s="718"/>
      <c r="U90" s="714" t="s">
        <v>1310</v>
      </c>
      <c r="V90" s="714" t="s">
        <v>1310</v>
      </c>
      <c r="X90" s="745">
        <v>43318</v>
      </c>
      <c r="Y90" s="745">
        <v>43319</v>
      </c>
      <c r="AA90" s="745"/>
      <c r="AB90" s="714" t="s">
        <v>1079</v>
      </c>
      <c r="AC90" s="714">
        <v>0</v>
      </c>
      <c r="AD90" s="714">
        <v>0</v>
      </c>
      <c r="AE90" s="714">
        <v>0</v>
      </c>
      <c r="AF90" s="714">
        <v>0</v>
      </c>
      <c r="AG90" s="714">
        <v>0</v>
      </c>
      <c r="AH90" s="714">
        <v>1</v>
      </c>
      <c r="AI90" s="714">
        <v>70095</v>
      </c>
      <c r="AJ90" s="714">
        <v>2183</v>
      </c>
      <c r="AK90" s="714">
        <v>0</v>
      </c>
      <c r="AL90" s="714">
        <v>0</v>
      </c>
      <c r="AO90" s="748"/>
      <c r="AP90" s="748"/>
      <c r="AQ90" s="714" t="str">
        <f t="shared" si="2"/>
        <v/>
      </c>
      <c r="AS90" s="714" t="str">
        <f t="shared" si="3"/>
        <v>wci_corp</v>
      </c>
    </row>
    <row r="91" spans="2:45">
      <c r="B91" s="714" t="s">
        <v>1228</v>
      </c>
      <c r="C91" s="745">
        <v>43312</v>
      </c>
      <c r="D91" s="746">
        <v>238.96</v>
      </c>
      <c r="E91" s="746">
        <v>0</v>
      </c>
      <c r="F91" s="747" t="s">
        <v>1074</v>
      </c>
      <c r="G91" s="714" t="s">
        <v>1309</v>
      </c>
      <c r="H91" s="748" t="s">
        <v>1075</v>
      </c>
      <c r="I91" s="714" t="s">
        <v>1131</v>
      </c>
      <c r="J91" s="714" t="s">
        <v>1082</v>
      </c>
      <c r="K91" s="714" t="s">
        <v>1078</v>
      </c>
      <c r="L91" s="718"/>
      <c r="M91" s="718"/>
      <c r="N91" s="718" t="s">
        <v>1311</v>
      </c>
      <c r="O91" s="739"/>
      <c r="P91" s="718"/>
      <c r="Q91" s="718"/>
      <c r="U91" s="714" t="s">
        <v>1310</v>
      </c>
      <c r="V91" s="714" t="s">
        <v>1310</v>
      </c>
      <c r="X91" s="745">
        <v>43318</v>
      </c>
      <c r="Y91" s="745">
        <v>43319</v>
      </c>
      <c r="AA91" s="745"/>
      <c r="AB91" s="714" t="s">
        <v>1079</v>
      </c>
      <c r="AC91" s="714">
        <v>0</v>
      </c>
      <c r="AD91" s="714">
        <v>0</v>
      </c>
      <c r="AE91" s="714">
        <v>0</v>
      </c>
      <c r="AF91" s="714">
        <v>0</v>
      </c>
      <c r="AG91" s="714">
        <v>0</v>
      </c>
      <c r="AH91" s="714">
        <v>1</v>
      </c>
      <c r="AI91" s="714">
        <v>70095</v>
      </c>
      <c r="AJ91" s="714">
        <v>2183</v>
      </c>
      <c r="AK91" s="714">
        <v>0</v>
      </c>
      <c r="AL91" s="714">
        <v>0</v>
      </c>
      <c r="AO91" s="748"/>
      <c r="AP91" s="748"/>
      <c r="AQ91" s="714" t="str">
        <f t="shared" si="2"/>
        <v/>
      </c>
      <c r="AS91" s="714" t="str">
        <f t="shared" si="3"/>
        <v>wci_corp</v>
      </c>
    </row>
    <row r="92" spans="2:45">
      <c r="B92" s="714" t="s">
        <v>1228</v>
      </c>
      <c r="C92" s="745">
        <v>43312</v>
      </c>
      <c r="D92" s="746">
        <v>98</v>
      </c>
      <c r="E92" s="746">
        <v>0</v>
      </c>
      <c r="F92" s="747" t="s">
        <v>1074</v>
      </c>
      <c r="G92" s="714" t="s">
        <v>1309</v>
      </c>
      <c r="H92" s="748" t="s">
        <v>1075</v>
      </c>
      <c r="I92" s="714" t="s">
        <v>1131</v>
      </c>
      <c r="J92" s="714" t="s">
        <v>1082</v>
      </c>
      <c r="K92" s="714" t="s">
        <v>1078</v>
      </c>
      <c r="L92" s="718"/>
      <c r="M92" s="718"/>
      <c r="N92" s="718" t="s">
        <v>1312</v>
      </c>
      <c r="O92" s="739"/>
      <c r="P92" s="718"/>
      <c r="Q92" s="718"/>
      <c r="U92" s="714" t="s">
        <v>1310</v>
      </c>
      <c r="V92" s="714" t="s">
        <v>1310</v>
      </c>
      <c r="X92" s="745">
        <v>43318</v>
      </c>
      <c r="Y92" s="745">
        <v>43319</v>
      </c>
      <c r="AA92" s="745"/>
      <c r="AB92" s="714" t="s">
        <v>1079</v>
      </c>
      <c r="AC92" s="714">
        <v>0</v>
      </c>
      <c r="AD92" s="714">
        <v>0</v>
      </c>
      <c r="AE92" s="714">
        <v>0</v>
      </c>
      <c r="AF92" s="714">
        <v>0</v>
      </c>
      <c r="AG92" s="714">
        <v>0</v>
      </c>
      <c r="AH92" s="714">
        <v>1</v>
      </c>
      <c r="AI92" s="714">
        <v>70095</v>
      </c>
      <c r="AJ92" s="714">
        <v>2183</v>
      </c>
      <c r="AK92" s="714">
        <v>0</v>
      </c>
      <c r="AL92" s="714">
        <v>0</v>
      </c>
      <c r="AO92" s="748"/>
      <c r="AP92" s="748"/>
      <c r="AQ92" s="714" t="str">
        <f t="shared" si="2"/>
        <v/>
      </c>
      <c r="AS92" s="714" t="str">
        <f t="shared" si="3"/>
        <v>wci_corp</v>
      </c>
    </row>
    <row r="93" spans="2:45">
      <c r="B93" s="714" t="s">
        <v>1228</v>
      </c>
      <c r="C93" s="745">
        <v>43312</v>
      </c>
      <c r="D93" s="746">
        <v>0.98</v>
      </c>
      <c r="E93" s="746">
        <v>0</v>
      </c>
      <c r="F93" s="747" t="s">
        <v>1074</v>
      </c>
      <c r="G93" s="714" t="s">
        <v>1309</v>
      </c>
      <c r="H93" s="748" t="s">
        <v>1075</v>
      </c>
      <c r="I93" s="714" t="s">
        <v>1131</v>
      </c>
      <c r="J93" s="714" t="s">
        <v>1082</v>
      </c>
      <c r="K93" s="714" t="s">
        <v>1078</v>
      </c>
      <c r="L93" s="718"/>
      <c r="M93" s="718"/>
      <c r="N93" s="718" t="s">
        <v>1313</v>
      </c>
      <c r="O93" s="739"/>
      <c r="P93" s="718"/>
      <c r="Q93" s="718"/>
      <c r="U93" s="714" t="s">
        <v>1310</v>
      </c>
      <c r="V93" s="714" t="s">
        <v>1310</v>
      </c>
      <c r="X93" s="745">
        <v>43318</v>
      </c>
      <c r="Y93" s="745">
        <v>43319</v>
      </c>
      <c r="AA93" s="745"/>
      <c r="AB93" s="714" t="s">
        <v>1079</v>
      </c>
      <c r="AC93" s="714">
        <v>0</v>
      </c>
      <c r="AD93" s="714">
        <v>0</v>
      </c>
      <c r="AE93" s="714">
        <v>0</v>
      </c>
      <c r="AF93" s="714">
        <v>0</v>
      </c>
      <c r="AG93" s="714">
        <v>0</v>
      </c>
      <c r="AH93" s="714">
        <v>1</v>
      </c>
      <c r="AI93" s="714">
        <v>70095</v>
      </c>
      <c r="AJ93" s="714">
        <v>2183</v>
      </c>
      <c r="AK93" s="714">
        <v>0</v>
      </c>
      <c r="AL93" s="714">
        <v>0</v>
      </c>
      <c r="AO93" s="748"/>
      <c r="AP93" s="748"/>
      <c r="AQ93" s="714" t="str">
        <f t="shared" si="2"/>
        <v/>
      </c>
      <c r="AS93" s="714" t="str">
        <f t="shared" si="3"/>
        <v>wci_corp</v>
      </c>
    </row>
    <row r="94" spans="2:45">
      <c r="B94" s="714" t="s">
        <v>1228</v>
      </c>
      <c r="C94" s="745">
        <v>43325</v>
      </c>
      <c r="D94" s="746">
        <v>1500</v>
      </c>
      <c r="E94" s="746">
        <v>0</v>
      </c>
      <c r="F94" s="747" t="s">
        <v>1074</v>
      </c>
      <c r="G94" s="714" t="s">
        <v>1314</v>
      </c>
      <c r="H94" s="748" t="s">
        <v>1075</v>
      </c>
      <c r="I94" s="714" t="s">
        <v>1076</v>
      </c>
      <c r="J94" s="714" t="s">
        <v>1077</v>
      </c>
      <c r="K94" s="714" t="s">
        <v>1078</v>
      </c>
      <c r="L94" s="718" t="s">
        <v>1315</v>
      </c>
      <c r="M94" s="718"/>
      <c r="N94" s="718" t="s">
        <v>1316</v>
      </c>
      <c r="O94" s="739">
        <v>43313</v>
      </c>
      <c r="P94" s="718" t="s">
        <v>1317</v>
      </c>
      <c r="Q94" s="718" t="s">
        <v>1318</v>
      </c>
      <c r="R94" s="714" t="s">
        <v>1319</v>
      </c>
      <c r="U94" s="714" t="s">
        <v>1320</v>
      </c>
      <c r="V94" s="714" t="s">
        <v>1321</v>
      </c>
      <c r="W94" s="714">
        <v>2183</v>
      </c>
      <c r="X94" s="745">
        <v>43325</v>
      </c>
      <c r="Y94" s="745">
        <v>43325</v>
      </c>
      <c r="Z94" s="714">
        <v>1500</v>
      </c>
      <c r="AA94" s="745">
        <v>43323</v>
      </c>
      <c r="AB94" s="714" t="s">
        <v>1079</v>
      </c>
      <c r="AC94" s="714">
        <v>0</v>
      </c>
      <c r="AD94" s="714">
        <v>0</v>
      </c>
      <c r="AE94" s="714">
        <v>0</v>
      </c>
      <c r="AF94" s="714">
        <v>0</v>
      </c>
      <c r="AG94" s="714">
        <v>0</v>
      </c>
      <c r="AH94" s="714">
        <v>1</v>
      </c>
      <c r="AI94" s="714">
        <v>70095</v>
      </c>
      <c r="AJ94" s="714">
        <v>2183</v>
      </c>
      <c r="AK94" s="714">
        <v>0</v>
      </c>
      <c r="AL94" s="714">
        <v>0</v>
      </c>
      <c r="AO94" s="748"/>
      <c r="AP94" s="748"/>
      <c r="AQ94" s="714" t="str">
        <f t="shared" si="2"/>
        <v>VO04737794</v>
      </c>
      <c r="AS94" s="714" t="str">
        <f t="shared" si="3"/>
        <v>wci_corp</v>
      </c>
    </row>
    <row r="95" spans="2:45">
      <c r="B95" s="714" t="s">
        <v>1228</v>
      </c>
      <c r="C95" s="745">
        <v>43341</v>
      </c>
      <c r="D95" s="746">
        <v>216.03</v>
      </c>
      <c r="E95" s="746">
        <v>0</v>
      </c>
      <c r="F95" s="747" t="s">
        <v>1074</v>
      </c>
      <c r="G95" s="714" t="s">
        <v>1322</v>
      </c>
      <c r="H95" s="748" t="s">
        <v>1075</v>
      </c>
      <c r="I95" s="714" t="s">
        <v>1076</v>
      </c>
      <c r="J95" s="714" t="s">
        <v>1152</v>
      </c>
      <c r="K95" s="714" t="s">
        <v>1078</v>
      </c>
      <c r="L95" s="718" t="s">
        <v>1238</v>
      </c>
      <c r="M95" s="718" t="s">
        <v>1239</v>
      </c>
      <c r="N95" s="718" t="s">
        <v>1239</v>
      </c>
      <c r="O95" s="739">
        <v>43340</v>
      </c>
      <c r="P95" s="718" t="s">
        <v>1323</v>
      </c>
      <c r="Q95" s="718">
        <v>8282018</v>
      </c>
      <c r="R95" s="714" t="s">
        <v>1324</v>
      </c>
      <c r="U95" s="714" t="s">
        <v>1325</v>
      </c>
      <c r="V95" s="714" t="s">
        <v>1326</v>
      </c>
      <c r="W95" s="714">
        <v>2183</v>
      </c>
      <c r="X95" s="745">
        <v>43341</v>
      </c>
      <c r="Y95" s="745">
        <v>43342</v>
      </c>
      <c r="Z95" s="714">
        <v>906.14</v>
      </c>
      <c r="AA95" s="745">
        <v>43341</v>
      </c>
      <c r="AB95" s="714" t="s">
        <v>1079</v>
      </c>
      <c r="AC95" s="714">
        <v>0</v>
      </c>
      <c r="AD95" s="714">
        <v>0</v>
      </c>
      <c r="AE95" s="714">
        <v>0</v>
      </c>
      <c r="AF95" s="714">
        <v>0</v>
      </c>
      <c r="AG95" s="714">
        <v>0</v>
      </c>
      <c r="AH95" s="714">
        <v>1</v>
      </c>
      <c r="AI95" s="714">
        <v>70095</v>
      </c>
      <c r="AJ95" s="714">
        <v>2183</v>
      </c>
      <c r="AK95" s="714">
        <v>0</v>
      </c>
      <c r="AL95" s="714">
        <v>0</v>
      </c>
      <c r="AO95" s="748"/>
      <c r="AP95" s="748"/>
      <c r="AQ95" s="714" t="str">
        <f t="shared" si="2"/>
        <v>VO04755937</v>
      </c>
      <c r="AS95" s="714" t="str">
        <f t="shared" si="3"/>
        <v>wci_corp</v>
      </c>
    </row>
    <row r="96" spans="2:45">
      <c r="B96" s="714" t="s">
        <v>1228</v>
      </c>
      <c r="C96" s="745">
        <v>43343</v>
      </c>
      <c r="D96" s="746">
        <v>-89.98</v>
      </c>
      <c r="E96" s="746">
        <v>0</v>
      </c>
      <c r="F96" s="747" t="s">
        <v>1074</v>
      </c>
      <c r="G96" s="714" t="s">
        <v>1327</v>
      </c>
      <c r="H96" s="748" t="s">
        <v>1075</v>
      </c>
      <c r="I96" s="714" t="s">
        <v>1131</v>
      </c>
      <c r="J96" s="714" t="s">
        <v>1092</v>
      </c>
      <c r="K96" s="714" t="s">
        <v>1078</v>
      </c>
      <c r="L96" s="718"/>
      <c r="M96" s="718"/>
      <c r="N96" s="718" t="s">
        <v>1259</v>
      </c>
      <c r="O96" s="739"/>
      <c r="P96" s="718"/>
      <c r="Q96" s="718"/>
      <c r="U96" s="714" t="s">
        <v>1310</v>
      </c>
      <c r="V96" s="714" t="s">
        <v>1328</v>
      </c>
      <c r="X96" s="745">
        <v>43319</v>
      </c>
      <c r="Y96" s="745">
        <v>43319</v>
      </c>
      <c r="AA96" s="745"/>
      <c r="AB96" s="714" t="s">
        <v>1079</v>
      </c>
      <c r="AC96" s="714">
        <v>0</v>
      </c>
      <c r="AD96" s="714">
        <v>0</v>
      </c>
      <c r="AE96" s="714">
        <v>0</v>
      </c>
      <c r="AF96" s="714">
        <v>0</v>
      </c>
      <c r="AG96" s="714">
        <v>5</v>
      </c>
      <c r="AH96" s="714">
        <v>1</v>
      </c>
      <c r="AI96" s="714">
        <v>70095</v>
      </c>
      <c r="AJ96" s="714">
        <v>2183</v>
      </c>
      <c r="AK96" s="714">
        <v>0</v>
      </c>
      <c r="AL96" s="714">
        <v>0</v>
      </c>
      <c r="AO96" s="748"/>
      <c r="AP96" s="748"/>
      <c r="AQ96" s="714" t="str">
        <f t="shared" si="2"/>
        <v/>
      </c>
      <c r="AS96" s="714" t="str">
        <f t="shared" si="3"/>
        <v>wci_corp</v>
      </c>
    </row>
    <row r="97" spans="2:45">
      <c r="B97" s="714" t="s">
        <v>1228</v>
      </c>
      <c r="C97" s="745">
        <v>43343</v>
      </c>
      <c r="D97" s="746">
        <v>-115.74</v>
      </c>
      <c r="E97" s="746">
        <v>0</v>
      </c>
      <c r="F97" s="747" t="s">
        <v>1074</v>
      </c>
      <c r="G97" s="714" t="s">
        <v>1327</v>
      </c>
      <c r="H97" s="748" t="s">
        <v>1075</v>
      </c>
      <c r="I97" s="714" t="s">
        <v>1131</v>
      </c>
      <c r="J97" s="714" t="s">
        <v>1092</v>
      </c>
      <c r="K97" s="714" t="s">
        <v>1078</v>
      </c>
      <c r="L97" s="718"/>
      <c r="M97" s="718"/>
      <c r="N97" s="718" t="s">
        <v>1288</v>
      </c>
      <c r="O97" s="739"/>
      <c r="P97" s="718"/>
      <c r="Q97" s="718"/>
      <c r="U97" s="714" t="s">
        <v>1310</v>
      </c>
      <c r="V97" s="714" t="s">
        <v>1328</v>
      </c>
      <c r="X97" s="745">
        <v>43319</v>
      </c>
      <c r="Y97" s="745">
        <v>43319</v>
      </c>
      <c r="AA97" s="745"/>
      <c r="AB97" s="714" t="s">
        <v>1079</v>
      </c>
      <c r="AC97" s="714">
        <v>0</v>
      </c>
      <c r="AD97" s="714">
        <v>0</v>
      </c>
      <c r="AE97" s="714">
        <v>0</v>
      </c>
      <c r="AF97" s="714">
        <v>0</v>
      </c>
      <c r="AG97" s="714">
        <v>5</v>
      </c>
      <c r="AH97" s="714">
        <v>1</v>
      </c>
      <c r="AI97" s="714">
        <v>70095</v>
      </c>
      <c r="AJ97" s="714">
        <v>2183</v>
      </c>
      <c r="AK97" s="714">
        <v>0</v>
      </c>
      <c r="AL97" s="714">
        <v>0</v>
      </c>
      <c r="AO97" s="748"/>
      <c r="AP97" s="748"/>
      <c r="AQ97" s="714" t="str">
        <f t="shared" si="2"/>
        <v/>
      </c>
      <c r="AS97" s="714" t="str">
        <f t="shared" si="3"/>
        <v>wci_corp</v>
      </c>
    </row>
    <row r="98" spans="2:45">
      <c r="B98" s="714" t="s">
        <v>1228</v>
      </c>
      <c r="C98" s="745">
        <v>43343</v>
      </c>
      <c r="D98" s="746">
        <v>-238.96</v>
      </c>
      <c r="E98" s="746">
        <v>0</v>
      </c>
      <c r="F98" s="747" t="s">
        <v>1074</v>
      </c>
      <c r="G98" s="714" t="s">
        <v>1327</v>
      </c>
      <c r="H98" s="748" t="s">
        <v>1075</v>
      </c>
      <c r="I98" s="714" t="s">
        <v>1131</v>
      </c>
      <c r="J98" s="714" t="s">
        <v>1092</v>
      </c>
      <c r="K98" s="714" t="s">
        <v>1078</v>
      </c>
      <c r="L98" s="718"/>
      <c r="M98" s="718"/>
      <c r="N98" s="718" t="s">
        <v>1311</v>
      </c>
      <c r="O98" s="739"/>
      <c r="P98" s="718"/>
      <c r="Q98" s="718"/>
      <c r="U98" s="714" t="s">
        <v>1310</v>
      </c>
      <c r="V98" s="714" t="s">
        <v>1328</v>
      </c>
      <c r="X98" s="745">
        <v>43319</v>
      </c>
      <c r="Y98" s="745">
        <v>43319</v>
      </c>
      <c r="AA98" s="745"/>
      <c r="AB98" s="714" t="s">
        <v>1079</v>
      </c>
      <c r="AC98" s="714">
        <v>0</v>
      </c>
      <c r="AD98" s="714">
        <v>0</v>
      </c>
      <c r="AE98" s="714">
        <v>0</v>
      </c>
      <c r="AF98" s="714">
        <v>0</v>
      </c>
      <c r="AG98" s="714">
        <v>5</v>
      </c>
      <c r="AH98" s="714">
        <v>1</v>
      </c>
      <c r="AI98" s="714">
        <v>70095</v>
      </c>
      <c r="AJ98" s="714">
        <v>2183</v>
      </c>
      <c r="AK98" s="714">
        <v>0</v>
      </c>
      <c r="AL98" s="714">
        <v>0</v>
      </c>
      <c r="AO98" s="748"/>
      <c r="AP98" s="748"/>
      <c r="AQ98" s="714" t="str">
        <f t="shared" si="2"/>
        <v/>
      </c>
      <c r="AS98" s="714" t="str">
        <f t="shared" si="3"/>
        <v>wci_corp</v>
      </c>
    </row>
    <row r="99" spans="2:45">
      <c r="B99" s="714" t="s">
        <v>1228</v>
      </c>
      <c r="C99" s="745">
        <v>43343</v>
      </c>
      <c r="D99" s="746">
        <v>-98</v>
      </c>
      <c r="E99" s="746">
        <v>0</v>
      </c>
      <c r="F99" s="747" t="s">
        <v>1074</v>
      </c>
      <c r="G99" s="714" t="s">
        <v>1327</v>
      </c>
      <c r="H99" s="748" t="s">
        <v>1075</v>
      </c>
      <c r="I99" s="714" t="s">
        <v>1131</v>
      </c>
      <c r="J99" s="714" t="s">
        <v>1092</v>
      </c>
      <c r="K99" s="714" t="s">
        <v>1078</v>
      </c>
      <c r="L99" s="718"/>
      <c r="M99" s="718"/>
      <c r="N99" s="718" t="s">
        <v>1312</v>
      </c>
      <c r="O99" s="739"/>
      <c r="P99" s="718"/>
      <c r="Q99" s="718"/>
      <c r="U99" s="714" t="s">
        <v>1310</v>
      </c>
      <c r="V99" s="714" t="s">
        <v>1328</v>
      </c>
      <c r="X99" s="745">
        <v>43319</v>
      </c>
      <c r="Y99" s="745">
        <v>43319</v>
      </c>
      <c r="AA99" s="745"/>
      <c r="AB99" s="714" t="s">
        <v>1079</v>
      </c>
      <c r="AC99" s="714">
        <v>0</v>
      </c>
      <c r="AD99" s="714">
        <v>0</v>
      </c>
      <c r="AE99" s="714">
        <v>0</v>
      </c>
      <c r="AF99" s="714">
        <v>0</v>
      </c>
      <c r="AG99" s="714">
        <v>5</v>
      </c>
      <c r="AH99" s="714">
        <v>1</v>
      </c>
      <c r="AI99" s="714">
        <v>70095</v>
      </c>
      <c r="AJ99" s="714">
        <v>2183</v>
      </c>
      <c r="AK99" s="714">
        <v>0</v>
      </c>
      <c r="AL99" s="714">
        <v>0</v>
      </c>
      <c r="AO99" s="748"/>
      <c r="AP99" s="748"/>
      <c r="AQ99" s="714" t="str">
        <f t="shared" si="2"/>
        <v/>
      </c>
      <c r="AS99" s="714" t="str">
        <f t="shared" si="3"/>
        <v>wci_corp</v>
      </c>
    </row>
    <row r="100" spans="2:45">
      <c r="B100" s="714" t="s">
        <v>1228</v>
      </c>
      <c r="C100" s="745">
        <v>43343</v>
      </c>
      <c r="D100" s="746">
        <v>-0.98</v>
      </c>
      <c r="E100" s="746">
        <v>0</v>
      </c>
      <c r="F100" s="747" t="s">
        <v>1074</v>
      </c>
      <c r="G100" s="714" t="s">
        <v>1327</v>
      </c>
      <c r="H100" s="748" t="s">
        <v>1075</v>
      </c>
      <c r="I100" s="714" t="s">
        <v>1131</v>
      </c>
      <c r="J100" s="714" t="s">
        <v>1092</v>
      </c>
      <c r="K100" s="714" t="s">
        <v>1078</v>
      </c>
      <c r="L100" s="718"/>
      <c r="M100" s="718"/>
      <c r="N100" s="718" t="s">
        <v>1313</v>
      </c>
      <c r="O100" s="739"/>
      <c r="P100" s="718"/>
      <c r="Q100" s="718"/>
      <c r="U100" s="714" t="s">
        <v>1310</v>
      </c>
      <c r="V100" s="714" t="s">
        <v>1328</v>
      </c>
      <c r="X100" s="745">
        <v>43319</v>
      </c>
      <c r="Y100" s="745">
        <v>43319</v>
      </c>
      <c r="AA100" s="745"/>
      <c r="AB100" s="714" t="s">
        <v>1079</v>
      </c>
      <c r="AC100" s="714">
        <v>0</v>
      </c>
      <c r="AD100" s="714">
        <v>0</v>
      </c>
      <c r="AE100" s="714">
        <v>0</v>
      </c>
      <c r="AF100" s="714">
        <v>0</v>
      </c>
      <c r="AG100" s="714">
        <v>5</v>
      </c>
      <c r="AH100" s="714">
        <v>1</v>
      </c>
      <c r="AI100" s="714">
        <v>70095</v>
      </c>
      <c r="AJ100" s="714">
        <v>2183</v>
      </c>
      <c r="AK100" s="714">
        <v>0</v>
      </c>
      <c r="AL100" s="714">
        <v>0</v>
      </c>
      <c r="AO100" s="748"/>
      <c r="AP100" s="748"/>
      <c r="AQ100" s="714" t="str">
        <f t="shared" si="2"/>
        <v/>
      </c>
      <c r="AS100" s="714" t="str">
        <f t="shared" si="3"/>
        <v>wci_corp</v>
      </c>
    </row>
    <row r="101" spans="2:45">
      <c r="B101" s="714" t="s">
        <v>1228</v>
      </c>
      <c r="C101" s="745">
        <v>43343</v>
      </c>
      <c r="D101" s="746">
        <v>89.98</v>
      </c>
      <c r="E101" s="746">
        <v>0</v>
      </c>
      <c r="F101" s="747" t="s">
        <v>1074</v>
      </c>
      <c r="G101" s="714" t="s">
        <v>1168</v>
      </c>
      <c r="H101" s="748" t="s">
        <v>1075</v>
      </c>
      <c r="I101" s="714" t="s">
        <v>1169</v>
      </c>
      <c r="J101" s="714" t="s">
        <v>1092</v>
      </c>
      <c r="K101" s="714" t="s">
        <v>1078</v>
      </c>
      <c r="L101" s="718"/>
      <c r="M101" s="718"/>
      <c r="N101" s="718" t="s">
        <v>1259</v>
      </c>
      <c r="O101" s="739"/>
      <c r="P101" s="718"/>
      <c r="Q101" s="718"/>
      <c r="U101" s="714" t="s">
        <v>1170</v>
      </c>
      <c r="V101" s="714" t="s">
        <v>1170</v>
      </c>
      <c r="X101" s="745">
        <v>43348</v>
      </c>
      <c r="Y101" s="745">
        <v>43348</v>
      </c>
      <c r="AA101" s="745"/>
      <c r="AB101" s="714" t="s">
        <v>1079</v>
      </c>
      <c r="AC101" s="714">
        <v>0</v>
      </c>
      <c r="AD101" s="714">
        <v>0</v>
      </c>
      <c r="AE101" s="714">
        <v>0</v>
      </c>
      <c r="AF101" s="714">
        <v>0</v>
      </c>
      <c r="AG101" s="714">
        <v>0</v>
      </c>
      <c r="AH101" s="714">
        <v>1</v>
      </c>
      <c r="AI101" s="714">
        <v>70095</v>
      </c>
      <c r="AJ101" s="714">
        <v>2183</v>
      </c>
      <c r="AK101" s="714">
        <v>0</v>
      </c>
      <c r="AL101" s="714">
        <v>0</v>
      </c>
      <c r="AO101" s="748"/>
      <c r="AP101" s="748"/>
      <c r="AQ101" s="714" t="str">
        <f t="shared" si="2"/>
        <v/>
      </c>
      <c r="AS101" s="714" t="str">
        <f t="shared" si="3"/>
        <v>wci_corp</v>
      </c>
    </row>
    <row r="102" spans="2:45">
      <c r="B102" s="714" t="s">
        <v>1228</v>
      </c>
      <c r="C102" s="745">
        <v>43343</v>
      </c>
      <c r="D102" s="746">
        <v>115.74</v>
      </c>
      <c r="E102" s="746">
        <v>0</v>
      </c>
      <c r="F102" s="747" t="s">
        <v>1074</v>
      </c>
      <c r="G102" s="714" t="s">
        <v>1168</v>
      </c>
      <c r="H102" s="748" t="s">
        <v>1075</v>
      </c>
      <c r="I102" s="714" t="s">
        <v>1169</v>
      </c>
      <c r="J102" s="714" t="s">
        <v>1092</v>
      </c>
      <c r="K102" s="714" t="s">
        <v>1078</v>
      </c>
      <c r="L102" s="718"/>
      <c r="M102" s="718"/>
      <c r="N102" s="718" t="s">
        <v>1288</v>
      </c>
      <c r="O102" s="739"/>
      <c r="P102" s="718"/>
      <c r="Q102" s="718"/>
      <c r="U102" s="714" t="s">
        <v>1170</v>
      </c>
      <c r="V102" s="714" t="s">
        <v>1170</v>
      </c>
      <c r="X102" s="745">
        <v>43348</v>
      </c>
      <c r="Y102" s="745">
        <v>43348</v>
      </c>
      <c r="AA102" s="745"/>
      <c r="AB102" s="714" t="s">
        <v>1079</v>
      </c>
      <c r="AC102" s="714">
        <v>0</v>
      </c>
      <c r="AD102" s="714">
        <v>0</v>
      </c>
      <c r="AE102" s="714">
        <v>0</v>
      </c>
      <c r="AF102" s="714">
        <v>0</v>
      </c>
      <c r="AG102" s="714">
        <v>0</v>
      </c>
      <c r="AH102" s="714">
        <v>1</v>
      </c>
      <c r="AI102" s="714">
        <v>70095</v>
      </c>
      <c r="AJ102" s="714">
        <v>2183</v>
      </c>
      <c r="AK102" s="714">
        <v>0</v>
      </c>
      <c r="AL102" s="714">
        <v>0</v>
      </c>
      <c r="AO102" s="748"/>
      <c r="AP102" s="748"/>
      <c r="AQ102" s="714" t="str">
        <f t="shared" si="2"/>
        <v/>
      </c>
      <c r="AS102" s="714" t="str">
        <f t="shared" si="3"/>
        <v>wci_corp</v>
      </c>
    </row>
    <row r="103" spans="2:45">
      <c r="B103" s="714" t="s">
        <v>1228</v>
      </c>
      <c r="C103" s="745">
        <v>43343</v>
      </c>
      <c r="D103" s="746">
        <v>238.96</v>
      </c>
      <c r="E103" s="746">
        <v>0</v>
      </c>
      <c r="F103" s="747" t="s">
        <v>1074</v>
      </c>
      <c r="G103" s="714" t="s">
        <v>1168</v>
      </c>
      <c r="H103" s="748" t="s">
        <v>1075</v>
      </c>
      <c r="I103" s="714" t="s">
        <v>1169</v>
      </c>
      <c r="J103" s="714" t="s">
        <v>1092</v>
      </c>
      <c r="K103" s="714" t="s">
        <v>1078</v>
      </c>
      <c r="L103" s="718"/>
      <c r="M103" s="718"/>
      <c r="N103" s="718" t="s">
        <v>1311</v>
      </c>
      <c r="O103" s="739"/>
      <c r="P103" s="718"/>
      <c r="Q103" s="718"/>
      <c r="U103" s="714" t="s">
        <v>1170</v>
      </c>
      <c r="V103" s="714" t="s">
        <v>1170</v>
      </c>
      <c r="X103" s="745">
        <v>43348</v>
      </c>
      <c r="Y103" s="745">
        <v>43348</v>
      </c>
      <c r="AA103" s="745"/>
      <c r="AB103" s="714" t="s">
        <v>1079</v>
      </c>
      <c r="AC103" s="714">
        <v>0</v>
      </c>
      <c r="AD103" s="714">
        <v>0</v>
      </c>
      <c r="AE103" s="714">
        <v>0</v>
      </c>
      <c r="AF103" s="714">
        <v>0</v>
      </c>
      <c r="AG103" s="714">
        <v>0</v>
      </c>
      <c r="AH103" s="714">
        <v>1</v>
      </c>
      <c r="AI103" s="714">
        <v>70095</v>
      </c>
      <c r="AJ103" s="714">
        <v>2183</v>
      </c>
      <c r="AK103" s="714">
        <v>0</v>
      </c>
      <c r="AL103" s="714">
        <v>0</v>
      </c>
      <c r="AO103" s="748"/>
      <c r="AP103" s="748"/>
      <c r="AQ103" s="714" t="str">
        <f t="shared" si="2"/>
        <v/>
      </c>
      <c r="AS103" s="714" t="str">
        <f t="shared" si="3"/>
        <v>wci_corp</v>
      </c>
    </row>
    <row r="104" spans="2:45">
      <c r="B104" s="714" t="s">
        <v>1228</v>
      </c>
      <c r="C104" s="745">
        <v>43343</v>
      </c>
      <c r="D104" s="746">
        <v>98</v>
      </c>
      <c r="E104" s="746">
        <v>0</v>
      </c>
      <c r="F104" s="747" t="s">
        <v>1074</v>
      </c>
      <c r="G104" s="714" t="s">
        <v>1168</v>
      </c>
      <c r="H104" s="748" t="s">
        <v>1075</v>
      </c>
      <c r="I104" s="714" t="s">
        <v>1169</v>
      </c>
      <c r="J104" s="714" t="s">
        <v>1092</v>
      </c>
      <c r="K104" s="714" t="s">
        <v>1078</v>
      </c>
      <c r="L104" s="718"/>
      <c r="M104" s="718"/>
      <c r="N104" s="718" t="s">
        <v>1312</v>
      </c>
      <c r="O104" s="739"/>
      <c r="P104" s="718"/>
      <c r="Q104" s="718"/>
      <c r="U104" s="714" t="s">
        <v>1170</v>
      </c>
      <c r="V104" s="714" t="s">
        <v>1170</v>
      </c>
      <c r="X104" s="745">
        <v>43348</v>
      </c>
      <c r="Y104" s="745">
        <v>43348</v>
      </c>
      <c r="AA104" s="745"/>
      <c r="AB104" s="714" t="s">
        <v>1079</v>
      </c>
      <c r="AC104" s="714">
        <v>0</v>
      </c>
      <c r="AD104" s="714">
        <v>0</v>
      </c>
      <c r="AE104" s="714">
        <v>0</v>
      </c>
      <c r="AF104" s="714">
        <v>0</v>
      </c>
      <c r="AG104" s="714">
        <v>0</v>
      </c>
      <c r="AH104" s="714">
        <v>1</v>
      </c>
      <c r="AI104" s="714">
        <v>70095</v>
      </c>
      <c r="AJ104" s="714">
        <v>2183</v>
      </c>
      <c r="AK104" s="714">
        <v>0</v>
      </c>
      <c r="AL104" s="714">
        <v>0</v>
      </c>
      <c r="AO104" s="748"/>
      <c r="AP104" s="748"/>
      <c r="AQ104" s="714" t="str">
        <f t="shared" si="2"/>
        <v/>
      </c>
      <c r="AS104" s="714" t="str">
        <f t="shared" si="3"/>
        <v>wci_corp</v>
      </c>
    </row>
    <row r="105" spans="2:45">
      <c r="B105" s="714" t="s">
        <v>1228</v>
      </c>
      <c r="C105" s="745">
        <v>43343</v>
      </c>
      <c r="D105" s="746">
        <v>0.98</v>
      </c>
      <c r="E105" s="746">
        <v>0</v>
      </c>
      <c r="F105" s="747" t="s">
        <v>1074</v>
      </c>
      <c r="G105" s="714" t="s">
        <v>1168</v>
      </c>
      <c r="H105" s="748" t="s">
        <v>1075</v>
      </c>
      <c r="I105" s="714" t="s">
        <v>1169</v>
      </c>
      <c r="J105" s="714" t="s">
        <v>1092</v>
      </c>
      <c r="K105" s="714" t="s">
        <v>1078</v>
      </c>
      <c r="L105" s="718"/>
      <c r="M105" s="718"/>
      <c r="N105" s="718" t="s">
        <v>1313</v>
      </c>
      <c r="O105" s="739"/>
      <c r="P105" s="718"/>
      <c r="Q105" s="718"/>
      <c r="U105" s="714" t="s">
        <v>1170</v>
      </c>
      <c r="V105" s="714" t="s">
        <v>1170</v>
      </c>
      <c r="X105" s="745">
        <v>43348</v>
      </c>
      <c r="Y105" s="745">
        <v>43348</v>
      </c>
      <c r="AA105" s="745"/>
      <c r="AB105" s="714" t="s">
        <v>1079</v>
      </c>
      <c r="AC105" s="714">
        <v>0</v>
      </c>
      <c r="AD105" s="714">
        <v>0</v>
      </c>
      <c r="AE105" s="714">
        <v>0</v>
      </c>
      <c r="AF105" s="714">
        <v>0</v>
      </c>
      <c r="AG105" s="714">
        <v>0</v>
      </c>
      <c r="AH105" s="714">
        <v>1</v>
      </c>
      <c r="AI105" s="714">
        <v>70095</v>
      </c>
      <c r="AJ105" s="714">
        <v>2183</v>
      </c>
      <c r="AK105" s="714">
        <v>0</v>
      </c>
      <c r="AL105" s="714">
        <v>0</v>
      </c>
      <c r="AO105" s="748"/>
      <c r="AP105" s="748"/>
      <c r="AQ105" s="714" t="str">
        <f t="shared" si="2"/>
        <v/>
      </c>
      <c r="AS105" s="714" t="str">
        <f t="shared" si="3"/>
        <v>wci_corp</v>
      </c>
    </row>
    <row r="106" spans="2:45">
      <c r="B106" s="714" t="s">
        <v>1228</v>
      </c>
      <c r="C106" s="745">
        <v>43343</v>
      </c>
      <c r="D106" s="746">
        <v>29.56</v>
      </c>
      <c r="E106" s="746">
        <v>0</v>
      </c>
      <c r="F106" s="747" t="s">
        <v>1074</v>
      </c>
      <c r="G106" s="714" t="s">
        <v>1168</v>
      </c>
      <c r="H106" s="748" t="s">
        <v>1075</v>
      </c>
      <c r="I106" s="714" t="s">
        <v>1169</v>
      </c>
      <c r="J106" s="714" t="s">
        <v>1092</v>
      </c>
      <c r="K106" s="714" t="s">
        <v>1078</v>
      </c>
      <c r="L106" s="718"/>
      <c r="M106" s="718"/>
      <c r="N106" s="718" t="s">
        <v>1329</v>
      </c>
      <c r="O106" s="739"/>
      <c r="P106" s="718"/>
      <c r="Q106" s="718"/>
      <c r="U106" s="714" t="s">
        <v>1170</v>
      </c>
      <c r="V106" s="714" t="s">
        <v>1170</v>
      </c>
      <c r="X106" s="745">
        <v>43348</v>
      </c>
      <c r="Y106" s="745">
        <v>43348</v>
      </c>
      <c r="AA106" s="745"/>
      <c r="AB106" s="714" t="s">
        <v>1079</v>
      </c>
      <c r="AC106" s="714">
        <v>0</v>
      </c>
      <c r="AD106" s="714">
        <v>0</v>
      </c>
      <c r="AE106" s="714">
        <v>0</v>
      </c>
      <c r="AF106" s="714">
        <v>0</v>
      </c>
      <c r="AG106" s="714">
        <v>0</v>
      </c>
      <c r="AH106" s="714">
        <v>1</v>
      </c>
      <c r="AI106" s="714">
        <v>70095</v>
      </c>
      <c r="AJ106" s="714">
        <v>2183</v>
      </c>
      <c r="AK106" s="714">
        <v>0</v>
      </c>
      <c r="AL106" s="714">
        <v>0</v>
      </c>
      <c r="AO106" s="748"/>
      <c r="AP106" s="748"/>
      <c r="AQ106" s="714" t="str">
        <f t="shared" si="2"/>
        <v/>
      </c>
      <c r="AS106" s="714" t="str">
        <f t="shared" si="3"/>
        <v>wci_corp</v>
      </c>
    </row>
    <row r="107" spans="2:45">
      <c r="B107" s="714" t="s">
        <v>1228</v>
      </c>
      <c r="C107" s="745">
        <v>43343</v>
      </c>
      <c r="D107" s="746">
        <v>8.98</v>
      </c>
      <c r="E107" s="746">
        <v>0</v>
      </c>
      <c r="F107" s="747" t="s">
        <v>1074</v>
      </c>
      <c r="G107" s="714" t="s">
        <v>1168</v>
      </c>
      <c r="H107" s="748" t="s">
        <v>1075</v>
      </c>
      <c r="I107" s="714" t="s">
        <v>1169</v>
      </c>
      <c r="J107" s="714" t="s">
        <v>1092</v>
      </c>
      <c r="K107" s="714" t="s">
        <v>1078</v>
      </c>
      <c r="L107" s="718"/>
      <c r="M107" s="718"/>
      <c r="N107" s="718" t="s">
        <v>1307</v>
      </c>
      <c r="O107" s="739"/>
      <c r="P107" s="718"/>
      <c r="Q107" s="718"/>
      <c r="U107" s="714" t="s">
        <v>1170</v>
      </c>
      <c r="V107" s="714" t="s">
        <v>1170</v>
      </c>
      <c r="X107" s="745">
        <v>43348</v>
      </c>
      <c r="Y107" s="745">
        <v>43348</v>
      </c>
      <c r="AA107" s="745"/>
      <c r="AB107" s="714" t="s">
        <v>1079</v>
      </c>
      <c r="AC107" s="714">
        <v>0</v>
      </c>
      <c r="AD107" s="714">
        <v>0</v>
      </c>
      <c r="AE107" s="714">
        <v>0</v>
      </c>
      <c r="AF107" s="714">
        <v>0</v>
      </c>
      <c r="AG107" s="714">
        <v>0</v>
      </c>
      <c r="AH107" s="714">
        <v>1</v>
      </c>
      <c r="AI107" s="714">
        <v>70095</v>
      </c>
      <c r="AJ107" s="714">
        <v>2183</v>
      </c>
      <c r="AK107" s="714">
        <v>0</v>
      </c>
      <c r="AL107" s="714">
        <v>0</v>
      </c>
      <c r="AO107" s="748"/>
      <c r="AP107" s="748"/>
      <c r="AQ107" s="714" t="str">
        <f t="shared" si="2"/>
        <v/>
      </c>
      <c r="AS107" s="714" t="str">
        <f t="shared" si="3"/>
        <v>wci_corp</v>
      </c>
    </row>
    <row r="108" spans="2:45">
      <c r="B108" s="714" t="s">
        <v>1228</v>
      </c>
      <c r="C108" s="745">
        <v>43343</v>
      </c>
      <c r="D108" s="746">
        <v>21.98</v>
      </c>
      <c r="E108" s="746">
        <v>0</v>
      </c>
      <c r="F108" s="747" t="s">
        <v>1074</v>
      </c>
      <c r="G108" s="714" t="s">
        <v>1168</v>
      </c>
      <c r="H108" s="748" t="s">
        <v>1075</v>
      </c>
      <c r="I108" s="714" t="s">
        <v>1169</v>
      </c>
      <c r="J108" s="714" t="s">
        <v>1092</v>
      </c>
      <c r="K108" s="714" t="s">
        <v>1078</v>
      </c>
      <c r="L108" s="718"/>
      <c r="M108" s="718"/>
      <c r="N108" s="718" t="s">
        <v>1330</v>
      </c>
      <c r="O108" s="739"/>
      <c r="P108" s="718"/>
      <c r="Q108" s="718"/>
      <c r="U108" s="714" t="s">
        <v>1170</v>
      </c>
      <c r="V108" s="714" t="s">
        <v>1170</v>
      </c>
      <c r="X108" s="745">
        <v>43348</v>
      </c>
      <c r="Y108" s="745">
        <v>43348</v>
      </c>
      <c r="AA108" s="745"/>
      <c r="AB108" s="714" t="s">
        <v>1079</v>
      </c>
      <c r="AC108" s="714">
        <v>0</v>
      </c>
      <c r="AD108" s="714">
        <v>0</v>
      </c>
      <c r="AE108" s="714">
        <v>0</v>
      </c>
      <c r="AF108" s="714">
        <v>0</v>
      </c>
      <c r="AG108" s="714">
        <v>0</v>
      </c>
      <c r="AH108" s="714">
        <v>1</v>
      </c>
      <c r="AI108" s="714">
        <v>70095</v>
      </c>
      <c r="AJ108" s="714">
        <v>2183</v>
      </c>
      <c r="AK108" s="714">
        <v>0</v>
      </c>
      <c r="AL108" s="714">
        <v>0</v>
      </c>
      <c r="AO108" s="748"/>
      <c r="AP108" s="748"/>
      <c r="AQ108" s="714" t="str">
        <f t="shared" si="2"/>
        <v/>
      </c>
      <c r="AS108" s="714" t="str">
        <f t="shared" si="3"/>
        <v>wci_corp</v>
      </c>
    </row>
    <row r="109" spans="2:45">
      <c r="B109" s="714" t="s">
        <v>1228</v>
      </c>
      <c r="C109" s="745">
        <v>43343</v>
      </c>
      <c r="D109" s="746">
        <v>87.13</v>
      </c>
      <c r="E109" s="746">
        <v>0</v>
      </c>
      <c r="F109" s="747" t="s">
        <v>1074</v>
      </c>
      <c r="G109" s="714" t="s">
        <v>1168</v>
      </c>
      <c r="H109" s="748" t="s">
        <v>1075</v>
      </c>
      <c r="I109" s="714" t="s">
        <v>1169</v>
      </c>
      <c r="J109" s="714" t="s">
        <v>1092</v>
      </c>
      <c r="K109" s="714" t="s">
        <v>1078</v>
      </c>
      <c r="L109" s="718"/>
      <c r="M109" s="718"/>
      <c r="N109" s="718" t="s">
        <v>1331</v>
      </c>
      <c r="O109" s="739"/>
      <c r="P109" s="718"/>
      <c r="Q109" s="718"/>
      <c r="U109" s="714" t="s">
        <v>1170</v>
      </c>
      <c r="V109" s="714" t="s">
        <v>1170</v>
      </c>
      <c r="X109" s="745">
        <v>43348</v>
      </c>
      <c r="Y109" s="745">
        <v>43348</v>
      </c>
      <c r="AA109" s="745"/>
      <c r="AB109" s="714" t="s">
        <v>1079</v>
      </c>
      <c r="AC109" s="714">
        <v>0</v>
      </c>
      <c r="AD109" s="714">
        <v>0</v>
      </c>
      <c r="AE109" s="714">
        <v>0</v>
      </c>
      <c r="AF109" s="714">
        <v>0</v>
      </c>
      <c r="AG109" s="714">
        <v>0</v>
      </c>
      <c r="AH109" s="714">
        <v>1</v>
      </c>
      <c r="AI109" s="714">
        <v>70095</v>
      </c>
      <c r="AJ109" s="714">
        <v>2183</v>
      </c>
      <c r="AK109" s="714">
        <v>0</v>
      </c>
      <c r="AL109" s="714">
        <v>0</v>
      </c>
      <c r="AO109" s="748"/>
      <c r="AP109" s="748"/>
      <c r="AQ109" s="714" t="str">
        <f t="shared" si="2"/>
        <v/>
      </c>
      <c r="AS109" s="714" t="str">
        <f t="shared" si="3"/>
        <v>wci_corp</v>
      </c>
    </row>
    <row r="110" spans="2:45">
      <c r="B110" s="714" t="s">
        <v>1228</v>
      </c>
      <c r="C110" s="745">
        <v>43343</v>
      </c>
      <c r="D110" s="746">
        <v>33.479999999999997</v>
      </c>
      <c r="E110" s="746">
        <v>0</v>
      </c>
      <c r="F110" s="747" t="s">
        <v>1074</v>
      </c>
      <c r="G110" s="714" t="s">
        <v>1168</v>
      </c>
      <c r="H110" s="748" t="s">
        <v>1075</v>
      </c>
      <c r="I110" s="714" t="s">
        <v>1169</v>
      </c>
      <c r="J110" s="714" t="s">
        <v>1092</v>
      </c>
      <c r="K110" s="714" t="s">
        <v>1078</v>
      </c>
      <c r="L110" s="718"/>
      <c r="M110" s="718"/>
      <c r="N110" s="718" t="s">
        <v>1332</v>
      </c>
      <c r="O110" s="739"/>
      <c r="P110" s="718"/>
      <c r="Q110" s="718"/>
      <c r="U110" s="714" t="s">
        <v>1170</v>
      </c>
      <c r="V110" s="714" t="s">
        <v>1170</v>
      </c>
      <c r="X110" s="745">
        <v>43348</v>
      </c>
      <c r="Y110" s="745">
        <v>43348</v>
      </c>
      <c r="AA110" s="745"/>
      <c r="AB110" s="714" t="s">
        <v>1079</v>
      </c>
      <c r="AC110" s="714">
        <v>0</v>
      </c>
      <c r="AD110" s="714">
        <v>0</v>
      </c>
      <c r="AE110" s="714">
        <v>0</v>
      </c>
      <c r="AF110" s="714">
        <v>0</v>
      </c>
      <c r="AG110" s="714">
        <v>0</v>
      </c>
      <c r="AH110" s="714">
        <v>1</v>
      </c>
      <c r="AI110" s="714">
        <v>70095</v>
      </c>
      <c r="AJ110" s="714">
        <v>2183</v>
      </c>
      <c r="AK110" s="714">
        <v>0</v>
      </c>
      <c r="AL110" s="714">
        <v>0</v>
      </c>
      <c r="AO110" s="748"/>
      <c r="AP110" s="748"/>
      <c r="AQ110" s="714" t="str">
        <f t="shared" si="2"/>
        <v/>
      </c>
      <c r="AS110" s="714" t="str">
        <f t="shared" si="3"/>
        <v>wci_corp</v>
      </c>
    </row>
    <row r="111" spans="2:45">
      <c r="B111" s="714" t="s">
        <v>1228</v>
      </c>
      <c r="C111" s="745">
        <v>43343</v>
      </c>
      <c r="D111" s="746">
        <v>14.99</v>
      </c>
      <c r="E111" s="746">
        <v>0</v>
      </c>
      <c r="F111" s="747" t="s">
        <v>1074</v>
      </c>
      <c r="G111" s="714" t="s">
        <v>1168</v>
      </c>
      <c r="H111" s="748" t="s">
        <v>1075</v>
      </c>
      <c r="I111" s="714" t="s">
        <v>1169</v>
      </c>
      <c r="J111" s="714" t="s">
        <v>1092</v>
      </c>
      <c r="K111" s="714" t="s">
        <v>1078</v>
      </c>
      <c r="L111" s="718"/>
      <c r="M111" s="718"/>
      <c r="N111" s="718" t="s">
        <v>1333</v>
      </c>
      <c r="O111" s="739"/>
      <c r="P111" s="718"/>
      <c r="Q111" s="718"/>
      <c r="U111" s="714" t="s">
        <v>1170</v>
      </c>
      <c r="V111" s="714" t="s">
        <v>1170</v>
      </c>
      <c r="X111" s="745">
        <v>43348</v>
      </c>
      <c r="Y111" s="745">
        <v>43348</v>
      </c>
      <c r="AA111" s="745"/>
      <c r="AB111" s="714" t="s">
        <v>1079</v>
      </c>
      <c r="AC111" s="714">
        <v>0</v>
      </c>
      <c r="AD111" s="714">
        <v>0</v>
      </c>
      <c r="AE111" s="714">
        <v>0</v>
      </c>
      <c r="AF111" s="714">
        <v>0</v>
      </c>
      <c r="AG111" s="714">
        <v>0</v>
      </c>
      <c r="AH111" s="714">
        <v>1</v>
      </c>
      <c r="AI111" s="714">
        <v>70095</v>
      </c>
      <c r="AJ111" s="714">
        <v>2183</v>
      </c>
      <c r="AK111" s="714">
        <v>0</v>
      </c>
      <c r="AL111" s="714">
        <v>0</v>
      </c>
      <c r="AO111" s="748"/>
      <c r="AP111" s="748"/>
      <c r="AQ111" s="714" t="str">
        <f t="shared" si="2"/>
        <v/>
      </c>
      <c r="AS111" s="714" t="str">
        <f t="shared" si="3"/>
        <v>wci_corp</v>
      </c>
    </row>
    <row r="112" spans="2:45">
      <c r="B112" s="714" t="s">
        <v>1228</v>
      </c>
      <c r="C112" s="745">
        <v>43343</v>
      </c>
      <c r="D112" s="746">
        <v>18.989999999999998</v>
      </c>
      <c r="E112" s="746">
        <v>0</v>
      </c>
      <c r="F112" s="747" t="s">
        <v>1074</v>
      </c>
      <c r="G112" s="714" t="s">
        <v>1168</v>
      </c>
      <c r="H112" s="748" t="s">
        <v>1075</v>
      </c>
      <c r="I112" s="714" t="s">
        <v>1169</v>
      </c>
      <c r="J112" s="714" t="s">
        <v>1092</v>
      </c>
      <c r="K112" s="714" t="s">
        <v>1078</v>
      </c>
      <c r="L112" s="718"/>
      <c r="M112" s="718"/>
      <c r="N112" s="718" t="s">
        <v>1259</v>
      </c>
      <c r="O112" s="739"/>
      <c r="P112" s="718"/>
      <c r="Q112" s="718"/>
      <c r="U112" s="714" t="s">
        <v>1170</v>
      </c>
      <c r="V112" s="714" t="s">
        <v>1170</v>
      </c>
      <c r="X112" s="745">
        <v>43348</v>
      </c>
      <c r="Y112" s="745">
        <v>43348</v>
      </c>
      <c r="AA112" s="745"/>
      <c r="AB112" s="714" t="s">
        <v>1079</v>
      </c>
      <c r="AC112" s="714">
        <v>0</v>
      </c>
      <c r="AD112" s="714">
        <v>0</v>
      </c>
      <c r="AE112" s="714">
        <v>0</v>
      </c>
      <c r="AF112" s="714">
        <v>0</v>
      </c>
      <c r="AG112" s="714">
        <v>0</v>
      </c>
      <c r="AH112" s="714">
        <v>1</v>
      </c>
      <c r="AI112" s="714">
        <v>70095</v>
      </c>
      <c r="AJ112" s="714">
        <v>2183</v>
      </c>
      <c r="AK112" s="714">
        <v>0</v>
      </c>
      <c r="AL112" s="714">
        <v>0</v>
      </c>
      <c r="AO112" s="748"/>
      <c r="AP112" s="748"/>
      <c r="AQ112" s="714" t="str">
        <f t="shared" si="2"/>
        <v/>
      </c>
      <c r="AS112" s="714" t="str">
        <f t="shared" si="3"/>
        <v>wci_corp</v>
      </c>
    </row>
    <row r="113" spans="2:45">
      <c r="B113" s="714" t="s">
        <v>1228</v>
      </c>
      <c r="C113" s="745">
        <v>43343</v>
      </c>
      <c r="D113" s="746">
        <v>100</v>
      </c>
      <c r="E113" s="746">
        <v>0</v>
      </c>
      <c r="F113" s="747" t="s">
        <v>1074</v>
      </c>
      <c r="G113" s="714" t="s">
        <v>1168</v>
      </c>
      <c r="H113" s="748" t="s">
        <v>1075</v>
      </c>
      <c r="I113" s="714" t="s">
        <v>1169</v>
      </c>
      <c r="J113" s="714" t="s">
        <v>1092</v>
      </c>
      <c r="K113" s="714" t="s">
        <v>1078</v>
      </c>
      <c r="L113" s="718"/>
      <c r="M113" s="718"/>
      <c r="N113" s="718" t="s">
        <v>1334</v>
      </c>
      <c r="O113" s="739"/>
      <c r="P113" s="718"/>
      <c r="Q113" s="718"/>
      <c r="U113" s="714" t="s">
        <v>1170</v>
      </c>
      <c r="V113" s="714" t="s">
        <v>1170</v>
      </c>
      <c r="X113" s="745">
        <v>43348</v>
      </c>
      <c r="Y113" s="745">
        <v>43348</v>
      </c>
      <c r="AA113" s="745"/>
      <c r="AB113" s="714" t="s">
        <v>1079</v>
      </c>
      <c r="AC113" s="714">
        <v>0</v>
      </c>
      <c r="AD113" s="714">
        <v>0</v>
      </c>
      <c r="AE113" s="714">
        <v>0</v>
      </c>
      <c r="AF113" s="714">
        <v>0</v>
      </c>
      <c r="AG113" s="714">
        <v>0</v>
      </c>
      <c r="AH113" s="714">
        <v>1</v>
      </c>
      <c r="AI113" s="714">
        <v>70095</v>
      </c>
      <c r="AJ113" s="714">
        <v>2183</v>
      </c>
      <c r="AK113" s="714">
        <v>0</v>
      </c>
      <c r="AL113" s="714">
        <v>0</v>
      </c>
      <c r="AO113" s="748"/>
      <c r="AP113" s="748"/>
      <c r="AQ113" s="714" t="str">
        <f t="shared" si="2"/>
        <v/>
      </c>
      <c r="AS113" s="714" t="str">
        <f t="shared" si="3"/>
        <v>wci_corp</v>
      </c>
    </row>
    <row r="114" spans="2:45">
      <c r="B114" s="714" t="s">
        <v>1228</v>
      </c>
      <c r="C114" s="745">
        <v>43343</v>
      </c>
      <c r="D114" s="746">
        <v>45.15</v>
      </c>
      <c r="E114" s="746">
        <v>0</v>
      </c>
      <c r="F114" s="747" t="s">
        <v>1074</v>
      </c>
      <c r="G114" s="714" t="s">
        <v>1168</v>
      </c>
      <c r="H114" s="748" t="s">
        <v>1075</v>
      </c>
      <c r="I114" s="714" t="s">
        <v>1169</v>
      </c>
      <c r="J114" s="714" t="s">
        <v>1092</v>
      </c>
      <c r="K114" s="714" t="s">
        <v>1078</v>
      </c>
      <c r="L114" s="718"/>
      <c r="M114" s="718"/>
      <c r="N114" s="718" t="s">
        <v>1335</v>
      </c>
      <c r="O114" s="739"/>
      <c r="P114" s="718"/>
      <c r="Q114" s="718"/>
      <c r="U114" s="714" t="s">
        <v>1170</v>
      </c>
      <c r="V114" s="714" t="s">
        <v>1170</v>
      </c>
      <c r="X114" s="745">
        <v>43348</v>
      </c>
      <c r="Y114" s="745">
        <v>43348</v>
      </c>
      <c r="AA114" s="745"/>
      <c r="AB114" s="714" t="s">
        <v>1079</v>
      </c>
      <c r="AC114" s="714">
        <v>0</v>
      </c>
      <c r="AD114" s="714">
        <v>0</v>
      </c>
      <c r="AE114" s="714">
        <v>0</v>
      </c>
      <c r="AF114" s="714">
        <v>0</v>
      </c>
      <c r="AG114" s="714">
        <v>0</v>
      </c>
      <c r="AH114" s="714">
        <v>1</v>
      </c>
      <c r="AI114" s="714">
        <v>70095</v>
      </c>
      <c r="AJ114" s="714">
        <v>2183</v>
      </c>
      <c r="AK114" s="714">
        <v>0</v>
      </c>
      <c r="AL114" s="714">
        <v>0</v>
      </c>
      <c r="AO114" s="748"/>
      <c r="AP114" s="748"/>
      <c r="AQ114" s="714" t="str">
        <f t="shared" si="2"/>
        <v/>
      </c>
      <c r="AS114" s="714" t="str">
        <f t="shared" si="3"/>
        <v>wci_corp</v>
      </c>
    </row>
    <row r="115" spans="2:45">
      <c r="B115" s="714" t="s">
        <v>1228</v>
      </c>
      <c r="C115" s="745">
        <v>43343</v>
      </c>
      <c r="D115" s="746">
        <v>52.14</v>
      </c>
      <c r="E115" s="746">
        <v>0</v>
      </c>
      <c r="F115" s="747" t="s">
        <v>1074</v>
      </c>
      <c r="G115" s="714" t="s">
        <v>1168</v>
      </c>
      <c r="H115" s="748" t="s">
        <v>1075</v>
      </c>
      <c r="I115" s="714" t="s">
        <v>1169</v>
      </c>
      <c r="J115" s="714" t="s">
        <v>1092</v>
      </c>
      <c r="K115" s="714" t="s">
        <v>1078</v>
      </c>
      <c r="L115" s="718"/>
      <c r="M115" s="718"/>
      <c r="N115" s="718" t="s">
        <v>1336</v>
      </c>
      <c r="O115" s="739"/>
      <c r="P115" s="718"/>
      <c r="Q115" s="718"/>
      <c r="U115" s="714" t="s">
        <v>1170</v>
      </c>
      <c r="V115" s="714" t="s">
        <v>1170</v>
      </c>
      <c r="X115" s="745">
        <v>43348</v>
      </c>
      <c r="Y115" s="745">
        <v>43348</v>
      </c>
      <c r="AA115" s="745"/>
      <c r="AB115" s="714" t="s">
        <v>1079</v>
      </c>
      <c r="AC115" s="714">
        <v>0</v>
      </c>
      <c r="AD115" s="714">
        <v>0</v>
      </c>
      <c r="AE115" s="714">
        <v>0</v>
      </c>
      <c r="AF115" s="714">
        <v>0</v>
      </c>
      <c r="AG115" s="714">
        <v>0</v>
      </c>
      <c r="AH115" s="714">
        <v>1</v>
      </c>
      <c r="AI115" s="714">
        <v>70095</v>
      </c>
      <c r="AJ115" s="714">
        <v>2183</v>
      </c>
      <c r="AK115" s="714">
        <v>0</v>
      </c>
      <c r="AL115" s="714">
        <v>0</v>
      </c>
      <c r="AO115" s="748"/>
      <c r="AP115" s="748"/>
      <c r="AQ115" s="714" t="str">
        <f t="shared" si="2"/>
        <v/>
      </c>
      <c r="AS115" s="714" t="str">
        <f t="shared" si="3"/>
        <v>wci_corp</v>
      </c>
    </row>
    <row r="116" spans="2:45">
      <c r="B116" s="714" t="s">
        <v>1228</v>
      </c>
      <c r="C116" s="745">
        <v>43343</v>
      </c>
      <c r="D116" s="746">
        <v>-98</v>
      </c>
      <c r="E116" s="746">
        <v>0</v>
      </c>
      <c r="F116" s="747" t="s">
        <v>1074</v>
      </c>
      <c r="G116" s="714" t="s">
        <v>1168</v>
      </c>
      <c r="H116" s="748" t="s">
        <v>1075</v>
      </c>
      <c r="I116" s="714" t="s">
        <v>1169</v>
      </c>
      <c r="J116" s="714" t="s">
        <v>1092</v>
      </c>
      <c r="K116" s="714" t="s">
        <v>1078</v>
      </c>
      <c r="L116" s="718"/>
      <c r="M116" s="718"/>
      <c r="N116" s="718" t="s">
        <v>1312</v>
      </c>
      <c r="O116" s="739"/>
      <c r="P116" s="718"/>
      <c r="Q116" s="718"/>
      <c r="U116" s="714" t="s">
        <v>1170</v>
      </c>
      <c r="V116" s="714" t="s">
        <v>1170</v>
      </c>
      <c r="X116" s="745">
        <v>43348</v>
      </c>
      <c r="Y116" s="745">
        <v>43348</v>
      </c>
      <c r="AA116" s="745"/>
      <c r="AB116" s="714" t="s">
        <v>1079</v>
      </c>
      <c r="AC116" s="714">
        <v>0</v>
      </c>
      <c r="AD116" s="714">
        <v>0</v>
      </c>
      <c r="AE116" s="714">
        <v>0</v>
      </c>
      <c r="AF116" s="714">
        <v>0</v>
      </c>
      <c r="AG116" s="714">
        <v>0</v>
      </c>
      <c r="AH116" s="714">
        <v>1</v>
      </c>
      <c r="AI116" s="714">
        <v>70095</v>
      </c>
      <c r="AJ116" s="714">
        <v>2183</v>
      </c>
      <c r="AK116" s="714">
        <v>0</v>
      </c>
      <c r="AL116" s="714">
        <v>0</v>
      </c>
      <c r="AO116" s="748"/>
      <c r="AP116" s="748"/>
      <c r="AQ116" s="714" t="str">
        <f t="shared" si="2"/>
        <v/>
      </c>
      <c r="AS116" s="714" t="str">
        <f t="shared" si="3"/>
        <v>wci_corp</v>
      </c>
    </row>
    <row r="117" spans="2:45">
      <c r="B117" s="714" t="s">
        <v>1228</v>
      </c>
      <c r="C117" s="745">
        <v>43343</v>
      </c>
      <c r="D117" s="746">
        <v>38.130000000000003</v>
      </c>
      <c r="E117" s="746">
        <v>0</v>
      </c>
      <c r="F117" s="747" t="s">
        <v>1074</v>
      </c>
      <c r="G117" s="714" t="s">
        <v>1337</v>
      </c>
      <c r="H117" s="748" t="s">
        <v>1075</v>
      </c>
      <c r="I117" s="714" t="s">
        <v>1338</v>
      </c>
      <c r="J117" s="714" t="s">
        <v>1082</v>
      </c>
      <c r="K117" s="714" t="s">
        <v>1078</v>
      </c>
      <c r="L117" s="718"/>
      <c r="M117" s="718"/>
      <c r="N117" s="718" t="s">
        <v>1339</v>
      </c>
      <c r="O117" s="739"/>
      <c r="P117" s="718"/>
      <c r="Q117" s="718"/>
      <c r="U117" s="714" t="s">
        <v>1340</v>
      </c>
      <c r="V117" s="714" t="s">
        <v>1340</v>
      </c>
      <c r="X117" s="745">
        <v>43349</v>
      </c>
      <c r="Y117" s="745">
        <v>43349</v>
      </c>
      <c r="AA117" s="745"/>
      <c r="AB117" s="714" t="s">
        <v>1079</v>
      </c>
      <c r="AC117" s="714">
        <v>0</v>
      </c>
      <c r="AD117" s="714">
        <v>0</v>
      </c>
      <c r="AE117" s="714">
        <v>0</v>
      </c>
      <c r="AF117" s="714">
        <v>0</v>
      </c>
      <c r="AG117" s="714">
        <v>0</v>
      </c>
      <c r="AH117" s="714">
        <v>1</v>
      </c>
      <c r="AI117" s="714">
        <v>70095</v>
      </c>
      <c r="AJ117" s="714">
        <v>2183</v>
      </c>
      <c r="AK117" s="714">
        <v>0</v>
      </c>
      <c r="AL117" s="714">
        <v>0</v>
      </c>
      <c r="AO117" s="748"/>
      <c r="AP117" s="748"/>
      <c r="AQ117" s="714" t="str">
        <f t="shared" si="2"/>
        <v/>
      </c>
      <c r="AS117" s="714" t="str">
        <f t="shared" si="3"/>
        <v>wci_corp</v>
      </c>
    </row>
    <row r="118" spans="2:45">
      <c r="B118" s="714" t="s">
        <v>1228</v>
      </c>
      <c r="C118" s="745">
        <v>43343</v>
      </c>
      <c r="D118" s="746">
        <v>500</v>
      </c>
      <c r="E118" s="746">
        <v>0</v>
      </c>
      <c r="F118" s="747" t="s">
        <v>1074</v>
      </c>
      <c r="G118" s="714" t="s">
        <v>1341</v>
      </c>
      <c r="H118" s="748" t="s">
        <v>1075</v>
      </c>
      <c r="I118" s="714" t="s">
        <v>1131</v>
      </c>
      <c r="J118" s="714" t="s">
        <v>1146</v>
      </c>
      <c r="K118" s="714" t="s">
        <v>1078</v>
      </c>
      <c r="L118" s="718"/>
      <c r="M118" s="718"/>
      <c r="N118" s="718" t="s">
        <v>1342</v>
      </c>
      <c r="O118" s="739"/>
      <c r="P118" s="718"/>
      <c r="Q118" s="718"/>
      <c r="U118" s="714" t="s">
        <v>1343</v>
      </c>
      <c r="V118" s="714" t="s">
        <v>1343</v>
      </c>
      <c r="X118" s="745">
        <v>43350</v>
      </c>
      <c r="Y118" s="745">
        <v>43350</v>
      </c>
      <c r="AA118" s="745"/>
      <c r="AB118" s="714" t="s">
        <v>1079</v>
      </c>
      <c r="AC118" s="714">
        <v>0</v>
      </c>
      <c r="AD118" s="714">
        <v>0</v>
      </c>
      <c r="AE118" s="714">
        <v>0</v>
      </c>
      <c r="AF118" s="714">
        <v>0</v>
      </c>
      <c r="AG118" s="714">
        <v>0</v>
      </c>
      <c r="AH118" s="714">
        <v>1</v>
      </c>
      <c r="AI118" s="714">
        <v>70095</v>
      </c>
      <c r="AJ118" s="714">
        <v>2183</v>
      </c>
      <c r="AK118" s="714">
        <v>0</v>
      </c>
      <c r="AL118" s="714">
        <v>0</v>
      </c>
      <c r="AO118" s="748"/>
      <c r="AP118" s="748"/>
      <c r="AQ118" s="714" t="str">
        <f t="shared" si="2"/>
        <v/>
      </c>
      <c r="AS118" s="714" t="str">
        <f t="shared" si="3"/>
        <v>wci_corp</v>
      </c>
    </row>
    <row r="119" spans="2:45">
      <c r="B119" s="714" t="s">
        <v>1228</v>
      </c>
      <c r="C119" s="745">
        <v>43343</v>
      </c>
      <c r="D119" s="746">
        <v>100</v>
      </c>
      <c r="E119" s="746">
        <v>0</v>
      </c>
      <c r="F119" s="747" t="s">
        <v>1074</v>
      </c>
      <c r="G119" s="714" t="s">
        <v>1341</v>
      </c>
      <c r="H119" s="748" t="s">
        <v>1075</v>
      </c>
      <c r="I119" s="714" t="s">
        <v>1131</v>
      </c>
      <c r="J119" s="714" t="s">
        <v>1146</v>
      </c>
      <c r="K119" s="714" t="s">
        <v>1078</v>
      </c>
      <c r="L119" s="718"/>
      <c r="M119" s="718"/>
      <c r="N119" s="718" t="s">
        <v>1344</v>
      </c>
      <c r="O119" s="739"/>
      <c r="P119" s="718"/>
      <c r="Q119" s="718"/>
      <c r="U119" s="714" t="s">
        <v>1343</v>
      </c>
      <c r="V119" s="714" t="s">
        <v>1343</v>
      </c>
      <c r="X119" s="745">
        <v>43350</v>
      </c>
      <c r="Y119" s="745">
        <v>43350</v>
      </c>
      <c r="AA119" s="745"/>
      <c r="AB119" s="714" t="s">
        <v>1079</v>
      </c>
      <c r="AC119" s="714">
        <v>0</v>
      </c>
      <c r="AD119" s="714">
        <v>0</v>
      </c>
      <c r="AE119" s="714">
        <v>0</v>
      </c>
      <c r="AF119" s="714">
        <v>0</v>
      </c>
      <c r="AG119" s="714">
        <v>0</v>
      </c>
      <c r="AH119" s="714">
        <v>1</v>
      </c>
      <c r="AI119" s="714">
        <v>70095</v>
      </c>
      <c r="AJ119" s="714">
        <v>2183</v>
      </c>
      <c r="AK119" s="714">
        <v>0</v>
      </c>
      <c r="AL119" s="714">
        <v>0</v>
      </c>
      <c r="AO119" s="748"/>
      <c r="AP119" s="748"/>
      <c r="AQ119" s="714" t="str">
        <f t="shared" si="2"/>
        <v/>
      </c>
      <c r="AS119" s="714" t="str">
        <f t="shared" si="3"/>
        <v>wci_corp</v>
      </c>
    </row>
    <row r="120" spans="2:45">
      <c r="B120" s="714" t="s">
        <v>1228</v>
      </c>
      <c r="C120" s="745">
        <v>43343</v>
      </c>
      <c r="D120" s="746">
        <v>33.979999999999997</v>
      </c>
      <c r="E120" s="746">
        <v>0</v>
      </c>
      <c r="F120" s="747" t="s">
        <v>1074</v>
      </c>
      <c r="G120" s="714" t="s">
        <v>1341</v>
      </c>
      <c r="H120" s="748" t="s">
        <v>1075</v>
      </c>
      <c r="I120" s="714" t="s">
        <v>1131</v>
      </c>
      <c r="J120" s="714" t="s">
        <v>1146</v>
      </c>
      <c r="K120" s="714" t="s">
        <v>1078</v>
      </c>
      <c r="L120" s="718"/>
      <c r="M120" s="718"/>
      <c r="N120" s="718" t="s">
        <v>1345</v>
      </c>
      <c r="O120" s="739"/>
      <c r="P120" s="718"/>
      <c r="Q120" s="718"/>
      <c r="U120" s="714" t="s">
        <v>1343</v>
      </c>
      <c r="V120" s="714" t="s">
        <v>1343</v>
      </c>
      <c r="X120" s="745">
        <v>43350</v>
      </c>
      <c r="Y120" s="745">
        <v>43350</v>
      </c>
      <c r="AA120" s="745"/>
      <c r="AB120" s="714" t="s">
        <v>1079</v>
      </c>
      <c r="AC120" s="714">
        <v>0</v>
      </c>
      <c r="AD120" s="714">
        <v>0</v>
      </c>
      <c r="AE120" s="714">
        <v>0</v>
      </c>
      <c r="AF120" s="714">
        <v>0</v>
      </c>
      <c r="AG120" s="714">
        <v>0</v>
      </c>
      <c r="AH120" s="714">
        <v>1</v>
      </c>
      <c r="AI120" s="714">
        <v>70095</v>
      </c>
      <c r="AJ120" s="714">
        <v>2183</v>
      </c>
      <c r="AK120" s="714">
        <v>0</v>
      </c>
      <c r="AL120" s="714">
        <v>0</v>
      </c>
      <c r="AO120" s="748"/>
      <c r="AP120" s="748"/>
      <c r="AQ120" s="714" t="str">
        <f t="shared" si="2"/>
        <v/>
      </c>
      <c r="AS120" s="714" t="str">
        <f t="shared" si="3"/>
        <v>wci_corp</v>
      </c>
    </row>
    <row r="121" spans="2:45">
      <c r="B121" s="714" t="s">
        <v>1228</v>
      </c>
      <c r="C121" s="745">
        <v>43343</v>
      </c>
      <c r="D121" s="746">
        <v>564.79</v>
      </c>
      <c r="E121" s="746">
        <v>0</v>
      </c>
      <c r="F121" s="747" t="s">
        <v>1074</v>
      </c>
      <c r="G121" s="714" t="s">
        <v>1341</v>
      </c>
      <c r="H121" s="748" t="s">
        <v>1075</v>
      </c>
      <c r="I121" s="714" t="s">
        <v>1131</v>
      </c>
      <c r="J121" s="714" t="s">
        <v>1146</v>
      </c>
      <c r="K121" s="714" t="s">
        <v>1078</v>
      </c>
      <c r="L121" s="718"/>
      <c r="M121" s="718"/>
      <c r="N121" s="718" t="s">
        <v>1346</v>
      </c>
      <c r="O121" s="739"/>
      <c r="P121" s="718"/>
      <c r="Q121" s="718"/>
      <c r="U121" s="714" t="s">
        <v>1343</v>
      </c>
      <c r="V121" s="714" t="s">
        <v>1343</v>
      </c>
      <c r="X121" s="745">
        <v>43350</v>
      </c>
      <c r="Y121" s="745">
        <v>43350</v>
      </c>
      <c r="AA121" s="745"/>
      <c r="AB121" s="714" t="s">
        <v>1079</v>
      </c>
      <c r="AC121" s="714">
        <v>0</v>
      </c>
      <c r="AD121" s="714">
        <v>0</v>
      </c>
      <c r="AE121" s="714">
        <v>0</v>
      </c>
      <c r="AF121" s="714">
        <v>0</v>
      </c>
      <c r="AG121" s="714">
        <v>0</v>
      </c>
      <c r="AH121" s="714">
        <v>1</v>
      </c>
      <c r="AI121" s="714">
        <v>70095</v>
      </c>
      <c r="AJ121" s="714">
        <v>2183</v>
      </c>
      <c r="AK121" s="714">
        <v>0</v>
      </c>
      <c r="AL121" s="714">
        <v>0</v>
      </c>
      <c r="AO121" s="748"/>
      <c r="AP121" s="748"/>
      <c r="AQ121" s="714" t="str">
        <f t="shared" si="2"/>
        <v/>
      </c>
      <c r="AS121" s="714" t="str">
        <f t="shared" si="3"/>
        <v>wci_corp</v>
      </c>
    </row>
    <row r="122" spans="2:45">
      <c r="B122" s="714" t="s">
        <v>1228</v>
      </c>
      <c r="C122" s="745">
        <v>43343</v>
      </c>
      <c r="D122" s="746">
        <v>18.989999999999998</v>
      </c>
      <c r="E122" s="746">
        <v>0</v>
      </c>
      <c r="F122" s="747" t="s">
        <v>1074</v>
      </c>
      <c r="G122" s="714" t="s">
        <v>1341</v>
      </c>
      <c r="H122" s="748" t="s">
        <v>1075</v>
      </c>
      <c r="I122" s="714" t="s">
        <v>1131</v>
      </c>
      <c r="J122" s="714" t="s">
        <v>1146</v>
      </c>
      <c r="K122" s="714" t="s">
        <v>1078</v>
      </c>
      <c r="L122" s="718"/>
      <c r="M122" s="718"/>
      <c r="N122" s="718" t="s">
        <v>1259</v>
      </c>
      <c r="O122" s="739"/>
      <c r="P122" s="718"/>
      <c r="Q122" s="718"/>
      <c r="U122" s="714" t="s">
        <v>1343</v>
      </c>
      <c r="V122" s="714" t="s">
        <v>1343</v>
      </c>
      <c r="X122" s="745">
        <v>43350</v>
      </c>
      <c r="Y122" s="745">
        <v>43350</v>
      </c>
      <c r="AA122" s="745"/>
      <c r="AB122" s="714" t="s">
        <v>1079</v>
      </c>
      <c r="AC122" s="714">
        <v>0</v>
      </c>
      <c r="AD122" s="714">
        <v>0</v>
      </c>
      <c r="AE122" s="714">
        <v>0</v>
      </c>
      <c r="AF122" s="714">
        <v>0</v>
      </c>
      <c r="AG122" s="714">
        <v>0</v>
      </c>
      <c r="AH122" s="714">
        <v>1</v>
      </c>
      <c r="AI122" s="714">
        <v>70095</v>
      </c>
      <c r="AJ122" s="714">
        <v>2183</v>
      </c>
      <c r="AK122" s="714">
        <v>0</v>
      </c>
      <c r="AL122" s="714">
        <v>0</v>
      </c>
      <c r="AO122" s="748"/>
      <c r="AP122" s="748"/>
      <c r="AQ122" s="714" t="str">
        <f t="shared" si="2"/>
        <v/>
      </c>
      <c r="AS122" s="714" t="str">
        <f t="shared" si="3"/>
        <v>wci_corp</v>
      </c>
    </row>
    <row r="123" spans="2:45">
      <c r="B123" s="714" t="s">
        <v>1228</v>
      </c>
      <c r="C123" s="745">
        <v>43343</v>
      </c>
      <c r="D123" s="746">
        <v>3025.9</v>
      </c>
      <c r="E123" s="746">
        <v>0</v>
      </c>
      <c r="F123" s="747" t="s">
        <v>1074</v>
      </c>
      <c r="G123" s="714" t="s">
        <v>1347</v>
      </c>
      <c r="H123" s="748" t="s">
        <v>1075</v>
      </c>
      <c r="I123" s="714" t="s">
        <v>1131</v>
      </c>
      <c r="J123" s="714" t="s">
        <v>1082</v>
      </c>
      <c r="K123" s="714" t="s">
        <v>1078</v>
      </c>
      <c r="L123" s="718"/>
      <c r="M123" s="718"/>
      <c r="N123" s="718" t="s">
        <v>1348</v>
      </c>
      <c r="O123" s="739"/>
      <c r="P123" s="718"/>
      <c r="Q123" s="718"/>
      <c r="U123" s="714" t="s">
        <v>1349</v>
      </c>
      <c r="V123" s="714" t="s">
        <v>1349</v>
      </c>
      <c r="X123" s="745">
        <v>43350</v>
      </c>
      <c r="Y123" s="745">
        <v>43353</v>
      </c>
      <c r="AA123" s="745"/>
      <c r="AB123" s="714" t="s">
        <v>1079</v>
      </c>
      <c r="AC123" s="714">
        <v>0</v>
      </c>
      <c r="AD123" s="714">
        <v>0</v>
      </c>
      <c r="AE123" s="714">
        <v>0</v>
      </c>
      <c r="AF123" s="714">
        <v>0</v>
      </c>
      <c r="AG123" s="714">
        <v>0</v>
      </c>
      <c r="AH123" s="714">
        <v>1</v>
      </c>
      <c r="AI123" s="714">
        <v>70095</v>
      </c>
      <c r="AJ123" s="714">
        <v>2183</v>
      </c>
      <c r="AK123" s="714">
        <v>0</v>
      </c>
      <c r="AL123" s="714">
        <v>0</v>
      </c>
      <c r="AO123" s="748"/>
      <c r="AP123" s="748"/>
      <c r="AQ123" s="714" t="str">
        <f t="shared" si="2"/>
        <v/>
      </c>
      <c r="AS123" s="714" t="str">
        <f t="shared" si="3"/>
        <v>wci_corp</v>
      </c>
    </row>
    <row r="124" spans="2:45">
      <c r="B124" s="714" t="s">
        <v>1228</v>
      </c>
      <c r="C124" s="745">
        <v>43343</v>
      </c>
      <c r="D124" s="746">
        <v>785.28</v>
      </c>
      <c r="E124" s="746">
        <v>0</v>
      </c>
      <c r="F124" s="747" t="s">
        <v>1074</v>
      </c>
      <c r="G124" s="714" t="s">
        <v>1172</v>
      </c>
      <c r="H124" s="748" t="s">
        <v>1075</v>
      </c>
      <c r="I124" s="714" t="s">
        <v>1126</v>
      </c>
      <c r="J124" s="714" t="s">
        <v>1082</v>
      </c>
      <c r="K124" s="714" t="s">
        <v>1078</v>
      </c>
      <c r="L124" s="718"/>
      <c r="M124" s="718"/>
      <c r="N124" s="718" t="s">
        <v>1350</v>
      </c>
      <c r="O124" s="739"/>
      <c r="P124" s="718"/>
      <c r="Q124" s="718"/>
      <c r="U124" s="714" t="s">
        <v>1174</v>
      </c>
      <c r="V124" s="714" t="s">
        <v>1174</v>
      </c>
      <c r="X124" s="745">
        <v>43350</v>
      </c>
      <c r="Y124" s="745">
        <v>43353</v>
      </c>
      <c r="AA124" s="745"/>
      <c r="AB124" s="714" t="s">
        <v>1079</v>
      </c>
      <c r="AC124" s="714">
        <v>0</v>
      </c>
      <c r="AD124" s="714">
        <v>0</v>
      </c>
      <c r="AE124" s="714">
        <v>0</v>
      </c>
      <c r="AF124" s="714">
        <v>0</v>
      </c>
      <c r="AG124" s="714">
        <v>0</v>
      </c>
      <c r="AH124" s="714">
        <v>1</v>
      </c>
      <c r="AI124" s="714">
        <v>70095</v>
      </c>
      <c r="AJ124" s="714">
        <v>2183</v>
      </c>
      <c r="AK124" s="714">
        <v>0</v>
      </c>
      <c r="AL124" s="714">
        <v>0</v>
      </c>
      <c r="AO124" s="748"/>
      <c r="AP124" s="748"/>
      <c r="AQ124" s="714" t="str">
        <f t="shared" si="2"/>
        <v/>
      </c>
      <c r="AS124" s="714" t="str">
        <f t="shared" si="3"/>
        <v>wci_corp</v>
      </c>
    </row>
    <row r="125" spans="2:45">
      <c r="B125" s="714" t="s">
        <v>1228</v>
      </c>
      <c r="C125" s="745">
        <v>43355</v>
      </c>
      <c r="D125" s="746">
        <v>1000</v>
      </c>
      <c r="E125" s="746">
        <v>0</v>
      </c>
      <c r="F125" s="747" t="s">
        <v>1074</v>
      </c>
      <c r="G125" s="714" t="s">
        <v>1351</v>
      </c>
      <c r="H125" s="748" t="s">
        <v>1075</v>
      </c>
      <c r="I125" s="714" t="s">
        <v>1076</v>
      </c>
      <c r="J125" s="714" t="s">
        <v>1077</v>
      </c>
      <c r="K125" s="714" t="s">
        <v>1078</v>
      </c>
      <c r="L125" s="718" t="s">
        <v>1352</v>
      </c>
      <c r="M125" s="718"/>
      <c r="N125" s="718" t="s">
        <v>1353</v>
      </c>
      <c r="O125" s="739">
        <v>43344</v>
      </c>
      <c r="P125" s="718" t="s">
        <v>1354</v>
      </c>
      <c r="Q125" s="718" t="s">
        <v>1355</v>
      </c>
      <c r="R125" s="714" t="s">
        <v>1356</v>
      </c>
      <c r="U125" s="714" t="s">
        <v>1357</v>
      </c>
      <c r="V125" s="714" t="s">
        <v>1358</v>
      </c>
      <c r="W125" s="714">
        <v>2183</v>
      </c>
      <c r="X125" s="745">
        <v>43355</v>
      </c>
      <c r="Y125" s="745">
        <v>43356</v>
      </c>
      <c r="Z125" s="714">
        <v>1000</v>
      </c>
      <c r="AA125" s="745">
        <v>43354</v>
      </c>
      <c r="AB125" s="714" t="s">
        <v>1079</v>
      </c>
      <c r="AC125" s="714">
        <v>0</v>
      </c>
      <c r="AD125" s="714">
        <v>0</v>
      </c>
      <c r="AE125" s="714">
        <v>0</v>
      </c>
      <c r="AF125" s="714">
        <v>0</v>
      </c>
      <c r="AG125" s="714">
        <v>0</v>
      </c>
      <c r="AH125" s="714">
        <v>1</v>
      </c>
      <c r="AI125" s="714">
        <v>70095</v>
      </c>
      <c r="AJ125" s="714">
        <v>2183</v>
      </c>
      <c r="AK125" s="714">
        <v>0</v>
      </c>
      <c r="AL125" s="714">
        <v>0</v>
      </c>
      <c r="AO125" s="748"/>
      <c r="AP125" s="748"/>
      <c r="AQ125" s="714" t="str">
        <f t="shared" si="2"/>
        <v>VO04769767</v>
      </c>
      <c r="AS125" s="714" t="str">
        <f t="shared" si="3"/>
        <v>wci_corp</v>
      </c>
    </row>
    <row r="126" spans="2:45">
      <c r="B126" s="714" t="s">
        <v>1228</v>
      </c>
      <c r="C126" s="745">
        <v>43361</v>
      </c>
      <c r="D126" s="746">
        <v>785.28</v>
      </c>
      <c r="E126" s="746">
        <v>0</v>
      </c>
      <c r="F126" s="747" t="s">
        <v>1074</v>
      </c>
      <c r="G126" s="714" t="s">
        <v>1359</v>
      </c>
      <c r="H126" s="748" t="s">
        <v>1075</v>
      </c>
      <c r="I126" s="714" t="s">
        <v>1076</v>
      </c>
      <c r="J126" s="714" t="s">
        <v>1077</v>
      </c>
      <c r="K126" s="714" t="s">
        <v>1078</v>
      </c>
      <c r="L126" s="718" t="s">
        <v>1277</v>
      </c>
      <c r="M126" s="718"/>
      <c r="N126" s="718" t="s">
        <v>1278</v>
      </c>
      <c r="O126" s="739">
        <v>43333</v>
      </c>
      <c r="P126" s="718" t="s">
        <v>1360</v>
      </c>
      <c r="Q126" s="718">
        <v>4572</v>
      </c>
      <c r="R126" s="714" t="s">
        <v>1361</v>
      </c>
      <c r="U126" s="714" t="s">
        <v>1362</v>
      </c>
      <c r="V126" s="714" t="s">
        <v>1363</v>
      </c>
      <c r="W126" s="714">
        <v>2183</v>
      </c>
      <c r="X126" s="745">
        <v>43361</v>
      </c>
      <c r="Y126" s="745">
        <v>43361</v>
      </c>
      <c r="Z126" s="714">
        <v>785.28</v>
      </c>
      <c r="AA126" s="745">
        <v>43368</v>
      </c>
      <c r="AB126" s="714" t="s">
        <v>1079</v>
      </c>
      <c r="AC126" s="714">
        <v>0</v>
      </c>
      <c r="AD126" s="714">
        <v>0</v>
      </c>
      <c r="AE126" s="714">
        <v>0</v>
      </c>
      <c r="AF126" s="714">
        <v>0</v>
      </c>
      <c r="AG126" s="714">
        <v>0</v>
      </c>
      <c r="AH126" s="714">
        <v>1</v>
      </c>
      <c r="AI126" s="714">
        <v>70095</v>
      </c>
      <c r="AJ126" s="714">
        <v>2183</v>
      </c>
      <c r="AK126" s="714">
        <v>0</v>
      </c>
      <c r="AL126" s="714">
        <v>0</v>
      </c>
      <c r="AO126" s="748"/>
      <c r="AP126" s="748"/>
      <c r="AQ126" s="714" t="str">
        <f t="shared" si="2"/>
        <v>VO04775187</v>
      </c>
      <c r="AS126" s="714" t="str">
        <f t="shared" si="3"/>
        <v>wci_corp</v>
      </c>
    </row>
    <row r="127" spans="2:45">
      <c r="B127" s="714" t="s">
        <v>1228</v>
      </c>
      <c r="C127" s="745">
        <v>43373</v>
      </c>
      <c r="D127" s="746">
        <v>-500</v>
      </c>
      <c r="E127" s="746">
        <v>0</v>
      </c>
      <c r="F127" s="747" t="s">
        <v>1074</v>
      </c>
      <c r="G127" s="714" t="s">
        <v>1364</v>
      </c>
      <c r="H127" s="748" t="s">
        <v>1075</v>
      </c>
      <c r="I127" s="714" t="s">
        <v>1131</v>
      </c>
      <c r="J127" s="714" t="s">
        <v>1082</v>
      </c>
      <c r="K127" s="714" t="s">
        <v>1078</v>
      </c>
      <c r="L127" s="718"/>
      <c r="M127" s="718"/>
      <c r="N127" s="718" t="s">
        <v>1342</v>
      </c>
      <c r="O127" s="739"/>
      <c r="P127" s="718"/>
      <c r="Q127" s="718"/>
      <c r="U127" s="714" t="s">
        <v>1343</v>
      </c>
      <c r="V127" s="714" t="s">
        <v>1365</v>
      </c>
      <c r="X127" s="745">
        <v>43350</v>
      </c>
      <c r="Y127" s="745">
        <v>43353</v>
      </c>
      <c r="AA127" s="745"/>
      <c r="AB127" s="714" t="s">
        <v>1079</v>
      </c>
      <c r="AC127" s="714">
        <v>0</v>
      </c>
      <c r="AD127" s="714">
        <v>0</v>
      </c>
      <c r="AE127" s="714">
        <v>0</v>
      </c>
      <c r="AF127" s="714">
        <v>0</v>
      </c>
      <c r="AG127" s="714">
        <v>5</v>
      </c>
      <c r="AH127" s="714">
        <v>1</v>
      </c>
      <c r="AI127" s="714">
        <v>70095</v>
      </c>
      <c r="AJ127" s="714">
        <v>2183</v>
      </c>
      <c r="AK127" s="714">
        <v>0</v>
      </c>
      <c r="AL127" s="714">
        <v>0</v>
      </c>
      <c r="AO127" s="748"/>
      <c r="AP127" s="748"/>
      <c r="AQ127" s="714" t="str">
        <f t="shared" si="2"/>
        <v/>
      </c>
      <c r="AS127" s="714" t="str">
        <f t="shared" si="3"/>
        <v>wci_corp</v>
      </c>
    </row>
    <row r="128" spans="2:45">
      <c r="B128" s="714" t="s">
        <v>1228</v>
      </c>
      <c r="C128" s="745">
        <v>43373</v>
      </c>
      <c r="D128" s="746">
        <v>-100</v>
      </c>
      <c r="E128" s="746">
        <v>0</v>
      </c>
      <c r="F128" s="747" t="s">
        <v>1074</v>
      </c>
      <c r="G128" s="714" t="s">
        <v>1364</v>
      </c>
      <c r="H128" s="748" t="s">
        <v>1075</v>
      </c>
      <c r="I128" s="714" t="s">
        <v>1131</v>
      </c>
      <c r="J128" s="714" t="s">
        <v>1082</v>
      </c>
      <c r="K128" s="714" t="s">
        <v>1078</v>
      </c>
      <c r="L128" s="718"/>
      <c r="M128" s="718"/>
      <c r="N128" s="718" t="s">
        <v>1344</v>
      </c>
      <c r="O128" s="739"/>
      <c r="P128" s="718"/>
      <c r="Q128" s="718"/>
      <c r="U128" s="714" t="s">
        <v>1343</v>
      </c>
      <c r="V128" s="714" t="s">
        <v>1365</v>
      </c>
      <c r="X128" s="745">
        <v>43350</v>
      </c>
      <c r="Y128" s="745">
        <v>43353</v>
      </c>
      <c r="AA128" s="745"/>
      <c r="AB128" s="714" t="s">
        <v>1079</v>
      </c>
      <c r="AC128" s="714">
        <v>0</v>
      </c>
      <c r="AD128" s="714">
        <v>0</v>
      </c>
      <c r="AE128" s="714">
        <v>0</v>
      </c>
      <c r="AF128" s="714">
        <v>0</v>
      </c>
      <c r="AG128" s="714">
        <v>5</v>
      </c>
      <c r="AH128" s="714">
        <v>1</v>
      </c>
      <c r="AI128" s="714">
        <v>70095</v>
      </c>
      <c r="AJ128" s="714">
        <v>2183</v>
      </c>
      <c r="AK128" s="714">
        <v>0</v>
      </c>
      <c r="AL128" s="714">
        <v>0</v>
      </c>
      <c r="AO128" s="748"/>
      <c r="AP128" s="748"/>
      <c r="AQ128" s="714" t="str">
        <f t="shared" si="2"/>
        <v/>
      </c>
      <c r="AS128" s="714" t="str">
        <f t="shared" si="3"/>
        <v>wci_corp</v>
      </c>
    </row>
    <row r="129" spans="2:45">
      <c r="B129" s="714" t="s">
        <v>1228</v>
      </c>
      <c r="C129" s="745">
        <v>43373</v>
      </c>
      <c r="D129" s="746">
        <v>-33.979999999999997</v>
      </c>
      <c r="E129" s="746">
        <v>0</v>
      </c>
      <c r="F129" s="747" t="s">
        <v>1074</v>
      </c>
      <c r="G129" s="714" t="s">
        <v>1364</v>
      </c>
      <c r="H129" s="748" t="s">
        <v>1075</v>
      </c>
      <c r="I129" s="714" t="s">
        <v>1131</v>
      </c>
      <c r="J129" s="714" t="s">
        <v>1082</v>
      </c>
      <c r="K129" s="714" t="s">
        <v>1078</v>
      </c>
      <c r="L129" s="718"/>
      <c r="M129" s="718"/>
      <c r="N129" s="718" t="s">
        <v>1345</v>
      </c>
      <c r="O129" s="739"/>
      <c r="P129" s="718"/>
      <c r="Q129" s="718"/>
      <c r="U129" s="714" t="s">
        <v>1343</v>
      </c>
      <c r="V129" s="714" t="s">
        <v>1365</v>
      </c>
      <c r="X129" s="745">
        <v>43350</v>
      </c>
      <c r="Y129" s="745">
        <v>43353</v>
      </c>
      <c r="AA129" s="745"/>
      <c r="AB129" s="714" t="s">
        <v>1079</v>
      </c>
      <c r="AC129" s="714">
        <v>0</v>
      </c>
      <c r="AD129" s="714">
        <v>0</v>
      </c>
      <c r="AE129" s="714">
        <v>0</v>
      </c>
      <c r="AF129" s="714">
        <v>0</v>
      </c>
      <c r="AG129" s="714">
        <v>5</v>
      </c>
      <c r="AH129" s="714">
        <v>1</v>
      </c>
      <c r="AI129" s="714">
        <v>70095</v>
      </c>
      <c r="AJ129" s="714">
        <v>2183</v>
      </c>
      <c r="AK129" s="714">
        <v>0</v>
      </c>
      <c r="AL129" s="714">
        <v>0</v>
      </c>
      <c r="AO129" s="748"/>
      <c r="AP129" s="748"/>
      <c r="AQ129" s="714" t="str">
        <f t="shared" si="2"/>
        <v/>
      </c>
      <c r="AS129" s="714" t="str">
        <f t="shared" si="3"/>
        <v>wci_corp</v>
      </c>
    </row>
    <row r="130" spans="2:45">
      <c r="B130" s="714" t="s">
        <v>1228</v>
      </c>
      <c r="C130" s="745">
        <v>43373</v>
      </c>
      <c r="D130" s="746">
        <v>-564.79</v>
      </c>
      <c r="E130" s="746">
        <v>0</v>
      </c>
      <c r="F130" s="747" t="s">
        <v>1074</v>
      </c>
      <c r="G130" s="714" t="s">
        <v>1364</v>
      </c>
      <c r="H130" s="748" t="s">
        <v>1075</v>
      </c>
      <c r="I130" s="714" t="s">
        <v>1131</v>
      </c>
      <c r="J130" s="714" t="s">
        <v>1082</v>
      </c>
      <c r="K130" s="714" t="s">
        <v>1078</v>
      </c>
      <c r="L130" s="718"/>
      <c r="M130" s="718"/>
      <c r="N130" s="718" t="s">
        <v>1346</v>
      </c>
      <c r="O130" s="739"/>
      <c r="P130" s="718"/>
      <c r="Q130" s="718"/>
      <c r="U130" s="714" t="s">
        <v>1343</v>
      </c>
      <c r="V130" s="714" t="s">
        <v>1365</v>
      </c>
      <c r="X130" s="745">
        <v>43350</v>
      </c>
      <c r="Y130" s="745">
        <v>43353</v>
      </c>
      <c r="AA130" s="745"/>
      <c r="AB130" s="714" t="s">
        <v>1079</v>
      </c>
      <c r="AC130" s="714">
        <v>0</v>
      </c>
      <c r="AD130" s="714">
        <v>0</v>
      </c>
      <c r="AE130" s="714">
        <v>0</v>
      </c>
      <c r="AF130" s="714">
        <v>0</v>
      </c>
      <c r="AG130" s="714">
        <v>5</v>
      </c>
      <c r="AH130" s="714">
        <v>1</v>
      </c>
      <c r="AI130" s="714">
        <v>70095</v>
      </c>
      <c r="AJ130" s="714">
        <v>2183</v>
      </c>
      <c r="AK130" s="714">
        <v>0</v>
      </c>
      <c r="AL130" s="714">
        <v>0</v>
      </c>
      <c r="AO130" s="748"/>
      <c r="AP130" s="748"/>
      <c r="AQ130" s="714" t="str">
        <f t="shared" si="2"/>
        <v/>
      </c>
      <c r="AS130" s="714" t="str">
        <f t="shared" si="3"/>
        <v>wci_corp</v>
      </c>
    </row>
    <row r="131" spans="2:45">
      <c r="B131" s="714" t="s">
        <v>1228</v>
      </c>
      <c r="C131" s="745">
        <v>43373</v>
      </c>
      <c r="D131" s="746">
        <v>-18.989999999999998</v>
      </c>
      <c r="E131" s="746">
        <v>0</v>
      </c>
      <c r="F131" s="747" t="s">
        <v>1074</v>
      </c>
      <c r="G131" s="714" t="s">
        <v>1364</v>
      </c>
      <c r="H131" s="748" t="s">
        <v>1075</v>
      </c>
      <c r="I131" s="714" t="s">
        <v>1131</v>
      </c>
      <c r="J131" s="714" t="s">
        <v>1082</v>
      </c>
      <c r="K131" s="714" t="s">
        <v>1078</v>
      </c>
      <c r="L131" s="718"/>
      <c r="M131" s="718"/>
      <c r="N131" s="718" t="s">
        <v>1259</v>
      </c>
      <c r="O131" s="739"/>
      <c r="P131" s="718"/>
      <c r="Q131" s="718"/>
      <c r="U131" s="714" t="s">
        <v>1343</v>
      </c>
      <c r="V131" s="714" t="s">
        <v>1365</v>
      </c>
      <c r="X131" s="745">
        <v>43350</v>
      </c>
      <c r="Y131" s="745">
        <v>43353</v>
      </c>
      <c r="AA131" s="745"/>
      <c r="AB131" s="714" t="s">
        <v>1079</v>
      </c>
      <c r="AC131" s="714">
        <v>0</v>
      </c>
      <c r="AD131" s="714">
        <v>0</v>
      </c>
      <c r="AE131" s="714">
        <v>0</v>
      </c>
      <c r="AF131" s="714">
        <v>0</v>
      </c>
      <c r="AG131" s="714">
        <v>5</v>
      </c>
      <c r="AH131" s="714">
        <v>1</v>
      </c>
      <c r="AI131" s="714">
        <v>70095</v>
      </c>
      <c r="AJ131" s="714">
        <v>2183</v>
      </c>
      <c r="AK131" s="714">
        <v>0</v>
      </c>
      <c r="AL131" s="714">
        <v>0</v>
      </c>
      <c r="AO131" s="748"/>
      <c r="AP131" s="748"/>
      <c r="AQ131" s="714" t="str">
        <f t="shared" si="2"/>
        <v/>
      </c>
      <c r="AS131" s="714" t="str">
        <f t="shared" si="3"/>
        <v>wci_corp</v>
      </c>
    </row>
    <row r="132" spans="2:45">
      <c r="B132" s="714" t="s">
        <v>1228</v>
      </c>
      <c r="C132" s="745">
        <v>43373</v>
      </c>
      <c r="D132" s="746">
        <v>-785.28</v>
      </c>
      <c r="E132" s="746">
        <v>0</v>
      </c>
      <c r="F132" s="747" t="s">
        <v>1074</v>
      </c>
      <c r="G132" s="714" t="s">
        <v>1175</v>
      </c>
      <c r="H132" s="748" t="s">
        <v>1075</v>
      </c>
      <c r="I132" s="714" t="s">
        <v>1126</v>
      </c>
      <c r="J132" s="714" t="s">
        <v>1082</v>
      </c>
      <c r="K132" s="714" t="s">
        <v>1078</v>
      </c>
      <c r="L132" s="718"/>
      <c r="M132" s="718"/>
      <c r="N132" s="718" t="s">
        <v>1350</v>
      </c>
      <c r="O132" s="739"/>
      <c r="P132" s="718"/>
      <c r="Q132" s="718"/>
      <c r="U132" s="714" t="s">
        <v>1174</v>
      </c>
      <c r="V132" s="714" t="s">
        <v>1176</v>
      </c>
      <c r="X132" s="745">
        <v>43353</v>
      </c>
      <c r="Y132" s="745">
        <v>43353</v>
      </c>
      <c r="AA132" s="745"/>
      <c r="AB132" s="714" t="s">
        <v>1079</v>
      </c>
      <c r="AC132" s="714">
        <v>0</v>
      </c>
      <c r="AD132" s="714">
        <v>0</v>
      </c>
      <c r="AE132" s="714">
        <v>0</v>
      </c>
      <c r="AF132" s="714">
        <v>0</v>
      </c>
      <c r="AG132" s="714">
        <v>5</v>
      </c>
      <c r="AH132" s="714">
        <v>1</v>
      </c>
      <c r="AI132" s="714">
        <v>70095</v>
      </c>
      <c r="AJ132" s="714">
        <v>2183</v>
      </c>
      <c r="AK132" s="714">
        <v>0</v>
      </c>
      <c r="AL132" s="714">
        <v>0</v>
      </c>
      <c r="AO132" s="748"/>
      <c r="AP132" s="748"/>
      <c r="AQ132" s="714" t="str">
        <f t="shared" si="2"/>
        <v/>
      </c>
      <c r="AS132" s="714" t="str">
        <f t="shared" si="3"/>
        <v>wci_corp</v>
      </c>
    </row>
    <row r="133" spans="2:45">
      <c r="B133" s="714" t="s">
        <v>1228</v>
      </c>
      <c r="C133" s="745">
        <v>43373</v>
      </c>
      <c r="D133" s="746">
        <v>750</v>
      </c>
      <c r="E133" s="746">
        <v>0</v>
      </c>
      <c r="F133" s="747" t="s">
        <v>1074</v>
      </c>
      <c r="G133" s="714" t="s">
        <v>1366</v>
      </c>
      <c r="H133" s="748" t="s">
        <v>1075</v>
      </c>
      <c r="I133" s="714" t="s">
        <v>1076</v>
      </c>
      <c r="J133" s="714" t="s">
        <v>1152</v>
      </c>
      <c r="K133" s="714" t="s">
        <v>1078</v>
      </c>
      <c r="L133" s="718" t="s">
        <v>1367</v>
      </c>
      <c r="M133" s="718"/>
      <c r="N133" s="718" t="s">
        <v>1368</v>
      </c>
      <c r="O133" s="739">
        <v>43356</v>
      </c>
      <c r="P133" s="718" t="s">
        <v>1369</v>
      </c>
      <c r="Q133" s="718" t="s">
        <v>1370</v>
      </c>
      <c r="R133" s="714" t="s">
        <v>1371</v>
      </c>
      <c r="U133" s="714" t="s">
        <v>1372</v>
      </c>
      <c r="V133" s="714" t="s">
        <v>1373</v>
      </c>
      <c r="W133" s="714">
        <v>2111</v>
      </c>
      <c r="X133" s="745">
        <v>43374</v>
      </c>
      <c r="Y133" s="745">
        <v>43375</v>
      </c>
      <c r="Z133" s="714">
        <v>3000</v>
      </c>
      <c r="AA133" s="745">
        <v>43366</v>
      </c>
      <c r="AB133" s="714" t="s">
        <v>1079</v>
      </c>
      <c r="AC133" s="714">
        <v>0</v>
      </c>
      <c r="AD133" s="714">
        <v>0</v>
      </c>
      <c r="AE133" s="714">
        <v>0</v>
      </c>
      <c r="AF133" s="714">
        <v>0</v>
      </c>
      <c r="AG133" s="714">
        <v>0</v>
      </c>
      <c r="AH133" s="714">
        <v>1</v>
      </c>
      <c r="AI133" s="714">
        <v>70095</v>
      </c>
      <c r="AJ133" s="714">
        <v>2183</v>
      </c>
      <c r="AK133" s="714">
        <v>0</v>
      </c>
      <c r="AL133" s="714">
        <v>0</v>
      </c>
      <c r="AO133" s="748"/>
      <c r="AP133" s="748"/>
      <c r="AQ133" s="714" t="str">
        <f t="shared" si="2"/>
        <v>VO04788723</v>
      </c>
      <c r="AS133" s="714" t="str">
        <f t="shared" si="3"/>
        <v>wci_corp</v>
      </c>
    </row>
    <row r="134" spans="2:45">
      <c r="B134" s="714" t="s">
        <v>1228</v>
      </c>
      <c r="C134" s="745">
        <v>43373</v>
      </c>
      <c r="D134" s="746">
        <v>500</v>
      </c>
      <c r="E134" s="746">
        <v>0</v>
      </c>
      <c r="F134" s="747" t="s">
        <v>1074</v>
      </c>
      <c r="G134" s="714" t="s">
        <v>1177</v>
      </c>
      <c r="H134" s="748" t="s">
        <v>1075</v>
      </c>
      <c r="I134" s="714" t="s">
        <v>1178</v>
      </c>
      <c r="J134" s="714" t="s">
        <v>1082</v>
      </c>
      <c r="K134" s="714" t="s">
        <v>1078</v>
      </c>
      <c r="L134" s="718"/>
      <c r="M134" s="718"/>
      <c r="N134" s="718" t="s">
        <v>1342</v>
      </c>
      <c r="O134" s="739"/>
      <c r="P134" s="718"/>
      <c r="Q134" s="718"/>
      <c r="U134" s="714" t="s">
        <v>1179</v>
      </c>
      <c r="V134" s="714" t="s">
        <v>1179</v>
      </c>
      <c r="X134" s="745">
        <v>43375</v>
      </c>
      <c r="Y134" s="745">
        <v>43375</v>
      </c>
      <c r="AA134" s="745"/>
      <c r="AB134" s="714" t="s">
        <v>1079</v>
      </c>
      <c r="AC134" s="714">
        <v>0</v>
      </c>
      <c r="AD134" s="714">
        <v>0</v>
      </c>
      <c r="AE134" s="714">
        <v>0</v>
      </c>
      <c r="AF134" s="714">
        <v>0</v>
      </c>
      <c r="AG134" s="714">
        <v>0</v>
      </c>
      <c r="AH134" s="714">
        <v>1</v>
      </c>
      <c r="AI134" s="714">
        <v>70095</v>
      </c>
      <c r="AJ134" s="714">
        <v>2183</v>
      </c>
      <c r="AK134" s="714">
        <v>0</v>
      </c>
      <c r="AL134" s="714">
        <v>0</v>
      </c>
      <c r="AO134" s="748"/>
      <c r="AP134" s="748"/>
      <c r="AQ134" s="714" t="str">
        <f t="shared" si="2"/>
        <v/>
      </c>
      <c r="AS134" s="714" t="str">
        <f t="shared" si="3"/>
        <v>wci_corp</v>
      </c>
    </row>
    <row r="135" spans="2:45">
      <c r="B135" s="714" t="s">
        <v>1228</v>
      </c>
      <c r="C135" s="745">
        <v>43373</v>
      </c>
      <c r="D135" s="746">
        <v>-0.98</v>
      </c>
      <c r="E135" s="746">
        <v>0</v>
      </c>
      <c r="F135" s="747" t="s">
        <v>1074</v>
      </c>
      <c r="G135" s="714" t="s">
        <v>1177</v>
      </c>
      <c r="H135" s="748" t="s">
        <v>1075</v>
      </c>
      <c r="I135" s="714" t="s">
        <v>1178</v>
      </c>
      <c r="J135" s="714" t="s">
        <v>1082</v>
      </c>
      <c r="K135" s="714" t="s">
        <v>1078</v>
      </c>
      <c r="L135" s="718"/>
      <c r="M135" s="718"/>
      <c r="N135" s="718" t="s">
        <v>1374</v>
      </c>
      <c r="O135" s="739"/>
      <c r="P135" s="718"/>
      <c r="Q135" s="718"/>
      <c r="U135" s="714" t="s">
        <v>1179</v>
      </c>
      <c r="V135" s="714" t="s">
        <v>1179</v>
      </c>
      <c r="X135" s="745">
        <v>43375</v>
      </c>
      <c r="Y135" s="745">
        <v>43375</v>
      </c>
      <c r="AA135" s="745"/>
      <c r="AB135" s="714" t="s">
        <v>1079</v>
      </c>
      <c r="AC135" s="714">
        <v>0</v>
      </c>
      <c r="AD135" s="714">
        <v>0</v>
      </c>
      <c r="AE135" s="714">
        <v>0</v>
      </c>
      <c r="AF135" s="714">
        <v>0</v>
      </c>
      <c r="AG135" s="714">
        <v>0</v>
      </c>
      <c r="AH135" s="714">
        <v>1</v>
      </c>
      <c r="AI135" s="714">
        <v>70095</v>
      </c>
      <c r="AJ135" s="714">
        <v>2183</v>
      </c>
      <c r="AK135" s="714">
        <v>0</v>
      </c>
      <c r="AL135" s="714">
        <v>0</v>
      </c>
      <c r="AO135" s="748"/>
      <c r="AP135" s="748"/>
      <c r="AQ135" s="714" t="str">
        <f t="shared" si="2"/>
        <v/>
      </c>
      <c r="AS135" s="714" t="str">
        <f t="shared" si="3"/>
        <v>wci_corp</v>
      </c>
    </row>
    <row r="136" spans="2:45">
      <c r="B136" s="714" t="s">
        <v>1228</v>
      </c>
      <c r="C136" s="745">
        <v>43373</v>
      </c>
      <c r="D136" s="746">
        <v>100</v>
      </c>
      <c r="E136" s="746">
        <v>0</v>
      </c>
      <c r="F136" s="747" t="s">
        <v>1074</v>
      </c>
      <c r="G136" s="714" t="s">
        <v>1177</v>
      </c>
      <c r="H136" s="748" t="s">
        <v>1075</v>
      </c>
      <c r="I136" s="714" t="s">
        <v>1178</v>
      </c>
      <c r="J136" s="714" t="s">
        <v>1082</v>
      </c>
      <c r="K136" s="714" t="s">
        <v>1078</v>
      </c>
      <c r="L136" s="718"/>
      <c r="M136" s="718"/>
      <c r="N136" s="718" t="s">
        <v>1344</v>
      </c>
      <c r="O136" s="739"/>
      <c r="P136" s="718"/>
      <c r="Q136" s="718"/>
      <c r="U136" s="714" t="s">
        <v>1179</v>
      </c>
      <c r="V136" s="714" t="s">
        <v>1179</v>
      </c>
      <c r="X136" s="745">
        <v>43375</v>
      </c>
      <c r="Y136" s="745">
        <v>43375</v>
      </c>
      <c r="AA136" s="745"/>
      <c r="AB136" s="714" t="s">
        <v>1079</v>
      </c>
      <c r="AC136" s="714">
        <v>0</v>
      </c>
      <c r="AD136" s="714">
        <v>0</v>
      </c>
      <c r="AE136" s="714">
        <v>0</v>
      </c>
      <c r="AF136" s="714">
        <v>0</v>
      </c>
      <c r="AG136" s="714">
        <v>0</v>
      </c>
      <c r="AH136" s="714">
        <v>1</v>
      </c>
      <c r="AI136" s="714">
        <v>70095</v>
      </c>
      <c r="AJ136" s="714">
        <v>2183</v>
      </c>
      <c r="AK136" s="714">
        <v>0</v>
      </c>
      <c r="AL136" s="714">
        <v>0</v>
      </c>
      <c r="AO136" s="748"/>
      <c r="AP136" s="748"/>
      <c r="AQ136" s="714" t="str">
        <f t="shared" si="2"/>
        <v/>
      </c>
      <c r="AS136" s="714" t="str">
        <f t="shared" si="3"/>
        <v>wci_corp</v>
      </c>
    </row>
    <row r="137" spans="2:45">
      <c r="B137" s="714" t="s">
        <v>1228</v>
      </c>
      <c r="C137" s="745">
        <v>43373</v>
      </c>
      <c r="D137" s="746">
        <v>33.979999999999997</v>
      </c>
      <c r="E137" s="746">
        <v>0</v>
      </c>
      <c r="F137" s="747" t="s">
        <v>1074</v>
      </c>
      <c r="G137" s="714" t="s">
        <v>1177</v>
      </c>
      <c r="H137" s="748" t="s">
        <v>1075</v>
      </c>
      <c r="I137" s="714" t="s">
        <v>1178</v>
      </c>
      <c r="J137" s="714" t="s">
        <v>1082</v>
      </c>
      <c r="K137" s="714" t="s">
        <v>1078</v>
      </c>
      <c r="L137" s="718"/>
      <c r="M137" s="718"/>
      <c r="N137" s="718" t="s">
        <v>1345</v>
      </c>
      <c r="O137" s="739"/>
      <c r="P137" s="718"/>
      <c r="Q137" s="718"/>
      <c r="U137" s="714" t="s">
        <v>1179</v>
      </c>
      <c r="V137" s="714" t="s">
        <v>1179</v>
      </c>
      <c r="X137" s="745">
        <v>43375</v>
      </c>
      <c r="Y137" s="745">
        <v>43375</v>
      </c>
      <c r="AA137" s="745"/>
      <c r="AB137" s="714" t="s">
        <v>1079</v>
      </c>
      <c r="AC137" s="714">
        <v>0</v>
      </c>
      <c r="AD137" s="714">
        <v>0</v>
      </c>
      <c r="AE137" s="714">
        <v>0</v>
      </c>
      <c r="AF137" s="714">
        <v>0</v>
      </c>
      <c r="AG137" s="714">
        <v>0</v>
      </c>
      <c r="AH137" s="714">
        <v>1</v>
      </c>
      <c r="AI137" s="714">
        <v>70095</v>
      </c>
      <c r="AJ137" s="714">
        <v>2183</v>
      </c>
      <c r="AK137" s="714">
        <v>0</v>
      </c>
      <c r="AL137" s="714">
        <v>0</v>
      </c>
      <c r="AO137" s="748"/>
      <c r="AP137" s="748"/>
      <c r="AQ137" s="714" t="str">
        <f t="shared" si="2"/>
        <v/>
      </c>
      <c r="AS137" s="714" t="str">
        <f t="shared" si="3"/>
        <v>wci_corp</v>
      </c>
    </row>
    <row r="138" spans="2:45">
      <c r="B138" s="714" t="s">
        <v>1228</v>
      </c>
      <c r="C138" s="745">
        <v>43373</v>
      </c>
      <c r="D138" s="746">
        <v>564.79</v>
      </c>
      <c r="E138" s="746">
        <v>0</v>
      </c>
      <c r="F138" s="747" t="s">
        <v>1074</v>
      </c>
      <c r="G138" s="714" t="s">
        <v>1177</v>
      </c>
      <c r="H138" s="748" t="s">
        <v>1075</v>
      </c>
      <c r="I138" s="714" t="s">
        <v>1178</v>
      </c>
      <c r="J138" s="714" t="s">
        <v>1082</v>
      </c>
      <c r="K138" s="714" t="s">
        <v>1078</v>
      </c>
      <c r="L138" s="718"/>
      <c r="M138" s="718"/>
      <c r="N138" s="718" t="s">
        <v>1346</v>
      </c>
      <c r="O138" s="739"/>
      <c r="P138" s="718"/>
      <c r="Q138" s="718"/>
      <c r="U138" s="714" t="s">
        <v>1179</v>
      </c>
      <c r="V138" s="714" t="s">
        <v>1179</v>
      </c>
      <c r="X138" s="745">
        <v>43375</v>
      </c>
      <c r="Y138" s="745">
        <v>43375</v>
      </c>
      <c r="AA138" s="745"/>
      <c r="AB138" s="714" t="s">
        <v>1079</v>
      </c>
      <c r="AC138" s="714">
        <v>0</v>
      </c>
      <c r="AD138" s="714">
        <v>0</v>
      </c>
      <c r="AE138" s="714">
        <v>0</v>
      </c>
      <c r="AF138" s="714">
        <v>0</v>
      </c>
      <c r="AG138" s="714">
        <v>0</v>
      </c>
      <c r="AH138" s="714">
        <v>1</v>
      </c>
      <c r="AI138" s="714">
        <v>70095</v>
      </c>
      <c r="AJ138" s="714">
        <v>2183</v>
      </c>
      <c r="AK138" s="714">
        <v>0</v>
      </c>
      <c r="AL138" s="714">
        <v>0</v>
      </c>
      <c r="AO138" s="748"/>
      <c r="AP138" s="748"/>
      <c r="AQ138" s="714" t="str">
        <f t="shared" si="2"/>
        <v/>
      </c>
      <c r="AS138" s="714" t="str">
        <f t="shared" si="3"/>
        <v>wci_corp</v>
      </c>
    </row>
    <row r="139" spans="2:45">
      <c r="B139" s="714" t="s">
        <v>1228</v>
      </c>
      <c r="C139" s="745">
        <v>43373</v>
      </c>
      <c r="D139" s="746">
        <v>18.989999999999998</v>
      </c>
      <c r="E139" s="746">
        <v>0</v>
      </c>
      <c r="F139" s="747" t="s">
        <v>1074</v>
      </c>
      <c r="G139" s="714" t="s">
        <v>1177</v>
      </c>
      <c r="H139" s="748" t="s">
        <v>1075</v>
      </c>
      <c r="I139" s="714" t="s">
        <v>1178</v>
      </c>
      <c r="J139" s="714" t="s">
        <v>1082</v>
      </c>
      <c r="K139" s="714" t="s">
        <v>1078</v>
      </c>
      <c r="L139" s="718"/>
      <c r="M139" s="718"/>
      <c r="N139" s="718" t="s">
        <v>1259</v>
      </c>
      <c r="O139" s="739"/>
      <c r="P139" s="718"/>
      <c r="Q139" s="718"/>
      <c r="U139" s="714" t="s">
        <v>1179</v>
      </c>
      <c r="V139" s="714" t="s">
        <v>1179</v>
      </c>
      <c r="X139" s="745">
        <v>43375</v>
      </c>
      <c r="Y139" s="745">
        <v>43375</v>
      </c>
      <c r="AA139" s="745"/>
      <c r="AB139" s="714" t="s">
        <v>1079</v>
      </c>
      <c r="AC139" s="714">
        <v>0</v>
      </c>
      <c r="AD139" s="714">
        <v>0</v>
      </c>
      <c r="AE139" s="714">
        <v>0</v>
      </c>
      <c r="AF139" s="714">
        <v>0</v>
      </c>
      <c r="AG139" s="714">
        <v>0</v>
      </c>
      <c r="AH139" s="714">
        <v>1</v>
      </c>
      <c r="AI139" s="714">
        <v>70095</v>
      </c>
      <c r="AJ139" s="714">
        <v>2183</v>
      </c>
      <c r="AK139" s="714">
        <v>0</v>
      </c>
      <c r="AL139" s="714">
        <v>0</v>
      </c>
      <c r="AO139" s="748"/>
      <c r="AP139" s="748"/>
      <c r="AQ139" s="714" t="str">
        <f t="shared" si="2"/>
        <v/>
      </c>
      <c r="AS139" s="714" t="str">
        <f t="shared" si="3"/>
        <v>wci_corp</v>
      </c>
    </row>
    <row r="140" spans="2:45">
      <c r="B140" s="714" t="s">
        <v>1228</v>
      </c>
      <c r="C140" s="745">
        <v>43373</v>
      </c>
      <c r="D140" s="746">
        <v>20.36</v>
      </c>
      <c r="E140" s="746">
        <v>0</v>
      </c>
      <c r="F140" s="747" t="s">
        <v>1074</v>
      </c>
      <c r="G140" s="714" t="s">
        <v>1177</v>
      </c>
      <c r="H140" s="748" t="s">
        <v>1075</v>
      </c>
      <c r="I140" s="714" t="s">
        <v>1178</v>
      </c>
      <c r="J140" s="714" t="s">
        <v>1082</v>
      </c>
      <c r="K140" s="714" t="s">
        <v>1078</v>
      </c>
      <c r="L140" s="718"/>
      <c r="M140" s="718"/>
      <c r="N140" s="718" t="s">
        <v>1375</v>
      </c>
      <c r="O140" s="739"/>
      <c r="P140" s="718"/>
      <c r="Q140" s="718"/>
      <c r="U140" s="714" t="s">
        <v>1179</v>
      </c>
      <c r="V140" s="714" t="s">
        <v>1179</v>
      </c>
      <c r="X140" s="745">
        <v>43375</v>
      </c>
      <c r="Y140" s="745">
        <v>43375</v>
      </c>
      <c r="AA140" s="745"/>
      <c r="AB140" s="714" t="s">
        <v>1079</v>
      </c>
      <c r="AC140" s="714">
        <v>0</v>
      </c>
      <c r="AD140" s="714">
        <v>0</v>
      </c>
      <c r="AE140" s="714">
        <v>0</v>
      </c>
      <c r="AF140" s="714">
        <v>0</v>
      </c>
      <c r="AG140" s="714">
        <v>0</v>
      </c>
      <c r="AH140" s="714">
        <v>1</v>
      </c>
      <c r="AI140" s="714">
        <v>70095</v>
      </c>
      <c r="AJ140" s="714">
        <v>2183</v>
      </c>
      <c r="AK140" s="714">
        <v>0</v>
      </c>
      <c r="AL140" s="714">
        <v>0</v>
      </c>
      <c r="AO140" s="748"/>
      <c r="AP140" s="748"/>
      <c r="AQ140" s="714" t="str">
        <f t="shared" si="2"/>
        <v/>
      </c>
      <c r="AS140" s="714" t="str">
        <f t="shared" si="3"/>
        <v>wci_corp</v>
      </c>
    </row>
    <row r="141" spans="2:45">
      <c r="B141" s="714" t="s">
        <v>1228</v>
      </c>
      <c r="C141" s="745">
        <v>43373</v>
      </c>
      <c r="D141" s="746">
        <v>100</v>
      </c>
      <c r="E141" s="746">
        <v>0</v>
      </c>
      <c r="F141" s="747" t="s">
        <v>1074</v>
      </c>
      <c r="G141" s="714" t="s">
        <v>1177</v>
      </c>
      <c r="H141" s="748" t="s">
        <v>1075</v>
      </c>
      <c r="I141" s="714" t="s">
        <v>1178</v>
      </c>
      <c r="J141" s="714" t="s">
        <v>1082</v>
      </c>
      <c r="K141" s="714" t="s">
        <v>1078</v>
      </c>
      <c r="L141" s="718"/>
      <c r="M141" s="718"/>
      <c r="N141" s="718" t="s">
        <v>1376</v>
      </c>
      <c r="O141" s="739"/>
      <c r="P141" s="718"/>
      <c r="Q141" s="718"/>
      <c r="U141" s="714" t="s">
        <v>1179</v>
      </c>
      <c r="V141" s="714" t="s">
        <v>1179</v>
      </c>
      <c r="X141" s="745">
        <v>43375</v>
      </c>
      <c r="Y141" s="745">
        <v>43375</v>
      </c>
      <c r="AA141" s="745"/>
      <c r="AB141" s="714" t="s">
        <v>1079</v>
      </c>
      <c r="AC141" s="714">
        <v>0</v>
      </c>
      <c r="AD141" s="714">
        <v>0</v>
      </c>
      <c r="AE141" s="714">
        <v>0</v>
      </c>
      <c r="AF141" s="714">
        <v>0</v>
      </c>
      <c r="AG141" s="714">
        <v>0</v>
      </c>
      <c r="AH141" s="714">
        <v>1</v>
      </c>
      <c r="AI141" s="714">
        <v>70095</v>
      </c>
      <c r="AJ141" s="714">
        <v>2183</v>
      </c>
      <c r="AK141" s="714">
        <v>0</v>
      </c>
      <c r="AL141" s="714">
        <v>0</v>
      </c>
      <c r="AO141" s="748"/>
      <c r="AP141" s="748"/>
      <c r="AQ141" s="714" t="str">
        <f t="shared" si="2"/>
        <v/>
      </c>
      <c r="AS141" s="714" t="str">
        <f t="shared" si="3"/>
        <v>wci_corp</v>
      </c>
    </row>
    <row r="142" spans="2:45">
      <c r="B142" s="714" t="s">
        <v>1228</v>
      </c>
      <c r="C142" s="745">
        <v>43373</v>
      </c>
      <c r="D142" s="746">
        <v>250</v>
      </c>
      <c r="E142" s="746">
        <v>0</v>
      </c>
      <c r="F142" s="747" t="s">
        <v>1074</v>
      </c>
      <c r="G142" s="714" t="s">
        <v>1177</v>
      </c>
      <c r="H142" s="748" t="s">
        <v>1075</v>
      </c>
      <c r="I142" s="714" t="s">
        <v>1178</v>
      </c>
      <c r="J142" s="714" t="s">
        <v>1082</v>
      </c>
      <c r="K142" s="714" t="s">
        <v>1078</v>
      </c>
      <c r="L142" s="718"/>
      <c r="M142" s="718"/>
      <c r="N142" s="718" t="s">
        <v>1377</v>
      </c>
      <c r="O142" s="739"/>
      <c r="P142" s="718"/>
      <c r="Q142" s="718"/>
      <c r="U142" s="714" t="s">
        <v>1179</v>
      </c>
      <c r="V142" s="714" t="s">
        <v>1179</v>
      </c>
      <c r="X142" s="745">
        <v>43375</v>
      </c>
      <c r="Y142" s="745">
        <v>43375</v>
      </c>
      <c r="AA142" s="745"/>
      <c r="AB142" s="714" t="s">
        <v>1079</v>
      </c>
      <c r="AC142" s="714">
        <v>0</v>
      </c>
      <c r="AD142" s="714">
        <v>0</v>
      </c>
      <c r="AE142" s="714">
        <v>0</v>
      </c>
      <c r="AF142" s="714">
        <v>0</v>
      </c>
      <c r="AG142" s="714">
        <v>0</v>
      </c>
      <c r="AH142" s="714">
        <v>1</v>
      </c>
      <c r="AI142" s="714">
        <v>70095</v>
      </c>
      <c r="AJ142" s="714">
        <v>2183</v>
      </c>
      <c r="AK142" s="714">
        <v>0</v>
      </c>
      <c r="AL142" s="714">
        <v>0</v>
      </c>
      <c r="AO142" s="748"/>
      <c r="AP142" s="748"/>
      <c r="AQ142" s="714" t="str">
        <f t="shared" si="2"/>
        <v/>
      </c>
      <c r="AS142" s="714" t="str">
        <f t="shared" si="3"/>
        <v>wci_corp</v>
      </c>
    </row>
    <row r="143" spans="2:45">
      <c r="B143" s="714" t="s">
        <v>1228</v>
      </c>
      <c r="C143" s="745">
        <v>43373</v>
      </c>
      <c r="D143" s="746">
        <v>100</v>
      </c>
      <c r="E143" s="746">
        <v>0</v>
      </c>
      <c r="F143" s="747" t="s">
        <v>1074</v>
      </c>
      <c r="G143" s="714" t="s">
        <v>1177</v>
      </c>
      <c r="H143" s="748" t="s">
        <v>1075</v>
      </c>
      <c r="I143" s="714" t="s">
        <v>1178</v>
      </c>
      <c r="J143" s="714" t="s">
        <v>1082</v>
      </c>
      <c r="K143" s="714" t="s">
        <v>1078</v>
      </c>
      <c r="L143" s="718"/>
      <c r="M143" s="718"/>
      <c r="N143" s="718" t="s">
        <v>1378</v>
      </c>
      <c r="O143" s="739"/>
      <c r="P143" s="718"/>
      <c r="Q143" s="718"/>
      <c r="U143" s="714" t="s">
        <v>1179</v>
      </c>
      <c r="V143" s="714" t="s">
        <v>1179</v>
      </c>
      <c r="X143" s="745">
        <v>43375</v>
      </c>
      <c r="Y143" s="745">
        <v>43375</v>
      </c>
      <c r="AA143" s="745"/>
      <c r="AB143" s="714" t="s">
        <v>1079</v>
      </c>
      <c r="AC143" s="714">
        <v>0</v>
      </c>
      <c r="AD143" s="714">
        <v>0</v>
      </c>
      <c r="AE143" s="714">
        <v>0</v>
      </c>
      <c r="AF143" s="714">
        <v>0</v>
      </c>
      <c r="AG143" s="714">
        <v>0</v>
      </c>
      <c r="AH143" s="714">
        <v>1</v>
      </c>
      <c r="AI143" s="714">
        <v>70095</v>
      </c>
      <c r="AJ143" s="714">
        <v>2183</v>
      </c>
      <c r="AK143" s="714">
        <v>0</v>
      </c>
      <c r="AL143" s="714">
        <v>0</v>
      </c>
      <c r="AO143" s="748"/>
      <c r="AP143" s="748"/>
      <c r="AQ143" s="714" t="str">
        <f t="shared" si="2"/>
        <v/>
      </c>
      <c r="AS143" s="714" t="str">
        <f t="shared" si="3"/>
        <v>wci_corp</v>
      </c>
    </row>
    <row r="144" spans="2:45">
      <c r="B144" s="714" t="s">
        <v>1228</v>
      </c>
      <c r="C144" s="745">
        <v>43373</v>
      </c>
      <c r="D144" s="746">
        <v>72.099999999999994</v>
      </c>
      <c r="E144" s="746">
        <v>0</v>
      </c>
      <c r="F144" s="747" t="s">
        <v>1074</v>
      </c>
      <c r="G144" s="714" t="s">
        <v>1177</v>
      </c>
      <c r="H144" s="748" t="s">
        <v>1075</v>
      </c>
      <c r="I144" s="714" t="s">
        <v>1178</v>
      </c>
      <c r="J144" s="714" t="s">
        <v>1082</v>
      </c>
      <c r="K144" s="714" t="s">
        <v>1078</v>
      </c>
      <c r="L144" s="718"/>
      <c r="M144" s="718"/>
      <c r="N144" s="718" t="s">
        <v>1329</v>
      </c>
      <c r="O144" s="739"/>
      <c r="P144" s="718"/>
      <c r="Q144" s="718"/>
      <c r="U144" s="714" t="s">
        <v>1179</v>
      </c>
      <c r="V144" s="714" t="s">
        <v>1179</v>
      </c>
      <c r="X144" s="745">
        <v>43375</v>
      </c>
      <c r="Y144" s="745">
        <v>43375</v>
      </c>
      <c r="AA144" s="745"/>
      <c r="AB144" s="714" t="s">
        <v>1079</v>
      </c>
      <c r="AC144" s="714">
        <v>0</v>
      </c>
      <c r="AD144" s="714">
        <v>0</v>
      </c>
      <c r="AE144" s="714">
        <v>0</v>
      </c>
      <c r="AF144" s="714">
        <v>0</v>
      </c>
      <c r="AG144" s="714">
        <v>0</v>
      </c>
      <c r="AH144" s="714">
        <v>1</v>
      </c>
      <c r="AI144" s="714">
        <v>70095</v>
      </c>
      <c r="AJ144" s="714">
        <v>2183</v>
      </c>
      <c r="AK144" s="714">
        <v>0</v>
      </c>
      <c r="AL144" s="714">
        <v>0</v>
      </c>
      <c r="AO144" s="748"/>
      <c r="AP144" s="748"/>
      <c r="AQ144" s="714" t="str">
        <f t="shared" si="2"/>
        <v/>
      </c>
      <c r="AS144" s="714" t="str">
        <f t="shared" si="3"/>
        <v>wci_corp</v>
      </c>
    </row>
    <row r="145" spans="1:45">
      <c r="B145" s="714" t="s">
        <v>1228</v>
      </c>
      <c r="C145" s="745">
        <v>43373</v>
      </c>
      <c r="D145" s="746">
        <v>24005.73</v>
      </c>
      <c r="E145" s="746">
        <v>0</v>
      </c>
      <c r="F145" s="747" t="s">
        <v>1074</v>
      </c>
      <c r="G145" s="714" t="s">
        <v>1379</v>
      </c>
      <c r="H145" s="748" t="s">
        <v>1075</v>
      </c>
      <c r="I145" s="714" t="s">
        <v>1300</v>
      </c>
      <c r="J145" s="714" t="s">
        <v>1082</v>
      </c>
      <c r="K145" s="714" t="s">
        <v>1078</v>
      </c>
      <c r="L145" s="718"/>
      <c r="M145" s="718"/>
      <c r="N145" s="718" t="s">
        <v>1380</v>
      </c>
      <c r="O145" s="739"/>
      <c r="P145" s="718"/>
      <c r="Q145" s="718"/>
      <c r="U145" s="714" t="s">
        <v>1381</v>
      </c>
      <c r="V145" s="714" t="s">
        <v>1381</v>
      </c>
      <c r="X145" s="745">
        <v>43377</v>
      </c>
      <c r="Y145" s="745">
        <v>43378</v>
      </c>
      <c r="AA145" s="745"/>
      <c r="AB145" s="714" t="s">
        <v>1079</v>
      </c>
      <c r="AC145" s="714">
        <v>0</v>
      </c>
      <c r="AD145" s="714">
        <v>0</v>
      </c>
      <c r="AE145" s="714">
        <v>0</v>
      </c>
      <c r="AF145" s="714">
        <v>0</v>
      </c>
      <c r="AG145" s="714">
        <v>0</v>
      </c>
      <c r="AH145" s="714">
        <v>1</v>
      </c>
      <c r="AI145" s="714">
        <v>70095</v>
      </c>
      <c r="AJ145" s="714">
        <v>2183</v>
      </c>
      <c r="AK145" s="714">
        <v>0</v>
      </c>
      <c r="AL145" s="714">
        <v>0</v>
      </c>
      <c r="AO145" s="748"/>
      <c r="AP145" s="748"/>
      <c r="AQ145" s="714" t="str">
        <f t="shared" si="2"/>
        <v/>
      </c>
      <c r="AS145" s="714" t="str">
        <f t="shared" si="3"/>
        <v>wci_corp</v>
      </c>
    </row>
    <row r="146" spans="1:45">
      <c r="A146" s="678"/>
      <c r="B146" s="678" t="s">
        <v>1228</v>
      </c>
      <c r="C146" s="677">
        <v>43404</v>
      </c>
      <c r="D146" s="676">
        <v>250</v>
      </c>
      <c r="E146" s="676">
        <v>0</v>
      </c>
      <c r="F146" s="675" t="s">
        <v>1074</v>
      </c>
      <c r="G146" s="678"/>
      <c r="H146" s="674" t="s">
        <v>1183</v>
      </c>
      <c r="I146" s="678" t="s">
        <v>1184</v>
      </c>
      <c r="J146" s="678" t="s">
        <v>1185</v>
      </c>
      <c r="K146" s="678"/>
      <c r="L146" s="673"/>
      <c r="M146" s="673"/>
      <c r="N146" s="673" t="s">
        <v>1382</v>
      </c>
      <c r="O146" s="669"/>
      <c r="P146" s="673"/>
      <c r="Q146" s="673" t="s">
        <v>1186</v>
      </c>
      <c r="R146" s="678"/>
      <c r="S146" s="678"/>
      <c r="T146" s="678"/>
      <c r="U146" s="678"/>
      <c r="V146" s="678"/>
      <c r="W146" s="678"/>
      <c r="X146" s="677">
        <v>43406</v>
      </c>
      <c r="Y146" s="677"/>
      <c r="Z146" s="678"/>
      <c r="AA146" s="677"/>
      <c r="AB146" s="678"/>
      <c r="AC146" s="678">
        <v>0</v>
      </c>
      <c r="AD146" s="678"/>
      <c r="AE146" s="678"/>
      <c r="AF146" s="678"/>
      <c r="AG146" s="678"/>
      <c r="AH146" s="678"/>
      <c r="AI146" s="714">
        <v>70095</v>
      </c>
      <c r="AJ146" s="714">
        <v>2183</v>
      </c>
      <c r="AK146" s="714">
        <v>0</v>
      </c>
      <c r="AL146" s="714">
        <v>0</v>
      </c>
      <c r="AN146" s="714" t="s">
        <v>1383</v>
      </c>
      <c r="AO146" s="748">
        <v>2018010</v>
      </c>
      <c r="AP146" s="748">
        <v>2000</v>
      </c>
      <c r="AQ146" s="714" t="str">
        <f t="shared" si="2"/>
        <v/>
      </c>
      <c r="AS146" s="714">
        <f t="shared" si="3"/>
        <v>0</v>
      </c>
    </row>
    <row r="147" spans="1:45">
      <c r="A147" s="678"/>
      <c r="B147" s="678" t="s">
        <v>1228</v>
      </c>
      <c r="C147" s="677">
        <v>43404</v>
      </c>
      <c r="D147" s="676">
        <v>500</v>
      </c>
      <c r="E147" s="676">
        <v>0</v>
      </c>
      <c r="F147" s="675" t="s">
        <v>1074</v>
      </c>
      <c r="G147" s="678"/>
      <c r="H147" s="674" t="s">
        <v>1183</v>
      </c>
      <c r="I147" s="678" t="s">
        <v>1184</v>
      </c>
      <c r="J147" s="678" t="s">
        <v>1185</v>
      </c>
      <c r="K147" s="678"/>
      <c r="L147" s="673"/>
      <c r="M147" s="673"/>
      <c r="N147" s="673" t="s">
        <v>1384</v>
      </c>
      <c r="O147" s="669"/>
      <c r="P147" s="673"/>
      <c r="Q147" s="673" t="s">
        <v>1186</v>
      </c>
      <c r="R147" s="678"/>
      <c r="S147" s="678"/>
      <c r="T147" s="678"/>
      <c r="U147" s="678"/>
      <c r="V147" s="678"/>
      <c r="W147" s="678"/>
      <c r="X147" s="677">
        <v>43406</v>
      </c>
      <c r="Y147" s="677"/>
      <c r="Z147" s="678"/>
      <c r="AA147" s="677"/>
      <c r="AB147" s="678"/>
      <c r="AC147" s="678">
        <v>0</v>
      </c>
      <c r="AD147" s="678"/>
      <c r="AE147" s="678"/>
      <c r="AF147" s="678"/>
      <c r="AG147" s="678"/>
      <c r="AH147" s="678"/>
      <c r="AI147" s="714">
        <v>70095</v>
      </c>
      <c r="AJ147" s="714">
        <v>2183</v>
      </c>
      <c r="AK147" s="714">
        <v>0</v>
      </c>
      <c r="AL147" s="714">
        <v>0</v>
      </c>
      <c r="AN147" s="714" t="s">
        <v>1385</v>
      </c>
      <c r="AO147" s="748">
        <v>2018010</v>
      </c>
      <c r="AP147" s="748">
        <v>2000</v>
      </c>
      <c r="AQ147" s="714" t="str">
        <f t="shared" si="2"/>
        <v/>
      </c>
      <c r="AS147" s="714">
        <f t="shared" si="3"/>
        <v>0</v>
      </c>
    </row>
    <row r="148" spans="1:45">
      <c r="A148" s="678"/>
      <c r="B148" s="678" t="s">
        <v>1228</v>
      </c>
      <c r="C148" s="677">
        <v>43404</v>
      </c>
      <c r="D148" s="676">
        <v>18.989999999999998</v>
      </c>
      <c r="E148" s="676">
        <v>0</v>
      </c>
      <c r="F148" s="675" t="s">
        <v>1074</v>
      </c>
      <c r="G148" s="678"/>
      <c r="H148" s="674" t="s">
        <v>1183</v>
      </c>
      <c r="I148" s="678" t="s">
        <v>1184</v>
      </c>
      <c r="J148" s="678" t="s">
        <v>1185</v>
      </c>
      <c r="K148" s="678"/>
      <c r="L148" s="673"/>
      <c r="M148" s="673"/>
      <c r="N148" s="673" t="s">
        <v>1259</v>
      </c>
      <c r="O148" s="669"/>
      <c r="P148" s="673"/>
      <c r="Q148" s="673" t="s">
        <v>1186</v>
      </c>
      <c r="R148" s="678"/>
      <c r="S148" s="678"/>
      <c r="T148" s="678"/>
      <c r="U148" s="678"/>
      <c r="V148" s="678"/>
      <c r="W148" s="678"/>
      <c r="X148" s="677">
        <v>43406</v>
      </c>
      <c r="Y148" s="677"/>
      <c r="Z148" s="678"/>
      <c r="AA148" s="677"/>
      <c r="AB148" s="678"/>
      <c r="AC148" s="678">
        <v>0</v>
      </c>
      <c r="AD148" s="678"/>
      <c r="AE148" s="678"/>
      <c r="AF148" s="678"/>
      <c r="AG148" s="678"/>
      <c r="AH148" s="678"/>
      <c r="AI148" s="714">
        <v>70095</v>
      </c>
      <c r="AJ148" s="714">
        <v>2183</v>
      </c>
      <c r="AK148" s="714">
        <v>0</v>
      </c>
      <c r="AL148" s="714">
        <v>0</v>
      </c>
      <c r="AN148" s="714" t="s">
        <v>1386</v>
      </c>
      <c r="AO148" s="748">
        <v>2018010</v>
      </c>
      <c r="AP148" s="748">
        <v>2000</v>
      </c>
      <c r="AQ148" s="714" t="str">
        <f t="shared" si="2"/>
        <v/>
      </c>
      <c r="AS148" s="714">
        <f t="shared" si="3"/>
        <v>0</v>
      </c>
    </row>
    <row r="149" spans="1:45">
      <c r="A149" s="678"/>
      <c r="B149" s="678" t="s">
        <v>1228</v>
      </c>
      <c r="C149" s="677">
        <v>43404</v>
      </c>
      <c r="D149" s="676">
        <v>75.680000000000007</v>
      </c>
      <c r="E149" s="676">
        <v>0</v>
      </c>
      <c r="F149" s="675" t="s">
        <v>1074</v>
      </c>
      <c r="G149" s="678"/>
      <c r="H149" s="674" t="s">
        <v>1183</v>
      </c>
      <c r="I149" s="678" t="s">
        <v>1184</v>
      </c>
      <c r="J149" s="678" t="s">
        <v>1185</v>
      </c>
      <c r="K149" s="678"/>
      <c r="L149" s="673"/>
      <c r="M149" s="673"/>
      <c r="N149" s="673" t="s">
        <v>1250</v>
      </c>
      <c r="O149" s="669"/>
      <c r="P149" s="673"/>
      <c r="Q149" s="673" t="s">
        <v>1186</v>
      </c>
      <c r="R149" s="678"/>
      <c r="S149" s="678"/>
      <c r="T149" s="678"/>
      <c r="U149" s="678"/>
      <c r="V149" s="678"/>
      <c r="W149" s="678"/>
      <c r="X149" s="677">
        <v>43406</v>
      </c>
      <c r="Y149" s="677"/>
      <c r="Z149" s="678"/>
      <c r="AA149" s="677"/>
      <c r="AB149" s="678"/>
      <c r="AC149" s="678">
        <v>0</v>
      </c>
      <c r="AD149" s="678"/>
      <c r="AE149" s="678"/>
      <c r="AF149" s="678"/>
      <c r="AG149" s="678"/>
      <c r="AH149" s="678"/>
      <c r="AI149" s="714">
        <v>70095</v>
      </c>
      <c r="AJ149" s="714">
        <v>2183</v>
      </c>
      <c r="AK149" s="714">
        <v>0</v>
      </c>
      <c r="AL149" s="714">
        <v>0</v>
      </c>
      <c r="AN149" s="714" t="s">
        <v>1387</v>
      </c>
      <c r="AO149" s="748">
        <v>2018010</v>
      </c>
      <c r="AP149" s="748">
        <v>2000</v>
      </c>
      <c r="AQ149" s="714" t="str">
        <f t="shared" ref="AQ149:AQ212" si="4">IF(LEFT(U149,2)="VO",U149,"")</f>
        <v/>
      </c>
      <c r="AS149" s="714">
        <f t="shared" ref="AS149:AS212" si="5">IF(RIGHT(K149,2)="IC",IF(OR(AB149="wci_canada",AB149="wci_can_corp"),"wci_can_Corp","wci_corp"),AB149)</f>
        <v>0</v>
      </c>
    </row>
    <row r="150" spans="1:45">
      <c r="A150" s="678"/>
      <c r="B150" s="678" t="s">
        <v>1228</v>
      </c>
      <c r="C150" s="677">
        <v>43404</v>
      </c>
      <c r="D150" s="676">
        <v>87.12</v>
      </c>
      <c r="E150" s="676">
        <v>0</v>
      </c>
      <c r="F150" s="675" t="s">
        <v>1074</v>
      </c>
      <c r="G150" s="678"/>
      <c r="H150" s="674" t="s">
        <v>1183</v>
      </c>
      <c r="I150" s="678" t="s">
        <v>1184</v>
      </c>
      <c r="J150" s="678" t="s">
        <v>1185</v>
      </c>
      <c r="K150" s="678"/>
      <c r="L150" s="673"/>
      <c r="M150" s="673"/>
      <c r="N150" s="673" t="s">
        <v>1250</v>
      </c>
      <c r="O150" s="669"/>
      <c r="P150" s="673"/>
      <c r="Q150" s="673" t="s">
        <v>1186</v>
      </c>
      <c r="R150" s="678"/>
      <c r="S150" s="678"/>
      <c r="T150" s="678"/>
      <c r="U150" s="678"/>
      <c r="V150" s="678"/>
      <c r="W150" s="678"/>
      <c r="X150" s="677">
        <v>43406</v>
      </c>
      <c r="Y150" s="677"/>
      <c r="Z150" s="678"/>
      <c r="AA150" s="677"/>
      <c r="AB150" s="678"/>
      <c r="AC150" s="678">
        <v>0</v>
      </c>
      <c r="AD150" s="678"/>
      <c r="AE150" s="678"/>
      <c r="AF150" s="678"/>
      <c r="AG150" s="678"/>
      <c r="AH150" s="678"/>
      <c r="AI150" s="714">
        <v>70095</v>
      </c>
      <c r="AJ150" s="714">
        <v>2183</v>
      </c>
      <c r="AK150" s="714">
        <v>0</v>
      </c>
      <c r="AL150" s="714">
        <v>0</v>
      </c>
      <c r="AN150" s="714" t="s">
        <v>1388</v>
      </c>
      <c r="AO150" s="748">
        <v>2018010</v>
      </c>
      <c r="AP150" s="748">
        <v>2000</v>
      </c>
      <c r="AQ150" s="714" t="str">
        <f t="shared" si="4"/>
        <v/>
      </c>
      <c r="AS150" s="714">
        <f t="shared" si="5"/>
        <v>0</v>
      </c>
    </row>
    <row r="151" spans="1:45">
      <c r="A151" s="678"/>
      <c r="B151" s="678" t="s">
        <v>1228</v>
      </c>
      <c r="C151" s="677">
        <v>43404</v>
      </c>
      <c r="D151" s="676">
        <v>85.49</v>
      </c>
      <c r="E151" s="676">
        <v>0</v>
      </c>
      <c r="F151" s="675" t="s">
        <v>1074</v>
      </c>
      <c r="G151" s="678"/>
      <c r="H151" s="674" t="s">
        <v>1183</v>
      </c>
      <c r="I151" s="678" t="s">
        <v>1184</v>
      </c>
      <c r="J151" s="678" t="s">
        <v>1185</v>
      </c>
      <c r="K151" s="678"/>
      <c r="L151" s="673"/>
      <c r="M151" s="673"/>
      <c r="N151" s="673" t="s">
        <v>1250</v>
      </c>
      <c r="O151" s="669"/>
      <c r="P151" s="673"/>
      <c r="Q151" s="673" t="s">
        <v>1186</v>
      </c>
      <c r="R151" s="678"/>
      <c r="S151" s="678"/>
      <c r="T151" s="678"/>
      <c r="U151" s="678"/>
      <c r="V151" s="678"/>
      <c r="W151" s="678"/>
      <c r="X151" s="677">
        <v>43406</v>
      </c>
      <c r="Y151" s="677"/>
      <c r="Z151" s="678"/>
      <c r="AA151" s="677"/>
      <c r="AB151" s="678"/>
      <c r="AC151" s="678">
        <v>0</v>
      </c>
      <c r="AD151" s="678"/>
      <c r="AE151" s="678"/>
      <c r="AF151" s="678"/>
      <c r="AG151" s="678"/>
      <c r="AH151" s="678"/>
      <c r="AI151" s="714">
        <v>70095</v>
      </c>
      <c r="AJ151" s="714">
        <v>2183</v>
      </c>
      <c r="AK151" s="714">
        <v>0</v>
      </c>
      <c r="AL151" s="714">
        <v>0</v>
      </c>
      <c r="AN151" s="714" t="s">
        <v>1389</v>
      </c>
      <c r="AO151" s="748">
        <v>2018010</v>
      </c>
      <c r="AP151" s="748">
        <v>2000</v>
      </c>
      <c r="AQ151" s="714" t="str">
        <f t="shared" si="4"/>
        <v/>
      </c>
      <c r="AS151" s="714">
        <f t="shared" si="5"/>
        <v>0</v>
      </c>
    </row>
    <row r="152" spans="1:45">
      <c r="A152" s="678"/>
      <c r="B152" s="678" t="s">
        <v>1228</v>
      </c>
      <c r="C152" s="677">
        <v>43404</v>
      </c>
      <c r="D152" s="676">
        <v>83.38</v>
      </c>
      <c r="E152" s="676">
        <v>0</v>
      </c>
      <c r="F152" s="675" t="s">
        <v>1074</v>
      </c>
      <c r="G152" s="678"/>
      <c r="H152" s="674" t="s">
        <v>1183</v>
      </c>
      <c r="I152" s="678" t="s">
        <v>1184</v>
      </c>
      <c r="J152" s="678" t="s">
        <v>1185</v>
      </c>
      <c r="K152" s="678"/>
      <c r="L152" s="673"/>
      <c r="M152" s="673"/>
      <c r="N152" s="673" t="s">
        <v>1390</v>
      </c>
      <c r="O152" s="669"/>
      <c r="P152" s="673"/>
      <c r="Q152" s="673" t="s">
        <v>1186</v>
      </c>
      <c r="R152" s="678"/>
      <c r="S152" s="678"/>
      <c r="T152" s="678"/>
      <c r="U152" s="678"/>
      <c r="V152" s="678"/>
      <c r="W152" s="678"/>
      <c r="X152" s="677">
        <v>43406</v>
      </c>
      <c r="Y152" s="677"/>
      <c r="Z152" s="678"/>
      <c r="AA152" s="677"/>
      <c r="AB152" s="678"/>
      <c r="AC152" s="678">
        <v>0</v>
      </c>
      <c r="AD152" s="678"/>
      <c r="AE152" s="678"/>
      <c r="AF152" s="678"/>
      <c r="AG152" s="678"/>
      <c r="AH152" s="678"/>
      <c r="AI152" s="714">
        <v>70095</v>
      </c>
      <c r="AJ152" s="714">
        <v>2183</v>
      </c>
      <c r="AK152" s="714">
        <v>0</v>
      </c>
      <c r="AL152" s="714">
        <v>0</v>
      </c>
      <c r="AN152" s="714" t="s">
        <v>1391</v>
      </c>
      <c r="AO152" s="748">
        <v>2018010</v>
      </c>
      <c r="AP152" s="748">
        <v>2000</v>
      </c>
      <c r="AQ152" s="714" t="str">
        <f t="shared" si="4"/>
        <v/>
      </c>
      <c r="AS152" s="714">
        <f t="shared" si="5"/>
        <v>0</v>
      </c>
    </row>
    <row r="153" spans="1:45">
      <c r="A153" s="678"/>
      <c r="B153" s="678" t="s">
        <v>1228</v>
      </c>
      <c r="C153" s="677">
        <v>43404</v>
      </c>
      <c r="D153" s="676">
        <v>143.5</v>
      </c>
      <c r="E153" s="676">
        <v>0</v>
      </c>
      <c r="F153" s="675" t="s">
        <v>1074</v>
      </c>
      <c r="G153" s="678"/>
      <c r="H153" s="674" t="s">
        <v>1183</v>
      </c>
      <c r="I153" s="678" t="s">
        <v>1184</v>
      </c>
      <c r="J153" s="678" t="s">
        <v>1185</v>
      </c>
      <c r="K153" s="678"/>
      <c r="L153" s="673"/>
      <c r="M153" s="673"/>
      <c r="N153" s="673" t="s">
        <v>1392</v>
      </c>
      <c r="O153" s="669"/>
      <c r="P153" s="673"/>
      <c r="Q153" s="673" t="s">
        <v>1186</v>
      </c>
      <c r="R153" s="678"/>
      <c r="S153" s="678"/>
      <c r="T153" s="678"/>
      <c r="U153" s="678"/>
      <c r="V153" s="678"/>
      <c r="W153" s="678"/>
      <c r="X153" s="677">
        <v>43406</v>
      </c>
      <c r="Y153" s="677"/>
      <c r="Z153" s="678"/>
      <c r="AA153" s="677"/>
      <c r="AB153" s="678"/>
      <c r="AC153" s="678">
        <v>0</v>
      </c>
      <c r="AD153" s="678"/>
      <c r="AE153" s="678"/>
      <c r="AF153" s="678"/>
      <c r="AG153" s="678"/>
      <c r="AH153" s="678"/>
      <c r="AI153" s="714">
        <v>70095</v>
      </c>
      <c r="AJ153" s="714">
        <v>2183</v>
      </c>
      <c r="AK153" s="714">
        <v>0</v>
      </c>
      <c r="AL153" s="714">
        <v>0</v>
      </c>
      <c r="AN153" s="714" t="s">
        <v>1393</v>
      </c>
      <c r="AO153" s="748">
        <v>2018010</v>
      </c>
      <c r="AP153" s="748">
        <v>2000</v>
      </c>
      <c r="AQ153" s="714" t="str">
        <f t="shared" si="4"/>
        <v/>
      </c>
      <c r="AS153" s="714">
        <f t="shared" si="5"/>
        <v>0</v>
      </c>
    </row>
    <row r="154" spans="1:45">
      <c r="A154" s="678"/>
      <c r="B154" s="678" t="s">
        <v>1228</v>
      </c>
      <c r="C154" s="677">
        <v>43404</v>
      </c>
      <c r="D154" s="676">
        <v>156.26</v>
      </c>
      <c r="E154" s="676">
        <v>0</v>
      </c>
      <c r="F154" s="675" t="s">
        <v>1074</v>
      </c>
      <c r="G154" s="678"/>
      <c r="H154" s="674" t="s">
        <v>1183</v>
      </c>
      <c r="I154" s="678" t="s">
        <v>1184</v>
      </c>
      <c r="J154" s="678" t="s">
        <v>1185</v>
      </c>
      <c r="K154" s="678"/>
      <c r="L154" s="673"/>
      <c r="M154" s="673"/>
      <c r="N154" s="673" t="s">
        <v>1392</v>
      </c>
      <c r="O154" s="669"/>
      <c r="P154" s="673"/>
      <c r="Q154" s="673" t="s">
        <v>1186</v>
      </c>
      <c r="R154" s="678"/>
      <c r="S154" s="678"/>
      <c r="T154" s="678"/>
      <c r="U154" s="678"/>
      <c r="V154" s="678"/>
      <c r="W154" s="678"/>
      <c r="X154" s="677">
        <v>43406</v>
      </c>
      <c r="Y154" s="677"/>
      <c r="Z154" s="678"/>
      <c r="AA154" s="677"/>
      <c r="AB154" s="678"/>
      <c r="AC154" s="678">
        <v>0</v>
      </c>
      <c r="AD154" s="678"/>
      <c r="AE154" s="678"/>
      <c r="AF154" s="678"/>
      <c r="AG154" s="678"/>
      <c r="AH154" s="678"/>
      <c r="AI154" s="714">
        <v>70095</v>
      </c>
      <c r="AJ154" s="714">
        <v>2183</v>
      </c>
      <c r="AK154" s="714">
        <v>0</v>
      </c>
      <c r="AL154" s="714">
        <v>0</v>
      </c>
      <c r="AN154" s="714" t="s">
        <v>1394</v>
      </c>
      <c r="AO154" s="748">
        <v>2018010</v>
      </c>
      <c r="AP154" s="748">
        <v>2000</v>
      </c>
      <c r="AQ154" s="714" t="str">
        <f t="shared" si="4"/>
        <v/>
      </c>
      <c r="AS154" s="714">
        <f t="shared" si="5"/>
        <v>0</v>
      </c>
    </row>
    <row r="155" spans="1:45">
      <c r="A155" s="678"/>
      <c r="B155" s="678" t="s">
        <v>1228</v>
      </c>
      <c r="C155" s="677">
        <v>43404</v>
      </c>
      <c r="D155" s="676">
        <v>130.46</v>
      </c>
      <c r="E155" s="676">
        <v>0</v>
      </c>
      <c r="F155" s="675" t="s">
        <v>1074</v>
      </c>
      <c r="G155" s="678"/>
      <c r="H155" s="674" t="s">
        <v>1183</v>
      </c>
      <c r="I155" s="678" t="s">
        <v>1184</v>
      </c>
      <c r="J155" s="678" t="s">
        <v>1185</v>
      </c>
      <c r="K155" s="678"/>
      <c r="L155" s="673"/>
      <c r="M155" s="673"/>
      <c r="N155" s="673" t="s">
        <v>1392</v>
      </c>
      <c r="O155" s="669"/>
      <c r="P155" s="673"/>
      <c r="Q155" s="673" t="s">
        <v>1186</v>
      </c>
      <c r="R155" s="678"/>
      <c r="S155" s="678"/>
      <c r="T155" s="678"/>
      <c r="U155" s="678"/>
      <c r="V155" s="678"/>
      <c r="W155" s="678"/>
      <c r="X155" s="677">
        <v>43406</v>
      </c>
      <c r="Y155" s="677"/>
      <c r="Z155" s="678"/>
      <c r="AA155" s="677"/>
      <c r="AB155" s="678"/>
      <c r="AC155" s="678">
        <v>0</v>
      </c>
      <c r="AD155" s="678"/>
      <c r="AE155" s="678"/>
      <c r="AF155" s="678"/>
      <c r="AG155" s="678"/>
      <c r="AH155" s="678"/>
      <c r="AI155" s="714">
        <v>70095</v>
      </c>
      <c r="AJ155" s="714">
        <v>2183</v>
      </c>
      <c r="AK155" s="714">
        <v>0</v>
      </c>
      <c r="AL155" s="714">
        <v>0</v>
      </c>
      <c r="AN155" s="714" t="s">
        <v>1395</v>
      </c>
      <c r="AO155" s="748">
        <v>2018010</v>
      </c>
      <c r="AP155" s="748">
        <v>2000</v>
      </c>
      <c r="AQ155" s="714" t="str">
        <f t="shared" si="4"/>
        <v/>
      </c>
      <c r="AS155" s="714">
        <f t="shared" si="5"/>
        <v>0</v>
      </c>
    </row>
    <row r="156" spans="1:45">
      <c r="A156" s="678"/>
      <c r="B156" s="678" t="s">
        <v>1228</v>
      </c>
      <c r="C156" s="677">
        <v>43404</v>
      </c>
      <c r="D156" s="676">
        <v>32.020000000000003</v>
      </c>
      <c r="E156" s="676">
        <v>0</v>
      </c>
      <c r="F156" s="675" t="s">
        <v>1074</v>
      </c>
      <c r="G156" s="678"/>
      <c r="H156" s="674" t="s">
        <v>1183</v>
      </c>
      <c r="I156" s="678" t="s">
        <v>1184</v>
      </c>
      <c r="J156" s="678" t="s">
        <v>1185</v>
      </c>
      <c r="K156" s="678"/>
      <c r="L156" s="673"/>
      <c r="M156" s="673"/>
      <c r="N156" s="673" t="s">
        <v>1396</v>
      </c>
      <c r="O156" s="669"/>
      <c r="P156" s="673"/>
      <c r="Q156" s="673" t="s">
        <v>1186</v>
      </c>
      <c r="R156" s="678"/>
      <c r="S156" s="678"/>
      <c r="T156" s="678"/>
      <c r="U156" s="678"/>
      <c r="V156" s="678"/>
      <c r="W156" s="678"/>
      <c r="X156" s="677">
        <v>43406</v>
      </c>
      <c r="Y156" s="677"/>
      <c r="Z156" s="678"/>
      <c r="AA156" s="677"/>
      <c r="AB156" s="678"/>
      <c r="AC156" s="678">
        <v>0</v>
      </c>
      <c r="AD156" s="678"/>
      <c r="AE156" s="678"/>
      <c r="AF156" s="678"/>
      <c r="AG156" s="678"/>
      <c r="AH156" s="678"/>
      <c r="AI156" s="714">
        <v>70095</v>
      </c>
      <c r="AJ156" s="714">
        <v>2183</v>
      </c>
      <c r="AK156" s="714">
        <v>0</v>
      </c>
      <c r="AL156" s="714">
        <v>0</v>
      </c>
      <c r="AN156" s="714" t="s">
        <v>1397</v>
      </c>
      <c r="AO156" s="748">
        <v>2018010</v>
      </c>
      <c r="AP156" s="748">
        <v>2000</v>
      </c>
      <c r="AQ156" s="714" t="str">
        <f t="shared" si="4"/>
        <v/>
      </c>
      <c r="AS156" s="714">
        <f t="shared" si="5"/>
        <v>0</v>
      </c>
    </row>
    <row r="157" spans="1:45">
      <c r="A157" s="678"/>
      <c r="B157" s="678" t="s">
        <v>1228</v>
      </c>
      <c r="C157" s="677">
        <v>43404</v>
      </c>
      <c r="D157" s="676">
        <v>30.98</v>
      </c>
      <c r="E157" s="676">
        <v>0</v>
      </c>
      <c r="F157" s="675" t="s">
        <v>1074</v>
      </c>
      <c r="G157" s="678"/>
      <c r="H157" s="674" t="s">
        <v>1183</v>
      </c>
      <c r="I157" s="678" t="s">
        <v>1184</v>
      </c>
      <c r="J157" s="678" t="s">
        <v>1185</v>
      </c>
      <c r="K157" s="678"/>
      <c r="L157" s="673"/>
      <c r="M157" s="673"/>
      <c r="N157" s="673" t="s">
        <v>1259</v>
      </c>
      <c r="O157" s="669"/>
      <c r="P157" s="673"/>
      <c r="Q157" s="673" t="s">
        <v>1186</v>
      </c>
      <c r="R157" s="678"/>
      <c r="S157" s="678"/>
      <c r="T157" s="678"/>
      <c r="U157" s="678"/>
      <c r="V157" s="678"/>
      <c r="W157" s="678"/>
      <c r="X157" s="677">
        <v>43406</v>
      </c>
      <c r="Y157" s="677"/>
      <c r="Z157" s="678"/>
      <c r="AA157" s="677"/>
      <c r="AB157" s="678"/>
      <c r="AC157" s="678">
        <v>0</v>
      </c>
      <c r="AD157" s="678"/>
      <c r="AE157" s="678"/>
      <c r="AF157" s="678"/>
      <c r="AG157" s="678"/>
      <c r="AH157" s="678"/>
      <c r="AI157" s="714">
        <v>70095</v>
      </c>
      <c r="AJ157" s="714">
        <v>2183</v>
      </c>
      <c r="AK157" s="714">
        <v>0</v>
      </c>
      <c r="AL157" s="714">
        <v>0</v>
      </c>
      <c r="AN157" s="714" t="s">
        <v>1398</v>
      </c>
      <c r="AO157" s="748">
        <v>2018010</v>
      </c>
      <c r="AP157" s="748">
        <v>2000</v>
      </c>
      <c r="AQ157" s="714" t="str">
        <f t="shared" si="4"/>
        <v/>
      </c>
      <c r="AS157" s="714">
        <f t="shared" si="5"/>
        <v>0</v>
      </c>
    </row>
    <row r="158" spans="1:45">
      <c r="A158" s="678"/>
      <c r="B158" s="678" t="s">
        <v>1228</v>
      </c>
      <c r="C158" s="677">
        <v>43404</v>
      </c>
      <c r="D158" s="676">
        <v>46.81</v>
      </c>
      <c r="E158" s="676">
        <v>0</v>
      </c>
      <c r="F158" s="675" t="s">
        <v>1074</v>
      </c>
      <c r="G158" s="678"/>
      <c r="H158" s="674" t="s">
        <v>1183</v>
      </c>
      <c r="I158" s="678" t="s">
        <v>1184</v>
      </c>
      <c r="J158" s="678" t="s">
        <v>1185</v>
      </c>
      <c r="K158" s="678"/>
      <c r="L158" s="673"/>
      <c r="M158" s="673"/>
      <c r="N158" s="673" t="s">
        <v>1399</v>
      </c>
      <c r="O158" s="669"/>
      <c r="P158" s="673"/>
      <c r="Q158" s="673" t="s">
        <v>1186</v>
      </c>
      <c r="R158" s="678"/>
      <c r="S158" s="678"/>
      <c r="T158" s="678"/>
      <c r="U158" s="678"/>
      <c r="V158" s="678"/>
      <c r="W158" s="678"/>
      <c r="X158" s="677">
        <v>43406</v>
      </c>
      <c r="Y158" s="677"/>
      <c r="Z158" s="678"/>
      <c r="AA158" s="677"/>
      <c r="AB158" s="678"/>
      <c r="AC158" s="678">
        <v>0</v>
      </c>
      <c r="AD158" s="678"/>
      <c r="AE158" s="678"/>
      <c r="AF158" s="678"/>
      <c r="AG158" s="678"/>
      <c r="AH158" s="678"/>
      <c r="AI158" s="714">
        <v>70095</v>
      </c>
      <c r="AJ158" s="714">
        <v>2183</v>
      </c>
      <c r="AK158" s="714">
        <v>0</v>
      </c>
      <c r="AL158" s="714">
        <v>0</v>
      </c>
      <c r="AN158" s="714" t="s">
        <v>1400</v>
      </c>
      <c r="AO158" s="748">
        <v>2018010</v>
      </c>
      <c r="AP158" s="748">
        <v>2000</v>
      </c>
      <c r="AQ158" s="714" t="str">
        <f t="shared" si="4"/>
        <v/>
      </c>
      <c r="AS158" s="714">
        <f t="shared" si="5"/>
        <v>0</v>
      </c>
    </row>
    <row r="159" spans="1:45">
      <c r="B159" s="714" t="s">
        <v>1228</v>
      </c>
      <c r="C159" s="745">
        <v>43404</v>
      </c>
      <c r="D159" s="746">
        <v>250</v>
      </c>
      <c r="E159" s="746">
        <v>0</v>
      </c>
      <c r="F159" s="747" t="s">
        <v>1074</v>
      </c>
      <c r="G159" s="714" t="s">
        <v>1190</v>
      </c>
      <c r="H159" s="748" t="s">
        <v>1075</v>
      </c>
      <c r="I159" s="714" t="s">
        <v>1191</v>
      </c>
      <c r="J159" s="714" t="s">
        <v>1082</v>
      </c>
      <c r="K159" s="714" t="s">
        <v>1078</v>
      </c>
      <c r="L159" s="718"/>
      <c r="M159" s="718"/>
      <c r="N159" s="718" t="s">
        <v>1382</v>
      </c>
      <c r="O159" s="739"/>
      <c r="P159" s="718"/>
      <c r="Q159" s="718"/>
      <c r="U159" s="714" t="s">
        <v>1192</v>
      </c>
      <c r="V159" s="714" t="s">
        <v>1192</v>
      </c>
      <c r="X159" s="745">
        <v>43406</v>
      </c>
      <c r="Y159" s="745">
        <v>43406</v>
      </c>
      <c r="AA159" s="745"/>
      <c r="AB159" s="714" t="s">
        <v>1079</v>
      </c>
      <c r="AC159" s="714">
        <v>0</v>
      </c>
      <c r="AD159" s="714">
        <v>0</v>
      </c>
      <c r="AE159" s="714">
        <v>0</v>
      </c>
      <c r="AF159" s="714">
        <v>0</v>
      </c>
      <c r="AG159" s="714">
        <v>0</v>
      </c>
      <c r="AH159" s="714">
        <v>1</v>
      </c>
      <c r="AI159" s="714">
        <v>70095</v>
      </c>
      <c r="AJ159" s="714">
        <v>2183</v>
      </c>
      <c r="AK159" s="714">
        <v>0</v>
      </c>
      <c r="AL159" s="714">
        <v>0</v>
      </c>
      <c r="AO159" s="748"/>
      <c r="AP159" s="748"/>
      <c r="AQ159" s="714" t="str">
        <f t="shared" si="4"/>
        <v/>
      </c>
      <c r="AS159" s="714" t="str">
        <f t="shared" si="5"/>
        <v>wci_corp</v>
      </c>
    </row>
    <row r="160" spans="1:45">
      <c r="B160" s="714" t="s">
        <v>1228</v>
      </c>
      <c r="C160" s="745">
        <v>43404</v>
      </c>
      <c r="D160" s="746">
        <v>500</v>
      </c>
      <c r="E160" s="746">
        <v>0</v>
      </c>
      <c r="F160" s="747" t="s">
        <v>1074</v>
      </c>
      <c r="G160" s="714" t="s">
        <v>1190</v>
      </c>
      <c r="H160" s="748" t="s">
        <v>1075</v>
      </c>
      <c r="I160" s="714" t="s">
        <v>1191</v>
      </c>
      <c r="J160" s="714" t="s">
        <v>1082</v>
      </c>
      <c r="K160" s="714" t="s">
        <v>1078</v>
      </c>
      <c r="L160" s="718"/>
      <c r="M160" s="718"/>
      <c r="N160" s="718" t="s">
        <v>1384</v>
      </c>
      <c r="O160" s="739"/>
      <c r="P160" s="718"/>
      <c r="Q160" s="718"/>
      <c r="U160" s="714" t="s">
        <v>1192</v>
      </c>
      <c r="V160" s="714" t="s">
        <v>1192</v>
      </c>
      <c r="X160" s="745">
        <v>43406</v>
      </c>
      <c r="Y160" s="745">
        <v>43406</v>
      </c>
      <c r="AA160" s="745"/>
      <c r="AB160" s="714" t="s">
        <v>1079</v>
      </c>
      <c r="AC160" s="714">
        <v>0</v>
      </c>
      <c r="AD160" s="714">
        <v>0</v>
      </c>
      <c r="AE160" s="714">
        <v>0</v>
      </c>
      <c r="AF160" s="714">
        <v>0</v>
      </c>
      <c r="AG160" s="714">
        <v>0</v>
      </c>
      <c r="AH160" s="714">
        <v>1</v>
      </c>
      <c r="AI160" s="714">
        <v>70095</v>
      </c>
      <c r="AJ160" s="714">
        <v>2183</v>
      </c>
      <c r="AK160" s="714">
        <v>0</v>
      </c>
      <c r="AL160" s="714">
        <v>0</v>
      </c>
      <c r="AO160" s="748"/>
      <c r="AP160" s="748"/>
      <c r="AQ160" s="714" t="str">
        <f t="shared" si="4"/>
        <v/>
      </c>
      <c r="AS160" s="714" t="str">
        <f t="shared" si="5"/>
        <v>wci_corp</v>
      </c>
    </row>
    <row r="161" spans="2:45">
      <c r="B161" s="714" t="s">
        <v>1228</v>
      </c>
      <c r="C161" s="745">
        <v>43404</v>
      </c>
      <c r="D161" s="746">
        <v>18.989999999999998</v>
      </c>
      <c r="E161" s="746">
        <v>0</v>
      </c>
      <c r="F161" s="747" t="s">
        <v>1074</v>
      </c>
      <c r="G161" s="714" t="s">
        <v>1190</v>
      </c>
      <c r="H161" s="748" t="s">
        <v>1075</v>
      </c>
      <c r="I161" s="714" t="s">
        <v>1191</v>
      </c>
      <c r="J161" s="714" t="s">
        <v>1082</v>
      </c>
      <c r="K161" s="714" t="s">
        <v>1078</v>
      </c>
      <c r="L161" s="718"/>
      <c r="M161" s="718"/>
      <c r="N161" s="718" t="s">
        <v>1259</v>
      </c>
      <c r="O161" s="739"/>
      <c r="P161" s="718"/>
      <c r="Q161" s="718"/>
      <c r="U161" s="714" t="s">
        <v>1192</v>
      </c>
      <c r="V161" s="714" t="s">
        <v>1192</v>
      </c>
      <c r="X161" s="745">
        <v>43406</v>
      </c>
      <c r="Y161" s="745">
        <v>43406</v>
      </c>
      <c r="AA161" s="745"/>
      <c r="AB161" s="714" t="s">
        <v>1079</v>
      </c>
      <c r="AC161" s="714">
        <v>0</v>
      </c>
      <c r="AD161" s="714">
        <v>0</v>
      </c>
      <c r="AE161" s="714">
        <v>0</v>
      </c>
      <c r="AF161" s="714">
        <v>0</v>
      </c>
      <c r="AG161" s="714">
        <v>0</v>
      </c>
      <c r="AH161" s="714">
        <v>1</v>
      </c>
      <c r="AI161" s="714">
        <v>70095</v>
      </c>
      <c r="AJ161" s="714">
        <v>2183</v>
      </c>
      <c r="AK161" s="714">
        <v>0</v>
      </c>
      <c r="AL161" s="714">
        <v>0</v>
      </c>
      <c r="AO161" s="748"/>
      <c r="AP161" s="748"/>
      <c r="AQ161" s="714" t="str">
        <f t="shared" si="4"/>
        <v/>
      </c>
      <c r="AS161" s="714" t="str">
        <f t="shared" si="5"/>
        <v>wci_corp</v>
      </c>
    </row>
    <row r="162" spans="2:45">
      <c r="B162" s="714" t="s">
        <v>1228</v>
      </c>
      <c r="C162" s="745">
        <v>43404</v>
      </c>
      <c r="D162" s="746">
        <v>75.680000000000007</v>
      </c>
      <c r="E162" s="746">
        <v>0</v>
      </c>
      <c r="F162" s="747" t="s">
        <v>1074</v>
      </c>
      <c r="G162" s="714" t="s">
        <v>1190</v>
      </c>
      <c r="H162" s="748" t="s">
        <v>1075</v>
      </c>
      <c r="I162" s="714" t="s">
        <v>1191</v>
      </c>
      <c r="J162" s="714" t="s">
        <v>1082</v>
      </c>
      <c r="K162" s="714" t="s">
        <v>1078</v>
      </c>
      <c r="L162" s="718"/>
      <c r="M162" s="718"/>
      <c r="N162" s="718" t="s">
        <v>1250</v>
      </c>
      <c r="O162" s="739"/>
      <c r="P162" s="718"/>
      <c r="Q162" s="718"/>
      <c r="U162" s="714" t="s">
        <v>1192</v>
      </c>
      <c r="V162" s="714" t="s">
        <v>1192</v>
      </c>
      <c r="X162" s="745">
        <v>43406</v>
      </c>
      <c r="Y162" s="745">
        <v>43406</v>
      </c>
      <c r="AA162" s="745"/>
      <c r="AB162" s="714" t="s">
        <v>1079</v>
      </c>
      <c r="AC162" s="714">
        <v>0</v>
      </c>
      <c r="AD162" s="714">
        <v>0</v>
      </c>
      <c r="AE162" s="714">
        <v>0</v>
      </c>
      <c r="AF162" s="714">
        <v>0</v>
      </c>
      <c r="AG162" s="714">
        <v>0</v>
      </c>
      <c r="AH162" s="714">
        <v>1</v>
      </c>
      <c r="AI162" s="714">
        <v>70095</v>
      </c>
      <c r="AJ162" s="714">
        <v>2183</v>
      </c>
      <c r="AK162" s="714">
        <v>0</v>
      </c>
      <c r="AL162" s="714">
        <v>0</v>
      </c>
      <c r="AO162" s="748"/>
      <c r="AP162" s="748"/>
      <c r="AQ162" s="714" t="str">
        <f t="shared" si="4"/>
        <v/>
      </c>
      <c r="AS162" s="714" t="str">
        <f t="shared" si="5"/>
        <v>wci_corp</v>
      </c>
    </row>
    <row r="163" spans="2:45">
      <c r="B163" s="714" t="s">
        <v>1228</v>
      </c>
      <c r="C163" s="745">
        <v>43404</v>
      </c>
      <c r="D163" s="746">
        <v>87.12</v>
      </c>
      <c r="E163" s="746">
        <v>0</v>
      </c>
      <c r="F163" s="747" t="s">
        <v>1074</v>
      </c>
      <c r="G163" s="714" t="s">
        <v>1190</v>
      </c>
      <c r="H163" s="748" t="s">
        <v>1075</v>
      </c>
      <c r="I163" s="714" t="s">
        <v>1191</v>
      </c>
      <c r="J163" s="714" t="s">
        <v>1082</v>
      </c>
      <c r="K163" s="714" t="s">
        <v>1078</v>
      </c>
      <c r="L163" s="718"/>
      <c r="M163" s="718"/>
      <c r="N163" s="718" t="s">
        <v>1250</v>
      </c>
      <c r="O163" s="739"/>
      <c r="P163" s="718"/>
      <c r="Q163" s="718"/>
      <c r="U163" s="714" t="s">
        <v>1192</v>
      </c>
      <c r="V163" s="714" t="s">
        <v>1192</v>
      </c>
      <c r="X163" s="745">
        <v>43406</v>
      </c>
      <c r="Y163" s="745">
        <v>43406</v>
      </c>
      <c r="AA163" s="745"/>
      <c r="AB163" s="714" t="s">
        <v>1079</v>
      </c>
      <c r="AC163" s="714">
        <v>0</v>
      </c>
      <c r="AD163" s="714">
        <v>0</v>
      </c>
      <c r="AE163" s="714">
        <v>0</v>
      </c>
      <c r="AF163" s="714">
        <v>0</v>
      </c>
      <c r="AG163" s="714">
        <v>0</v>
      </c>
      <c r="AH163" s="714">
        <v>1</v>
      </c>
      <c r="AI163" s="714">
        <v>70095</v>
      </c>
      <c r="AJ163" s="714">
        <v>2183</v>
      </c>
      <c r="AK163" s="714">
        <v>0</v>
      </c>
      <c r="AL163" s="714">
        <v>0</v>
      </c>
      <c r="AO163" s="748"/>
      <c r="AP163" s="748"/>
      <c r="AQ163" s="714" t="str">
        <f t="shared" si="4"/>
        <v/>
      </c>
      <c r="AS163" s="714" t="str">
        <f t="shared" si="5"/>
        <v>wci_corp</v>
      </c>
    </row>
    <row r="164" spans="2:45">
      <c r="B164" s="714" t="s">
        <v>1228</v>
      </c>
      <c r="C164" s="745">
        <v>43404</v>
      </c>
      <c r="D164" s="746">
        <v>85.49</v>
      </c>
      <c r="E164" s="746">
        <v>0</v>
      </c>
      <c r="F164" s="747" t="s">
        <v>1074</v>
      </c>
      <c r="G164" s="714" t="s">
        <v>1190</v>
      </c>
      <c r="H164" s="748" t="s">
        <v>1075</v>
      </c>
      <c r="I164" s="714" t="s">
        <v>1191</v>
      </c>
      <c r="J164" s="714" t="s">
        <v>1082</v>
      </c>
      <c r="K164" s="714" t="s">
        <v>1078</v>
      </c>
      <c r="L164" s="718"/>
      <c r="M164" s="718"/>
      <c r="N164" s="718" t="s">
        <v>1250</v>
      </c>
      <c r="O164" s="739"/>
      <c r="P164" s="718"/>
      <c r="Q164" s="718"/>
      <c r="U164" s="714" t="s">
        <v>1192</v>
      </c>
      <c r="V164" s="714" t="s">
        <v>1192</v>
      </c>
      <c r="X164" s="745">
        <v>43406</v>
      </c>
      <c r="Y164" s="745">
        <v>43406</v>
      </c>
      <c r="AA164" s="745"/>
      <c r="AB164" s="714" t="s">
        <v>1079</v>
      </c>
      <c r="AC164" s="714">
        <v>0</v>
      </c>
      <c r="AD164" s="714">
        <v>0</v>
      </c>
      <c r="AE164" s="714">
        <v>0</v>
      </c>
      <c r="AF164" s="714">
        <v>0</v>
      </c>
      <c r="AG164" s="714">
        <v>0</v>
      </c>
      <c r="AH164" s="714">
        <v>1</v>
      </c>
      <c r="AI164" s="714">
        <v>70095</v>
      </c>
      <c r="AJ164" s="714">
        <v>2183</v>
      </c>
      <c r="AK164" s="714">
        <v>0</v>
      </c>
      <c r="AL164" s="714">
        <v>0</v>
      </c>
      <c r="AO164" s="748"/>
      <c r="AP164" s="748"/>
      <c r="AQ164" s="714" t="str">
        <f t="shared" si="4"/>
        <v/>
      </c>
      <c r="AS164" s="714" t="str">
        <f t="shared" si="5"/>
        <v>wci_corp</v>
      </c>
    </row>
    <row r="165" spans="2:45">
      <c r="B165" s="714" t="s">
        <v>1228</v>
      </c>
      <c r="C165" s="745">
        <v>43404</v>
      </c>
      <c r="D165" s="746">
        <v>83.38</v>
      </c>
      <c r="E165" s="746">
        <v>0</v>
      </c>
      <c r="F165" s="747" t="s">
        <v>1074</v>
      </c>
      <c r="G165" s="714" t="s">
        <v>1190</v>
      </c>
      <c r="H165" s="748" t="s">
        <v>1075</v>
      </c>
      <c r="I165" s="714" t="s">
        <v>1191</v>
      </c>
      <c r="J165" s="714" t="s">
        <v>1082</v>
      </c>
      <c r="K165" s="714" t="s">
        <v>1078</v>
      </c>
      <c r="L165" s="718"/>
      <c r="M165" s="718"/>
      <c r="N165" s="718" t="s">
        <v>1390</v>
      </c>
      <c r="O165" s="739"/>
      <c r="P165" s="718"/>
      <c r="Q165" s="718"/>
      <c r="U165" s="714" t="s">
        <v>1192</v>
      </c>
      <c r="V165" s="714" t="s">
        <v>1192</v>
      </c>
      <c r="X165" s="745">
        <v>43406</v>
      </c>
      <c r="Y165" s="745">
        <v>43406</v>
      </c>
      <c r="AA165" s="745"/>
      <c r="AB165" s="714" t="s">
        <v>1079</v>
      </c>
      <c r="AC165" s="714">
        <v>0</v>
      </c>
      <c r="AD165" s="714">
        <v>0</v>
      </c>
      <c r="AE165" s="714">
        <v>0</v>
      </c>
      <c r="AF165" s="714">
        <v>0</v>
      </c>
      <c r="AG165" s="714">
        <v>0</v>
      </c>
      <c r="AH165" s="714">
        <v>1</v>
      </c>
      <c r="AI165" s="714">
        <v>70095</v>
      </c>
      <c r="AJ165" s="714">
        <v>2183</v>
      </c>
      <c r="AK165" s="714">
        <v>0</v>
      </c>
      <c r="AL165" s="714">
        <v>0</v>
      </c>
      <c r="AO165" s="748"/>
      <c r="AP165" s="748"/>
      <c r="AQ165" s="714" t="str">
        <f t="shared" si="4"/>
        <v/>
      </c>
      <c r="AS165" s="714" t="str">
        <f t="shared" si="5"/>
        <v>wci_corp</v>
      </c>
    </row>
    <row r="166" spans="2:45">
      <c r="B166" s="714" t="s">
        <v>1228</v>
      </c>
      <c r="C166" s="745">
        <v>43404</v>
      </c>
      <c r="D166" s="746">
        <v>143.5</v>
      </c>
      <c r="E166" s="746">
        <v>0</v>
      </c>
      <c r="F166" s="747" t="s">
        <v>1074</v>
      </c>
      <c r="G166" s="714" t="s">
        <v>1190</v>
      </c>
      <c r="H166" s="748" t="s">
        <v>1075</v>
      </c>
      <c r="I166" s="714" t="s">
        <v>1191</v>
      </c>
      <c r="J166" s="714" t="s">
        <v>1082</v>
      </c>
      <c r="K166" s="714" t="s">
        <v>1078</v>
      </c>
      <c r="L166" s="718"/>
      <c r="M166" s="718"/>
      <c r="N166" s="718" t="s">
        <v>1392</v>
      </c>
      <c r="O166" s="739"/>
      <c r="P166" s="718"/>
      <c r="Q166" s="718"/>
      <c r="U166" s="714" t="s">
        <v>1192</v>
      </c>
      <c r="V166" s="714" t="s">
        <v>1192</v>
      </c>
      <c r="X166" s="745">
        <v>43406</v>
      </c>
      <c r="Y166" s="745">
        <v>43406</v>
      </c>
      <c r="AA166" s="745"/>
      <c r="AB166" s="714" t="s">
        <v>1079</v>
      </c>
      <c r="AC166" s="714">
        <v>0</v>
      </c>
      <c r="AD166" s="714">
        <v>0</v>
      </c>
      <c r="AE166" s="714">
        <v>0</v>
      </c>
      <c r="AF166" s="714">
        <v>0</v>
      </c>
      <c r="AG166" s="714">
        <v>0</v>
      </c>
      <c r="AH166" s="714">
        <v>1</v>
      </c>
      <c r="AI166" s="714">
        <v>70095</v>
      </c>
      <c r="AJ166" s="714">
        <v>2183</v>
      </c>
      <c r="AK166" s="714">
        <v>0</v>
      </c>
      <c r="AL166" s="714">
        <v>0</v>
      </c>
      <c r="AO166" s="748"/>
      <c r="AP166" s="748"/>
      <c r="AQ166" s="714" t="str">
        <f t="shared" si="4"/>
        <v/>
      </c>
      <c r="AS166" s="714" t="str">
        <f t="shared" si="5"/>
        <v>wci_corp</v>
      </c>
    </row>
    <row r="167" spans="2:45">
      <c r="B167" s="714" t="s">
        <v>1228</v>
      </c>
      <c r="C167" s="745">
        <v>43404</v>
      </c>
      <c r="D167" s="746">
        <v>156.26</v>
      </c>
      <c r="E167" s="746">
        <v>0</v>
      </c>
      <c r="F167" s="747" t="s">
        <v>1074</v>
      </c>
      <c r="G167" s="714" t="s">
        <v>1190</v>
      </c>
      <c r="H167" s="748" t="s">
        <v>1075</v>
      </c>
      <c r="I167" s="714" t="s">
        <v>1191</v>
      </c>
      <c r="J167" s="714" t="s">
        <v>1082</v>
      </c>
      <c r="K167" s="714" t="s">
        <v>1078</v>
      </c>
      <c r="L167" s="718"/>
      <c r="M167" s="718"/>
      <c r="N167" s="718" t="s">
        <v>1392</v>
      </c>
      <c r="O167" s="739"/>
      <c r="P167" s="718"/>
      <c r="Q167" s="718"/>
      <c r="U167" s="714" t="s">
        <v>1192</v>
      </c>
      <c r="V167" s="714" t="s">
        <v>1192</v>
      </c>
      <c r="X167" s="745">
        <v>43406</v>
      </c>
      <c r="Y167" s="745">
        <v>43406</v>
      </c>
      <c r="AA167" s="745"/>
      <c r="AB167" s="714" t="s">
        <v>1079</v>
      </c>
      <c r="AC167" s="714">
        <v>0</v>
      </c>
      <c r="AD167" s="714">
        <v>0</v>
      </c>
      <c r="AE167" s="714">
        <v>0</v>
      </c>
      <c r="AF167" s="714">
        <v>0</v>
      </c>
      <c r="AG167" s="714">
        <v>0</v>
      </c>
      <c r="AH167" s="714">
        <v>1</v>
      </c>
      <c r="AI167" s="714">
        <v>70095</v>
      </c>
      <c r="AJ167" s="714">
        <v>2183</v>
      </c>
      <c r="AK167" s="714">
        <v>0</v>
      </c>
      <c r="AL167" s="714">
        <v>0</v>
      </c>
      <c r="AO167" s="748"/>
      <c r="AP167" s="748"/>
      <c r="AQ167" s="714" t="str">
        <f t="shared" si="4"/>
        <v/>
      </c>
      <c r="AS167" s="714" t="str">
        <f t="shared" si="5"/>
        <v>wci_corp</v>
      </c>
    </row>
    <row r="168" spans="2:45">
      <c r="B168" s="714" t="s">
        <v>1228</v>
      </c>
      <c r="C168" s="745">
        <v>43404</v>
      </c>
      <c r="D168" s="746">
        <v>130.46</v>
      </c>
      <c r="E168" s="746">
        <v>0</v>
      </c>
      <c r="F168" s="747" t="s">
        <v>1074</v>
      </c>
      <c r="G168" s="714" t="s">
        <v>1190</v>
      </c>
      <c r="H168" s="748" t="s">
        <v>1075</v>
      </c>
      <c r="I168" s="714" t="s">
        <v>1191</v>
      </c>
      <c r="J168" s="714" t="s">
        <v>1082</v>
      </c>
      <c r="K168" s="714" t="s">
        <v>1078</v>
      </c>
      <c r="L168" s="718"/>
      <c r="M168" s="718"/>
      <c r="N168" s="718" t="s">
        <v>1392</v>
      </c>
      <c r="O168" s="739"/>
      <c r="P168" s="718"/>
      <c r="Q168" s="718"/>
      <c r="U168" s="714" t="s">
        <v>1192</v>
      </c>
      <c r="V168" s="714" t="s">
        <v>1192</v>
      </c>
      <c r="X168" s="745">
        <v>43406</v>
      </c>
      <c r="Y168" s="745">
        <v>43406</v>
      </c>
      <c r="AA168" s="745"/>
      <c r="AB168" s="714" t="s">
        <v>1079</v>
      </c>
      <c r="AC168" s="714">
        <v>0</v>
      </c>
      <c r="AD168" s="714">
        <v>0</v>
      </c>
      <c r="AE168" s="714">
        <v>0</v>
      </c>
      <c r="AF168" s="714">
        <v>0</v>
      </c>
      <c r="AG168" s="714">
        <v>0</v>
      </c>
      <c r="AH168" s="714">
        <v>1</v>
      </c>
      <c r="AI168" s="714">
        <v>70095</v>
      </c>
      <c r="AJ168" s="714">
        <v>2183</v>
      </c>
      <c r="AK168" s="714">
        <v>0</v>
      </c>
      <c r="AL168" s="714">
        <v>0</v>
      </c>
      <c r="AO168" s="748"/>
      <c r="AP168" s="748"/>
      <c r="AQ168" s="714" t="str">
        <f t="shared" si="4"/>
        <v/>
      </c>
      <c r="AS168" s="714" t="str">
        <f t="shared" si="5"/>
        <v>wci_corp</v>
      </c>
    </row>
    <row r="169" spans="2:45">
      <c r="B169" s="714" t="s">
        <v>1228</v>
      </c>
      <c r="C169" s="745">
        <v>43404</v>
      </c>
      <c r="D169" s="746">
        <v>32.020000000000003</v>
      </c>
      <c r="E169" s="746">
        <v>0</v>
      </c>
      <c r="F169" s="747" t="s">
        <v>1074</v>
      </c>
      <c r="G169" s="714" t="s">
        <v>1190</v>
      </c>
      <c r="H169" s="748" t="s">
        <v>1075</v>
      </c>
      <c r="I169" s="714" t="s">
        <v>1191</v>
      </c>
      <c r="J169" s="714" t="s">
        <v>1082</v>
      </c>
      <c r="K169" s="714" t="s">
        <v>1078</v>
      </c>
      <c r="L169" s="718"/>
      <c r="M169" s="718"/>
      <c r="N169" s="718" t="s">
        <v>1396</v>
      </c>
      <c r="O169" s="739"/>
      <c r="P169" s="718"/>
      <c r="Q169" s="718"/>
      <c r="U169" s="714" t="s">
        <v>1192</v>
      </c>
      <c r="V169" s="714" t="s">
        <v>1192</v>
      </c>
      <c r="X169" s="745">
        <v>43406</v>
      </c>
      <c r="Y169" s="745">
        <v>43406</v>
      </c>
      <c r="AA169" s="745"/>
      <c r="AB169" s="714" t="s">
        <v>1079</v>
      </c>
      <c r="AC169" s="714">
        <v>0</v>
      </c>
      <c r="AD169" s="714">
        <v>0</v>
      </c>
      <c r="AE169" s="714">
        <v>0</v>
      </c>
      <c r="AF169" s="714">
        <v>0</v>
      </c>
      <c r="AG169" s="714">
        <v>0</v>
      </c>
      <c r="AH169" s="714">
        <v>1</v>
      </c>
      <c r="AI169" s="714">
        <v>70095</v>
      </c>
      <c r="AJ169" s="714">
        <v>2183</v>
      </c>
      <c r="AK169" s="714">
        <v>0</v>
      </c>
      <c r="AL169" s="714">
        <v>0</v>
      </c>
      <c r="AO169" s="748"/>
      <c r="AP169" s="748"/>
      <c r="AQ169" s="714" t="str">
        <f t="shared" si="4"/>
        <v/>
      </c>
      <c r="AS169" s="714" t="str">
        <f t="shared" si="5"/>
        <v>wci_corp</v>
      </c>
    </row>
    <row r="170" spans="2:45">
      <c r="B170" s="714" t="s">
        <v>1228</v>
      </c>
      <c r="C170" s="745">
        <v>43404</v>
      </c>
      <c r="D170" s="746">
        <v>30.98</v>
      </c>
      <c r="E170" s="746">
        <v>0</v>
      </c>
      <c r="F170" s="747" t="s">
        <v>1074</v>
      </c>
      <c r="G170" s="714" t="s">
        <v>1190</v>
      </c>
      <c r="H170" s="748" t="s">
        <v>1075</v>
      </c>
      <c r="I170" s="714" t="s">
        <v>1191</v>
      </c>
      <c r="J170" s="714" t="s">
        <v>1082</v>
      </c>
      <c r="K170" s="714" t="s">
        <v>1078</v>
      </c>
      <c r="L170" s="718"/>
      <c r="M170" s="718"/>
      <c r="N170" s="718" t="s">
        <v>1259</v>
      </c>
      <c r="O170" s="739"/>
      <c r="P170" s="718"/>
      <c r="Q170" s="718"/>
      <c r="U170" s="714" t="s">
        <v>1192</v>
      </c>
      <c r="V170" s="714" t="s">
        <v>1192</v>
      </c>
      <c r="X170" s="745">
        <v>43406</v>
      </c>
      <c r="Y170" s="745">
        <v>43406</v>
      </c>
      <c r="AA170" s="745"/>
      <c r="AB170" s="714" t="s">
        <v>1079</v>
      </c>
      <c r="AC170" s="714">
        <v>0</v>
      </c>
      <c r="AD170" s="714">
        <v>0</v>
      </c>
      <c r="AE170" s="714">
        <v>0</v>
      </c>
      <c r="AF170" s="714">
        <v>0</v>
      </c>
      <c r="AG170" s="714">
        <v>0</v>
      </c>
      <c r="AH170" s="714">
        <v>1</v>
      </c>
      <c r="AI170" s="714">
        <v>70095</v>
      </c>
      <c r="AJ170" s="714">
        <v>2183</v>
      </c>
      <c r="AK170" s="714">
        <v>0</v>
      </c>
      <c r="AL170" s="714">
        <v>0</v>
      </c>
      <c r="AO170" s="748"/>
      <c r="AP170" s="748"/>
      <c r="AQ170" s="714" t="str">
        <f t="shared" si="4"/>
        <v/>
      </c>
      <c r="AS170" s="714" t="str">
        <f t="shared" si="5"/>
        <v>wci_corp</v>
      </c>
    </row>
    <row r="171" spans="2:45">
      <c r="B171" s="714" t="s">
        <v>1228</v>
      </c>
      <c r="C171" s="745">
        <v>43404</v>
      </c>
      <c r="D171" s="746">
        <v>46.81</v>
      </c>
      <c r="E171" s="746">
        <v>0</v>
      </c>
      <c r="F171" s="747" t="s">
        <v>1074</v>
      </c>
      <c r="G171" s="714" t="s">
        <v>1190</v>
      </c>
      <c r="H171" s="748" t="s">
        <v>1075</v>
      </c>
      <c r="I171" s="714" t="s">
        <v>1191</v>
      </c>
      <c r="J171" s="714" t="s">
        <v>1082</v>
      </c>
      <c r="K171" s="714" t="s">
        <v>1078</v>
      </c>
      <c r="L171" s="718"/>
      <c r="M171" s="718"/>
      <c r="N171" s="718" t="s">
        <v>1399</v>
      </c>
      <c r="O171" s="739"/>
      <c r="P171" s="718"/>
      <c r="Q171" s="718"/>
      <c r="U171" s="714" t="s">
        <v>1192</v>
      </c>
      <c r="V171" s="714" t="s">
        <v>1192</v>
      </c>
      <c r="X171" s="745">
        <v>43406</v>
      </c>
      <c r="Y171" s="745">
        <v>43406</v>
      </c>
      <c r="AA171" s="745"/>
      <c r="AB171" s="714" t="s">
        <v>1079</v>
      </c>
      <c r="AC171" s="714">
        <v>0</v>
      </c>
      <c r="AD171" s="714">
        <v>0</v>
      </c>
      <c r="AE171" s="714">
        <v>0</v>
      </c>
      <c r="AF171" s="714">
        <v>0</v>
      </c>
      <c r="AG171" s="714">
        <v>0</v>
      </c>
      <c r="AH171" s="714">
        <v>1</v>
      </c>
      <c r="AI171" s="714">
        <v>70095</v>
      </c>
      <c r="AJ171" s="714">
        <v>2183</v>
      </c>
      <c r="AK171" s="714">
        <v>0</v>
      </c>
      <c r="AL171" s="714">
        <v>0</v>
      </c>
      <c r="AO171" s="748"/>
      <c r="AP171" s="748"/>
      <c r="AQ171" s="714" t="str">
        <f t="shared" si="4"/>
        <v/>
      </c>
      <c r="AS171" s="714" t="str">
        <f t="shared" si="5"/>
        <v>wci_corp</v>
      </c>
    </row>
    <row r="172" spans="2:45">
      <c r="B172" s="714" t="s">
        <v>1228</v>
      </c>
      <c r="C172" s="745">
        <v>43404</v>
      </c>
      <c r="D172" s="746">
        <v>6.53</v>
      </c>
      <c r="E172" s="746">
        <v>0</v>
      </c>
      <c r="F172" s="747" t="s">
        <v>1074</v>
      </c>
      <c r="G172" s="714" t="s">
        <v>1401</v>
      </c>
      <c r="H172" s="748" t="s">
        <v>1075</v>
      </c>
      <c r="I172" s="714" t="s">
        <v>1131</v>
      </c>
      <c r="J172" s="714" t="s">
        <v>1082</v>
      </c>
      <c r="K172" s="714" t="s">
        <v>1078</v>
      </c>
      <c r="L172" s="718"/>
      <c r="M172" s="718"/>
      <c r="N172" s="718" t="s">
        <v>1399</v>
      </c>
      <c r="O172" s="739"/>
      <c r="P172" s="718"/>
      <c r="Q172" s="718"/>
      <c r="U172" s="714" t="s">
        <v>1402</v>
      </c>
      <c r="V172" s="714" t="s">
        <v>1402</v>
      </c>
      <c r="X172" s="745">
        <v>43411</v>
      </c>
      <c r="Y172" s="745">
        <v>43411</v>
      </c>
      <c r="AA172" s="745"/>
      <c r="AB172" s="714" t="s">
        <v>1079</v>
      </c>
      <c r="AC172" s="714">
        <v>0</v>
      </c>
      <c r="AD172" s="714">
        <v>0</v>
      </c>
      <c r="AE172" s="714">
        <v>0</v>
      </c>
      <c r="AF172" s="714">
        <v>0</v>
      </c>
      <c r="AG172" s="714">
        <v>0</v>
      </c>
      <c r="AH172" s="714">
        <v>1</v>
      </c>
      <c r="AI172" s="714">
        <v>70095</v>
      </c>
      <c r="AJ172" s="714">
        <v>2183</v>
      </c>
      <c r="AK172" s="714">
        <v>0</v>
      </c>
      <c r="AL172" s="714">
        <v>0</v>
      </c>
      <c r="AO172" s="748"/>
      <c r="AP172" s="748"/>
      <c r="AQ172" s="714" t="str">
        <f t="shared" si="4"/>
        <v/>
      </c>
      <c r="AS172" s="714" t="str">
        <f t="shared" si="5"/>
        <v>wci_corp</v>
      </c>
    </row>
    <row r="173" spans="2:45">
      <c r="B173" s="714" t="s">
        <v>1228</v>
      </c>
      <c r="C173" s="745">
        <v>43404</v>
      </c>
      <c r="D173" s="746">
        <v>31.98</v>
      </c>
      <c r="E173" s="746">
        <v>0</v>
      </c>
      <c r="F173" s="747" t="s">
        <v>1074</v>
      </c>
      <c r="G173" s="714" t="s">
        <v>1401</v>
      </c>
      <c r="H173" s="748" t="s">
        <v>1075</v>
      </c>
      <c r="I173" s="714" t="s">
        <v>1131</v>
      </c>
      <c r="J173" s="714" t="s">
        <v>1082</v>
      </c>
      <c r="K173" s="714" t="s">
        <v>1078</v>
      </c>
      <c r="L173" s="718"/>
      <c r="M173" s="718"/>
      <c r="N173" s="718" t="s">
        <v>1259</v>
      </c>
      <c r="O173" s="739"/>
      <c r="P173" s="718"/>
      <c r="Q173" s="718"/>
      <c r="U173" s="714" t="s">
        <v>1402</v>
      </c>
      <c r="V173" s="714" t="s">
        <v>1402</v>
      </c>
      <c r="X173" s="745">
        <v>43411</v>
      </c>
      <c r="Y173" s="745">
        <v>43411</v>
      </c>
      <c r="AA173" s="745"/>
      <c r="AB173" s="714" t="s">
        <v>1079</v>
      </c>
      <c r="AC173" s="714">
        <v>0</v>
      </c>
      <c r="AD173" s="714">
        <v>0</v>
      </c>
      <c r="AE173" s="714">
        <v>0</v>
      </c>
      <c r="AF173" s="714">
        <v>0</v>
      </c>
      <c r="AG173" s="714">
        <v>0</v>
      </c>
      <c r="AH173" s="714">
        <v>1</v>
      </c>
      <c r="AI173" s="714">
        <v>70095</v>
      </c>
      <c r="AJ173" s="714">
        <v>2183</v>
      </c>
      <c r="AK173" s="714">
        <v>0</v>
      </c>
      <c r="AL173" s="714">
        <v>0</v>
      </c>
      <c r="AO173" s="748"/>
      <c r="AP173" s="748"/>
      <c r="AQ173" s="714" t="str">
        <f t="shared" si="4"/>
        <v/>
      </c>
      <c r="AS173" s="714" t="str">
        <f t="shared" si="5"/>
        <v>wci_corp</v>
      </c>
    </row>
    <row r="174" spans="2:45">
      <c r="B174" s="714" t="s">
        <v>1228</v>
      </c>
      <c r="C174" s="745">
        <v>43404</v>
      </c>
      <c r="D174" s="746">
        <v>163.35</v>
      </c>
      <c r="E174" s="746">
        <v>0</v>
      </c>
      <c r="F174" s="747" t="s">
        <v>1074</v>
      </c>
      <c r="G174" s="714" t="s">
        <v>1401</v>
      </c>
      <c r="H174" s="748" t="s">
        <v>1075</v>
      </c>
      <c r="I174" s="714" t="s">
        <v>1131</v>
      </c>
      <c r="J174" s="714" t="s">
        <v>1082</v>
      </c>
      <c r="K174" s="714" t="s">
        <v>1078</v>
      </c>
      <c r="L174" s="718"/>
      <c r="M174" s="718"/>
      <c r="N174" s="718" t="s">
        <v>1403</v>
      </c>
      <c r="O174" s="739"/>
      <c r="P174" s="718"/>
      <c r="Q174" s="718"/>
      <c r="U174" s="714" t="s">
        <v>1402</v>
      </c>
      <c r="V174" s="714" t="s">
        <v>1402</v>
      </c>
      <c r="X174" s="745">
        <v>43411</v>
      </c>
      <c r="Y174" s="745">
        <v>43411</v>
      </c>
      <c r="AA174" s="745"/>
      <c r="AB174" s="714" t="s">
        <v>1079</v>
      </c>
      <c r="AC174" s="714">
        <v>0</v>
      </c>
      <c r="AD174" s="714">
        <v>0</v>
      </c>
      <c r="AE174" s="714">
        <v>0</v>
      </c>
      <c r="AF174" s="714">
        <v>0</v>
      </c>
      <c r="AG174" s="714">
        <v>0</v>
      </c>
      <c r="AH174" s="714">
        <v>1</v>
      </c>
      <c r="AI174" s="714">
        <v>70095</v>
      </c>
      <c r="AJ174" s="714">
        <v>2183</v>
      </c>
      <c r="AK174" s="714">
        <v>0</v>
      </c>
      <c r="AL174" s="714">
        <v>0</v>
      </c>
      <c r="AO174" s="748"/>
      <c r="AP174" s="748"/>
      <c r="AQ174" s="714" t="str">
        <f t="shared" si="4"/>
        <v/>
      </c>
      <c r="AS174" s="714" t="str">
        <f t="shared" si="5"/>
        <v>wci_corp</v>
      </c>
    </row>
    <row r="175" spans="2:45">
      <c r="B175" s="714" t="s">
        <v>1228</v>
      </c>
      <c r="C175" s="745">
        <v>43404</v>
      </c>
      <c r="D175" s="746">
        <v>31.98</v>
      </c>
      <c r="E175" s="746">
        <v>0</v>
      </c>
      <c r="F175" s="747" t="s">
        <v>1074</v>
      </c>
      <c r="G175" s="714" t="s">
        <v>1401</v>
      </c>
      <c r="H175" s="748" t="s">
        <v>1075</v>
      </c>
      <c r="I175" s="714" t="s">
        <v>1131</v>
      </c>
      <c r="J175" s="714" t="s">
        <v>1082</v>
      </c>
      <c r="K175" s="714" t="s">
        <v>1078</v>
      </c>
      <c r="L175" s="718"/>
      <c r="M175" s="718"/>
      <c r="N175" s="718" t="s">
        <v>1259</v>
      </c>
      <c r="O175" s="739"/>
      <c r="P175" s="718"/>
      <c r="Q175" s="718"/>
      <c r="U175" s="714" t="s">
        <v>1402</v>
      </c>
      <c r="V175" s="714" t="s">
        <v>1402</v>
      </c>
      <c r="X175" s="745">
        <v>43411</v>
      </c>
      <c r="Y175" s="745">
        <v>43411</v>
      </c>
      <c r="AA175" s="745"/>
      <c r="AB175" s="714" t="s">
        <v>1079</v>
      </c>
      <c r="AC175" s="714">
        <v>0</v>
      </c>
      <c r="AD175" s="714">
        <v>0</v>
      </c>
      <c r="AE175" s="714">
        <v>0</v>
      </c>
      <c r="AF175" s="714">
        <v>0</v>
      </c>
      <c r="AG175" s="714">
        <v>0</v>
      </c>
      <c r="AH175" s="714">
        <v>1</v>
      </c>
      <c r="AI175" s="714">
        <v>70095</v>
      </c>
      <c r="AJ175" s="714">
        <v>2183</v>
      </c>
      <c r="AK175" s="714">
        <v>0</v>
      </c>
      <c r="AL175" s="714">
        <v>0</v>
      </c>
      <c r="AO175" s="748"/>
      <c r="AP175" s="748"/>
      <c r="AQ175" s="714" t="str">
        <f t="shared" si="4"/>
        <v/>
      </c>
      <c r="AS175" s="714" t="str">
        <f t="shared" si="5"/>
        <v>wci_corp</v>
      </c>
    </row>
    <row r="176" spans="2:45">
      <c r="B176" s="714" t="s">
        <v>1228</v>
      </c>
      <c r="C176" s="745">
        <v>43404</v>
      </c>
      <c r="D176" s="746">
        <v>30.66</v>
      </c>
      <c r="E176" s="746">
        <v>0</v>
      </c>
      <c r="F176" s="747" t="s">
        <v>1074</v>
      </c>
      <c r="G176" s="714" t="s">
        <v>1401</v>
      </c>
      <c r="H176" s="748" t="s">
        <v>1075</v>
      </c>
      <c r="I176" s="714" t="s">
        <v>1131</v>
      </c>
      <c r="J176" s="714" t="s">
        <v>1082</v>
      </c>
      <c r="K176" s="714" t="s">
        <v>1078</v>
      </c>
      <c r="L176" s="718"/>
      <c r="M176" s="718"/>
      <c r="N176" s="718" t="s">
        <v>1259</v>
      </c>
      <c r="O176" s="739"/>
      <c r="P176" s="718"/>
      <c r="Q176" s="718"/>
      <c r="U176" s="714" t="s">
        <v>1402</v>
      </c>
      <c r="V176" s="714" t="s">
        <v>1402</v>
      </c>
      <c r="X176" s="745">
        <v>43411</v>
      </c>
      <c r="Y176" s="745">
        <v>43411</v>
      </c>
      <c r="AA176" s="745"/>
      <c r="AB176" s="714" t="s">
        <v>1079</v>
      </c>
      <c r="AC176" s="714">
        <v>0</v>
      </c>
      <c r="AD176" s="714">
        <v>0</v>
      </c>
      <c r="AE176" s="714">
        <v>0</v>
      </c>
      <c r="AF176" s="714">
        <v>0</v>
      </c>
      <c r="AG176" s="714">
        <v>0</v>
      </c>
      <c r="AH176" s="714">
        <v>1</v>
      </c>
      <c r="AI176" s="714">
        <v>70095</v>
      </c>
      <c r="AJ176" s="714">
        <v>2183</v>
      </c>
      <c r="AK176" s="714">
        <v>0</v>
      </c>
      <c r="AL176" s="714">
        <v>0</v>
      </c>
      <c r="AO176" s="748"/>
      <c r="AP176" s="748"/>
      <c r="AQ176" s="714" t="str">
        <f t="shared" si="4"/>
        <v/>
      </c>
      <c r="AS176" s="714" t="str">
        <f t="shared" si="5"/>
        <v>wci_corp</v>
      </c>
    </row>
    <row r="177" spans="2:45">
      <c r="B177" s="714" t="s">
        <v>1228</v>
      </c>
      <c r="C177" s="745">
        <v>43434</v>
      </c>
      <c r="D177" s="746">
        <v>-6.53</v>
      </c>
      <c r="E177" s="746">
        <v>0</v>
      </c>
      <c r="F177" s="747" t="s">
        <v>1074</v>
      </c>
      <c r="G177" s="714" t="s">
        <v>1404</v>
      </c>
      <c r="H177" s="748" t="s">
        <v>1075</v>
      </c>
      <c r="I177" s="714" t="s">
        <v>1131</v>
      </c>
      <c r="J177" s="714" t="s">
        <v>1082</v>
      </c>
      <c r="K177" s="714" t="s">
        <v>1078</v>
      </c>
      <c r="L177" s="718"/>
      <c r="M177" s="718"/>
      <c r="N177" s="718" t="s">
        <v>1399</v>
      </c>
      <c r="O177" s="739"/>
      <c r="P177" s="718"/>
      <c r="Q177" s="718"/>
      <c r="U177" s="714" t="s">
        <v>1402</v>
      </c>
      <c r="V177" s="714" t="s">
        <v>1405</v>
      </c>
      <c r="X177" s="745">
        <v>43411</v>
      </c>
      <c r="Y177" s="745">
        <v>43411</v>
      </c>
      <c r="AA177" s="745"/>
      <c r="AB177" s="714" t="s">
        <v>1079</v>
      </c>
      <c r="AC177" s="714">
        <v>0</v>
      </c>
      <c r="AD177" s="714">
        <v>0</v>
      </c>
      <c r="AE177" s="714">
        <v>0</v>
      </c>
      <c r="AF177" s="714">
        <v>0</v>
      </c>
      <c r="AG177" s="714">
        <v>5</v>
      </c>
      <c r="AH177" s="714">
        <v>1</v>
      </c>
      <c r="AI177" s="714">
        <v>70095</v>
      </c>
      <c r="AJ177" s="714">
        <v>2183</v>
      </c>
      <c r="AK177" s="714">
        <v>0</v>
      </c>
      <c r="AL177" s="714">
        <v>0</v>
      </c>
      <c r="AO177" s="748"/>
      <c r="AP177" s="748"/>
      <c r="AQ177" s="714" t="str">
        <f t="shared" si="4"/>
        <v/>
      </c>
      <c r="AS177" s="714" t="str">
        <f t="shared" si="5"/>
        <v>wci_corp</v>
      </c>
    </row>
    <row r="178" spans="2:45">
      <c r="B178" s="714" t="s">
        <v>1228</v>
      </c>
      <c r="C178" s="745">
        <v>43434</v>
      </c>
      <c r="D178" s="746">
        <v>-31.98</v>
      </c>
      <c r="E178" s="746">
        <v>0</v>
      </c>
      <c r="F178" s="747" t="s">
        <v>1074</v>
      </c>
      <c r="G178" s="714" t="s">
        <v>1404</v>
      </c>
      <c r="H178" s="748" t="s">
        <v>1075</v>
      </c>
      <c r="I178" s="714" t="s">
        <v>1131</v>
      </c>
      <c r="J178" s="714" t="s">
        <v>1082</v>
      </c>
      <c r="K178" s="714" t="s">
        <v>1078</v>
      </c>
      <c r="L178" s="718"/>
      <c r="M178" s="718"/>
      <c r="N178" s="718" t="s">
        <v>1259</v>
      </c>
      <c r="O178" s="739"/>
      <c r="P178" s="718"/>
      <c r="Q178" s="718"/>
      <c r="U178" s="714" t="s">
        <v>1402</v>
      </c>
      <c r="V178" s="714" t="s">
        <v>1405</v>
      </c>
      <c r="X178" s="745">
        <v>43411</v>
      </c>
      <c r="Y178" s="745">
        <v>43411</v>
      </c>
      <c r="AA178" s="745"/>
      <c r="AB178" s="714" t="s">
        <v>1079</v>
      </c>
      <c r="AC178" s="714">
        <v>0</v>
      </c>
      <c r="AD178" s="714">
        <v>0</v>
      </c>
      <c r="AE178" s="714">
        <v>0</v>
      </c>
      <c r="AF178" s="714">
        <v>0</v>
      </c>
      <c r="AG178" s="714">
        <v>5</v>
      </c>
      <c r="AH178" s="714">
        <v>1</v>
      </c>
      <c r="AI178" s="714">
        <v>70095</v>
      </c>
      <c r="AJ178" s="714">
        <v>2183</v>
      </c>
      <c r="AK178" s="714">
        <v>0</v>
      </c>
      <c r="AL178" s="714">
        <v>0</v>
      </c>
      <c r="AO178" s="748"/>
      <c r="AP178" s="748"/>
      <c r="AQ178" s="714" t="str">
        <f t="shared" si="4"/>
        <v/>
      </c>
      <c r="AS178" s="714" t="str">
        <f t="shared" si="5"/>
        <v>wci_corp</v>
      </c>
    </row>
    <row r="179" spans="2:45">
      <c r="B179" s="714" t="s">
        <v>1228</v>
      </c>
      <c r="C179" s="745">
        <v>43434</v>
      </c>
      <c r="D179" s="746">
        <v>-163.35</v>
      </c>
      <c r="E179" s="746">
        <v>0</v>
      </c>
      <c r="F179" s="747" t="s">
        <v>1074</v>
      </c>
      <c r="G179" s="714" t="s">
        <v>1404</v>
      </c>
      <c r="H179" s="748" t="s">
        <v>1075</v>
      </c>
      <c r="I179" s="714" t="s">
        <v>1131</v>
      </c>
      <c r="J179" s="714" t="s">
        <v>1082</v>
      </c>
      <c r="K179" s="714" t="s">
        <v>1078</v>
      </c>
      <c r="L179" s="718"/>
      <c r="M179" s="718"/>
      <c r="N179" s="718" t="s">
        <v>1403</v>
      </c>
      <c r="O179" s="739"/>
      <c r="P179" s="718"/>
      <c r="Q179" s="718"/>
      <c r="U179" s="714" t="s">
        <v>1402</v>
      </c>
      <c r="V179" s="714" t="s">
        <v>1405</v>
      </c>
      <c r="X179" s="745">
        <v>43411</v>
      </c>
      <c r="Y179" s="745">
        <v>43411</v>
      </c>
      <c r="AA179" s="745"/>
      <c r="AB179" s="714" t="s">
        <v>1079</v>
      </c>
      <c r="AC179" s="714">
        <v>0</v>
      </c>
      <c r="AD179" s="714">
        <v>0</v>
      </c>
      <c r="AE179" s="714">
        <v>0</v>
      </c>
      <c r="AF179" s="714">
        <v>0</v>
      </c>
      <c r="AG179" s="714">
        <v>5</v>
      </c>
      <c r="AH179" s="714">
        <v>1</v>
      </c>
      <c r="AI179" s="714">
        <v>70095</v>
      </c>
      <c r="AJ179" s="714">
        <v>2183</v>
      </c>
      <c r="AK179" s="714">
        <v>0</v>
      </c>
      <c r="AL179" s="714">
        <v>0</v>
      </c>
      <c r="AO179" s="748"/>
      <c r="AP179" s="748"/>
      <c r="AQ179" s="714" t="str">
        <f t="shared" si="4"/>
        <v/>
      </c>
      <c r="AS179" s="714" t="str">
        <f t="shared" si="5"/>
        <v>wci_corp</v>
      </c>
    </row>
    <row r="180" spans="2:45">
      <c r="B180" s="714" t="s">
        <v>1228</v>
      </c>
      <c r="C180" s="745">
        <v>43434</v>
      </c>
      <c r="D180" s="746">
        <v>-31.98</v>
      </c>
      <c r="E180" s="746">
        <v>0</v>
      </c>
      <c r="F180" s="747" t="s">
        <v>1074</v>
      </c>
      <c r="G180" s="714" t="s">
        <v>1404</v>
      </c>
      <c r="H180" s="748" t="s">
        <v>1075</v>
      </c>
      <c r="I180" s="714" t="s">
        <v>1131</v>
      </c>
      <c r="J180" s="714" t="s">
        <v>1082</v>
      </c>
      <c r="K180" s="714" t="s">
        <v>1078</v>
      </c>
      <c r="L180" s="718"/>
      <c r="M180" s="718"/>
      <c r="N180" s="718" t="s">
        <v>1259</v>
      </c>
      <c r="O180" s="739"/>
      <c r="P180" s="718"/>
      <c r="Q180" s="718"/>
      <c r="U180" s="714" t="s">
        <v>1402</v>
      </c>
      <c r="V180" s="714" t="s">
        <v>1405</v>
      </c>
      <c r="X180" s="745">
        <v>43411</v>
      </c>
      <c r="Y180" s="745">
        <v>43411</v>
      </c>
      <c r="AA180" s="745"/>
      <c r="AB180" s="714" t="s">
        <v>1079</v>
      </c>
      <c r="AC180" s="714">
        <v>0</v>
      </c>
      <c r="AD180" s="714">
        <v>0</v>
      </c>
      <c r="AE180" s="714">
        <v>0</v>
      </c>
      <c r="AF180" s="714">
        <v>0</v>
      </c>
      <c r="AG180" s="714">
        <v>5</v>
      </c>
      <c r="AH180" s="714">
        <v>1</v>
      </c>
      <c r="AI180" s="714">
        <v>70095</v>
      </c>
      <c r="AJ180" s="714">
        <v>2183</v>
      </c>
      <c r="AK180" s="714">
        <v>0</v>
      </c>
      <c r="AL180" s="714">
        <v>0</v>
      </c>
      <c r="AO180" s="748"/>
      <c r="AP180" s="748"/>
      <c r="AQ180" s="714" t="str">
        <f t="shared" si="4"/>
        <v/>
      </c>
      <c r="AS180" s="714" t="str">
        <f t="shared" si="5"/>
        <v>wci_corp</v>
      </c>
    </row>
    <row r="181" spans="2:45">
      <c r="B181" s="714" t="s">
        <v>1228</v>
      </c>
      <c r="C181" s="745">
        <v>43434</v>
      </c>
      <c r="D181" s="746">
        <v>-30.66</v>
      </c>
      <c r="E181" s="746">
        <v>0</v>
      </c>
      <c r="F181" s="747" t="s">
        <v>1074</v>
      </c>
      <c r="G181" s="714" t="s">
        <v>1404</v>
      </c>
      <c r="H181" s="748" t="s">
        <v>1075</v>
      </c>
      <c r="I181" s="714" t="s">
        <v>1131</v>
      </c>
      <c r="J181" s="714" t="s">
        <v>1082</v>
      </c>
      <c r="K181" s="714" t="s">
        <v>1078</v>
      </c>
      <c r="L181" s="718"/>
      <c r="M181" s="718"/>
      <c r="N181" s="718" t="s">
        <v>1259</v>
      </c>
      <c r="O181" s="739"/>
      <c r="P181" s="718"/>
      <c r="Q181" s="718"/>
      <c r="U181" s="714" t="s">
        <v>1402</v>
      </c>
      <c r="V181" s="714" t="s">
        <v>1405</v>
      </c>
      <c r="X181" s="745">
        <v>43411</v>
      </c>
      <c r="Y181" s="745">
        <v>43411</v>
      </c>
      <c r="AA181" s="745"/>
      <c r="AB181" s="714" t="s">
        <v>1079</v>
      </c>
      <c r="AC181" s="714">
        <v>0</v>
      </c>
      <c r="AD181" s="714">
        <v>0</v>
      </c>
      <c r="AE181" s="714">
        <v>0</v>
      </c>
      <c r="AF181" s="714">
        <v>0</v>
      </c>
      <c r="AG181" s="714">
        <v>5</v>
      </c>
      <c r="AH181" s="714">
        <v>1</v>
      </c>
      <c r="AI181" s="714">
        <v>70095</v>
      </c>
      <c r="AJ181" s="714">
        <v>2183</v>
      </c>
      <c r="AK181" s="714">
        <v>0</v>
      </c>
      <c r="AL181" s="714">
        <v>0</v>
      </c>
      <c r="AO181" s="748"/>
      <c r="AP181" s="748"/>
      <c r="AQ181" s="714" t="str">
        <f t="shared" si="4"/>
        <v/>
      </c>
      <c r="AS181" s="714" t="str">
        <f t="shared" si="5"/>
        <v>wci_corp</v>
      </c>
    </row>
    <row r="182" spans="2:45">
      <c r="B182" s="714" t="s">
        <v>1228</v>
      </c>
      <c r="C182" s="745">
        <v>43434</v>
      </c>
      <c r="D182" s="746">
        <v>60</v>
      </c>
      <c r="E182" s="746">
        <v>0</v>
      </c>
      <c r="F182" s="747" t="s">
        <v>1074</v>
      </c>
      <c r="G182" s="714" t="s">
        <v>1406</v>
      </c>
      <c r="H182" s="748" t="s">
        <v>1075</v>
      </c>
      <c r="I182" s="714" t="s">
        <v>1407</v>
      </c>
      <c r="J182" s="714" t="s">
        <v>1092</v>
      </c>
      <c r="K182" s="714" t="s">
        <v>1078</v>
      </c>
      <c r="L182" s="718"/>
      <c r="M182" s="718"/>
      <c r="N182" s="718" t="s">
        <v>1408</v>
      </c>
      <c r="O182" s="739"/>
      <c r="P182" s="718"/>
      <c r="Q182" s="718"/>
      <c r="U182" s="714" t="s">
        <v>1409</v>
      </c>
      <c r="V182" s="714" t="s">
        <v>1409</v>
      </c>
      <c r="X182" s="745">
        <v>43438</v>
      </c>
      <c r="Y182" s="745">
        <v>43438</v>
      </c>
      <c r="AA182" s="745"/>
      <c r="AB182" s="714" t="s">
        <v>1079</v>
      </c>
      <c r="AC182" s="714">
        <v>0</v>
      </c>
      <c r="AD182" s="714">
        <v>0</v>
      </c>
      <c r="AE182" s="714">
        <v>0</v>
      </c>
      <c r="AF182" s="714">
        <v>0</v>
      </c>
      <c r="AG182" s="714">
        <v>0</v>
      </c>
      <c r="AH182" s="714">
        <v>1</v>
      </c>
      <c r="AI182" s="714">
        <v>70095</v>
      </c>
      <c r="AJ182" s="714">
        <v>2183</v>
      </c>
      <c r="AK182" s="714">
        <v>0</v>
      </c>
      <c r="AL182" s="714">
        <v>0</v>
      </c>
      <c r="AO182" s="748"/>
      <c r="AP182" s="748"/>
      <c r="AQ182" s="714" t="str">
        <f t="shared" si="4"/>
        <v/>
      </c>
      <c r="AS182" s="714" t="str">
        <f t="shared" si="5"/>
        <v>wci_corp</v>
      </c>
    </row>
    <row r="183" spans="2:45">
      <c r="B183" s="714" t="s">
        <v>1228</v>
      </c>
      <c r="C183" s="745">
        <v>43434</v>
      </c>
      <c r="D183" s="746">
        <v>6.53</v>
      </c>
      <c r="E183" s="746">
        <v>0</v>
      </c>
      <c r="F183" s="747" t="s">
        <v>1074</v>
      </c>
      <c r="G183" s="714" t="s">
        <v>1406</v>
      </c>
      <c r="H183" s="748" t="s">
        <v>1075</v>
      </c>
      <c r="I183" s="714" t="s">
        <v>1407</v>
      </c>
      <c r="J183" s="714" t="s">
        <v>1092</v>
      </c>
      <c r="K183" s="714" t="s">
        <v>1078</v>
      </c>
      <c r="L183" s="718"/>
      <c r="M183" s="718"/>
      <c r="N183" s="718" t="s">
        <v>1399</v>
      </c>
      <c r="O183" s="739"/>
      <c r="P183" s="718"/>
      <c r="Q183" s="718"/>
      <c r="U183" s="714" t="s">
        <v>1409</v>
      </c>
      <c r="V183" s="714" t="s">
        <v>1409</v>
      </c>
      <c r="X183" s="745">
        <v>43438</v>
      </c>
      <c r="Y183" s="745">
        <v>43438</v>
      </c>
      <c r="AA183" s="745"/>
      <c r="AB183" s="714" t="s">
        <v>1079</v>
      </c>
      <c r="AC183" s="714">
        <v>0</v>
      </c>
      <c r="AD183" s="714">
        <v>0</v>
      </c>
      <c r="AE183" s="714">
        <v>0</v>
      </c>
      <c r="AF183" s="714">
        <v>0</v>
      </c>
      <c r="AG183" s="714">
        <v>0</v>
      </c>
      <c r="AH183" s="714">
        <v>1</v>
      </c>
      <c r="AI183" s="714">
        <v>70095</v>
      </c>
      <c r="AJ183" s="714">
        <v>2183</v>
      </c>
      <c r="AK183" s="714">
        <v>0</v>
      </c>
      <c r="AL183" s="714">
        <v>0</v>
      </c>
      <c r="AO183" s="748"/>
      <c r="AP183" s="748"/>
      <c r="AQ183" s="714" t="str">
        <f t="shared" si="4"/>
        <v/>
      </c>
      <c r="AS183" s="714" t="str">
        <f t="shared" si="5"/>
        <v>wci_corp</v>
      </c>
    </row>
    <row r="184" spans="2:45">
      <c r="B184" s="714" t="s">
        <v>1228</v>
      </c>
      <c r="C184" s="745">
        <v>43434</v>
      </c>
      <c r="D184" s="746">
        <v>31.98</v>
      </c>
      <c r="E184" s="746">
        <v>0</v>
      </c>
      <c r="F184" s="747" t="s">
        <v>1074</v>
      </c>
      <c r="G184" s="714" t="s">
        <v>1406</v>
      </c>
      <c r="H184" s="748" t="s">
        <v>1075</v>
      </c>
      <c r="I184" s="714" t="s">
        <v>1407</v>
      </c>
      <c r="J184" s="714" t="s">
        <v>1092</v>
      </c>
      <c r="K184" s="714" t="s">
        <v>1078</v>
      </c>
      <c r="L184" s="718"/>
      <c r="M184" s="718"/>
      <c r="N184" s="718" t="s">
        <v>1259</v>
      </c>
      <c r="O184" s="739"/>
      <c r="P184" s="718"/>
      <c r="Q184" s="718"/>
      <c r="U184" s="714" t="s">
        <v>1409</v>
      </c>
      <c r="V184" s="714" t="s">
        <v>1409</v>
      </c>
      <c r="X184" s="745">
        <v>43438</v>
      </c>
      <c r="Y184" s="745">
        <v>43438</v>
      </c>
      <c r="AA184" s="745"/>
      <c r="AB184" s="714" t="s">
        <v>1079</v>
      </c>
      <c r="AC184" s="714">
        <v>0</v>
      </c>
      <c r="AD184" s="714">
        <v>0</v>
      </c>
      <c r="AE184" s="714">
        <v>0</v>
      </c>
      <c r="AF184" s="714">
        <v>0</v>
      </c>
      <c r="AG184" s="714">
        <v>0</v>
      </c>
      <c r="AH184" s="714">
        <v>1</v>
      </c>
      <c r="AI184" s="714">
        <v>70095</v>
      </c>
      <c r="AJ184" s="714">
        <v>2183</v>
      </c>
      <c r="AK184" s="714">
        <v>0</v>
      </c>
      <c r="AL184" s="714">
        <v>0</v>
      </c>
      <c r="AO184" s="748"/>
      <c r="AP184" s="748"/>
      <c r="AQ184" s="714" t="str">
        <f t="shared" si="4"/>
        <v/>
      </c>
      <c r="AS184" s="714" t="str">
        <f t="shared" si="5"/>
        <v>wci_corp</v>
      </c>
    </row>
    <row r="185" spans="2:45">
      <c r="B185" s="714" t="s">
        <v>1228</v>
      </c>
      <c r="C185" s="745">
        <v>43434</v>
      </c>
      <c r="D185" s="746">
        <v>163.35</v>
      </c>
      <c r="E185" s="746">
        <v>0</v>
      </c>
      <c r="F185" s="747" t="s">
        <v>1074</v>
      </c>
      <c r="G185" s="714" t="s">
        <v>1406</v>
      </c>
      <c r="H185" s="748" t="s">
        <v>1075</v>
      </c>
      <c r="I185" s="714" t="s">
        <v>1407</v>
      </c>
      <c r="J185" s="714" t="s">
        <v>1092</v>
      </c>
      <c r="K185" s="714" t="s">
        <v>1078</v>
      </c>
      <c r="L185" s="718"/>
      <c r="M185" s="718"/>
      <c r="N185" s="718" t="s">
        <v>1403</v>
      </c>
      <c r="O185" s="739"/>
      <c r="P185" s="718"/>
      <c r="Q185" s="718"/>
      <c r="U185" s="714" t="s">
        <v>1409</v>
      </c>
      <c r="V185" s="714" t="s">
        <v>1409</v>
      </c>
      <c r="X185" s="745">
        <v>43438</v>
      </c>
      <c r="Y185" s="745">
        <v>43438</v>
      </c>
      <c r="AA185" s="745"/>
      <c r="AB185" s="714" t="s">
        <v>1079</v>
      </c>
      <c r="AC185" s="714">
        <v>0</v>
      </c>
      <c r="AD185" s="714">
        <v>0</v>
      </c>
      <c r="AE185" s="714">
        <v>0</v>
      </c>
      <c r="AF185" s="714">
        <v>0</v>
      </c>
      <c r="AG185" s="714">
        <v>0</v>
      </c>
      <c r="AH185" s="714">
        <v>1</v>
      </c>
      <c r="AI185" s="714">
        <v>70095</v>
      </c>
      <c r="AJ185" s="714">
        <v>2183</v>
      </c>
      <c r="AK185" s="714">
        <v>0</v>
      </c>
      <c r="AL185" s="714">
        <v>0</v>
      </c>
      <c r="AO185" s="748"/>
      <c r="AP185" s="748"/>
      <c r="AQ185" s="714" t="str">
        <f t="shared" si="4"/>
        <v/>
      </c>
      <c r="AS185" s="714" t="str">
        <f t="shared" si="5"/>
        <v>wci_corp</v>
      </c>
    </row>
    <row r="186" spans="2:45">
      <c r="B186" s="714" t="s">
        <v>1228</v>
      </c>
      <c r="C186" s="745">
        <v>43434</v>
      </c>
      <c r="D186" s="746">
        <v>31.98</v>
      </c>
      <c r="E186" s="746">
        <v>0</v>
      </c>
      <c r="F186" s="747" t="s">
        <v>1074</v>
      </c>
      <c r="G186" s="714" t="s">
        <v>1406</v>
      </c>
      <c r="H186" s="748" t="s">
        <v>1075</v>
      </c>
      <c r="I186" s="714" t="s">
        <v>1407</v>
      </c>
      <c r="J186" s="714" t="s">
        <v>1092</v>
      </c>
      <c r="K186" s="714" t="s">
        <v>1078</v>
      </c>
      <c r="L186" s="718"/>
      <c r="M186" s="718"/>
      <c r="N186" s="718" t="s">
        <v>1259</v>
      </c>
      <c r="O186" s="739"/>
      <c r="P186" s="718"/>
      <c r="Q186" s="718"/>
      <c r="U186" s="714" t="s">
        <v>1409</v>
      </c>
      <c r="V186" s="714" t="s">
        <v>1409</v>
      </c>
      <c r="X186" s="745">
        <v>43438</v>
      </c>
      <c r="Y186" s="745">
        <v>43438</v>
      </c>
      <c r="AA186" s="745"/>
      <c r="AB186" s="714" t="s">
        <v>1079</v>
      </c>
      <c r="AC186" s="714">
        <v>0</v>
      </c>
      <c r="AD186" s="714">
        <v>0</v>
      </c>
      <c r="AE186" s="714">
        <v>0</v>
      </c>
      <c r="AF186" s="714">
        <v>0</v>
      </c>
      <c r="AG186" s="714">
        <v>0</v>
      </c>
      <c r="AH186" s="714">
        <v>1</v>
      </c>
      <c r="AI186" s="714">
        <v>70095</v>
      </c>
      <c r="AJ186" s="714">
        <v>2183</v>
      </c>
      <c r="AK186" s="714">
        <v>0</v>
      </c>
      <c r="AL186" s="714">
        <v>0</v>
      </c>
      <c r="AO186" s="748"/>
      <c r="AP186" s="748"/>
      <c r="AQ186" s="714" t="str">
        <f t="shared" si="4"/>
        <v/>
      </c>
      <c r="AS186" s="714" t="str">
        <f t="shared" si="5"/>
        <v>wci_corp</v>
      </c>
    </row>
    <row r="187" spans="2:45">
      <c r="B187" s="714" t="s">
        <v>1228</v>
      </c>
      <c r="C187" s="745">
        <v>43434</v>
      </c>
      <c r="D187" s="746">
        <v>30.66</v>
      </c>
      <c r="E187" s="746">
        <v>0</v>
      </c>
      <c r="F187" s="747" t="s">
        <v>1074</v>
      </c>
      <c r="G187" s="714" t="s">
        <v>1406</v>
      </c>
      <c r="H187" s="748" t="s">
        <v>1075</v>
      </c>
      <c r="I187" s="714" t="s">
        <v>1407</v>
      </c>
      <c r="J187" s="714" t="s">
        <v>1092</v>
      </c>
      <c r="K187" s="714" t="s">
        <v>1078</v>
      </c>
      <c r="L187" s="718"/>
      <c r="M187" s="718"/>
      <c r="N187" s="718" t="s">
        <v>1259</v>
      </c>
      <c r="O187" s="739"/>
      <c r="P187" s="718"/>
      <c r="Q187" s="718"/>
      <c r="U187" s="714" t="s">
        <v>1409</v>
      </c>
      <c r="V187" s="714" t="s">
        <v>1409</v>
      </c>
      <c r="X187" s="745">
        <v>43438</v>
      </c>
      <c r="Y187" s="745">
        <v>43438</v>
      </c>
      <c r="AA187" s="745"/>
      <c r="AB187" s="714" t="s">
        <v>1079</v>
      </c>
      <c r="AC187" s="714">
        <v>0</v>
      </c>
      <c r="AD187" s="714">
        <v>0</v>
      </c>
      <c r="AE187" s="714">
        <v>0</v>
      </c>
      <c r="AF187" s="714">
        <v>0</v>
      </c>
      <c r="AG187" s="714">
        <v>0</v>
      </c>
      <c r="AH187" s="714">
        <v>1</v>
      </c>
      <c r="AI187" s="714">
        <v>70095</v>
      </c>
      <c r="AJ187" s="714">
        <v>2183</v>
      </c>
      <c r="AK187" s="714">
        <v>0</v>
      </c>
      <c r="AL187" s="714">
        <v>0</v>
      </c>
      <c r="AO187" s="748"/>
      <c r="AP187" s="748"/>
      <c r="AQ187" s="714" t="str">
        <f t="shared" si="4"/>
        <v/>
      </c>
      <c r="AS187" s="714" t="str">
        <f t="shared" si="5"/>
        <v>wci_corp</v>
      </c>
    </row>
    <row r="188" spans="2:45">
      <c r="B188" s="714" t="s">
        <v>1228</v>
      </c>
      <c r="C188" s="745">
        <v>43434</v>
      </c>
      <c r="D188" s="746">
        <v>76.23</v>
      </c>
      <c r="E188" s="746">
        <v>0</v>
      </c>
      <c r="F188" s="747" t="s">
        <v>1074</v>
      </c>
      <c r="G188" s="714" t="s">
        <v>1406</v>
      </c>
      <c r="H188" s="748" t="s">
        <v>1075</v>
      </c>
      <c r="I188" s="714" t="s">
        <v>1407</v>
      </c>
      <c r="J188" s="714" t="s">
        <v>1092</v>
      </c>
      <c r="K188" s="714" t="s">
        <v>1078</v>
      </c>
      <c r="L188" s="718"/>
      <c r="M188" s="718"/>
      <c r="N188" s="718" t="s">
        <v>1250</v>
      </c>
      <c r="O188" s="739"/>
      <c r="P188" s="718"/>
      <c r="Q188" s="718"/>
      <c r="U188" s="714" t="s">
        <v>1409</v>
      </c>
      <c r="V188" s="714" t="s">
        <v>1409</v>
      </c>
      <c r="X188" s="745">
        <v>43438</v>
      </c>
      <c r="Y188" s="745">
        <v>43438</v>
      </c>
      <c r="AA188" s="745"/>
      <c r="AB188" s="714" t="s">
        <v>1079</v>
      </c>
      <c r="AC188" s="714">
        <v>0</v>
      </c>
      <c r="AD188" s="714">
        <v>0</v>
      </c>
      <c r="AE188" s="714">
        <v>0</v>
      </c>
      <c r="AF188" s="714">
        <v>0</v>
      </c>
      <c r="AG188" s="714">
        <v>0</v>
      </c>
      <c r="AH188" s="714">
        <v>1</v>
      </c>
      <c r="AI188" s="714">
        <v>70095</v>
      </c>
      <c r="AJ188" s="714">
        <v>2183</v>
      </c>
      <c r="AK188" s="714">
        <v>0</v>
      </c>
      <c r="AL188" s="714">
        <v>0</v>
      </c>
      <c r="AO188" s="748"/>
      <c r="AP188" s="748"/>
      <c r="AQ188" s="714" t="str">
        <f t="shared" si="4"/>
        <v/>
      </c>
      <c r="AS188" s="714" t="str">
        <f t="shared" si="5"/>
        <v>wci_corp</v>
      </c>
    </row>
    <row r="189" spans="2:45">
      <c r="B189" s="714" t="s">
        <v>1228</v>
      </c>
      <c r="C189" s="745">
        <v>43434</v>
      </c>
      <c r="D189" s="746">
        <v>1760</v>
      </c>
      <c r="E189" s="746">
        <v>0</v>
      </c>
      <c r="F189" s="747" t="s">
        <v>1074</v>
      </c>
      <c r="G189" s="714" t="s">
        <v>1406</v>
      </c>
      <c r="H189" s="748" t="s">
        <v>1075</v>
      </c>
      <c r="I189" s="714" t="s">
        <v>1407</v>
      </c>
      <c r="J189" s="714" t="s">
        <v>1092</v>
      </c>
      <c r="K189" s="714" t="s">
        <v>1078</v>
      </c>
      <c r="L189" s="718"/>
      <c r="M189" s="718"/>
      <c r="N189" s="718" t="s">
        <v>1410</v>
      </c>
      <c r="O189" s="739"/>
      <c r="P189" s="718"/>
      <c r="Q189" s="718"/>
      <c r="U189" s="714" t="s">
        <v>1409</v>
      </c>
      <c r="V189" s="714" t="s">
        <v>1409</v>
      </c>
      <c r="X189" s="745">
        <v>43438</v>
      </c>
      <c r="Y189" s="745">
        <v>43438</v>
      </c>
      <c r="AA189" s="745"/>
      <c r="AB189" s="714" t="s">
        <v>1079</v>
      </c>
      <c r="AC189" s="714">
        <v>0</v>
      </c>
      <c r="AD189" s="714">
        <v>0</v>
      </c>
      <c r="AE189" s="714">
        <v>0</v>
      </c>
      <c r="AF189" s="714">
        <v>0</v>
      </c>
      <c r="AG189" s="714">
        <v>0</v>
      </c>
      <c r="AH189" s="714">
        <v>1</v>
      </c>
      <c r="AI189" s="714">
        <v>70095</v>
      </c>
      <c r="AJ189" s="714">
        <v>2183</v>
      </c>
      <c r="AK189" s="714">
        <v>0</v>
      </c>
      <c r="AL189" s="714">
        <v>0</v>
      </c>
      <c r="AO189" s="748"/>
      <c r="AP189" s="748"/>
      <c r="AQ189" s="714" t="str">
        <f t="shared" si="4"/>
        <v/>
      </c>
      <c r="AS189" s="714" t="str">
        <f t="shared" si="5"/>
        <v>wci_corp</v>
      </c>
    </row>
    <row r="190" spans="2:45">
      <c r="B190" s="714" t="s">
        <v>1228</v>
      </c>
      <c r="C190" s="745">
        <v>43434</v>
      </c>
      <c r="D190" s="746">
        <v>85.49</v>
      </c>
      <c r="E190" s="746">
        <v>0</v>
      </c>
      <c r="F190" s="747" t="s">
        <v>1074</v>
      </c>
      <c r="G190" s="714" t="s">
        <v>1406</v>
      </c>
      <c r="H190" s="748" t="s">
        <v>1075</v>
      </c>
      <c r="I190" s="714" t="s">
        <v>1407</v>
      </c>
      <c r="J190" s="714" t="s">
        <v>1092</v>
      </c>
      <c r="K190" s="714" t="s">
        <v>1078</v>
      </c>
      <c r="L190" s="718"/>
      <c r="M190" s="718"/>
      <c r="N190" s="718" t="s">
        <v>1250</v>
      </c>
      <c r="O190" s="739"/>
      <c r="P190" s="718"/>
      <c r="Q190" s="718"/>
      <c r="U190" s="714" t="s">
        <v>1409</v>
      </c>
      <c r="V190" s="714" t="s">
        <v>1409</v>
      </c>
      <c r="X190" s="745">
        <v>43438</v>
      </c>
      <c r="Y190" s="745">
        <v>43438</v>
      </c>
      <c r="AA190" s="745"/>
      <c r="AB190" s="714" t="s">
        <v>1079</v>
      </c>
      <c r="AC190" s="714">
        <v>0</v>
      </c>
      <c r="AD190" s="714">
        <v>0</v>
      </c>
      <c r="AE190" s="714">
        <v>0</v>
      </c>
      <c r="AF190" s="714">
        <v>0</v>
      </c>
      <c r="AG190" s="714">
        <v>0</v>
      </c>
      <c r="AH190" s="714">
        <v>1</v>
      </c>
      <c r="AI190" s="714">
        <v>70095</v>
      </c>
      <c r="AJ190" s="714">
        <v>2183</v>
      </c>
      <c r="AK190" s="714">
        <v>0</v>
      </c>
      <c r="AL190" s="714">
        <v>0</v>
      </c>
      <c r="AO190" s="748"/>
      <c r="AP190" s="748"/>
      <c r="AQ190" s="714" t="str">
        <f t="shared" si="4"/>
        <v/>
      </c>
      <c r="AS190" s="714" t="str">
        <f t="shared" si="5"/>
        <v>wci_corp</v>
      </c>
    </row>
    <row r="191" spans="2:45">
      <c r="B191" s="714" t="s">
        <v>1228</v>
      </c>
      <c r="C191" s="745">
        <v>43434</v>
      </c>
      <c r="D191" s="746">
        <v>168.76</v>
      </c>
      <c r="E191" s="746">
        <v>0</v>
      </c>
      <c r="F191" s="747" t="s">
        <v>1074</v>
      </c>
      <c r="G191" s="714" t="s">
        <v>1406</v>
      </c>
      <c r="H191" s="748" t="s">
        <v>1075</v>
      </c>
      <c r="I191" s="714" t="s">
        <v>1407</v>
      </c>
      <c r="J191" s="714" t="s">
        <v>1092</v>
      </c>
      <c r="K191" s="714" t="s">
        <v>1078</v>
      </c>
      <c r="L191" s="718"/>
      <c r="M191" s="718"/>
      <c r="N191" s="718" t="s">
        <v>1411</v>
      </c>
      <c r="O191" s="739"/>
      <c r="P191" s="718"/>
      <c r="Q191" s="718"/>
      <c r="U191" s="714" t="s">
        <v>1409</v>
      </c>
      <c r="V191" s="714" t="s">
        <v>1409</v>
      </c>
      <c r="X191" s="745">
        <v>43438</v>
      </c>
      <c r="Y191" s="745">
        <v>43438</v>
      </c>
      <c r="AA191" s="745"/>
      <c r="AB191" s="714" t="s">
        <v>1079</v>
      </c>
      <c r="AC191" s="714">
        <v>0</v>
      </c>
      <c r="AD191" s="714">
        <v>0</v>
      </c>
      <c r="AE191" s="714">
        <v>0</v>
      </c>
      <c r="AF191" s="714">
        <v>0</v>
      </c>
      <c r="AG191" s="714">
        <v>0</v>
      </c>
      <c r="AH191" s="714">
        <v>1</v>
      </c>
      <c r="AI191" s="714">
        <v>70095</v>
      </c>
      <c r="AJ191" s="714">
        <v>2183</v>
      </c>
      <c r="AK191" s="714">
        <v>0</v>
      </c>
      <c r="AL191" s="714">
        <v>0</v>
      </c>
      <c r="AO191" s="748"/>
      <c r="AP191" s="748"/>
      <c r="AQ191" s="714" t="str">
        <f t="shared" si="4"/>
        <v/>
      </c>
      <c r="AS191" s="714" t="str">
        <f t="shared" si="5"/>
        <v>wci_corp</v>
      </c>
    </row>
    <row r="192" spans="2:45">
      <c r="B192" s="714" t="s">
        <v>1228</v>
      </c>
      <c r="C192" s="745">
        <v>43434</v>
      </c>
      <c r="D192" s="746">
        <v>20.66</v>
      </c>
      <c r="E192" s="746">
        <v>0</v>
      </c>
      <c r="F192" s="747" t="s">
        <v>1074</v>
      </c>
      <c r="G192" s="714" t="s">
        <v>1406</v>
      </c>
      <c r="H192" s="748" t="s">
        <v>1075</v>
      </c>
      <c r="I192" s="714" t="s">
        <v>1407</v>
      </c>
      <c r="J192" s="714" t="s">
        <v>1092</v>
      </c>
      <c r="K192" s="714" t="s">
        <v>1078</v>
      </c>
      <c r="L192" s="718"/>
      <c r="M192" s="718"/>
      <c r="N192" s="718" t="s">
        <v>1412</v>
      </c>
      <c r="O192" s="739"/>
      <c r="P192" s="718"/>
      <c r="Q192" s="718"/>
      <c r="U192" s="714" t="s">
        <v>1409</v>
      </c>
      <c r="V192" s="714" t="s">
        <v>1409</v>
      </c>
      <c r="X192" s="745">
        <v>43438</v>
      </c>
      <c r="Y192" s="745">
        <v>43438</v>
      </c>
      <c r="AA192" s="745"/>
      <c r="AB192" s="714" t="s">
        <v>1079</v>
      </c>
      <c r="AC192" s="714">
        <v>0</v>
      </c>
      <c r="AD192" s="714">
        <v>0</v>
      </c>
      <c r="AE192" s="714">
        <v>0</v>
      </c>
      <c r="AF192" s="714">
        <v>0</v>
      </c>
      <c r="AG192" s="714">
        <v>0</v>
      </c>
      <c r="AH192" s="714">
        <v>1</v>
      </c>
      <c r="AI192" s="714">
        <v>70095</v>
      </c>
      <c r="AJ192" s="714">
        <v>2183</v>
      </c>
      <c r="AK192" s="714">
        <v>0</v>
      </c>
      <c r="AL192" s="714">
        <v>0</v>
      </c>
      <c r="AO192" s="748"/>
      <c r="AP192" s="748"/>
      <c r="AQ192" s="714" t="str">
        <f t="shared" si="4"/>
        <v/>
      </c>
      <c r="AS192" s="714" t="str">
        <f t="shared" si="5"/>
        <v>wci_corp</v>
      </c>
    </row>
    <row r="193" spans="2:45">
      <c r="B193" s="714" t="s">
        <v>1228</v>
      </c>
      <c r="C193" s="745">
        <v>43434</v>
      </c>
      <c r="D193" s="746">
        <v>357.54</v>
      </c>
      <c r="E193" s="746">
        <v>0</v>
      </c>
      <c r="F193" s="747" t="s">
        <v>1074</v>
      </c>
      <c r="G193" s="714" t="s">
        <v>1406</v>
      </c>
      <c r="H193" s="748" t="s">
        <v>1075</v>
      </c>
      <c r="I193" s="714" t="s">
        <v>1407</v>
      </c>
      <c r="J193" s="714" t="s">
        <v>1092</v>
      </c>
      <c r="K193" s="714" t="s">
        <v>1078</v>
      </c>
      <c r="L193" s="718"/>
      <c r="M193" s="718"/>
      <c r="N193" s="718" t="s">
        <v>1413</v>
      </c>
      <c r="O193" s="739"/>
      <c r="P193" s="718"/>
      <c r="Q193" s="718"/>
      <c r="U193" s="714" t="s">
        <v>1409</v>
      </c>
      <c r="V193" s="714" t="s">
        <v>1409</v>
      </c>
      <c r="X193" s="745">
        <v>43438</v>
      </c>
      <c r="Y193" s="745">
        <v>43438</v>
      </c>
      <c r="AA193" s="745"/>
      <c r="AB193" s="714" t="s">
        <v>1079</v>
      </c>
      <c r="AC193" s="714">
        <v>0</v>
      </c>
      <c r="AD193" s="714">
        <v>0</v>
      </c>
      <c r="AE193" s="714">
        <v>0</v>
      </c>
      <c r="AF193" s="714">
        <v>0</v>
      </c>
      <c r="AG193" s="714">
        <v>0</v>
      </c>
      <c r="AH193" s="714">
        <v>1</v>
      </c>
      <c r="AI193" s="714">
        <v>70095</v>
      </c>
      <c r="AJ193" s="714">
        <v>2183</v>
      </c>
      <c r="AK193" s="714">
        <v>0</v>
      </c>
      <c r="AL193" s="714">
        <v>0</v>
      </c>
      <c r="AO193" s="748"/>
      <c r="AP193" s="748"/>
      <c r="AQ193" s="714" t="str">
        <f t="shared" si="4"/>
        <v/>
      </c>
      <c r="AS193" s="714" t="str">
        <f t="shared" si="5"/>
        <v>wci_corp</v>
      </c>
    </row>
    <row r="194" spans="2:45">
      <c r="B194" s="714" t="s">
        <v>1228</v>
      </c>
      <c r="C194" s="745">
        <v>43434</v>
      </c>
      <c r="D194" s="746">
        <v>28.08</v>
      </c>
      <c r="E194" s="746">
        <v>0</v>
      </c>
      <c r="F194" s="747" t="s">
        <v>1074</v>
      </c>
      <c r="G194" s="714" t="s">
        <v>1406</v>
      </c>
      <c r="H194" s="748" t="s">
        <v>1075</v>
      </c>
      <c r="I194" s="714" t="s">
        <v>1407</v>
      </c>
      <c r="J194" s="714" t="s">
        <v>1092</v>
      </c>
      <c r="K194" s="714" t="s">
        <v>1078</v>
      </c>
      <c r="L194" s="718"/>
      <c r="M194" s="718"/>
      <c r="N194" s="718" t="s">
        <v>1413</v>
      </c>
      <c r="O194" s="739"/>
      <c r="P194" s="718"/>
      <c r="Q194" s="718"/>
      <c r="U194" s="714" t="s">
        <v>1409</v>
      </c>
      <c r="V194" s="714" t="s">
        <v>1409</v>
      </c>
      <c r="X194" s="745">
        <v>43438</v>
      </c>
      <c r="Y194" s="745">
        <v>43438</v>
      </c>
      <c r="AA194" s="745"/>
      <c r="AB194" s="714" t="s">
        <v>1079</v>
      </c>
      <c r="AC194" s="714">
        <v>0</v>
      </c>
      <c r="AD194" s="714">
        <v>0</v>
      </c>
      <c r="AE194" s="714">
        <v>0</v>
      </c>
      <c r="AF194" s="714">
        <v>0</v>
      </c>
      <c r="AG194" s="714">
        <v>0</v>
      </c>
      <c r="AH194" s="714">
        <v>1</v>
      </c>
      <c r="AI194" s="714">
        <v>70095</v>
      </c>
      <c r="AJ194" s="714">
        <v>2183</v>
      </c>
      <c r="AK194" s="714">
        <v>0</v>
      </c>
      <c r="AL194" s="714">
        <v>0</v>
      </c>
      <c r="AO194" s="748"/>
      <c r="AP194" s="748"/>
      <c r="AQ194" s="714" t="str">
        <f t="shared" si="4"/>
        <v/>
      </c>
      <c r="AS194" s="714" t="str">
        <f t="shared" si="5"/>
        <v>wci_corp</v>
      </c>
    </row>
    <row r="195" spans="2:45">
      <c r="B195" s="714" t="s">
        <v>1228</v>
      </c>
      <c r="C195" s="745">
        <v>43434</v>
      </c>
      <c r="D195" s="746">
        <v>42.54</v>
      </c>
      <c r="E195" s="746">
        <v>0</v>
      </c>
      <c r="F195" s="747" t="s">
        <v>1074</v>
      </c>
      <c r="G195" s="714" t="s">
        <v>1406</v>
      </c>
      <c r="H195" s="748" t="s">
        <v>1075</v>
      </c>
      <c r="I195" s="714" t="s">
        <v>1407</v>
      </c>
      <c r="J195" s="714" t="s">
        <v>1092</v>
      </c>
      <c r="K195" s="714" t="s">
        <v>1078</v>
      </c>
      <c r="L195" s="718"/>
      <c r="M195" s="718"/>
      <c r="N195" s="718" t="s">
        <v>1414</v>
      </c>
      <c r="O195" s="739"/>
      <c r="P195" s="718"/>
      <c r="Q195" s="718"/>
      <c r="U195" s="714" t="s">
        <v>1409</v>
      </c>
      <c r="V195" s="714" t="s">
        <v>1409</v>
      </c>
      <c r="X195" s="745">
        <v>43438</v>
      </c>
      <c r="Y195" s="745">
        <v>43438</v>
      </c>
      <c r="AA195" s="745"/>
      <c r="AB195" s="714" t="s">
        <v>1079</v>
      </c>
      <c r="AC195" s="714">
        <v>0</v>
      </c>
      <c r="AD195" s="714">
        <v>0</v>
      </c>
      <c r="AE195" s="714">
        <v>0</v>
      </c>
      <c r="AF195" s="714">
        <v>0</v>
      </c>
      <c r="AG195" s="714">
        <v>0</v>
      </c>
      <c r="AH195" s="714">
        <v>1</v>
      </c>
      <c r="AI195" s="714">
        <v>70095</v>
      </c>
      <c r="AJ195" s="714">
        <v>2183</v>
      </c>
      <c r="AK195" s="714">
        <v>0</v>
      </c>
      <c r="AL195" s="714">
        <v>0</v>
      </c>
      <c r="AO195" s="748"/>
      <c r="AP195" s="748"/>
      <c r="AQ195" s="714" t="str">
        <f t="shared" si="4"/>
        <v/>
      </c>
      <c r="AS195" s="714" t="str">
        <f t="shared" si="5"/>
        <v>wci_corp</v>
      </c>
    </row>
    <row r="196" spans="2:45">
      <c r="B196" s="714" t="s">
        <v>1228</v>
      </c>
      <c r="C196" s="745">
        <v>43434</v>
      </c>
      <c r="D196" s="746">
        <v>30.98</v>
      </c>
      <c r="E196" s="746">
        <v>0</v>
      </c>
      <c r="F196" s="747" t="s">
        <v>1074</v>
      </c>
      <c r="G196" s="714" t="s">
        <v>1406</v>
      </c>
      <c r="H196" s="748" t="s">
        <v>1075</v>
      </c>
      <c r="I196" s="714" t="s">
        <v>1407</v>
      </c>
      <c r="J196" s="714" t="s">
        <v>1092</v>
      </c>
      <c r="K196" s="714" t="s">
        <v>1078</v>
      </c>
      <c r="L196" s="718"/>
      <c r="M196" s="718"/>
      <c r="N196" s="718" t="s">
        <v>1259</v>
      </c>
      <c r="O196" s="739"/>
      <c r="P196" s="718"/>
      <c r="Q196" s="718"/>
      <c r="U196" s="714" t="s">
        <v>1409</v>
      </c>
      <c r="V196" s="714" t="s">
        <v>1409</v>
      </c>
      <c r="X196" s="745">
        <v>43438</v>
      </c>
      <c r="Y196" s="745">
        <v>43438</v>
      </c>
      <c r="AA196" s="745"/>
      <c r="AB196" s="714" t="s">
        <v>1079</v>
      </c>
      <c r="AC196" s="714">
        <v>0</v>
      </c>
      <c r="AD196" s="714">
        <v>0</v>
      </c>
      <c r="AE196" s="714">
        <v>0</v>
      </c>
      <c r="AF196" s="714">
        <v>0</v>
      </c>
      <c r="AG196" s="714">
        <v>0</v>
      </c>
      <c r="AH196" s="714">
        <v>1</v>
      </c>
      <c r="AI196" s="714">
        <v>70095</v>
      </c>
      <c r="AJ196" s="714">
        <v>2183</v>
      </c>
      <c r="AK196" s="714">
        <v>0</v>
      </c>
      <c r="AL196" s="714">
        <v>0</v>
      </c>
      <c r="AO196" s="748"/>
      <c r="AP196" s="748"/>
      <c r="AQ196" s="714" t="str">
        <f t="shared" si="4"/>
        <v/>
      </c>
      <c r="AS196" s="714" t="str">
        <f t="shared" si="5"/>
        <v>wci_corp</v>
      </c>
    </row>
    <row r="197" spans="2:45">
      <c r="B197" s="714" t="s">
        <v>1228</v>
      </c>
      <c r="C197" s="745">
        <v>43434</v>
      </c>
      <c r="D197" s="746">
        <v>49.09</v>
      </c>
      <c r="E197" s="746">
        <v>0</v>
      </c>
      <c r="F197" s="747" t="s">
        <v>1074</v>
      </c>
      <c r="G197" s="714" t="s">
        <v>1086</v>
      </c>
      <c r="H197" s="748" t="s">
        <v>1075</v>
      </c>
      <c r="I197" s="714" t="s">
        <v>1081</v>
      </c>
      <c r="J197" s="714" t="s">
        <v>1082</v>
      </c>
      <c r="K197" s="714" t="s">
        <v>1078</v>
      </c>
      <c r="L197" s="718"/>
      <c r="M197" s="718"/>
      <c r="N197" s="718" t="s">
        <v>1415</v>
      </c>
      <c r="O197" s="739"/>
      <c r="P197" s="718"/>
      <c r="Q197" s="718"/>
      <c r="U197" s="714" t="s">
        <v>1087</v>
      </c>
      <c r="V197" s="714" t="s">
        <v>1087</v>
      </c>
      <c r="X197" s="745">
        <v>43440</v>
      </c>
      <c r="Y197" s="745">
        <v>43441</v>
      </c>
      <c r="AA197" s="745"/>
      <c r="AB197" s="714" t="s">
        <v>1079</v>
      </c>
      <c r="AC197" s="714">
        <v>0</v>
      </c>
      <c r="AD197" s="714">
        <v>0</v>
      </c>
      <c r="AE197" s="714">
        <v>0</v>
      </c>
      <c r="AF197" s="714">
        <v>0</v>
      </c>
      <c r="AG197" s="714">
        <v>0</v>
      </c>
      <c r="AH197" s="714">
        <v>1</v>
      </c>
      <c r="AI197" s="714">
        <v>70095</v>
      </c>
      <c r="AJ197" s="714">
        <v>2183</v>
      </c>
      <c r="AK197" s="714">
        <v>0</v>
      </c>
      <c r="AL197" s="714">
        <v>0</v>
      </c>
      <c r="AO197" s="748"/>
      <c r="AP197" s="748"/>
      <c r="AQ197" s="714" t="str">
        <f t="shared" si="4"/>
        <v/>
      </c>
      <c r="AS197" s="714" t="str">
        <f t="shared" si="5"/>
        <v>wci_corp</v>
      </c>
    </row>
    <row r="198" spans="2:45">
      <c r="B198" s="714" t="s">
        <v>1228</v>
      </c>
      <c r="C198" s="745">
        <v>43434</v>
      </c>
      <c r="D198" s="746">
        <v>190.87</v>
      </c>
      <c r="E198" s="746">
        <v>0</v>
      </c>
      <c r="F198" s="747" t="s">
        <v>1074</v>
      </c>
      <c r="G198" s="714" t="s">
        <v>1086</v>
      </c>
      <c r="H198" s="748" t="s">
        <v>1075</v>
      </c>
      <c r="I198" s="714" t="s">
        <v>1081</v>
      </c>
      <c r="J198" s="714" t="s">
        <v>1082</v>
      </c>
      <c r="K198" s="714" t="s">
        <v>1078</v>
      </c>
      <c r="L198" s="718"/>
      <c r="M198" s="718"/>
      <c r="N198" s="718" t="s">
        <v>1416</v>
      </c>
      <c r="O198" s="739"/>
      <c r="P198" s="718"/>
      <c r="Q198" s="718"/>
      <c r="U198" s="714" t="s">
        <v>1087</v>
      </c>
      <c r="V198" s="714" t="s">
        <v>1087</v>
      </c>
      <c r="X198" s="745">
        <v>43440</v>
      </c>
      <c r="Y198" s="745">
        <v>43441</v>
      </c>
      <c r="AA198" s="745"/>
      <c r="AB198" s="714" t="s">
        <v>1079</v>
      </c>
      <c r="AC198" s="714">
        <v>0</v>
      </c>
      <c r="AD198" s="714">
        <v>0</v>
      </c>
      <c r="AE198" s="714">
        <v>0</v>
      </c>
      <c r="AF198" s="714">
        <v>0</v>
      </c>
      <c r="AG198" s="714">
        <v>0</v>
      </c>
      <c r="AH198" s="714">
        <v>1</v>
      </c>
      <c r="AI198" s="714">
        <v>70095</v>
      </c>
      <c r="AJ198" s="714">
        <v>2183</v>
      </c>
      <c r="AK198" s="714">
        <v>0</v>
      </c>
      <c r="AL198" s="714">
        <v>0</v>
      </c>
      <c r="AO198" s="748"/>
      <c r="AP198" s="748"/>
      <c r="AQ198" s="714" t="str">
        <f t="shared" si="4"/>
        <v/>
      </c>
      <c r="AS198" s="714" t="str">
        <f t="shared" si="5"/>
        <v>wci_corp</v>
      </c>
    </row>
    <row r="199" spans="2:45">
      <c r="B199" s="714" t="s">
        <v>1228</v>
      </c>
      <c r="C199" s="745">
        <v>43434</v>
      </c>
      <c r="D199" s="746">
        <v>221.43</v>
      </c>
      <c r="E199" s="746">
        <v>0</v>
      </c>
      <c r="F199" s="747" t="s">
        <v>1074</v>
      </c>
      <c r="G199" s="714" t="s">
        <v>1417</v>
      </c>
      <c r="H199" s="748" t="s">
        <v>1075</v>
      </c>
      <c r="I199" s="714" t="s">
        <v>1131</v>
      </c>
      <c r="J199" s="714" t="s">
        <v>1082</v>
      </c>
      <c r="K199" s="714" t="s">
        <v>1078</v>
      </c>
      <c r="L199" s="718"/>
      <c r="M199" s="718"/>
      <c r="N199" s="718" t="s">
        <v>1418</v>
      </c>
      <c r="O199" s="739"/>
      <c r="P199" s="718"/>
      <c r="Q199" s="718"/>
      <c r="U199" s="714" t="s">
        <v>1419</v>
      </c>
      <c r="V199" s="714" t="s">
        <v>1419</v>
      </c>
      <c r="X199" s="745">
        <v>43440</v>
      </c>
      <c r="Y199" s="745">
        <v>43441</v>
      </c>
      <c r="AA199" s="745"/>
      <c r="AB199" s="714" t="s">
        <v>1079</v>
      </c>
      <c r="AC199" s="714">
        <v>0</v>
      </c>
      <c r="AD199" s="714">
        <v>0</v>
      </c>
      <c r="AE199" s="714">
        <v>0</v>
      </c>
      <c r="AF199" s="714">
        <v>0</v>
      </c>
      <c r="AG199" s="714">
        <v>0</v>
      </c>
      <c r="AH199" s="714">
        <v>1</v>
      </c>
      <c r="AI199" s="714">
        <v>70095</v>
      </c>
      <c r="AJ199" s="714">
        <v>2183</v>
      </c>
      <c r="AK199" s="714">
        <v>0</v>
      </c>
      <c r="AL199" s="714">
        <v>0</v>
      </c>
      <c r="AO199" s="748"/>
      <c r="AP199" s="748"/>
      <c r="AQ199" s="714" t="str">
        <f t="shared" si="4"/>
        <v/>
      </c>
      <c r="AS199" s="714" t="str">
        <f t="shared" si="5"/>
        <v>wci_corp</v>
      </c>
    </row>
    <row r="200" spans="2:45">
      <c r="B200" s="714" t="s">
        <v>1228</v>
      </c>
      <c r="C200" s="745">
        <v>43434</v>
      </c>
      <c r="D200" s="746">
        <v>80.31</v>
      </c>
      <c r="E200" s="746">
        <v>0</v>
      </c>
      <c r="F200" s="747" t="s">
        <v>1074</v>
      </c>
      <c r="G200" s="714" t="s">
        <v>1417</v>
      </c>
      <c r="H200" s="748" t="s">
        <v>1075</v>
      </c>
      <c r="I200" s="714" t="s">
        <v>1131</v>
      </c>
      <c r="J200" s="714" t="s">
        <v>1082</v>
      </c>
      <c r="K200" s="714" t="s">
        <v>1078</v>
      </c>
      <c r="L200" s="718"/>
      <c r="M200" s="718"/>
      <c r="N200" s="718" t="s">
        <v>1418</v>
      </c>
      <c r="O200" s="739"/>
      <c r="P200" s="718"/>
      <c r="Q200" s="718"/>
      <c r="U200" s="714" t="s">
        <v>1419</v>
      </c>
      <c r="V200" s="714" t="s">
        <v>1419</v>
      </c>
      <c r="X200" s="745">
        <v>43440</v>
      </c>
      <c r="Y200" s="745">
        <v>43441</v>
      </c>
      <c r="AA200" s="745"/>
      <c r="AB200" s="714" t="s">
        <v>1079</v>
      </c>
      <c r="AC200" s="714">
        <v>0</v>
      </c>
      <c r="AD200" s="714">
        <v>0</v>
      </c>
      <c r="AE200" s="714">
        <v>0</v>
      </c>
      <c r="AF200" s="714">
        <v>0</v>
      </c>
      <c r="AG200" s="714">
        <v>0</v>
      </c>
      <c r="AH200" s="714">
        <v>1</v>
      </c>
      <c r="AI200" s="714">
        <v>70095</v>
      </c>
      <c r="AJ200" s="714">
        <v>2183</v>
      </c>
      <c r="AK200" s="714">
        <v>0</v>
      </c>
      <c r="AL200" s="714">
        <v>0</v>
      </c>
      <c r="AO200" s="748"/>
      <c r="AP200" s="748"/>
      <c r="AQ200" s="714" t="str">
        <f t="shared" si="4"/>
        <v/>
      </c>
      <c r="AS200" s="714" t="str">
        <f t="shared" si="5"/>
        <v>wci_corp</v>
      </c>
    </row>
    <row r="201" spans="2:45">
      <c r="B201" s="714" t="s">
        <v>1228</v>
      </c>
      <c r="C201" s="745">
        <v>43434</v>
      </c>
      <c r="D201" s="746">
        <v>44.25</v>
      </c>
      <c r="E201" s="746">
        <v>0</v>
      </c>
      <c r="F201" s="747" t="s">
        <v>1074</v>
      </c>
      <c r="G201" s="714" t="s">
        <v>1417</v>
      </c>
      <c r="H201" s="748" t="s">
        <v>1075</v>
      </c>
      <c r="I201" s="714" t="s">
        <v>1131</v>
      </c>
      <c r="J201" s="714" t="s">
        <v>1082</v>
      </c>
      <c r="K201" s="714" t="s">
        <v>1078</v>
      </c>
      <c r="L201" s="718"/>
      <c r="M201" s="718"/>
      <c r="N201" s="718" t="s">
        <v>1418</v>
      </c>
      <c r="O201" s="739"/>
      <c r="P201" s="718"/>
      <c r="Q201" s="718"/>
      <c r="U201" s="714" t="s">
        <v>1419</v>
      </c>
      <c r="V201" s="714" t="s">
        <v>1419</v>
      </c>
      <c r="X201" s="745">
        <v>43440</v>
      </c>
      <c r="Y201" s="745">
        <v>43441</v>
      </c>
      <c r="AA201" s="745"/>
      <c r="AB201" s="714" t="s">
        <v>1079</v>
      </c>
      <c r="AC201" s="714">
        <v>0</v>
      </c>
      <c r="AD201" s="714">
        <v>0</v>
      </c>
      <c r="AE201" s="714">
        <v>0</v>
      </c>
      <c r="AF201" s="714">
        <v>0</v>
      </c>
      <c r="AG201" s="714">
        <v>0</v>
      </c>
      <c r="AH201" s="714">
        <v>1</v>
      </c>
      <c r="AI201" s="714">
        <v>70095</v>
      </c>
      <c r="AJ201" s="714">
        <v>2183</v>
      </c>
      <c r="AK201" s="714">
        <v>0</v>
      </c>
      <c r="AL201" s="714">
        <v>0</v>
      </c>
      <c r="AO201" s="748"/>
      <c r="AP201" s="748"/>
      <c r="AQ201" s="714" t="str">
        <f t="shared" si="4"/>
        <v/>
      </c>
      <c r="AS201" s="714" t="str">
        <f t="shared" si="5"/>
        <v>wci_corp</v>
      </c>
    </row>
    <row r="202" spans="2:45">
      <c r="B202" s="714" t="s">
        <v>1228</v>
      </c>
      <c r="C202" s="745">
        <v>43434</v>
      </c>
      <c r="D202" s="746">
        <v>29.5</v>
      </c>
      <c r="E202" s="746">
        <v>0</v>
      </c>
      <c r="F202" s="747" t="s">
        <v>1074</v>
      </c>
      <c r="G202" s="714" t="s">
        <v>1417</v>
      </c>
      <c r="H202" s="748" t="s">
        <v>1075</v>
      </c>
      <c r="I202" s="714" t="s">
        <v>1131</v>
      </c>
      <c r="J202" s="714" t="s">
        <v>1082</v>
      </c>
      <c r="K202" s="714" t="s">
        <v>1078</v>
      </c>
      <c r="L202" s="718"/>
      <c r="M202" s="718"/>
      <c r="N202" s="718" t="s">
        <v>1418</v>
      </c>
      <c r="O202" s="739"/>
      <c r="P202" s="718"/>
      <c r="Q202" s="718"/>
      <c r="U202" s="714" t="s">
        <v>1419</v>
      </c>
      <c r="V202" s="714" t="s">
        <v>1419</v>
      </c>
      <c r="X202" s="745">
        <v>43440</v>
      </c>
      <c r="Y202" s="745">
        <v>43441</v>
      </c>
      <c r="AA202" s="745"/>
      <c r="AB202" s="714" t="s">
        <v>1079</v>
      </c>
      <c r="AC202" s="714">
        <v>0</v>
      </c>
      <c r="AD202" s="714">
        <v>0</v>
      </c>
      <c r="AE202" s="714">
        <v>0</v>
      </c>
      <c r="AF202" s="714">
        <v>0</v>
      </c>
      <c r="AG202" s="714">
        <v>0</v>
      </c>
      <c r="AH202" s="714">
        <v>1</v>
      </c>
      <c r="AI202" s="714">
        <v>70095</v>
      </c>
      <c r="AJ202" s="714">
        <v>2183</v>
      </c>
      <c r="AK202" s="714">
        <v>0</v>
      </c>
      <c r="AL202" s="714">
        <v>0</v>
      </c>
      <c r="AO202" s="748"/>
      <c r="AP202" s="748"/>
      <c r="AQ202" s="714" t="str">
        <f t="shared" si="4"/>
        <v/>
      </c>
      <c r="AS202" s="714" t="str">
        <f t="shared" si="5"/>
        <v>wci_corp</v>
      </c>
    </row>
    <row r="203" spans="2:45">
      <c r="B203" s="714" t="s">
        <v>1228</v>
      </c>
      <c r="C203" s="745">
        <v>43434</v>
      </c>
      <c r="D203" s="746">
        <v>17.39</v>
      </c>
      <c r="E203" s="746">
        <v>0</v>
      </c>
      <c r="F203" s="747" t="s">
        <v>1074</v>
      </c>
      <c r="G203" s="714" t="s">
        <v>1417</v>
      </c>
      <c r="H203" s="748" t="s">
        <v>1075</v>
      </c>
      <c r="I203" s="714" t="s">
        <v>1131</v>
      </c>
      <c r="J203" s="714" t="s">
        <v>1082</v>
      </c>
      <c r="K203" s="714" t="s">
        <v>1078</v>
      </c>
      <c r="L203" s="718"/>
      <c r="M203" s="718"/>
      <c r="N203" s="718" t="s">
        <v>1420</v>
      </c>
      <c r="O203" s="739"/>
      <c r="P203" s="718"/>
      <c r="Q203" s="718"/>
      <c r="U203" s="714" t="s">
        <v>1419</v>
      </c>
      <c r="V203" s="714" t="s">
        <v>1419</v>
      </c>
      <c r="X203" s="745">
        <v>43440</v>
      </c>
      <c r="Y203" s="745">
        <v>43441</v>
      </c>
      <c r="AA203" s="745"/>
      <c r="AB203" s="714" t="s">
        <v>1079</v>
      </c>
      <c r="AC203" s="714">
        <v>0</v>
      </c>
      <c r="AD203" s="714">
        <v>0</v>
      </c>
      <c r="AE203" s="714">
        <v>0</v>
      </c>
      <c r="AF203" s="714">
        <v>0</v>
      </c>
      <c r="AG203" s="714">
        <v>0</v>
      </c>
      <c r="AH203" s="714">
        <v>1</v>
      </c>
      <c r="AI203" s="714">
        <v>70095</v>
      </c>
      <c r="AJ203" s="714">
        <v>2183</v>
      </c>
      <c r="AK203" s="714">
        <v>0</v>
      </c>
      <c r="AL203" s="714">
        <v>0</v>
      </c>
      <c r="AO203" s="748"/>
      <c r="AP203" s="748"/>
      <c r="AQ203" s="714" t="str">
        <f t="shared" si="4"/>
        <v/>
      </c>
      <c r="AS203" s="714" t="str">
        <f t="shared" si="5"/>
        <v>wci_corp</v>
      </c>
    </row>
    <row r="204" spans="2:45">
      <c r="B204" s="714" t="s">
        <v>1228</v>
      </c>
      <c r="C204" s="745">
        <v>43434</v>
      </c>
      <c r="D204" s="746">
        <v>199.96</v>
      </c>
      <c r="E204" s="746">
        <v>0</v>
      </c>
      <c r="F204" s="747" t="s">
        <v>1074</v>
      </c>
      <c r="G204" s="714" t="s">
        <v>1417</v>
      </c>
      <c r="H204" s="748" t="s">
        <v>1075</v>
      </c>
      <c r="I204" s="714" t="s">
        <v>1131</v>
      </c>
      <c r="J204" s="714" t="s">
        <v>1082</v>
      </c>
      <c r="K204" s="714" t="s">
        <v>1078</v>
      </c>
      <c r="L204" s="718"/>
      <c r="M204" s="718"/>
      <c r="N204" s="718" t="s">
        <v>1421</v>
      </c>
      <c r="O204" s="739"/>
      <c r="P204" s="718"/>
      <c r="Q204" s="718"/>
      <c r="U204" s="714" t="s">
        <v>1419</v>
      </c>
      <c r="V204" s="714" t="s">
        <v>1419</v>
      </c>
      <c r="X204" s="745">
        <v>43440</v>
      </c>
      <c r="Y204" s="745">
        <v>43441</v>
      </c>
      <c r="AA204" s="745"/>
      <c r="AB204" s="714" t="s">
        <v>1079</v>
      </c>
      <c r="AC204" s="714">
        <v>0</v>
      </c>
      <c r="AD204" s="714">
        <v>0</v>
      </c>
      <c r="AE204" s="714">
        <v>0</v>
      </c>
      <c r="AF204" s="714">
        <v>0</v>
      </c>
      <c r="AG204" s="714">
        <v>0</v>
      </c>
      <c r="AH204" s="714">
        <v>1</v>
      </c>
      <c r="AI204" s="714">
        <v>70095</v>
      </c>
      <c r="AJ204" s="714">
        <v>2183</v>
      </c>
      <c r="AK204" s="714">
        <v>0</v>
      </c>
      <c r="AL204" s="714">
        <v>0</v>
      </c>
      <c r="AO204" s="748"/>
      <c r="AP204" s="748"/>
      <c r="AQ204" s="714" t="str">
        <f t="shared" si="4"/>
        <v/>
      </c>
      <c r="AS204" s="714" t="str">
        <f t="shared" si="5"/>
        <v>wci_corp</v>
      </c>
    </row>
    <row r="205" spans="2:45">
      <c r="B205" s="714" t="s">
        <v>1228</v>
      </c>
      <c r="C205" s="745">
        <v>43434</v>
      </c>
      <c r="D205" s="746">
        <v>892.53</v>
      </c>
      <c r="E205" s="746">
        <v>0</v>
      </c>
      <c r="F205" s="747" t="s">
        <v>1074</v>
      </c>
      <c r="G205" s="714" t="s">
        <v>1417</v>
      </c>
      <c r="H205" s="748" t="s">
        <v>1075</v>
      </c>
      <c r="I205" s="714" t="s">
        <v>1131</v>
      </c>
      <c r="J205" s="714" t="s">
        <v>1082</v>
      </c>
      <c r="K205" s="714" t="s">
        <v>1078</v>
      </c>
      <c r="L205" s="718"/>
      <c r="M205" s="718"/>
      <c r="N205" s="718" t="s">
        <v>1422</v>
      </c>
      <c r="O205" s="739"/>
      <c r="P205" s="718"/>
      <c r="Q205" s="718"/>
      <c r="U205" s="714" t="s">
        <v>1419</v>
      </c>
      <c r="V205" s="714" t="s">
        <v>1419</v>
      </c>
      <c r="X205" s="745">
        <v>43440</v>
      </c>
      <c r="Y205" s="745">
        <v>43441</v>
      </c>
      <c r="AA205" s="745"/>
      <c r="AB205" s="714" t="s">
        <v>1079</v>
      </c>
      <c r="AC205" s="714">
        <v>0</v>
      </c>
      <c r="AD205" s="714">
        <v>0</v>
      </c>
      <c r="AE205" s="714">
        <v>0</v>
      </c>
      <c r="AF205" s="714">
        <v>0</v>
      </c>
      <c r="AG205" s="714">
        <v>0</v>
      </c>
      <c r="AH205" s="714">
        <v>1</v>
      </c>
      <c r="AI205" s="714">
        <v>70095</v>
      </c>
      <c r="AJ205" s="714">
        <v>2183</v>
      </c>
      <c r="AK205" s="714">
        <v>0</v>
      </c>
      <c r="AL205" s="714">
        <v>0</v>
      </c>
      <c r="AO205" s="748"/>
      <c r="AP205" s="748"/>
      <c r="AQ205" s="714" t="str">
        <f t="shared" si="4"/>
        <v/>
      </c>
      <c r="AS205" s="714" t="str">
        <f t="shared" si="5"/>
        <v>wci_corp</v>
      </c>
    </row>
    <row r="206" spans="2:45">
      <c r="B206" s="714" t="s">
        <v>1228</v>
      </c>
      <c r="C206" s="745">
        <v>43434</v>
      </c>
      <c r="D206" s="746">
        <v>250</v>
      </c>
      <c r="E206" s="746">
        <v>0</v>
      </c>
      <c r="F206" s="747" t="s">
        <v>1074</v>
      </c>
      <c r="G206" s="714" t="s">
        <v>1417</v>
      </c>
      <c r="H206" s="748" t="s">
        <v>1075</v>
      </c>
      <c r="I206" s="714" t="s">
        <v>1131</v>
      </c>
      <c r="J206" s="714" t="s">
        <v>1082</v>
      </c>
      <c r="K206" s="714" t="s">
        <v>1078</v>
      </c>
      <c r="L206" s="718"/>
      <c r="M206" s="718"/>
      <c r="N206" s="718" t="s">
        <v>1423</v>
      </c>
      <c r="O206" s="739"/>
      <c r="P206" s="718"/>
      <c r="Q206" s="718"/>
      <c r="U206" s="714" t="s">
        <v>1419</v>
      </c>
      <c r="V206" s="714" t="s">
        <v>1419</v>
      </c>
      <c r="X206" s="745">
        <v>43440</v>
      </c>
      <c r="Y206" s="745">
        <v>43441</v>
      </c>
      <c r="AA206" s="745"/>
      <c r="AB206" s="714" t="s">
        <v>1079</v>
      </c>
      <c r="AC206" s="714">
        <v>0</v>
      </c>
      <c r="AD206" s="714">
        <v>0</v>
      </c>
      <c r="AE206" s="714">
        <v>0</v>
      </c>
      <c r="AF206" s="714">
        <v>0</v>
      </c>
      <c r="AG206" s="714">
        <v>0</v>
      </c>
      <c r="AH206" s="714">
        <v>1</v>
      </c>
      <c r="AI206" s="714">
        <v>70095</v>
      </c>
      <c r="AJ206" s="714">
        <v>2183</v>
      </c>
      <c r="AK206" s="714">
        <v>0</v>
      </c>
      <c r="AL206" s="714">
        <v>0</v>
      </c>
      <c r="AO206" s="748"/>
      <c r="AP206" s="748"/>
      <c r="AQ206" s="714" t="str">
        <f t="shared" si="4"/>
        <v/>
      </c>
      <c r="AS206" s="714" t="str">
        <f t="shared" si="5"/>
        <v>wci_corp</v>
      </c>
    </row>
    <row r="207" spans="2:45">
      <c r="B207" s="714" t="s">
        <v>1228</v>
      </c>
      <c r="C207" s="745">
        <v>43434</v>
      </c>
      <c r="D207" s="746">
        <v>229.77</v>
      </c>
      <c r="E207" s="746">
        <v>0</v>
      </c>
      <c r="F207" s="747" t="s">
        <v>1074</v>
      </c>
      <c r="G207" s="714" t="s">
        <v>1417</v>
      </c>
      <c r="H207" s="748" t="s">
        <v>1075</v>
      </c>
      <c r="I207" s="714" t="s">
        <v>1131</v>
      </c>
      <c r="J207" s="714" t="s">
        <v>1082</v>
      </c>
      <c r="K207" s="714" t="s">
        <v>1078</v>
      </c>
      <c r="L207" s="718"/>
      <c r="M207" s="718"/>
      <c r="N207" s="718" t="s">
        <v>1424</v>
      </c>
      <c r="O207" s="739"/>
      <c r="P207" s="718"/>
      <c r="Q207" s="718"/>
      <c r="U207" s="714" t="s">
        <v>1419</v>
      </c>
      <c r="V207" s="714" t="s">
        <v>1419</v>
      </c>
      <c r="X207" s="745">
        <v>43440</v>
      </c>
      <c r="Y207" s="745">
        <v>43441</v>
      </c>
      <c r="AA207" s="745"/>
      <c r="AB207" s="714" t="s">
        <v>1079</v>
      </c>
      <c r="AC207" s="714">
        <v>0</v>
      </c>
      <c r="AD207" s="714">
        <v>0</v>
      </c>
      <c r="AE207" s="714">
        <v>0</v>
      </c>
      <c r="AF207" s="714">
        <v>0</v>
      </c>
      <c r="AG207" s="714">
        <v>0</v>
      </c>
      <c r="AH207" s="714">
        <v>1</v>
      </c>
      <c r="AI207" s="714">
        <v>70095</v>
      </c>
      <c r="AJ207" s="714">
        <v>2183</v>
      </c>
      <c r="AK207" s="714">
        <v>0</v>
      </c>
      <c r="AL207" s="714">
        <v>0</v>
      </c>
      <c r="AO207" s="748"/>
      <c r="AP207" s="748"/>
      <c r="AQ207" s="714" t="str">
        <f t="shared" si="4"/>
        <v/>
      </c>
      <c r="AS207" s="714" t="str">
        <f t="shared" si="5"/>
        <v>wci_corp</v>
      </c>
    </row>
    <row r="208" spans="2:45">
      <c r="B208" s="714" t="s">
        <v>1228</v>
      </c>
      <c r="C208" s="745">
        <v>43434</v>
      </c>
      <c r="D208" s="746">
        <v>11.32</v>
      </c>
      <c r="E208" s="746">
        <v>0</v>
      </c>
      <c r="F208" s="747" t="s">
        <v>1074</v>
      </c>
      <c r="G208" s="714" t="s">
        <v>1417</v>
      </c>
      <c r="H208" s="748" t="s">
        <v>1075</v>
      </c>
      <c r="I208" s="714" t="s">
        <v>1131</v>
      </c>
      <c r="J208" s="714" t="s">
        <v>1082</v>
      </c>
      <c r="K208" s="714" t="s">
        <v>1078</v>
      </c>
      <c r="L208" s="718"/>
      <c r="M208" s="718"/>
      <c r="N208" s="718" t="s">
        <v>1260</v>
      </c>
      <c r="O208" s="739"/>
      <c r="P208" s="718"/>
      <c r="Q208" s="718"/>
      <c r="U208" s="714" t="s">
        <v>1419</v>
      </c>
      <c r="V208" s="714" t="s">
        <v>1419</v>
      </c>
      <c r="X208" s="745">
        <v>43440</v>
      </c>
      <c r="Y208" s="745">
        <v>43441</v>
      </c>
      <c r="AA208" s="745"/>
      <c r="AB208" s="714" t="s">
        <v>1079</v>
      </c>
      <c r="AC208" s="714">
        <v>0</v>
      </c>
      <c r="AD208" s="714">
        <v>0</v>
      </c>
      <c r="AE208" s="714">
        <v>0</v>
      </c>
      <c r="AF208" s="714">
        <v>0</v>
      </c>
      <c r="AG208" s="714">
        <v>0</v>
      </c>
      <c r="AH208" s="714">
        <v>1</v>
      </c>
      <c r="AI208" s="714">
        <v>70095</v>
      </c>
      <c r="AJ208" s="714">
        <v>2183</v>
      </c>
      <c r="AK208" s="714">
        <v>0</v>
      </c>
      <c r="AL208" s="714">
        <v>0</v>
      </c>
      <c r="AO208" s="748"/>
      <c r="AP208" s="748"/>
      <c r="AQ208" s="714" t="str">
        <f t="shared" si="4"/>
        <v/>
      </c>
      <c r="AS208" s="714" t="str">
        <f t="shared" si="5"/>
        <v>wci_corp</v>
      </c>
    </row>
    <row r="209" spans="2:45">
      <c r="B209" s="714" t="s">
        <v>1228</v>
      </c>
      <c r="C209" s="745">
        <v>43434</v>
      </c>
      <c r="D209" s="746">
        <v>50.79</v>
      </c>
      <c r="E209" s="746">
        <v>0</v>
      </c>
      <c r="F209" s="747" t="s">
        <v>1074</v>
      </c>
      <c r="G209" s="714" t="s">
        <v>1417</v>
      </c>
      <c r="H209" s="748" t="s">
        <v>1075</v>
      </c>
      <c r="I209" s="714" t="s">
        <v>1131</v>
      </c>
      <c r="J209" s="714" t="s">
        <v>1082</v>
      </c>
      <c r="K209" s="714" t="s">
        <v>1078</v>
      </c>
      <c r="L209" s="718"/>
      <c r="M209" s="718"/>
      <c r="N209" s="718" t="s">
        <v>1425</v>
      </c>
      <c r="O209" s="739"/>
      <c r="P209" s="718"/>
      <c r="Q209" s="718"/>
      <c r="U209" s="714" t="s">
        <v>1419</v>
      </c>
      <c r="V209" s="714" t="s">
        <v>1419</v>
      </c>
      <c r="X209" s="745">
        <v>43440</v>
      </c>
      <c r="Y209" s="745">
        <v>43441</v>
      </c>
      <c r="AA209" s="745"/>
      <c r="AB209" s="714" t="s">
        <v>1079</v>
      </c>
      <c r="AC209" s="714">
        <v>0</v>
      </c>
      <c r="AD209" s="714">
        <v>0</v>
      </c>
      <c r="AE209" s="714">
        <v>0</v>
      </c>
      <c r="AF209" s="714">
        <v>0</v>
      </c>
      <c r="AG209" s="714">
        <v>0</v>
      </c>
      <c r="AH209" s="714">
        <v>1</v>
      </c>
      <c r="AI209" s="714">
        <v>70095</v>
      </c>
      <c r="AJ209" s="714">
        <v>2183</v>
      </c>
      <c r="AK209" s="714">
        <v>0</v>
      </c>
      <c r="AL209" s="714">
        <v>0</v>
      </c>
      <c r="AO209" s="748"/>
      <c r="AP209" s="748"/>
      <c r="AQ209" s="714" t="str">
        <f t="shared" si="4"/>
        <v/>
      </c>
      <c r="AS209" s="714" t="str">
        <f t="shared" si="5"/>
        <v>wci_corp</v>
      </c>
    </row>
    <row r="210" spans="2:45">
      <c r="B210" s="714" t="s">
        <v>1228</v>
      </c>
      <c r="C210" s="745">
        <v>43434</v>
      </c>
      <c r="D210" s="746">
        <v>272.22000000000003</v>
      </c>
      <c r="E210" s="746">
        <v>0</v>
      </c>
      <c r="F210" s="747" t="s">
        <v>1074</v>
      </c>
      <c r="G210" s="714" t="s">
        <v>1417</v>
      </c>
      <c r="H210" s="748" t="s">
        <v>1075</v>
      </c>
      <c r="I210" s="714" t="s">
        <v>1131</v>
      </c>
      <c r="J210" s="714" t="s">
        <v>1082</v>
      </c>
      <c r="K210" s="714" t="s">
        <v>1078</v>
      </c>
      <c r="L210" s="718"/>
      <c r="M210" s="718"/>
      <c r="N210" s="718" t="s">
        <v>1426</v>
      </c>
      <c r="O210" s="739"/>
      <c r="P210" s="718"/>
      <c r="Q210" s="718"/>
      <c r="U210" s="714" t="s">
        <v>1419</v>
      </c>
      <c r="V210" s="714" t="s">
        <v>1419</v>
      </c>
      <c r="X210" s="745">
        <v>43440</v>
      </c>
      <c r="Y210" s="745">
        <v>43441</v>
      </c>
      <c r="AA210" s="745"/>
      <c r="AB210" s="714" t="s">
        <v>1079</v>
      </c>
      <c r="AC210" s="714">
        <v>0</v>
      </c>
      <c r="AD210" s="714">
        <v>0</v>
      </c>
      <c r="AE210" s="714">
        <v>0</v>
      </c>
      <c r="AF210" s="714">
        <v>0</v>
      </c>
      <c r="AG210" s="714">
        <v>0</v>
      </c>
      <c r="AH210" s="714">
        <v>1</v>
      </c>
      <c r="AI210" s="714">
        <v>70095</v>
      </c>
      <c r="AJ210" s="714">
        <v>2183</v>
      </c>
      <c r="AK210" s="714">
        <v>0</v>
      </c>
      <c r="AL210" s="714">
        <v>0</v>
      </c>
      <c r="AO210" s="748"/>
      <c r="AP210" s="748"/>
      <c r="AQ210" s="714" t="str">
        <f t="shared" si="4"/>
        <v/>
      </c>
      <c r="AS210" s="714" t="str">
        <f t="shared" si="5"/>
        <v>wci_corp</v>
      </c>
    </row>
    <row r="211" spans="2:45">
      <c r="B211" s="714" t="s">
        <v>1228</v>
      </c>
      <c r="C211" s="745">
        <v>43434</v>
      </c>
      <c r="D211" s="746">
        <v>78.38</v>
      </c>
      <c r="E211" s="746">
        <v>0</v>
      </c>
      <c r="F211" s="747" t="s">
        <v>1074</v>
      </c>
      <c r="G211" s="714" t="s">
        <v>1417</v>
      </c>
      <c r="H211" s="748" t="s">
        <v>1075</v>
      </c>
      <c r="I211" s="714" t="s">
        <v>1131</v>
      </c>
      <c r="J211" s="714" t="s">
        <v>1082</v>
      </c>
      <c r="K211" s="714" t="s">
        <v>1078</v>
      </c>
      <c r="L211" s="718"/>
      <c r="M211" s="718"/>
      <c r="N211" s="718" t="s">
        <v>1427</v>
      </c>
      <c r="O211" s="739"/>
      <c r="P211" s="718"/>
      <c r="Q211" s="718"/>
      <c r="U211" s="714" t="s">
        <v>1419</v>
      </c>
      <c r="V211" s="714" t="s">
        <v>1419</v>
      </c>
      <c r="X211" s="745">
        <v>43440</v>
      </c>
      <c r="Y211" s="745">
        <v>43441</v>
      </c>
      <c r="AA211" s="745"/>
      <c r="AB211" s="714" t="s">
        <v>1079</v>
      </c>
      <c r="AC211" s="714">
        <v>0</v>
      </c>
      <c r="AD211" s="714">
        <v>0</v>
      </c>
      <c r="AE211" s="714">
        <v>0</v>
      </c>
      <c r="AF211" s="714">
        <v>0</v>
      </c>
      <c r="AG211" s="714">
        <v>0</v>
      </c>
      <c r="AH211" s="714">
        <v>1</v>
      </c>
      <c r="AI211" s="714">
        <v>70095</v>
      </c>
      <c r="AJ211" s="714">
        <v>2183</v>
      </c>
      <c r="AK211" s="714">
        <v>0</v>
      </c>
      <c r="AL211" s="714">
        <v>0</v>
      </c>
      <c r="AO211" s="748"/>
      <c r="AP211" s="748"/>
      <c r="AQ211" s="714" t="str">
        <f t="shared" si="4"/>
        <v/>
      </c>
      <c r="AS211" s="714" t="str">
        <f t="shared" si="5"/>
        <v>wci_corp</v>
      </c>
    </row>
    <row r="212" spans="2:45">
      <c r="B212" s="714" t="s">
        <v>1228</v>
      </c>
      <c r="C212" s="745">
        <v>43434</v>
      </c>
      <c r="D212" s="746">
        <v>320.76</v>
      </c>
      <c r="E212" s="746">
        <v>0</v>
      </c>
      <c r="F212" s="747" t="s">
        <v>1074</v>
      </c>
      <c r="G212" s="714" t="s">
        <v>1417</v>
      </c>
      <c r="H212" s="748" t="s">
        <v>1075</v>
      </c>
      <c r="I212" s="714" t="s">
        <v>1131</v>
      </c>
      <c r="J212" s="714" t="s">
        <v>1082</v>
      </c>
      <c r="K212" s="714" t="s">
        <v>1078</v>
      </c>
      <c r="L212" s="718"/>
      <c r="M212" s="718"/>
      <c r="N212" s="718" t="s">
        <v>1428</v>
      </c>
      <c r="O212" s="739"/>
      <c r="P212" s="718"/>
      <c r="Q212" s="718"/>
      <c r="U212" s="714" t="s">
        <v>1419</v>
      </c>
      <c r="V212" s="714" t="s">
        <v>1419</v>
      </c>
      <c r="X212" s="745">
        <v>43440</v>
      </c>
      <c r="Y212" s="745">
        <v>43441</v>
      </c>
      <c r="AA212" s="745"/>
      <c r="AB212" s="714" t="s">
        <v>1079</v>
      </c>
      <c r="AC212" s="714">
        <v>0</v>
      </c>
      <c r="AD212" s="714">
        <v>0</v>
      </c>
      <c r="AE212" s="714">
        <v>0</v>
      </c>
      <c r="AF212" s="714">
        <v>0</v>
      </c>
      <c r="AG212" s="714">
        <v>0</v>
      </c>
      <c r="AH212" s="714">
        <v>1</v>
      </c>
      <c r="AI212" s="714">
        <v>70095</v>
      </c>
      <c r="AJ212" s="714">
        <v>2183</v>
      </c>
      <c r="AK212" s="714">
        <v>0</v>
      </c>
      <c r="AL212" s="714">
        <v>0</v>
      </c>
      <c r="AO212" s="748"/>
      <c r="AP212" s="748"/>
      <c r="AQ212" s="714" t="str">
        <f t="shared" si="4"/>
        <v/>
      </c>
      <c r="AS212" s="714" t="str">
        <f t="shared" si="5"/>
        <v>wci_corp</v>
      </c>
    </row>
    <row r="213" spans="2:45">
      <c r="B213" s="714" t="s">
        <v>1228</v>
      </c>
      <c r="C213" s="745">
        <v>43434</v>
      </c>
      <c r="D213" s="746">
        <v>81.75</v>
      </c>
      <c r="E213" s="746">
        <v>0</v>
      </c>
      <c r="F213" s="747" t="s">
        <v>1074</v>
      </c>
      <c r="G213" s="714" t="s">
        <v>1417</v>
      </c>
      <c r="H213" s="748" t="s">
        <v>1075</v>
      </c>
      <c r="I213" s="714" t="s">
        <v>1131</v>
      </c>
      <c r="J213" s="714" t="s">
        <v>1082</v>
      </c>
      <c r="K213" s="714" t="s">
        <v>1078</v>
      </c>
      <c r="L213" s="718"/>
      <c r="M213" s="718"/>
      <c r="N213" s="718" t="s">
        <v>1429</v>
      </c>
      <c r="O213" s="739"/>
      <c r="P213" s="718"/>
      <c r="Q213" s="718"/>
      <c r="U213" s="714" t="s">
        <v>1419</v>
      </c>
      <c r="V213" s="714" t="s">
        <v>1419</v>
      </c>
      <c r="X213" s="745">
        <v>43440</v>
      </c>
      <c r="Y213" s="745">
        <v>43441</v>
      </c>
      <c r="AA213" s="745"/>
      <c r="AB213" s="714" t="s">
        <v>1079</v>
      </c>
      <c r="AC213" s="714">
        <v>0</v>
      </c>
      <c r="AD213" s="714">
        <v>0</v>
      </c>
      <c r="AE213" s="714">
        <v>0</v>
      </c>
      <c r="AF213" s="714">
        <v>0</v>
      </c>
      <c r="AG213" s="714">
        <v>0</v>
      </c>
      <c r="AH213" s="714">
        <v>1</v>
      </c>
      <c r="AI213" s="714">
        <v>70095</v>
      </c>
      <c r="AJ213" s="714">
        <v>2183</v>
      </c>
      <c r="AK213" s="714">
        <v>0</v>
      </c>
      <c r="AL213" s="714">
        <v>0</v>
      </c>
      <c r="AO213" s="748"/>
      <c r="AP213" s="748"/>
      <c r="AQ213" s="714" t="str">
        <f t="shared" ref="AQ213:AQ276" si="6">IF(LEFT(U213,2)="VO",U213,"")</f>
        <v/>
      </c>
      <c r="AS213" s="714" t="str">
        <f t="shared" ref="AS213:AS276" si="7">IF(RIGHT(K213,2)="IC",IF(OR(AB213="wci_canada",AB213="wci_can_corp"),"wci_can_Corp","wci_corp"),AB213)</f>
        <v>wci_corp</v>
      </c>
    </row>
    <row r="214" spans="2:45">
      <c r="B214" s="714" t="s">
        <v>1228</v>
      </c>
      <c r="C214" s="745">
        <v>43434</v>
      </c>
      <c r="D214" s="746">
        <v>34.520000000000003</v>
      </c>
      <c r="E214" s="746">
        <v>0</v>
      </c>
      <c r="F214" s="747" t="s">
        <v>1074</v>
      </c>
      <c r="G214" s="714" t="s">
        <v>1417</v>
      </c>
      <c r="H214" s="748" t="s">
        <v>1075</v>
      </c>
      <c r="I214" s="714" t="s">
        <v>1131</v>
      </c>
      <c r="J214" s="714" t="s">
        <v>1082</v>
      </c>
      <c r="K214" s="714" t="s">
        <v>1078</v>
      </c>
      <c r="L214" s="718"/>
      <c r="M214" s="718"/>
      <c r="N214" s="718" t="s">
        <v>1430</v>
      </c>
      <c r="O214" s="739"/>
      <c r="P214" s="718"/>
      <c r="Q214" s="718"/>
      <c r="U214" s="714" t="s">
        <v>1419</v>
      </c>
      <c r="V214" s="714" t="s">
        <v>1419</v>
      </c>
      <c r="X214" s="745">
        <v>43440</v>
      </c>
      <c r="Y214" s="745">
        <v>43441</v>
      </c>
      <c r="AA214" s="745"/>
      <c r="AB214" s="714" t="s">
        <v>1079</v>
      </c>
      <c r="AC214" s="714">
        <v>0</v>
      </c>
      <c r="AD214" s="714">
        <v>0</v>
      </c>
      <c r="AE214" s="714">
        <v>0</v>
      </c>
      <c r="AF214" s="714">
        <v>0</v>
      </c>
      <c r="AG214" s="714">
        <v>0</v>
      </c>
      <c r="AH214" s="714">
        <v>1</v>
      </c>
      <c r="AI214" s="714">
        <v>70095</v>
      </c>
      <c r="AJ214" s="714">
        <v>2183</v>
      </c>
      <c r="AK214" s="714">
        <v>0</v>
      </c>
      <c r="AL214" s="714">
        <v>0</v>
      </c>
      <c r="AO214" s="748"/>
      <c r="AP214" s="748"/>
      <c r="AQ214" s="714" t="str">
        <f t="shared" si="6"/>
        <v/>
      </c>
      <c r="AS214" s="714" t="str">
        <f t="shared" si="7"/>
        <v>wci_corp</v>
      </c>
    </row>
    <row r="215" spans="2:45">
      <c r="B215" s="714" t="s">
        <v>1228</v>
      </c>
      <c r="C215" s="745">
        <v>43434</v>
      </c>
      <c r="D215" s="746">
        <v>54.87</v>
      </c>
      <c r="E215" s="746">
        <v>0</v>
      </c>
      <c r="F215" s="747" t="s">
        <v>1074</v>
      </c>
      <c r="G215" s="714" t="s">
        <v>1417</v>
      </c>
      <c r="H215" s="748" t="s">
        <v>1075</v>
      </c>
      <c r="I215" s="714" t="s">
        <v>1131</v>
      </c>
      <c r="J215" s="714" t="s">
        <v>1082</v>
      </c>
      <c r="K215" s="714" t="s">
        <v>1078</v>
      </c>
      <c r="L215" s="718"/>
      <c r="M215" s="718"/>
      <c r="N215" s="718" t="s">
        <v>1431</v>
      </c>
      <c r="O215" s="739"/>
      <c r="P215" s="718"/>
      <c r="Q215" s="718"/>
      <c r="U215" s="714" t="s">
        <v>1419</v>
      </c>
      <c r="V215" s="714" t="s">
        <v>1419</v>
      </c>
      <c r="X215" s="745">
        <v>43440</v>
      </c>
      <c r="Y215" s="745">
        <v>43441</v>
      </c>
      <c r="AA215" s="745"/>
      <c r="AB215" s="714" t="s">
        <v>1079</v>
      </c>
      <c r="AC215" s="714">
        <v>0</v>
      </c>
      <c r="AD215" s="714">
        <v>0</v>
      </c>
      <c r="AE215" s="714">
        <v>0</v>
      </c>
      <c r="AF215" s="714">
        <v>0</v>
      </c>
      <c r="AG215" s="714">
        <v>0</v>
      </c>
      <c r="AH215" s="714">
        <v>1</v>
      </c>
      <c r="AI215" s="714">
        <v>70095</v>
      </c>
      <c r="AJ215" s="714">
        <v>2183</v>
      </c>
      <c r="AK215" s="714">
        <v>0</v>
      </c>
      <c r="AL215" s="714">
        <v>0</v>
      </c>
      <c r="AO215" s="748"/>
      <c r="AP215" s="748"/>
      <c r="AQ215" s="714" t="str">
        <f t="shared" si="6"/>
        <v/>
      </c>
      <c r="AS215" s="714" t="str">
        <f t="shared" si="7"/>
        <v>wci_corp</v>
      </c>
    </row>
    <row r="216" spans="2:45">
      <c r="B216" s="714" t="s">
        <v>1228</v>
      </c>
      <c r="C216" s="745">
        <v>43434</v>
      </c>
      <c r="D216" s="746">
        <v>43.52</v>
      </c>
      <c r="E216" s="746">
        <v>0</v>
      </c>
      <c r="F216" s="747" t="s">
        <v>1074</v>
      </c>
      <c r="G216" s="714" t="s">
        <v>1417</v>
      </c>
      <c r="H216" s="748" t="s">
        <v>1075</v>
      </c>
      <c r="I216" s="714" t="s">
        <v>1131</v>
      </c>
      <c r="J216" s="714" t="s">
        <v>1082</v>
      </c>
      <c r="K216" s="714" t="s">
        <v>1078</v>
      </c>
      <c r="L216" s="718"/>
      <c r="M216" s="718"/>
      <c r="N216" s="718" t="s">
        <v>1432</v>
      </c>
      <c r="O216" s="739"/>
      <c r="P216" s="718"/>
      <c r="Q216" s="718"/>
      <c r="U216" s="714" t="s">
        <v>1419</v>
      </c>
      <c r="V216" s="714" t="s">
        <v>1419</v>
      </c>
      <c r="X216" s="745">
        <v>43440</v>
      </c>
      <c r="Y216" s="745">
        <v>43441</v>
      </c>
      <c r="AA216" s="745"/>
      <c r="AB216" s="714" t="s">
        <v>1079</v>
      </c>
      <c r="AC216" s="714">
        <v>0</v>
      </c>
      <c r="AD216" s="714">
        <v>0</v>
      </c>
      <c r="AE216" s="714">
        <v>0</v>
      </c>
      <c r="AF216" s="714">
        <v>0</v>
      </c>
      <c r="AG216" s="714">
        <v>0</v>
      </c>
      <c r="AH216" s="714">
        <v>1</v>
      </c>
      <c r="AI216" s="714">
        <v>70095</v>
      </c>
      <c r="AJ216" s="714">
        <v>2183</v>
      </c>
      <c r="AK216" s="714">
        <v>0</v>
      </c>
      <c r="AL216" s="714">
        <v>0</v>
      </c>
      <c r="AO216" s="748"/>
      <c r="AP216" s="748"/>
      <c r="AQ216" s="714" t="str">
        <f t="shared" si="6"/>
        <v/>
      </c>
      <c r="AS216" s="714" t="str">
        <f t="shared" si="7"/>
        <v>wci_corp</v>
      </c>
    </row>
    <row r="217" spans="2:45">
      <c r="B217" s="714" t="s">
        <v>1228</v>
      </c>
      <c r="C217" s="745">
        <v>43434</v>
      </c>
      <c r="D217" s="746">
        <v>73.819999999999993</v>
      </c>
      <c r="E217" s="746">
        <v>0</v>
      </c>
      <c r="F217" s="747" t="s">
        <v>1074</v>
      </c>
      <c r="G217" s="714" t="s">
        <v>1417</v>
      </c>
      <c r="H217" s="748" t="s">
        <v>1075</v>
      </c>
      <c r="I217" s="714" t="s">
        <v>1131</v>
      </c>
      <c r="J217" s="714" t="s">
        <v>1082</v>
      </c>
      <c r="K217" s="714" t="s">
        <v>1078</v>
      </c>
      <c r="L217" s="718"/>
      <c r="M217" s="718"/>
      <c r="N217" s="718" t="s">
        <v>1433</v>
      </c>
      <c r="O217" s="739"/>
      <c r="P217" s="718"/>
      <c r="Q217" s="718"/>
      <c r="U217" s="714" t="s">
        <v>1419</v>
      </c>
      <c r="V217" s="714" t="s">
        <v>1419</v>
      </c>
      <c r="X217" s="745">
        <v>43440</v>
      </c>
      <c r="Y217" s="745">
        <v>43441</v>
      </c>
      <c r="AA217" s="745"/>
      <c r="AB217" s="714" t="s">
        <v>1079</v>
      </c>
      <c r="AC217" s="714">
        <v>0</v>
      </c>
      <c r="AD217" s="714">
        <v>0</v>
      </c>
      <c r="AE217" s="714">
        <v>0</v>
      </c>
      <c r="AF217" s="714">
        <v>0</v>
      </c>
      <c r="AG217" s="714">
        <v>0</v>
      </c>
      <c r="AH217" s="714">
        <v>1</v>
      </c>
      <c r="AI217" s="714">
        <v>70095</v>
      </c>
      <c r="AJ217" s="714">
        <v>2183</v>
      </c>
      <c r="AK217" s="714">
        <v>0</v>
      </c>
      <c r="AL217" s="714">
        <v>0</v>
      </c>
      <c r="AO217" s="748"/>
      <c r="AP217" s="748"/>
      <c r="AQ217" s="714" t="str">
        <f t="shared" si="6"/>
        <v/>
      </c>
      <c r="AS217" s="714" t="str">
        <f t="shared" si="7"/>
        <v>wci_corp</v>
      </c>
    </row>
    <row r="218" spans="2:45">
      <c r="B218" s="714" t="s">
        <v>1228</v>
      </c>
      <c r="C218" s="745">
        <v>43434</v>
      </c>
      <c r="D218" s="746">
        <v>39.11</v>
      </c>
      <c r="E218" s="746">
        <v>0</v>
      </c>
      <c r="F218" s="747" t="s">
        <v>1074</v>
      </c>
      <c r="G218" s="714" t="s">
        <v>1417</v>
      </c>
      <c r="H218" s="748" t="s">
        <v>1075</v>
      </c>
      <c r="I218" s="714" t="s">
        <v>1131</v>
      </c>
      <c r="J218" s="714" t="s">
        <v>1082</v>
      </c>
      <c r="K218" s="714" t="s">
        <v>1078</v>
      </c>
      <c r="L218" s="718"/>
      <c r="M218" s="718"/>
      <c r="N218" s="718" t="s">
        <v>1434</v>
      </c>
      <c r="O218" s="739"/>
      <c r="P218" s="718"/>
      <c r="Q218" s="718"/>
      <c r="U218" s="714" t="s">
        <v>1419</v>
      </c>
      <c r="V218" s="714" t="s">
        <v>1419</v>
      </c>
      <c r="X218" s="745">
        <v>43440</v>
      </c>
      <c r="Y218" s="745">
        <v>43441</v>
      </c>
      <c r="AA218" s="745"/>
      <c r="AB218" s="714" t="s">
        <v>1079</v>
      </c>
      <c r="AC218" s="714">
        <v>0</v>
      </c>
      <c r="AD218" s="714">
        <v>0</v>
      </c>
      <c r="AE218" s="714">
        <v>0</v>
      </c>
      <c r="AF218" s="714">
        <v>0</v>
      </c>
      <c r="AG218" s="714">
        <v>0</v>
      </c>
      <c r="AH218" s="714">
        <v>1</v>
      </c>
      <c r="AI218" s="714">
        <v>70095</v>
      </c>
      <c r="AJ218" s="714">
        <v>2183</v>
      </c>
      <c r="AK218" s="714">
        <v>0</v>
      </c>
      <c r="AL218" s="714">
        <v>0</v>
      </c>
      <c r="AO218" s="748"/>
      <c r="AP218" s="748"/>
      <c r="AQ218" s="714" t="str">
        <f t="shared" si="6"/>
        <v/>
      </c>
      <c r="AS218" s="714" t="str">
        <f t="shared" si="7"/>
        <v>wci_corp</v>
      </c>
    </row>
    <row r="219" spans="2:45">
      <c r="B219" s="714" t="s">
        <v>1228</v>
      </c>
      <c r="C219" s="745">
        <v>43434</v>
      </c>
      <c r="D219" s="746">
        <v>244.51</v>
      </c>
      <c r="E219" s="746">
        <v>0</v>
      </c>
      <c r="F219" s="747" t="s">
        <v>1074</v>
      </c>
      <c r="G219" s="714" t="s">
        <v>1417</v>
      </c>
      <c r="H219" s="748" t="s">
        <v>1075</v>
      </c>
      <c r="I219" s="714" t="s">
        <v>1131</v>
      </c>
      <c r="J219" s="714" t="s">
        <v>1082</v>
      </c>
      <c r="K219" s="714" t="s">
        <v>1078</v>
      </c>
      <c r="L219" s="718"/>
      <c r="M219" s="718"/>
      <c r="N219" s="718" t="s">
        <v>1421</v>
      </c>
      <c r="O219" s="739"/>
      <c r="P219" s="718"/>
      <c r="Q219" s="718"/>
      <c r="U219" s="714" t="s">
        <v>1419</v>
      </c>
      <c r="V219" s="714" t="s">
        <v>1419</v>
      </c>
      <c r="X219" s="745">
        <v>43440</v>
      </c>
      <c r="Y219" s="745">
        <v>43441</v>
      </c>
      <c r="AA219" s="745"/>
      <c r="AB219" s="714" t="s">
        <v>1079</v>
      </c>
      <c r="AC219" s="714">
        <v>0</v>
      </c>
      <c r="AD219" s="714">
        <v>0</v>
      </c>
      <c r="AE219" s="714">
        <v>0</v>
      </c>
      <c r="AF219" s="714">
        <v>0</v>
      </c>
      <c r="AG219" s="714">
        <v>0</v>
      </c>
      <c r="AH219" s="714">
        <v>1</v>
      </c>
      <c r="AI219" s="714">
        <v>70095</v>
      </c>
      <c r="AJ219" s="714">
        <v>2183</v>
      </c>
      <c r="AK219" s="714">
        <v>0</v>
      </c>
      <c r="AL219" s="714">
        <v>0</v>
      </c>
      <c r="AO219" s="748"/>
      <c r="AP219" s="748"/>
      <c r="AQ219" s="714" t="str">
        <f t="shared" si="6"/>
        <v/>
      </c>
      <c r="AS219" s="714" t="str">
        <f t="shared" si="7"/>
        <v>wci_corp</v>
      </c>
    </row>
    <row r="220" spans="2:45">
      <c r="B220" s="714" t="s">
        <v>1228</v>
      </c>
      <c r="C220" s="745">
        <v>43434</v>
      </c>
      <c r="D220" s="746">
        <v>85.2</v>
      </c>
      <c r="E220" s="746">
        <v>0</v>
      </c>
      <c r="F220" s="747" t="s">
        <v>1074</v>
      </c>
      <c r="G220" s="714" t="s">
        <v>1417</v>
      </c>
      <c r="H220" s="748" t="s">
        <v>1075</v>
      </c>
      <c r="I220" s="714" t="s">
        <v>1131</v>
      </c>
      <c r="J220" s="714" t="s">
        <v>1082</v>
      </c>
      <c r="K220" s="714" t="s">
        <v>1078</v>
      </c>
      <c r="L220" s="718"/>
      <c r="M220" s="718"/>
      <c r="N220" s="718" t="s">
        <v>1293</v>
      </c>
      <c r="O220" s="739"/>
      <c r="P220" s="718"/>
      <c r="Q220" s="718"/>
      <c r="U220" s="714" t="s">
        <v>1419</v>
      </c>
      <c r="V220" s="714" t="s">
        <v>1419</v>
      </c>
      <c r="X220" s="745">
        <v>43440</v>
      </c>
      <c r="Y220" s="745">
        <v>43441</v>
      </c>
      <c r="AA220" s="745"/>
      <c r="AB220" s="714" t="s">
        <v>1079</v>
      </c>
      <c r="AC220" s="714">
        <v>0</v>
      </c>
      <c r="AD220" s="714">
        <v>0</v>
      </c>
      <c r="AE220" s="714">
        <v>0</v>
      </c>
      <c r="AF220" s="714">
        <v>0</v>
      </c>
      <c r="AG220" s="714">
        <v>0</v>
      </c>
      <c r="AH220" s="714">
        <v>1</v>
      </c>
      <c r="AI220" s="714">
        <v>70095</v>
      </c>
      <c r="AJ220" s="714">
        <v>2183</v>
      </c>
      <c r="AK220" s="714">
        <v>0</v>
      </c>
      <c r="AL220" s="714">
        <v>0</v>
      </c>
      <c r="AO220" s="748"/>
      <c r="AP220" s="748"/>
      <c r="AQ220" s="714" t="str">
        <f t="shared" si="6"/>
        <v/>
      </c>
      <c r="AS220" s="714" t="str">
        <f t="shared" si="7"/>
        <v>wci_corp</v>
      </c>
    </row>
    <row r="221" spans="2:45">
      <c r="B221" s="714" t="s">
        <v>1228</v>
      </c>
      <c r="C221" s="745">
        <v>43434</v>
      </c>
      <c r="D221" s="746">
        <v>247.23</v>
      </c>
      <c r="E221" s="746">
        <v>0</v>
      </c>
      <c r="F221" s="747" t="s">
        <v>1074</v>
      </c>
      <c r="G221" s="714" t="s">
        <v>1435</v>
      </c>
      <c r="H221" s="748" t="s">
        <v>1075</v>
      </c>
      <c r="I221" s="714" t="s">
        <v>1436</v>
      </c>
      <c r="J221" s="714" t="s">
        <v>1082</v>
      </c>
      <c r="K221" s="714" t="s">
        <v>1078</v>
      </c>
      <c r="L221" s="718"/>
      <c r="M221" s="718"/>
      <c r="N221" s="718" t="s">
        <v>1437</v>
      </c>
      <c r="O221" s="739"/>
      <c r="P221" s="718"/>
      <c r="Q221" s="718"/>
      <c r="U221" s="714" t="s">
        <v>1438</v>
      </c>
      <c r="V221" s="714" t="s">
        <v>1438</v>
      </c>
      <c r="X221" s="745">
        <v>43440</v>
      </c>
      <c r="Y221" s="745">
        <v>43441</v>
      </c>
      <c r="AA221" s="745"/>
      <c r="AB221" s="714" t="s">
        <v>1079</v>
      </c>
      <c r="AC221" s="714">
        <v>0</v>
      </c>
      <c r="AD221" s="714">
        <v>0</v>
      </c>
      <c r="AE221" s="714">
        <v>0</v>
      </c>
      <c r="AF221" s="714">
        <v>0</v>
      </c>
      <c r="AG221" s="714">
        <v>0</v>
      </c>
      <c r="AH221" s="714">
        <v>1</v>
      </c>
      <c r="AI221" s="714">
        <v>70095</v>
      </c>
      <c r="AJ221" s="714">
        <v>2183</v>
      </c>
      <c r="AK221" s="714">
        <v>0</v>
      </c>
      <c r="AL221" s="714">
        <v>0</v>
      </c>
      <c r="AO221" s="748"/>
      <c r="AP221" s="748"/>
      <c r="AQ221" s="714" t="str">
        <f t="shared" si="6"/>
        <v/>
      </c>
      <c r="AS221" s="714" t="str">
        <f t="shared" si="7"/>
        <v>wci_corp</v>
      </c>
    </row>
    <row r="222" spans="2:45">
      <c r="B222" s="714" t="s">
        <v>1228</v>
      </c>
      <c r="C222" s="745">
        <v>43434</v>
      </c>
      <c r="D222" s="746">
        <v>25.04</v>
      </c>
      <c r="E222" s="746">
        <v>0</v>
      </c>
      <c r="F222" s="747" t="s">
        <v>1074</v>
      </c>
      <c r="G222" s="714" t="s">
        <v>1435</v>
      </c>
      <c r="H222" s="748" t="s">
        <v>1075</v>
      </c>
      <c r="I222" s="714" t="s">
        <v>1436</v>
      </c>
      <c r="J222" s="714" t="s">
        <v>1082</v>
      </c>
      <c r="K222" s="714" t="s">
        <v>1078</v>
      </c>
      <c r="L222" s="718"/>
      <c r="M222" s="718"/>
      <c r="N222" s="718" t="s">
        <v>1439</v>
      </c>
      <c r="O222" s="739"/>
      <c r="P222" s="718"/>
      <c r="Q222" s="718"/>
      <c r="U222" s="714" t="s">
        <v>1438</v>
      </c>
      <c r="V222" s="714" t="s">
        <v>1438</v>
      </c>
      <c r="X222" s="745">
        <v>43440</v>
      </c>
      <c r="Y222" s="745">
        <v>43441</v>
      </c>
      <c r="AA222" s="745"/>
      <c r="AB222" s="714" t="s">
        <v>1079</v>
      </c>
      <c r="AC222" s="714">
        <v>0</v>
      </c>
      <c r="AD222" s="714">
        <v>0</v>
      </c>
      <c r="AE222" s="714">
        <v>0</v>
      </c>
      <c r="AF222" s="714">
        <v>0</v>
      </c>
      <c r="AG222" s="714">
        <v>0</v>
      </c>
      <c r="AH222" s="714">
        <v>1</v>
      </c>
      <c r="AI222" s="714">
        <v>70095</v>
      </c>
      <c r="AJ222" s="714">
        <v>2183</v>
      </c>
      <c r="AK222" s="714">
        <v>0</v>
      </c>
      <c r="AL222" s="714">
        <v>0</v>
      </c>
      <c r="AO222" s="748"/>
      <c r="AP222" s="748"/>
      <c r="AQ222" s="714" t="str">
        <f t="shared" si="6"/>
        <v/>
      </c>
      <c r="AS222" s="714" t="str">
        <f t="shared" si="7"/>
        <v>wci_corp</v>
      </c>
    </row>
    <row r="223" spans="2:45">
      <c r="B223" s="714" t="s">
        <v>1228</v>
      </c>
      <c r="C223" s="745">
        <v>43434</v>
      </c>
      <c r="D223" s="746">
        <v>219.78</v>
      </c>
      <c r="E223" s="746">
        <v>0</v>
      </c>
      <c r="F223" s="747" t="s">
        <v>1074</v>
      </c>
      <c r="G223" s="714" t="s">
        <v>1435</v>
      </c>
      <c r="H223" s="748" t="s">
        <v>1075</v>
      </c>
      <c r="I223" s="714" t="s">
        <v>1436</v>
      </c>
      <c r="J223" s="714" t="s">
        <v>1082</v>
      </c>
      <c r="K223" s="714" t="s">
        <v>1078</v>
      </c>
      <c r="L223" s="718"/>
      <c r="M223" s="718"/>
      <c r="N223" s="718" t="s">
        <v>1440</v>
      </c>
      <c r="O223" s="739"/>
      <c r="P223" s="718"/>
      <c r="Q223" s="718"/>
      <c r="U223" s="714" t="s">
        <v>1438</v>
      </c>
      <c r="V223" s="714" t="s">
        <v>1438</v>
      </c>
      <c r="X223" s="745">
        <v>43440</v>
      </c>
      <c r="Y223" s="745">
        <v>43441</v>
      </c>
      <c r="AA223" s="745"/>
      <c r="AB223" s="714" t="s">
        <v>1079</v>
      </c>
      <c r="AC223" s="714">
        <v>0</v>
      </c>
      <c r="AD223" s="714">
        <v>0</v>
      </c>
      <c r="AE223" s="714">
        <v>0</v>
      </c>
      <c r="AF223" s="714">
        <v>0</v>
      </c>
      <c r="AG223" s="714">
        <v>0</v>
      </c>
      <c r="AH223" s="714">
        <v>1</v>
      </c>
      <c r="AI223" s="714">
        <v>70095</v>
      </c>
      <c r="AJ223" s="714">
        <v>2183</v>
      </c>
      <c r="AK223" s="714">
        <v>0</v>
      </c>
      <c r="AL223" s="714">
        <v>0</v>
      </c>
      <c r="AO223" s="748"/>
      <c r="AP223" s="748"/>
      <c r="AQ223" s="714" t="str">
        <f t="shared" si="6"/>
        <v/>
      </c>
      <c r="AS223" s="714" t="str">
        <f t="shared" si="7"/>
        <v>wci_corp</v>
      </c>
    </row>
    <row r="224" spans="2:45">
      <c r="B224" s="714" t="s">
        <v>1228</v>
      </c>
      <c r="C224" s="745">
        <v>43434</v>
      </c>
      <c r="D224" s="746">
        <v>109.89</v>
      </c>
      <c r="E224" s="746">
        <v>0</v>
      </c>
      <c r="F224" s="747" t="s">
        <v>1074</v>
      </c>
      <c r="G224" s="714" t="s">
        <v>1435</v>
      </c>
      <c r="H224" s="748" t="s">
        <v>1075</v>
      </c>
      <c r="I224" s="714" t="s">
        <v>1436</v>
      </c>
      <c r="J224" s="714" t="s">
        <v>1082</v>
      </c>
      <c r="K224" s="714" t="s">
        <v>1078</v>
      </c>
      <c r="L224" s="718"/>
      <c r="M224" s="718"/>
      <c r="N224" s="718" t="s">
        <v>1441</v>
      </c>
      <c r="O224" s="739"/>
      <c r="P224" s="718"/>
      <c r="Q224" s="718"/>
      <c r="U224" s="714" t="s">
        <v>1438</v>
      </c>
      <c r="V224" s="714" t="s">
        <v>1438</v>
      </c>
      <c r="X224" s="745">
        <v>43440</v>
      </c>
      <c r="Y224" s="745">
        <v>43441</v>
      </c>
      <c r="AA224" s="745"/>
      <c r="AB224" s="714" t="s">
        <v>1079</v>
      </c>
      <c r="AC224" s="714">
        <v>0</v>
      </c>
      <c r="AD224" s="714">
        <v>0</v>
      </c>
      <c r="AE224" s="714">
        <v>0</v>
      </c>
      <c r="AF224" s="714">
        <v>0</v>
      </c>
      <c r="AG224" s="714">
        <v>0</v>
      </c>
      <c r="AH224" s="714">
        <v>1</v>
      </c>
      <c r="AI224" s="714">
        <v>70095</v>
      </c>
      <c r="AJ224" s="714">
        <v>2183</v>
      </c>
      <c r="AK224" s="714">
        <v>0</v>
      </c>
      <c r="AL224" s="714">
        <v>0</v>
      </c>
      <c r="AO224" s="748"/>
      <c r="AP224" s="748"/>
      <c r="AQ224" s="714" t="str">
        <f t="shared" si="6"/>
        <v/>
      </c>
      <c r="AS224" s="714" t="str">
        <f t="shared" si="7"/>
        <v>wci_corp</v>
      </c>
    </row>
    <row r="225" spans="2:45">
      <c r="B225" s="714" t="s">
        <v>1228</v>
      </c>
      <c r="C225" s="745">
        <v>43465</v>
      </c>
      <c r="D225" s="746">
        <v>-49.09</v>
      </c>
      <c r="E225" s="746">
        <v>0</v>
      </c>
      <c r="F225" s="747" t="s">
        <v>1074</v>
      </c>
      <c r="G225" s="714" t="s">
        <v>1088</v>
      </c>
      <c r="H225" s="748" t="s">
        <v>1075</v>
      </c>
      <c r="I225" s="714" t="s">
        <v>1081</v>
      </c>
      <c r="J225" s="714" t="s">
        <v>1082</v>
      </c>
      <c r="K225" s="714" t="s">
        <v>1078</v>
      </c>
      <c r="L225" s="718"/>
      <c r="M225" s="718"/>
      <c r="N225" s="718" t="s">
        <v>1415</v>
      </c>
      <c r="O225" s="739"/>
      <c r="P225" s="718"/>
      <c r="Q225" s="718"/>
      <c r="U225" s="714" t="s">
        <v>1087</v>
      </c>
      <c r="V225" s="714" t="s">
        <v>1089</v>
      </c>
      <c r="X225" s="745">
        <v>43441</v>
      </c>
      <c r="Y225" s="745">
        <v>43441</v>
      </c>
      <c r="AA225" s="745"/>
      <c r="AB225" s="714" t="s">
        <v>1079</v>
      </c>
      <c r="AC225" s="714">
        <v>0</v>
      </c>
      <c r="AD225" s="714">
        <v>0</v>
      </c>
      <c r="AE225" s="714">
        <v>0</v>
      </c>
      <c r="AF225" s="714">
        <v>0</v>
      </c>
      <c r="AG225" s="714">
        <v>5</v>
      </c>
      <c r="AH225" s="714">
        <v>1</v>
      </c>
      <c r="AI225" s="714">
        <v>70095</v>
      </c>
      <c r="AJ225" s="714">
        <v>2183</v>
      </c>
      <c r="AK225" s="714">
        <v>0</v>
      </c>
      <c r="AL225" s="714">
        <v>0</v>
      </c>
      <c r="AO225" s="748"/>
      <c r="AP225" s="748"/>
      <c r="AQ225" s="714" t="str">
        <f t="shared" si="6"/>
        <v/>
      </c>
      <c r="AS225" s="714" t="str">
        <f t="shared" si="7"/>
        <v>wci_corp</v>
      </c>
    </row>
    <row r="226" spans="2:45">
      <c r="B226" s="714" t="s">
        <v>1228</v>
      </c>
      <c r="C226" s="745">
        <v>43465</v>
      </c>
      <c r="D226" s="746">
        <v>-190.87</v>
      </c>
      <c r="E226" s="746">
        <v>0</v>
      </c>
      <c r="F226" s="747" t="s">
        <v>1074</v>
      </c>
      <c r="G226" s="714" t="s">
        <v>1088</v>
      </c>
      <c r="H226" s="748" t="s">
        <v>1075</v>
      </c>
      <c r="I226" s="714" t="s">
        <v>1081</v>
      </c>
      <c r="J226" s="714" t="s">
        <v>1082</v>
      </c>
      <c r="K226" s="714" t="s">
        <v>1078</v>
      </c>
      <c r="L226" s="718"/>
      <c r="M226" s="718"/>
      <c r="N226" s="718" t="s">
        <v>1416</v>
      </c>
      <c r="O226" s="739"/>
      <c r="P226" s="718"/>
      <c r="Q226" s="718"/>
      <c r="U226" s="714" t="s">
        <v>1087</v>
      </c>
      <c r="V226" s="714" t="s">
        <v>1089</v>
      </c>
      <c r="X226" s="745">
        <v>43441</v>
      </c>
      <c r="Y226" s="745">
        <v>43441</v>
      </c>
      <c r="AA226" s="745"/>
      <c r="AB226" s="714" t="s">
        <v>1079</v>
      </c>
      <c r="AC226" s="714">
        <v>0</v>
      </c>
      <c r="AD226" s="714">
        <v>0</v>
      </c>
      <c r="AE226" s="714">
        <v>0</v>
      </c>
      <c r="AF226" s="714">
        <v>0</v>
      </c>
      <c r="AG226" s="714">
        <v>5</v>
      </c>
      <c r="AH226" s="714">
        <v>1</v>
      </c>
      <c r="AI226" s="714">
        <v>70095</v>
      </c>
      <c r="AJ226" s="714">
        <v>2183</v>
      </c>
      <c r="AK226" s="714">
        <v>0</v>
      </c>
      <c r="AL226" s="714">
        <v>0</v>
      </c>
      <c r="AO226" s="748"/>
      <c r="AP226" s="748"/>
      <c r="AQ226" s="714" t="str">
        <f t="shared" si="6"/>
        <v/>
      </c>
      <c r="AS226" s="714" t="str">
        <f t="shared" si="7"/>
        <v>wci_corp</v>
      </c>
    </row>
    <row r="227" spans="2:45">
      <c r="B227" s="714" t="s">
        <v>1228</v>
      </c>
      <c r="C227" s="745">
        <v>43465</v>
      </c>
      <c r="D227" s="746">
        <v>-221.43</v>
      </c>
      <c r="E227" s="746">
        <v>0</v>
      </c>
      <c r="F227" s="747" t="s">
        <v>1074</v>
      </c>
      <c r="G227" s="714" t="s">
        <v>1442</v>
      </c>
      <c r="H227" s="748" t="s">
        <v>1075</v>
      </c>
      <c r="I227" s="714" t="s">
        <v>1131</v>
      </c>
      <c r="J227" s="714" t="s">
        <v>1082</v>
      </c>
      <c r="K227" s="714" t="s">
        <v>1078</v>
      </c>
      <c r="L227" s="718"/>
      <c r="M227" s="718"/>
      <c r="N227" s="718" t="s">
        <v>1418</v>
      </c>
      <c r="O227" s="739"/>
      <c r="P227" s="718"/>
      <c r="Q227" s="718"/>
      <c r="U227" s="714" t="s">
        <v>1419</v>
      </c>
      <c r="V227" s="714" t="s">
        <v>1443</v>
      </c>
      <c r="X227" s="745">
        <v>43441</v>
      </c>
      <c r="Y227" s="745">
        <v>43441</v>
      </c>
      <c r="AA227" s="745"/>
      <c r="AB227" s="714" t="s">
        <v>1079</v>
      </c>
      <c r="AC227" s="714">
        <v>0</v>
      </c>
      <c r="AD227" s="714">
        <v>0</v>
      </c>
      <c r="AE227" s="714">
        <v>0</v>
      </c>
      <c r="AF227" s="714">
        <v>0</v>
      </c>
      <c r="AG227" s="714">
        <v>5</v>
      </c>
      <c r="AH227" s="714">
        <v>1</v>
      </c>
      <c r="AI227" s="714">
        <v>70095</v>
      </c>
      <c r="AJ227" s="714">
        <v>2183</v>
      </c>
      <c r="AK227" s="714">
        <v>0</v>
      </c>
      <c r="AL227" s="714">
        <v>0</v>
      </c>
      <c r="AO227" s="748"/>
      <c r="AP227" s="748"/>
      <c r="AQ227" s="714" t="str">
        <f t="shared" si="6"/>
        <v/>
      </c>
      <c r="AS227" s="714" t="str">
        <f t="shared" si="7"/>
        <v>wci_corp</v>
      </c>
    </row>
    <row r="228" spans="2:45">
      <c r="B228" s="714" t="s">
        <v>1228</v>
      </c>
      <c r="C228" s="745">
        <v>43465</v>
      </c>
      <c r="D228" s="746">
        <v>-80.31</v>
      </c>
      <c r="E228" s="746">
        <v>0</v>
      </c>
      <c r="F228" s="747" t="s">
        <v>1074</v>
      </c>
      <c r="G228" s="714" t="s">
        <v>1442</v>
      </c>
      <c r="H228" s="748" t="s">
        <v>1075</v>
      </c>
      <c r="I228" s="714" t="s">
        <v>1131</v>
      </c>
      <c r="J228" s="714" t="s">
        <v>1082</v>
      </c>
      <c r="K228" s="714" t="s">
        <v>1078</v>
      </c>
      <c r="L228" s="718"/>
      <c r="M228" s="718"/>
      <c r="N228" s="718" t="s">
        <v>1418</v>
      </c>
      <c r="O228" s="739"/>
      <c r="P228" s="718"/>
      <c r="Q228" s="718"/>
      <c r="U228" s="714" t="s">
        <v>1419</v>
      </c>
      <c r="V228" s="714" t="s">
        <v>1443</v>
      </c>
      <c r="X228" s="745">
        <v>43441</v>
      </c>
      <c r="Y228" s="745">
        <v>43441</v>
      </c>
      <c r="AA228" s="745"/>
      <c r="AB228" s="714" t="s">
        <v>1079</v>
      </c>
      <c r="AC228" s="714">
        <v>0</v>
      </c>
      <c r="AD228" s="714">
        <v>0</v>
      </c>
      <c r="AE228" s="714">
        <v>0</v>
      </c>
      <c r="AF228" s="714">
        <v>0</v>
      </c>
      <c r="AG228" s="714">
        <v>5</v>
      </c>
      <c r="AH228" s="714">
        <v>1</v>
      </c>
      <c r="AI228" s="714">
        <v>70095</v>
      </c>
      <c r="AJ228" s="714">
        <v>2183</v>
      </c>
      <c r="AK228" s="714">
        <v>0</v>
      </c>
      <c r="AL228" s="714">
        <v>0</v>
      </c>
      <c r="AO228" s="748"/>
      <c r="AP228" s="748"/>
      <c r="AQ228" s="714" t="str">
        <f t="shared" si="6"/>
        <v/>
      </c>
      <c r="AS228" s="714" t="str">
        <f t="shared" si="7"/>
        <v>wci_corp</v>
      </c>
    </row>
    <row r="229" spans="2:45">
      <c r="B229" s="714" t="s">
        <v>1228</v>
      </c>
      <c r="C229" s="745">
        <v>43465</v>
      </c>
      <c r="D229" s="746">
        <v>-44.25</v>
      </c>
      <c r="E229" s="746">
        <v>0</v>
      </c>
      <c r="F229" s="747" t="s">
        <v>1074</v>
      </c>
      <c r="G229" s="714" t="s">
        <v>1442</v>
      </c>
      <c r="H229" s="748" t="s">
        <v>1075</v>
      </c>
      <c r="I229" s="714" t="s">
        <v>1131</v>
      </c>
      <c r="J229" s="714" t="s">
        <v>1082</v>
      </c>
      <c r="K229" s="714" t="s">
        <v>1078</v>
      </c>
      <c r="L229" s="718"/>
      <c r="M229" s="718"/>
      <c r="N229" s="718" t="s">
        <v>1418</v>
      </c>
      <c r="O229" s="739"/>
      <c r="P229" s="718"/>
      <c r="Q229" s="718"/>
      <c r="U229" s="714" t="s">
        <v>1419</v>
      </c>
      <c r="V229" s="714" t="s">
        <v>1443</v>
      </c>
      <c r="X229" s="745">
        <v>43441</v>
      </c>
      <c r="Y229" s="745">
        <v>43441</v>
      </c>
      <c r="AA229" s="745"/>
      <c r="AB229" s="714" t="s">
        <v>1079</v>
      </c>
      <c r="AC229" s="714">
        <v>0</v>
      </c>
      <c r="AD229" s="714">
        <v>0</v>
      </c>
      <c r="AE229" s="714">
        <v>0</v>
      </c>
      <c r="AF229" s="714">
        <v>0</v>
      </c>
      <c r="AG229" s="714">
        <v>5</v>
      </c>
      <c r="AH229" s="714">
        <v>1</v>
      </c>
      <c r="AI229" s="714">
        <v>70095</v>
      </c>
      <c r="AJ229" s="714">
        <v>2183</v>
      </c>
      <c r="AK229" s="714">
        <v>0</v>
      </c>
      <c r="AL229" s="714">
        <v>0</v>
      </c>
      <c r="AO229" s="748"/>
      <c r="AP229" s="748"/>
      <c r="AQ229" s="714" t="str">
        <f t="shared" si="6"/>
        <v/>
      </c>
      <c r="AS229" s="714" t="str">
        <f t="shared" si="7"/>
        <v>wci_corp</v>
      </c>
    </row>
    <row r="230" spans="2:45">
      <c r="B230" s="714" t="s">
        <v>1228</v>
      </c>
      <c r="C230" s="745">
        <v>43465</v>
      </c>
      <c r="D230" s="746">
        <v>-29.5</v>
      </c>
      <c r="E230" s="746">
        <v>0</v>
      </c>
      <c r="F230" s="747" t="s">
        <v>1074</v>
      </c>
      <c r="G230" s="714" t="s">
        <v>1442</v>
      </c>
      <c r="H230" s="748" t="s">
        <v>1075</v>
      </c>
      <c r="I230" s="714" t="s">
        <v>1131</v>
      </c>
      <c r="J230" s="714" t="s">
        <v>1082</v>
      </c>
      <c r="K230" s="714" t="s">
        <v>1078</v>
      </c>
      <c r="L230" s="718"/>
      <c r="M230" s="718"/>
      <c r="N230" s="718" t="s">
        <v>1418</v>
      </c>
      <c r="O230" s="739"/>
      <c r="P230" s="718"/>
      <c r="Q230" s="718"/>
      <c r="U230" s="714" t="s">
        <v>1419</v>
      </c>
      <c r="V230" s="714" t="s">
        <v>1443</v>
      </c>
      <c r="X230" s="745">
        <v>43441</v>
      </c>
      <c r="Y230" s="745">
        <v>43441</v>
      </c>
      <c r="AA230" s="745"/>
      <c r="AB230" s="714" t="s">
        <v>1079</v>
      </c>
      <c r="AC230" s="714">
        <v>0</v>
      </c>
      <c r="AD230" s="714">
        <v>0</v>
      </c>
      <c r="AE230" s="714">
        <v>0</v>
      </c>
      <c r="AF230" s="714">
        <v>0</v>
      </c>
      <c r="AG230" s="714">
        <v>5</v>
      </c>
      <c r="AH230" s="714">
        <v>1</v>
      </c>
      <c r="AI230" s="714">
        <v>70095</v>
      </c>
      <c r="AJ230" s="714">
        <v>2183</v>
      </c>
      <c r="AK230" s="714">
        <v>0</v>
      </c>
      <c r="AL230" s="714">
        <v>0</v>
      </c>
      <c r="AO230" s="748"/>
      <c r="AP230" s="748"/>
      <c r="AQ230" s="714" t="str">
        <f t="shared" si="6"/>
        <v/>
      </c>
      <c r="AS230" s="714" t="str">
        <f t="shared" si="7"/>
        <v>wci_corp</v>
      </c>
    </row>
    <row r="231" spans="2:45">
      <c r="B231" s="714" t="s">
        <v>1228</v>
      </c>
      <c r="C231" s="745">
        <v>43465</v>
      </c>
      <c r="D231" s="746">
        <v>-17.39</v>
      </c>
      <c r="E231" s="746">
        <v>0</v>
      </c>
      <c r="F231" s="747" t="s">
        <v>1074</v>
      </c>
      <c r="G231" s="714" t="s">
        <v>1442</v>
      </c>
      <c r="H231" s="748" t="s">
        <v>1075</v>
      </c>
      <c r="I231" s="714" t="s">
        <v>1131</v>
      </c>
      <c r="J231" s="714" t="s">
        <v>1082</v>
      </c>
      <c r="K231" s="714" t="s">
        <v>1078</v>
      </c>
      <c r="L231" s="718"/>
      <c r="M231" s="718"/>
      <c r="N231" s="718" t="s">
        <v>1420</v>
      </c>
      <c r="O231" s="739"/>
      <c r="P231" s="718"/>
      <c r="Q231" s="718"/>
      <c r="U231" s="714" t="s">
        <v>1419</v>
      </c>
      <c r="V231" s="714" t="s">
        <v>1443</v>
      </c>
      <c r="X231" s="745">
        <v>43441</v>
      </c>
      <c r="Y231" s="745">
        <v>43441</v>
      </c>
      <c r="AA231" s="745"/>
      <c r="AB231" s="714" t="s">
        <v>1079</v>
      </c>
      <c r="AC231" s="714">
        <v>0</v>
      </c>
      <c r="AD231" s="714">
        <v>0</v>
      </c>
      <c r="AE231" s="714">
        <v>0</v>
      </c>
      <c r="AF231" s="714">
        <v>0</v>
      </c>
      <c r="AG231" s="714">
        <v>5</v>
      </c>
      <c r="AH231" s="714">
        <v>1</v>
      </c>
      <c r="AI231" s="714">
        <v>70095</v>
      </c>
      <c r="AJ231" s="714">
        <v>2183</v>
      </c>
      <c r="AK231" s="714">
        <v>0</v>
      </c>
      <c r="AL231" s="714">
        <v>0</v>
      </c>
      <c r="AO231" s="748"/>
      <c r="AP231" s="748"/>
      <c r="AQ231" s="714" t="str">
        <f t="shared" si="6"/>
        <v/>
      </c>
      <c r="AS231" s="714" t="str">
        <f t="shared" si="7"/>
        <v>wci_corp</v>
      </c>
    </row>
    <row r="232" spans="2:45">
      <c r="B232" s="714" t="s">
        <v>1228</v>
      </c>
      <c r="C232" s="745">
        <v>43465</v>
      </c>
      <c r="D232" s="746">
        <v>-199.96</v>
      </c>
      <c r="E232" s="746">
        <v>0</v>
      </c>
      <c r="F232" s="747" t="s">
        <v>1074</v>
      </c>
      <c r="G232" s="714" t="s">
        <v>1442</v>
      </c>
      <c r="H232" s="748" t="s">
        <v>1075</v>
      </c>
      <c r="I232" s="714" t="s">
        <v>1131</v>
      </c>
      <c r="J232" s="714" t="s">
        <v>1082</v>
      </c>
      <c r="K232" s="714" t="s">
        <v>1078</v>
      </c>
      <c r="L232" s="718"/>
      <c r="M232" s="718"/>
      <c r="N232" s="718" t="s">
        <v>1421</v>
      </c>
      <c r="O232" s="739"/>
      <c r="P232" s="718"/>
      <c r="Q232" s="718"/>
      <c r="U232" s="714" t="s">
        <v>1419</v>
      </c>
      <c r="V232" s="714" t="s">
        <v>1443</v>
      </c>
      <c r="X232" s="745">
        <v>43441</v>
      </c>
      <c r="Y232" s="745">
        <v>43441</v>
      </c>
      <c r="AA232" s="745"/>
      <c r="AB232" s="714" t="s">
        <v>1079</v>
      </c>
      <c r="AC232" s="714">
        <v>0</v>
      </c>
      <c r="AD232" s="714">
        <v>0</v>
      </c>
      <c r="AE232" s="714">
        <v>0</v>
      </c>
      <c r="AF232" s="714">
        <v>0</v>
      </c>
      <c r="AG232" s="714">
        <v>5</v>
      </c>
      <c r="AH232" s="714">
        <v>1</v>
      </c>
      <c r="AI232" s="714">
        <v>70095</v>
      </c>
      <c r="AJ232" s="714">
        <v>2183</v>
      </c>
      <c r="AK232" s="714">
        <v>0</v>
      </c>
      <c r="AL232" s="714">
        <v>0</v>
      </c>
      <c r="AO232" s="748"/>
      <c r="AP232" s="748"/>
      <c r="AQ232" s="714" t="str">
        <f t="shared" si="6"/>
        <v/>
      </c>
      <c r="AS232" s="714" t="str">
        <f t="shared" si="7"/>
        <v>wci_corp</v>
      </c>
    </row>
    <row r="233" spans="2:45">
      <c r="B233" s="714" t="s">
        <v>1228</v>
      </c>
      <c r="C233" s="745">
        <v>43465</v>
      </c>
      <c r="D233" s="746">
        <v>-892.53</v>
      </c>
      <c r="E233" s="746">
        <v>0</v>
      </c>
      <c r="F233" s="747" t="s">
        <v>1074</v>
      </c>
      <c r="G233" s="714" t="s">
        <v>1442</v>
      </c>
      <c r="H233" s="748" t="s">
        <v>1075</v>
      </c>
      <c r="I233" s="714" t="s">
        <v>1131</v>
      </c>
      <c r="J233" s="714" t="s">
        <v>1082</v>
      </c>
      <c r="K233" s="714" t="s">
        <v>1078</v>
      </c>
      <c r="L233" s="718"/>
      <c r="M233" s="718"/>
      <c r="N233" s="718" t="s">
        <v>1422</v>
      </c>
      <c r="O233" s="739"/>
      <c r="P233" s="718"/>
      <c r="Q233" s="718"/>
      <c r="U233" s="714" t="s">
        <v>1419</v>
      </c>
      <c r="V233" s="714" t="s">
        <v>1443</v>
      </c>
      <c r="X233" s="745">
        <v>43441</v>
      </c>
      <c r="Y233" s="745">
        <v>43441</v>
      </c>
      <c r="AA233" s="745"/>
      <c r="AB233" s="714" t="s">
        <v>1079</v>
      </c>
      <c r="AC233" s="714">
        <v>0</v>
      </c>
      <c r="AD233" s="714">
        <v>0</v>
      </c>
      <c r="AE233" s="714">
        <v>0</v>
      </c>
      <c r="AF233" s="714">
        <v>0</v>
      </c>
      <c r="AG233" s="714">
        <v>5</v>
      </c>
      <c r="AH233" s="714">
        <v>1</v>
      </c>
      <c r="AI233" s="714">
        <v>70095</v>
      </c>
      <c r="AJ233" s="714">
        <v>2183</v>
      </c>
      <c r="AK233" s="714">
        <v>0</v>
      </c>
      <c r="AL233" s="714">
        <v>0</v>
      </c>
      <c r="AO233" s="748"/>
      <c r="AP233" s="748"/>
      <c r="AQ233" s="714" t="str">
        <f t="shared" si="6"/>
        <v/>
      </c>
      <c r="AS233" s="714" t="str">
        <f t="shared" si="7"/>
        <v>wci_corp</v>
      </c>
    </row>
    <row r="234" spans="2:45">
      <c r="B234" s="714" t="s">
        <v>1228</v>
      </c>
      <c r="C234" s="745">
        <v>43465</v>
      </c>
      <c r="D234" s="746">
        <v>-250</v>
      </c>
      <c r="E234" s="746">
        <v>0</v>
      </c>
      <c r="F234" s="747" t="s">
        <v>1074</v>
      </c>
      <c r="G234" s="714" t="s">
        <v>1442</v>
      </c>
      <c r="H234" s="748" t="s">
        <v>1075</v>
      </c>
      <c r="I234" s="714" t="s">
        <v>1131</v>
      </c>
      <c r="J234" s="714" t="s">
        <v>1082</v>
      </c>
      <c r="K234" s="714" t="s">
        <v>1078</v>
      </c>
      <c r="L234" s="718"/>
      <c r="M234" s="718"/>
      <c r="N234" s="718" t="s">
        <v>1423</v>
      </c>
      <c r="O234" s="739"/>
      <c r="P234" s="718"/>
      <c r="Q234" s="718"/>
      <c r="U234" s="714" t="s">
        <v>1419</v>
      </c>
      <c r="V234" s="714" t="s">
        <v>1443</v>
      </c>
      <c r="X234" s="745">
        <v>43441</v>
      </c>
      <c r="Y234" s="745">
        <v>43441</v>
      </c>
      <c r="AA234" s="745"/>
      <c r="AB234" s="714" t="s">
        <v>1079</v>
      </c>
      <c r="AC234" s="714">
        <v>0</v>
      </c>
      <c r="AD234" s="714">
        <v>0</v>
      </c>
      <c r="AE234" s="714">
        <v>0</v>
      </c>
      <c r="AF234" s="714">
        <v>0</v>
      </c>
      <c r="AG234" s="714">
        <v>5</v>
      </c>
      <c r="AH234" s="714">
        <v>1</v>
      </c>
      <c r="AI234" s="714">
        <v>70095</v>
      </c>
      <c r="AJ234" s="714">
        <v>2183</v>
      </c>
      <c r="AK234" s="714">
        <v>0</v>
      </c>
      <c r="AL234" s="714">
        <v>0</v>
      </c>
      <c r="AO234" s="748"/>
      <c r="AP234" s="748"/>
      <c r="AQ234" s="714" t="str">
        <f t="shared" si="6"/>
        <v/>
      </c>
      <c r="AS234" s="714" t="str">
        <f t="shared" si="7"/>
        <v>wci_corp</v>
      </c>
    </row>
    <row r="235" spans="2:45">
      <c r="B235" s="714" t="s">
        <v>1228</v>
      </c>
      <c r="C235" s="745">
        <v>43465</v>
      </c>
      <c r="D235" s="746">
        <v>-229.77</v>
      </c>
      <c r="E235" s="746">
        <v>0</v>
      </c>
      <c r="F235" s="747" t="s">
        <v>1074</v>
      </c>
      <c r="G235" s="714" t="s">
        <v>1442</v>
      </c>
      <c r="H235" s="748" t="s">
        <v>1075</v>
      </c>
      <c r="I235" s="714" t="s">
        <v>1131</v>
      </c>
      <c r="J235" s="714" t="s">
        <v>1082</v>
      </c>
      <c r="K235" s="714" t="s">
        <v>1078</v>
      </c>
      <c r="L235" s="718"/>
      <c r="M235" s="718"/>
      <c r="N235" s="718" t="s">
        <v>1424</v>
      </c>
      <c r="O235" s="739"/>
      <c r="P235" s="718"/>
      <c r="Q235" s="718"/>
      <c r="U235" s="714" t="s">
        <v>1419</v>
      </c>
      <c r="V235" s="714" t="s">
        <v>1443</v>
      </c>
      <c r="X235" s="745">
        <v>43441</v>
      </c>
      <c r="Y235" s="745">
        <v>43441</v>
      </c>
      <c r="AA235" s="745"/>
      <c r="AB235" s="714" t="s">
        <v>1079</v>
      </c>
      <c r="AC235" s="714">
        <v>0</v>
      </c>
      <c r="AD235" s="714">
        <v>0</v>
      </c>
      <c r="AE235" s="714">
        <v>0</v>
      </c>
      <c r="AF235" s="714">
        <v>0</v>
      </c>
      <c r="AG235" s="714">
        <v>5</v>
      </c>
      <c r="AH235" s="714">
        <v>1</v>
      </c>
      <c r="AI235" s="714">
        <v>70095</v>
      </c>
      <c r="AJ235" s="714">
        <v>2183</v>
      </c>
      <c r="AK235" s="714">
        <v>0</v>
      </c>
      <c r="AL235" s="714">
        <v>0</v>
      </c>
      <c r="AO235" s="748"/>
      <c r="AP235" s="748"/>
      <c r="AQ235" s="714" t="str">
        <f t="shared" si="6"/>
        <v/>
      </c>
      <c r="AS235" s="714" t="str">
        <f t="shared" si="7"/>
        <v>wci_corp</v>
      </c>
    </row>
    <row r="236" spans="2:45">
      <c r="B236" s="714" t="s">
        <v>1228</v>
      </c>
      <c r="C236" s="745">
        <v>43465</v>
      </c>
      <c r="D236" s="746">
        <v>-11.32</v>
      </c>
      <c r="E236" s="746">
        <v>0</v>
      </c>
      <c r="F236" s="747" t="s">
        <v>1074</v>
      </c>
      <c r="G236" s="714" t="s">
        <v>1442</v>
      </c>
      <c r="H236" s="748" t="s">
        <v>1075</v>
      </c>
      <c r="I236" s="714" t="s">
        <v>1131</v>
      </c>
      <c r="J236" s="714" t="s">
        <v>1082</v>
      </c>
      <c r="K236" s="714" t="s">
        <v>1078</v>
      </c>
      <c r="L236" s="718"/>
      <c r="M236" s="718"/>
      <c r="N236" s="718" t="s">
        <v>1260</v>
      </c>
      <c r="O236" s="739"/>
      <c r="P236" s="718"/>
      <c r="Q236" s="718"/>
      <c r="U236" s="714" t="s">
        <v>1419</v>
      </c>
      <c r="V236" s="714" t="s">
        <v>1443</v>
      </c>
      <c r="X236" s="745">
        <v>43441</v>
      </c>
      <c r="Y236" s="745">
        <v>43441</v>
      </c>
      <c r="AA236" s="745"/>
      <c r="AB236" s="714" t="s">
        <v>1079</v>
      </c>
      <c r="AC236" s="714">
        <v>0</v>
      </c>
      <c r="AD236" s="714">
        <v>0</v>
      </c>
      <c r="AE236" s="714">
        <v>0</v>
      </c>
      <c r="AF236" s="714">
        <v>0</v>
      </c>
      <c r="AG236" s="714">
        <v>5</v>
      </c>
      <c r="AH236" s="714">
        <v>1</v>
      </c>
      <c r="AI236" s="714">
        <v>70095</v>
      </c>
      <c r="AJ236" s="714">
        <v>2183</v>
      </c>
      <c r="AK236" s="714">
        <v>0</v>
      </c>
      <c r="AL236" s="714">
        <v>0</v>
      </c>
      <c r="AO236" s="748"/>
      <c r="AP236" s="748"/>
      <c r="AQ236" s="714" t="str">
        <f t="shared" si="6"/>
        <v/>
      </c>
      <c r="AS236" s="714" t="str">
        <f t="shared" si="7"/>
        <v>wci_corp</v>
      </c>
    </row>
    <row r="237" spans="2:45">
      <c r="B237" s="714" t="s">
        <v>1228</v>
      </c>
      <c r="C237" s="745">
        <v>43465</v>
      </c>
      <c r="D237" s="746">
        <v>-50.79</v>
      </c>
      <c r="E237" s="746">
        <v>0</v>
      </c>
      <c r="F237" s="747" t="s">
        <v>1074</v>
      </c>
      <c r="G237" s="714" t="s">
        <v>1442</v>
      </c>
      <c r="H237" s="748" t="s">
        <v>1075</v>
      </c>
      <c r="I237" s="714" t="s">
        <v>1131</v>
      </c>
      <c r="J237" s="714" t="s">
        <v>1082</v>
      </c>
      <c r="K237" s="714" t="s">
        <v>1078</v>
      </c>
      <c r="L237" s="718"/>
      <c r="M237" s="718"/>
      <c r="N237" s="718" t="s">
        <v>1425</v>
      </c>
      <c r="O237" s="739"/>
      <c r="P237" s="718"/>
      <c r="Q237" s="718"/>
      <c r="U237" s="714" t="s">
        <v>1419</v>
      </c>
      <c r="V237" s="714" t="s">
        <v>1443</v>
      </c>
      <c r="X237" s="745">
        <v>43441</v>
      </c>
      <c r="Y237" s="745">
        <v>43441</v>
      </c>
      <c r="AA237" s="745"/>
      <c r="AB237" s="714" t="s">
        <v>1079</v>
      </c>
      <c r="AC237" s="714">
        <v>0</v>
      </c>
      <c r="AD237" s="714">
        <v>0</v>
      </c>
      <c r="AE237" s="714">
        <v>0</v>
      </c>
      <c r="AF237" s="714">
        <v>0</v>
      </c>
      <c r="AG237" s="714">
        <v>5</v>
      </c>
      <c r="AH237" s="714">
        <v>1</v>
      </c>
      <c r="AI237" s="714">
        <v>70095</v>
      </c>
      <c r="AJ237" s="714">
        <v>2183</v>
      </c>
      <c r="AK237" s="714">
        <v>0</v>
      </c>
      <c r="AL237" s="714">
        <v>0</v>
      </c>
      <c r="AO237" s="748"/>
      <c r="AP237" s="748"/>
      <c r="AQ237" s="714" t="str">
        <f t="shared" si="6"/>
        <v/>
      </c>
      <c r="AS237" s="714" t="str">
        <f t="shared" si="7"/>
        <v>wci_corp</v>
      </c>
    </row>
    <row r="238" spans="2:45">
      <c r="B238" s="714" t="s">
        <v>1228</v>
      </c>
      <c r="C238" s="745">
        <v>43465</v>
      </c>
      <c r="D238" s="746">
        <v>-272.22000000000003</v>
      </c>
      <c r="E238" s="746">
        <v>0</v>
      </c>
      <c r="F238" s="747" t="s">
        <v>1074</v>
      </c>
      <c r="G238" s="714" t="s">
        <v>1442</v>
      </c>
      <c r="H238" s="748" t="s">
        <v>1075</v>
      </c>
      <c r="I238" s="714" t="s">
        <v>1131</v>
      </c>
      <c r="J238" s="714" t="s">
        <v>1082</v>
      </c>
      <c r="K238" s="714" t="s">
        <v>1078</v>
      </c>
      <c r="L238" s="718"/>
      <c r="M238" s="718"/>
      <c r="N238" s="718" t="s">
        <v>1426</v>
      </c>
      <c r="O238" s="739"/>
      <c r="P238" s="718"/>
      <c r="Q238" s="718"/>
      <c r="U238" s="714" t="s">
        <v>1419</v>
      </c>
      <c r="V238" s="714" t="s">
        <v>1443</v>
      </c>
      <c r="X238" s="745">
        <v>43441</v>
      </c>
      <c r="Y238" s="745">
        <v>43441</v>
      </c>
      <c r="AA238" s="745"/>
      <c r="AB238" s="714" t="s">
        <v>1079</v>
      </c>
      <c r="AC238" s="714">
        <v>0</v>
      </c>
      <c r="AD238" s="714">
        <v>0</v>
      </c>
      <c r="AE238" s="714">
        <v>0</v>
      </c>
      <c r="AF238" s="714">
        <v>0</v>
      </c>
      <c r="AG238" s="714">
        <v>5</v>
      </c>
      <c r="AH238" s="714">
        <v>1</v>
      </c>
      <c r="AI238" s="714">
        <v>70095</v>
      </c>
      <c r="AJ238" s="714">
        <v>2183</v>
      </c>
      <c r="AK238" s="714">
        <v>0</v>
      </c>
      <c r="AL238" s="714">
        <v>0</v>
      </c>
      <c r="AO238" s="748"/>
      <c r="AP238" s="748"/>
      <c r="AQ238" s="714" t="str">
        <f t="shared" si="6"/>
        <v/>
      </c>
      <c r="AS238" s="714" t="str">
        <f t="shared" si="7"/>
        <v>wci_corp</v>
      </c>
    </row>
    <row r="239" spans="2:45">
      <c r="B239" s="714" t="s">
        <v>1228</v>
      </c>
      <c r="C239" s="745">
        <v>43465</v>
      </c>
      <c r="D239" s="746">
        <v>-78.38</v>
      </c>
      <c r="E239" s="746">
        <v>0</v>
      </c>
      <c r="F239" s="747" t="s">
        <v>1074</v>
      </c>
      <c r="G239" s="714" t="s">
        <v>1442</v>
      </c>
      <c r="H239" s="748" t="s">
        <v>1075</v>
      </c>
      <c r="I239" s="714" t="s">
        <v>1131</v>
      </c>
      <c r="J239" s="714" t="s">
        <v>1082</v>
      </c>
      <c r="K239" s="714" t="s">
        <v>1078</v>
      </c>
      <c r="L239" s="718"/>
      <c r="M239" s="718"/>
      <c r="N239" s="718" t="s">
        <v>1427</v>
      </c>
      <c r="O239" s="739"/>
      <c r="P239" s="718"/>
      <c r="Q239" s="718"/>
      <c r="U239" s="714" t="s">
        <v>1419</v>
      </c>
      <c r="V239" s="714" t="s">
        <v>1443</v>
      </c>
      <c r="X239" s="745">
        <v>43441</v>
      </c>
      <c r="Y239" s="745">
        <v>43441</v>
      </c>
      <c r="AA239" s="745"/>
      <c r="AB239" s="714" t="s">
        <v>1079</v>
      </c>
      <c r="AC239" s="714">
        <v>0</v>
      </c>
      <c r="AD239" s="714">
        <v>0</v>
      </c>
      <c r="AE239" s="714">
        <v>0</v>
      </c>
      <c r="AF239" s="714">
        <v>0</v>
      </c>
      <c r="AG239" s="714">
        <v>5</v>
      </c>
      <c r="AH239" s="714">
        <v>1</v>
      </c>
      <c r="AI239" s="714">
        <v>70095</v>
      </c>
      <c r="AJ239" s="714">
        <v>2183</v>
      </c>
      <c r="AK239" s="714">
        <v>0</v>
      </c>
      <c r="AL239" s="714">
        <v>0</v>
      </c>
      <c r="AO239" s="748"/>
      <c r="AP239" s="748"/>
      <c r="AQ239" s="714" t="str">
        <f t="shared" si="6"/>
        <v/>
      </c>
      <c r="AS239" s="714" t="str">
        <f t="shared" si="7"/>
        <v>wci_corp</v>
      </c>
    </row>
    <row r="240" spans="2:45">
      <c r="B240" s="714" t="s">
        <v>1228</v>
      </c>
      <c r="C240" s="745">
        <v>43465</v>
      </c>
      <c r="D240" s="746">
        <v>-320.76</v>
      </c>
      <c r="E240" s="746">
        <v>0</v>
      </c>
      <c r="F240" s="747" t="s">
        <v>1074</v>
      </c>
      <c r="G240" s="714" t="s">
        <v>1442</v>
      </c>
      <c r="H240" s="748" t="s">
        <v>1075</v>
      </c>
      <c r="I240" s="714" t="s">
        <v>1131</v>
      </c>
      <c r="J240" s="714" t="s">
        <v>1082</v>
      </c>
      <c r="K240" s="714" t="s">
        <v>1078</v>
      </c>
      <c r="L240" s="718"/>
      <c r="M240" s="718"/>
      <c r="N240" s="718" t="s">
        <v>1428</v>
      </c>
      <c r="O240" s="739"/>
      <c r="P240" s="718"/>
      <c r="Q240" s="718"/>
      <c r="U240" s="714" t="s">
        <v>1419</v>
      </c>
      <c r="V240" s="714" t="s">
        <v>1443</v>
      </c>
      <c r="X240" s="745">
        <v>43441</v>
      </c>
      <c r="Y240" s="745">
        <v>43441</v>
      </c>
      <c r="AA240" s="745"/>
      <c r="AB240" s="714" t="s">
        <v>1079</v>
      </c>
      <c r="AC240" s="714">
        <v>0</v>
      </c>
      <c r="AD240" s="714">
        <v>0</v>
      </c>
      <c r="AE240" s="714">
        <v>0</v>
      </c>
      <c r="AF240" s="714">
        <v>0</v>
      </c>
      <c r="AG240" s="714">
        <v>5</v>
      </c>
      <c r="AH240" s="714">
        <v>1</v>
      </c>
      <c r="AI240" s="714">
        <v>70095</v>
      </c>
      <c r="AJ240" s="714">
        <v>2183</v>
      </c>
      <c r="AK240" s="714">
        <v>0</v>
      </c>
      <c r="AL240" s="714">
        <v>0</v>
      </c>
      <c r="AO240" s="748"/>
      <c r="AP240" s="748"/>
      <c r="AQ240" s="714" t="str">
        <f t="shared" si="6"/>
        <v/>
      </c>
      <c r="AS240" s="714" t="str">
        <f t="shared" si="7"/>
        <v>wci_corp</v>
      </c>
    </row>
    <row r="241" spans="2:45">
      <c r="B241" s="714" t="s">
        <v>1228</v>
      </c>
      <c r="C241" s="745">
        <v>43465</v>
      </c>
      <c r="D241" s="746">
        <v>-81.75</v>
      </c>
      <c r="E241" s="746">
        <v>0</v>
      </c>
      <c r="F241" s="747" t="s">
        <v>1074</v>
      </c>
      <c r="G241" s="714" t="s">
        <v>1442</v>
      </c>
      <c r="H241" s="748" t="s">
        <v>1075</v>
      </c>
      <c r="I241" s="714" t="s">
        <v>1131</v>
      </c>
      <c r="J241" s="714" t="s">
        <v>1082</v>
      </c>
      <c r="K241" s="714" t="s">
        <v>1078</v>
      </c>
      <c r="L241" s="718"/>
      <c r="M241" s="718"/>
      <c r="N241" s="718" t="s">
        <v>1429</v>
      </c>
      <c r="O241" s="739"/>
      <c r="P241" s="718"/>
      <c r="Q241" s="718"/>
      <c r="U241" s="714" t="s">
        <v>1419</v>
      </c>
      <c r="V241" s="714" t="s">
        <v>1443</v>
      </c>
      <c r="X241" s="745">
        <v>43441</v>
      </c>
      <c r="Y241" s="745">
        <v>43441</v>
      </c>
      <c r="AA241" s="745"/>
      <c r="AB241" s="714" t="s">
        <v>1079</v>
      </c>
      <c r="AC241" s="714">
        <v>0</v>
      </c>
      <c r="AD241" s="714">
        <v>0</v>
      </c>
      <c r="AE241" s="714">
        <v>0</v>
      </c>
      <c r="AF241" s="714">
        <v>0</v>
      </c>
      <c r="AG241" s="714">
        <v>5</v>
      </c>
      <c r="AH241" s="714">
        <v>1</v>
      </c>
      <c r="AI241" s="714">
        <v>70095</v>
      </c>
      <c r="AJ241" s="714">
        <v>2183</v>
      </c>
      <c r="AK241" s="714">
        <v>0</v>
      </c>
      <c r="AL241" s="714">
        <v>0</v>
      </c>
      <c r="AO241" s="748"/>
      <c r="AP241" s="748"/>
      <c r="AQ241" s="714" t="str">
        <f t="shared" si="6"/>
        <v/>
      </c>
      <c r="AS241" s="714" t="str">
        <f t="shared" si="7"/>
        <v>wci_corp</v>
      </c>
    </row>
    <row r="242" spans="2:45">
      <c r="B242" s="714" t="s">
        <v>1228</v>
      </c>
      <c r="C242" s="745">
        <v>43465</v>
      </c>
      <c r="D242" s="746">
        <v>-34.520000000000003</v>
      </c>
      <c r="E242" s="746">
        <v>0</v>
      </c>
      <c r="F242" s="747" t="s">
        <v>1074</v>
      </c>
      <c r="G242" s="714" t="s">
        <v>1442</v>
      </c>
      <c r="H242" s="748" t="s">
        <v>1075</v>
      </c>
      <c r="I242" s="714" t="s">
        <v>1131</v>
      </c>
      <c r="J242" s="714" t="s">
        <v>1082</v>
      </c>
      <c r="K242" s="714" t="s">
        <v>1078</v>
      </c>
      <c r="L242" s="718"/>
      <c r="M242" s="718"/>
      <c r="N242" s="718" t="s">
        <v>1430</v>
      </c>
      <c r="O242" s="739"/>
      <c r="P242" s="718"/>
      <c r="Q242" s="718"/>
      <c r="U242" s="714" t="s">
        <v>1419</v>
      </c>
      <c r="V242" s="714" t="s">
        <v>1443</v>
      </c>
      <c r="X242" s="745">
        <v>43441</v>
      </c>
      <c r="Y242" s="745">
        <v>43441</v>
      </c>
      <c r="AA242" s="745"/>
      <c r="AB242" s="714" t="s">
        <v>1079</v>
      </c>
      <c r="AC242" s="714">
        <v>0</v>
      </c>
      <c r="AD242" s="714">
        <v>0</v>
      </c>
      <c r="AE242" s="714">
        <v>0</v>
      </c>
      <c r="AF242" s="714">
        <v>0</v>
      </c>
      <c r="AG242" s="714">
        <v>5</v>
      </c>
      <c r="AH242" s="714">
        <v>1</v>
      </c>
      <c r="AI242" s="714">
        <v>70095</v>
      </c>
      <c r="AJ242" s="714">
        <v>2183</v>
      </c>
      <c r="AK242" s="714">
        <v>0</v>
      </c>
      <c r="AL242" s="714">
        <v>0</v>
      </c>
      <c r="AO242" s="748"/>
      <c r="AP242" s="748"/>
      <c r="AQ242" s="714" t="str">
        <f t="shared" si="6"/>
        <v/>
      </c>
      <c r="AS242" s="714" t="str">
        <f t="shared" si="7"/>
        <v>wci_corp</v>
      </c>
    </row>
    <row r="243" spans="2:45">
      <c r="B243" s="714" t="s">
        <v>1228</v>
      </c>
      <c r="C243" s="745">
        <v>43465</v>
      </c>
      <c r="D243" s="746">
        <v>-54.87</v>
      </c>
      <c r="E243" s="746">
        <v>0</v>
      </c>
      <c r="F243" s="747" t="s">
        <v>1074</v>
      </c>
      <c r="G243" s="714" t="s">
        <v>1442</v>
      </c>
      <c r="H243" s="748" t="s">
        <v>1075</v>
      </c>
      <c r="I243" s="714" t="s">
        <v>1131</v>
      </c>
      <c r="J243" s="714" t="s">
        <v>1082</v>
      </c>
      <c r="K243" s="714" t="s">
        <v>1078</v>
      </c>
      <c r="L243" s="718"/>
      <c r="M243" s="718"/>
      <c r="N243" s="718" t="s">
        <v>1431</v>
      </c>
      <c r="O243" s="739"/>
      <c r="P243" s="718"/>
      <c r="Q243" s="718"/>
      <c r="U243" s="714" t="s">
        <v>1419</v>
      </c>
      <c r="V243" s="714" t="s">
        <v>1443</v>
      </c>
      <c r="X243" s="745">
        <v>43441</v>
      </c>
      <c r="Y243" s="745">
        <v>43441</v>
      </c>
      <c r="AA243" s="745"/>
      <c r="AB243" s="714" t="s">
        <v>1079</v>
      </c>
      <c r="AC243" s="714">
        <v>0</v>
      </c>
      <c r="AD243" s="714">
        <v>0</v>
      </c>
      <c r="AE243" s="714">
        <v>0</v>
      </c>
      <c r="AF243" s="714">
        <v>0</v>
      </c>
      <c r="AG243" s="714">
        <v>5</v>
      </c>
      <c r="AH243" s="714">
        <v>1</v>
      </c>
      <c r="AI243" s="714">
        <v>70095</v>
      </c>
      <c r="AJ243" s="714">
        <v>2183</v>
      </c>
      <c r="AK243" s="714">
        <v>0</v>
      </c>
      <c r="AL243" s="714">
        <v>0</v>
      </c>
      <c r="AO243" s="748"/>
      <c r="AP243" s="748"/>
      <c r="AQ243" s="714" t="str">
        <f t="shared" si="6"/>
        <v/>
      </c>
      <c r="AS243" s="714" t="str">
        <f t="shared" si="7"/>
        <v>wci_corp</v>
      </c>
    </row>
    <row r="244" spans="2:45">
      <c r="B244" s="714" t="s">
        <v>1228</v>
      </c>
      <c r="C244" s="745">
        <v>43465</v>
      </c>
      <c r="D244" s="746">
        <v>-43.52</v>
      </c>
      <c r="E244" s="746">
        <v>0</v>
      </c>
      <c r="F244" s="747" t="s">
        <v>1074</v>
      </c>
      <c r="G244" s="714" t="s">
        <v>1442</v>
      </c>
      <c r="H244" s="748" t="s">
        <v>1075</v>
      </c>
      <c r="I244" s="714" t="s">
        <v>1131</v>
      </c>
      <c r="J244" s="714" t="s">
        <v>1082</v>
      </c>
      <c r="K244" s="714" t="s">
        <v>1078</v>
      </c>
      <c r="L244" s="718"/>
      <c r="M244" s="718"/>
      <c r="N244" s="718" t="s">
        <v>1432</v>
      </c>
      <c r="O244" s="739"/>
      <c r="P244" s="718"/>
      <c r="Q244" s="718"/>
      <c r="U244" s="714" t="s">
        <v>1419</v>
      </c>
      <c r="V244" s="714" t="s">
        <v>1443</v>
      </c>
      <c r="X244" s="745">
        <v>43441</v>
      </c>
      <c r="Y244" s="745">
        <v>43441</v>
      </c>
      <c r="AA244" s="745"/>
      <c r="AB244" s="714" t="s">
        <v>1079</v>
      </c>
      <c r="AC244" s="714">
        <v>0</v>
      </c>
      <c r="AD244" s="714">
        <v>0</v>
      </c>
      <c r="AE244" s="714">
        <v>0</v>
      </c>
      <c r="AF244" s="714">
        <v>0</v>
      </c>
      <c r="AG244" s="714">
        <v>5</v>
      </c>
      <c r="AH244" s="714">
        <v>1</v>
      </c>
      <c r="AI244" s="714">
        <v>70095</v>
      </c>
      <c r="AJ244" s="714">
        <v>2183</v>
      </c>
      <c r="AK244" s="714">
        <v>0</v>
      </c>
      <c r="AL244" s="714">
        <v>0</v>
      </c>
      <c r="AO244" s="748"/>
      <c r="AP244" s="748"/>
      <c r="AQ244" s="714" t="str">
        <f t="shared" si="6"/>
        <v/>
      </c>
      <c r="AS244" s="714" t="str">
        <f t="shared" si="7"/>
        <v>wci_corp</v>
      </c>
    </row>
    <row r="245" spans="2:45">
      <c r="B245" s="714" t="s">
        <v>1228</v>
      </c>
      <c r="C245" s="745">
        <v>43465</v>
      </c>
      <c r="D245" s="746">
        <v>-73.819999999999993</v>
      </c>
      <c r="E245" s="746">
        <v>0</v>
      </c>
      <c r="F245" s="747" t="s">
        <v>1074</v>
      </c>
      <c r="G245" s="714" t="s">
        <v>1442</v>
      </c>
      <c r="H245" s="748" t="s">
        <v>1075</v>
      </c>
      <c r="I245" s="714" t="s">
        <v>1131</v>
      </c>
      <c r="J245" s="714" t="s">
        <v>1082</v>
      </c>
      <c r="K245" s="714" t="s">
        <v>1078</v>
      </c>
      <c r="L245" s="718"/>
      <c r="M245" s="718"/>
      <c r="N245" s="718" t="s">
        <v>1433</v>
      </c>
      <c r="O245" s="739"/>
      <c r="P245" s="718"/>
      <c r="Q245" s="718"/>
      <c r="U245" s="714" t="s">
        <v>1419</v>
      </c>
      <c r="V245" s="714" t="s">
        <v>1443</v>
      </c>
      <c r="X245" s="745">
        <v>43441</v>
      </c>
      <c r="Y245" s="745">
        <v>43441</v>
      </c>
      <c r="AA245" s="745"/>
      <c r="AB245" s="714" t="s">
        <v>1079</v>
      </c>
      <c r="AC245" s="714">
        <v>0</v>
      </c>
      <c r="AD245" s="714">
        <v>0</v>
      </c>
      <c r="AE245" s="714">
        <v>0</v>
      </c>
      <c r="AF245" s="714">
        <v>0</v>
      </c>
      <c r="AG245" s="714">
        <v>5</v>
      </c>
      <c r="AH245" s="714">
        <v>1</v>
      </c>
      <c r="AI245" s="714">
        <v>70095</v>
      </c>
      <c r="AJ245" s="714">
        <v>2183</v>
      </c>
      <c r="AK245" s="714">
        <v>0</v>
      </c>
      <c r="AL245" s="714">
        <v>0</v>
      </c>
      <c r="AO245" s="748"/>
      <c r="AP245" s="748"/>
      <c r="AQ245" s="714" t="str">
        <f t="shared" si="6"/>
        <v/>
      </c>
      <c r="AS245" s="714" t="str">
        <f t="shared" si="7"/>
        <v>wci_corp</v>
      </c>
    </row>
    <row r="246" spans="2:45">
      <c r="B246" s="714" t="s">
        <v>1228</v>
      </c>
      <c r="C246" s="745">
        <v>43465</v>
      </c>
      <c r="D246" s="746">
        <v>-39.11</v>
      </c>
      <c r="E246" s="746">
        <v>0</v>
      </c>
      <c r="F246" s="747" t="s">
        <v>1074</v>
      </c>
      <c r="G246" s="714" t="s">
        <v>1442</v>
      </c>
      <c r="H246" s="748" t="s">
        <v>1075</v>
      </c>
      <c r="I246" s="714" t="s">
        <v>1131</v>
      </c>
      <c r="J246" s="714" t="s">
        <v>1082</v>
      </c>
      <c r="K246" s="714" t="s">
        <v>1078</v>
      </c>
      <c r="L246" s="718"/>
      <c r="M246" s="718"/>
      <c r="N246" s="718" t="s">
        <v>1434</v>
      </c>
      <c r="O246" s="739"/>
      <c r="P246" s="718"/>
      <c r="Q246" s="718"/>
      <c r="U246" s="714" t="s">
        <v>1419</v>
      </c>
      <c r="V246" s="714" t="s">
        <v>1443</v>
      </c>
      <c r="X246" s="745">
        <v>43441</v>
      </c>
      <c r="Y246" s="745">
        <v>43441</v>
      </c>
      <c r="AA246" s="745"/>
      <c r="AB246" s="714" t="s">
        <v>1079</v>
      </c>
      <c r="AC246" s="714">
        <v>0</v>
      </c>
      <c r="AD246" s="714">
        <v>0</v>
      </c>
      <c r="AE246" s="714">
        <v>0</v>
      </c>
      <c r="AF246" s="714">
        <v>0</v>
      </c>
      <c r="AG246" s="714">
        <v>5</v>
      </c>
      <c r="AH246" s="714">
        <v>1</v>
      </c>
      <c r="AI246" s="714">
        <v>70095</v>
      </c>
      <c r="AJ246" s="714">
        <v>2183</v>
      </c>
      <c r="AK246" s="714">
        <v>0</v>
      </c>
      <c r="AL246" s="714">
        <v>0</v>
      </c>
      <c r="AO246" s="748"/>
      <c r="AP246" s="748"/>
      <c r="AQ246" s="714" t="str">
        <f t="shared" si="6"/>
        <v/>
      </c>
      <c r="AS246" s="714" t="str">
        <f t="shared" si="7"/>
        <v>wci_corp</v>
      </c>
    </row>
    <row r="247" spans="2:45">
      <c r="B247" s="714" t="s">
        <v>1228</v>
      </c>
      <c r="C247" s="745">
        <v>43465</v>
      </c>
      <c r="D247" s="746">
        <v>-244.51</v>
      </c>
      <c r="E247" s="746">
        <v>0</v>
      </c>
      <c r="F247" s="747" t="s">
        <v>1074</v>
      </c>
      <c r="G247" s="714" t="s">
        <v>1442</v>
      </c>
      <c r="H247" s="748" t="s">
        <v>1075</v>
      </c>
      <c r="I247" s="714" t="s">
        <v>1131</v>
      </c>
      <c r="J247" s="714" t="s">
        <v>1082</v>
      </c>
      <c r="K247" s="714" t="s">
        <v>1078</v>
      </c>
      <c r="L247" s="718"/>
      <c r="M247" s="718"/>
      <c r="N247" s="718" t="s">
        <v>1421</v>
      </c>
      <c r="O247" s="739"/>
      <c r="P247" s="718"/>
      <c r="Q247" s="718"/>
      <c r="U247" s="714" t="s">
        <v>1419</v>
      </c>
      <c r="V247" s="714" t="s">
        <v>1443</v>
      </c>
      <c r="X247" s="745">
        <v>43441</v>
      </c>
      <c r="Y247" s="745">
        <v>43441</v>
      </c>
      <c r="AA247" s="745"/>
      <c r="AB247" s="714" t="s">
        <v>1079</v>
      </c>
      <c r="AC247" s="714">
        <v>0</v>
      </c>
      <c r="AD247" s="714">
        <v>0</v>
      </c>
      <c r="AE247" s="714">
        <v>0</v>
      </c>
      <c r="AF247" s="714">
        <v>0</v>
      </c>
      <c r="AG247" s="714">
        <v>5</v>
      </c>
      <c r="AH247" s="714">
        <v>1</v>
      </c>
      <c r="AI247" s="714">
        <v>70095</v>
      </c>
      <c r="AJ247" s="714">
        <v>2183</v>
      </c>
      <c r="AK247" s="714">
        <v>0</v>
      </c>
      <c r="AL247" s="714">
        <v>0</v>
      </c>
      <c r="AO247" s="748"/>
      <c r="AP247" s="748"/>
      <c r="AQ247" s="714" t="str">
        <f t="shared" si="6"/>
        <v/>
      </c>
      <c r="AS247" s="714" t="str">
        <f t="shared" si="7"/>
        <v>wci_corp</v>
      </c>
    </row>
    <row r="248" spans="2:45">
      <c r="B248" s="714" t="s">
        <v>1228</v>
      </c>
      <c r="C248" s="745">
        <v>43465</v>
      </c>
      <c r="D248" s="746">
        <v>-85.2</v>
      </c>
      <c r="E248" s="746">
        <v>0</v>
      </c>
      <c r="F248" s="747" t="s">
        <v>1074</v>
      </c>
      <c r="G248" s="714" t="s">
        <v>1442</v>
      </c>
      <c r="H248" s="748" t="s">
        <v>1075</v>
      </c>
      <c r="I248" s="714" t="s">
        <v>1131</v>
      </c>
      <c r="J248" s="714" t="s">
        <v>1082</v>
      </c>
      <c r="K248" s="714" t="s">
        <v>1078</v>
      </c>
      <c r="L248" s="718"/>
      <c r="M248" s="718"/>
      <c r="N248" s="718" t="s">
        <v>1293</v>
      </c>
      <c r="O248" s="739"/>
      <c r="P248" s="718"/>
      <c r="Q248" s="718"/>
      <c r="U248" s="714" t="s">
        <v>1419</v>
      </c>
      <c r="V248" s="714" t="s">
        <v>1443</v>
      </c>
      <c r="X248" s="745">
        <v>43441</v>
      </c>
      <c r="Y248" s="745">
        <v>43441</v>
      </c>
      <c r="AA248" s="745"/>
      <c r="AB248" s="714" t="s">
        <v>1079</v>
      </c>
      <c r="AC248" s="714">
        <v>0</v>
      </c>
      <c r="AD248" s="714">
        <v>0</v>
      </c>
      <c r="AE248" s="714">
        <v>0</v>
      </c>
      <c r="AF248" s="714">
        <v>0</v>
      </c>
      <c r="AG248" s="714">
        <v>5</v>
      </c>
      <c r="AH248" s="714">
        <v>1</v>
      </c>
      <c r="AI248" s="714">
        <v>70095</v>
      </c>
      <c r="AJ248" s="714">
        <v>2183</v>
      </c>
      <c r="AK248" s="714">
        <v>0</v>
      </c>
      <c r="AL248" s="714">
        <v>0</v>
      </c>
      <c r="AO248" s="748"/>
      <c r="AP248" s="748"/>
      <c r="AQ248" s="714" t="str">
        <f t="shared" si="6"/>
        <v/>
      </c>
      <c r="AS248" s="714" t="str">
        <f t="shared" si="7"/>
        <v>wci_corp</v>
      </c>
    </row>
    <row r="249" spans="2:45">
      <c r="B249" s="714" t="s">
        <v>1228</v>
      </c>
      <c r="C249" s="745">
        <v>43465</v>
      </c>
      <c r="D249" s="746">
        <v>-247.23</v>
      </c>
      <c r="E249" s="746">
        <v>0</v>
      </c>
      <c r="F249" s="747" t="s">
        <v>1074</v>
      </c>
      <c r="G249" s="714" t="s">
        <v>1444</v>
      </c>
      <c r="H249" s="748" t="s">
        <v>1075</v>
      </c>
      <c r="I249" s="714" t="s">
        <v>1436</v>
      </c>
      <c r="J249" s="714" t="s">
        <v>1082</v>
      </c>
      <c r="K249" s="714" t="s">
        <v>1078</v>
      </c>
      <c r="L249" s="718"/>
      <c r="M249" s="718"/>
      <c r="N249" s="718" t="s">
        <v>1437</v>
      </c>
      <c r="O249" s="739"/>
      <c r="P249" s="718"/>
      <c r="Q249" s="718"/>
      <c r="U249" s="714" t="s">
        <v>1438</v>
      </c>
      <c r="V249" s="714" t="s">
        <v>1445</v>
      </c>
      <c r="X249" s="745">
        <v>43441</v>
      </c>
      <c r="Y249" s="745">
        <v>43441</v>
      </c>
      <c r="AA249" s="745"/>
      <c r="AB249" s="714" t="s">
        <v>1079</v>
      </c>
      <c r="AC249" s="714">
        <v>0</v>
      </c>
      <c r="AD249" s="714">
        <v>0</v>
      </c>
      <c r="AE249" s="714">
        <v>0</v>
      </c>
      <c r="AF249" s="714">
        <v>0</v>
      </c>
      <c r="AG249" s="714">
        <v>5</v>
      </c>
      <c r="AH249" s="714">
        <v>1</v>
      </c>
      <c r="AI249" s="714">
        <v>70095</v>
      </c>
      <c r="AJ249" s="714">
        <v>2183</v>
      </c>
      <c r="AK249" s="714">
        <v>0</v>
      </c>
      <c r="AL249" s="714">
        <v>0</v>
      </c>
      <c r="AO249" s="748"/>
      <c r="AP249" s="748"/>
      <c r="AQ249" s="714" t="str">
        <f t="shared" si="6"/>
        <v/>
      </c>
      <c r="AS249" s="714" t="str">
        <f t="shared" si="7"/>
        <v>wci_corp</v>
      </c>
    </row>
    <row r="250" spans="2:45">
      <c r="B250" s="714" t="s">
        <v>1228</v>
      </c>
      <c r="C250" s="745">
        <v>43465</v>
      </c>
      <c r="D250" s="746">
        <v>-25.04</v>
      </c>
      <c r="E250" s="746">
        <v>0</v>
      </c>
      <c r="F250" s="747" t="s">
        <v>1074</v>
      </c>
      <c r="G250" s="714" t="s">
        <v>1444</v>
      </c>
      <c r="H250" s="748" t="s">
        <v>1075</v>
      </c>
      <c r="I250" s="714" t="s">
        <v>1436</v>
      </c>
      <c r="J250" s="714" t="s">
        <v>1082</v>
      </c>
      <c r="K250" s="714" t="s">
        <v>1078</v>
      </c>
      <c r="L250" s="718"/>
      <c r="M250" s="718"/>
      <c r="N250" s="718" t="s">
        <v>1439</v>
      </c>
      <c r="O250" s="739"/>
      <c r="P250" s="718"/>
      <c r="Q250" s="718"/>
      <c r="U250" s="714" t="s">
        <v>1438</v>
      </c>
      <c r="V250" s="714" t="s">
        <v>1445</v>
      </c>
      <c r="X250" s="745">
        <v>43441</v>
      </c>
      <c r="Y250" s="745">
        <v>43441</v>
      </c>
      <c r="AA250" s="745"/>
      <c r="AB250" s="714" t="s">
        <v>1079</v>
      </c>
      <c r="AC250" s="714">
        <v>0</v>
      </c>
      <c r="AD250" s="714">
        <v>0</v>
      </c>
      <c r="AE250" s="714">
        <v>0</v>
      </c>
      <c r="AF250" s="714">
        <v>0</v>
      </c>
      <c r="AG250" s="714">
        <v>5</v>
      </c>
      <c r="AH250" s="714">
        <v>1</v>
      </c>
      <c r="AI250" s="714">
        <v>70095</v>
      </c>
      <c r="AJ250" s="714">
        <v>2183</v>
      </c>
      <c r="AK250" s="714">
        <v>0</v>
      </c>
      <c r="AL250" s="714">
        <v>0</v>
      </c>
      <c r="AO250" s="748"/>
      <c r="AP250" s="748"/>
      <c r="AQ250" s="714" t="str">
        <f t="shared" si="6"/>
        <v/>
      </c>
      <c r="AS250" s="714" t="str">
        <f t="shared" si="7"/>
        <v>wci_corp</v>
      </c>
    </row>
    <row r="251" spans="2:45">
      <c r="B251" s="714" t="s">
        <v>1228</v>
      </c>
      <c r="C251" s="745">
        <v>43465</v>
      </c>
      <c r="D251" s="746">
        <v>-219.78</v>
      </c>
      <c r="E251" s="746">
        <v>0</v>
      </c>
      <c r="F251" s="747" t="s">
        <v>1074</v>
      </c>
      <c r="G251" s="714" t="s">
        <v>1444</v>
      </c>
      <c r="H251" s="748" t="s">
        <v>1075</v>
      </c>
      <c r="I251" s="714" t="s">
        <v>1436</v>
      </c>
      <c r="J251" s="714" t="s">
        <v>1082</v>
      </c>
      <c r="K251" s="714" t="s">
        <v>1078</v>
      </c>
      <c r="L251" s="718"/>
      <c r="M251" s="718"/>
      <c r="N251" s="718" t="s">
        <v>1440</v>
      </c>
      <c r="O251" s="739"/>
      <c r="P251" s="718"/>
      <c r="Q251" s="718"/>
      <c r="U251" s="714" t="s">
        <v>1438</v>
      </c>
      <c r="V251" s="714" t="s">
        <v>1445</v>
      </c>
      <c r="X251" s="745">
        <v>43441</v>
      </c>
      <c r="Y251" s="745">
        <v>43441</v>
      </c>
      <c r="AA251" s="745"/>
      <c r="AB251" s="714" t="s">
        <v>1079</v>
      </c>
      <c r="AC251" s="714">
        <v>0</v>
      </c>
      <c r="AD251" s="714">
        <v>0</v>
      </c>
      <c r="AE251" s="714">
        <v>0</v>
      </c>
      <c r="AF251" s="714">
        <v>0</v>
      </c>
      <c r="AG251" s="714">
        <v>5</v>
      </c>
      <c r="AH251" s="714">
        <v>1</v>
      </c>
      <c r="AI251" s="714">
        <v>70095</v>
      </c>
      <c r="AJ251" s="714">
        <v>2183</v>
      </c>
      <c r="AK251" s="714">
        <v>0</v>
      </c>
      <c r="AL251" s="714">
        <v>0</v>
      </c>
      <c r="AO251" s="748"/>
      <c r="AP251" s="748"/>
      <c r="AQ251" s="714" t="str">
        <f t="shared" si="6"/>
        <v/>
      </c>
      <c r="AS251" s="714" t="str">
        <f t="shared" si="7"/>
        <v>wci_corp</v>
      </c>
    </row>
    <row r="252" spans="2:45">
      <c r="B252" s="714" t="s">
        <v>1228</v>
      </c>
      <c r="C252" s="745">
        <v>43465</v>
      </c>
      <c r="D252" s="746">
        <v>-109.89</v>
      </c>
      <c r="E252" s="746">
        <v>0</v>
      </c>
      <c r="F252" s="747" t="s">
        <v>1074</v>
      </c>
      <c r="G252" s="714" t="s">
        <v>1444</v>
      </c>
      <c r="H252" s="748" t="s">
        <v>1075</v>
      </c>
      <c r="I252" s="714" t="s">
        <v>1436</v>
      </c>
      <c r="J252" s="714" t="s">
        <v>1082</v>
      </c>
      <c r="K252" s="714" t="s">
        <v>1078</v>
      </c>
      <c r="L252" s="718"/>
      <c r="M252" s="718"/>
      <c r="N252" s="718" t="s">
        <v>1441</v>
      </c>
      <c r="O252" s="739"/>
      <c r="P252" s="718"/>
      <c r="Q252" s="718"/>
      <c r="U252" s="714" t="s">
        <v>1438</v>
      </c>
      <c r="V252" s="714" t="s">
        <v>1445</v>
      </c>
      <c r="X252" s="745">
        <v>43441</v>
      </c>
      <c r="Y252" s="745">
        <v>43441</v>
      </c>
      <c r="AA252" s="745"/>
      <c r="AB252" s="714" t="s">
        <v>1079</v>
      </c>
      <c r="AC252" s="714">
        <v>0</v>
      </c>
      <c r="AD252" s="714">
        <v>0</v>
      </c>
      <c r="AE252" s="714">
        <v>0</v>
      </c>
      <c r="AF252" s="714">
        <v>0</v>
      </c>
      <c r="AG252" s="714">
        <v>5</v>
      </c>
      <c r="AH252" s="714">
        <v>1</v>
      </c>
      <c r="AI252" s="714">
        <v>70095</v>
      </c>
      <c r="AJ252" s="714">
        <v>2183</v>
      </c>
      <c r="AK252" s="714">
        <v>0</v>
      </c>
      <c r="AL252" s="714">
        <v>0</v>
      </c>
      <c r="AO252" s="748"/>
      <c r="AP252" s="748"/>
      <c r="AQ252" s="714" t="str">
        <f t="shared" si="6"/>
        <v/>
      </c>
      <c r="AS252" s="714" t="str">
        <f t="shared" si="7"/>
        <v>wci_corp</v>
      </c>
    </row>
    <row r="253" spans="2:45">
      <c r="B253" s="714" t="s">
        <v>1228</v>
      </c>
      <c r="C253" s="745">
        <v>43465</v>
      </c>
      <c r="D253" s="746">
        <v>247.23</v>
      </c>
      <c r="E253" s="746">
        <v>0</v>
      </c>
      <c r="F253" s="747" t="s">
        <v>1074</v>
      </c>
      <c r="G253" s="714" t="s">
        <v>1090</v>
      </c>
      <c r="H253" s="748" t="s">
        <v>1075</v>
      </c>
      <c r="I253" s="714" t="s">
        <v>1091</v>
      </c>
      <c r="J253" s="714" t="s">
        <v>1092</v>
      </c>
      <c r="K253" s="714" t="s">
        <v>1078</v>
      </c>
      <c r="L253" s="718"/>
      <c r="M253" s="718"/>
      <c r="N253" s="718" t="s">
        <v>1437</v>
      </c>
      <c r="O253" s="739"/>
      <c r="P253" s="718"/>
      <c r="Q253" s="718"/>
      <c r="U253" s="714" t="s">
        <v>1093</v>
      </c>
      <c r="V253" s="714" t="s">
        <v>1093</v>
      </c>
      <c r="X253" s="745">
        <v>43468</v>
      </c>
      <c r="Y253" s="745">
        <v>43468</v>
      </c>
      <c r="AA253" s="745"/>
      <c r="AB253" s="714" t="s">
        <v>1079</v>
      </c>
      <c r="AC253" s="714">
        <v>0</v>
      </c>
      <c r="AD253" s="714">
        <v>0</v>
      </c>
      <c r="AE253" s="714">
        <v>0</v>
      </c>
      <c r="AF253" s="714">
        <v>0</v>
      </c>
      <c r="AG253" s="714">
        <v>0</v>
      </c>
      <c r="AH253" s="714">
        <v>1</v>
      </c>
      <c r="AI253" s="714">
        <v>70095</v>
      </c>
      <c r="AJ253" s="714">
        <v>2183</v>
      </c>
      <c r="AK253" s="714">
        <v>0</v>
      </c>
      <c r="AL253" s="714">
        <v>0</v>
      </c>
      <c r="AO253" s="748"/>
      <c r="AP253" s="748"/>
      <c r="AQ253" s="714" t="str">
        <f t="shared" si="6"/>
        <v/>
      </c>
      <c r="AS253" s="714" t="str">
        <f t="shared" si="7"/>
        <v>wci_corp</v>
      </c>
    </row>
    <row r="254" spans="2:45">
      <c r="B254" s="714" t="s">
        <v>1228</v>
      </c>
      <c r="C254" s="745">
        <v>43465</v>
      </c>
      <c r="D254" s="746">
        <v>48.18</v>
      </c>
      <c r="E254" s="746">
        <v>0</v>
      </c>
      <c r="F254" s="747" t="s">
        <v>1074</v>
      </c>
      <c r="G254" s="714" t="s">
        <v>1090</v>
      </c>
      <c r="H254" s="748" t="s">
        <v>1075</v>
      </c>
      <c r="I254" s="714" t="s">
        <v>1091</v>
      </c>
      <c r="J254" s="714" t="s">
        <v>1092</v>
      </c>
      <c r="K254" s="714" t="s">
        <v>1078</v>
      </c>
      <c r="L254" s="718"/>
      <c r="M254" s="718"/>
      <c r="N254" s="718" t="s">
        <v>1418</v>
      </c>
      <c r="O254" s="739"/>
      <c r="P254" s="718"/>
      <c r="Q254" s="718"/>
      <c r="U254" s="714" t="s">
        <v>1093</v>
      </c>
      <c r="V254" s="714" t="s">
        <v>1093</v>
      </c>
      <c r="X254" s="745">
        <v>43468</v>
      </c>
      <c r="Y254" s="745">
        <v>43468</v>
      </c>
      <c r="AA254" s="745"/>
      <c r="AB254" s="714" t="s">
        <v>1079</v>
      </c>
      <c r="AC254" s="714">
        <v>0</v>
      </c>
      <c r="AD254" s="714">
        <v>0</v>
      </c>
      <c r="AE254" s="714">
        <v>0</v>
      </c>
      <c r="AF254" s="714">
        <v>0</v>
      </c>
      <c r="AG254" s="714">
        <v>0</v>
      </c>
      <c r="AH254" s="714">
        <v>1</v>
      </c>
      <c r="AI254" s="714">
        <v>70095</v>
      </c>
      <c r="AJ254" s="714">
        <v>2183</v>
      </c>
      <c r="AK254" s="714">
        <v>0</v>
      </c>
      <c r="AL254" s="714">
        <v>0</v>
      </c>
      <c r="AO254" s="748"/>
      <c r="AP254" s="748"/>
      <c r="AQ254" s="714" t="str">
        <f t="shared" si="6"/>
        <v/>
      </c>
      <c r="AS254" s="714" t="str">
        <f t="shared" si="7"/>
        <v>wci_corp</v>
      </c>
    </row>
    <row r="255" spans="2:45">
      <c r="B255" s="714" t="s">
        <v>1228</v>
      </c>
      <c r="C255" s="745">
        <v>43465</v>
      </c>
      <c r="D255" s="746">
        <v>32.119999999999997</v>
      </c>
      <c r="E255" s="746">
        <v>0</v>
      </c>
      <c r="F255" s="747" t="s">
        <v>1074</v>
      </c>
      <c r="G255" s="714" t="s">
        <v>1090</v>
      </c>
      <c r="H255" s="748" t="s">
        <v>1075</v>
      </c>
      <c r="I255" s="714" t="s">
        <v>1091</v>
      </c>
      <c r="J255" s="714" t="s">
        <v>1092</v>
      </c>
      <c r="K255" s="714" t="s">
        <v>1078</v>
      </c>
      <c r="L255" s="718"/>
      <c r="M255" s="718"/>
      <c r="N255" s="718" t="s">
        <v>1418</v>
      </c>
      <c r="O255" s="739"/>
      <c r="P255" s="718"/>
      <c r="Q255" s="718"/>
      <c r="U255" s="714" t="s">
        <v>1093</v>
      </c>
      <c r="V255" s="714" t="s">
        <v>1093</v>
      </c>
      <c r="X255" s="745">
        <v>43468</v>
      </c>
      <c r="Y255" s="745">
        <v>43468</v>
      </c>
      <c r="AA255" s="745"/>
      <c r="AB255" s="714" t="s">
        <v>1079</v>
      </c>
      <c r="AC255" s="714">
        <v>0</v>
      </c>
      <c r="AD255" s="714">
        <v>0</v>
      </c>
      <c r="AE255" s="714">
        <v>0</v>
      </c>
      <c r="AF255" s="714">
        <v>0</v>
      </c>
      <c r="AG255" s="714">
        <v>0</v>
      </c>
      <c r="AH255" s="714">
        <v>1</v>
      </c>
      <c r="AI255" s="714">
        <v>70095</v>
      </c>
      <c r="AJ255" s="714">
        <v>2183</v>
      </c>
      <c r="AK255" s="714">
        <v>0</v>
      </c>
      <c r="AL255" s="714">
        <v>0</v>
      </c>
      <c r="AO255" s="748"/>
      <c r="AP255" s="748"/>
      <c r="AQ255" s="714" t="str">
        <f t="shared" si="6"/>
        <v/>
      </c>
      <c r="AS255" s="714" t="str">
        <f t="shared" si="7"/>
        <v>wci_corp</v>
      </c>
    </row>
    <row r="256" spans="2:45">
      <c r="B256" s="714" t="s">
        <v>1228</v>
      </c>
      <c r="C256" s="745">
        <v>43465</v>
      </c>
      <c r="D256" s="746">
        <v>80.31</v>
      </c>
      <c r="E256" s="746">
        <v>0</v>
      </c>
      <c r="F256" s="747" t="s">
        <v>1074</v>
      </c>
      <c r="G256" s="714" t="s">
        <v>1090</v>
      </c>
      <c r="H256" s="748" t="s">
        <v>1075</v>
      </c>
      <c r="I256" s="714" t="s">
        <v>1091</v>
      </c>
      <c r="J256" s="714" t="s">
        <v>1092</v>
      </c>
      <c r="K256" s="714" t="s">
        <v>1078</v>
      </c>
      <c r="L256" s="718"/>
      <c r="M256" s="718"/>
      <c r="N256" s="718" t="s">
        <v>1418</v>
      </c>
      <c r="O256" s="739"/>
      <c r="P256" s="718"/>
      <c r="Q256" s="718"/>
      <c r="U256" s="714" t="s">
        <v>1093</v>
      </c>
      <c r="V256" s="714" t="s">
        <v>1093</v>
      </c>
      <c r="X256" s="745">
        <v>43468</v>
      </c>
      <c r="Y256" s="745">
        <v>43468</v>
      </c>
      <c r="AA256" s="745"/>
      <c r="AB256" s="714" t="s">
        <v>1079</v>
      </c>
      <c r="AC256" s="714">
        <v>0</v>
      </c>
      <c r="AD256" s="714">
        <v>0</v>
      </c>
      <c r="AE256" s="714">
        <v>0</v>
      </c>
      <c r="AF256" s="714">
        <v>0</v>
      </c>
      <c r="AG256" s="714">
        <v>0</v>
      </c>
      <c r="AH256" s="714">
        <v>1</v>
      </c>
      <c r="AI256" s="714">
        <v>70095</v>
      </c>
      <c r="AJ256" s="714">
        <v>2183</v>
      </c>
      <c r="AK256" s="714">
        <v>0</v>
      </c>
      <c r="AL256" s="714">
        <v>0</v>
      </c>
      <c r="AO256" s="748"/>
      <c r="AP256" s="748"/>
      <c r="AQ256" s="714" t="str">
        <f t="shared" si="6"/>
        <v/>
      </c>
      <c r="AS256" s="714" t="str">
        <f t="shared" si="7"/>
        <v>wci_corp</v>
      </c>
    </row>
    <row r="257" spans="2:45">
      <c r="B257" s="714" t="s">
        <v>1228</v>
      </c>
      <c r="C257" s="745">
        <v>43465</v>
      </c>
      <c r="D257" s="746">
        <v>221.43</v>
      </c>
      <c r="E257" s="746">
        <v>0</v>
      </c>
      <c r="F257" s="747" t="s">
        <v>1074</v>
      </c>
      <c r="G257" s="714" t="s">
        <v>1090</v>
      </c>
      <c r="H257" s="748" t="s">
        <v>1075</v>
      </c>
      <c r="I257" s="714" t="s">
        <v>1091</v>
      </c>
      <c r="J257" s="714" t="s">
        <v>1092</v>
      </c>
      <c r="K257" s="714" t="s">
        <v>1078</v>
      </c>
      <c r="L257" s="718"/>
      <c r="M257" s="718"/>
      <c r="N257" s="718" t="s">
        <v>1418</v>
      </c>
      <c r="O257" s="739"/>
      <c r="P257" s="718"/>
      <c r="Q257" s="718"/>
      <c r="U257" s="714" t="s">
        <v>1093</v>
      </c>
      <c r="V257" s="714" t="s">
        <v>1093</v>
      </c>
      <c r="X257" s="745">
        <v>43468</v>
      </c>
      <c r="Y257" s="745">
        <v>43468</v>
      </c>
      <c r="AA257" s="745"/>
      <c r="AB257" s="714" t="s">
        <v>1079</v>
      </c>
      <c r="AC257" s="714">
        <v>0</v>
      </c>
      <c r="AD257" s="714">
        <v>0</v>
      </c>
      <c r="AE257" s="714">
        <v>0</v>
      </c>
      <c r="AF257" s="714">
        <v>0</v>
      </c>
      <c r="AG257" s="714">
        <v>0</v>
      </c>
      <c r="AH257" s="714">
        <v>1</v>
      </c>
      <c r="AI257" s="714">
        <v>70095</v>
      </c>
      <c r="AJ257" s="714">
        <v>2183</v>
      </c>
      <c r="AK257" s="714">
        <v>0</v>
      </c>
      <c r="AL257" s="714">
        <v>0</v>
      </c>
      <c r="AO257" s="748"/>
      <c r="AP257" s="748"/>
      <c r="AQ257" s="714" t="str">
        <f t="shared" si="6"/>
        <v/>
      </c>
      <c r="AS257" s="714" t="str">
        <f t="shared" si="7"/>
        <v>wci_corp</v>
      </c>
    </row>
    <row r="258" spans="2:45">
      <c r="B258" s="714" t="s">
        <v>1228</v>
      </c>
      <c r="C258" s="745">
        <v>43465</v>
      </c>
      <c r="D258" s="746">
        <v>80.31</v>
      </c>
      <c r="E258" s="746">
        <v>0</v>
      </c>
      <c r="F258" s="747" t="s">
        <v>1074</v>
      </c>
      <c r="G258" s="714" t="s">
        <v>1090</v>
      </c>
      <c r="H258" s="748" t="s">
        <v>1075</v>
      </c>
      <c r="I258" s="714" t="s">
        <v>1091</v>
      </c>
      <c r="J258" s="714" t="s">
        <v>1092</v>
      </c>
      <c r="K258" s="714" t="s">
        <v>1078</v>
      </c>
      <c r="L258" s="718"/>
      <c r="M258" s="718"/>
      <c r="N258" s="718" t="s">
        <v>1418</v>
      </c>
      <c r="O258" s="739"/>
      <c r="P258" s="718"/>
      <c r="Q258" s="718"/>
      <c r="U258" s="714" t="s">
        <v>1093</v>
      </c>
      <c r="V258" s="714" t="s">
        <v>1093</v>
      </c>
      <c r="X258" s="745">
        <v>43468</v>
      </c>
      <c r="Y258" s="745">
        <v>43468</v>
      </c>
      <c r="AA258" s="745"/>
      <c r="AB258" s="714" t="s">
        <v>1079</v>
      </c>
      <c r="AC258" s="714">
        <v>0</v>
      </c>
      <c r="AD258" s="714">
        <v>0</v>
      </c>
      <c r="AE258" s="714">
        <v>0</v>
      </c>
      <c r="AF258" s="714">
        <v>0</v>
      </c>
      <c r="AG258" s="714">
        <v>0</v>
      </c>
      <c r="AH258" s="714">
        <v>1</v>
      </c>
      <c r="AI258" s="714">
        <v>70095</v>
      </c>
      <c r="AJ258" s="714">
        <v>2183</v>
      </c>
      <c r="AK258" s="714">
        <v>0</v>
      </c>
      <c r="AL258" s="714">
        <v>0</v>
      </c>
      <c r="AO258" s="748"/>
      <c r="AP258" s="748"/>
      <c r="AQ258" s="714" t="str">
        <f t="shared" si="6"/>
        <v/>
      </c>
      <c r="AS258" s="714" t="str">
        <f t="shared" si="7"/>
        <v>wci_corp</v>
      </c>
    </row>
    <row r="259" spans="2:45">
      <c r="B259" s="714" t="s">
        <v>1228</v>
      </c>
      <c r="C259" s="745">
        <v>43465</v>
      </c>
      <c r="D259" s="746">
        <v>17.39</v>
      </c>
      <c r="E259" s="746">
        <v>0</v>
      </c>
      <c r="F259" s="747" t="s">
        <v>1074</v>
      </c>
      <c r="G259" s="714" t="s">
        <v>1090</v>
      </c>
      <c r="H259" s="748" t="s">
        <v>1075</v>
      </c>
      <c r="I259" s="714" t="s">
        <v>1091</v>
      </c>
      <c r="J259" s="714" t="s">
        <v>1092</v>
      </c>
      <c r="K259" s="714" t="s">
        <v>1078</v>
      </c>
      <c r="L259" s="718"/>
      <c r="M259" s="718"/>
      <c r="N259" s="718" t="s">
        <v>1420</v>
      </c>
      <c r="O259" s="739"/>
      <c r="P259" s="718"/>
      <c r="Q259" s="718"/>
      <c r="U259" s="714" t="s">
        <v>1093</v>
      </c>
      <c r="V259" s="714" t="s">
        <v>1093</v>
      </c>
      <c r="X259" s="745">
        <v>43468</v>
      </c>
      <c r="Y259" s="745">
        <v>43468</v>
      </c>
      <c r="AA259" s="745"/>
      <c r="AB259" s="714" t="s">
        <v>1079</v>
      </c>
      <c r="AC259" s="714">
        <v>0</v>
      </c>
      <c r="AD259" s="714">
        <v>0</v>
      </c>
      <c r="AE259" s="714">
        <v>0</v>
      </c>
      <c r="AF259" s="714">
        <v>0</v>
      </c>
      <c r="AG259" s="714">
        <v>0</v>
      </c>
      <c r="AH259" s="714">
        <v>1</v>
      </c>
      <c r="AI259" s="714">
        <v>70095</v>
      </c>
      <c r="AJ259" s="714">
        <v>2183</v>
      </c>
      <c r="AK259" s="714">
        <v>0</v>
      </c>
      <c r="AL259" s="714">
        <v>0</v>
      </c>
      <c r="AO259" s="748"/>
      <c r="AP259" s="748"/>
      <c r="AQ259" s="714" t="str">
        <f t="shared" si="6"/>
        <v/>
      </c>
      <c r="AS259" s="714" t="str">
        <f t="shared" si="7"/>
        <v>wci_corp</v>
      </c>
    </row>
    <row r="260" spans="2:45">
      <c r="B260" s="714" t="s">
        <v>1228</v>
      </c>
      <c r="C260" s="745">
        <v>43465</v>
      </c>
      <c r="D260" s="746">
        <v>199.96</v>
      </c>
      <c r="E260" s="746">
        <v>0</v>
      </c>
      <c r="F260" s="747" t="s">
        <v>1074</v>
      </c>
      <c r="G260" s="714" t="s">
        <v>1090</v>
      </c>
      <c r="H260" s="748" t="s">
        <v>1075</v>
      </c>
      <c r="I260" s="714" t="s">
        <v>1091</v>
      </c>
      <c r="J260" s="714" t="s">
        <v>1092</v>
      </c>
      <c r="K260" s="714" t="s">
        <v>1078</v>
      </c>
      <c r="L260" s="718"/>
      <c r="M260" s="718"/>
      <c r="N260" s="718" t="s">
        <v>1421</v>
      </c>
      <c r="O260" s="739"/>
      <c r="P260" s="718"/>
      <c r="Q260" s="718"/>
      <c r="U260" s="714" t="s">
        <v>1093</v>
      </c>
      <c r="V260" s="714" t="s">
        <v>1093</v>
      </c>
      <c r="X260" s="745">
        <v>43468</v>
      </c>
      <c r="Y260" s="745">
        <v>43468</v>
      </c>
      <c r="AA260" s="745"/>
      <c r="AB260" s="714" t="s">
        <v>1079</v>
      </c>
      <c r="AC260" s="714">
        <v>0</v>
      </c>
      <c r="AD260" s="714">
        <v>0</v>
      </c>
      <c r="AE260" s="714">
        <v>0</v>
      </c>
      <c r="AF260" s="714">
        <v>0</v>
      </c>
      <c r="AG260" s="714">
        <v>0</v>
      </c>
      <c r="AH260" s="714">
        <v>1</v>
      </c>
      <c r="AI260" s="714">
        <v>70095</v>
      </c>
      <c r="AJ260" s="714">
        <v>2183</v>
      </c>
      <c r="AK260" s="714">
        <v>0</v>
      </c>
      <c r="AL260" s="714">
        <v>0</v>
      </c>
      <c r="AO260" s="748"/>
      <c r="AP260" s="748"/>
      <c r="AQ260" s="714" t="str">
        <f t="shared" si="6"/>
        <v/>
      </c>
      <c r="AS260" s="714" t="str">
        <f t="shared" si="7"/>
        <v>wci_corp</v>
      </c>
    </row>
    <row r="261" spans="2:45">
      <c r="B261" s="714" t="s">
        <v>1228</v>
      </c>
      <c r="C261" s="745">
        <v>43465</v>
      </c>
      <c r="D261" s="746">
        <v>892.53</v>
      </c>
      <c r="E261" s="746">
        <v>0</v>
      </c>
      <c r="F261" s="747" t="s">
        <v>1074</v>
      </c>
      <c r="G261" s="714" t="s">
        <v>1090</v>
      </c>
      <c r="H261" s="748" t="s">
        <v>1075</v>
      </c>
      <c r="I261" s="714" t="s">
        <v>1091</v>
      </c>
      <c r="J261" s="714" t="s">
        <v>1092</v>
      </c>
      <c r="K261" s="714" t="s">
        <v>1078</v>
      </c>
      <c r="L261" s="718"/>
      <c r="M261" s="718"/>
      <c r="N261" s="718" t="s">
        <v>1422</v>
      </c>
      <c r="O261" s="739"/>
      <c r="P261" s="718"/>
      <c r="Q261" s="718"/>
      <c r="U261" s="714" t="s">
        <v>1093</v>
      </c>
      <c r="V261" s="714" t="s">
        <v>1093</v>
      </c>
      <c r="X261" s="745">
        <v>43468</v>
      </c>
      <c r="Y261" s="745">
        <v>43468</v>
      </c>
      <c r="AA261" s="745"/>
      <c r="AB261" s="714" t="s">
        <v>1079</v>
      </c>
      <c r="AC261" s="714">
        <v>0</v>
      </c>
      <c r="AD261" s="714">
        <v>0</v>
      </c>
      <c r="AE261" s="714">
        <v>0</v>
      </c>
      <c r="AF261" s="714">
        <v>0</v>
      </c>
      <c r="AG261" s="714">
        <v>0</v>
      </c>
      <c r="AH261" s="714">
        <v>1</v>
      </c>
      <c r="AI261" s="714">
        <v>70095</v>
      </c>
      <c r="AJ261" s="714">
        <v>2183</v>
      </c>
      <c r="AK261" s="714">
        <v>0</v>
      </c>
      <c r="AL261" s="714">
        <v>0</v>
      </c>
      <c r="AO261" s="748"/>
      <c r="AP261" s="748"/>
      <c r="AQ261" s="714" t="str">
        <f t="shared" si="6"/>
        <v/>
      </c>
      <c r="AS261" s="714" t="str">
        <f t="shared" si="7"/>
        <v>wci_corp</v>
      </c>
    </row>
    <row r="262" spans="2:45">
      <c r="B262" s="714" t="s">
        <v>1228</v>
      </c>
      <c r="C262" s="745">
        <v>43465</v>
      </c>
      <c r="D262" s="746">
        <v>25.04</v>
      </c>
      <c r="E262" s="746">
        <v>0</v>
      </c>
      <c r="F262" s="747" t="s">
        <v>1074</v>
      </c>
      <c r="G262" s="714" t="s">
        <v>1090</v>
      </c>
      <c r="H262" s="748" t="s">
        <v>1075</v>
      </c>
      <c r="I262" s="714" t="s">
        <v>1091</v>
      </c>
      <c r="J262" s="714" t="s">
        <v>1092</v>
      </c>
      <c r="K262" s="714" t="s">
        <v>1078</v>
      </c>
      <c r="L262" s="718"/>
      <c r="M262" s="718"/>
      <c r="N262" s="718" t="s">
        <v>1439</v>
      </c>
      <c r="O262" s="739"/>
      <c r="P262" s="718"/>
      <c r="Q262" s="718"/>
      <c r="U262" s="714" t="s">
        <v>1093</v>
      </c>
      <c r="V262" s="714" t="s">
        <v>1093</v>
      </c>
      <c r="X262" s="745">
        <v>43468</v>
      </c>
      <c r="Y262" s="745">
        <v>43468</v>
      </c>
      <c r="AA262" s="745"/>
      <c r="AB262" s="714" t="s">
        <v>1079</v>
      </c>
      <c r="AC262" s="714">
        <v>0</v>
      </c>
      <c r="AD262" s="714">
        <v>0</v>
      </c>
      <c r="AE262" s="714">
        <v>0</v>
      </c>
      <c r="AF262" s="714">
        <v>0</v>
      </c>
      <c r="AG262" s="714">
        <v>0</v>
      </c>
      <c r="AH262" s="714">
        <v>1</v>
      </c>
      <c r="AI262" s="714">
        <v>70095</v>
      </c>
      <c r="AJ262" s="714">
        <v>2183</v>
      </c>
      <c r="AK262" s="714">
        <v>0</v>
      </c>
      <c r="AL262" s="714">
        <v>0</v>
      </c>
      <c r="AO262" s="748"/>
      <c r="AP262" s="748"/>
      <c r="AQ262" s="714" t="str">
        <f t="shared" si="6"/>
        <v/>
      </c>
      <c r="AS262" s="714" t="str">
        <f t="shared" si="7"/>
        <v>wci_corp</v>
      </c>
    </row>
    <row r="263" spans="2:45">
      <c r="B263" s="714" t="s">
        <v>1228</v>
      </c>
      <c r="C263" s="745">
        <v>43465</v>
      </c>
      <c r="D263" s="746">
        <v>250</v>
      </c>
      <c r="E263" s="746">
        <v>0</v>
      </c>
      <c r="F263" s="747" t="s">
        <v>1074</v>
      </c>
      <c r="G263" s="714" t="s">
        <v>1090</v>
      </c>
      <c r="H263" s="748" t="s">
        <v>1075</v>
      </c>
      <c r="I263" s="714" t="s">
        <v>1091</v>
      </c>
      <c r="J263" s="714" t="s">
        <v>1092</v>
      </c>
      <c r="K263" s="714" t="s">
        <v>1078</v>
      </c>
      <c r="L263" s="718"/>
      <c r="M263" s="718"/>
      <c r="N263" s="718" t="s">
        <v>1423</v>
      </c>
      <c r="O263" s="739"/>
      <c r="P263" s="718"/>
      <c r="Q263" s="718"/>
      <c r="U263" s="714" t="s">
        <v>1093</v>
      </c>
      <c r="V263" s="714" t="s">
        <v>1093</v>
      </c>
      <c r="X263" s="745">
        <v>43468</v>
      </c>
      <c r="Y263" s="745">
        <v>43468</v>
      </c>
      <c r="AA263" s="745"/>
      <c r="AB263" s="714" t="s">
        <v>1079</v>
      </c>
      <c r="AC263" s="714">
        <v>0</v>
      </c>
      <c r="AD263" s="714">
        <v>0</v>
      </c>
      <c r="AE263" s="714">
        <v>0</v>
      </c>
      <c r="AF263" s="714">
        <v>0</v>
      </c>
      <c r="AG263" s="714">
        <v>0</v>
      </c>
      <c r="AH263" s="714">
        <v>1</v>
      </c>
      <c r="AI263" s="714">
        <v>70095</v>
      </c>
      <c r="AJ263" s="714">
        <v>2183</v>
      </c>
      <c r="AK263" s="714">
        <v>0</v>
      </c>
      <c r="AL263" s="714">
        <v>0</v>
      </c>
      <c r="AO263" s="748"/>
      <c r="AP263" s="748"/>
      <c r="AQ263" s="714" t="str">
        <f t="shared" si="6"/>
        <v/>
      </c>
      <c r="AS263" s="714" t="str">
        <f t="shared" si="7"/>
        <v>wci_corp</v>
      </c>
    </row>
    <row r="264" spans="2:45">
      <c r="B264" s="714" t="s">
        <v>1228</v>
      </c>
      <c r="C264" s="745">
        <v>43465</v>
      </c>
      <c r="D264" s="746">
        <v>229.77</v>
      </c>
      <c r="E264" s="746">
        <v>0</v>
      </c>
      <c r="F264" s="747" t="s">
        <v>1074</v>
      </c>
      <c r="G264" s="714" t="s">
        <v>1090</v>
      </c>
      <c r="H264" s="748" t="s">
        <v>1075</v>
      </c>
      <c r="I264" s="714" t="s">
        <v>1091</v>
      </c>
      <c r="J264" s="714" t="s">
        <v>1092</v>
      </c>
      <c r="K264" s="714" t="s">
        <v>1078</v>
      </c>
      <c r="L264" s="718"/>
      <c r="M264" s="718"/>
      <c r="N264" s="718" t="s">
        <v>1424</v>
      </c>
      <c r="O264" s="739"/>
      <c r="P264" s="718"/>
      <c r="Q264" s="718"/>
      <c r="U264" s="714" t="s">
        <v>1093</v>
      </c>
      <c r="V264" s="714" t="s">
        <v>1093</v>
      </c>
      <c r="X264" s="745">
        <v>43468</v>
      </c>
      <c r="Y264" s="745">
        <v>43468</v>
      </c>
      <c r="AA264" s="745"/>
      <c r="AB264" s="714" t="s">
        <v>1079</v>
      </c>
      <c r="AC264" s="714">
        <v>0</v>
      </c>
      <c r="AD264" s="714">
        <v>0</v>
      </c>
      <c r="AE264" s="714">
        <v>0</v>
      </c>
      <c r="AF264" s="714">
        <v>0</v>
      </c>
      <c r="AG264" s="714">
        <v>0</v>
      </c>
      <c r="AH264" s="714">
        <v>1</v>
      </c>
      <c r="AI264" s="714">
        <v>70095</v>
      </c>
      <c r="AJ264" s="714">
        <v>2183</v>
      </c>
      <c r="AK264" s="714">
        <v>0</v>
      </c>
      <c r="AL264" s="714">
        <v>0</v>
      </c>
      <c r="AO264" s="748"/>
      <c r="AP264" s="748"/>
      <c r="AQ264" s="714" t="str">
        <f t="shared" si="6"/>
        <v/>
      </c>
      <c r="AS264" s="714" t="str">
        <f t="shared" si="7"/>
        <v>wci_corp</v>
      </c>
    </row>
    <row r="265" spans="2:45">
      <c r="B265" s="714" t="s">
        <v>1228</v>
      </c>
      <c r="C265" s="745">
        <v>43465</v>
      </c>
      <c r="D265" s="746">
        <v>219.78</v>
      </c>
      <c r="E265" s="746">
        <v>0</v>
      </c>
      <c r="F265" s="747" t="s">
        <v>1074</v>
      </c>
      <c r="G265" s="714" t="s">
        <v>1090</v>
      </c>
      <c r="H265" s="748" t="s">
        <v>1075</v>
      </c>
      <c r="I265" s="714" t="s">
        <v>1091</v>
      </c>
      <c r="J265" s="714" t="s">
        <v>1092</v>
      </c>
      <c r="K265" s="714" t="s">
        <v>1078</v>
      </c>
      <c r="L265" s="718"/>
      <c r="M265" s="718"/>
      <c r="N265" s="718" t="s">
        <v>1440</v>
      </c>
      <c r="O265" s="739"/>
      <c r="P265" s="718"/>
      <c r="Q265" s="718"/>
      <c r="U265" s="714" t="s">
        <v>1093</v>
      </c>
      <c r="V265" s="714" t="s">
        <v>1093</v>
      </c>
      <c r="X265" s="745">
        <v>43468</v>
      </c>
      <c r="Y265" s="745">
        <v>43468</v>
      </c>
      <c r="AA265" s="745"/>
      <c r="AB265" s="714" t="s">
        <v>1079</v>
      </c>
      <c r="AC265" s="714">
        <v>0</v>
      </c>
      <c r="AD265" s="714">
        <v>0</v>
      </c>
      <c r="AE265" s="714">
        <v>0</v>
      </c>
      <c r="AF265" s="714">
        <v>0</v>
      </c>
      <c r="AG265" s="714">
        <v>0</v>
      </c>
      <c r="AH265" s="714">
        <v>1</v>
      </c>
      <c r="AI265" s="714">
        <v>70095</v>
      </c>
      <c r="AJ265" s="714">
        <v>2183</v>
      </c>
      <c r="AK265" s="714">
        <v>0</v>
      </c>
      <c r="AL265" s="714">
        <v>0</v>
      </c>
      <c r="AO265" s="748"/>
      <c r="AP265" s="748"/>
      <c r="AQ265" s="714" t="str">
        <f t="shared" si="6"/>
        <v/>
      </c>
      <c r="AS265" s="714" t="str">
        <f t="shared" si="7"/>
        <v>wci_corp</v>
      </c>
    </row>
    <row r="266" spans="2:45">
      <c r="B266" s="714" t="s">
        <v>1228</v>
      </c>
      <c r="C266" s="745">
        <v>43465</v>
      </c>
      <c r="D266" s="746">
        <v>109.89</v>
      </c>
      <c r="E266" s="746">
        <v>0</v>
      </c>
      <c r="F266" s="747" t="s">
        <v>1074</v>
      </c>
      <c r="G266" s="714" t="s">
        <v>1090</v>
      </c>
      <c r="H266" s="748" t="s">
        <v>1075</v>
      </c>
      <c r="I266" s="714" t="s">
        <v>1091</v>
      </c>
      <c r="J266" s="714" t="s">
        <v>1092</v>
      </c>
      <c r="K266" s="714" t="s">
        <v>1078</v>
      </c>
      <c r="L266" s="718"/>
      <c r="M266" s="718"/>
      <c r="N266" s="718" t="s">
        <v>1441</v>
      </c>
      <c r="O266" s="739"/>
      <c r="P266" s="718"/>
      <c r="Q266" s="718"/>
      <c r="U266" s="714" t="s">
        <v>1093</v>
      </c>
      <c r="V266" s="714" t="s">
        <v>1093</v>
      </c>
      <c r="X266" s="745">
        <v>43468</v>
      </c>
      <c r="Y266" s="745">
        <v>43468</v>
      </c>
      <c r="AA266" s="745"/>
      <c r="AB266" s="714" t="s">
        <v>1079</v>
      </c>
      <c r="AC266" s="714">
        <v>0</v>
      </c>
      <c r="AD266" s="714">
        <v>0</v>
      </c>
      <c r="AE266" s="714">
        <v>0</v>
      </c>
      <c r="AF266" s="714">
        <v>0</v>
      </c>
      <c r="AG266" s="714">
        <v>0</v>
      </c>
      <c r="AH266" s="714">
        <v>1</v>
      </c>
      <c r="AI266" s="714">
        <v>70095</v>
      </c>
      <c r="AJ266" s="714">
        <v>2183</v>
      </c>
      <c r="AK266" s="714">
        <v>0</v>
      </c>
      <c r="AL266" s="714">
        <v>0</v>
      </c>
      <c r="AO266" s="748"/>
      <c r="AP266" s="748"/>
      <c r="AQ266" s="714" t="str">
        <f t="shared" si="6"/>
        <v/>
      </c>
      <c r="AS266" s="714" t="str">
        <f t="shared" si="7"/>
        <v>wci_corp</v>
      </c>
    </row>
    <row r="267" spans="2:45">
      <c r="B267" s="714" t="s">
        <v>1228</v>
      </c>
      <c r="C267" s="745">
        <v>43465</v>
      </c>
      <c r="D267" s="746">
        <v>11.32</v>
      </c>
      <c r="E267" s="746">
        <v>0</v>
      </c>
      <c r="F267" s="747" t="s">
        <v>1074</v>
      </c>
      <c r="G267" s="714" t="s">
        <v>1090</v>
      </c>
      <c r="H267" s="748" t="s">
        <v>1075</v>
      </c>
      <c r="I267" s="714" t="s">
        <v>1091</v>
      </c>
      <c r="J267" s="714" t="s">
        <v>1092</v>
      </c>
      <c r="K267" s="714" t="s">
        <v>1078</v>
      </c>
      <c r="L267" s="718"/>
      <c r="M267" s="718"/>
      <c r="N267" s="718" t="s">
        <v>1260</v>
      </c>
      <c r="O267" s="739"/>
      <c r="P267" s="718"/>
      <c r="Q267" s="718"/>
      <c r="U267" s="714" t="s">
        <v>1093</v>
      </c>
      <c r="V267" s="714" t="s">
        <v>1093</v>
      </c>
      <c r="X267" s="745">
        <v>43468</v>
      </c>
      <c r="Y267" s="745">
        <v>43468</v>
      </c>
      <c r="AA267" s="745"/>
      <c r="AB267" s="714" t="s">
        <v>1079</v>
      </c>
      <c r="AC267" s="714">
        <v>0</v>
      </c>
      <c r="AD267" s="714">
        <v>0</v>
      </c>
      <c r="AE267" s="714">
        <v>0</v>
      </c>
      <c r="AF267" s="714">
        <v>0</v>
      </c>
      <c r="AG267" s="714">
        <v>0</v>
      </c>
      <c r="AH267" s="714">
        <v>1</v>
      </c>
      <c r="AI267" s="714">
        <v>70095</v>
      </c>
      <c r="AJ267" s="714">
        <v>2183</v>
      </c>
      <c r="AK267" s="714">
        <v>0</v>
      </c>
      <c r="AL267" s="714">
        <v>0</v>
      </c>
      <c r="AO267" s="748"/>
      <c r="AP267" s="748"/>
      <c r="AQ267" s="714" t="str">
        <f t="shared" si="6"/>
        <v/>
      </c>
      <c r="AS267" s="714" t="str">
        <f t="shared" si="7"/>
        <v>wci_corp</v>
      </c>
    </row>
    <row r="268" spans="2:45">
      <c r="B268" s="714" t="s">
        <v>1228</v>
      </c>
      <c r="C268" s="745">
        <v>43465</v>
      </c>
      <c r="D268" s="746">
        <v>50.79</v>
      </c>
      <c r="E268" s="746">
        <v>0</v>
      </c>
      <c r="F268" s="747" t="s">
        <v>1074</v>
      </c>
      <c r="G268" s="714" t="s">
        <v>1090</v>
      </c>
      <c r="H268" s="748" t="s">
        <v>1075</v>
      </c>
      <c r="I268" s="714" t="s">
        <v>1091</v>
      </c>
      <c r="J268" s="714" t="s">
        <v>1092</v>
      </c>
      <c r="K268" s="714" t="s">
        <v>1078</v>
      </c>
      <c r="L268" s="718"/>
      <c r="M268" s="718"/>
      <c r="N268" s="718" t="s">
        <v>1425</v>
      </c>
      <c r="O268" s="739"/>
      <c r="P268" s="718"/>
      <c r="Q268" s="718"/>
      <c r="U268" s="714" t="s">
        <v>1093</v>
      </c>
      <c r="V268" s="714" t="s">
        <v>1093</v>
      </c>
      <c r="X268" s="745">
        <v>43468</v>
      </c>
      <c r="Y268" s="745">
        <v>43468</v>
      </c>
      <c r="AA268" s="745"/>
      <c r="AB268" s="714" t="s">
        <v>1079</v>
      </c>
      <c r="AC268" s="714">
        <v>0</v>
      </c>
      <c r="AD268" s="714">
        <v>0</v>
      </c>
      <c r="AE268" s="714">
        <v>0</v>
      </c>
      <c r="AF268" s="714">
        <v>0</v>
      </c>
      <c r="AG268" s="714">
        <v>0</v>
      </c>
      <c r="AH268" s="714">
        <v>1</v>
      </c>
      <c r="AI268" s="714">
        <v>70095</v>
      </c>
      <c r="AJ268" s="714">
        <v>2183</v>
      </c>
      <c r="AK268" s="714">
        <v>0</v>
      </c>
      <c r="AL268" s="714">
        <v>0</v>
      </c>
      <c r="AO268" s="748"/>
      <c r="AP268" s="748"/>
      <c r="AQ268" s="714" t="str">
        <f t="shared" si="6"/>
        <v/>
      </c>
      <c r="AS268" s="714" t="str">
        <f t="shared" si="7"/>
        <v>wci_corp</v>
      </c>
    </row>
    <row r="269" spans="2:45">
      <c r="B269" s="714" t="s">
        <v>1228</v>
      </c>
      <c r="C269" s="745">
        <v>43465</v>
      </c>
      <c r="D269" s="746">
        <v>272.22000000000003</v>
      </c>
      <c r="E269" s="746">
        <v>0</v>
      </c>
      <c r="F269" s="747" t="s">
        <v>1074</v>
      </c>
      <c r="G269" s="714" t="s">
        <v>1090</v>
      </c>
      <c r="H269" s="748" t="s">
        <v>1075</v>
      </c>
      <c r="I269" s="714" t="s">
        <v>1091</v>
      </c>
      <c r="J269" s="714" t="s">
        <v>1092</v>
      </c>
      <c r="K269" s="714" t="s">
        <v>1078</v>
      </c>
      <c r="L269" s="718"/>
      <c r="M269" s="718"/>
      <c r="N269" s="718" t="s">
        <v>1426</v>
      </c>
      <c r="O269" s="739"/>
      <c r="P269" s="718"/>
      <c r="Q269" s="718"/>
      <c r="U269" s="714" t="s">
        <v>1093</v>
      </c>
      <c r="V269" s="714" t="s">
        <v>1093</v>
      </c>
      <c r="X269" s="745">
        <v>43468</v>
      </c>
      <c r="Y269" s="745">
        <v>43468</v>
      </c>
      <c r="AA269" s="745"/>
      <c r="AB269" s="714" t="s">
        <v>1079</v>
      </c>
      <c r="AC269" s="714">
        <v>0</v>
      </c>
      <c r="AD269" s="714">
        <v>0</v>
      </c>
      <c r="AE269" s="714">
        <v>0</v>
      </c>
      <c r="AF269" s="714">
        <v>0</v>
      </c>
      <c r="AG269" s="714">
        <v>0</v>
      </c>
      <c r="AH269" s="714">
        <v>1</v>
      </c>
      <c r="AI269" s="714">
        <v>70095</v>
      </c>
      <c r="AJ269" s="714">
        <v>2183</v>
      </c>
      <c r="AK269" s="714">
        <v>0</v>
      </c>
      <c r="AL269" s="714">
        <v>0</v>
      </c>
      <c r="AO269" s="748"/>
      <c r="AP269" s="748"/>
      <c r="AQ269" s="714" t="str">
        <f t="shared" si="6"/>
        <v/>
      </c>
      <c r="AS269" s="714" t="str">
        <f t="shared" si="7"/>
        <v>wci_corp</v>
      </c>
    </row>
    <row r="270" spans="2:45">
      <c r="B270" s="714" t="s">
        <v>1228</v>
      </c>
      <c r="C270" s="745">
        <v>43465</v>
      </c>
      <c r="D270" s="746">
        <v>78.38</v>
      </c>
      <c r="E270" s="746">
        <v>0</v>
      </c>
      <c r="F270" s="747" t="s">
        <v>1074</v>
      </c>
      <c r="G270" s="714" t="s">
        <v>1090</v>
      </c>
      <c r="H270" s="748" t="s">
        <v>1075</v>
      </c>
      <c r="I270" s="714" t="s">
        <v>1091</v>
      </c>
      <c r="J270" s="714" t="s">
        <v>1092</v>
      </c>
      <c r="K270" s="714" t="s">
        <v>1078</v>
      </c>
      <c r="L270" s="718"/>
      <c r="M270" s="718"/>
      <c r="N270" s="718" t="s">
        <v>1427</v>
      </c>
      <c r="O270" s="739"/>
      <c r="P270" s="718"/>
      <c r="Q270" s="718"/>
      <c r="U270" s="714" t="s">
        <v>1093</v>
      </c>
      <c r="V270" s="714" t="s">
        <v>1093</v>
      </c>
      <c r="X270" s="745">
        <v>43468</v>
      </c>
      <c r="Y270" s="745">
        <v>43468</v>
      </c>
      <c r="AA270" s="745"/>
      <c r="AB270" s="714" t="s">
        <v>1079</v>
      </c>
      <c r="AC270" s="714">
        <v>0</v>
      </c>
      <c r="AD270" s="714">
        <v>0</v>
      </c>
      <c r="AE270" s="714">
        <v>0</v>
      </c>
      <c r="AF270" s="714">
        <v>0</v>
      </c>
      <c r="AG270" s="714">
        <v>0</v>
      </c>
      <c r="AH270" s="714">
        <v>1</v>
      </c>
      <c r="AI270" s="714">
        <v>70095</v>
      </c>
      <c r="AJ270" s="714">
        <v>2183</v>
      </c>
      <c r="AK270" s="714">
        <v>0</v>
      </c>
      <c r="AL270" s="714">
        <v>0</v>
      </c>
      <c r="AO270" s="748"/>
      <c r="AP270" s="748"/>
      <c r="AQ270" s="714" t="str">
        <f t="shared" si="6"/>
        <v/>
      </c>
      <c r="AS270" s="714" t="str">
        <f t="shared" si="7"/>
        <v>wci_corp</v>
      </c>
    </row>
    <row r="271" spans="2:45">
      <c r="B271" s="714" t="s">
        <v>1228</v>
      </c>
      <c r="C271" s="745">
        <v>43465</v>
      </c>
      <c r="D271" s="746">
        <v>320.76</v>
      </c>
      <c r="E271" s="746">
        <v>0</v>
      </c>
      <c r="F271" s="747" t="s">
        <v>1074</v>
      </c>
      <c r="G271" s="714" t="s">
        <v>1090</v>
      </c>
      <c r="H271" s="748" t="s">
        <v>1075</v>
      </c>
      <c r="I271" s="714" t="s">
        <v>1091</v>
      </c>
      <c r="J271" s="714" t="s">
        <v>1092</v>
      </c>
      <c r="K271" s="714" t="s">
        <v>1078</v>
      </c>
      <c r="L271" s="718"/>
      <c r="M271" s="718"/>
      <c r="N271" s="718" t="s">
        <v>1428</v>
      </c>
      <c r="O271" s="739"/>
      <c r="P271" s="718"/>
      <c r="Q271" s="718"/>
      <c r="U271" s="714" t="s">
        <v>1093</v>
      </c>
      <c r="V271" s="714" t="s">
        <v>1093</v>
      </c>
      <c r="X271" s="745">
        <v>43468</v>
      </c>
      <c r="Y271" s="745">
        <v>43468</v>
      </c>
      <c r="AA271" s="745"/>
      <c r="AB271" s="714" t="s">
        <v>1079</v>
      </c>
      <c r="AC271" s="714">
        <v>0</v>
      </c>
      <c r="AD271" s="714">
        <v>0</v>
      </c>
      <c r="AE271" s="714">
        <v>0</v>
      </c>
      <c r="AF271" s="714">
        <v>0</v>
      </c>
      <c r="AG271" s="714">
        <v>0</v>
      </c>
      <c r="AH271" s="714">
        <v>1</v>
      </c>
      <c r="AI271" s="714">
        <v>70095</v>
      </c>
      <c r="AJ271" s="714">
        <v>2183</v>
      </c>
      <c r="AK271" s="714">
        <v>0</v>
      </c>
      <c r="AL271" s="714">
        <v>0</v>
      </c>
      <c r="AO271" s="748"/>
      <c r="AP271" s="748"/>
      <c r="AQ271" s="714" t="str">
        <f t="shared" si="6"/>
        <v/>
      </c>
      <c r="AS271" s="714" t="str">
        <f t="shared" si="7"/>
        <v>wci_corp</v>
      </c>
    </row>
    <row r="272" spans="2:45">
      <c r="B272" s="714" t="s">
        <v>1228</v>
      </c>
      <c r="C272" s="745">
        <v>43465</v>
      </c>
      <c r="D272" s="746">
        <v>81.75</v>
      </c>
      <c r="E272" s="746">
        <v>0</v>
      </c>
      <c r="F272" s="747" t="s">
        <v>1074</v>
      </c>
      <c r="G272" s="714" t="s">
        <v>1090</v>
      </c>
      <c r="H272" s="748" t="s">
        <v>1075</v>
      </c>
      <c r="I272" s="714" t="s">
        <v>1091</v>
      </c>
      <c r="J272" s="714" t="s">
        <v>1092</v>
      </c>
      <c r="K272" s="714" t="s">
        <v>1078</v>
      </c>
      <c r="L272" s="718"/>
      <c r="M272" s="718"/>
      <c r="N272" s="718" t="s">
        <v>1429</v>
      </c>
      <c r="O272" s="739"/>
      <c r="P272" s="718"/>
      <c r="Q272" s="718"/>
      <c r="U272" s="714" t="s">
        <v>1093</v>
      </c>
      <c r="V272" s="714" t="s">
        <v>1093</v>
      </c>
      <c r="X272" s="745">
        <v>43468</v>
      </c>
      <c r="Y272" s="745">
        <v>43468</v>
      </c>
      <c r="AA272" s="745"/>
      <c r="AB272" s="714" t="s">
        <v>1079</v>
      </c>
      <c r="AC272" s="714">
        <v>0</v>
      </c>
      <c r="AD272" s="714">
        <v>0</v>
      </c>
      <c r="AE272" s="714">
        <v>0</v>
      </c>
      <c r="AF272" s="714">
        <v>0</v>
      </c>
      <c r="AG272" s="714">
        <v>0</v>
      </c>
      <c r="AH272" s="714">
        <v>1</v>
      </c>
      <c r="AI272" s="714">
        <v>70095</v>
      </c>
      <c r="AJ272" s="714">
        <v>2183</v>
      </c>
      <c r="AK272" s="714">
        <v>0</v>
      </c>
      <c r="AL272" s="714">
        <v>0</v>
      </c>
      <c r="AO272" s="748"/>
      <c r="AP272" s="748"/>
      <c r="AQ272" s="714" t="str">
        <f t="shared" si="6"/>
        <v/>
      </c>
      <c r="AS272" s="714" t="str">
        <f t="shared" si="7"/>
        <v>wci_corp</v>
      </c>
    </row>
    <row r="273" spans="2:45">
      <c r="B273" s="714" t="s">
        <v>1228</v>
      </c>
      <c r="C273" s="745">
        <v>43465</v>
      </c>
      <c r="D273" s="746">
        <v>34.520000000000003</v>
      </c>
      <c r="E273" s="746">
        <v>0</v>
      </c>
      <c r="F273" s="747" t="s">
        <v>1074</v>
      </c>
      <c r="G273" s="714" t="s">
        <v>1090</v>
      </c>
      <c r="H273" s="748" t="s">
        <v>1075</v>
      </c>
      <c r="I273" s="714" t="s">
        <v>1091</v>
      </c>
      <c r="J273" s="714" t="s">
        <v>1092</v>
      </c>
      <c r="K273" s="714" t="s">
        <v>1078</v>
      </c>
      <c r="L273" s="718"/>
      <c r="M273" s="718"/>
      <c r="N273" s="718" t="s">
        <v>1430</v>
      </c>
      <c r="O273" s="739"/>
      <c r="P273" s="718"/>
      <c r="Q273" s="718"/>
      <c r="U273" s="714" t="s">
        <v>1093</v>
      </c>
      <c r="V273" s="714" t="s">
        <v>1093</v>
      </c>
      <c r="X273" s="745">
        <v>43468</v>
      </c>
      <c r="Y273" s="745">
        <v>43468</v>
      </c>
      <c r="AA273" s="745"/>
      <c r="AB273" s="714" t="s">
        <v>1079</v>
      </c>
      <c r="AC273" s="714">
        <v>0</v>
      </c>
      <c r="AD273" s="714">
        <v>0</v>
      </c>
      <c r="AE273" s="714">
        <v>0</v>
      </c>
      <c r="AF273" s="714">
        <v>0</v>
      </c>
      <c r="AG273" s="714">
        <v>0</v>
      </c>
      <c r="AH273" s="714">
        <v>1</v>
      </c>
      <c r="AI273" s="714">
        <v>70095</v>
      </c>
      <c r="AJ273" s="714">
        <v>2183</v>
      </c>
      <c r="AK273" s="714">
        <v>0</v>
      </c>
      <c r="AL273" s="714">
        <v>0</v>
      </c>
      <c r="AO273" s="748"/>
      <c r="AP273" s="748"/>
      <c r="AQ273" s="714" t="str">
        <f t="shared" si="6"/>
        <v/>
      </c>
      <c r="AS273" s="714" t="str">
        <f t="shared" si="7"/>
        <v>wci_corp</v>
      </c>
    </row>
    <row r="274" spans="2:45">
      <c r="B274" s="714" t="s">
        <v>1228</v>
      </c>
      <c r="C274" s="745">
        <v>43465</v>
      </c>
      <c r="D274" s="746">
        <v>54.87</v>
      </c>
      <c r="E274" s="746">
        <v>0</v>
      </c>
      <c r="F274" s="747" t="s">
        <v>1074</v>
      </c>
      <c r="G274" s="714" t="s">
        <v>1090</v>
      </c>
      <c r="H274" s="748" t="s">
        <v>1075</v>
      </c>
      <c r="I274" s="714" t="s">
        <v>1091</v>
      </c>
      <c r="J274" s="714" t="s">
        <v>1092</v>
      </c>
      <c r="K274" s="714" t="s">
        <v>1078</v>
      </c>
      <c r="L274" s="718"/>
      <c r="M274" s="718"/>
      <c r="N274" s="718" t="s">
        <v>1431</v>
      </c>
      <c r="O274" s="739"/>
      <c r="P274" s="718"/>
      <c r="Q274" s="718"/>
      <c r="U274" s="714" t="s">
        <v>1093</v>
      </c>
      <c r="V274" s="714" t="s">
        <v>1093</v>
      </c>
      <c r="X274" s="745">
        <v>43468</v>
      </c>
      <c r="Y274" s="745">
        <v>43468</v>
      </c>
      <c r="AA274" s="745"/>
      <c r="AB274" s="714" t="s">
        <v>1079</v>
      </c>
      <c r="AC274" s="714">
        <v>0</v>
      </c>
      <c r="AD274" s="714">
        <v>0</v>
      </c>
      <c r="AE274" s="714">
        <v>0</v>
      </c>
      <c r="AF274" s="714">
        <v>0</v>
      </c>
      <c r="AG274" s="714">
        <v>0</v>
      </c>
      <c r="AH274" s="714">
        <v>1</v>
      </c>
      <c r="AI274" s="714">
        <v>70095</v>
      </c>
      <c r="AJ274" s="714">
        <v>2183</v>
      </c>
      <c r="AK274" s="714">
        <v>0</v>
      </c>
      <c r="AL274" s="714">
        <v>0</v>
      </c>
      <c r="AO274" s="748"/>
      <c r="AP274" s="748"/>
      <c r="AQ274" s="714" t="str">
        <f t="shared" si="6"/>
        <v/>
      </c>
      <c r="AS274" s="714" t="str">
        <f t="shared" si="7"/>
        <v>wci_corp</v>
      </c>
    </row>
    <row r="275" spans="2:45">
      <c r="B275" s="714" t="s">
        <v>1228</v>
      </c>
      <c r="C275" s="745">
        <v>43465</v>
      </c>
      <c r="D275" s="746">
        <v>43.52</v>
      </c>
      <c r="E275" s="746">
        <v>0</v>
      </c>
      <c r="F275" s="747" t="s">
        <v>1074</v>
      </c>
      <c r="G275" s="714" t="s">
        <v>1090</v>
      </c>
      <c r="H275" s="748" t="s">
        <v>1075</v>
      </c>
      <c r="I275" s="714" t="s">
        <v>1091</v>
      </c>
      <c r="J275" s="714" t="s">
        <v>1092</v>
      </c>
      <c r="K275" s="714" t="s">
        <v>1078</v>
      </c>
      <c r="L275" s="718"/>
      <c r="M275" s="718"/>
      <c r="N275" s="718" t="s">
        <v>1432</v>
      </c>
      <c r="O275" s="739"/>
      <c r="P275" s="718"/>
      <c r="Q275" s="718"/>
      <c r="U275" s="714" t="s">
        <v>1093</v>
      </c>
      <c r="V275" s="714" t="s">
        <v>1093</v>
      </c>
      <c r="X275" s="745">
        <v>43468</v>
      </c>
      <c r="Y275" s="745">
        <v>43468</v>
      </c>
      <c r="AA275" s="745"/>
      <c r="AB275" s="714" t="s">
        <v>1079</v>
      </c>
      <c r="AC275" s="714">
        <v>0</v>
      </c>
      <c r="AD275" s="714">
        <v>0</v>
      </c>
      <c r="AE275" s="714">
        <v>0</v>
      </c>
      <c r="AF275" s="714">
        <v>0</v>
      </c>
      <c r="AG275" s="714">
        <v>0</v>
      </c>
      <c r="AH275" s="714">
        <v>1</v>
      </c>
      <c r="AI275" s="714">
        <v>70095</v>
      </c>
      <c r="AJ275" s="714">
        <v>2183</v>
      </c>
      <c r="AK275" s="714">
        <v>0</v>
      </c>
      <c r="AL275" s="714">
        <v>0</v>
      </c>
      <c r="AO275" s="748"/>
      <c r="AP275" s="748"/>
      <c r="AQ275" s="714" t="str">
        <f t="shared" si="6"/>
        <v/>
      </c>
      <c r="AS275" s="714" t="str">
        <f t="shared" si="7"/>
        <v>wci_corp</v>
      </c>
    </row>
    <row r="276" spans="2:45">
      <c r="B276" s="714" t="s">
        <v>1228</v>
      </c>
      <c r="C276" s="745">
        <v>43465</v>
      </c>
      <c r="D276" s="746">
        <v>73.819999999999993</v>
      </c>
      <c r="E276" s="746">
        <v>0</v>
      </c>
      <c r="F276" s="747" t="s">
        <v>1074</v>
      </c>
      <c r="G276" s="714" t="s">
        <v>1090</v>
      </c>
      <c r="H276" s="748" t="s">
        <v>1075</v>
      </c>
      <c r="I276" s="714" t="s">
        <v>1091</v>
      </c>
      <c r="J276" s="714" t="s">
        <v>1092</v>
      </c>
      <c r="K276" s="714" t="s">
        <v>1078</v>
      </c>
      <c r="L276" s="718"/>
      <c r="M276" s="718"/>
      <c r="N276" s="718" t="s">
        <v>1433</v>
      </c>
      <c r="O276" s="739"/>
      <c r="P276" s="718"/>
      <c r="Q276" s="718"/>
      <c r="U276" s="714" t="s">
        <v>1093</v>
      </c>
      <c r="V276" s="714" t="s">
        <v>1093</v>
      </c>
      <c r="X276" s="745">
        <v>43468</v>
      </c>
      <c r="Y276" s="745">
        <v>43468</v>
      </c>
      <c r="AA276" s="745"/>
      <c r="AB276" s="714" t="s">
        <v>1079</v>
      </c>
      <c r="AC276" s="714">
        <v>0</v>
      </c>
      <c r="AD276" s="714">
        <v>0</v>
      </c>
      <c r="AE276" s="714">
        <v>0</v>
      </c>
      <c r="AF276" s="714">
        <v>0</v>
      </c>
      <c r="AG276" s="714">
        <v>0</v>
      </c>
      <c r="AH276" s="714">
        <v>1</v>
      </c>
      <c r="AI276" s="714">
        <v>70095</v>
      </c>
      <c r="AJ276" s="714">
        <v>2183</v>
      </c>
      <c r="AK276" s="714">
        <v>0</v>
      </c>
      <c r="AL276" s="714">
        <v>0</v>
      </c>
      <c r="AO276" s="748"/>
      <c r="AP276" s="748"/>
      <c r="AQ276" s="714" t="str">
        <f t="shared" si="6"/>
        <v/>
      </c>
      <c r="AS276" s="714" t="str">
        <f t="shared" si="7"/>
        <v>wci_corp</v>
      </c>
    </row>
    <row r="277" spans="2:45">
      <c r="B277" s="714" t="s">
        <v>1228</v>
      </c>
      <c r="C277" s="745">
        <v>43465</v>
      </c>
      <c r="D277" s="746">
        <v>39.11</v>
      </c>
      <c r="E277" s="746">
        <v>0</v>
      </c>
      <c r="F277" s="747" t="s">
        <v>1074</v>
      </c>
      <c r="G277" s="714" t="s">
        <v>1090</v>
      </c>
      <c r="H277" s="748" t="s">
        <v>1075</v>
      </c>
      <c r="I277" s="714" t="s">
        <v>1091</v>
      </c>
      <c r="J277" s="714" t="s">
        <v>1092</v>
      </c>
      <c r="K277" s="714" t="s">
        <v>1078</v>
      </c>
      <c r="L277" s="718"/>
      <c r="M277" s="718"/>
      <c r="N277" s="718" t="s">
        <v>1434</v>
      </c>
      <c r="O277" s="739"/>
      <c r="P277" s="718"/>
      <c r="Q277" s="718"/>
      <c r="U277" s="714" t="s">
        <v>1093</v>
      </c>
      <c r="V277" s="714" t="s">
        <v>1093</v>
      </c>
      <c r="X277" s="745">
        <v>43468</v>
      </c>
      <c r="Y277" s="745">
        <v>43468</v>
      </c>
      <c r="AA277" s="745"/>
      <c r="AB277" s="714" t="s">
        <v>1079</v>
      </c>
      <c r="AC277" s="714">
        <v>0</v>
      </c>
      <c r="AD277" s="714">
        <v>0</v>
      </c>
      <c r="AE277" s="714">
        <v>0</v>
      </c>
      <c r="AF277" s="714">
        <v>0</v>
      </c>
      <c r="AG277" s="714">
        <v>0</v>
      </c>
      <c r="AH277" s="714">
        <v>1</v>
      </c>
      <c r="AI277" s="714">
        <v>70095</v>
      </c>
      <c r="AJ277" s="714">
        <v>2183</v>
      </c>
      <c r="AK277" s="714">
        <v>0</v>
      </c>
      <c r="AL277" s="714">
        <v>0</v>
      </c>
      <c r="AO277" s="748"/>
      <c r="AP277" s="748"/>
      <c r="AQ277" s="714" t="str">
        <f t="shared" ref="AQ277:AQ340" si="8">IF(LEFT(U277,2)="VO",U277,"")</f>
        <v/>
      </c>
      <c r="AS277" s="714" t="str">
        <f t="shared" ref="AS277:AS340" si="9">IF(RIGHT(K277,2)="IC",IF(OR(AB277="wci_canada",AB277="wci_can_corp"),"wci_can_Corp","wci_corp"),AB277)</f>
        <v>wci_corp</v>
      </c>
    </row>
    <row r="278" spans="2:45">
      <c r="B278" s="714" t="s">
        <v>1228</v>
      </c>
      <c r="C278" s="745">
        <v>43465</v>
      </c>
      <c r="D278" s="746">
        <v>244.51</v>
      </c>
      <c r="E278" s="746">
        <v>0</v>
      </c>
      <c r="F278" s="747" t="s">
        <v>1074</v>
      </c>
      <c r="G278" s="714" t="s">
        <v>1090</v>
      </c>
      <c r="H278" s="748" t="s">
        <v>1075</v>
      </c>
      <c r="I278" s="714" t="s">
        <v>1091</v>
      </c>
      <c r="J278" s="714" t="s">
        <v>1092</v>
      </c>
      <c r="K278" s="714" t="s">
        <v>1078</v>
      </c>
      <c r="L278" s="718"/>
      <c r="M278" s="718"/>
      <c r="N278" s="718" t="s">
        <v>1421</v>
      </c>
      <c r="O278" s="739"/>
      <c r="P278" s="718"/>
      <c r="Q278" s="718"/>
      <c r="U278" s="714" t="s">
        <v>1093</v>
      </c>
      <c r="V278" s="714" t="s">
        <v>1093</v>
      </c>
      <c r="X278" s="745">
        <v>43468</v>
      </c>
      <c r="Y278" s="745">
        <v>43468</v>
      </c>
      <c r="AA278" s="745"/>
      <c r="AB278" s="714" t="s">
        <v>1079</v>
      </c>
      <c r="AC278" s="714">
        <v>0</v>
      </c>
      <c r="AD278" s="714">
        <v>0</v>
      </c>
      <c r="AE278" s="714">
        <v>0</v>
      </c>
      <c r="AF278" s="714">
        <v>0</v>
      </c>
      <c r="AG278" s="714">
        <v>0</v>
      </c>
      <c r="AH278" s="714">
        <v>1</v>
      </c>
      <c r="AI278" s="714">
        <v>70095</v>
      </c>
      <c r="AJ278" s="714">
        <v>2183</v>
      </c>
      <c r="AK278" s="714">
        <v>0</v>
      </c>
      <c r="AL278" s="714">
        <v>0</v>
      </c>
      <c r="AO278" s="748"/>
      <c r="AP278" s="748"/>
      <c r="AQ278" s="714" t="str">
        <f t="shared" si="8"/>
        <v/>
      </c>
      <c r="AS278" s="714" t="str">
        <f t="shared" si="9"/>
        <v>wci_corp</v>
      </c>
    </row>
    <row r="279" spans="2:45">
      <c r="B279" s="714" t="s">
        <v>1228</v>
      </c>
      <c r="C279" s="745">
        <v>43465</v>
      </c>
      <c r="D279" s="746">
        <v>85.2</v>
      </c>
      <c r="E279" s="746">
        <v>0</v>
      </c>
      <c r="F279" s="747" t="s">
        <v>1074</v>
      </c>
      <c r="G279" s="714" t="s">
        <v>1090</v>
      </c>
      <c r="H279" s="748" t="s">
        <v>1075</v>
      </c>
      <c r="I279" s="714" t="s">
        <v>1091</v>
      </c>
      <c r="J279" s="714" t="s">
        <v>1092</v>
      </c>
      <c r="K279" s="714" t="s">
        <v>1078</v>
      </c>
      <c r="L279" s="718"/>
      <c r="M279" s="718"/>
      <c r="N279" s="718" t="s">
        <v>1293</v>
      </c>
      <c r="O279" s="739"/>
      <c r="P279" s="718"/>
      <c r="Q279" s="718"/>
      <c r="U279" s="714" t="s">
        <v>1093</v>
      </c>
      <c r="V279" s="714" t="s">
        <v>1093</v>
      </c>
      <c r="X279" s="745">
        <v>43468</v>
      </c>
      <c r="Y279" s="745">
        <v>43468</v>
      </c>
      <c r="AA279" s="745"/>
      <c r="AB279" s="714" t="s">
        <v>1079</v>
      </c>
      <c r="AC279" s="714">
        <v>0</v>
      </c>
      <c r="AD279" s="714">
        <v>0</v>
      </c>
      <c r="AE279" s="714">
        <v>0</v>
      </c>
      <c r="AF279" s="714">
        <v>0</v>
      </c>
      <c r="AG279" s="714">
        <v>0</v>
      </c>
      <c r="AH279" s="714">
        <v>1</v>
      </c>
      <c r="AI279" s="714">
        <v>70095</v>
      </c>
      <c r="AJ279" s="714">
        <v>2183</v>
      </c>
      <c r="AK279" s="714">
        <v>0</v>
      </c>
      <c r="AL279" s="714">
        <v>0</v>
      </c>
      <c r="AO279" s="748"/>
      <c r="AP279" s="748"/>
      <c r="AQ279" s="714" t="str">
        <f t="shared" si="8"/>
        <v/>
      </c>
      <c r="AS279" s="714" t="str">
        <f t="shared" si="9"/>
        <v>wci_corp</v>
      </c>
    </row>
    <row r="280" spans="2:45">
      <c r="B280" s="714" t="s">
        <v>1228</v>
      </c>
      <c r="C280" s="745">
        <v>43465</v>
      </c>
      <c r="D280" s="746">
        <v>190.87</v>
      </c>
      <c r="E280" s="746">
        <v>0</v>
      </c>
      <c r="F280" s="747" t="s">
        <v>1074</v>
      </c>
      <c r="G280" s="714" t="s">
        <v>1090</v>
      </c>
      <c r="H280" s="748" t="s">
        <v>1075</v>
      </c>
      <c r="I280" s="714" t="s">
        <v>1091</v>
      </c>
      <c r="J280" s="714" t="s">
        <v>1092</v>
      </c>
      <c r="K280" s="714" t="s">
        <v>1078</v>
      </c>
      <c r="L280" s="718"/>
      <c r="M280" s="718"/>
      <c r="N280" s="718" t="s">
        <v>1446</v>
      </c>
      <c r="O280" s="739"/>
      <c r="P280" s="718"/>
      <c r="Q280" s="718"/>
      <c r="U280" s="714" t="s">
        <v>1093</v>
      </c>
      <c r="V280" s="714" t="s">
        <v>1093</v>
      </c>
      <c r="X280" s="745">
        <v>43468</v>
      </c>
      <c r="Y280" s="745">
        <v>43468</v>
      </c>
      <c r="AA280" s="745"/>
      <c r="AB280" s="714" t="s">
        <v>1079</v>
      </c>
      <c r="AC280" s="714">
        <v>0</v>
      </c>
      <c r="AD280" s="714">
        <v>0</v>
      </c>
      <c r="AE280" s="714">
        <v>0</v>
      </c>
      <c r="AF280" s="714">
        <v>0</v>
      </c>
      <c r="AG280" s="714">
        <v>0</v>
      </c>
      <c r="AH280" s="714">
        <v>1</v>
      </c>
      <c r="AI280" s="714">
        <v>70095</v>
      </c>
      <c r="AJ280" s="714">
        <v>2183</v>
      </c>
      <c r="AK280" s="714">
        <v>0</v>
      </c>
      <c r="AL280" s="714">
        <v>0</v>
      </c>
      <c r="AO280" s="748"/>
      <c r="AP280" s="748"/>
      <c r="AQ280" s="714" t="str">
        <f t="shared" si="8"/>
        <v/>
      </c>
      <c r="AS280" s="714" t="str">
        <f t="shared" si="9"/>
        <v>wci_corp</v>
      </c>
    </row>
    <row r="281" spans="2:45">
      <c r="B281" s="714" t="s">
        <v>1228</v>
      </c>
      <c r="C281" s="745">
        <v>43465</v>
      </c>
      <c r="D281" s="746">
        <v>59.96</v>
      </c>
      <c r="E281" s="746">
        <v>0</v>
      </c>
      <c r="F281" s="747" t="s">
        <v>1074</v>
      </c>
      <c r="G281" s="714" t="s">
        <v>1090</v>
      </c>
      <c r="H281" s="748" t="s">
        <v>1075</v>
      </c>
      <c r="I281" s="714" t="s">
        <v>1091</v>
      </c>
      <c r="J281" s="714" t="s">
        <v>1092</v>
      </c>
      <c r="K281" s="714" t="s">
        <v>1078</v>
      </c>
      <c r="L281" s="718"/>
      <c r="M281" s="718"/>
      <c r="N281" s="718" t="s">
        <v>1329</v>
      </c>
      <c r="O281" s="739"/>
      <c r="P281" s="718"/>
      <c r="Q281" s="718"/>
      <c r="U281" s="714" t="s">
        <v>1093</v>
      </c>
      <c r="V281" s="714" t="s">
        <v>1093</v>
      </c>
      <c r="X281" s="745">
        <v>43468</v>
      </c>
      <c r="Y281" s="745">
        <v>43468</v>
      </c>
      <c r="AA281" s="745"/>
      <c r="AB281" s="714" t="s">
        <v>1079</v>
      </c>
      <c r="AC281" s="714">
        <v>0</v>
      </c>
      <c r="AD281" s="714">
        <v>0</v>
      </c>
      <c r="AE281" s="714">
        <v>0</v>
      </c>
      <c r="AF281" s="714">
        <v>0</v>
      </c>
      <c r="AG281" s="714">
        <v>0</v>
      </c>
      <c r="AH281" s="714">
        <v>1</v>
      </c>
      <c r="AI281" s="714">
        <v>70095</v>
      </c>
      <c r="AJ281" s="714">
        <v>2183</v>
      </c>
      <c r="AK281" s="714">
        <v>0</v>
      </c>
      <c r="AL281" s="714">
        <v>0</v>
      </c>
      <c r="AO281" s="748"/>
      <c r="AP281" s="748"/>
      <c r="AQ281" s="714" t="str">
        <f t="shared" si="8"/>
        <v/>
      </c>
      <c r="AS281" s="714" t="str">
        <f t="shared" si="9"/>
        <v>wci_corp</v>
      </c>
    </row>
    <row r="282" spans="2:45">
      <c r="B282" s="714" t="s">
        <v>1228</v>
      </c>
      <c r="C282" s="745">
        <v>43465</v>
      </c>
      <c r="D282" s="746">
        <v>101</v>
      </c>
      <c r="E282" s="746">
        <v>0</v>
      </c>
      <c r="F282" s="747" t="s">
        <v>1074</v>
      </c>
      <c r="G282" s="714" t="s">
        <v>1090</v>
      </c>
      <c r="H282" s="748" t="s">
        <v>1075</v>
      </c>
      <c r="I282" s="714" t="s">
        <v>1091</v>
      </c>
      <c r="J282" s="714" t="s">
        <v>1092</v>
      </c>
      <c r="K282" s="714" t="s">
        <v>1078</v>
      </c>
      <c r="L282" s="718"/>
      <c r="M282" s="718"/>
      <c r="N282" s="718" t="s">
        <v>1447</v>
      </c>
      <c r="O282" s="739"/>
      <c r="P282" s="718"/>
      <c r="Q282" s="718"/>
      <c r="U282" s="714" t="s">
        <v>1093</v>
      </c>
      <c r="V282" s="714" t="s">
        <v>1093</v>
      </c>
      <c r="X282" s="745">
        <v>43468</v>
      </c>
      <c r="Y282" s="745">
        <v>43468</v>
      </c>
      <c r="AA282" s="745"/>
      <c r="AB282" s="714" t="s">
        <v>1079</v>
      </c>
      <c r="AC282" s="714">
        <v>0</v>
      </c>
      <c r="AD282" s="714">
        <v>0</v>
      </c>
      <c r="AE282" s="714">
        <v>0</v>
      </c>
      <c r="AF282" s="714">
        <v>0</v>
      </c>
      <c r="AG282" s="714">
        <v>0</v>
      </c>
      <c r="AH282" s="714">
        <v>1</v>
      </c>
      <c r="AI282" s="714">
        <v>70095</v>
      </c>
      <c r="AJ282" s="714">
        <v>2183</v>
      </c>
      <c r="AK282" s="714">
        <v>0</v>
      </c>
      <c r="AL282" s="714">
        <v>0</v>
      </c>
      <c r="AO282" s="748"/>
      <c r="AP282" s="748"/>
      <c r="AQ282" s="714" t="str">
        <f t="shared" si="8"/>
        <v/>
      </c>
      <c r="AS282" s="714" t="str">
        <f t="shared" si="9"/>
        <v>wci_corp</v>
      </c>
    </row>
    <row r="283" spans="2:45">
      <c r="B283" s="714" t="s">
        <v>1228</v>
      </c>
      <c r="C283" s="745">
        <v>43465</v>
      </c>
      <c r="D283" s="746">
        <v>4123.91</v>
      </c>
      <c r="E283" s="746">
        <v>0</v>
      </c>
      <c r="F283" s="747" t="s">
        <v>1074</v>
      </c>
      <c r="G283" s="714" t="s">
        <v>1090</v>
      </c>
      <c r="H283" s="748" t="s">
        <v>1075</v>
      </c>
      <c r="I283" s="714" t="s">
        <v>1091</v>
      </c>
      <c r="J283" s="714" t="s">
        <v>1092</v>
      </c>
      <c r="K283" s="714" t="s">
        <v>1078</v>
      </c>
      <c r="L283" s="718"/>
      <c r="M283" s="718"/>
      <c r="N283" s="718" t="s">
        <v>1448</v>
      </c>
      <c r="O283" s="739"/>
      <c r="P283" s="718"/>
      <c r="Q283" s="718"/>
      <c r="U283" s="714" t="s">
        <v>1093</v>
      </c>
      <c r="V283" s="714" t="s">
        <v>1093</v>
      </c>
      <c r="X283" s="745">
        <v>43468</v>
      </c>
      <c r="Y283" s="745">
        <v>43468</v>
      </c>
      <c r="AA283" s="745"/>
      <c r="AB283" s="714" t="s">
        <v>1079</v>
      </c>
      <c r="AC283" s="714">
        <v>0</v>
      </c>
      <c r="AD283" s="714">
        <v>0</v>
      </c>
      <c r="AE283" s="714">
        <v>0</v>
      </c>
      <c r="AF283" s="714">
        <v>0</v>
      </c>
      <c r="AG283" s="714">
        <v>0</v>
      </c>
      <c r="AH283" s="714">
        <v>1</v>
      </c>
      <c r="AI283" s="714">
        <v>70095</v>
      </c>
      <c r="AJ283" s="714">
        <v>2183</v>
      </c>
      <c r="AK283" s="714">
        <v>0</v>
      </c>
      <c r="AL283" s="714">
        <v>0</v>
      </c>
      <c r="AO283" s="748"/>
      <c r="AP283" s="748"/>
      <c r="AQ283" s="714" t="str">
        <f t="shared" si="8"/>
        <v/>
      </c>
      <c r="AS283" s="714" t="str">
        <f t="shared" si="9"/>
        <v>wci_corp</v>
      </c>
    </row>
    <row r="284" spans="2:45">
      <c r="B284" s="714" t="s">
        <v>1228</v>
      </c>
      <c r="C284" s="745">
        <v>43465</v>
      </c>
      <c r="D284" s="746">
        <v>71.25</v>
      </c>
      <c r="E284" s="746">
        <v>0</v>
      </c>
      <c r="F284" s="747" t="s">
        <v>1074</v>
      </c>
      <c r="G284" s="714" t="s">
        <v>1090</v>
      </c>
      <c r="H284" s="748" t="s">
        <v>1075</v>
      </c>
      <c r="I284" s="714" t="s">
        <v>1091</v>
      </c>
      <c r="J284" s="714" t="s">
        <v>1092</v>
      </c>
      <c r="K284" s="714" t="s">
        <v>1078</v>
      </c>
      <c r="L284" s="718"/>
      <c r="M284" s="718"/>
      <c r="N284" s="718" t="s">
        <v>1449</v>
      </c>
      <c r="O284" s="739"/>
      <c r="P284" s="718"/>
      <c r="Q284" s="718"/>
      <c r="U284" s="714" t="s">
        <v>1093</v>
      </c>
      <c r="V284" s="714" t="s">
        <v>1093</v>
      </c>
      <c r="X284" s="745">
        <v>43468</v>
      </c>
      <c r="Y284" s="745">
        <v>43468</v>
      </c>
      <c r="AA284" s="745"/>
      <c r="AB284" s="714" t="s">
        <v>1079</v>
      </c>
      <c r="AC284" s="714">
        <v>0</v>
      </c>
      <c r="AD284" s="714">
        <v>0</v>
      </c>
      <c r="AE284" s="714">
        <v>0</v>
      </c>
      <c r="AF284" s="714">
        <v>0</v>
      </c>
      <c r="AG284" s="714">
        <v>0</v>
      </c>
      <c r="AH284" s="714">
        <v>1</v>
      </c>
      <c r="AI284" s="714">
        <v>70095</v>
      </c>
      <c r="AJ284" s="714">
        <v>2183</v>
      </c>
      <c r="AK284" s="714">
        <v>0</v>
      </c>
      <c r="AL284" s="714">
        <v>0</v>
      </c>
      <c r="AO284" s="748"/>
      <c r="AP284" s="748"/>
      <c r="AQ284" s="714" t="str">
        <f t="shared" si="8"/>
        <v/>
      </c>
      <c r="AS284" s="714" t="str">
        <f t="shared" si="9"/>
        <v>wci_corp</v>
      </c>
    </row>
    <row r="285" spans="2:45">
      <c r="B285" s="714" t="s">
        <v>1228</v>
      </c>
      <c r="C285" s="745">
        <v>43465</v>
      </c>
      <c r="D285" s="746">
        <v>87.83</v>
      </c>
      <c r="E285" s="746">
        <v>0</v>
      </c>
      <c r="F285" s="747" t="s">
        <v>1074</v>
      </c>
      <c r="G285" s="714" t="s">
        <v>1090</v>
      </c>
      <c r="H285" s="748" t="s">
        <v>1075</v>
      </c>
      <c r="I285" s="714" t="s">
        <v>1091</v>
      </c>
      <c r="J285" s="714" t="s">
        <v>1092</v>
      </c>
      <c r="K285" s="714" t="s">
        <v>1078</v>
      </c>
      <c r="L285" s="718"/>
      <c r="M285" s="718"/>
      <c r="N285" s="718" t="s">
        <v>1293</v>
      </c>
      <c r="O285" s="739"/>
      <c r="P285" s="718"/>
      <c r="Q285" s="718"/>
      <c r="U285" s="714" t="s">
        <v>1093</v>
      </c>
      <c r="V285" s="714" t="s">
        <v>1093</v>
      </c>
      <c r="X285" s="745">
        <v>43468</v>
      </c>
      <c r="Y285" s="745">
        <v>43468</v>
      </c>
      <c r="AA285" s="745"/>
      <c r="AB285" s="714" t="s">
        <v>1079</v>
      </c>
      <c r="AC285" s="714">
        <v>0</v>
      </c>
      <c r="AD285" s="714">
        <v>0</v>
      </c>
      <c r="AE285" s="714">
        <v>0</v>
      </c>
      <c r="AF285" s="714">
        <v>0</v>
      </c>
      <c r="AG285" s="714">
        <v>0</v>
      </c>
      <c r="AH285" s="714">
        <v>1</v>
      </c>
      <c r="AI285" s="714">
        <v>70095</v>
      </c>
      <c r="AJ285" s="714">
        <v>2183</v>
      </c>
      <c r="AK285" s="714">
        <v>0</v>
      </c>
      <c r="AL285" s="714">
        <v>0</v>
      </c>
      <c r="AO285" s="748"/>
      <c r="AP285" s="748"/>
      <c r="AQ285" s="714" t="str">
        <f t="shared" si="8"/>
        <v/>
      </c>
      <c r="AS285" s="714" t="str">
        <f t="shared" si="9"/>
        <v>wci_corp</v>
      </c>
    </row>
    <row r="286" spans="2:45">
      <c r="B286" s="714" t="s">
        <v>1228</v>
      </c>
      <c r="C286" s="745">
        <v>43465</v>
      </c>
      <c r="D286" s="746">
        <v>44.63</v>
      </c>
      <c r="E286" s="746">
        <v>0</v>
      </c>
      <c r="F286" s="747" t="s">
        <v>1074</v>
      </c>
      <c r="G286" s="714" t="s">
        <v>1090</v>
      </c>
      <c r="H286" s="748" t="s">
        <v>1075</v>
      </c>
      <c r="I286" s="714" t="s">
        <v>1091</v>
      </c>
      <c r="J286" s="714" t="s">
        <v>1092</v>
      </c>
      <c r="K286" s="714" t="s">
        <v>1078</v>
      </c>
      <c r="L286" s="718"/>
      <c r="M286" s="718"/>
      <c r="N286" s="718" t="s">
        <v>1450</v>
      </c>
      <c r="O286" s="739"/>
      <c r="P286" s="718"/>
      <c r="Q286" s="718"/>
      <c r="U286" s="714" t="s">
        <v>1093</v>
      </c>
      <c r="V286" s="714" t="s">
        <v>1093</v>
      </c>
      <c r="X286" s="745">
        <v>43468</v>
      </c>
      <c r="Y286" s="745">
        <v>43468</v>
      </c>
      <c r="AA286" s="745"/>
      <c r="AB286" s="714" t="s">
        <v>1079</v>
      </c>
      <c r="AC286" s="714">
        <v>0</v>
      </c>
      <c r="AD286" s="714">
        <v>0</v>
      </c>
      <c r="AE286" s="714">
        <v>0</v>
      </c>
      <c r="AF286" s="714">
        <v>0</v>
      </c>
      <c r="AG286" s="714">
        <v>0</v>
      </c>
      <c r="AH286" s="714">
        <v>1</v>
      </c>
      <c r="AI286" s="714">
        <v>70095</v>
      </c>
      <c r="AJ286" s="714">
        <v>2183</v>
      </c>
      <c r="AK286" s="714">
        <v>0</v>
      </c>
      <c r="AL286" s="714">
        <v>0</v>
      </c>
      <c r="AO286" s="748"/>
      <c r="AP286" s="748"/>
      <c r="AQ286" s="714" t="str">
        <f t="shared" si="8"/>
        <v/>
      </c>
      <c r="AS286" s="714" t="str">
        <f t="shared" si="9"/>
        <v>wci_corp</v>
      </c>
    </row>
    <row r="287" spans="2:45">
      <c r="B287" s="714" t="s">
        <v>1228</v>
      </c>
      <c r="C287" s="745">
        <v>43465</v>
      </c>
      <c r="D287" s="746">
        <v>75.319999999999993</v>
      </c>
      <c r="E287" s="746">
        <v>0</v>
      </c>
      <c r="F287" s="747" t="s">
        <v>1074</v>
      </c>
      <c r="G287" s="714" t="s">
        <v>1090</v>
      </c>
      <c r="H287" s="748" t="s">
        <v>1075</v>
      </c>
      <c r="I287" s="714" t="s">
        <v>1091</v>
      </c>
      <c r="J287" s="714" t="s">
        <v>1092</v>
      </c>
      <c r="K287" s="714" t="s">
        <v>1078</v>
      </c>
      <c r="L287" s="718"/>
      <c r="M287" s="718"/>
      <c r="N287" s="718" t="s">
        <v>1451</v>
      </c>
      <c r="O287" s="739"/>
      <c r="P287" s="718"/>
      <c r="Q287" s="718"/>
      <c r="U287" s="714" t="s">
        <v>1093</v>
      </c>
      <c r="V287" s="714" t="s">
        <v>1093</v>
      </c>
      <c r="X287" s="745">
        <v>43468</v>
      </c>
      <c r="Y287" s="745">
        <v>43468</v>
      </c>
      <c r="AA287" s="745"/>
      <c r="AB287" s="714" t="s">
        <v>1079</v>
      </c>
      <c r="AC287" s="714">
        <v>0</v>
      </c>
      <c r="AD287" s="714">
        <v>0</v>
      </c>
      <c r="AE287" s="714">
        <v>0</v>
      </c>
      <c r="AF287" s="714">
        <v>0</v>
      </c>
      <c r="AG287" s="714">
        <v>0</v>
      </c>
      <c r="AH287" s="714">
        <v>1</v>
      </c>
      <c r="AI287" s="714">
        <v>70095</v>
      </c>
      <c r="AJ287" s="714">
        <v>2183</v>
      </c>
      <c r="AK287" s="714">
        <v>0</v>
      </c>
      <c r="AL287" s="714">
        <v>0</v>
      </c>
      <c r="AO287" s="748"/>
      <c r="AP287" s="748"/>
      <c r="AQ287" s="714" t="str">
        <f t="shared" si="8"/>
        <v/>
      </c>
      <c r="AS287" s="714" t="str">
        <f t="shared" si="9"/>
        <v>wci_corp</v>
      </c>
    </row>
    <row r="288" spans="2:45">
      <c r="B288" s="714" t="s">
        <v>1228</v>
      </c>
      <c r="C288" s="745">
        <v>43465</v>
      </c>
      <c r="D288" s="746">
        <v>97.71</v>
      </c>
      <c r="E288" s="746">
        <v>0</v>
      </c>
      <c r="F288" s="747" t="s">
        <v>1074</v>
      </c>
      <c r="G288" s="714" t="s">
        <v>1090</v>
      </c>
      <c r="H288" s="748" t="s">
        <v>1075</v>
      </c>
      <c r="I288" s="714" t="s">
        <v>1091</v>
      </c>
      <c r="J288" s="714" t="s">
        <v>1092</v>
      </c>
      <c r="K288" s="714" t="s">
        <v>1078</v>
      </c>
      <c r="L288" s="718"/>
      <c r="M288" s="718"/>
      <c r="N288" s="718" t="s">
        <v>1329</v>
      </c>
      <c r="O288" s="739"/>
      <c r="P288" s="718"/>
      <c r="Q288" s="718"/>
      <c r="U288" s="714" t="s">
        <v>1093</v>
      </c>
      <c r="V288" s="714" t="s">
        <v>1093</v>
      </c>
      <c r="X288" s="745">
        <v>43468</v>
      </c>
      <c r="Y288" s="745">
        <v>43468</v>
      </c>
      <c r="AA288" s="745"/>
      <c r="AB288" s="714" t="s">
        <v>1079</v>
      </c>
      <c r="AC288" s="714">
        <v>0</v>
      </c>
      <c r="AD288" s="714">
        <v>0</v>
      </c>
      <c r="AE288" s="714">
        <v>0</v>
      </c>
      <c r="AF288" s="714">
        <v>0</v>
      </c>
      <c r="AG288" s="714">
        <v>0</v>
      </c>
      <c r="AH288" s="714">
        <v>1</v>
      </c>
      <c r="AI288" s="714">
        <v>70095</v>
      </c>
      <c r="AJ288" s="714">
        <v>2183</v>
      </c>
      <c r="AK288" s="714">
        <v>0</v>
      </c>
      <c r="AL288" s="714">
        <v>0</v>
      </c>
      <c r="AO288" s="748"/>
      <c r="AP288" s="748"/>
      <c r="AQ288" s="714" t="str">
        <f t="shared" si="8"/>
        <v/>
      </c>
      <c r="AS288" s="714" t="str">
        <f t="shared" si="9"/>
        <v>wci_corp</v>
      </c>
    </row>
    <row r="289" spans="2:45">
      <c r="B289" s="714" t="s">
        <v>1228</v>
      </c>
      <c r="C289" s="745">
        <v>43465</v>
      </c>
      <c r="D289" s="746">
        <v>109.32</v>
      </c>
      <c r="E289" s="746">
        <v>0</v>
      </c>
      <c r="F289" s="747" t="s">
        <v>1074</v>
      </c>
      <c r="G289" s="714" t="s">
        <v>1090</v>
      </c>
      <c r="H289" s="748" t="s">
        <v>1075</v>
      </c>
      <c r="I289" s="714" t="s">
        <v>1091</v>
      </c>
      <c r="J289" s="714" t="s">
        <v>1092</v>
      </c>
      <c r="K289" s="714" t="s">
        <v>1078</v>
      </c>
      <c r="L289" s="718"/>
      <c r="M289" s="718"/>
      <c r="N289" s="718" t="s">
        <v>1329</v>
      </c>
      <c r="O289" s="739"/>
      <c r="P289" s="718"/>
      <c r="Q289" s="718"/>
      <c r="U289" s="714" t="s">
        <v>1093</v>
      </c>
      <c r="V289" s="714" t="s">
        <v>1093</v>
      </c>
      <c r="X289" s="745">
        <v>43468</v>
      </c>
      <c r="Y289" s="745">
        <v>43468</v>
      </c>
      <c r="AA289" s="745"/>
      <c r="AB289" s="714" t="s">
        <v>1079</v>
      </c>
      <c r="AC289" s="714">
        <v>0</v>
      </c>
      <c r="AD289" s="714">
        <v>0</v>
      </c>
      <c r="AE289" s="714">
        <v>0</v>
      </c>
      <c r="AF289" s="714">
        <v>0</v>
      </c>
      <c r="AG289" s="714">
        <v>0</v>
      </c>
      <c r="AH289" s="714">
        <v>1</v>
      </c>
      <c r="AI289" s="714">
        <v>70095</v>
      </c>
      <c r="AJ289" s="714">
        <v>2183</v>
      </c>
      <c r="AK289" s="714">
        <v>0</v>
      </c>
      <c r="AL289" s="714">
        <v>0</v>
      </c>
      <c r="AO289" s="748"/>
      <c r="AP289" s="748"/>
      <c r="AQ289" s="714" t="str">
        <f t="shared" si="8"/>
        <v/>
      </c>
      <c r="AS289" s="714" t="str">
        <f t="shared" si="9"/>
        <v>wci_corp</v>
      </c>
    </row>
    <row r="290" spans="2:45">
      <c r="B290" s="714" t="s">
        <v>1228</v>
      </c>
      <c r="C290" s="745">
        <v>43465</v>
      </c>
      <c r="D290" s="746">
        <v>35.840000000000003</v>
      </c>
      <c r="E290" s="746">
        <v>0</v>
      </c>
      <c r="F290" s="747" t="s">
        <v>1074</v>
      </c>
      <c r="G290" s="714" t="s">
        <v>1090</v>
      </c>
      <c r="H290" s="748" t="s">
        <v>1075</v>
      </c>
      <c r="I290" s="714" t="s">
        <v>1091</v>
      </c>
      <c r="J290" s="714" t="s">
        <v>1092</v>
      </c>
      <c r="K290" s="714" t="s">
        <v>1078</v>
      </c>
      <c r="L290" s="718"/>
      <c r="M290" s="718"/>
      <c r="N290" s="718" t="s">
        <v>1259</v>
      </c>
      <c r="O290" s="739"/>
      <c r="P290" s="718"/>
      <c r="Q290" s="718"/>
      <c r="U290" s="714" t="s">
        <v>1093</v>
      </c>
      <c r="V290" s="714" t="s">
        <v>1093</v>
      </c>
      <c r="X290" s="745">
        <v>43468</v>
      </c>
      <c r="Y290" s="745">
        <v>43468</v>
      </c>
      <c r="AA290" s="745"/>
      <c r="AB290" s="714" t="s">
        <v>1079</v>
      </c>
      <c r="AC290" s="714">
        <v>0</v>
      </c>
      <c r="AD290" s="714">
        <v>0</v>
      </c>
      <c r="AE290" s="714">
        <v>0</v>
      </c>
      <c r="AF290" s="714">
        <v>0</v>
      </c>
      <c r="AG290" s="714">
        <v>0</v>
      </c>
      <c r="AH290" s="714">
        <v>1</v>
      </c>
      <c r="AI290" s="714">
        <v>70095</v>
      </c>
      <c r="AJ290" s="714">
        <v>2183</v>
      </c>
      <c r="AK290" s="714">
        <v>0</v>
      </c>
      <c r="AL290" s="714">
        <v>0</v>
      </c>
      <c r="AO290" s="748"/>
      <c r="AP290" s="748"/>
      <c r="AQ290" s="714" t="str">
        <f t="shared" si="8"/>
        <v/>
      </c>
      <c r="AS290" s="714" t="str">
        <f t="shared" si="9"/>
        <v>wci_corp</v>
      </c>
    </row>
    <row r="291" spans="2:45">
      <c r="B291" s="714" t="s">
        <v>1228</v>
      </c>
      <c r="C291" s="745">
        <v>43465</v>
      </c>
      <c r="D291" s="746">
        <v>111.18</v>
      </c>
      <c r="E291" s="746">
        <v>0</v>
      </c>
      <c r="F291" s="747" t="s">
        <v>1074</v>
      </c>
      <c r="G291" s="714" t="s">
        <v>1090</v>
      </c>
      <c r="H291" s="748" t="s">
        <v>1075</v>
      </c>
      <c r="I291" s="714" t="s">
        <v>1091</v>
      </c>
      <c r="J291" s="714" t="s">
        <v>1092</v>
      </c>
      <c r="K291" s="714" t="s">
        <v>1078</v>
      </c>
      <c r="L291" s="718"/>
      <c r="M291" s="718"/>
      <c r="N291" s="718" t="s">
        <v>1452</v>
      </c>
      <c r="O291" s="739"/>
      <c r="P291" s="718"/>
      <c r="Q291" s="718"/>
      <c r="U291" s="714" t="s">
        <v>1093</v>
      </c>
      <c r="V291" s="714" t="s">
        <v>1093</v>
      </c>
      <c r="X291" s="745">
        <v>43468</v>
      </c>
      <c r="Y291" s="745">
        <v>43468</v>
      </c>
      <c r="AA291" s="745"/>
      <c r="AB291" s="714" t="s">
        <v>1079</v>
      </c>
      <c r="AC291" s="714">
        <v>0</v>
      </c>
      <c r="AD291" s="714">
        <v>0</v>
      </c>
      <c r="AE291" s="714">
        <v>0</v>
      </c>
      <c r="AF291" s="714">
        <v>0</v>
      </c>
      <c r="AG291" s="714">
        <v>0</v>
      </c>
      <c r="AH291" s="714">
        <v>1</v>
      </c>
      <c r="AI291" s="714">
        <v>70095</v>
      </c>
      <c r="AJ291" s="714">
        <v>2183</v>
      </c>
      <c r="AK291" s="714">
        <v>0</v>
      </c>
      <c r="AL291" s="714">
        <v>0</v>
      </c>
      <c r="AO291" s="748"/>
      <c r="AP291" s="748"/>
      <c r="AQ291" s="714" t="str">
        <f t="shared" si="8"/>
        <v/>
      </c>
      <c r="AS291" s="714" t="str">
        <f t="shared" si="9"/>
        <v>wci_corp</v>
      </c>
    </row>
    <row r="292" spans="2:45">
      <c r="B292" s="714" t="s">
        <v>1228</v>
      </c>
      <c r="C292" s="745">
        <v>43465</v>
      </c>
      <c r="D292" s="746">
        <v>133.16</v>
      </c>
      <c r="E292" s="746">
        <v>0</v>
      </c>
      <c r="F292" s="747" t="s">
        <v>1074</v>
      </c>
      <c r="G292" s="714" t="s">
        <v>1090</v>
      </c>
      <c r="H292" s="748" t="s">
        <v>1075</v>
      </c>
      <c r="I292" s="714" t="s">
        <v>1091</v>
      </c>
      <c r="J292" s="714" t="s">
        <v>1092</v>
      </c>
      <c r="K292" s="714" t="s">
        <v>1078</v>
      </c>
      <c r="L292" s="718"/>
      <c r="M292" s="718"/>
      <c r="N292" s="718" t="s">
        <v>1392</v>
      </c>
      <c r="O292" s="739"/>
      <c r="P292" s="718"/>
      <c r="Q292" s="718"/>
      <c r="U292" s="714" t="s">
        <v>1093</v>
      </c>
      <c r="V292" s="714" t="s">
        <v>1093</v>
      </c>
      <c r="X292" s="745">
        <v>43468</v>
      </c>
      <c r="Y292" s="745">
        <v>43468</v>
      </c>
      <c r="AA292" s="745"/>
      <c r="AB292" s="714" t="s">
        <v>1079</v>
      </c>
      <c r="AC292" s="714">
        <v>0</v>
      </c>
      <c r="AD292" s="714">
        <v>0</v>
      </c>
      <c r="AE292" s="714">
        <v>0</v>
      </c>
      <c r="AF292" s="714">
        <v>0</v>
      </c>
      <c r="AG292" s="714">
        <v>0</v>
      </c>
      <c r="AH292" s="714">
        <v>1</v>
      </c>
      <c r="AI292" s="714">
        <v>70095</v>
      </c>
      <c r="AJ292" s="714">
        <v>2183</v>
      </c>
      <c r="AK292" s="714">
        <v>0</v>
      </c>
      <c r="AL292" s="714">
        <v>0</v>
      </c>
      <c r="AO292" s="748"/>
      <c r="AP292" s="748"/>
      <c r="AQ292" s="714" t="str">
        <f t="shared" si="8"/>
        <v/>
      </c>
      <c r="AS292" s="714" t="str">
        <f t="shared" si="9"/>
        <v>wci_corp</v>
      </c>
    </row>
    <row r="293" spans="2:45">
      <c r="B293" s="714" t="s">
        <v>1228</v>
      </c>
      <c r="C293" s="745">
        <v>43465</v>
      </c>
      <c r="D293" s="746">
        <v>137.26</v>
      </c>
      <c r="E293" s="746">
        <v>0</v>
      </c>
      <c r="F293" s="747" t="s">
        <v>1074</v>
      </c>
      <c r="G293" s="714" t="s">
        <v>1090</v>
      </c>
      <c r="H293" s="748" t="s">
        <v>1075</v>
      </c>
      <c r="I293" s="714" t="s">
        <v>1091</v>
      </c>
      <c r="J293" s="714" t="s">
        <v>1092</v>
      </c>
      <c r="K293" s="714" t="s">
        <v>1078</v>
      </c>
      <c r="L293" s="718"/>
      <c r="M293" s="718"/>
      <c r="N293" s="718" t="s">
        <v>1259</v>
      </c>
      <c r="O293" s="739"/>
      <c r="P293" s="718"/>
      <c r="Q293" s="718"/>
      <c r="U293" s="714" t="s">
        <v>1093</v>
      </c>
      <c r="V293" s="714" t="s">
        <v>1093</v>
      </c>
      <c r="X293" s="745">
        <v>43468</v>
      </c>
      <c r="Y293" s="745">
        <v>43468</v>
      </c>
      <c r="AA293" s="745"/>
      <c r="AB293" s="714" t="s">
        <v>1079</v>
      </c>
      <c r="AC293" s="714">
        <v>0</v>
      </c>
      <c r="AD293" s="714">
        <v>0</v>
      </c>
      <c r="AE293" s="714">
        <v>0</v>
      </c>
      <c r="AF293" s="714">
        <v>0</v>
      </c>
      <c r="AG293" s="714">
        <v>0</v>
      </c>
      <c r="AH293" s="714">
        <v>1</v>
      </c>
      <c r="AI293" s="714">
        <v>70095</v>
      </c>
      <c r="AJ293" s="714">
        <v>2183</v>
      </c>
      <c r="AK293" s="714">
        <v>0</v>
      </c>
      <c r="AL293" s="714">
        <v>0</v>
      </c>
      <c r="AO293" s="748"/>
      <c r="AP293" s="748"/>
      <c r="AQ293" s="714" t="str">
        <f t="shared" si="8"/>
        <v/>
      </c>
      <c r="AS293" s="714" t="str">
        <f t="shared" si="9"/>
        <v>wci_corp</v>
      </c>
    </row>
    <row r="294" spans="2:45">
      <c r="B294" s="714" t="s">
        <v>1228</v>
      </c>
      <c r="C294" s="745">
        <v>43465</v>
      </c>
      <c r="D294" s="746">
        <v>51.82</v>
      </c>
      <c r="E294" s="746">
        <v>0</v>
      </c>
      <c r="F294" s="747" t="s">
        <v>1074</v>
      </c>
      <c r="G294" s="714" t="s">
        <v>1090</v>
      </c>
      <c r="H294" s="748" t="s">
        <v>1075</v>
      </c>
      <c r="I294" s="714" t="s">
        <v>1091</v>
      </c>
      <c r="J294" s="714" t="s">
        <v>1092</v>
      </c>
      <c r="K294" s="714" t="s">
        <v>1078</v>
      </c>
      <c r="L294" s="718"/>
      <c r="M294" s="718"/>
      <c r="N294" s="718" t="s">
        <v>1293</v>
      </c>
      <c r="O294" s="739"/>
      <c r="P294" s="718"/>
      <c r="Q294" s="718"/>
      <c r="U294" s="714" t="s">
        <v>1093</v>
      </c>
      <c r="V294" s="714" t="s">
        <v>1093</v>
      </c>
      <c r="X294" s="745">
        <v>43468</v>
      </c>
      <c r="Y294" s="745">
        <v>43468</v>
      </c>
      <c r="AA294" s="745"/>
      <c r="AB294" s="714" t="s">
        <v>1079</v>
      </c>
      <c r="AC294" s="714">
        <v>0</v>
      </c>
      <c r="AD294" s="714">
        <v>0</v>
      </c>
      <c r="AE294" s="714">
        <v>0</v>
      </c>
      <c r="AF294" s="714">
        <v>0</v>
      </c>
      <c r="AG294" s="714">
        <v>0</v>
      </c>
      <c r="AH294" s="714">
        <v>1</v>
      </c>
      <c r="AI294" s="714">
        <v>70095</v>
      </c>
      <c r="AJ294" s="714">
        <v>2183</v>
      </c>
      <c r="AK294" s="714">
        <v>0</v>
      </c>
      <c r="AL294" s="714">
        <v>0</v>
      </c>
      <c r="AO294" s="748"/>
      <c r="AP294" s="748"/>
      <c r="AQ294" s="714" t="str">
        <f t="shared" si="8"/>
        <v/>
      </c>
      <c r="AS294" s="714" t="str">
        <f t="shared" si="9"/>
        <v>wci_corp</v>
      </c>
    </row>
    <row r="295" spans="2:45">
      <c r="B295" s="714" t="s">
        <v>1228</v>
      </c>
      <c r="C295" s="745">
        <v>43465</v>
      </c>
      <c r="D295" s="746">
        <v>10.89</v>
      </c>
      <c r="E295" s="746">
        <v>0</v>
      </c>
      <c r="F295" s="747" t="s">
        <v>1074</v>
      </c>
      <c r="G295" s="714" t="s">
        <v>1090</v>
      </c>
      <c r="H295" s="748" t="s">
        <v>1075</v>
      </c>
      <c r="I295" s="714" t="s">
        <v>1091</v>
      </c>
      <c r="J295" s="714" t="s">
        <v>1092</v>
      </c>
      <c r="K295" s="714" t="s">
        <v>1078</v>
      </c>
      <c r="L295" s="718"/>
      <c r="M295" s="718"/>
      <c r="N295" s="718" t="s">
        <v>1453</v>
      </c>
      <c r="O295" s="739"/>
      <c r="P295" s="718"/>
      <c r="Q295" s="718"/>
      <c r="U295" s="714" t="s">
        <v>1093</v>
      </c>
      <c r="V295" s="714" t="s">
        <v>1093</v>
      </c>
      <c r="X295" s="745">
        <v>43468</v>
      </c>
      <c r="Y295" s="745">
        <v>43468</v>
      </c>
      <c r="AA295" s="745"/>
      <c r="AB295" s="714" t="s">
        <v>1079</v>
      </c>
      <c r="AC295" s="714">
        <v>0</v>
      </c>
      <c r="AD295" s="714">
        <v>0</v>
      </c>
      <c r="AE295" s="714">
        <v>0</v>
      </c>
      <c r="AF295" s="714">
        <v>0</v>
      </c>
      <c r="AG295" s="714">
        <v>0</v>
      </c>
      <c r="AH295" s="714">
        <v>1</v>
      </c>
      <c r="AI295" s="714">
        <v>70095</v>
      </c>
      <c r="AJ295" s="714">
        <v>2183</v>
      </c>
      <c r="AK295" s="714">
        <v>0</v>
      </c>
      <c r="AL295" s="714">
        <v>0</v>
      </c>
      <c r="AO295" s="748"/>
      <c r="AP295" s="748"/>
      <c r="AQ295" s="714" t="str">
        <f t="shared" si="8"/>
        <v/>
      </c>
      <c r="AS295" s="714" t="str">
        <f t="shared" si="9"/>
        <v>wci_corp</v>
      </c>
    </row>
    <row r="296" spans="2:45">
      <c r="B296" s="714" t="s">
        <v>1228</v>
      </c>
      <c r="C296" s="745">
        <v>43465</v>
      </c>
      <c r="D296" s="746">
        <v>10.89</v>
      </c>
      <c r="E296" s="746">
        <v>0</v>
      </c>
      <c r="F296" s="747" t="s">
        <v>1074</v>
      </c>
      <c r="G296" s="714" t="s">
        <v>1090</v>
      </c>
      <c r="H296" s="748" t="s">
        <v>1075</v>
      </c>
      <c r="I296" s="714" t="s">
        <v>1091</v>
      </c>
      <c r="J296" s="714" t="s">
        <v>1092</v>
      </c>
      <c r="K296" s="714" t="s">
        <v>1078</v>
      </c>
      <c r="L296" s="718"/>
      <c r="M296" s="718"/>
      <c r="N296" s="718" t="s">
        <v>1453</v>
      </c>
      <c r="O296" s="739"/>
      <c r="P296" s="718"/>
      <c r="Q296" s="718"/>
      <c r="U296" s="714" t="s">
        <v>1093</v>
      </c>
      <c r="V296" s="714" t="s">
        <v>1093</v>
      </c>
      <c r="X296" s="745">
        <v>43468</v>
      </c>
      <c r="Y296" s="745">
        <v>43468</v>
      </c>
      <c r="AA296" s="745"/>
      <c r="AB296" s="714" t="s">
        <v>1079</v>
      </c>
      <c r="AC296" s="714">
        <v>0</v>
      </c>
      <c r="AD296" s="714">
        <v>0</v>
      </c>
      <c r="AE296" s="714">
        <v>0</v>
      </c>
      <c r="AF296" s="714">
        <v>0</v>
      </c>
      <c r="AG296" s="714">
        <v>0</v>
      </c>
      <c r="AH296" s="714">
        <v>1</v>
      </c>
      <c r="AI296" s="714">
        <v>70095</v>
      </c>
      <c r="AJ296" s="714">
        <v>2183</v>
      </c>
      <c r="AK296" s="714">
        <v>0</v>
      </c>
      <c r="AL296" s="714">
        <v>0</v>
      </c>
      <c r="AO296" s="748"/>
      <c r="AP296" s="748"/>
      <c r="AQ296" s="714" t="str">
        <f t="shared" si="8"/>
        <v/>
      </c>
      <c r="AS296" s="714" t="str">
        <f t="shared" si="9"/>
        <v>wci_corp</v>
      </c>
    </row>
    <row r="297" spans="2:45">
      <c r="B297" s="714" t="s">
        <v>1228</v>
      </c>
      <c r="C297" s="745">
        <v>43465</v>
      </c>
      <c r="D297" s="746">
        <v>2603.5</v>
      </c>
      <c r="E297" s="746">
        <v>0</v>
      </c>
      <c r="F297" s="747" t="s">
        <v>1074</v>
      </c>
      <c r="G297" s="714" t="s">
        <v>1090</v>
      </c>
      <c r="H297" s="748" t="s">
        <v>1075</v>
      </c>
      <c r="I297" s="714" t="s">
        <v>1091</v>
      </c>
      <c r="J297" s="714" t="s">
        <v>1092</v>
      </c>
      <c r="K297" s="714" t="s">
        <v>1078</v>
      </c>
      <c r="L297" s="718"/>
      <c r="M297" s="718"/>
      <c r="N297" s="718" t="s">
        <v>1454</v>
      </c>
      <c r="O297" s="739"/>
      <c r="P297" s="718"/>
      <c r="Q297" s="718"/>
      <c r="U297" s="714" t="s">
        <v>1093</v>
      </c>
      <c r="V297" s="714" t="s">
        <v>1093</v>
      </c>
      <c r="X297" s="745">
        <v>43468</v>
      </c>
      <c r="Y297" s="745">
        <v>43468</v>
      </c>
      <c r="AA297" s="745"/>
      <c r="AB297" s="714" t="s">
        <v>1079</v>
      </c>
      <c r="AC297" s="714">
        <v>0</v>
      </c>
      <c r="AD297" s="714">
        <v>0</v>
      </c>
      <c r="AE297" s="714">
        <v>0</v>
      </c>
      <c r="AF297" s="714">
        <v>0</v>
      </c>
      <c r="AG297" s="714">
        <v>0</v>
      </c>
      <c r="AH297" s="714">
        <v>1</v>
      </c>
      <c r="AI297" s="714">
        <v>70095</v>
      </c>
      <c r="AJ297" s="714">
        <v>2183</v>
      </c>
      <c r="AK297" s="714">
        <v>0</v>
      </c>
      <c r="AL297" s="714">
        <v>0</v>
      </c>
      <c r="AO297" s="748"/>
      <c r="AP297" s="748"/>
      <c r="AQ297" s="714" t="str">
        <f t="shared" si="8"/>
        <v/>
      </c>
      <c r="AS297" s="714" t="str">
        <f t="shared" si="9"/>
        <v>wci_corp</v>
      </c>
    </row>
    <row r="298" spans="2:45">
      <c r="B298" s="714" t="s">
        <v>1228</v>
      </c>
      <c r="C298" s="745">
        <v>43465</v>
      </c>
      <c r="D298" s="746">
        <v>-10.89</v>
      </c>
      <c r="E298" s="746">
        <v>0</v>
      </c>
      <c r="F298" s="747" t="s">
        <v>1074</v>
      </c>
      <c r="G298" s="714" t="s">
        <v>1455</v>
      </c>
      <c r="H298" s="748" t="s">
        <v>1075</v>
      </c>
      <c r="I298" s="714" t="s">
        <v>1131</v>
      </c>
      <c r="J298" s="714" t="s">
        <v>1082</v>
      </c>
      <c r="K298" s="714" t="s">
        <v>1078</v>
      </c>
      <c r="L298" s="718"/>
      <c r="M298" s="718"/>
      <c r="N298" s="718" t="s">
        <v>1453</v>
      </c>
      <c r="O298" s="739"/>
      <c r="P298" s="718"/>
      <c r="Q298" s="718"/>
      <c r="U298" s="714" t="s">
        <v>1456</v>
      </c>
      <c r="V298" s="714" t="s">
        <v>1456</v>
      </c>
      <c r="X298" s="745">
        <v>43472</v>
      </c>
      <c r="Y298" s="745">
        <v>43473</v>
      </c>
      <c r="AA298" s="745"/>
      <c r="AB298" s="714" t="s">
        <v>1079</v>
      </c>
      <c r="AC298" s="714">
        <v>0</v>
      </c>
      <c r="AD298" s="714">
        <v>0</v>
      </c>
      <c r="AE298" s="714">
        <v>0</v>
      </c>
      <c r="AF298" s="714">
        <v>0</v>
      </c>
      <c r="AG298" s="714">
        <v>0</v>
      </c>
      <c r="AH298" s="714">
        <v>1</v>
      </c>
      <c r="AI298" s="714">
        <v>70095</v>
      </c>
      <c r="AJ298" s="714">
        <v>2183</v>
      </c>
      <c r="AK298" s="714">
        <v>0</v>
      </c>
      <c r="AL298" s="714">
        <v>0</v>
      </c>
      <c r="AO298" s="748"/>
      <c r="AP298" s="748"/>
      <c r="AQ298" s="714" t="str">
        <f t="shared" si="8"/>
        <v/>
      </c>
      <c r="AS298" s="714" t="str">
        <f t="shared" si="9"/>
        <v>wci_corp</v>
      </c>
    </row>
    <row r="299" spans="2:45">
      <c r="B299" s="714" t="s">
        <v>1228</v>
      </c>
      <c r="C299" s="745">
        <v>43465</v>
      </c>
      <c r="D299" s="746">
        <v>46.09</v>
      </c>
      <c r="E299" s="746">
        <v>0</v>
      </c>
      <c r="F299" s="747" t="s">
        <v>1074</v>
      </c>
      <c r="G299" s="714" t="s">
        <v>1455</v>
      </c>
      <c r="H299" s="748" t="s">
        <v>1075</v>
      </c>
      <c r="I299" s="714" t="s">
        <v>1131</v>
      </c>
      <c r="J299" s="714" t="s">
        <v>1082</v>
      </c>
      <c r="K299" s="714" t="s">
        <v>1078</v>
      </c>
      <c r="L299" s="718"/>
      <c r="M299" s="718"/>
      <c r="N299" s="718" t="s">
        <v>1288</v>
      </c>
      <c r="O299" s="739"/>
      <c r="P299" s="718"/>
      <c r="Q299" s="718"/>
      <c r="U299" s="714" t="s">
        <v>1456</v>
      </c>
      <c r="V299" s="714" t="s">
        <v>1456</v>
      </c>
      <c r="X299" s="745">
        <v>43472</v>
      </c>
      <c r="Y299" s="745">
        <v>43473</v>
      </c>
      <c r="AA299" s="745"/>
      <c r="AB299" s="714" t="s">
        <v>1079</v>
      </c>
      <c r="AC299" s="714">
        <v>0</v>
      </c>
      <c r="AD299" s="714">
        <v>0</v>
      </c>
      <c r="AE299" s="714">
        <v>0</v>
      </c>
      <c r="AF299" s="714">
        <v>0</v>
      </c>
      <c r="AG299" s="714">
        <v>0</v>
      </c>
      <c r="AH299" s="714">
        <v>1</v>
      </c>
      <c r="AI299" s="714">
        <v>70095</v>
      </c>
      <c r="AJ299" s="714">
        <v>2183</v>
      </c>
      <c r="AK299" s="714">
        <v>0</v>
      </c>
      <c r="AL299" s="714">
        <v>0</v>
      </c>
      <c r="AO299" s="748"/>
      <c r="AP299" s="748"/>
      <c r="AQ299" s="714" t="str">
        <f t="shared" si="8"/>
        <v/>
      </c>
      <c r="AS299" s="714" t="str">
        <f t="shared" si="9"/>
        <v>wci_corp</v>
      </c>
    </row>
    <row r="300" spans="2:45">
      <c r="B300" s="714" t="s">
        <v>1228</v>
      </c>
      <c r="C300" s="745">
        <v>43465</v>
      </c>
      <c r="D300" s="746">
        <v>7.48</v>
      </c>
      <c r="E300" s="746">
        <v>0</v>
      </c>
      <c r="F300" s="747" t="s">
        <v>1074</v>
      </c>
      <c r="G300" s="714" t="s">
        <v>1455</v>
      </c>
      <c r="H300" s="748" t="s">
        <v>1075</v>
      </c>
      <c r="I300" s="714" t="s">
        <v>1131</v>
      </c>
      <c r="J300" s="714" t="s">
        <v>1082</v>
      </c>
      <c r="K300" s="714" t="s">
        <v>1078</v>
      </c>
      <c r="L300" s="718"/>
      <c r="M300" s="718"/>
      <c r="N300" s="718" t="s">
        <v>1418</v>
      </c>
      <c r="O300" s="739"/>
      <c r="P300" s="718"/>
      <c r="Q300" s="718"/>
      <c r="U300" s="714" t="s">
        <v>1456</v>
      </c>
      <c r="V300" s="714" t="s">
        <v>1456</v>
      </c>
      <c r="X300" s="745">
        <v>43472</v>
      </c>
      <c r="Y300" s="745">
        <v>43473</v>
      </c>
      <c r="AA300" s="745"/>
      <c r="AB300" s="714" t="s">
        <v>1079</v>
      </c>
      <c r="AC300" s="714">
        <v>0</v>
      </c>
      <c r="AD300" s="714">
        <v>0</v>
      </c>
      <c r="AE300" s="714">
        <v>0</v>
      </c>
      <c r="AF300" s="714">
        <v>0</v>
      </c>
      <c r="AG300" s="714">
        <v>0</v>
      </c>
      <c r="AH300" s="714">
        <v>1</v>
      </c>
      <c r="AI300" s="714">
        <v>70095</v>
      </c>
      <c r="AJ300" s="714">
        <v>2183</v>
      </c>
      <c r="AK300" s="714">
        <v>0</v>
      </c>
      <c r="AL300" s="714">
        <v>0</v>
      </c>
      <c r="AO300" s="748"/>
      <c r="AP300" s="748"/>
      <c r="AQ300" s="714" t="str">
        <f t="shared" si="8"/>
        <v/>
      </c>
      <c r="AS300" s="714" t="str">
        <f t="shared" si="9"/>
        <v>wci_corp</v>
      </c>
    </row>
    <row r="301" spans="2:45">
      <c r="B301" s="714" t="s">
        <v>1228</v>
      </c>
      <c r="C301" s="745">
        <v>43482</v>
      </c>
      <c r="D301" s="746">
        <v>6500</v>
      </c>
      <c r="E301" s="746">
        <v>0</v>
      </c>
      <c r="F301" s="747" t="s">
        <v>1074</v>
      </c>
      <c r="G301" s="714" t="s">
        <v>1457</v>
      </c>
      <c r="H301" s="748" t="s">
        <v>1075</v>
      </c>
      <c r="I301" s="714" t="s">
        <v>1076</v>
      </c>
      <c r="J301" s="714" t="s">
        <v>1077</v>
      </c>
      <c r="K301" s="714" t="s">
        <v>1078</v>
      </c>
      <c r="L301" s="718" t="s">
        <v>1458</v>
      </c>
      <c r="M301" s="718"/>
      <c r="N301" s="718" t="s">
        <v>1459</v>
      </c>
      <c r="O301" s="739">
        <v>43397</v>
      </c>
      <c r="P301" s="718" t="s">
        <v>1460</v>
      </c>
      <c r="Q301" s="718">
        <v>2508</v>
      </c>
      <c r="R301" s="714" t="s">
        <v>1461</v>
      </c>
      <c r="U301" s="714" t="s">
        <v>1462</v>
      </c>
      <c r="V301" s="714" t="s">
        <v>1463</v>
      </c>
      <c r="W301" s="714">
        <v>2183</v>
      </c>
      <c r="X301" s="745">
        <v>43482</v>
      </c>
      <c r="Y301" s="745">
        <v>43482</v>
      </c>
      <c r="Z301" s="714">
        <v>6500</v>
      </c>
      <c r="AA301" s="745">
        <v>43407</v>
      </c>
      <c r="AB301" s="714" t="s">
        <v>1079</v>
      </c>
      <c r="AC301" s="714">
        <v>0</v>
      </c>
      <c r="AD301" s="714">
        <v>0</v>
      </c>
      <c r="AE301" s="714">
        <v>0</v>
      </c>
      <c r="AF301" s="714">
        <v>0</v>
      </c>
      <c r="AG301" s="714">
        <v>0</v>
      </c>
      <c r="AH301" s="714">
        <v>1</v>
      </c>
      <c r="AI301" s="714">
        <v>70095</v>
      </c>
      <c r="AJ301" s="714">
        <v>2183</v>
      </c>
      <c r="AK301" s="714">
        <v>0</v>
      </c>
      <c r="AL301" s="714">
        <v>0</v>
      </c>
      <c r="AO301" s="748"/>
      <c r="AP301" s="748"/>
      <c r="AQ301" s="714" t="str">
        <f t="shared" si="8"/>
        <v>VO04893744</v>
      </c>
      <c r="AS301" s="714" t="str">
        <f t="shared" si="9"/>
        <v>wci_corp</v>
      </c>
    </row>
    <row r="302" spans="2:45">
      <c r="B302" s="714" t="s">
        <v>1228</v>
      </c>
      <c r="C302" s="745">
        <v>43483</v>
      </c>
      <c r="D302" s="746">
        <v>53.98</v>
      </c>
      <c r="E302" s="746">
        <v>0</v>
      </c>
      <c r="F302" s="747" t="s">
        <v>1074</v>
      </c>
      <c r="G302" s="714" t="s">
        <v>1464</v>
      </c>
      <c r="H302" s="748" t="s">
        <v>1075</v>
      </c>
      <c r="I302" s="714" t="s">
        <v>1076</v>
      </c>
      <c r="J302" s="714" t="s">
        <v>1077</v>
      </c>
      <c r="K302" s="714" t="s">
        <v>1078</v>
      </c>
      <c r="L302" s="718" t="s">
        <v>1238</v>
      </c>
      <c r="M302" s="718" t="s">
        <v>1239</v>
      </c>
      <c r="N302" s="718" t="s">
        <v>1239</v>
      </c>
      <c r="O302" s="739">
        <v>43481</v>
      </c>
      <c r="P302" s="718" t="s">
        <v>1465</v>
      </c>
      <c r="Q302" s="718">
        <v>11619</v>
      </c>
      <c r="R302" s="714" t="s">
        <v>1466</v>
      </c>
      <c r="U302" s="714" t="s">
        <v>1467</v>
      </c>
      <c r="V302" s="714" t="s">
        <v>1468</v>
      </c>
      <c r="W302" s="714">
        <v>2183</v>
      </c>
      <c r="X302" s="745">
        <v>43483</v>
      </c>
      <c r="Y302" s="745">
        <v>43483</v>
      </c>
      <c r="Z302" s="714">
        <v>452.13</v>
      </c>
      <c r="AA302" s="745">
        <v>43482</v>
      </c>
      <c r="AB302" s="714" t="s">
        <v>1079</v>
      </c>
      <c r="AC302" s="714">
        <v>0</v>
      </c>
      <c r="AD302" s="714">
        <v>0</v>
      </c>
      <c r="AE302" s="714">
        <v>0</v>
      </c>
      <c r="AF302" s="714">
        <v>0</v>
      </c>
      <c r="AG302" s="714">
        <v>0</v>
      </c>
      <c r="AH302" s="714">
        <v>1</v>
      </c>
      <c r="AI302" s="714">
        <v>70095</v>
      </c>
      <c r="AJ302" s="714">
        <v>2183</v>
      </c>
      <c r="AK302" s="714">
        <v>0</v>
      </c>
      <c r="AL302" s="714">
        <v>0</v>
      </c>
      <c r="AO302" s="748"/>
      <c r="AP302" s="748"/>
      <c r="AQ302" s="714" t="str">
        <f t="shared" si="8"/>
        <v>VO04896058</v>
      </c>
      <c r="AS302" s="714" t="str">
        <f t="shared" si="9"/>
        <v>wci_corp</v>
      </c>
    </row>
    <row r="303" spans="2:45">
      <c r="B303" s="714" t="s">
        <v>1228</v>
      </c>
      <c r="C303" s="745">
        <v>43496</v>
      </c>
      <c r="D303" s="746">
        <v>10.89</v>
      </c>
      <c r="E303" s="746">
        <v>0</v>
      </c>
      <c r="F303" s="747" t="s">
        <v>1074</v>
      </c>
      <c r="G303" s="714" t="s">
        <v>1469</v>
      </c>
      <c r="H303" s="748" t="s">
        <v>1075</v>
      </c>
      <c r="I303" s="714" t="s">
        <v>1131</v>
      </c>
      <c r="J303" s="714" t="s">
        <v>1082</v>
      </c>
      <c r="K303" s="714" t="s">
        <v>1078</v>
      </c>
      <c r="L303" s="718"/>
      <c r="M303" s="718"/>
      <c r="N303" s="718" t="s">
        <v>1453</v>
      </c>
      <c r="O303" s="739"/>
      <c r="P303" s="718"/>
      <c r="Q303" s="718"/>
      <c r="U303" s="714" t="s">
        <v>1456</v>
      </c>
      <c r="V303" s="714" t="s">
        <v>1470</v>
      </c>
      <c r="X303" s="745">
        <v>43473</v>
      </c>
      <c r="Y303" s="745">
        <v>43473</v>
      </c>
      <c r="AA303" s="745"/>
      <c r="AB303" s="714" t="s">
        <v>1079</v>
      </c>
      <c r="AC303" s="714">
        <v>0</v>
      </c>
      <c r="AD303" s="714">
        <v>0</v>
      </c>
      <c r="AE303" s="714">
        <v>0</v>
      </c>
      <c r="AF303" s="714">
        <v>0</v>
      </c>
      <c r="AG303" s="714">
        <v>5</v>
      </c>
      <c r="AH303" s="714">
        <v>1</v>
      </c>
      <c r="AI303" s="714">
        <v>70095</v>
      </c>
      <c r="AJ303" s="714">
        <v>2183</v>
      </c>
      <c r="AK303" s="714">
        <v>0</v>
      </c>
      <c r="AL303" s="714">
        <v>0</v>
      </c>
      <c r="AO303" s="748"/>
      <c r="AP303" s="748"/>
      <c r="AQ303" s="714" t="str">
        <f t="shared" si="8"/>
        <v/>
      </c>
      <c r="AS303" s="714" t="str">
        <f t="shared" si="9"/>
        <v>wci_corp</v>
      </c>
    </row>
    <row r="304" spans="2:45">
      <c r="B304" s="714" t="s">
        <v>1228</v>
      </c>
      <c r="C304" s="745">
        <v>43496</v>
      </c>
      <c r="D304" s="746">
        <v>-46.09</v>
      </c>
      <c r="E304" s="746">
        <v>0</v>
      </c>
      <c r="F304" s="747" t="s">
        <v>1074</v>
      </c>
      <c r="G304" s="714" t="s">
        <v>1469</v>
      </c>
      <c r="H304" s="748" t="s">
        <v>1075</v>
      </c>
      <c r="I304" s="714" t="s">
        <v>1131</v>
      </c>
      <c r="J304" s="714" t="s">
        <v>1082</v>
      </c>
      <c r="K304" s="714" t="s">
        <v>1078</v>
      </c>
      <c r="L304" s="718"/>
      <c r="M304" s="718"/>
      <c r="N304" s="718" t="s">
        <v>1288</v>
      </c>
      <c r="O304" s="739"/>
      <c r="P304" s="718"/>
      <c r="Q304" s="718"/>
      <c r="U304" s="714" t="s">
        <v>1456</v>
      </c>
      <c r="V304" s="714" t="s">
        <v>1470</v>
      </c>
      <c r="X304" s="745">
        <v>43473</v>
      </c>
      <c r="Y304" s="745">
        <v>43473</v>
      </c>
      <c r="AA304" s="745"/>
      <c r="AB304" s="714" t="s">
        <v>1079</v>
      </c>
      <c r="AC304" s="714">
        <v>0</v>
      </c>
      <c r="AD304" s="714">
        <v>0</v>
      </c>
      <c r="AE304" s="714">
        <v>0</v>
      </c>
      <c r="AF304" s="714">
        <v>0</v>
      </c>
      <c r="AG304" s="714">
        <v>5</v>
      </c>
      <c r="AH304" s="714">
        <v>1</v>
      </c>
      <c r="AI304" s="714">
        <v>70095</v>
      </c>
      <c r="AJ304" s="714">
        <v>2183</v>
      </c>
      <c r="AK304" s="714">
        <v>0</v>
      </c>
      <c r="AL304" s="714">
        <v>0</v>
      </c>
      <c r="AO304" s="748"/>
      <c r="AP304" s="748"/>
      <c r="AQ304" s="714" t="str">
        <f t="shared" si="8"/>
        <v/>
      </c>
      <c r="AS304" s="714" t="str">
        <f t="shared" si="9"/>
        <v>wci_corp</v>
      </c>
    </row>
    <row r="305" spans="2:45">
      <c r="B305" s="714" t="s">
        <v>1228</v>
      </c>
      <c r="C305" s="745">
        <v>43496</v>
      </c>
      <c r="D305" s="746">
        <v>-7.48</v>
      </c>
      <c r="E305" s="746">
        <v>0</v>
      </c>
      <c r="F305" s="747" t="s">
        <v>1074</v>
      </c>
      <c r="G305" s="714" t="s">
        <v>1469</v>
      </c>
      <c r="H305" s="748" t="s">
        <v>1075</v>
      </c>
      <c r="I305" s="714" t="s">
        <v>1131</v>
      </c>
      <c r="J305" s="714" t="s">
        <v>1082</v>
      </c>
      <c r="K305" s="714" t="s">
        <v>1078</v>
      </c>
      <c r="L305" s="718"/>
      <c r="M305" s="718"/>
      <c r="N305" s="718" t="s">
        <v>1418</v>
      </c>
      <c r="O305" s="739"/>
      <c r="P305" s="718"/>
      <c r="Q305" s="718"/>
      <c r="U305" s="714" t="s">
        <v>1456</v>
      </c>
      <c r="V305" s="714" t="s">
        <v>1470</v>
      </c>
      <c r="X305" s="745">
        <v>43473</v>
      </c>
      <c r="Y305" s="745">
        <v>43473</v>
      </c>
      <c r="AA305" s="745"/>
      <c r="AB305" s="714" t="s">
        <v>1079</v>
      </c>
      <c r="AC305" s="714">
        <v>0</v>
      </c>
      <c r="AD305" s="714">
        <v>0</v>
      </c>
      <c r="AE305" s="714">
        <v>0</v>
      </c>
      <c r="AF305" s="714">
        <v>0</v>
      </c>
      <c r="AG305" s="714">
        <v>5</v>
      </c>
      <c r="AH305" s="714">
        <v>1</v>
      </c>
      <c r="AI305" s="714">
        <v>70095</v>
      </c>
      <c r="AJ305" s="714">
        <v>2183</v>
      </c>
      <c r="AK305" s="714">
        <v>0</v>
      </c>
      <c r="AL305" s="714">
        <v>0</v>
      </c>
      <c r="AO305" s="748"/>
      <c r="AP305" s="748"/>
      <c r="AQ305" s="714" t="str">
        <f t="shared" si="8"/>
        <v/>
      </c>
      <c r="AS305" s="714" t="str">
        <f t="shared" si="9"/>
        <v>wci_corp</v>
      </c>
    </row>
    <row r="306" spans="2:45">
      <c r="B306" s="714" t="s">
        <v>1228</v>
      </c>
      <c r="C306" s="745">
        <v>43496</v>
      </c>
      <c r="D306" s="746">
        <v>144.83000000000001</v>
      </c>
      <c r="E306" s="746">
        <v>0</v>
      </c>
      <c r="F306" s="747" t="s">
        <v>1074</v>
      </c>
      <c r="G306" s="714" t="s">
        <v>1471</v>
      </c>
      <c r="H306" s="748" t="s">
        <v>1075</v>
      </c>
      <c r="I306" s="714" t="s">
        <v>1076</v>
      </c>
      <c r="J306" s="714" t="s">
        <v>1077</v>
      </c>
      <c r="K306" s="714" t="s">
        <v>1078</v>
      </c>
      <c r="L306" s="718" t="s">
        <v>1472</v>
      </c>
      <c r="M306" s="718"/>
      <c r="N306" s="718" t="s">
        <v>1473</v>
      </c>
      <c r="O306" s="739">
        <v>43420</v>
      </c>
      <c r="P306" s="718" t="s">
        <v>1474</v>
      </c>
      <c r="Q306" s="718">
        <v>60413</v>
      </c>
      <c r="R306" s="714" t="s">
        <v>1475</v>
      </c>
      <c r="U306" s="714" t="s">
        <v>1476</v>
      </c>
      <c r="V306" s="714" t="s">
        <v>1477</v>
      </c>
      <c r="W306" s="714">
        <v>2183</v>
      </c>
      <c r="X306" s="745">
        <v>43496</v>
      </c>
      <c r="Y306" s="745">
        <v>43496</v>
      </c>
      <c r="Z306" s="714">
        <v>133</v>
      </c>
      <c r="AA306" s="745">
        <v>43465</v>
      </c>
      <c r="AB306" s="714" t="s">
        <v>1079</v>
      </c>
      <c r="AC306" s="714">
        <v>0</v>
      </c>
      <c r="AD306" s="714">
        <v>0</v>
      </c>
      <c r="AE306" s="714">
        <v>0</v>
      </c>
      <c r="AF306" s="714">
        <v>0</v>
      </c>
      <c r="AG306" s="714">
        <v>0</v>
      </c>
      <c r="AH306" s="714">
        <v>1</v>
      </c>
      <c r="AI306" s="714">
        <v>70095</v>
      </c>
      <c r="AJ306" s="714">
        <v>2183</v>
      </c>
      <c r="AK306" s="714">
        <v>0</v>
      </c>
      <c r="AL306" s="714">
        <v>0</v>
      </c>
      <c r="AO306" s="748"/>
      <c r="AP306" s="748"/>
      <c r="AQ306" s="714" t="str">
        <f t="shared" si="8"/>
        <v>VO04908366</v>
      </c>
      <c r="AS306" s="714" t="str">
        <f t="shared" si="9"/>
        <v>wci_corp</v>
      </c>
    </row>
    <row r="307" spans="2:45">
      <c r="B307" s="714" t="s">
        <v>1228</v>
      </c>
      <c r="C307" s="745">
        <v>43496</v>
      </c>
      <c r="D307" s="746">
        <v>47.91</v>
      </c>
      <c r="E307" s="746">
        <v>0</v>
      </c>
      <c r="F307" s="747" t="s">
        <v>1074</v>
      </c>
      <c r="G307" s="714" t="s">
        <v>1471</v>
      </c>
      <c r="H307" s="748" t="s">
        <v>1075</v>
      </c>
      <c r="I307" s="714" t="s">
        <v>1076</v>
      </c>
      <c r="J307" s="714" t="s">
        <v>1077</v>
      </c>
      <c r="K307" s="714" t="s">
        <v>1078</v>
      </c>
      <c r="L307" s="718" t="s">
        <v>1472</v>
      </c>
      <c r="M307" s="718"/>
      <c r="N307" s="718" t="s">
        <v>1473</v>
      </c>
      <c r="O307" s="739">
        <v>43444</v>
      </c>
      <c r="P307" s="718" t="s">
        <v>1478</v>
      </c>
      <c r="Q307" s="718">
        <v>60740</v>
      </c>
      <c r="R307" s="714" t="s">
        <v>1479</v>
      </c>
      <c r="U307" s="714" t="s">
        <v>1480</v>
      </c>
      <c r="V307" s="714" t="s">
        <v>1477</v>
      </c>
      <c r="W307" s="714">
        <v>2183</v>
      </c>
      <c r="X307" s="745">
        <v>43496</v>
      </c>
      <c r="Y307" s="745">
        <v>43496</v>
      </c>
      <c r="Z307" s="714">
        <v>44</v>
      </c>
      <c r="AA307" s="745">
        <v>43489</v>
      </c>
      <c r="AB307" s="714" t="s">
        <v>1079</v>
      </c>
      <c r="AC307" s="714">
        <v>0</v>
      </c>
      <c r="AD307" s="714">
        <v>0</v>
      </c>
      <c r="AE307" s="714">
        <v>0</v>
      </c>
      <c r="AF307" s="714">
        <v>0</v>
      </c>
      <c r="AG307" s="714">
        <v>0</v>
      </c>
      <c r="AH307" s="714">
        <v>1</v>
      </c>
      <c r="AI307" s="714">
        <v>70095</v>
      </c>
      <c r="AJ307" s="714">
        <v>2183</v>
      </c>
      <c r="AK307" s="714">
        <v>0</v>
      </c>
      <c r="AL307" s="714">
        <v>0</v>
      </c>
      <c r="AO307" s="748"/>
      <c r="AP307" s="748"/>
      <c r="AQ307" s="714" t="str">
        <f t="shared" si="8"/>
        <v>VO04908367</v>
      </c>
      <c r="AS307" s="714" t="str">
        <f t="shared" si="9"/>
        <v>wci_corp</v>
      </c>
    </row>
    <row r="308" spans="2:45">
      <c r="B308" s="714" t="s">
        <v>1228</v>
      </c>
      <c r="C308" s="745">
        <v>43496</v>
      </c>
      <c r="D308" s="746">
        <v>-10.89</v>
      </c>
      <c r="E308" s="746">
        <v>0</v>
      </c>
      <c r="F308" s="747" t="s">
        <v>1074</v>
      </c>
      <c r="G308" s="714" t="s">
        <v>1206</v>
      </c>
      <c r="H308" s="748" t="s">
        <v>1075</v>
      </c>
      <c r="I308" s="714" t="s">
        <v>1207</v>
      </c>
      <c r="J308" s="714" t="s">
        <v>1082</v>
      </c>
      <c r="K308" s="714" t="s">
        <v>1078</v>
      </c>
      <c r="L308" s="718"/>
      <c r="M308" s="718"/>
      <c r="N308" s="718" t="s">
        <v>1453</v>
      </c>
      <c r="O308" s="739"/>
      <c r="P308" s="718"/>
      <c r="Q308" s="718"/>
      <c r="U308" s="714" t="s">
        <v>1208</v>
      </c>
      <c r="V308" s="714" t="s">
        <v>1208</v>
      </c>
      <c r="X308" s="745">
        <v>43500</v>
      </c>
      <c r="Y308" s="745">
        <v>43500</v>
      </c>
      <c r="AA308" s="745"/>
      <c r="AB308" s="714" t="s">
        <v>1079</v>
      </c>
      <c r="AC308" s="714">
        <v>0</v>
      </c>
      <c r="AD308" s="714">
        <v>0</v>
      </c>
      <c r="AE308" s="714">
        <v>0</v>
      </c>
      <c r="AF308" s="714">
        <v>0</v>
      </c>
      <c r="AG308" s="714">
        <v>0</v>
      </c>
      <c r="AH308" s="714">
        <v>1</v>
      </c>
      <c r="AI308" s="714">
        <v>70095</v>
      </c>
      <c r="AJ308" s="714">
        <v>2183</v>
      </c>
      <c r="AK308" s="714">
        <v>0</v>
      </c>
      <c r="AL308" s="714">
        <v>0</v>
      </c>
      <c r="AO308" s="748"/>
      <c r="AP308" s="748"/>
      <c r="AQ308" s="714" t="str">
        <f t="shared" si="8"/>
        <v/>
      </c>
      <c r="AS308" s="714" t="str">
        <f t="shared" si="9"/>
        <v>wci_corp</v>
      </c>
    </row>
    <row r="309" spans="2:45">
      <c r="B309" s="714" t="s">
        <v>1228</v>
      </c>
      <c r="C309" s="745">
        <v>43496</v>
      </c>
      <c r="D309" s="746">
        <v>46.09</v>
      </c>
      <c r="E309" s="746">
        <v>0</v>
      </c>
      <c r="F309" s="747" t="s">
        <v>1074</v>
      </c>
      <c r="G309" s="714" t="s">
        <v>1206</v>
      </c>
      <c r="H309" s="748" t="s">
        <v>1075</v>
      </c>
      <c r="I309" s="714" t="s">
        <v>1207</v>
      </c>
      <c r="J309" s="714" t="s">
        <v>1082</v>
      </c>
      <c r="K309" s="714" t="s">
        <v>1078</v>
      </c>
      <c r="L309" s="718"/>
      <c r="M309" s="718"/>
      <c r="N309" s="718" t="s">
        <v>1288</v>
      </c>
      <c r="O309" s="739"/>
      <c r="P309" s="718"/>
      <c r="Q309" s="718"/>
      <c r="U309" s="714" t="s">
        <v>1208</v>
      </c>
      <c r="V309" s="714" t="s">
        <v>1208</v>
      </c>
      <c r="X309" s="745">
        <v>43500</v>
      </c>
      <c r="Y309" s="745">
        <v>43500</v>
      </c>
      <c r="AA309" s="745"/>
      <c r="AB309" s="714" t="s">
        <v>1079</v>
      </c>
      <c r="AC309" s="714">
        <v>0</v>
      </c>
      <c r="AD309" s="714">
        <v>0</v>
      </c>
      <c r="AE309" s="714">
        <v>0</v>
      </c>
      <c r="AF309" s="714">
        <v>0</v>
      </c>
      <c r="AG309" s="714">
        <v>0</v>
      </c>
      <c r="AH309" s="714">
        <v>1</v>
      </c>
      <c r="AI309" s="714">
        <v>70095</v>
      </c>
      <c r="AJ309" s="714">
        <v>2183</v>
      </c>
      <c r="AK309" s="714">
        <v>0</v>
      </c>
      <c r="AL309" s="714">
        <v>0</v>
      </c>
      <c r="AO309" s="748"/>
      <c r="AP309" s="748"/>
      <c r="AQ309" s="714" t="str">
        <f t="shared" si="8"/>
        <v/>
      </c>
      <c r="AS309" s="714" t="str">
        <f t="shared" si="9"/>
        <v>wci_corp</v>
      </c>
    </row>
    <row r="310" spans="2:45">
      <c r="B310" s="714" t="s">
        <v>1228</v>
      </c>
      <c r="C310" s="745">
        <v>43496</v>
      </c>
      <c r="D310" s="746">
        <v>8.14</v>
      </c>
      <c r="E310" s="746">
        <v>0</v>
      </c>
      <c r="F310" s="747" t="s">
        <v>1074</v>
      </c>
      <c r="G310" s="714" t="s">
        <v>1206</v>
      </c>
      <c r="H310" s="748" t="s">
        <v>1075</v>
      </c>
      <c r="I310" s="714" t="s">
        <v>1207</v>
      </c>
      <c r="J310" s="714" t="s">
        <v>1082</v>
      </c>
      <c r="K310" s="714" t="s">
        <v>1078</v>
      </c>
      <c r="L310" s="718"/>
      <c r="M310" s="718"/>
      <c r="N310" s="718" t="s">
        <v>1418</v>
      </c>
      <c r="O310" s="739"/>
      <c r="P310" s="718"/>
      <c r="Q310" s="718"/>
      <c r="U310" s="714" t="s">
        <v>1208</v>
      </c>
      <c r="V310" s="714" t="s">
        <v>1208</v>
      </c>
      <c r="X310" s="745">
        <v>43500</v>
      </c>
      <c r="Y310" s="745">
        <v>43500</v>
      </c>
      <c r="AA310" s="745"/>
      <c r="AB310" s="714" t="s">
        <v>1079</v>
      </c>
      <c r="AC310" s="714">
        <v>0</v>
      </c>
      <c r="AD310" s="714">
        <v>0</v>
      </c>
      <c r="AE310" s="714">
        <v>0</v>
      </c>
      <c r="AF310" s="714">
        <v>0</v>
      </c>
      <c r="AG310" s="714">
        <v>0</v>
      </c>
      <c r="AH310" s="714">
        <v>1</v>
      </c>
      <c r="AI310" s="714">
        <v>70095</v>
      </c>
      <c r="AJ310" s="714">
        <v>2183</v>
      </c>
      <c r="AK310" s="714">
        <v>0</v>
      </c>
      <c r="AL310" s="714">
        <v>0</v>
      </c>
      <c r="AO310" s="748"/>
      <c r="AP310" s="748"/>
      <c r="AQ310" s="714" t="str">
        <f t="shared" si="8"/>
        <v/>
      </c>
      <c r="AS310" s="714" t="str">
        <f t="shared" si="9"/>
        <v>wci_corp</v>
      </c>
    </row>
    <row r="311" spans="2:45">
      <c r="B311" s="714" t="s">
        <v>1228</v>
      </c>
      <c r="C311" s="745">
        <v>43496</v>
      </c>
      <c r="D311" s="746">
        <v>90.94</v>
      </c>
      <c r="E311" s="746">
        <v>0</v>
      </c>
      <c r="F311" s="747" t="s">
        <v>1074</v>
      </c>
      <c r="G311" s="714" t="s">
        <v>1206</v>
      </c>
      <c r="H311" s="748" t="s">
        <v>1075</v>
      </c>
      <c r="I311" s="714" t="s">
        <v>1207</v>
      </c>
      <c r="J311" s="714" t="s">
        <v>1082</v>
      </c>
      <c r="K311" s="714" t="s">
        <v>1078</v>
      </c>
      <c r="L311" s="718"/>
      <c r="M311" s="718"/>
      <c r="N311" s="718" t="s">
        <v>1250</v>
      </c>
      <c r="O311" s="739"/>
      <c r="P311" s="718"/>
      <c r="Q311" s="718"/>
      <c r="U311" s="714" t="s">
        <v>1208</v>
      </c>
      <c r="V311" s="714" t="s">
        <v>1208</v>
      </c>
      <c r="X311" s="745">
        <v>43500</v>
      </c>
      <c r="Y311" s="745">
        <v>43500</v>
      </c>
      <c r="AA311" s="745"/>
      <c r="AB311" s="714" t="s">
        <v>1079</v>
      </c>
      <c r="AC311" s="714">
        <v>0</v>
      </c>
      <c r="AD311" s="714">
        <v>0</v>
      </c>
      <c r="AE311" s="714">
        <v>0</v>
      </c>
      <c r="AF311" s="714">
        <v>0</v>
      </c>
      <c r="AG311" s="714">
        <v>0</v>
      </c>
      <c r="AH311" s="714">
        <v>1</v>
      </c>
      <c r="AI311" s="714">
        <v>70095</v>
      </c>
      <c r="AJ311" s="714">
        <v>2183</v>
      </c>
      <c r="AK311" s="714">
        <v>0</v>
      </c>
      <c r="AL311" s="714">
        <v>0</v>
      </c>
      <c r="AO311" s="748"/>
      <c r="AP311" s="748"/>
      <c r="AQ311" s="714" t="str">
        <f t="shared" si="8"/>
        <v/>
      </c>
      <c r="AS311" s="714" t="str">
        <f t="shared" si="9"/>
        <v>wci_corp</v>
      </c>
    </row>
    <row r="312" spans="2:45">
      <c r="B312" s="714" t="s">
        <v>1228</v>
      </c>
      <c r="C312" s="745">
        <v>43496</v>
      </c>
      <c r="D312" s="746">
        <v>95.29</v>
      </c>
      <c r="E312" s="746">
        <v>0</v>
      </c>
      <c r="F312" s="747" t="s">
        <v>1074</v>
      </c>
      <c r="G312" s="714" t="s">
        <v>1206</v>
      </c>
      <c r="H312" s="748" t="s">
        <v>1075</v>
      </c>
      <c r="I312" s="714" t="s">
        <v>1207</v>
      </c>
      <c r="J312" s="714" t="s">
        <v>1082</v>
      </c>
      <c r="K312" s="714" t="s">
        <v>1078</v>
      </c>
      <c r="L312" s="718"/>
      <c r="M312" s="718"/>
      <c r="N312" s="718" t="s">
        <v>1250</v>
      </c>
      <c r="O312" s="739"/>
      <c r="P312" s="718"/>
      <c r="Q312" s="718"/>
      <c r="U312" s="714" t="s">
        <v>1208</v>
      </c>
      <c r="V312" s="714" t="s">
        <v>1208</v>
      </c>
      <c r="X312" s="745">
        <v>43500</v>
      </c>
      <c r="Y312" s="745">
        <v>43500</v>
      </c>
      <c r="AA312" s="745"/>
      <c r="AB312" s="714" t="s">
        <v>1079</v>
      </c>
      <c r="AC312" s="714">
        <v>0</v>
      </c>
      <c r="AD312" s="714">
        <v>0</v>
      </c>
      <c r="AE312" s="714">
        <v>0</v>
      </c>
      <c r="AF312" s="714">
        <v>0</v>
      </c>
      <c r="AG312" s="714">
        <v>0</v>
      </c>
      <c r="AH312" s="714">
        <v>1</v>
      </c>
      <c r="AI312" s="714">
        <v>70095</v>
      </c>
      <c r="AJ312" s="714">
        <v>2183</v>
      </c>
      <c r="AK312" s="714">
        <v>0</v>
      </c>
      <c r="AL312" s="714">
        <v>0</v>
      </c>
      <c r="AO312" s="748"/>
      <c r="AP312" s="748"/>
      <c r="AQ312" s="714" t="str">
        <f t="shared" si="8"/>
        <v/>
      </c>
      <c r="AS312" s="714" t="str">
        <f t="shared" si="9"/>
        <v>wci_corp</v>
      </c>
    </row>
    <row r="313" spans="2:45">
      <c r="B313" s="714" t="s">
        <v>1228</v>
      </c>
      <c r="C313" s="745">
        <v>43496</v>
      </c>
      <c r="D313" s="746">
        <v>59.53</v>
      </c>
      <c r="E313" s="746">
        <v>0</v>
      </c>
      <c r="F313" s="747" t="s">
        <v>1074</v>
      </c>
      <c r="G313" s="714" t="s">
        <v>1206</v>
      </c>
      <c r="H313" s="748" t="s">
        <v>1075</v>
      </c>
      <c r="I313" s="714" t="s">
        <v>1207</v>
      </c>
      <c r="J313" s="714" t="s">
        <v>1082</v>
      </c>
      <c r="K313" s="714" t="s">
        <v>1078</v>
      </c>
      <c r="L313" s="718"/>
      <c r="M313" s="718"/>
      <c r="N313" s="718" t="s">
        <v>1307</v>
      </c>
      <c r="O313" s="739"/>
      <c r="P313" s="718"/>
      <c r="Q313" s="718"/>
      <c r="U313" s="714" t="s">
        <v>1208</v>
      </c>
      <c r="V313" s="714" t="s">
        <v>1208</v>
      </c>
      <c r="X313" s="745">
        <v>43500</v>
      </c>
      <c r="Y313" s="745">
        <v>43500</v>
      </c>
      <c r="AA313" s="745"/>
      <c r="AB313" s="714" t="s">
        <v>1079</v>
      </c>
      <c r="AC313" s="714">
        <v>0</v>
      </c>
      <c r="AD313" s="714">
        <v>0</v>
      </c>
      <c r="AE313" s="714">
        <v>0</v>
      </c>
      <c r="AF313" s="714">
        <v>0</v>
      </c>
      <c r="AG313" s="714">
        <v>0</v>
      </c>
      <c r="AH313" s="714">
        <v>1</v>
      </c>
      <c r="AI313" s="714">
        <v>70095</v>
      </c>
      <c r="AJ313" s="714">
        <v>2183</v>
      </c>
      <c r="AK313" s="714">
        <v>0</v>
      </c>
      <c r="AL313" s="714">
        <v>0</v>
      </c>
      <c r="AO313" s="748"/>
      <c r="AP313" s="748"/>
      <c r="AQ313" s="714" t="str">
        <f t="shared" si="8"/>
        <v/>
      </c>
      <c r="AS313" s="714" t="str">
        <f t="shared" si="9"/>
        <v>wci_corp</v>
      </c>
    </row>
    <row r="314" spans="2:45">
      <c r="B314" s="714" t="s">
        <v>1228</v>
      </c>
      <c r="C314" s="745">
        <v>43496</v>
      </c>
      <c r="D314" s="746">
        <v>55.04</v>
      </c>
      <c r="E314" s="746">
        <v>0</v>
      </c>
      <c r="F314" s="747" t="s">
        <v>1074</v>
      </c>
      <c r="G314" s="714" t="s">
        <v>1206</v>
      </c>
      <c r="H314" s="748" t="s">
        <v>1075</v>
      </c>
      <c r="I314" s="714" t="s">
        <v>1207</v>
      </c>
      <c r="J314" s="714" t="s">
        <v>1082</v>
      </c>
      <c r="K314" s="714" t="s">
        <v>1078</v>
      </c>
      <c r="L314" s="718"/>
      <c r="M314" s="718"/>
      <c r="N314" s="718" t="s">
        <v>1481</v>
      </c>
      <c r="O314" s="739"/>
      <c r="P314" s="718"/>
      <c r="Q314" s="718"/>
      <c r="U314" s="714" t="s">
        <v>1208</v>
      </c>
      <c r="V314" s="714" t="s">
        <v>1208</v>
      </c>
      <c r="X314" s="745">
        <v>43500</v>
      </c>
      <c r="Y314" s="745">
        <v>43500</v>
      </c>
      <c r="AA314" s="745"/>
      <c r="AB314" s="714" t="s">
        <v>1079</v>
      </c>
      <c r="AC314" s="714">
        <v>0</v>
      </c>
      <c r="AD314" s="714">
        <v>0</v>
      </c>
      <c r="AE314" s="714">
        <v>0</v>
      </c>
      <c r="AF314" s="714">
        <v>0</v>
      </c>
      <c r="AG314" s="714">
        <v>0</v>
      </c>
      <c r="AH314" s="714">
        <v>1</v>
      </c>
      <c r="AI314" s="714">
        <v>70095</v>
      </c>
      <c r="AJ314" s="714">
        <v>2183</v>
      </c>
      <c r="AK314" s="714">
        <v>0</v>
      </c>
      <c r="AL314" s="714">
        <v>0</v>
      </c>
      <c r="AO314" s="748"/>
      <c r="AP314" s="748"/>
      <c r="AQ314" s="714" t="str">
        <f t="shared" si="8"/>
        <v/>
      </c>
      <c r="AS314" s="714" t="str">
        <f t="shared" si="9"/>
        <v>wci_corp</v>
      </c>
    </row>
    <row r="315" spans="2:45">
      <c r="B315" s="714" t="s">
        <v>1228</v>
      </c>
      <c r="C315" s="745">
        <v>43496</v>
      </c>
      <c r="D315" s="746">
        <v>-1.25</v>
      </c>
      <c r="E315" s="746">
        <v>0</v>
      </c>
      <c r="F315" s="747" t="s">
        <v>1074</v>
      </c>
      <c r="G315" s="714" t="s">
        <v>1206</v>
      </c>
      <c r="H315" s="748" t="s">
        <v>1075</v>
      </c>
      <c r="I315" s="714" t="s">
        <v>1207</v>
      </c>
      <c r="J315" s="714" t="s">
        <v>1082</v>
      </c>
      <c r="K315" s="714" t="s">
        <v>1078</v>
      </c>
      <c r="L315" s="718"/>
      <c r="M315" s="718"/>
      <c r="N315" s="718" t="s">
        <v>1481</v>
      </c>
      <c r="O315" s="739"/>
      <c r="P315" s="718"/>
      <c r="Q315" s="718"/>
      <c r="U315" s="714" t="s">
        <v>1208</v>
      </c>
      <c r="V315" s="714" t="s">
        <v>1208</v>
      </c>
      <c r="X315" s="745">
        <v>43500</v>
      </c>
      <c r="Y315" s="745">
        <v>43500</v>
      </c>
      <c r="AA315" s="745"/>
      <c r="AB315" s="714" t="s">
        <v>1079</v>
      </c>
      <c r="AC315" s="714">
        <v>0</v>
      </c>
      <c r="AD315" s="714">
        <v>0</v>
      </c>
      <c r="AE315" s="714">
        <v>0</v>
      </c>
      <c r="AF315" s="714">
        <v>0</v>
      </c>
      <c r="AG315" s="714">
        <v>0</v>
      </c>
      <c r="AH315" s="714">
        <v>1</v>
      </c>
      <c r="AI315" s="714">
        <v>70095</v>
      </c>
      <c r="AJ315" s="714">
        <v>2183</v>
      </c>
      <c r="AK315" s="714">
        <v>0</v>
      </c>
      <c r="AL315" s="714">
        <v>0</v>
      </c>
      <c r="AO315" s="748"/>
      <c r="AP315" s="748"/>
      <c r="AQ315" s="714" t="str">
        <f t="shared" si="8"/>
        <v/>
      </c>
      <c r="AS315" s="714" t="str">
        <f t="shared" si="9"/>
        <v>wci_corp</v>
      </c>
    </row>
    <row r="316" spans="2:45">
      <c r="B316" s="714" t="s">
        <v>1228</v>
      </c>
      <c r="C316" s="745">
        <v>43496</v>
      </c>
      <c r="D316" s="746">
        <v>45.97</v>
      </c>
      <c r="E316" s="746">
        <v>0</v>
      </c>
      <c r="F316" s="747" t="s">
        <v>1074</v>
      </c>
      <c r="G316" s="714" t="s">
        <v>1206</v>
      </c>
      <c r="H316" s="748" t="s">
        <v>1075</v>
      </c>
      <c r="I316" s="714" t="s">
        <v>1207</v>
      </c>
      <c r="J316" s="714" t="s">
        <v>1082</v>
      </c>
      <c r="K316" s="714" t="s">
        <v>1078</v>
      </c>
      <c r="L316" s="718"/>
      <c r="M316" s="718"/>
      <c r="N316" s="718" t="s">
        <v>1259</v>
      </c>
      <c r="O316" s="739"/>
      <c r="P316" s="718"/>
      <c r="Q316" s="718"/>
      <c r="U316" s="714" t="s">
        <v>1208</v>
      </c>
      <c r="V316" s="714" t="s">
        <v>1208</v>
      </c>
      <c r="X316" s="745">
        <v>43500</v>
      </c>
      <c r="Y316" s="745">
        <v>43500</v>
      </c>
      <c r="AA316" s="745"/>
      <c r="AB316" s="714" t="s">
        <v>1079</v>
      </c>
      <c r="AC316" s="714">
        <v>0</v>
      </c>
      <c r="AD316" s="714">
        <v>0</v>
      </c>
      <c r="AE316" s="714">
        <v>0</v>
      </c>
      <c r="AF316" s="714">
        <v>0</v>
      </c>
      <c r="AG316" s="714">
        <v>0</v>
      </c>
      <c r="AH316" s="714">
        <v>1</v>
      </c>
      <c r="AI316" s="714">
        <v>70095</v>
      </c>
      <c r="AJ316" s="714">
        <v>2183</v>
      </c>
      <c r="AK316" s="714">
        <v>0</v>
      </c>
      <c r="AL316" s="714">
        <v>0</v>
      </c>
      <c r="AO316" s="748"/>
      <c r="AP316" s="748"/>
      <c r="AQ316" s="714" t="str">
        <f t="shared" si="8"/>
        <v/>
      </c>
      <c r="AS316" s="714" t="str">
        <f t="shared" si="9"/>
        <v>wci_corp</v>
      </c>
    </row>
    <row r="317" spans="2:45">
      <c r="B317" s="714" t="s">
        <v>1228</v>
      </c>
      <c r="C317" s="745">
        <v>43496</v>
      </c>
      <c r="D317" s="746">
        <v>21.48</v>
      </c>
      <c r="E317" s="746">
        <v>0</v>
      </c>
      <c r="F317" s="747" t="s">
        <v>1074</v>
      </c>
      <c r="G317" s="714" t="s">
        <v>1206</v>
      </c>
      <c r="H317" s="748" t="s">
        <v>1075</v>
      </c>
      <c r="I317" s="714" t="s">
        <v>1207</v>
      </c>
      <c r="J317" s="714" t="s">
        <v>1082</v>
      </c>
      <c r="K317" s="714" t="s">
        <v>1078</v>
      </c>
      <c r="L317" s="718"/>
      <c r="M317" s="718"/>
      <c r="N317" s="718" t="s">
        <v>1307</v>
      </c>
      <c r="O317" s="739"/>
      <c r="P317" s="718"/>
      <c r="Q317" s="718"/>
      <c r="U317" s="714" t="s">
        <v>1208</v>
      </c>
      <c r="V317" s="714" t="s">
        <v>1208</v>
      </c>
      <c r="X317" s="745">
        <v>43500</v>
      </c>
      <c r="Y317" s="745">
        <v>43500</v>
      </c>
      <c r="AA317" s="745"/>
      <c r="AB317" s="714" t="s">
        <v>1079</v>
      </c>
      <c r="AC317" s="714">
        <v>0</v>
      </c>
      <c r="AD317" s="714">
        <v>0</v>
      </c>
      <c r="AE317" s="714">
        <v>0</v>
      </c>
      <c r="AF317" s="714">
        <v>0</v>
      </c>
      <c r="AG317" s="714">
        <v>0</v>
      </c>
      <c r="AH317" s="714">
        <v>1</v>
      </c>
      <c r="AI317" s="714">
        <v>70095</v>
      </c>
      <c r="AJ317" s="714">
        <v>2183</v>
      </c>
      <c r="AK317" s="714">
        <v>0</v>
      </c>
      <c r="AL317" s="714">
        <v>0</v>
      </c>
      <c r="AO317" s="748"/>
      <c r="AP317" s="748"/>
      <c r="AQ317" s="714" t="str">
        <f t="shared" si="8"/>
        <v/>
      </c>
      <c r="AS317" s="714" t="str">
        <f t="shared" si="9"/>
        <v>wci_corp</v>
      </c>
    </row>
    <row r="318" spans="2:45">
      <c r="B318" s="714" t="s">
        <v>1228</v>
      </c>
      <c r="C318" s="745">
        <v>43496</v>
      </c>
      <c r="D318" s="746">
        <v>-133</v>
      </c>
      <c r="E318" s="746">
        <v>0</v>
      </c>
      <c r="F318" s="747" t="s">
        <v>1074</v>
      </c>
      <c r="G318" s="714" t="s">
        <v>1482</v>
      </c>
      <c r="H318" s="748" t="s">
        <v>1075</v>
      </c>
      <c r="I318" s="714" t="s">
        <v>1483</v>
      </c>
      <c r="J318" s="714" t="s">
        <v>1082</v>
      </c>
      <c r="K318" s="714" t="s">
        <v>1078</v>
      </c>
      <c r="L318" s="718"/>
      <c r="M318" s="718"/>
      <c r="N318" s="718" t="s">
        <v>1484</v>
      </c>
      <c r="O318" s="739"/>
      <c r="P318" s="718"/>
      <c r="Q318" s="718"/>
      <c r="U318" s="714" t="s">
        <v>1485</v>
      </c>
      <c r="V318" s="714" t="s">
        <v>1485</v>
      </c>
      <c r="X318" s="745">
        <v>43500</v>
      </c>
      <c r="Y318" s="745">
        <v>43501</v>
      </c>
      <c r="AA318" s="745"/>
      <c r="AB318" s="714" t="s">
        <v>1079</v>
      </c>
      <c r="AC318" s="714">
        <v>0</v>
      </c>
      <c r="AD318" s="714">
        <v>0</v>
      </c>
      <c r="AE318" s="714">
        <v>0</v>
      </c>
      <c r="AF318" s="714">
        <v>0</v>
      </c>
      <c r="AG318" s="714">
        <v>0</v>
      </c>
      <c r="AH318" s="714">
        <v>1</v>
      </c>
      <c r="AI318" s="714">
        <v>70095</v>
      </c>
      <c r="AJ318" s="714">
        <v>2183</v>
      </c>
      <c r="AK318" s="714">
        <v>0</v>
      </c>
      <c r="AL318" s="714">
        <v>0</v>
      </c>
      <c r="AO318" s="748"/>
      <c r="AP318" s="748"/>
      <c r="AQ318" s="714" t="str">
        <f t="shared" si="8"/>
        <v/>
      </c>
      <c r="AS318" s="714" t="str">
        <f t="shared" si="9"/>
        <v>wci_corp</v>
      </c>
    </row>
    <row r="319" spans="2:45">
      <c r="B319" s="714" t="s">
        <v>1228</v>
      </c>
      <c r="C319" s="745">
        <v>43496</v>
      </c>
      <c r="D319" s="746">
        <v>-44</v>
      </c>
      <c r="E319" s="746">
        <v>0</v>
      </c>
      <c r="F319" s="747" t="s">
        <v>1074</v>
      </c>
      <c r="G319" s="714" t="s">
        <v>1482</v>
      </c>
      <c r="H319" s="748" t="s">
        <v>1075</v>
      </c>
      <c r="I319" s="714" t="s">
        <v>1483</v>
      </c>
      <c r="J319" s="714" t="s">
        <v>1082</v>
      </c>
      <c r="K319" s="714" t="s">
        <v>1078</v>
      </c>
      <c r="L319" s="718"/>
      <c r="M319" s="718"/>
      <c r="N319" s="718" t="s">
        <v>1486</v>
      </c>
      <c r="O319" s="739"/>
      <c r="P319" s="718"/>
      <c r="Q319" s="718"/>
      <c r="U319" s="714" t="s">
        <v>1485</v>
      </c>
      <c r="V319" s="714" t="s">
        <v>1485</v>
      </c>
      <c r="X319" s="745">
        <v>43500</v>
      </c>
      <c r="Y319" s="745">
        <v>43501</v>
      </c>
      <c r="AA319" s="745"/>
      <c r="AB319" s="714" t="s">
        <v>1079</v>
      </c>
      <c r="AC319" s="714">
        <v>0</v>
      </c>
      <c r="AD319" s="714">
        <v>0</v>
      </c>
      <c r="AE319" s="714">
        <v>0</v>
      </c>
      <c r="AF319" s="714">
        <v>0</v>
      </c>
      <c r="AG319" s="714">
        <v>0</v>
      </c>
      <c r="AH319" s="714">
        <v>1</v>
      </c>
      <c r="AI319" s="714">
        <v>70095</v>
      </c>
      <c r="AJ319" s="714">
        <v>2183</v>
      </c>
      <c r="AK319" s="714">
        <v>0</v>
      </c>
      <c r="AL319" s="714">
        <v>0</v>
      </c>
      <c r="AO319" s="748"/>
      <c r="AP319" s="748"/>
      <c r="AQ319" s="714" t="str">
        <f t="shared" si="8"/>
        <v/>
      </c>
      <c r="AS319" s="714" t="str">
        <f t="shared" si="9"/>
        <v>wci_corp</v>
      </c>
    </row>
    <row r="320" spans="2:45">
      <c r="B320" s="714" t="s">
        <v>1228</v>
      </c>
      <c r="C320" s="745">
        <v>43496</v>
      </c>
      <c r="D320" s="746">
        <v>250</v>
      </c>
      <c r="E320" s="746">
        <v>0</v>
      </c>
      <c r="F320" s="747" t="s">
        <v>1074</v>
      </c>
      <c r="G320" s="714" t="s">
        <v>1487</v>
      </c>
      <c r="H320" s="748" t="s">
        <v>1075</v>
      </c>
      <c r="I320" s="714" t="s">
        <v>1131</v>
      </c>
      <c r="J320" s="714" t="s">
        <v>1082</v>
      </c>
      <c r="K320" s="714" t="s">
        <v>1078</v>
      </c>
      <c r="L320" s="718"/>
      <c r="M320" s="718"/>
      <c r="N320" s="718" t="s">
        <v>1488</v>
      </c>
      <c r="O320" s="739"/>
      <c r="P320" s="718"/>
      <c r="Q320" s="718"/>
      <c r="U320" s="714" t="s">
        <v>1489</v>
      </c>
      <c r="V320" s="714" t="s">
        <v>1489</v>
      </c>
      <c r="X320" s="745">
        <v>43502</v>
      </c>
      <c r="Y320" s="745">
        <v>43503</v>
      </c>
      <c r="AA320" s="745"/>
      <c r="AB320" s="714" t="s">
        <v>1079</v>
      </c>
      <c r="AC320" s="714">
        <v>0</v>
      </c>
      <c r="AD320" s="714">
        <v>0</v>
      </c>
      <c r="AE320" s="714">
        <v>0</v>
      </c>
      <c r="AF320" s="714">
        <v>0</v>
      </c>
      <c r="AG320" s="714">
        <v>0</v>
      </c>
      <c r="AH320" s="714">
        <v>1</v>
      </c>
      <c r="AI320" s="714">
        <v>70095</v>
      </c>
      <c r="AJ320" s="714">
        <v>2183</v>
      </c>
      <c r="AK320" s="714">
        <v>0</v>
      </c>
      <c r="AL320" s="714">
        <v>0</v>
      </c>
      <c r="AO320" s="748"/>
      <c r="AP320" s="748"/>
      <c r="AQ320" s="714" t="str">
        <f t="shared" si="8"/>
        <v/>
      </c>
      <c r="AS320" s="714" t="str">
        <f t="shared" si="9"/>
        <v>wci_corp</v>
      </c>
    </row>
    <row r="321" spans="2:45">
      <c r="B321" s="714" t="s">
        <v>1228</v>
      </c>
      <c r="C321" s="745">
        <v>43496</v>
      </c>
      <c r="D321" s="746">
        <v>24.21</v>
      </c>
      <c r="E321" s="746">
        <v>0</v>
      </c>
      <c r="F321" s="747" t="s">
        <v>1074</v>
      </c>
      <c r="G321" s="714" t="s">
        <v>1487</v>
      </c>
      <c r="H321" s="748" t="s">
        <v>1075</v>
      </c>
      <c r="I321" s="714" t="s">
        <v>1131</v>
      </c>
      <c r="J321" s="714" t="s">
        <v>1082</v>
      </c>
      <c r="K321" s="714" t="s">
        <v>1078</v>
      </c>
      <c r="L321" s="718"/>
      <c r="M321" s="718"/>
      <c r="N321" s="718" t="s">
        <v>1453</v>
      </c>
      <c r="O321" s="739"/>
      <c r="P321" s="718"/>
      <c r="Q321" s="718"/>
      <c r="U321" s="714" t="s">
        <v>1489</v>
      </c>
      <c r="V321" s="714" t="s">
        <v>1489</v>
      </c>
      <c r="X321" s="745">
        <v>43502</v>
      </c>
      <c r="Y321" s="745">
        <v>43503</v>
      </c>
      <c r="AA321" s="745"/>
      <c r="AB321" s="714" t="s">
        <v>1079</v>
      </c>
      <c r="AC321" s="714">
        <v>0</v>
      </c>
      <c r="AD321" s="714">
        <v>0</v>
      </c>
      <c r="AE321" s="714">
        <v>0</v>
      </c>
      <c r="AF321" s="714">
        <v>0</v>
      </c>
      <c r="AG321" s="714">
        <v>0</v>
      </c>
      <c r="AH321" s="714">
        <v>1</v>
      </c>
      <c r="AI321" s="714">
        <v>70095</v>
      </c>
      <c r="AJ321" s="714">
        <v>2183</v>
      </c>
      <c r="AK321" s="714">
        <v>0</v>
      </c>
      <c r="AL321" s="714">
        <v>0</v>
      </c>
      <c r="AO321" s="748"/>
      <c r="AP321" s="748"/>
      <c r="AQ321" s="714" t="str">
        <f t="shared" si="8"/>
        <v/>
      </c>
      <c r="AS321" s="714" t="str">
        <f t="shared" si="9"/>
        <v>wci_corp</v>
      </c>
    </row>
    <row r="322" spans="2:45">
      <c r="B322" s="714" t="s">
        <v>1228</v>
      </c>
      <c r="C322" s="745">
        <v>43496</v>
      </c>
      <c r="D322" s="746">
        <v>45.97</v>
      </c>
      <c r="E322" s="746">
        <v>0</v>
      </c>
      <c r="F322" s="747" t="s">
        <v>1074</v>
      </c>
      <c r="G322" s="714" t="s">
        <v>1487</v>
      </c>
      <c r="H322" s="748" t="s">
        <v>1075</v>
      </c>
      <c r="I322" s="714" t="s">
        <v>1131</v>
      </c>
      <c r="J322" s="714" t="s">
        <v>1082</v>
      </c>
      <c r="K322" s="714" t="s">
        <v>1078</v>
      </c>
      <c r="L322" s="718"/>
      <c r="M322" s="718"/>
      <c r="N322" s="718" t="s">
        <v>1259</v>
      </c>
      <c r="O322" s="739"/>
      <c r="P322" s="718"/>
      <c r="Q322" s="718"/>
      <c r="U322" s="714" t="s">
        <v>1489</v>
      </c>
      <c r="V322" s="714" t="s">
        <v>1489</v>
      </c>
      <c r="X322" s="745">
        <v>43502</v>
      </c>
      <c r="Y322" s="745">
        <v>43503</v>
      </c>
      <c r="AA322" s="745"/>
      <c r="AB322" s="714" t="s">
        <v>1079</v>
      </c>
      <c r="AC322" s="714">
        <v>0</v>
      </c>
      <c r="AD322" s="714">
        <v>0</v>
      </c>
      <c r="AE322" s="714">
        <v>0</v>
      </c>
      <c r="AF322" s="714">
        <v>0</v>
      </c>
      <c r="AG322" s="714">
        <v>0</v>
      </c>
      <c r="AH322" s="714">
        <v>1</v>
      </c>
      <c r="AI322" s="714">
        <v>70095</v>
      </c>
      <c r="AJ322" s="714">
        <v>2183</v>
      </c>
      <c r="AK322" s="714">
        <v>0</v>
      </c>
      <c r="AL322" s="714">
        <v>0</v>
      </c>
      <c r="AO322" s="748"/>
      <c r="AP322" s="748"/>
      <c r="AQ322" s="714" t="str">
        <f t="shared" si="8"/>
        <v/>
      </c>
      <c r="AS322" s="714" t="str">
        <f t="shared" si="9"/>
        <v>wci_corp</v>
      </c>
    </row>
    <row r="323" spans="2:45">
      <c r="B323" s="714" t="s">
        <v>1228</v>
      </c>
      <c r="C323" s="745">
        <v>43496</v>
      </c>
      <c r="D323" s="746">
        <v>62.44</v>
      </c>
      <c r="E323" s="746">
        <v>0</v>
      </c>
      <c r="F323" s="747" t="s">
        <v>1074</v>
      </c>
      <c r="G323" s="714" t="s">
        <v>1487</v>
      </c>
      <c r="H323" s="748" t="s">
        <v>1075</v>
      </c>
      <c r="I323" s="714" t="s">
        <v>1131</v>
      </c>
      <c r="J323" s="714" t="s">
        <v>1082</v>
      </c>
      <c r="K323" s="714" t="s">
        <v>1078</v>
      </c>
      <c r="L323" s="718"/>
      <c r="M323" s="718"/>
      <c r="N323" s="718" t="s">
        <v>1418</v>
      </c>
      <c r="O323" s="739"/>
      <c r="P323" s="718"/>
      <c r="Q323" s="718"/>
      <c r="U323" s="714" t="s">
        <v>1489</v>
      </c>
      <c r="V323" s="714" t="s">
        <v>1489</v>
      </c>
      <c r="X323" s="745">
        <v>43502</v>
      </c>
      <c r="Y323" s="745">
        <v>43503</v>
      </c>
      <c r="AA323" s="745"/>
      <c r="AB323" s="714" t="s">
        <v>1079</v>
      </c>
      <c r="AC323" s="714">
        <v>0</v>
      </c>
      <c r="AD323" s="714">
        <v>0</v>
      </c>
      <c r="AE323" s="714">
        <v>0</v>
      </c>
      <c r="AF323" s="714">
        <v>0</v>
      </c>
      <c r="AG323" s="714">
        <v>0</v>
      </c>
      <c r="AH323" s="714">
        <v>1</v>
      </c>
      <c r="AI323" s="714">
        <v>70095</v>
      </c>
      <c r="AJ323" s="714">
        <v>2183</v>
      </c>
      <c r="AK323" s="714">
        <v>0</v>
      </c>
      <c r="AL323" s="714">
        <v>0</v>
      </c>
      <c r="AO323" s="748"/>
      <c r="AP323" s="748"/>
      <c r="AQ323" s="714" t="str">
        <f t="shared" si="8"/>
        <v/>
      </c>
      <c r="AS323" s="714" t="str">
        <f t="shared" si="9"/>
        <v>wci_corp</v>
      </c>
    </row>
    <row r="324" spans="2:45">
      <c r="B324" s="714" t="s">
        <v>1228</v>
      </c>
      <c r="C324" s="745">
        <v>43496</v>
      </c>
      <c r="D324" s="746">
        <v>78.349999999999994</v>
      </c>
      <c r="E324" s="746">
        <v>0</v>
      </c>
      <c r="F324" s="747" t="s">
        <v>1074</v>
      </c>
      <c r="G324" s="714" t="s">
        <v>1487</v>
      </c>
      <c r="H324" s="748" t="s">
        <v>1075</v>
      </c>
      <c r="I324" s="714" t="s">
        <v>1131</v>
      </c>
      <c r="J324" s="714" t="s">
        <v>1082</v>
      </c>
      <c r="K324" s="714" t="s">
        <v>1078</v>
      </c>
      <c r="L324" s="718"/>
      <c r="M324" s="718"/>
      <c r="N324" s="718" t="s">
        <v>1490</v>
      </c>
      <c r="O324" s="739"/>
      <c r="P324" s="718"/>
      <c r="Q324" s="718"/>
      <c r="U324" s="714" t="s">
        <v>1489</v>
      </c>
      <c r="V324" s="714" t="s">
        <v>1489</v>
      </c>
      <c r="X324" s="745">
        <v>43502</v>
      </c>
      <c r="Y324" s="745">
        <v>43503</v>
      </c>
      <c r="AA324" s="745"/>
      <c r="AB324" s="714" t="s">
        <v>1079</v>
      </c>
      <c r="AC324" s="714">
        <v>0</v>
      </c>
      <c r="AD324" s="714">
        <v>0</v>
      </c>
      <c r="AE324" s="714">
        <v>0</v>
      </c>
      <c r="AF324" s="714">
        <v>0</v>
      </c>
      <c r="AG324" s="714">
        <v>0</v>
      </c>
      <c r="AH324" s="714">
        <v>1</v>
      </c>
      <c r="AI324" s="714">
        <v>70095</v>
      </c>
      <c r="AJ324" s="714">
        <v>2183</v>
      </c>
      <c r="AK324" s="714">
        <v>0</v>
      </c>
      <c r="AL324" s="714">
        <v>0</v>
      </c>
      <c r="AO324" s="748"/>
      <c r="AP324" s="748"/>
      <c r="AQ324" s="714" t="str">
        <f t="shared" si="8"/>
        <v/>
      </c>
      <c r="AS324" s="714" t="str">
        <f t="shared" si="9"/>
        <v>wci_corp</v>
      </c>
    </row>
    <row r="325" spans="2:45">
      <c r="B325" s="714" t="s">
        <v>1228</v>
      </c>
      <c r="C325" s="745">
        <v>43496</v>
      </c>
      <c r="D325" s="746">
        <v>98.02</v>
      </c>
      <c r="E325" s="746">
        <v>0</v>
      </c>
      <c r="F325" s="747" t="s">
        <v>1074</v>
      </c>
      <c r="G325" s="714" t="s">
        <v>1487</v>
      </c>
      <c r="H325" s="748" t="s">
        <v>1075</v>
      </c>
      <c r="I325" s="714" t="s">
        <v>1131</v>
      </c>
      <c r="J325" s="714" t="s">
        <v>1082</v>
      </c>
      <c r="K325" s="714" t="s">
        <v>1078</v>
      </c>
      <c r="L325" s="718"/>
      <c r="M325" s="718"/>
      <c r="N325" s="718" t="s">
        <v>1250</v>
      </c>
      <c r="O325" s="739"/>
      <c r="P325" s="718"/>
      <c r="Q325" s="718"/>
      <c r="U325" s="714" t="s">
        <v>1489</v>
      </c>
      <c r="V325" s="714" t="s">
        <v>1489</v>
      </c>
      <c r="X325" s="745">
        <v>43502</v>
      </c>
      <c r="Y325" s="745">
        <v>43503</v>
      </c>
      <c r="AA325" s="745"/>
      <c r="AB325" s="714" t="s">
        <v>1079</v>
      </c>
      <c r="AC325" s="714">
        <v>0</v>
      </c>
      <c r="AD325" s="714">
        <v>0</v>
      </c>
      <c r="AE325" s="714">
        <v>0</v>
      </c>
      <c r="AF325" s="714">
        <v>0</v>
      </c>
      <c r="AG325" s="714">
        <v>0</v>
      </c>
      <c r="AH325" s="714">
        <v>1</v>
      </c>
      <c r="AI325" s="714">
        <v>70095</v>
      </c>
      <c r="AJ325" s="714">
        <v>2183</v>
      </c>
      <c r="AK325" s="714">
        <v>0</v>
      </c>
      <c r="AL325" s="714">
        <v>0</v>
      </c>
      <c r="AO325" s="748"/>
      <c r="AP325" s="748"/>
      <c r="AQ325" s="714" t="str">
        <f t="shared" si="8"/>
        <v/>
      </c>
      <c r="AS325" s="714" t="str">
        <f t="shared" si="9"/>
        <v>wci_corp</v>
      </c>
    </row>
    <row r="326" spans="2:45">
      <c r="B326" s="714" t="s">
        <v>1228</v>
      </c>
      <c r="C326" s="745">
        <v>43496</v>
      </c>
      <c r="D326" s="746">
        <v>18.989999999999998</v>
      </c>
      <c r="E326" s="746">
        <v>0</v>
      </c>
      <c r="F326" s="747" t="s">
        <v>1074</v>
      </c>
      <c r="G326" s="714" t="s">
        <v>1487</v>
      </c>
      <c r="H326" s="748" t="s">
        <v>1075</v>
      </c>
      <c r="I326" s="714" t="s">
        <v>1131</v>
      </c>
      <c r="J326" s="714" t="s">
        <v>1082</v>
      </c>
      <c r="K326" s="714" t="s">
        <v>1078</v>
      </c>
      <c r="L326" s="718"/>
      <c r="M326" s="718"/>
      <c r="N326" s="718" t="s">
        <v>1259</v>
      </c>
      <c r="O326" s="739"/>
      <c r="P326" s="718"/>
      <c r="Q326" s="718"/>
      <c r="U326" s="714" t="s">
        <v>1489</v>
      </c>
      <c r="V326" s="714" t="s">
        <v>1489</v>
      </c>
      <c r="X326" s="745">
        <v>43502</v>
      </c>
      <c r="Y326" s="745">
        <v>43503</v>
      </c>
      <c r="AA326" s="745"/>
      <c r="AB326" s="714" t="s">
        <v>1079</v>
      </c>
      <c r="AC326" s="714">
        <v>0</v>
      </c>
      <c r="AD326" s="714">
        <v>0</v>
      </c>
      <c r="AE326" s="714">
        <v>0</v>
      </c>
      <c r="AF326" s="714">
        <v>0</v>
      </c>
      <c r="AG326" s="714">
        <v>0</v>
      </c>
      <c r="AH326" s="714">
        <v>1</v>
      </c>
      <c r="AI326" s="714">
        <v>70095</v>
      </c>
      <c r="AJ326" s="714">
        <v>2183</v>
      </c>
      <c r="AK326" s="714">
        <v>0</v>
      </c>
      <c r="AL326" s="714">
        <v>0</v>
      </c>
      <c r="AO326" s="748"/>
      <c r="AP326" s="748"/>
      <c r="AQ326" s="714" t="str">
        <f t="shared" si="8"/>
        <v/>
      </c>
      <c r="AS326" s="714" t="str">
        <f t="shared" si="9"/>
        <v>wci_corp</v>
      </c>
    </row>
    <row r="327" spans="2:45">
      <c r="B327" s="714" t="s">
        <v>1228</v>
      </c>
      <c r="C327" s="745">
        <v>43524</v>
      </c>
      <c r="D327" s="746">
        <v>-250</v>
      </c>
      <c r="E327" s="746">
        <v>0</v>
      </c>
      <c r="F327" s="747" t="s">
        <v>1074</v>
      </c>
      <c r="G327" s="714" t="s">
        <v>1491</v>
      </c>
      <c r="H327" s="748" t="s">
        <v>1075</v>
      </c>
      <c r="I327" s="714" t="s">
        <v>1131</v>
      </c>
      <c r="J327" s="714" t="s">
        <v>1082</v>
      </c>
      <c r="K327" s="714" t="s">
        <v>1078</v>
      </c>
      <c r="L327" s="718"/>
      <c r="M327" s="718"/>
      <c r="N327" s="718" t="s">
        <v>1488</v>
      </c>
      <c r="O327" s="739"/>
      <c r="P327" s="718"/>
      <c r="Q327" s="718"/>
      <c r="U327" s="714" t="s">
        <v>1489</v>
      </c>
      <c r="V327" s="714" t="s">
        <v>1492</v>
      </c>
      <c r="X327" s="745">
        <v>43503</v>
      </c>
      <c r="Y327" s="745">
        <v>43503</v>
      </c>
      <c r="AA327" s="745"/>
      <c r="AB327" s="714" t="s">
        <v>1079</v>
      </c>
      <c r="AC327" s="714">
        <v>0</v>
      </c>
      <c r="AD327" s="714">
        <v>0</v>
      </c>
      <c r="AE327" s="714">
        <v>0</v>
      </c>
      <c r="AF327" s="714">
        <v>0</v>
      </c>
      <c r="AG327" s="714">
        <v>5</v>
      </c>
      <c r="AH327" s="714">
        <v>1</v>
      </c>
      <c r="AI327" s="714">
        <v>70095</v>
      </c>
      <c r="AJ327" s="714">
        <v>2183</v>
      </c>
      <c r="AK327" s="714">
        <v>0</v>
      </c>
      <c r="AL327" s="714">
        <v>0</v>
      </c>
      <c r="AO327" s="748"/>
      <c r="AP327" s="748"/>
      <c r="AQ327" s="714" t="str">
        <f t="shared" si="8"/>
        <v/>
      </c>
      <c r="AS327" s="714" t="str">
        <f t="shared" si="9"/>
        <v>wci_corp</v>
      </c>
    </row>
    <row r="328" spans="2:45">
      <c r="B328" s="714" t="s">
        <v>1228</v>
      </c>
      <c r="C328" s="745">
        <v>43524</v>
      </c>
      <c r="D328" s="746">
        <v>-24.21</v>
      </c>
      <c r="E328" s="746">
        <v>0</v>
      </c>
      <c r="F328" s="747" t="s">
        <v>1074</v>
      </c>
      <c r="G328" s="714" t="s">
        <v>1491</v>
      </c>
      <c r="H328" s="748" t="s">
        <v>1075</v>
      </c>
      <c r="I328" s="714" t="s">
        <v>1131</v>
      </c>
      <c r="J328" s="714" t="s">
        <v>1082</v>
      </c>
      <c r="K328" s="714" t="s">
        <v>1078</v>
      </c>
      <c r="L328" s="718"/>
      <c r="M328" s="718"/>
      <c r="N328" s="718" t="s">
        <v>1453</v>
      </c>
      <c r="O328" s="739"/>
      <c r="P328" s="718"/>
      <c r="Q328" s="718"/>
      <c r="U328" s="714" t="s">
        <v>1489</v>
      </c>
      <c r="V328" s="714" t="s">
        <v>1492</v>
      </c>
      <c r="X328" s="745">
        <v>43503</v>
      </c>
      <c r="Y328" s="745">
        <v>43503</v>
      </c>
      <c r="AA328" s="745"/>
      <c r="AB328" s="714" t="s">
        <v>1079</v>
      </c>
      <c r="AC328" s="714">
        <v>0</v>
      </c>
      <c r="AD328" s="714">
        <v>0</v>
      </c>
      <c r="AE328" s="714">
        <v>0</v>
      </c>
      <c r="AF328" s="714">
        <v>0</v>
      </c>
      <c r="AG328" s="714">
        <v>5</v>
      </c>
      <c r="AH328" s="714">
        <v>1</v>
      </c>
      <c r="AI328" s="714">
        <v>70095</v>
      </c>
      <c r="AJ328" s="714">
        <v>2183</v>
      </c>
      <c r="AK328" s="714">
        <v>0</v>
      </c>
      <c r="AL328" s="714">
        <v>0</v>
      </c>
      <c r="AO328" s="748"/>
      <c r="AP328" s="748"/>
      <c r="AQ328" s="714" t="str">
        <f t="shared" si="8"/>
        <v/>
      </c>
      <c r="AS328" s="714" t="str">
        <f t="shared" si="9"/>
        <v>wci_corp</v>
      </c>
    </row>
    <row r="329" spans="2:45">
      <c r="B329" s="714" t="s">
        <v>1228</v>
      </c>
      <c r="C329" s="745">
        <v>43524</v>
      </c>
      <c r="D329" s="746">
        <v>-45.97</v>
      </c>
      <c r="E329" s="746">
        <v>0</v>
      </c>
      <c r="F329" s="747" t="s">
        <v>1074</v>
      </c>
      <c r="G329" s="714" t="s">
        <v>1491</v>
      </c>
      <c r="H329" s="748" t="s">
        <v>1075</v>
      </c>
      <c r="I329" s="714" t="s">
        <v>1131</v>
      </c>
      <c r="J329" s="714" t="s">
        <v>1082</v>
      </c>
      <c r="K329" s="714" t="s">
        <v>1078</v>
      </c>
      <c r="L329" s="718"/>
      <c r="M329" s="718"/>
      <c r="N329" s="718" t="s">
        <v>1259</v>
      </c>
      <c r="O329" s="739"/>
      <c r="P329" s="718"/>
      <c r="Q329" s="718"/>
      <c r="U329" s="714" t="s">
        <v>1489</v>
      </c>
      <c r="V329" s="714" t="s">
        <v>1492</v>
      </c>
      <c r="X329" s="745">
        <v>43503</v>
      </c>
      <c r="Y329" s="745">
        <v>43503</v>
      </c>
      <c r="AA329" s="745"/>
      <c r="AB329" s="714" t="s">
        <v>1079</v>
      </c>
      <c r="AC329" s="714">
        <v>0</v>
      </c>
      <c r="AD329" s="714">
        <v>0</v>
      </c>
      <c r="AE329" s="714">
        <v>0</v>
      </c>
      <c r="AF329" s="714">
        <v>0</v>
      </c>
      <c r="AG329" s="714">
        <v>5</v>
      </c>
      <c r="AH329" s="714">
        <v>1</v>
      </c>
      <c r="AI329" s="714">
        <v>70095</v>
      </c>
      <c r="AJ329" s="714">
        <v>2183</v>
      </c>
      <c r="AK329" s="714">
        <v>0</v>
      </c>
      <c r="AL329" s="714">
        <v>0</v>
      </c>
      <c r="AO329" s="748"/>
      <c r="AP329" s="748"/>
      <c r="AQ329" s="714" t="str">
        <f t="shared" si="8"/>
        <v/>
      </c>
      <c r="AS329" s="714" t="str">
        <f t="shared" si="9"/>
        <v>wci_corp</v>
      </c>
    </row>
    <row r="330" spans="2:45">
      <c r="B330" s="714" t="s">
        <v>1228</v>
      </c>
      <c r="C330" s="745">
        <v>43524</v>
      </c>
      <c r="D330" s="746">
        <v>-62.44</v>
      </c>
      <c r="E330" s="746">
        <v>0</v>
      </c>
      <c r="F330" s="747" t="s">
        <v>1074</v>
      </c>
      <c r="G330" s="714" t="s">
        <v>1491</v>
      </c>
      <c r="H330" s="748" t="s">
        <v>1075</v>
      </c>
      <c r="I330" s="714" t="s">
        <v>1131</v>
      </c>
      <c r="J330" s="714" t="s">
        <v>1082</v>
      </c>
      <c r="K330" s="714" t="s">
        <v>1078</v>
      </c>
      <c r="L330" s="718"/>
      <c r="M330" s="718"/>
      <c r="N330" s="718" t="s">
        <v>1418</v>
      </c>
      <c r="O330" s="739"/>
      <c r="P330" s="718"/>
      <c r="Q330" s="718"/>
      <c r="U330" s="714" t="s">
        <v>1489</v>
      </c>
      <c r="V330" s="714" t="s">
        <v>1492</v>
      </c>
      <c r="X330" s="745">
        <v>43503</v>
      </c>
      <c r="Y330" s="745">
        <v>43503</v>
      </c>
      <c r="AA330" s="745"/>
      <c r="AB330" s="714" t="s">
        <v>1079</v>
      </c>
      <c r="AC330" s="714">
        <v>0</v>
      </c>
      <c r="AD330" s="714">
        <v>0</v>
      </c>
      <c r="AE330" s="714">
        <v>0</v>
      </c>
      <c r="AF330" s="714">
        <v>0</v>
      </c>
      <c r="AG330" s="714">
        <v>5</v>
      </c>
      <c r="AH330" s="714">
        <v>1</v>
      </c>
      <c r="AI330" s="714">
        <v>70095</v>
      </c>
      <c r="AJ330" s="714">
        <v>2183</v>
      </c>
      <c r="AK330" s="714">
        <v>0</v>
      </c>
      <c r="AL330" s="714">
        <v>0</v>
      </c>
      <c r="AO330" s="748"/>
      <c r="AP330" s="748"/>
      <c r="AQ330" s="714" t="str">
        <f t="shared" si="8"/>
        <v/>
      </c>
      <c r="AS330" s="714" t="str">
        <f t="shared" si="9"/>
        <v>wci_corp</v>
      </c>
    </row>
    <row r="331" spans="2:45">
      <c r="B331" s="714" t="s">
        <v>1228</v>
      </c>
      <c r="C331" s="745">
        <v>43524</v>
      </c>
      <c r="D331" s="746">
        <v>-78.349999999999994</v>
      </c>
      <c r="E331" s="746">
        <v>0</v>
      </c>
      <c r="F331" s="747" t="s">
        <v>1074</v>
      </c>
      <c r="G331" s="714" t="s">
        <v>1491</v>
      </c>
      <c r="H331" s="748" t="s">
        <v>1075</v>
      </c>
      <c r="I331" s="714" t="s">
        <v>1131</v>
      </c>
      <c r="J331" s="714" t="s">
        <v>1082</v>
      </c>
      <c r="K331" s="714" t="s">
        <v>1078</v>
      </c>
      <c r="L331" s="718"/>
      <c r="M331" s="718"/>
      <c r="N331" s="718" t="s">
        <v>1490</v>
      </c>
      <c r="O331" s="739"/>
      <c r="P331" s="718"/>
      <c r="Q331" s="718"/>
      <c r="U331" s="714" t="s">
        <v>1489</v>
      </c>
      <c r="V331" s="714" t="s">
        <v>1492</v>
      </c>
      <c r="X331" s="745">
        <v>43503</v>
      </c>
      <c r="Y331" s="745">
        <v>43503</v>
      </c>
      <c r="AA331" s="745"/>
      <c r="AB331" s="714" t="s">
        <v>1079</v>
      </c>
      <c r="AC331" s="714">
        <v>0</v>
      </c>
      <c r="AD331" s="714">
        <v>0</v>
      </c>
      <c r="AE331" s="714">
        <v>0</v>
      </c>
      <c r="AF331" s="714">
        <v>0</v>
      </c>
      <c r="AG331" s="714">
        <v>5</v>
      </c>
      <c r="AH331" s="714">
        <v>1</v>
      </c>
      <c r="AI331" s="714">
        <v>70095</v>
      </c>
      <c r="AJ331" s="714">
        <v>2183</v>
      </c>
      <c r="AK331" s="714">
        <v>0</v>
      </c>
      <c r="AL331" s="714">
        <v>0</v>
      </c>
      <c r="AO331" s="748"/>
      <c r="AP331" s="748"/>
      <c r="AQ331" s="714" t="str">
        <f t="shared" si="8"/>
        <v/>
      </c>
      <c r="AS331" s="714" t="str">
        <f t="shared" si="9"/>
        <v>wci_corp</v>
      </c>
    </row>
    <row r="332" spans="2:45">
      <c r="B332" s="714" t="s">
        <v>1228</v>
      </c>
      <c r="C332" s="745">
        <v>43524</v>
      </c>
      <c r="D332" s="746">
        <v>-98.02</v>
      </c>
      <c r="E332" s="746">
        <v>0</v>
      </c>
      <c r="F332" s="747" t="s">
        <v>1074</v>
      </c>
      <c r="G332" s="714" t="s">
        <v>1491</v>
      </c>
      <c r="H332" s="748" t="s">
        <v>1075</v>
      </c>
      <c r="I332" s="714" t="s">
        <v>1131</v>
      </c>
      <c r="J332" s="714" t="s">
        <v>1082</v>
      </c>
      <c r="K332" s="714" t="s">
        <v>1078</v>
      </c>
      <c r="L332" s="718"/>
      <c r="M332" s="718"/>
      <c r="N332" s="718" t="s">
        <v>1250</v>
      </c>
      <c r="O332" s="739"/>
      <c r="P332" s="718"/>
      <c r="Q332" s="718"/>
      <c r="U332" s="714" t="s">
        <v>1489</v>
      </c>
      <c r="V332" s="714" t="s">
        <v>1492</v>
      </c>
      <c r="X332" s="745">
        <v>43503</v>
      </c>
      <c r="Y332" s="745">
        <v>43503</v>
      </c>
      <c r="AA332" s="745"/>
      <c r="AB332" s="714" t="s">
        <v>1079</v>
      </c>
      <c r="AC332" s="714">
        <v>0</v>
      </c>
      <c r="AD332" s="714">
        <v>0</v>
      </c>
      <c r="AE332" s="714">
        <v>0</v>
      </c>
      <c r="AF332" s="714">
        <v>0</v>
      </c>
      <c r="AG332" s="714">
        <v>5</v>
      </c>
      <c r="AH332" s="714">
        <v>1</v>
      </c>
      <c r="AI332" s="714">
        <v>70095</v>
      </c>
      <c r="AJ332" s="714">
        <v>2183</v>
      </c>
      <c r="AK332" s="714">
        <v>0</v>
      </c>
      <c r="AL332" s="714">
        <v>0</v>
      </c>
      <c r="AO332" s="748"/>
      <c r="AP332" s="748"/>
      <c r="AQ332" s="714" t="str">
        <f t="shared" si="8"/>
        <v/>
      </c>
      <c r="AS332" s="714" t="str">
        <f t="shared" si="9"/>
        <v>wci_corp</v>
      </c>
    </row>
    <row r="333" spans="2:45">
      <c r="B333" s="714" t="s">
        <v>1228</v>
      </c>
      <c r="C333" s="745">
        <v>43524</v>
      </c>
      <c r="D333" s="746">
        <v>-18.989999999999998</v>
      </c>
      <c r="E333" s="746">
        <v>0</v>
      </c>
      <c r="F333" s="747" t="s">
        <v>1074</v>
      </c>
      <c r="G333" s="714" t="s">
        <v>1491</v>
      </c>
      <c r="H333" s="748" t="s">
        <v>1075</v>
      </c>
      <c r="I333" s="714" t="s">
        <v>1131</v>
      </c>
      <c r="J333" s="714" t="s">
        <v>1082</v>
      </c>
      <c r="K333" s="714" t="s">
        <v>1078</v>
      </c>
      <c r="L333" s="718"/>
      <c r="M333" s="718"/>
      <c r="N333" s="718" t="s">
        <v>1259</v>
      </c>
      <c r="O333" s="739"/>
      <c r="P333" s="718"/>
      <c r="Q333" s="718"/>
      <c r="U333" s="714" t="s">
        <v>1489</v>
      </c>
      <c r="V333" s="714" t="s">
        <v>1492</v>
      </c>
      <c r="X333" s="745">
        <v>43503</v>
      </c>
      <c r="Y333" s="745">
        <v>43503</v>
      </c>
      <c r="AA333" s="745"/>
      <c r="AB333" s="714" t="s">
        <v>1079</v>
      </c>
      <c r="AC333" s="714">
        <v>0</v>
      </c>
      <c r="AD333" s="714">
        <v>0</v>
      </c>
      <c r="AE333" s="714">
        <v>0</v>
      </c>
      <c r="AF333" s="714">
        <v>0</v>
      </c>
      <c r="AG333" s="714">
        <v>5</v>
      </c>
      <c r="AH333" s="714">
        <v>1</v>
      </c>
      <c r="AI333" s="714">
        <v>70095</v>
      </c>
      <c r="AJ333" s="714">
        <v>2183</v>
      </c>
      <c r="AK333" s="714">
        <v>0</v>
      </c>
      <c r="AL333" s="714">
        <v>0</v>
      </c>
      <c r="AO333" s="748"/>
      <c r="AP333" s="748"/>
      <c r="AQ333" s="714" t="str">
        <f t="shared" si="8"/>
        <v/>
      </c>
      <c r="AS333" s="714" t="str">
        <f t="shared" si="9"/>
        <v>wci_corp</v>
      </c>
    </row>
    <row r="334" spans="2:45">
      <c r="B334" s="714" t="s">
        <v>1228</v>
      </c>
      <c r="C334" s="745">
        <v>43524</v>
      </c>
      <c r="D334" s="746">
        <v>2538.85</v>
      </c>
      <c r="E334" s="746">
        <v>0</v>
      </c>
      <c r="F334" s="747" t="s">
        <v>1074</v>
      </c>
      <c r="G334" s="714" t="s">
        <v>1493</v>
      </c>
      <c r="H334" s="748" t="s">
        <v>1075</v>
      </c>
      <c r="I334" s="714" t="s">
        <v>1076</v>
      </c>
      <c r="J334" s="714" t="s">
        <v>1077</v>
      </c>
      <c r="K334" s="714" t="s">
        <v>1078</v>
      </c>
      <c r="L334" s="718" t="s">
        <v>1277</v>
      </c>
      <c r="M334" s="718"/>
      <c r="N334" s="718" t="s">
        <v>1278</v>
      </c>
      <c r="O334" s="739">
        <v>43509</v>
      </c>
      <c r="P334" s="718" t="s">
        <v>1494</v>
      </c>
      <c r="Q334" s="718">
        <v>4635</v>
      </c>
      <c r="R334" s="714" t="s">
        <v>1495</v>
      </c>
      <c r="U334" s="714" t="s">
        <v>1496</v>
      </c>
      <c r="V334" s="714" t="s">
        <v>1497</v>
      </c>
      <c r="W334" s="714">
        <v>2183</v>
      </c>
      <c r="X334" s="745">
        <v>43524</v>
      </c>
      <c r="Y334" s="745">
        <v>43524</v>
      </c>
      <c r="Z334" s="714">
        <v>2538.85</v>
      </c>
      <c r="AA334" s="745">
        <v>43544</v>
      </c>
      <c r="AB334" s="714" t="s">
        <v>1079</v>
      </c>
      <c r="AC334" s="714">
        <v>0</v>
      </c>
      <c r="AD334" s="714">
        <v>0</v>
      </c>
      <c r="AE334" s="714">
        <v>0</v>
      </c>
      <c r="AF334" s="714">
        <v>0</v>
      </c>
      <c r="AG334" s="714">
        <v>0</v>
      </c>
      <c r="AH334" s="714">
        <v>1</v>
      </c>
      <c r="AI334" s="714">
        <v>70095</v>
      </c>
      <c r="AJ334" s="714">
        <v>2183</v>
      </c>
      <c r="AK334" s="714">
        <v>0</v>
      </c>
      <c r="AL334" s="714">
        <v>0</v>
      </c>
      <c r="AO334" s="748"/>
      <c r="AP334" s="748"/>
      <c r="AQ334" s="714" t="str">
        <f t="shared" si="8"/>
        <v>VO04936126</v>
      </c>
      <c r="AS334" s="714" t="str">
        <f t="shared" si="9"/>
        <v>wci_corp</v>
      </c>
    </row>
    <row r="335" spans="2:45">
      <c r="B335" s="714" t="s">
        <v>1228</v>
      </c>
      <c r="C335" s="745">
        <v>43524</v>
      </c>
      <c r="D335" s="746">
        <v>250</v>
      </c>
      <c r="E335" s="746">
        <v>0</v>
      </c>
      <c r="F335" s="747" t="s">
        <v>1074</v>
      </c>
      <c r="G335" s="714" t="s">
        <v>1210</v>
      </c>
      <c r="H335" s="748" t="s">
        <v>1075</v>
      </c>
      <c r="I335" s="714" t="s">
        <v>1211</v>
      </c>
      <c r="J335" s="714" t="s">
        <v>1082</v>
      </c>
      <c r="K335" s="714" t="s">
        <v>1078</v>
      </c>
      <c r="L335" s="718"/>
      <c r="M335" s="718"/>
      <c r="N335" s="718" t="s">
        <v>1488</v>
      </c>
      <c r="O335" s="739"/>
      <c r="P335" s="718"/>
      <c r="Q335" s="718"/>
      <c r="U335" s="714" t="s">
        <v>1212</v>
      </c>
      <c r="V335" s="714" t="s">
        <v>1212</v>
      </c>
      <c r="X335" s="745">
        <v>43528</v>
      </c>
      <c r="Y335" s="745">
        <v>43528</v>
      </c>
      <c r="AA335" s="745"/>
      <c r="AB335" s="714" t="s">
        <v>1079</v>
      </c>
      <c r="AC335" s="714">
        <v>0</v>
      </c>
      <c r="AD335" s="714">
        <v>0</v>
      </c>
      <c r="AE335" s="714">
        <v>0</v>
      </c>
      <c r="AF335" s="714">
        <v>0</v>
      </c>
      <c r="AG335" s="714">
        <v>0</v>
      </c>
      <c r="AH335" s="714">
        <v>1</v>
      </c>
      <c r="AI335" s="714">
        <v>70095</v>
      </c>
      <c r="AJ335" s="714">
        <v>2183</v>
      </c>
      <c r="AK335" s="714">
        <v>0</v>
      </c>
      <c r="AL335" s="714">
        <v>0</v>
      </c>
      <c r="AO335" s="748"/>
      <c r="AP335" s="748"/>
      <c r="AQ335" s="714" t="str">
        <f t="shared" si="8"/>
        <v/>
      </c>
      <c r="AS335" s="714" t="str">
        <f t="shared" si="9"/>
        <v>wci_corp</v>
      </c>
    </row>
    <row r="336" spans="2:45">
      <c r="B336" s="714" t="s">
        <v>1228</v>
      </c>
      <c r="C336" s="745">
        <v>43524</v>
      </c>
      <c r="D336" s="746">
        <v>24.21</v>
      </c>
      <c r="E336" s="746">
        <v>0</v>
      </c>
      <c r="F336" s="747" t="s">
        <v>1074</v>
      </c>
      <c r="G336" s="714" t="s">
        <v>1210</v>
      </c>
      <c r="H336" s="748" t="s">
        <v>1075</v>
      </c>
      <c r="I336" s="714" t="s">
        <v>1211</v>
      </c>
      <c r="J336" s="714" t="s">
        <v>1082</v>
      </c>
      <c r="K336" s="714" t="s">
        <v>1078</v>
      </c>
      <c r="L336" s="718"/>
      <c r="M336" s="718"/>
      <c r="N336" s="718" t="s">
        <v>1453</v>
      </c>
      <c r="O336" s="739"/>
      <c r="P336" s="718"/>
      <c r="Q336" s="718"/>
      <c r="U336" s="714" t="s">
        <v>1212</v>
      </c>
      <c r="V336" s="714" t="s">
        <v>1212</v>
      </c>
      <c r="X336" s="745">
        <v>43528</v>
      </c>
      <c r="Y336" s="745">
        <v>43528</v>
      </c>
      <c r="AA336" s="745"/>
      <c r="AB336" s="714" t="s">
        <v>1079</v>
      </c>
      <c r="AC336" s="714">
        <v>0</v>
      </c>
      <c r="AD336" s="714">
        <v>0</v>
      </c>
      <c r="AE336" s="714">
        <v>0</v>
      </c>
      <c r="AF336" s="714">
        <v>0</v>
      </c>
      <c r="AG336" s="714">
        <v>0</v>
      </c>
      <c r="AH336" s="714">
        <v>1</v>
      </c>
      <c r="AI336" s="714">
        <v>70095</v>
      </c>
      <c r="AJ336" s="714">
        <v>2183</v>
      </c>
      <c r="AK336" s="714">
        <v>0</v>
      </c>
      <c r="AL336" s="714">
        <v>0</v>
      </c>
      <c r="AO336" s="748"/>
      <c r="AP336" s="748"/>
      <c r="AQ336" s="714" t="str">
        <f t="shared" si="8"/>
        <v/>
      </c>
      <c r="AS336" s="714" t="str">
        <f t="shared" si="9"/>
        <v>wci_corp</v>
      </c>
    </row>
    <row r="337" spans="2:45">
      <c r="B337" s="714" t="s">
        <v>1228</v>
      </c>
      <c r="C337" s="745">
        <v>43524</v>
      </c>
      <c r="D337" s="746">
        <v>45.97</v>
      </c>
      <c r="E337" s="746">
        <v>0</v>
      </c>
      <c r="F337" s="747" t="s">
        <v>1074</v>
      </c>
      <c r="G337" s="714" t="s">
        <v>1210</v>
      </c>
      <c r="H337" s="748" t="s">
        <v>1075</v>
      </c>
      <c r="I337" s="714" t="s">
        <v>1211</v>
      </c>
      <c r="J337" s="714" t="s">
        <v>1082</v>
      </c>
      <c r="K337" s="714" t="s">
        <v>1078</v>
      </c>
      <c r="L337" s="718"/>
      <c r="M337" s="718"/>
      <c r="N337" s="718" t="s">
        <v>1259</v>
      </c>
      <c r="O337" s="739"/>
      <c r="P337" s="718"/>
      <c r="Q337" s="718"/>
      <c r="U337" s="714" t="s">
        <v>1212</v>
      </c>
      <c r="V337" s="714" t="s">
        <v>1212</v>
      </c>
      <c r="X337" s="745">
        <v>43528</v>
      </c>
      <c r="Y337" s="745">
        <v>43528</v>
      </c>
      <c r="AA337" s="745"/>
      <c r="AB337" s="714" t="s">
        <v>1079</v>
      </c>
      <c r="AC337" s="714">
        <v>0</v>
      </c>
      <c r="AD337" s="714">
        <v>0</v>
      </c>
      <c r="AE337" s="714">
        <v>0</v>
      </c>
      <c r="AF337" s="714">
        <v>0</v>
      </c>
      <c r="AG337" s="714">
        <v>0</v>
      </c>
      <c r="AH337" s="714">
        <v>1</v>
      </c>
      <c r="AI337" s="714">
        <v>70095</v>
      </c>
      <c r="AJ337" s="714">
        <v>2183</v>
      </c>
      <c r="AK337" s="714">
        <v>0</v>
      </c>
      <c r="AL337" s="714">
        <v>0</v>
      </c>
      <c r="AO337" s="748"/>
      <c r="AP337" s="748"/>
      <c r="AQ337" s="714" t="str">
        <f t="shared" si="8"/>
        <v/>
      </c>
      <c r="AS337" s="714" t="str">
        <f t="shared" si="9"/>
        <v>wci_corp</v>
      </c>
    </row>
    <row r="338" spans="2:45">
      <c r="B338" s="714" t="s">
        <v>1228</v>
      </c>
      <c r="C338" s="745">
        <v>43524</v>
      </c>
      <c r="D338" s="746">
        <v>62.44</v>
      </c>
      <c r="E338" s="746">
        <v>0</v>
      </c>
      <c r="F338" s="747" t="s">
        <v>1074</v>
      </c>
      <c r="G338" s="714" t="s">
        <v>1210</v>
      </c>
      <c r="H338" s="748" t="s">
        <v>1075</v>
      </c>
      <c r="I338" s="714" t="s">
        <v>1211</v>
      </c>
      <c r="J338" s="714" t="s">
        <v>1082</v>
      </c>
      <c r="K338" s="714" t="s">
        <v>1078</v>
      </c>
      <c r="L338" s="718"/>
      <c r="M338" s="718"/>
      <c r="N338" s="718" t="s">
        <v>1418</v>
      </c>
      <c r="O338" s="739"/>
      <c r="P338" s="718"/>
      <c r="Q338" s="718"/>
      <c r="U338" s="714" t="s">
        <v>1212</v>
      </c>
      <c r="V338" s="714" t="s">
        <v>1212</v>
      </c>
      <c r="X338" s="745">
        <v>43528</v>
      </c>
      <c r="Y338" s="745">
        <v>43528</v>
      </c>
      <c r="AA338" s="745"/>
      <c r="AB338" s="714" t="s">
        <v>1079</v>
      </c>
      <c r="AC338" s="714">
        <v>0</v>
      </c>
      <c r="AD338" s="714">
        <v>0</v>
      </c>
      <c r="AE338" s="714">
        <v>0</v>
      </c>
      <c r="AF338" s="714">
        <v>0</v>
      </c>
      <c r="AG338" s="714">
        <v>0</v>
      </c>
      <c r="AH338" s="714">
        <v>1</v>
      </c>
      <c r="AI338" s="714">
        <v>70095</v>
      </c>
      <c r="AJ338" s="714">
        <v>2183</v>
      </c>
      <c r="AK338" s="714">
        <v>0</v>
      </c>
      <c r="AL338" s="714">
        <v>0</v>
      </c>
      <c r="AO338" s="748"/>
      <c r="AP338" s="748"/>
      <c r="AQ338" s="714" t="str">
        <f t="shared" si="8"/>
        <v/>
      </c>
      <c r="AS338" s="714" t="str">
        <f t="shared" si="9"/>
        <v>wci_corp</v>
      </c>
    </row>
    <row r="339" spans="2:45">
      <c r="B339" s="714" t="s">
        <v>1228</v>
      </c>
      <c r="C339" s="745">
        <v>43524</v>
      </c>
      <c r="D339" s="746">
        <v>78.349999999999994</v>
      </c>
      <c r="E339" s="746">
        <v>0</v>
      </c>
      <c r="F339" s="747" t="s">
        <v>1074</v>
      </c>
      <c r="G339" s="714" t="s">
        <v>1210</v>
      </c>
      <c r="H339" s="748" t="s">
        <v>1075</v>
      </c>
      <c r="I339" s="714" t="s">
        <v>1211</v>
      </c>
      <c r="J339" s="714" t="s">
        <v>1082</v>
      </c>
      <c r="K339" s="714" t="s">
        <v>1078</v>
      </c>
      <c r="L339" s="718"/>
      <c r="M339" s="718"/>
      <c r="N339" s="718" t="s">
        <v>1490</v>
      </c>
      <c r="O339" s="739"/>
      <c r="P339" s="718"/>
      <c r="Q339" s="718"/>
      <c r="U339" s="714" t="s">
        <v>1212</v>
      </c>
      <c r="V339" s="714" t="s">
        <v>1212</v>
      </c>
      <c r="X339" s="745">
        <v>43528</v>
      </c>
      <c r="Y339" s="745">
        <v>43528</v>
      </c>
      <c r="AA339" s="745"/>
      <c r="AB339" s="714" t="s">
        <v>1079</v>
      </c>
      <c r="AC339" s="714">
        <v>0</v>
      </c>
      <c r="AD339" s="714">
        <v>0</v>
      </c>
      <c r="AE339" s="714">
        <v>0</v>
      </c>
      <c r="AF339" s="714">
        <v>0</v>
      </c>
      <c r="AG339" s="714">
        <v>0</v>
      </c>
      <c r="AH339" s="714">
        <v>1</v>
      </c>
      <c r="AI339" s="714">
        <v>70095</v>
      </c>
      <c r="AJ339" s="714">
        <v>2183</v>
      </c>
      <c r="AK339" s="714">
        <v>0</v>
      </c>
      <c r="AL339" s="714">
        <v>0</v>
      </c>
      <c r="AO339" s="748"/>
      <c r="AP339" s="748"/>
      <c r="AQ339" s="714" t="str">
        <f t="shared" si="8"/>
        <v/>
      </c>
      <c r="AS339" s="714" t="str">
        <f t="shared" si="9"/>
        <v>wci_corp</v>
      </c>
    </row>
    <row r="340" spans="2:45">
      <c r="B340" s="714" t="s">
        <v>1228</v>
      </c>
      <c r="C340" s="745">
        <v>43524</v>
      </c>
      <c r="D340" s="746">
        <v>98.02</v>
      </c>
      <c r="E340" s="746">
        <v>0</v>
      </c>
      <c r="F340" s="747" t="s">
        <v>1074</v>
      </c>
      <c r="G340" s="714" t="s">
        <v>1210</v>
      </c>
      <c r="H340" s="748" t="s">
        <v>1075</v>
      </c>
      <c r="I340" s="714" t="s">
        <v>1211</v>
      </c>
      <c r="J340" s="714" t="s">
        <v>1082</v>
      </c>
      <c r="K340" s="714" t="s">
        <v>1078</v>
      </c>
      <c r="L340" s="718"/>
      <c r="M340" s="718"/>
      <c r="N340" s="718" t="s">
        <v>1250</v>
      </c>
      <c r="O340" s="739"/>
      <c r="P340" s="718"/>
      <c r="Q340" s="718"/>
      <c r="U340" s="714" t="s">
        <v>1212</v>
      </c>
      <c r="V340" s="714" t="s">
        <v>1212</v>
      </c>
      <c r="X340" s="745">
        <v>43528</v>
      </c>
      <c r="Y340" s="745">
        <v>43528</v>
      </c>
      <c r="AA340" s="745"/>
      <c r="AB340" s="714" t="s">
        <v>1079</v>
      </c>
      <c r="AC340" s="714">
        <v>0</v>
      </c>
      <c r="AD340" s="714">
        <v>0</v>
      </c>
      <c r="AE340" s="714">
        <v>0</v>
      </c>
      <c r="AF340" s="714">
        <v>0</v>
      </c>
      <c r="AG340" s="714">
        <v>0</v>
      </c>
      <c r="AH340" s="714">
        <v>1</v>
      </c>
      <c r="AI340" s="714">
        <v>70095</v>
      </c>
      <c r="AJ340" s="714">
        <v>2183</v>
      </c>
      <c r="AK340" s="714">
        <v>0</v>
      </c>
      <c r="AL340" s="714">
        <v>0</v>
      </c>
      <c r="AO340" s="748"/>
      <c r="AP340" s="748"/>
      <c r="AQ340" s="714" t="str">
        <f t="shared" si="8"/>
        <v/>
      </c>
      <c r="AS340" s="714" t="str">
        <f t="shared" si="9"/>
        <v>wci_corp</v>
      </c>
    </row>
    <row r="341" spans="2:45">
      <c r="B341" s="714" t="s">
        <v>1228</v>
      </c>
      <c r="C341" s="745">
        <v>43524</v>
      </c>
      <c r="D341" s="746">
        <v>18.989999999999998</v>
      </c>
      <c r="E341" s="746">
        <v>0</v>
      </c>
      <c r="F341" s="747" t="s">
        <v>1074</v>
      </c>
      <c r="G341" s="714" t="s">
        <v>1210</v>
      </c>
      <c r="H341" s="748" t="s">
        <v>1075</v>
      </c>
      <c r="I341" s="714" t="s">
        <v>1211</v>
      </c>
      <c r="J341" s="714" t="s">
        <v>1082</v>
      </c>
      <c r="K341" s="714" t="s">
        <v>1078</v>
      </c>
      <c r="L341" s="718"/>
      <c r="M341" s="718"/>
      <c r="N341" s="718" t="s">
        <v>1259</v>
      </c>
      <c r="O341" s="739"/>
      <c r="P341" s="718"/>
      <c r="Q341" s="718"/>
      <c r="U341" s="714" t="s">
        <v>1212</v>
      </c>
      <c r="V341" s="714" t="s">
        <v>1212</v>
      </c>
      <c r="X341" s="745">
        <v>43528</v>
      </c>
      <c r="Y341" s="745">
        <v>43528</v>
      </c>
      <c r="AA341" s="745"/>
      <c r="AB341" s="714" t="s">
        <v>1079</v>
      </c>
      <c r="AC341" s="714">
        <v>0</v>
      </c>
      <c r="AD341" s="714">
        <v>0</v>
      </c>
      <c r="AE341" s="714">
        <v>0</v>
      </c>
      <c r="AF341" s="714">
        <v>0</v>
      </c>
      <c r="AG341" s="714">
        <v>0</v>
      </c>
      <c r="AH341" s="714">
        <v>1</v>
      </c>
      <c r="AI341" s="714">
        <v>70095</v>
      </c>
      <c r="AJ341" s="714">
        <v>2183</v>
      </c>
      <c r="AK341" s="714">
        <v>0</v>
      </c>
      <c r="AL341" s="714">
        <v>0</v>
      </c>
      <c r="AO341" s="748"/>
      <c r="AP341" s="748"/>
      <c r="AQ341" s="714" t="str">
        <f t="shared" ref="AQ341:AQ404" si="10">IF(LEFT(U341,2)="VO",U341,"")</f>
        <v/>
      </c>
      <c r="AS341" s="714" t="str">
        <f t="shared" ref="AS341:AS404" si="11">IF(RIGHT(K341,2)="IC",IF(OR(AB341="wci_canada",AB341="wci_can_corp"),"wci_can_Corp","wci_corp"),AB341)</f>
        <v>wci_corp</v>
      </c>
    </row>
    <row r="342" spans="2:45">
      <c r="B342" s="714" t="s">
        <v>1228</v>
      </c>
      <c r="C342" s="745">
        <v>43524</v>
      </c>
      <c r="D342" s="746">
        <v>191.98</v>
      </c>
      <c r="E342" s="746">
        <v>0</v>
      </c>
      <c r="F342" s="747" t="s">
        <v>1074</v>
      </c>
      <c r="G342" s="714" t="s">
        <v>1210</v>
      </c>
      <c r="H342" s="748" t="s">
        <v>1075</v>
      </c>
      <c r="I342" s="714" t="s">
        <v>1211</v>
      </c>
      <c r="J342" s="714" t="s">
        <v>1082</v>
      </c>
      <c r="K342" s="714" t="s">
        <v>1078</v>
      </c>
      <c r="L342" s="718"/>
      <c r="M342" s="718"/>
      <c r="N342" s="718" t="s">
        <v>1392</v>
      </c>
      <c r="O342" s="739"/>
      <c r="P342" s="718"/>
      <c r="Q342" s="718"/>
      <c r="U342" s="714" t="s">
        <v>1212</v>
      </c>
      <c r="V342" s="714" t="s">
        <v>1212</v>
      </c>
      <c r="X342" s="745">
        <v>43528</v>
      </c>
      <c r="Y342" s="745">
        <v>43528</v>
      </c>
      <c r="AA342" s="745"/>
      <c r="AB342" s="714" t="s">
        <v>1079</v>
      </c>
      <c r="AC342" s="714">
        <v>0</v>
      </c>
      <c r="AD342" s="714">
        <v>0</v>
      </c>
      <c r="AE342" s="714">
        <v>0</v>
      </c>
      <c r="AF342" s="714">
        <v>0</v>
      </c>
      <c r="AG342" s="714">
        <v>0</v>
      </c>
      <c r="AH342" s="714">
        <v>1</v>
      </c>
      <c r="AI342" s="714">
        <v>70095</v>
      </c>
      <c r="AJ342" s="714">
        <v>2183</v>
      </c>
      <c r="AK342" s="714">
        <v>0</v>
      </c>
      <c r="AL342" s="714">
        <v>0</v>
      </c>
      <c r="AO342" s="748"/>
      <c r="AP342" s="748"/>
      <c r="AQ342" s="714" t="str">
        <f t="shared" si="10"/>
        <v/>
      </c>
      <c r="AS342" s="714" t="str">
        <f t="shared" si="11"/>
        <v>wci_corp</v>
      </c>
    </row>
    <row r="343" spans="2:45">
      <c r="B343" s="714" t="s">
        <v>1228</v>
      </c>
      <c r="C343" s="745">
        <v>43524</v>
      </c>
      <c r="D343" s="746">
        <v>207.73</v>
      </c>
      <c r="E343" s="746">
        <v>0</v>
      </c>
      <c r="F343" s="747" t="s">
        <v>1074</v>
      </c>
      <c r="G343" s="714" t="s">
        <v>1210</v>
      </c>
      <c r="H343" s="748" t="s">
        <v>1075</v>
      </c>
      <c r="I343" s="714" t="s">
        <v>1211</v>
      </c>
      <c r="J343" s="714" t="s">
        <v>1082</v>
      </c>
      <c r="K343" s="714" t="s">
        <v>1078</v>
      </c>
      <c r="L343" s="718"/>
      <c r="M343" s="718"/>
      <c r="N343" s="718" t="s">
        <v>1392</v>
      </c>
      <c r="O343" s="739"/>
      <c r="P343" s="718"/>
      <c r="Q343" s="718"/>
      <c r="U343" s="714" t="s">
        <v>1212</v>
      </c>
      <c r="V343" s="714" t="s">
        <v>1212</v>
      </c>
      <c r="X343" s="745">
        <v>43528</v>
      </c>
      <c r="Y343" s="745">
        <v>43528</v>
      </c>
      <c r="AA343" s="745"/>
      <c r="AB343" s="714" t="s">
        <v>1079</v>
      </c>
      <c r="AC343" s="714">
        <v>0</v>
      </c>
      <c r="AD343" s="714">
        <v>0</v>
      </c>
      <c r="AE343" s="714">
        <v>0</v>
      </c>
      <c r="AF343" s="714">
        <v>0</v>
      </c>
      <c r="AG343" s="714">
        <v>0</v>
      </c>
      <c r="AH343" s="714">
        <v>1</v>
      </c>
      <c r="AI343" s="714">
        <v>70095</v>
      </c>
      <c r="AJ343" s="714">
        <v>2183</v>
      </c>
      <c r="AK343" s="714">
        <v>0</v>
      </c>
      <c r="AL343" s="714">
        <v>0</v>
      </c>
      <c r="AO343" s="748"/>
      <c r="AP343" s="748"/>
      <c r="AQ343" s="714" t="str">
        <f t="shared" si="10"/>
        <v/>
      </c>
      <c r="AS343" s="714" t="str">
        <f t="shared" si="11"/>
        <v>wci_corp</v>
      </c>
    </row>
    <row r="344" spans="2:45">
      <c r="B344" s="714" t="s">
        <v>1228</v>
      </c>
      <c r="C344" s="745">
        <v>43524</v>
      </c>
      <c r="D344" s="746">
        <v>57.44</v>
      </c>
      <c r="E344" s="746">
        <v>0</v>
      </c>
      <c r="F344" s="747" t="s">
        <v>1074</v>
      </c>
      <c r="G344" s="714" t="s">
        <v>1210</v>
      </c>
      <c r="H344" s="748" t="s">
        <v>1075</v>
      </c>
      <c r="I344" s="714" t="s">
        <v>1211</v>
      </c>
      <c r="J344" s="714" t="s">
        <v>1082</v>
      </c>
      <c r="K344" s="714" t="s">
        <v>1078</v>
      </c>
      <c r="L344" s="718"/>
      <c r="M344" s="718"/>
      <c r="N344" s="718" t="s">
        <v>1498</v>
      </c>
      <c r="O344" s="739"/>
      <c r="P344" s="718"/>
      <c r="Q344" s="718"/>
      <c r="U344" s="714" t="s">
        <v>1212</v>
      </c>
      <c r="V344" s="714" t="s">
        <v>1212</v>
      </c>
      <c r="X344" s="745">
        <v>43528</v>
      </c>
      <c r="Y344" s="745">
        <v>43528</v>
      </c>
      <c r="AA344" s="745"/>
      <c r="AB344" s="714" t="s">
        <v>1079</v>
      </c>
      <c r="AC344" s="714">
        <v>0</v>
      </c>
      <c r="AD344" s="714">
        <v>0</v>
      </c>
      <c r="AE344" s="714">
        <v>0</v>
      </c>
      <c r="AF344" s="714">
        <v>0</v>
      </c>
      <c r="AG344" s="714">
        <v>0</v>
      </c>
      <c r="AH344" s="714">
        <v>1</v>
      </c>
      <c r="AI344" s="714">
        <v>70095</v>
      </c>
      <c r="AJ344" s="714">
        <v>2183</v>
      </c>
      <c r="AK344" s="714">
        <v>0</v>
      </c>
      <c r="AL344" s="714">
        <v>0</v>
      </c>
      <c r="AO344" s="748"/>
      <c r="AP344" s="748"/>
      <c r="AQ344" s="714" t="str">
        <f t="shared" si="10"/>
        <v/>
      </c>
      <c r="AS344" s="714" t="str">
        <f t="shared" si="11"/>
        <v>wci_corp</v>
      </c>
    </row>
    <row r="345" spans="2:45">
      <c r="B345" s="714" t="s">
        <v>1228</v>
      </c>
      <c r="C345" s="745">
        <v>43524</v>
      </c>
      <c r="D345" s="746">
        <v>42.78</v>
      </c>
      <c r="E345" s="746">
        <v>0</v>
      </c>
      <c r="F345" s="747" t="s">
        <v>1074</v>
      </c>
      <c r="G345" s="714" t="s">
        <v>1210</v>
      </c>
      <c r="H345" s="748" t="s">
        <v>1075</v>
      </c>
      <c r="I345" s="714" t="s">
        <v>1211</v>
      </c>
      <c r="J345" s="714" t="s">
        <v>1082</v>
      </c>
      <c r="K345" s="714" t="s">
        <v>1078</v>
      </c>
      <c r="L345" s="718"/>
      <c r="M345" s="718"/>
      <c r="N345" s="718" t="s">
        <v>1425</v>
      </c>
      <c r="O345" s="739"/>
      <c r="P345" s="718"/>
      <c r="Q345" s="718"/>
      <c r="U345" s="714" t="s">
        <v>1212</v>
      </c>
      <c r="V345" s="714" t="s">
        <v>1212</v>
      </c>
      <c r="X345" s="745">
        <v>43528</v>
      </c>
      <c r="Y345" s="745">
        <v>43528</v>
      </c>
      <c r="AA345" s="745"/>
      <c r="AB345" s="714" t="s">
        <v>1079</v>
      </c>
      <c r="AC345" s="714">
        <v>0</v>
      </c>
      <c r="AD345" s="714">
        <v>0</v>
      </c>
      <c r="AE345" s="714">
        <v>0</v>
      </c>
      <c r="AF345" s="714">
        <v>0</v>
      </c>
      <c r="AG345" s="714">
        <v>0</v>
      </c>
      <c r="AH345" s="714">
        <v>1</v>
      </c>
      <c r="AI345" s="714">
        <v>70095</v>
      </c>
      <c r="AJ345" s="714">
        <v>2183</v>
      </c>
      <c r="AK345" s="714">
        <v>0</v>
      </c>
      <c r="AL345" s="714">
        <v>0</v>
      </c>
      <c r="AO345" s="748"/>
      <c r="AP345" s="748"/>
      <c r="AQ345" s="714" t="str">
        <f t="shared" si="10"/>
        <v/>
      </c>
      <c r="AS345" s="714" t="str">
        <f t="shared" si="11"/>
        <v>wci_corp</v>
      </c>
    </row>
    <row r="346" spans="2:45">
      <c r="B346" s="714" t="s">
        <v>1228</v>
      </c>
      <c r="C346" s="745">
        <v>43524</v>
      </c>
      <c r="D346" s="746">
        <v>18.989999999999998</v>
      </c>
      <c r="E346" s="746">
        <v>0</v>
      </c>
      <c r="F346" s="747" t="s">
        <v>1074</v>
      </c>
      <c r="G346" s="714" t="s">
        <v>1210</v>
      </c>
      <c r="H346" s="748" t="s">
        <v>1075</v>
      </c>
      <c r="I346" s="714" t="s">
        <v>1211</v>
      </c>
      <c r="J346" s="714" t="s">
        <v>1082</v>
      </c>
      <c r="K346" s="714" t="s">
        <v>1078</v>
      </c>
      <c r="L346" s="718"/>
      <c r="M346" s="718"/>
      <c r="N346" s="718" t="s">
        <v>1259</v>
      </c>
      <c r="O346" s="739"/>
      <c r="P346" s="718"/>
      <c r="Q346" s="718"/>
      <c r="U346" s="714" t="s">
        <v>1212</v>
      </c>
      <c r="V346" s="714" t="s">
        <v>1212</v>
      </c>
      <c r="X346" s="745">
        <v>43528</v>
      </c>
      <c r="Y346" s="745">
        <v>43528</v>
      </c>
      <c r="AA346" s="745"/>
      <c r="AB346" s="714" t="s">
        <v>1079</v>
      </c>
      <c r="AC346" s="714">
        <v>0</v>
      </c>
      <c r="AD346" s="714">
        <v>0</v>
      </c>
      <c r="AE346" s="714">
        <v>0</v>
      </c>
      <c r="AF346" s="714">
        <v>0</v>
      </c>
      <c r="AG346" s="714">
        <v>0</v>
      </c>
      <c r="AH346" s="714">
        <v>1</v>
      </c>
      <c r="AI346" s="714">
        <v>70095</v>
      </c>
      <c r="AJ346" s="714">
        <v>2183</v>
      </c>
      <c r="AK346" s="714">
        <v>0</v>
      </c>
      <c r="AL346" s="714">
        <v>0</v>
      </c>
      <c r="AO346" s="748"/>
      <c r="AP346" s="748"/>
      <c r="AQ346" s="714" t="str">
        <f t="shared" si="10"/>
        <v/>
      </c>
      <c r="AS346" s="714" t="str">
        <f t="shared" si="11"/>
        <v>wci_corp</v>
      </c>
    </row>
    <row r="347" spans="2:45">
      <c r="B347" s="714" t="s">
        <v>1228</v>
      </c>
      <c r="C347" s="745">
        <v>43524</v>
      </c>
      <c r="D347" s="746">
        <v>1811.21</v>
      </c>
      <c r="E347" s="746">
        <v>0</v>
      </c>
      <c r="F347" s="747" t="s">
        <v>1074</v>
      </c>
      <c r="G347" s="714" t="s">
        <v>1210</v>
      </c>
      <c r="H347" s="748" t="s">
        <v>1075</v>
      </c>
      <c r="I347" s="714" t="s">
        <v>1211</v>
      </c>
      <c r="J347" s="714" t="s">
        <v>1082</v>
      </c>
      <c r="K347" s="714" t="s">
        <v>1078</v>
      </c>
      <c r="L347" s="718"/>
      <c r="M347" s="718"/>
      <c r="N347" s="718" t="s">
        <v>1249</v>
      </c>
      <c r="O347" s="739"/>
      <c r="P347" s="718"/>
      <c r="Q347" s="718"/>
      <c r="U347" s="714" t="s">
        <v>1212</v>
      </c>
      <c r="V347" s="714" t="s">
        <v>1212</v>
      </c>
      <c r="X347" s="745">
        <v>43528</v>
      </c>
      <c r="Y347" s="745">
        <v>43528</v>
      </c>
      <c r="AA347" s="745"/>
      <c r="AB347" s="714" t="s">
        <v>1079</v>
      </c>
      <c r="AC347" s="714">
        <v>0</v>
      </c>
      <c r="AD347" s="714">
        <v>0</v>
      </c>
      <c r="AE347" s="714">
        <v>0</v>
      </c>
      <c r="AF347" s="714">
        <v>0</v>
      </c>
      <c r="AG347" s="714">
        <v>0</v>
      </c>
      <c r="AH347" s="714">
        <v>1</v>
      </c>
      <c r="AI347" s="714">
        <v>70095</v>
      </c>
      <c r="AJ347" s="714">
        <v>2183</v>
      </c>
      <c r="AK347" s="714">
        <v>0</v>
      </c>
      <c r="AL347" s="714">
        <v>0</v>
      </c>
      <c r="AO347" s="748"/>
      <c r="AP347" s="748"/>
      <c r="AQ347" s="714" t="str">
        <f t="shared" si="10"/>
        <v/>
      </c>
      <c r="AS347" s="714" t="str">
        <f t="shared" si="11"/>
        <v>wci_corp</v>
      </c>
    </row>
    <row r="348" spans="2:45">
      <c r="B348" s="714" t="s">
        <v>1228</v>
      </c>
      <c r="C348" s="745">
        <v>43524</v>
      </c>
      <c r="D348" s="746">
        <v>2.17</v>
      </c>
      <c r="E348" s="746">
        <v>0</v>
      </c>
      <c r="F348" s="747" t="s">
        <v>1074</v>
      </c>
      <c r="G348" s="714" t="s">
        <v>1210</v>
      </c>
      <c r="H348" s="748" t="s">
        <v>1075</v>
      </c>
      <c r="I348" s="714" t="s">
        <v>1211</v>
      </c>
      <c r="J348" s="714" t="s">
        <v>1082</v>
      </c>
      <c r="K348" s="714" t="s">
        <v>1078</v>
      </c>
      <c r="L348" s="718"/>
      <c r="M348" s="718"/>
      <c r="N348" s="718" t="s">
        <v>1249</v>
      </c>
      <c r="O348" s="739"/>
      <c r="P348" s="718"/>
      <c r="Q348" s="718"/>
      <c r="U348" s="714" t="s">
        <v>1212</v>
      </c>
      <c r="V348" s="714" t="s">
        <v>1212</v>
      </c>
      <c r="X348" s="745">
        <v>43528</v>
      </c>
      <c r="Y348" s="745">
        <v>43528</v>
      </c>
      <c r="AA348" s="745"/>
      <c r="AB348" s="714" t="s">
        <v>1079</v>
      </c>
      <c r="AC348" s="714">
        <v>0</v>
      </c>
      <c r="AD348" s="714">
        <v>0</v>
      </c>
      <c r="AE348" s="714">
        <v>0</v>
      </c>
      <c r="AF348" s="714">
        <v>0</v>
      </c>
      <c r="AG348" s="714">
        <v>0</v>
      </c>
      <c r="AH348" s="714">
        <v>1</v>
      </c>
      <c r="AI348" s="714">
        <v>70095</v>
      </c>
      <c r="AJ348" s="714">
        <v>2183</v>
      </c>
      <c r="AK348" s="714">
        <v>0</v>
      </c>
      <c r="AL348" s="714">
        <v>0</v>
      </c>
      <c r="AO348" s="748"/>
      <c r="AP348" s="748"/>
      <c r="AQ348" s="714" t="str">
        <f t="shared" si="10"/>
        <v/>
      </c>
      <c r="AS348" s="714" t="str">
        <f t="shared" si="11"/>
        <v>wci_corp</v>
      </c>
    </row>
    <row r="349" spans="2:45">
      <c r="B349" s="714" t="s">
        <v>1228</v>
      </c>
      <c r="C349" s="745">
        <v>43524</v>
      </c>
      <c r="D349" s="746">
        <v>341.05</v>
      </c>
      <c r="E349" s="746">
        <v>0</v>
      </c>
      <c r="F349" s="747" t="s">
        <v>1074</v>
      </c>
      <c r="G349" s="714" t="s">
        <v>1210</v>
      </c>
      <c r="H349" s="748" t="s">
        <v>1075</v>
      </c>
      <c r="I349" s="714" t="s">
        <v>1211</v>
      </c>
      <c r="J349" s="714" t="s">
        <v>1082</v>
      </c>
      <c r="K349" s="714" t="s">
        <v>1078</v>
      </c>
      <c r="L349" s="718"/>
      <c r="M349" s="718"/>
      <c r="N349" s="718" t="s">
        <v>1259</v>
      </c>
      <c r="O349" s="739"/>
      <c r="P349" s="718"/>
      <c r="Q349" s="718"/>
      <c r="U349" s="714" t="s">
        <v>1212</v>
      </c>
      <c r="V349" s="714" t="s">
        <v>1212</v>
      </c>
      <c r="X349" s="745">
        <v>43528</v>
      </c>
      <c r="Y349" s="745">
        <v>43528</v>
      </c>
      <c r="AA349" s="745"/>
      <c r="AB349" s="714" t="s">
        <v>1079</v>
      </c>
      <c r="AC349" s="714">
        <v>0</v>
      </c>
      <c r="AD349" s="714">
        <v>0</v>
      </c>
      <c r="AE349" s="714">
        <v>0</v>
      </c>
      <c r="AF349" s="714">
        <v>0</v>
      </c>
      <c r="AG349" s="714">
        <v>0</v>
      </c>
      <c r="AH349" s="714">
        <v>1</v>
      </c>
      <c r="AI349" s="714">
        <v>70095</v>
      </c>
      <c r="AJ349" s="714">
        <v>2183</v>
      </c>
      <c r="AK349" s="714">
        <v>0</v>
      </c>
      <c r="AL349" s="714">
        <v>0</v>
      </c>
      <c r="AO349" s="748"/>
      <c r="AP349" s="748"/>
      <c r="AQ349" s="714" t="str">
        <f t="shared" si="10"/>
        <v/>
      </c>
      <c r="AS349" s="714" t="str">
        <f t="shared" si="11"/>
        <v>wci_corp</v>
      </c>
    </row>
    <row r="350" spans="2:45">
      <c r="B350" s="714" t="s">
        <v>1228</v>
      </c>
      <c r="C350" s="745">
        <v>43524</v>
      </c>
      <c r="D350" s="746">
        <v>32.57</v>
      </c>
      <c r="E350" s="746">
        <v>0</v>
      </c>
      <c r="F350" s="747" t="s">
        <v>1074</v>
      </c>
      <c r="G350" s="714" t="s">
        <v>1210</v>
      </c>
      <c r="H350" s="748" t="s">
        <v>1075</v>
      </c>
      <c r="I350" s="714" t="s">
        <v>1211</v>
      </c>
      <c r="J350" s="714" t="s">
        <v>1082</v>
      </c>
      <c r="K350" s="714" t="s">
        <v>1078</v>
      </c>
      <c r="L350" s="718"/>
      <c r="M350" s="718"/>
      <c r="N350" s="718" t="s">
        <v>1481</v>
      </c>
      <c r="O350" s="739"/>
      <c r="P350" s="718"/>
      <c r="Q350" s="718"/>
      <c r="U350" s="714" t="s">
        <v>1212</v>
      </c>
      <c r="V350" s="714" t="s">
        <v>1212</v>
      </c>
      <c r="X350" s="745">
        <v>43528</v>
      </c>
      <c r="Y350" s="745">
        <v>43528</v>
      </c>
      <c r="AA350" s="745"/>
      <c r="AB350" s="714" t="s">
        <v>1079</v>
      </c>
      <c r="AC350" s="714">
        <v>0</v>
      </c>
      <c r="AD350" s="714">
        <v>0</v>
      </c>
      <c r="AE350" s="714">
        <v>0</v>
      </c>
      <c r="AF350" s="714">
        <v>0</v>
      </c>
      <c r="AG350" s="714">
        <v>0</v>
      </c>
      <c r="AH350" s="714">
        <v>1</v>
      </c>
      <c r="AI350" s="714">
        <v>70095</v>
      </c>
      <c r="AJ350" s="714">
        <v>2183</v>
      </c>
      <c r="AK350" s="714">
        <v>0</v>
      </c>
      <c r="AL350" s="714">
        <v>0</v>
      </c>
      <c r="AO350" s="748"/>
      <c r="AP350" s="748"/>
      <c r="AQ350" s="714" t="str">
        <f t="shared" si="10"/>
        <v/>
      </c>
      <c r="AS350" s="714" t="str">
        <f t="shared" si="11"/>
        <v>wci_corp</v>
      </c>
    </row>
    <row r="351" spans="2:45">
      <c r="B351" s="714" t="s">
        <v>1228</v>
      </c>
      <c r="C351" s="745">
        <v>43524</v>
      </c>
      <c r="D351" s="746">
        <v>849.58</v>
      </c>
      <c r="E351" s="746">
        <v>0</v>
      </c>
      <c r="F351" s="747" t="s">
        <v>1074</v>
      </c>
      <c r="G351" s="714" t="s">
        <v>1210</v>
      </c>
      <c r="H351" s="748" t="s">
        <v>1075</v>
      </c>
      <c r="I351" s="714" t="s">
        <v>1211</v>
      </c>
      <c r="J351" s="714" t="s">
        <v>1082</v>
      </c>
      <c r="K351" s="714" t="s">
        <v>1078</v>
      </c>
      <c r="L351" s="718"/>
      <c r="M351" s="718"/>
      <c r="N351" s="718" t="s">
        <v>1249</v>
      </c>
      <c r="O351" s="739"/>
      <c r="P351" s="718"/>
      <c r="Q351" s="718"/>
      <c r="U351" s="714" t="s">
        <v>1212</v>
      </c>
      <c r="V351" s="714" t="s">
        <v>1212</v>
      </c>
      <c r="X351" s="745">
        <v>43528</v>
      </c>
      <c r="Y351" s="745">
        <v>43528</v>
      </c>
      <c r="AA351" s="745"/>
      <c r="AB351" s="714" t="s">
        <v>1079</v>
      </c>
      <c r="AC351" s="714">
        <v>0</v>
      </c>
      <c r="AD351" s="714">
        <v>0</v>
      </c>
      <c r="AE351" s="714">
        <v>0</v>
      </c>
      <c r="AF351" s="714">
        <v>0</v>
      </c>
      <c r="AG351" s="714">
        <v>0</v>
      </c>
      <c r="AH351" s="714">
        <v>1</v>
      </c>
      <c r="AI351" s="714">
        <v>70095</v>
      </c>
      <c r="AJ351" s="714">
        <v>2183</v>
      </c>
      <c r="AK351" s="714">
        <v>0</v>
      </c>
      <c r="AL351" s="714">
        <v>0</v>
      </c>
      <c r="AO351" s="748"/>
      <c r="AP351" s="748"/>
      <c r="AQ351" s="714" t="str">
        <f t="shared" si="10"/>
        <v/>
      </c>
      <c r="AS351" s="714" t="str">
        <f t="shared" si="11"/>
        <v>wci_corp</v>
      </c>
    </row>
    <row r="352" spans="2:45">
      <c r="B352" s="714" t="s">
        <v>1228</v>
      </c>
      <c r="C352" s="745">
        <v>43524</v>
      </c>
      <c r="D352" s="746">
        <v>1657.99</v>
      </c>
      <c r="E352" s="746">
        <v>0</v>
      </c>
      <c r="F352" s="747" t="s">
        <v>1074</v>
      </c>
      <c r="G352" s="714" t="s">
        <v>1499</v>
      </c>
      <c r="H352" s="748" t="s">
        <v>1075</v>
      </c>
      <c r="I352" s="714" t="s">
        <v>1131</v>
      </c>
      <c r="J352" s="714" t="s">
        <v>1082</v>
      </c>
      <c r="K352" s="714" t="s">
        <v>1078</v>
      </c>
      <c r="L352" s="718"/>
      <c r="M352" s="718"/>
      <c r="N352" s="718" t="s">
        <v>1500</v>
      </c>
      <c r="O352" s="739"/>
      <c r="P352" s="718"/>
      <c r="Q352" s="718"/>
      <c r="U352" s="714" t="s">
        <v>1501</v>
      </c>
      <c r="V352" s="714" t="s">
        <v>1501</v>
      </c>
      <c r="X352" s="745">
        <v>43530</v>
      </c>
      <c r="Y352" s="745">
        <v>43530</v>
      </c>
      <c r="AA352" s="745"/>
      <c r="AB352" s="714" t="s">
        <v>1079</v>
      </c>
      <c r="AC352" s="714">
        <v>0</v>
      </c>
      <c r="AD352" s="714">
        <v>0</v>
      </c>
      <c r="AE352" s="714">
        <v>0</v>
      </c>
      <c r="AF352" s="714">
        <v>0</v>
      </c>
      <c r="AG352" s="714">
        <v>0</v>
      </c>
      <c r="AH352" s="714">
        <v>1</v>
      </c>
      <c r="AI352" s="714">
        <v>70095</v>
      </c>
      <c r="AJ352" s="714">
        <v>2183</v>
      </c>
      <c r="AK352" s="714">
        <v>0</v>
      </c>
      <c r="AL352" s="714">
        <v>0</v>
      </c>
      <c r="AO352" s="748"/>
      <c r="AP352" s="748"/>
      <c r="AQ352" s="714" t="str">
        <f t="shared" si="10"/>
        <v/>
      </c>
      <c r="AS352" s="714" t="str">
        <f t="shared" si="11"/>
        <v>wci_corp</v>
      </c>
    </row>
    <row r="353" spans="2:45">
      <c r="B353" s="714" t="s">
        <v>1228</v>
      </c>
      <c r="C353" s="745">
        <v>43524</v>
      </c>
      <c r="D353" s="746">
        <v>18.989999999999998</v>
      </c>
      <c r="E353" s="746">
        <v>0</v>
      </c>
      <c r="F353" s="747" t="s">
        <v>1074</v>
      </c>
      <c r="G353" s="714" t="s">
        <v>1499</v>
      </c>
      <c r="H353" s="748" t="s">
        <v>1075</v>
      </c>
      <c r="I353" s="714" t="s">
        <v>1131</v>
      </c>
      <c r="J353" s="714" t="s">
        <v>1082</v>
      </c>
      <c r="K353" s="714" t="s">
        <v>1078</v>
      </c>
      <c r="L353" s="718"/>
      <c r="M353" s="718"/>
      <c r="N353" s="718" t="s">
        <v>1259</v>
      </c>
      <c r="O353" s="739"/>
      <c r="P353" s="718"/>
      <c r="Q353" s="718"/>
      <c r="U353" s="714" t="s">
        <v>1501</v>
      </c>
      <c r="V353" s="714" t="s">
        <v>1501</v>
      </c>
      <c r="X353" s="745">
        <v>43530</v>
      </c>
      <c r="Y353" s="745">
        <v>43530</v>
      </c>
      <c r="AA353" s="745"/>
      <c r="AB353" s="714" t="s">
        <v>1079</v>
      </c>
      <c r="AC353" s="714">
        <v>0</v>
      </c>
      <c r="AD353" s="714">
        <v>0</v>
      </c>
      <c r="AE353" s="714">
        <v>0</v>
      </c>
      <c r="AF353" s="714">
        <v>0</v>
      </c>
      <c r="AG353" s="714">
        <v>0</v>
      </c>
      <c r="AH353" s="714">
        <v>1</v>
      </c>
      <c r="AI353" s="714">
        <v>70095</v>
      </c>
      <c r="AJ353" s="714">
        <v>2183</v>
      </c>
      <c r="AK353" s="714">
        <v>0</v>
      </c>
      <c r="AL353" s="714">
        <v>0</v>
      </c>
      <c r="AO353" s="748"/>
      <c r="AP353" s="748"/>
      <c r="AQ353" s="714" t="str">
        <f t="shared" si="10"/>
        <v/>
      </c>
      <c r="AS353" s="714" t="str">
        <f t="shared" si="11"/>
        <v>wci_corp</v>
      </c>
    </row>
    <row r="354" spans="2:45">
      <c r="B354" s="714" t="s">
        <v>1228</v>
      </c>
      <c r="C354" s="745">
        <v>43524</v>
      </c>
      <c r="D354" s="746">
        <v>72.89</v>
      </c>
      <c r="E354" s="746">
        <v>0</v>
      </c>
      <c r="F354" s="747" t="s">
        <v>1074</v>
      </c>
      <c r="G354" s="714" t="s">
        <v>1502</v>
      </c>
      <c r="H354" s="748" t="s">
        <v>1075</v>
      </c>
      <c r="I354" s="714" t="s">
        <v>1503</v>
      </c>
      <c r="J354" s="714" t="s">
        <v>1082</v>
      </c>
      <c r="K354" s="714" t="s">
        <v>1078</v>
      </c>
      <c r="L354" s="718"/>
      <c r="M354" s="718"/>
      <c r="N354" s="718" t="s">
        <v>1504</v>
      </c>
      <c r="O354" s="739"/>
      <c r="P354" s="718"/>
      <c r="Q354" s="718"/>
      <c r="U354" s="714" t="s">
        <v>1505</v>
      </c>
      <c r="V354" s="714" t="s">
        <v>1505</v>
      </c>
      <c r="X354" s="745">
        <v>43530</v>
      </c>
      <c r="Y354" s="745">
        <v>43531</v>
      </c>
      <c r="AA354" s="745"/>
      <c r="AB354" s="714" t="s">
        <v>1079</v>
      </c>
      <c r="AC354" s="714">
        <v>0</v>
      </c>
      <c r="AD354" s="714">
        <v>0</v>
      </c>
      <c r="AE354" s="714">
        <v>0</v>
      </c>
      <c r="AF354" s="714">
        <v>0</v>
      </c>
      <c r="AG354" s="714">
        <v>0</v>
      </c>
      <c r="AH354" s="714">
        <v>1</v>
      </c>
      <c r="AI354" s="714">
        <v>70095</v>
      </c>
      <c r="AJ354" s="714">
        <v>2183</v>
      </c>
      <c r="AK354" s="714">
        <v>0</v>
      </c>
      <c r="AL354" s="714">
        <v>0</v>
      </c>
      <c r="AO354" s="748"/>
      <c r="AP354" s="748"/>
      <c r="AQ354" s="714" t="str">
        <f t="shared" si="10"/>
        <v/>
      </c>
      <c r="AS354" s="714" t="str">
        <f t="shared" si="11"/>
        <v>wci_corp</v>
      </c>
    </row>
    <row r="355" spans="2:45">
      <c r="B355" s="714" t="s">
        <v>1228</v>
      </c>
      <c r="C355" s="745">
        <v>43524</v>
      </c>
      <c r="D355" s="746">
        <v>287.95</v>
      </c>
      <c r="E355" s="746">
        <v>0</v>
      </c>
      <c r="F355" s="747" t="s">
        <v>1074</v>
      </c>
      <c r="G355" s="714" t="s">
        <v>1506</v>
      </c>
      <c r="H355" s="748" t="s">
        <v>1075</v>
      </c>
      <c r="I355" s="714" t="s">
        <v>1081</v>
      </c>
      <c r="J355" s="714" t="s">
        <v>1082</v>
      </c>
      <c r="K355" s="714" t="s">
        <v>1078</v>
      </c>
      <c r="L355" s="718"/>
      <c r="M355" s="718"/>
      <c r="N355" s="718" t="s">
        <v>1507</v>
      </c>
      <c r="O355" s="739"/>
      <c r="P355" s="718"/>
      <c r="Q355" s="718"/>
      <c r="U355" s="714" t="s">
        <v>1508</v>
      </c>
      <c r="V355" s="714" t="s">
        <v>1508</v>
      </c>
      <c r="X355" s="745">
        <v>43530</v>
      </c>
      <c r="Y355" s="745">
        <v>43531</v>
      </c>
      <c r="AA355" s="745"/>
      <c r="AB355" s="714" t="s">
        <v>1079</v>
      </c>
      <c r="AC355" s="714">
        <v>0</v>
      </c>
      <c r="AD355" s="714">
        <v>0</v>
      </c>
      <c r="AE355" s="714">
        <v>0</v>
      </c>
      <c r="AF355" s="714">
        <v>0</v>
      </c>
      <c r="AG355" s="714">
        <v>0</v>
      </c>
      <c r="AH355" s="714">
        <v>1</v>
      </c>
      <c r="AI355" s="714">
        <v>70095</v>
      </c>
      <c r="AJ355" s="714">
        <v>2183</v>
      </c>
      <c r="AK355" s="714">
        <v>0</v>
      </c>
      <c r="AL355" s="714">
        <v>0</v>
      </c>
      <c r="AO355" s="748"/>
      <c r="AP355" s="748"/>
      <c r="AQ355" s="714" t="str">
        <f t="shared" si="10"/>
        <v/>
      </c>
      <c r="AS355" s="714" t="str">
        <f t="shared" si="11"/>
        <v>wci_corp</v>
      </c>
    </row>
    <row r="356" spans="2:45">
      <c r="B356" s="714" t="s">
        <v>1228</v>
      </c>
      <c r="C356" s="745">
        <v>43524</v>
      </c>
      <c r="D356" s="746">
        <v>92.57</v>
      </c>
      <c r="E356" s="746">
        <v>0</v>
      </c>
      <c r="F356" s="747" t="s">
        <v>1074</v>
      </c>
      <c r="G356" s="714" t="s">
        <v>1506</v>
      </c>
      <c r="H356" s="748" t="s">
        <v>1075</v>
      </c>
      <c r="I356" s="714" t="s">
        <v>1081</v>
      </c>
      <c r="J356" s="714" t="s">
        <v>1082</v>
      </c>
      <c r="K356" s="714" t="s">
        <v>1078</v>
      </c>
      <c r="L356" s="718"/>
      <c r="M356" s="718"/>
      <c r="N356" s="718" t="s">
        <v>1509</v>
      </c>
      <c r="O356" s="739"/>
      <c r="P356" s="718"/>
      <c r="Q356" s="718"/>
      <c r="U356" s="714" t="s">
        <v>1508</v>
      </c>
      <c r="V356" s="714" t="s">
        <v>1508</v>
      </c>
      <c r="X356" s="745">
        <v>43530</v>
      </c>
      <c r="Y356" s="745">
        <v>43531</v>
      </c>
      <c r="AA356" s="745"/>
      <c r="AB356" s="714" t="s">
        <v>1079</v>
      </c>
      <c r="AC356" s="714">
        <v>0</v>
      </c>
      <c r="AD356" s="714">
        <v>0</v>
      </c>
      <c r="AE356" s="714">
        <v>0</v>
      </c>
      <c r="AF356" s="714">
        <v>0</v>
      </c>
      <c r="AG356" s="714">
        <v>0</v>
      </c>
      <c r="AH356" s="714">
        <v>1</v>
      </c>
      <c r="AI356" s="714">
        <v>70095</v>
      </c>
      <c r="AJ356" s="714">
        <v>2183</v>
      </c>
      <c r="AK356" s="714">
        <v>0</v>
      </c>
      <c r="AL356" s="714">
        <v>0</v>
      </c>
      <c r="AO356" s="748"/>
      <c r="AP356" s="748"/>
      <c r="AQ356" s="714" t="str">
        <f t="shared" si="10"/>
        <v/>
      </c>
      <c r="AS356" s="714" t="str">
        <f t="shared" si="11"/>
        <v>wci_corp</v>
      </c>
    </row>
    <row r="357" spans="2:45">
      <c r="B357" s="714" t="s">
        <v>1228</v>
      </c>
      <c r="C357" s="745">
        <v>43535</v>
      </c>
      <c r="D357" s="746">
        <v>25</v>
      </c>
      <c r="E357" s="746">
        <v>0</v>
      </c>
      <c r="F357" s="747" t="s">
        <v>1074</v>
      </c>
      <c r="G357" s="714" t="s">
        <v>1510</v>
      </c>
      <c r="H357" s="748" t="s">
        <v>1075</v>
      </c>
      <c r="I357" s="714" t="s">
        <v>1076</v>
      </c>
      <c r="J357" s="714" t="s">
        <v>1077</v>
      </c>
      <c r="K357" s="714" t="s">
        <v>1078</v>
      </c>
      <c r="L357" s="718" t="s">
        <v>1315</v>
      </c>
      <c r="M357" s="718"/>
      <c r="N357" s="718" t="s">
        <v>1316</v>
      </c>
      <c r="O357" s="739">
        <v>43511</v>
      </c>
      <c r="P357" s="718" t="s">
        <v>1511</v>
      </c>
      <c r="Q357" s="718" t="s">
        <v>1512</v>
      </c>
      <c r="R357" s="714" t="s">
        <v>1513</v>
      </c>
      <c r="U357" s="714" t="s">
        <v>1514</v>
      </c>
      <c r="V357" s="714" t="s">
        <v>1515</v>
      </c>
      <c r="W357" s="714">
        <v>2183</v>
      </c>
      <c r="X357" s="745">
        <v>43535</v>
      </c>
      <c r="Y357" s="745">
        <v>43543</v>
      </c>
      <c r="Z357" s="714">
        <v>25</v>
      </c>
      <c r="AA357" s="745">
        <v>43521</v>
      </c>
      <c r="AB357" s="714" t="s">
        <v>1079</v>
      </c>
      <c r="AC357" s="714">
        <v>0</v>
      </c>
      <c r="AD357" s="714">
        <v>0</v>
      </c>
      <c r="AE357" s="714">
        <v>0</v>
      </c>
      <c r="AF357" s="714">
        <v>0</v>
      </c>
      <c r="AG357" s="714">
        <v>0</v>
      </c>
      <c r="AH357" s="714">
        <v>1</v>
      </c>
      <c r="AI357" s="714">
        <v>70095</v>
      </c>
      <c r="AJ357" s="714">
        <v>2183</v>
      </c>
      <c r="AK357" s="714">
        <v>0</v>
      </c>
      <c r="AL357" s="714">
        <v>0</v>
      </c>
      <c r="AO357" s="748"/>
      <c r="AP357" s="748"/>
      <c r="AQ357" s="714" t="str">
        <f t="shared" si="10"/>
        <v>VO04947113</v>
      </c>
      <c r="AS357" s="714" t="str">
        <f t="shared" si="11"/>
        <v>wci_corp</v>
      </c>
    </row>
    <row r="358" spans="2:45">
      <c r="B358" s="714" t="s">
        <v>1228</v>
      </c>
      <c r="C358" s="745">
        <v>43537</v>
      </c>
      <c r="D358" s="746">
        <v>287.95</v>
      </c>
      <c r="E358" s="746">
        <v>0</v>
      </c>
      <c r="F358" s="747" t="s">
        <v>1074</v>
      </c>
      <c r="G358" s="714" t="s">
        <v>1516</v>
      </c>
      <c r="H358" s="748" t="s">
        <v>1075</v>
      </c>
      <c r="I358" s="714" t="s">
        <v>1076</v>
      </c>
      <c r="J358" s="714" t="s">
        <v>1152</v>
      </c>
      <c r="K358" s="714" t="s">
        <v>1078</v>
      </c>
      <c r="L358" s="718" t="s">
        <v>1277</v>
      </c>
      <c r="M358" s="718"/>
      <c r="N358" s="718" t="s">
        <v>1278</v>
      </c>
      <c r="O358" s="739">
        <v>43522</v>
      </c>
      <c r="P358" s="718" t="s">
        <v>1517</v>
      </c>
      <c r="Q358" s="718">
        <v>4638</v>
      </c>
      <c r="R358" s="714" t="s">
        <v>1518</v>
      </c>
      <c r="U358" s="714" t="s">
        <v>1519</v>
      </c>
      <c r="V358" s="714" t="s">
        <v>1520</v>
      </c>
      <c r="W358" s="714">
        <v>2183</v>
      </c>
      <c r="X358" s="745">
        <v>43537</v>
      </c>
      <c r="Y358" s="745">
        <v>43543</v>
      </c>
      <c r="Z358" s="714">
        <v>287.95</v>
      </c>
      <c r="AA358" s="745">
        <v>43557</v>
      </c>
      <c r="AB358" s="714" t="s">
        <v>1079</v>
      </c>
      <c r="AC358" s="714">
        <v>0</v>
      </c>
      <c r="AD358" s="714">
        <v>0</v>
      </c>
      <c r="AE358" s="714">
        <v>0</v>
      </c>
      <c r="AF358" s="714">
        <v>0</v>
      </c>
      <c r="AG358" s="714">
        <v>0</v>
      </c>
      <c r="AH358" s="714">
        <v>1</v>
      </c>
      <c r="AI358" s="714">
        <v>70095</v>
      </c>
      <c r="AJ358" s="714">
        <v>2183</v>
      </c>
      <c r="AK358" s="714">
        <v>0</v>
      </c>
      <c r="AL358" s="714">
        <v>0</v>
      </c>
      <c r="AO358" s="748"/>
      <c r="AP358" s="748"/>
      <c r="AQ358" s="714" t="str">
        <f t="shared" si="10"/>
        <v>VO04951055</v>
      </c>
      <c r="AS358" s="714" t="str">
        <f t="shared" si="11"/>
        <v>wci_corp</v>
      </c>
    </row>
    <row r="359" spans="2:45">
      <c r="B359" s="714" t="s">
        <v>1228</v>
      </c>
      <c r="C359" s="745">
        <v>43538</v>
      </c>
      <c r="D359" s="746">
        <v>300</v>
      </c>
      <c r="E359" s="746">
        <v>0</v>
      </c>
      <c r="F359" s="747" t="s">
        <v>1074</v>
      </c>
      <c r="G359" s="714" t="s">
        <v>1521</v>
      </c>
      <c r="H359" s="748" t="s">
        <v>1075</v>
      </c>
      <c r="I359" s="714" t="s">
        <v>1076</v>
      </c>
      <c r="J359" s="714" t="s">
        <v>1152</v>
      </c>
      <c r="K359" s="714" t="s">
        <v>1078</v>
      </c>
      <c r="L359" s="718" t="s">
        <v>1522</v>
      </c>
      <c r="M359" s="718"/>
      <c r="N359" s="718" t="s">
        <v>1523</v>
      </c>
      <c r="O359" s="739">
        <v>43466</v>
      </c>
      <c r="P359" s="718" t="s">
        <v>1317</v>
      </c>
      <c r="Q359" s="718" t="s">
        <v>1524</v>
      </c>
      <c r="R359" s="714" t="s">
        <v>1525</v>
      </c>
      <c r="U359" s="714" t="s">
        <v>1526</v>
      </c>
      <c r="V359" s="714" t="s">
        <v>1527</v>
      </c>
      <c r="W359" s="714" t="s">
        <v>1528</v>
      </c>
      <c r="X359" s="745">
        <v>43538</v>
      </c>
      <c r="Y359" s="745">
        <v>43543</v>
      </c>
      <c r="Z359" s="714">
        <v>300</v>
      </c>
      <c r="AA359" s="745">
        <v>43476</v>
      </c>
      <c r="AB359" s="714" t="s">
        <v>1079</v>
      </c>
      <c r="AC359" s="714">
        <v>0</v>
      </c>
      <c r="AD359" s="714">
        <v>0</v>
      </c>
      <c r="AE359" s="714">
        <v>0</v>
      </c>
      <c r="AF359" s="714">
        <v>0</v>
      </c>
      <c r="AG359" s="714">
        <v>0</v>
      </c>
      <c r="AH359" s="714">
        <v>1</v>
      </c>
      <c r="AI359" s="714">
        <v>70095</v>
      </c>
      <c r="AJ359" s="714">
        <v>2183</v>
      </c>
      <c r="AK359" s="714">
        <v>0</v>
      </c>
      <c r="AL359" s="714">
        <v>0</v>
      </c>
      <c r="AO359" s="748"/>
      <c r="AP359" s="748"/>
      <c r="AQ359" s="714" t="str">
        <f t="shared" si="10"/>
        <v>VO04952516</v>
      </c>
      <c r="AS359" s="714" t="str">
        <f t="shared" si="11"/>
        <v>wci_corp</v>
      </c>
    </row>
    <row r="360" spans="2:45">
      <c r="B360" s="714" t="s">
        <v>1228</v>
      </c>
      <c r="C360" s="745">
        <v>43542</v>
      </c>
      <c r="D360" s="746">
        <v>2500</v>
      </c>
      <c r="E360" s="746">
        <v>0</v>
      </c>
      <c r="F360" s="747" t="s">
        <v>1074</v>
      </c>
      <c r="G360" s="714" t="s">
        <v>1529</v>
      </c>
      <c r="H360" s="748" t="s">
        <v>1075</v>
      </c>
      <c r="I360" s="714" t="s">
        <v>1076</v>
      </c>
      <c r="J360" s="714" t="s">
        <v>1077</v>
      </c>
      <c r="K360" s="714" t="s">
        <v>1078</v>
      </c>
      <c r="L360" s="718" t="s">
        <v>1530</v>
      </c>
      <c r="M360" s="718"/>
      <c r="N360" s="718" t="s">
        <v>1531</v>
      </c>
      <c r="O360" s="739">
        <v>43531</v>
      </c>
      <c r="P360" s="718" t="s">
        <v>1532</v>
      </c>
      <c r="Q360" s="718">
        <v>1910</v>
      </c>
      <c r="R360" s="714" t="s">
        <v>1533</v>
      </c>
      <c r="U360" s="714" t="s">
        <v>1534</v>
      </c>
      <c r="V360" s="714" t="s">
        <v>1535</v>
      </c>
      <c r="W360" s="714">
        <v>2183</v>
      </c>
      <c r="X360" s="745">
        <v>43542</v>
      </c>
      <c r="Y360" s="745">
        <v>43543</v>
      </c>
      <c r="Z360" s="714">
        <v>2500</v>
      </c>
      <c r="AA360" s="745">
        <v>43541</v>
      </c>
      <c r="AB360" s="714" t="s">
        <v>1079</v>
      </c>
      <c r="AC360" s="714">
        <v>0</v>
      </c>
      <c r="AD360" s="714">
        <v>0</v>
      </c>
      <c r="AE360" s="714">
        <v>0</v>
      </c>
      <c r="AF360" s="714">
        <v>0</v>
      </c>
      <c r="AG360" s="714">
        <v>0</v>
      </c>
      <c r="AH360" s="714">
        <v>1</v>
      </c>
      <c r="AI360" s="714">
        <v>70095</v>
      </c>
      <c r="AJ360" s="714">
        <v>2183</v>
      </c>
      <c r="AK360" s="714">
        <v>0</v>
      </c>
      <c r="AL360" s="714">
        <v>0</v>
      </c>
      <c r="AO360" s="748"/>
      <c r="AP360" s="748"/>
      <c r="AQ360" s="714" t="str">
        <f t="shared" si="10"/>
        <v>VO04955678</v>
      </c>
      <c r="AS360" s="714" t="str">
        <f t="shared" si="11"/>
        <v>wci_corp</v>
      </c>
    </row>
    <row r="361" spans="2:45">
      <c r="B361" s="714" t="s">
        <v>1228</v>
      </c>
      <c r="C361" s="745">
        <v>43555</v>
      </c>
      <c r="D361" s="746">
        <v>-1657.99</v>
      </c>
      <c r="E361" s="746">
        <v>0</v>
      </c>
      <c r="F361" s="747" t="s">
        <v>1074</v>
      </c>
      <c r="G361" s="714" t="s">
        <v>1536</v>
      </c>
      <c r="H361" s="748" t="s">
        <v>1075</v>
      </c>
      <c r="I361" s="714" t="s">
        <v>1131</v>
      </c>
      <c r="J361" s="714" t="s">
        <v>1082</v>
      </c>
      <c r="K361" s="714" t="s">
        <v>1078</v>
      </c>
      <c r="L361" s="718"/>
      <c r="M361" s="718"/>
      <c r="N361" s="718" t="s">
        <v>1500</v>
      </c>
      <c r="O361" s="739"/>
      <c r="P361" s="718"/>
      <c r="Q361" s="718"/>
      <c r="U361" s="714" t="s">
        <v>1501</v>
      </c>
      <c r="V361" s="714" t="s">
        <v>1537</v>
      </c>
      <c r="X361" s="745">
        <v>43530</v>
      </c>
      <c r="Y361" s="745">
        <v>43531</v>
      </c>
      <c r="AA361" s="745"/>
      <c r="AB361" s="714" t="s">
        <v>1079</v>
      </c>
      <c r="AC361" s="714">
        <v>0</v>
      </c>
      <c r="AD361" s="714">
        <v>0</v>
      </c>
      <c r="AE361" s="714">
        <v>0</v>
      </c>
      <c r="AF361" s="714">
        <v>0</v>
      </c>
      <c r="AG361" s="714">
        <v>5</v>
      </c>
      <c r="AH361" s="714">
        <v>1</v>
      </c>
      <c r="AI361" s="714">
        <v>70095</v>
      </c>
      <c r="AJ361" s="714">
        <v>2183</v>
      </c>
      <c r="AK361" s="714">
        <v>0</v>
      </c>
      <c r="AL361" s="714">
        <v>0</v>
      </c>
      <c r="AO361" s="748"/>
      <c r="AP361" s="748"/>
      <c r="AQ361" s="714" t="str">
        <f t="shared" si="10"/>
        <v/>
      </c>
      <c r="AS361" s="714" t="str">
        <f t="shared" si="11"/>
        <v>wci_corp</v>
      </c>
    </row>
    <row r="362" spans="2:45">
      <c r="B362" s="714" t="s">
        <v>1228</v>
      </c>
      <c r="C362" s="745">
        <v>43555</v>
      </c>
      <c r="D362" s="746">
        <v>-18.989999999999998</v>
      </c>
      <c r="E362" s="746">
        <v>0</v>
      </c>
      <c r="F362" s="747" t="s">
        <v>1074</v>
      </c>
      <c r="G362" s="714" t="s">
        <v>1536</v>
      </c>
      <c r="H362" s="748" t="s">
        <v>1075</v>
      </c>
      <c r="I362" s="714" t="s">
        <v>1131</v>
      </c>
      <c r="J362" s="714" t="s">
        <v>1082</v>
      </c>
      <c r="K362" s="714" t="s">
        <v>1078</v>
      </c>
      <c r="L362" s="718"/>
      <c r="M362" s="718"/>
      <c r="N362" s="718" t="s">
        <v>1259</v>
      </c>
      <c r="O362" s="739"/>
      <c r="P362" s="718"/>
      <c r="Q362" s="718"/>
      <c r="U362" s="714" t="s">
        <v>1501</v>
      </c>
      <c r="V362" s="714" t="s">
        <v>1537</v>
      </c>
      <c r="X362" s="745">
        <v>43530</v>
      </c>
      <c r="Y362" s="745">
        <v>43531</v>
      </c>
      <c r="AA362" s="745"/>
      <c r="AB362" s="714" t="s">
        <v>1079</v>
      </c>
      <c r="AC362" s="714">
        <v>0</v>
      </c>
      <c r="AD362" s="714">
        <v>0</v>
      </c>
      <c r="AE362" s="714">
        <v>0</v>
      </c>
      <c r="AF362" s="714">
        <v>0</v>
      </c>
      <c r="AG362" s="714">
        <v>5</v>
      </c>
      <c r="AH362" s="714">
        <v>1</v>
      </c>
      <c r="AI362" s="714">
        <v>70095</v>
      </c>
      <c r="AJ362" s="714">
        <v>2183</v>
      </c>
      <c r="AK362" s="714">
        <v>0</v>
      </c>
      <c r="AL362" s="714">
        <v>0</v>
      </c>
      <c r="AO362" s="748"/>
      <c r="AP362" s="748"/>
      <c r="AQ362" s="714" t="str">
        <f t="shared" si="10"/>
        <v/>
      </c>
      <c r="AS362" s="714" t="str">
        <f t="shared" si="11"/>
        <v>wci_corp</v>
      </c>
    </row>
    <row r="363" spans="2:45">
      <c r="B363" s="714" t="s">
        <v>1228</v>
      </c>
      <c r="C363" s="745">
        <v>43555</v>
      </c>
      <c r="D363" s="746">
        <v>-72.89</v>
      </c>
      <c r="E363" s="746">
        <v>0</v>
      </c>
      <c r="F363" s="747" t="s">
        <v>1074</v>
      </c>
      <c r="G363" s="714" t="s">
        <v>1538</v>
      </c>
      <c r="H363" s="748" t="s">
        <v>1075</v>
      </c>
      <c r="I363" s="714" t="s">
        <v>1503</v>
      </c>
      <c r="J363" s="714" t="s">
        <v>1082</v>
      </c>
      <c r="K363" s="714" t="s">
        <v>1078</v>
      </c>
      <c r="L363" s="718"/>
      <c r="M363" s="718"/>
      <c r="N363" s="718" t="s">
        <v>1504</v>
      </c>
      <c r="O363" s="739"/>
      <c r="P363" s="718"/>
      <c r="Q363" s="718"/>
      <c r="U363" s="714" t="s">
        <v>1505</v>
      </c>
      <c r="V363" s="714" t="s">
        <v>1539</v>
      </c>
      <c r="X363" s="745">
        <v>43531</v>
      </c>
      <c r="Y363" s="745">
        <v>43531</v>
      </c>
      <c r="AA363" s="745"/>
      <c r="AB363" s="714" t="s">
        <v>1079</v>
      </c>
      <c r="AC363" s="714">
        <v>0</v>
      </c>
      <c r="AD363" s="714">
        <v>0</v>
      </c>
      <c r="AE363" s="714">
        <v>0</v>
      </c>
      <c r="AF363" s="714">
        <v>0</v>
      </c>
      <c r="AG363" s="714">
        <v>5</v>
      </c>
      <c r="AH363" s="714">
        <v>1</v>
      </c>
      <c r="AI363" s="714">
        <v>70095</v>
      </c>
      <c r="AJ363" s="714">
        <v>2183</v>
      </c>
      <c r="AK363" s="714">
        <v>0</v>
      </c>
      <c r="AL363" s="714">
        <v>0</v>
      </c>
      <c r="AO363" s="748"/>
      <c r="AP363" s="748"/>
      <c r="AQ363" s="714" t="str">
        <f t="shared" si="10"/>
        <v/>
      </c>
      <c r="AS363" s="714" t="str">
        <f t="shared" si="11"/>
        <v>wci_corp</v>
      </c>
    </row>
    <row r="364" spans="2:45">
      <c r="B364" s="714" t="s">
        <v>1228</v>
      </c>
      <c r="C364" s="745">
        <v>43555</v>
      </c>
      <c r="D364" s="746">
        <v>-287.95</v>
      </c>
      <c r="E364" s="746">
        <v>0</v>
      </c>
      <c r="F364" s="747" t="s">
        <v>1074</v>
      </c>
      <c r="G364" s="714" t="s">
        <v>1540</v>
      </c>
      <c r="H364" s="748" t="s">
        <v>1075</v>
      </c>
      <c r="I364" s="714" t="s">
        <v>1081</v>
      </c>
      <c r="J364" s="714" t="s">
        <v>1082</v>
      </c>
      <c r="K364" s="714" t="s">
        <v>1078</v>
      </c>
      <c r="L364" s="718"/>
      <c r="M364" s="718"/>
      <c r="N364" s="718" t="s">
        <v>1507</v>
      </c>
      <c r="O364" s="739"/>
      <c r="P364" s="718"/>
      <c r="Q364" s="718"/>
      <c r="U364" s="714" t="s">
        <v>1508</v>
      </c>
      <c r="V364" s="714" t="s">
        <v>1541</v>
      </c>
      <c r="X364" s="745">
        <v>43531</v>
      </c>
      <c r="Y364" s="745">
        <v>43531</v>
      </c>
      <c r="AA364" s="745"/>
      <c r="AB364" s="714" t="s">
        <v>1079</v>
      </c>
      <c r="AC364" s="714">
        <v>0</v>
      </c>
      <c r="AD364" s="714">
        <v>0</v>
      </c>
      <c r="AE364" s="714">
        <v>0</v>
      </c>
      <c r="AF364" s="714">
        <v>0</v>
      </c>
      <c r="AG364" s="714">
        <v>5</v>
      </c>
      <c r="AH364" s="714">
        <v>1</v>
      </c>
      <c r="AI364" s="714">
        <v>70095</v>
      </c>
      <c r="AJ364" s="714">
        <v>2183</v>
      </c>
      <c r="AK364" s="714">
        <v>0</v>
      </c>
      <c r="AL364" s="714">
        <v>0</v>
      </c>
      <c r="AO364" s="748"/>
      <c r="AP364" s="748"/>
      <c r="AQ364" s="714" t="str">
        <f t="shared" si="10"/>
        <v/>
      </c>
      <c r="AS364" s="714" t="str">
        <f t="shared" si="11"/>
        <v>wci_corp</v>
      </c>
    </row>
    <row r="365" spans="2:45">
      <c r="B365" s="714" t="s">
        <v>1228</v>
      </c>
      <c r="C365" s="745">
        <v>43555</v>
      </c>
      <c r="D365" s="746">
        <v>-92.57</v>
      </c>
      <c r="E365" s="746">
        <v>0</v>
      </c>
      <c r="F365" s="747" t="s">
        <v>1074</v>
      </c>
      <c r="G365" s="714" t="s">
        <v>1540</v>
      </c>
      <c r="H365" s="748" t="s">
        <v>1075</v>
      </c>
      <c r="I365" s="714" t="s">
        <v>1081</v>
      </c>
      <c r="J365" s="714" t="s">
        <v>1082</v>
      </c>
      <c r="K365" s="714" t="s">
        <v>1078</v>
      </c>
      <c r="L365" s="718"/>
      <c r="M365" s="718"/>
      <c r="N365" s="718" t="s">
        <v>1509</v>
      </c>
      <c r="O365" s="739"/>
      <c r="P365" s="718"/>
      <c r="Q365" s="718"/>
      <c r="U365" s="714" t="s">
        <v>1508</v>
      </c>
      <c r="V365" s="714" t="s">
        <v>1541</v>
      </c>
      <c r="X365" s="745">
        <v>43531</v>
      </c>
      <c r="Y365" s="745">
        <v>43531</v>
      </c>
      <c r="AA365" s="745"/>
      <c r="AB365" s="714" t="s">
        <v>1079</v>
      </c>
      <c r="AC365" s="714">
        <v>0</v>
      </c>
      <c r="AD365" s="714">
        <v>0</v>
      </c>
      <c r="AE365" s="714">
        <v>0</v>
      </c>
      <c r="AF365" s="714">
        <v>0</v>
      </c>
      <c r="AG365" s="714">
        <v>5</v>
      </c>
      <c r="AH365" s="714">
        <v>1</v>
      </c>
      <c r="AI365" s="714">
        <v>70095</v>
      </c>
      <c r="AJ365" s="714">
        <v>2183</v>
      </c>
      <c r="AK365" s="714">
        <v>0</v>
      </c>
      <c r="AL365" s="714">
        <v>0</v>
      </c>
      <c r="AO365" s="748"/>
      <c r="AP365" s="748"/>
      <c r="AQ365" s="714" t="str">
        <f t="shared" si="10"/>
        <v/>
      </c>
      <c r="AS365" s="714" t="str">
        <f t="shared" si="11"/>
        <v>wci_corp</v>
      </c>
    </row>
    <row r="366" spans="2:45">
      <c r="B366" s="714" t="s">
        <v>1228</v>
      </c>
      <c r="C366" s="745">
        <v>43555</v>
      </c>
      <c r="D366" s="746">
        <v>142.78</v>
      </c>
      <c r="E366" s="746">
        <v>0</v>
      </c>
      <c r="F366" s="747" t="s">
        <v>1074</v>
      </c>
      <c r="G366" s="714" t="s">
        <v>1542</v>
      </c>
      <c r="H366" s="748" t="s">
        <v>1075</v>
      </c>
      <c r="I366" s="714" t="s">
        <v>1076</v>
      </c>
      <c r="J366" s="714" t="s">
        <v>1077</v>
      </c>
      <c r="K366" s="714" t="s">
        <v>1078</v>
      </c>
      <c r="L366" s="718" t="s">
        <v>1238</v>
      </c>
      <c r="M366" s="718" t="s">
        <v>1239</v>
      </c>
      <c r="N366" s="718" t="s">
        <v>1239</v>
      </c>
      <c r="O366" s="739">
        <v>43551</v>
      </c>
      <c r="P366" s="718" t="s">
        <v>1543</v>
      </c>
      <c r="Q366" s="718" t="s">
        <v>1544</v>
      </c>
      <c r="R366" s="714" t="s">
        <v>1545</v>
      </c>
      <c r="U366" s="714" t="s">
        <v>1546</v>
      </c>
      <c r="V366" s="714" t="s">
        <v>1547</v>
      </c>
      <c r="W366" s="714">
        <v>2183</v>
      </c>
      <c r="X366" s="745">
        <v>43556</v>
      </c>
      <c r="Y366" s="745">
        <v>43556</v>
      </c>
      <c r="Z366" s="714">
        <v>280.77999999999997</v>
      </c>
      <c r="AA366" s="745">
        <v>43552</v>
      </c>
      <c r="AB366" s="714" t="s">
        <v>1079</v>
      </c>
      <c r="AC366" s="714">
        <v>0</v>
      </c>
      <c r="AD366" s="714">
        <v>0</v>
      </c>
      <c r="AE366" s="714">
        <v>0</v>
      </c>
      <c r="AF366" s="714">
        <v>0</v>
      </c>
      <c r="AG366" s="714">
        <v>0</v>
      </c>
      <c r="AH366" s="714">
        <v>1</v>
      </c>
      <c r="AI366" s="714">
        <v>70095</v>
      </c>
      <c r="AJ366" s="714">
        <v>2183</v>
      </c>
      <c r="AK366" s="714">
        <v>0</v>
      </c>
      <c r="AL366" s="714">
        <v>0</v>
      </c>
      <c r="AO366" s="748"/>
      <c r="AP366" s="748"/>
      <c r="AQ366" s="714" t="str">
        <f t="shared" si="10"/>
        <v>VO04970295</v>
      </c>
      <c r="AS366" s="714" t="str">
        <f t="shared" si="11"/>
        <v>wci_corp</v>
      </c>
    </row>
    <row r="367" spans="2:45">
      <c r="B367" s="714" t="s">
        <v>1228</v>
      </c>
      <c r="C367" s="745">
        <v>43555</v>
      </c>
      <c r="D367" s="746">
        <v>92.57</v>
      </c>
      <c r="E367" s="746">
        <v>0</v>
      </c>
      <c r="F367" s="747" t="s">
        <v>1074</v>
      </c>
      <c r="G367" s="714" t="s">
        <v>1548</v>
      </c>
      <c r="H367" s="748" t="s">
        <v>1075</v>
      </c>
      <c r="I367" s="714" t="s">
        <v>1549</v>
      </c>
      <c r="J367" s="714" t="s">
        <v>1092</v>
      </c>
      <c r="K367" s="714" t="s">
        <v>1078</v>
      </c>
      <c r="L367" s="718"/>
      <c r="M367" s="718"/>
      <c r="N367" s="718" t="s">
        <v>1250</v>
      </c>
      <c r="O367" s="739"/>
      <c r="P367" s="718"/>
      <c r="Q367" s="718"/>
      <c r="U367" s="714" t="s">
        <v>1550</v>
      </c>
      <c r="V367" s="714" t="s">
        <v>1550</v>
      </c>
      <c r="X367" s="745">
        <v>43557</v>
      </c>
      <c r="Y367" s="745">
        <v>43557</v>
      </c>
      <c r="AA367" s="745"/>
      <c r="AB367" s="714" t="s">
        <v>1079</v>
      </c>
      <c r="AC367" s="714">
        <v>0</v>
      </c>
      <c r="AD367" s="714">
        <v>0</v>
      </c>
      <c r="AE367" s="714">
        <v>0</v>
      </c>
      <c r="AF367" s="714">
        <v>0</v>
      </c>
      <c r="AG367" s="714">
        <v>0</v>
      </c>
      <c r="AH367" s="714">
        <v>1</v>
      </c>
      <c r="AI367" s="714">
        <v>70095</v>
      </c>
      <c r="AJ367" s="714">
        <v>2183</v>
      </c>
      <c r="AK367" s="714">
        <v>0</v>
      </c>
      <c r="AL367" s="714">
        <v>0</v>
      </c>
      <c r="AO367" s="748"/>
      <c r="AP367" s="748"/>
      <c r="AQ367" s="714" t="str">
        <f t="shared" si="10"/>
        <v/>
      </c>
      <c r="AS367" s="714" t="str">
        <f t="shared" si="11"/>
        <v>wci_corp</v>
      </c>
    </row>
    <row r="368" spans="2:45">
      <c r="B368" s="714" t="s">
        <v>1228</v>
      </c>
      <c r="C368" s="745">
        <v>43555</v>
      </c>
      <c r="D368" s="746">
        <v>450</v>
      </c>
      <c r="E368" s="746">
        <v>0</v>
      </c>
      <c r="F368" s="747" t="s">
        <v>1074</v>
      </c>
      <c r="G368" s="714" t="s">
        <v>1548</v>
      </c>
      <c r="H368" s="748" t="s">
        <v>1075</v>
      </c>
      <c r="I368" s="714" t="s">
        <v>1549</v>
      </c>
      <c r="J368" s="714" t="s">
        <v>1092</v>
      </c>
      <c r="K368" s="714" t="s">
        <v>1078</v>
      </c>
      <c r="L368" s="718"/>
      <c r="M368" s="718"/>
      <c r="N368" s="718" t="s">
        <v>1423</v>
      </c>
      <c r="O368" s="739"/>
      <c r="P368" s="718"/>
      <c r="Q368" s="718"/>
      <c r="U368" s="714" t="s">
        <v>1550</v>
      </c>
      <c r="V368" s="714" t="s">
        <v>1550</v>
      </c>
      <c r="X368" s="745">
        <v>43557</v>
      </c>
      <c r="Y368" s="745">
        <v>43557</v>
      </c>
      <c r="AA368" s="745"/>
      <c r="AB368" s="714" t="s">
        <v>1079</v>
      </c>
      <c r="AC368" s="714">
        <v>0</v>
      </c>
      <c r="AD368" s="714">
        <v>0</v>
      </c>
      <c r="AE368" s="714">
        <v>0</v>
      </c>
      <c r="AF368" s="714">
        <v>0</v>
      </c>
      <c r="AG368" s="714">
        <v>0</v>
      </c>
      <c r="AH368" s="714">
        <v>1</v>
      </c>
      <c r="AI368" s="714">
        <v>70095</v>
      </c>
      <c r="AJ368" s="714">
        <v>2183</v>
      </c>
      <c r="AK368" s="714">
        <v>0</v>
      </c>
      <c r="AL368" s="714">
        <v>0</v>
      </c>
      <c r="AO368" s="748"/>
      <c r="AP368" s="748"/>
      <c r="AQ368" s="714" t="str">
        <f t="shared" si="10"/>
        <v/>
      </c>
      <c r="AS368" s="714" t="str">
        <f t="shared" si="11"/>
        <v>wci_corp</v>
      </c>
    </row>
    <row r="369" spans="2:45">
      <c r="B369" s="714" t="s">
        <v>1228</v>
      </c>
      <c r="C369" s="745">
        <v>43555</v>
      </c>
      <c r="D369" s="746">
        <v>1657.99</v>
      </c>
      <c r="E369" s="746">
        <v>0</v>
      </c>
      <c r="F369" s="747" t="s">
        <v>1074</v>
      </c>
      <c r="G369" s="714" t="s">
        <v>1548</v>
      </c>
      <c r="H369" s="748" t="s">
        <v>1075</v>
      </c>
      <c r="I369" s="714" t="s">
        <v>1549</v>
      </c>
      <c r="J369" s="714" t="s">
        <v>1092</v>
      </c>
      <c r="K369" s="714" t="s">
        <v>1078</v>
      </c>
      <c r="L369" s="718"/>
      <c r="M369" s="718"/>
      <c r="N369" s="718" t="s">
        <v>1500</v>
      </c>
      <c r="O369" s="739"/>
      <c r="P369" s="718"/>
      <c r="Q369" s="718"/>
      <c r="U369" s="714" t="s">
        <v>1550</v>
      </c>
      <c r="V369" s="714" t="s">
        <v>1550</v>
      </c>
      <c r="X369" s="745">
        <v>43557</v>
      </c>
      <c r="Y369" s="745">
        <v>43557</v>
      </c>
      <c r="AA369" s="745"/>
      <c r="AB369" s="714" t="s">
        <v>1079</v>
      </c>
      <c r="AC369" s="714">
        <v>0</v>
      </c>
      <c r="AD369" s="714">
        <v>0</v>
      </c>
      <c r="AE369" s="714">
        <v>0</v>
      </c>
      <c r="AF369" s="714">
        <v>0</v>
      </c>
      <c r="AG369" s="714">
        <v>0</v>
      </c>
      <c r="AH369" s="714">
        <v>1</v>
      </c>
      <c r="AI369" s="714">
        <v>70095</v>
      </c>
      <c r="AJ369" s="714">
        <v>2183</v>
      </c>
      <c r="AK369" s="714">
        <v>0</v>
      </c>
      <c r="AL369" s="714">
        <v>0</v>
      </c>
      <c r="AO369" s="748"/>
      <c r="AP369" s="748"/>
      <c r="AQ369" s="714" t="str">
        <f t="shared" si="10"/>
        <v/>
      </c>
      <c r="AS369" s="714" t="str">
        <f t="shared" si="11"/>
        <v>wci_corp</v>
      </c>
    </row>
    <row r="370" spans="2:45">
      <c r="B370" s="714" t="s">
        <v>1228</v>
      </c>
      <c r="C370" s="745">
        <v>43555</v>
      </c>
      <c r="D370" s="746">
        <v>18.989999999999998</v>
      </c>
      <c r="E370" s="746">
        <v>0</v>
      </c>
      <c r="F370" s="747" t="s">
        <v>1074</v>
      </c>
      <c r="G370" s="714" t="s">
        <v>1548</v>
      </c>
      <c r="H370" s="748" t="s">
        <v>1075</v>
      </c>
      <c r="I370" s="714" t="s">
        <v>1549</v>
      </c>
      <c r="J370" s="714" t="s">
        <v>1092</v>
      </c>
      <c r="K370" s="714" t="s">
        <v>1078</v>
      </c>
      <c r="L370" s="718"/>
      <c r="M370" s="718"/>
      <c r="N370" s="718" t="s">
        <v>1259</v>
      </c>
      <c r="O370" s="739"/>
      <c r="P370" s="718"/>
      <c r="Q370" s="718"/>
      <c r="U370" s="714" t="s">
        <v>1550</v>
      </c>
      <c r="V370" s="714" t="s">
        <v>1550</v>
      </c>
      <c r="X370" s="745">
        <v>43557</v>
      </c>
      <c r="Y370" s="745">
        <v>43557</v>
      </c>
      <c r="AA370" s="745"/>
      <c r="AB370" s="714" t="s">
        <v>1079</v>
      </c>
      <c r="AC370" s="714">
        <v>0</v>
      </c>
      <c r="AD370" s="714">
        <v>0</v>
      </c>
      <c r="AE370" s="714">
        <v>0</v>
      </c>
      <c r="AF370" s="714">
        <v>0</v>
      </c>
      <c r="AG370" s="714">
        <v>0</v>
      </c>
      <c r="AH370" s="714">
        <v>1</v>
      </c>
      <c r="AI370" s="714">
        <v>70095</v>
      </c>
      <c r="AJ370" s="714">
        <v>2183</v>
      </c>
      <c r="AK370" s="714">
        <v>0</v>
      </c>
      <c r="AL370" s="714">
        <v>0</v>
      </c>
      <c r="AO370" s="748"/>
      <c r="AP370" s="748"/>
      <c r="AQ370" s="714" t="str">
        <f t="shared" si="10"/>
        <v/>
      </c>
      <c r="AS370" s="714" t="str">
        <f t="shared" si="11"/>
        <v>wci_corp</v>
      </c>
    </row>
    <row r="371" spans="2:45">
      <c r="B371" s="714" t="s">
        <v>1228</v>
      </c>
      <c r="C371" s="745">
        <v>43555</v>
      </c>
      <c r="D371" s="746">
        <v>1226.99</v>
      </c>
      <c r="E371" s="746">
        <v>0</v>
      </c>
      <c r="F371" s="747" t="s">
        <v>1074</v>
      </c>
      <c r="G371" s="714" t="s">
        <v>1548</v>
      </c>
      <c r="H371" s="748" t="s">
        <v>1075</v>
      </c>
      <c r="I371" s="714" t="s">
        <v>1549</v>
      </c>
      <c r="J371" s="714" t="s">
        <v>1092</v>
      </c>
      <c r="K371" s="714" t="s">
        <v>1078</v>
      </c>
      <c r="L371" s="718"/>
      <c r="M371" s="718"/>
      <c r="N371" s="718" t="s">
        <v>1551</v>
      </c>
      <c r="O371" s="739"/>
      <c r="P371" s="718"/>
      <c r="Q371" s="718"/>
      <c r="U371" s="714" t="s">
        <v>1550</v>
      </c>
      <c r="V371" s="714" t="s">
        <v>1550</v>
      </c>
      <c r="X371" s="745">
        <v>43557</v>
      </c>
      <c r="Y371" s="745">
        <v>43557</v>
      </c>
      <c r="AA371" s="745"/>
      <c r="AB371" s="714" t="s">
        <v>1079</v>
      </c>
      <c r="AC371" s="714">
        <v>0</v>
      </c>
      <c r="AD371" s="714">
        <v>0</v>
      </c>
      <c r="AE371" s="714">
        <v>0</v>
      </c>
      <c r="AF371" s="714">
        <v>0</v>
      </c>
      <c r="AG371" s="714">
        <v>0</v>
      </c>
      <c r="AH371" s="714">
        <v>1</v>
      </c>
      <c r="AI371" s="714">
        <v>70095</v>
      </c>
      <c r="AJ371" s="714">
        <v>2183</v>
      </c>
      <c r="AK371" s="714">
        <v>0</v>
      </c>
      <c r="AL371" s="714">
        <v>0</v>
      </c>
      <c r="AO371" s="748"/>
      <c r="AP371" s="748"/>
      <c r="AQ371" s="714" t="str">
        <f t="shared" si="10"/>
        <v/>
      </c>
      <c r="AS371" s="714" t="str">
        <f t="shared" si="11"/>
        <v>wci_corp</v>
      </c>
    </row>
    <row r="372" spans="2:45">
      <c r="B372" s="714" t="s">
        <v>1228</v>
      </c>
      <c r="C372" s="745">
        <v>43555</v>
      </c>
      <c r="D372" s="746">
        <v>35.79</v>
      </c>
      <c r="E372" s="746">
        <v>0</v>
      </c>
      <c r="F372" s="747" t="s">
        <v>1074</v>
      </c>
      <c r="G372" s="714" t="s">
        <v>1548</v>
      </c>
      <c r="H372" s="748" t="s">
        <v>1075</v>
      </c>
      <c r="I372" s="714" t="s">
        <v>1549</v>
      </c>
      <c r="J372" s="714" t="s">
        <v>1092</v>
      </c>
      <c r="K372" s="714" t="s">
        <v>1078</v>
      </c>
      <c r="L372" s="718"/>
      <c r="M372" s="718"/>
      <c r="N372" s="718" t="s">
        <v>1552</v>
      </c>
      <c r="O372" s="739"/>
      <c r="P372" s="718"/>
      <c r="Q372" s="718"/>
      <c r="U372" s="714" t="s">
        <v>1550</v>
      </c>
      <c r="V372" s="714" t="s">
        <v>1550</v>
      </c>
      <c r="X372" s="745">
        <v>43557</v>
      </c>
      <c r="Y372" s="745">
        <v>43557</v>
      </c>
      <c r="AA372" s="745"/>
      <c r="AB372" s="714" t="s">
        <v>1079</v>
      </c>
      <c r="AC372" s="714">
        <v>0</v>
      </c>
      <c r="AD372" s="714">
        <v>0</v>
      </c>
      <c r="AE372" s="714">
        <v>0</v>
      </c>
      <c r="AF372" s="714">
        <v>0</v>
      </c>
      <c r="AG372" s="714">
        <v>0</v>
      </c>
      <c r="AH372" s="714">
        <v>1</v>
      </c>
      <c r="AI372" s="714">
        <v>70095</v>
      </c>
      <c r="AJ372" s="714">
        <v>2183</v>
      </c>
      <c r="AK372" s="714">
        <v>0</v>
      </c>
      <c r="AL372" s="714">
        <v>0</v>
      </c>
      <c r="AO372" s="748"/>
      <c r="AP372" s="748"/>
      <c r="AQ372" s="714" t="str">
        <f t="shared" si="10"/>
        <v/>
      </c>
      <c r="AS372" s="714" t="str">
        <f t="shared" si="11"/>
        <v>wci_corp</v>
      </c>
    </row>
    <row r="373" spans="2:45">
      <c r="B373" s="714" t="s">
        <v>1228</v>
      </c>
      <c r="C373" s="745">
        <v>43555</v>
      </c>
      <c r="D373" s="746">
        <v>19.55</v>
      </c>
      <c r="E373" s="746">
        <v>0</v>
      </c>
      <c r="F373" s="747" t="s">
        <v>1074</v>
      </c>
      <c r="G373" s="714" t="s">
        <v>1548</v>
      </c>
      <c r="H373" s="748" t="s">
        <v>1075</v>
      </c>
      <c r="I373" s="714" t="s">
        <v>1549</v>
      </c>
      <c r="J373" s="714" t="s">
        <v>1092</v>
      </c>
      <c r="K373" s="714" t="s">
        <v>1078</v>
      </c>
      <c r="L373" s="718"/>
      <c r="M373" s="718"/>
      <c r="N373" s="718" t="s">
        <v>1307</v>
      </c>
      <c r="O373" s="739"/>
      <c r="P373" s="718"/>
      <c r="Q373" s="718"/>
      <c r="U373" s="714" t="s">
        <v>1550</v>
      </c>
      <c r="V373" s="714" t="s">
        <v>1550</v>
      </c>
      <c r="X373" s="745">
        <v>43557</v>
      </c>
      <c r="Y373" s="745">
        <v>43557</v>
      </c>
      <c r="AA373" s="745"/>
      <c r="AB373" s="714" t="s">
        <v>1079</v>
      </c>
      <c r="AC373" s="714">
        <v>0</v>
      </c>
      <c r="AD373" s="714">
        <v>0</v>
      </c>
      <c r="AE373" s="714">
        <v>0</v>
      </c>
      <c r="AF373" s="714">
        <v>0</v>
      </c>
      <c r="AG373" s="714">
        <v>0</v>
      </c>
      <c r="AH373" s="714">
        <v>1</v>
      </c>
      <c r="AI373" s="714">
        <v>70095</v>
      </c>
      <c r="AJ373" s="714">
        <v>2183</v>
      </c>
      <c r="AK373" s="714">
        <v>0</v>
      </c>
      <c r="AL373" s="714">
        <v>0</v>
      </c>
      <c r="AO373" s="748"/>
      <c r="AP373" s="748"/>
      <c r="AQ373" s="714" t="str">
        <f t="shared" si="10"/>
        <v/>
      </c>
      <c r="AS373" s="714" t="str">
        <f t="shared" si="11"/>
        <v>wci_corp</v>
      </c>
    </row>
    <row r="374" spans="2:45">
      <c r="B374" s="714" t="s">
        <v>1228</v>
      </c>
      <c r="C374" s="745">
        <v>43555</v>
      </c>
      <c r="D374" s="746">
        <v>2.15</v>
      </c>
      <c r="E374" s="746">
        <v>0</v>
      </c>
      <c r="F374" s="747" t="s">
        <v>1074</v>
      </c>
      <c r="G374" s="714" t="s">
        <v>1548</v>
      </c>
      <c r="H374" s="748" t="s">
        <v>1075</v>
      </c>
      <c r="I374" s="714" t="s">
        <v>1549</v>
      </c>
      <c r="J374" s="714" t="s">
        <v>1092</v>
      </c>
      <c r="K374" s="714" t="s">
        <v>1078</v>
      </c>
      <c r="L374" s="718"/>
      <c r="M374" s="718"/>
      <c r="N374" s="718" t="s">
        <v>1421</v>
      </c>
      <c r="O374" s="739"/>
      <c r="P374" s="718"/>
      <c r="Q374" s="718"/>
      <c r="U374" s="714" t="s">
        <v>1550</v>
      </c>
      <c r="V374" s="714" t="s">
        <v>1550</v>
      </c>
      <c r="X374" s="745">
        <v>43557</v>
      </c>
      <c r="Y374" s="745">
        <v>43557</v>
      </c>
      <c r="AA374" s="745"/>
      <c r="AB374" s="714" t="s">
        <v>1079</v>
      </c>
      <c r="AC374" s="714">
        <v>0</v>
      </c>
      <c r="AD374" s="714">
        <v>0</v>
      </c>
      <c r="AE374" s="714">
        <v>0</v>
      </c>
      <c r="AF374" s="714">
        <v>0</v>
      </c>
      <c r="AG374" s="714">
        <v>0</v>
      </c>
      <c r="AH374" s="714">
        <v>1</v>
      </c>
      <c r="AI374" s="714">
        <v>70095</v>
      </c>
      <c r="AJ374" s="714">
        <v>2183</v>
      </c>
      <c r="AK374" s="714">
        <v>0</v>
      </c>
      <c r="AL374" s="714">
        <v>0</v>
      </c>
      <c r="AO374" s="748"/>
      <c r="AP374" s="748"/>
      <c r="AQ374" s="714" t="str">
        <f t="shared" si="10"/>
        <v/>
      </c>
      <c r="AS374" s="714" t="str">
        <f t="shared" si="11"/>
        <v>wci_corp</v>
      </c>
    </row>
    <row r="375" spans="2:45">
      <c r="B375" s="714" t="s">
        <v>1228</v>
      </c>
      <c r="C375" s="745">
        <v>43555</v>
      </c>
      <c r="D375" s="746">
        <v>9.99</v>
      </c>
      <c r="E375" s="746">
        <v>0</v>
      </c>
      <c r="F375" s="747" t="s">
        <v>1074</v>
      </c>
      <c r="G375" s="714" t="s">
        <v>1548</v>
      </c>
      <c r="H375" s="748" t="s">
        <v>1075</v>
      </c>
      <c r="I375" s="714" t="s">
        <v>1549</v>
      </c>
      <c r="J375" s="714" t="s">
        <v>1092</v>
      </c>
      <c r="K375" s="714" t="s">
        <v>1078</v>
      </c>
      <c r="L375" s="718"/>
      <c r="M375" s="718"/>
      <c r="N375" s="718" t="s">
        <v>1288</v>
      </c>
      <c r="O375" s="739"/>
      <c r="P375" s="718"/>
      <c r="Q375" s="718"/>
      <c r="U375" s="714" t="s">
        <v>1550</v>
      </c>
      <c r="V375" s="714" t="s">
        <v>1550</v>
      </c>
      <c r="X375" s="745">
        <v>43557</v>
      </c>
      <c r="Y375" s="745">
        <v>43557</v>
      </c>
      <c r="AA375" s="745"/>
      <c r="AB375" s="714" t="s">
        <v>1079</v>
      </c>
      <c r="AC375" s="714">
        <v>0</v>
      </c>
      <c r="AD375" s="714">
        <v>0</v>
      </c>
      <c r="AE375" s="714">
        <v>0</v>
      </c>
      <c r="AF375" s="714">
        <v>0</v>
      </c>
      <c r="AG375" s="714">
        <v>0</v>
      </c>
      <c r="AH375" s="714">
        <v>1</v>
      </c>
      <c r="AI375" s="714">
        <v>70095</v>
      </c>
      <c r="AJ375" s="714">
        <v>2183</v>
      </c>
      <c r="AK375" s="714">
        <v>0</v>
      </c>
      <c r="AL375" s="714">
        <v>0</v>
      </c>
      <c r="AO375" s="748"/>
      <c r="AP375" s="748"/>
      <c r="AQ375" s="714" t="str">
        <f t="shared" si="10"/>
        <v/>
      </c>
      <c r="AS375" s="714" t="str">
        <f t="shared" si="11"/>
        <v>wci_corp</v>
      </c>
    </row>
    <row r="376" spans="2:45">
      <c r="B376" s="714" t="s">
        <v>1228</v>
      </c>
      <c r="C376" s="745">
        <v>43555</v>
      </c>
      <c r="D376" s="746">
        <v>69.650000000000006</v>
      </c>
      <c r="E376" s="746">
        <v>0</v>
      </c>
      <c r="F376" s="747" t="s">
        <v>1074</v>
      </c>
      <c r="G376" s="714" t="s">
        <v>1548</v>
      </c>
      <c r="H376" s="748" t="s">
        <v>1075</v>
      </c>
      <c r="I376" s="714" t="s">
        <v>1549</v>
      </c>
      <c r="J376" s="714" t="s">
        <v>1092</v>
      </c>
      <c r="K376" s="714" t="s">
        <v>1078</v>
      </c>
      <c r="L376" s="718"/>
      <c r="M376" s="718"/>
      <c r="N376" s="718" t="s">
        <v>1553</v>
      </c>
      <c r="O376" s="739"/>
      <c r="P376" s="718"/>
      <c r="Q376" s="718"/>
      <c r="U376" s="714" t="s">
        <v>1550</v>
      </c>
      <c r="V376" s="714" t="s">
        <v>1550</v>
      </c>
      <c r="X376" s="745">
        <v>43557</v>
      </c>
      <c r="Y376" s="745">
        <v>43557</v>
      </c>
      <c r="AA376" s="745"/>
      <c r="AB376" s="714" t="s">
        <v>1079</v>
      </c>
      <c r="AC376" s="714">
        <v>0</v>
      </c>
      <c r="AD376" s="714">
        <v>0</v>
      </c>
      <c r="AE376" s="714">
        <v>0</v>
      </c>
      <c r="AF376" s="714">
        <v>0</v>
      </c>
      <c r="AG376" s="714">
        <v>0</v>
      </c>
      <c r="AH376" s="714">
        <v>1</v>
      </c>
      <c r="AI376" s="714">
        <v>70095</v>
      </c>
      <c r="AJ376" s="714">
        <v>2183</v>
      </c>
      <c r="AK376" s="714">
        <v>0</v>
      </c>
      <c r="AL376" s="714">
        <v>0</v>
      </c>
      <c r="AO376" s="748"/>
      <c r="AP376" s="748"/>
      <c r="AQ376" s="714" t="str">
        <f t="shared" si="10"/>
        <v/>
      </c>
      <c r="AS376" s="714" t="str">
        <f t="shared" si="11"/>
        <v>wci_corp</v>
      </c>
    </row>
    <row r="377" spans="2:45">
      <c r="B377" s="714" t="s">
        <v>1228</v>
      </c>
      <c r="C377" s="745">
        <v>43555</v>
      </c>
      <c r="D377" s="746">
        <v>300</v>
      </c>
      <c r="E377" s="746">
        <v>0</v>
      </c>
      <c r="F377" s="747" t="s">
        <v>1074</v>
      </c>
      <c r="G377" s="714" t="s">
        <v>1548</v>
      </c>
      <c r="H377" s="748" t="s">
        <v>1075</v>
      </c>
      <c r="I377" s="714" t="s">
        <v>1549</v>
      </c>
      <c r="J377" s="714" t="s">
        <v>1092</v>
      </c>
      <c r="K377" s="714" t="s">
        <v>1078</v>
      </c>
      <c r="L377" s="718"/>
      <c r="M377" s="718"/>
      <c r="N377" s="718" t="s">
        <v>1554</v>
      </c>
      <c r="O377" s="739"/>
      <c r="P377" s="718"/>
      <c r="Q377" s="718"/>
      <c r="U377" s="714" t="s">
        <v>1550</v>
      </c>
      <c r="V377" s="714" t="s">
        <v>1550</v>
      </c>
      <c r="X377" s="745">
        <v>43557</v>
      </c>
      <c r="Y377" s="745">
        <v>43557</v>
      </c>
      <c r="AA377" s="745"/>
      <c r="AB377" s="714" t="s">
        <v>1079</v>
      </c>
      <c r="AC377" s="714">
        <v>0</v>
      </c>
      <c r="AD377" s="714">
        <v>0</v>
      </c>
      <c r="AE377" s="714">
        <v>0</v>
      </c>
      <c r="AF377" s="714">
        <v>0</v>
      </c>
      <c r="AG377" s="714">
        <v>0</v>
      </c>
      <c r="AH377" s="714">
        <v>1</v>
      </c>
      <c r="AI377" s="714">
        <v>70095</v>
      </c>
      <c r="AJ377" s="714">
        <v>2183</v>
      </c>
      <c r="AK377" s="714">
        <v>0</v>
      </c>
      <c r="AL377" s="714">
        <v>0</v>
      </c>
      <c r="AO377" s="748"/>
      <c r="AP377" s="748"/>
      <c r="AQ377" s="714" t="str">
        <f t="shared" si="10"/>
        <v/>
      </c>
      <c r="AS377" s="714" t="str">
        <f t="shared" si="11"/>
        <v>wci_corp</v>
      </c>
    </row>
    <row r="378" spans="2:45">
      <c r="B378" s="714" t="s">
        <v>1228</v>
      </c>
      <c r="C378" s="745">
        <v>43555</v>
      </c>
      <c r="D378" s="746">
        <v>101.68</v>
      </c>
      <c r="E378" s="746">
        <v>0</v>
      </c>
      <c r="F378" s="747" t="s">
        <v>1074</v>
      </c>
      <c r="G378" s="714" t="s">
        <v>1548</v>
      </c>
      <c r="H378" s="748" t="s">
        <v>1075</v>
      </c>
      <c r="I378" s="714" t="s">
        <v>1549</v>
      </c>
      <c r="J378" s="714" t="s">
        <v>1092</v>
      </c>
      <c r="K378" s="714" t="s">
        <v>1078</v>
      </c>
      <c r="L378" s="718"/>
      <c r="M378" s="718"/>
      <c r="N378" s="718" t="s">
        <v>1498</v>
      </c>
      <c r="O378" s="739"/>
      <c r="P378" s="718"/>
      <c r="Q378" s="718"/>
      <c r="U378" s="714" t="s">
        <v>1550</v>
      </c>
      <c r="V378" s="714" t="s">
        <v>1550</v>
      </c>
      <c r="X378" s="745">
        <v>43557</v>
      </c>
      <c r="Y378" s="745">
        <v>43557</v>
      </c>
      <c r="AA378" s="745"/>
      <c r="AB378" s="714" t="s">
        <v>1079</v>
      </c>
      <c r="AC378" s="714">
        <v>0</v>
      </c>
      <c r="AD378" s="714">
        <v>0</v>
      </c>
      <c r="AE378" s="714">
        <v>0</v>
      </c>
      <c r="AF378" s="714">
        <v>0</v>
      </c>
      <c r="AG378" s="714">
        <v>0</v>
      </c>
      <c r="AH378" s="714">
        <v>1</v>
      </c>
      <c r="AI378" s="714">
        <v>70095</v>
      </c>
      <c r="AJ378" s="714">
        <v>2183</v>
      </c>
      <c r="AK378" s="714">
        <v>0</v>
      </c>
      <c r="AL378" s="714">
        <v>0</v>
      </c>
      <c r="AO378" s="748"/>
      <c r="AP378" s="748"/>
      <c r="AQ378" s="714" t="str">
        <f t="shared" si="10"/>
        <v/>
      </c>
      <c r="AS378" s="714" t="str">
        <f t="shared" si="11"/>
        <v>wci_corp</v>
      </c>
    </row>
    <row r="379" spans="2:45">
      <c r="B379" s="714" t="s">
        <v>1228</v>
      </c>
      <c r="C379" s="745">
        <v>43555</v>
      </c>
      <c r="D379" s="746">
        <v>47.54</v>
      </c>
      <c r="E379" s="746">
        <v>0</v>
      </c>
      <c r="F379" s="747" t="s">
        <v>1074</v>
      </c>
      <c r="G379" s="714" t="s">
        <v>1548</v>
      </c>
      <c r="H379" s="748" t="s">
        <v>1075</v>
      </c>
      <c r="I379" s="714" t="s">
        <v>1549</v>
      </c>
      <c r="J379" s="714" t="s">
        <v>1092</v>
      </c>
      <c r="K379" s="714" t="s">
        <v>1078</v>
      </c>
      <c r="L379" s="718"/>
      <c r="M379" s="718"/>
      <c r="N379" s="718" t="s">
        <v>1555</v>
      </c>
      <c r="O379" s="739"/>
      <c r="P379" s="718"/>
      <c r="Q379" s="718"/>
      <c r="U379" s="714" t="s">
        <v>1550</v>
      </c>
      <c r="V379" s="714" t="s">
        <v>1550</v>
      </c>
      <c r="X379" s="745">
        <v>43557</v>
      </c>
      <c r="Y379" s="745">
        <v>43557</v>
      </c>
      <c r="AA379" s="745"/>
      <c r="AB379" s="714" t="s">
        <v>1079</v>
      </c>
      <c r="AC379" s="714">
        <v>0</v>
      </c>
      <c r="AD379" s="714">
        <v>0</v>
      </c>
      <c r="AE379" s="714">
        <v>0</v>
      </c>
      <c r="AF379" s="714">
        <v>0</v>
      </c>
      <c r="AG379" s="714">
        <v>0</v>
      </c>
      <c r="AH379" s="714">
        <v>1</v>
      </c>
      <c r="AI379" s="714">
        <v>70095</v>
      </c>
      <c r="AJ379" s="714">
        <v>2183</v>
      </c>
      <c r="AK379" s="714">
        <v>0</v>
      </c>
      <c r="AL379" s="714">
        <v>0</v>
      </c>
      <c r="AO379" s="748"/>
      <c r="AP379" s="748"/>
      <c r="AQ379" s="714" t="str">
        <f t="shared" si="10"/>
        <v/>
      </c>
      <c r="AS379" s="714" t="str">
        <f t="shared" si="11"/>
        <v>wci_corp</v>
      </c>
    </row>
    <row r="380" spans="2:45">
      <c r="B380" s="714" t="s">
        <v>1228</v>
      </c>
      <c r="C380" s="745">
        <v>43555</v>
      </c>
      <c r="D380" s="746">
        <v>250.98</v>
      </c>
      <c r="E380" s="746">
        <v>0</v>
      </c>
      <c r="F380" s="747" t="s">
        <v>1074</v>
      </c>
      <c r="G380" s="714" t="s">
        <v>1548</v>
      </c>
      <c r="H380" s="748" t="s">
        <v>1075</v>
      </c>
      <c r="I380" s="714" t="s">
        <v>1549</v>
      </c>
      <c r="J380" s="714" t="s">
        <v>1092</v>
      </c>
      <c r="K380" s="714" t="s">
        <v>1078</v>
      </c>
      <c r="L380" s="718"/>
      <c r="M380" s="718"/>
      <c r="N380" s="718" t="s">
        <v>1556</v>
      </c>
      <c r="O380" s="739"/>
      <c r="P380" s="718"/>
      <c r="Q380" s="718"/>
      <c r="U380" s="714" t="s">
        <v>1550</v>
      </c>
      <c r="V380" s="714" t="s">
        <v>1550</v>
      </c>
      <c r="X380" s="745">
        <v>43557</v>
      </c>
      <c r="Y380" s="745">
        <v>43557</v>
      </c>
      <c r="AA380" s="745"/>
      <c r="AB380" s="714" t="s">
        <v>1079</v>
      </c>
      <c r="AC380" s="714">
        <v>0</v>
      </c>
      <c r="AD380" s="714">
        <v>0</v>
      </c>
      <c r="AE380" s="714">
        <v>0</v>
      </c>
      <c r="AF380" s="714">
        <v>0</v>
      </c>
      <c r="AG380" s="714">
        <v>0</v>
      </c>
      <c r="AH380" s="714">
        <v>1</v>
      </c>
      <c r="AI380" s="714">
        <v>70095</v>
      </c>
      <c r="AJ380" s="714">
        <v>2183</v>
      </c>
      <c r="AK380" s="714">
        <v>0</v>
      </c>
      <c r="AL380" s="714">
        <v>0</v>
      </c>
      <c r="AO380" s="748"/>
      <c r="AP380" s="748"/>
      <c r="AQ380" s="714" t="str">
        <f t="shared" si="10"/>
        <v/>
      </c>
      <c r="AS380" s="714" t="str">
        <f t="shared" si="11"/>
        <v>wci_corp</v>
      </c>
    </row>
    <row r="381" spans="2:45">
      <c r="B381" s="714" t="s">
        <v>1228</v>
      </c>
      <c r="C381" s="745">
        <v>43555</v>
      </c>
      <c r="D381" s="746">
        <v>37.92</v>
      </c>
      <c r="E381" s="746">
        <v>0</v>
      </c>
      <c r="F381" s="747" t="s">
        <v>1074</v>
      </c>
      <c r="G381" s="714" t="s">
        <v>1548</v>
      </c>
      <c r="H381" s="748" t="s">
        <v>1075</v>
      </c>
      <c r="I381" s="714" t="s">
        <v>1549</v>
      </c>
      <c r="J381" s="714" t="s">
        <v>1092</v>
      </c>
      <c r="K381" s="714" t="s">
        <v>1078</v>
      </c>
      <c r="L381" s="718"/>
      <c r="M381" s="718"/>
      <c r="N381" s="718" t="s">
        <v>1557</v>
      </c>
      <c r="O381" s="739"/>
      <c r="P381" s="718"/>
      <c r="Q381" s="718"/>
      <c r="U381" s="714" t="s">
        <v>1550</v>
      </c>
      <c r="V381" s="714" t="s">
        <v>1550</v>
      </c>
      <c r="X381" s="745">
        <v>43557</v>
      </c>
      <c r="Y381" s="745">
        <v>43557</v>
      </c>
      <c r="AA381" s="745"/>
      <c r="AB381" s="714" t="s">
        <v>1079</v>
      </c>
      <c r="AC381" s="714">
        <v>0</v>
      </c>
      <c r="AD381" s="714">
        <v>0</v>
      </c>
      <c r="AE381" s="714">
        <v>0</v>
      </c>
      <c r="AF381" s="714">
        <v>0</v>
      </c>
      <c r="AG381" s="714">
        <v>0</v>
      </c>
      <c r="AH381" s="714">
        <v>1</v>
      </c>
      <c r="AI381" s="714">
        <v>70095</v>
      </c>
      <c r="AJ381" s="714">
        <v>2183</v>
      </c>
      <c r="AK381" s="714">
        <v>0</v>
      </c>
      <c r="AL381" s="714">
        <v>0</v>
      </c>
      <c r="AO381" s="748"/>
      <c r="AP381" s="748"/>
      <c r="AQ381" s="714" t="str">
        <f t="shared" si="10"/>
        <v/>
      </c>
      <c r="AS381" s="714" t="str">
        <f t="shared" si="11"/>
        <v>wci_corp</v>
      </c>
    </row>
    <row r="382" spans="2:45">
      <c r="B382" s="714" t="s">
        <v>1228</v>
      </c>
      <c r="C382" s="745">
        <v>43555</v>
      </c>
      <c r="D382" s="746">
        <v>153.04</v>
      </c>
      <c r="E382" s="746">
        <v>0</v>
      </c>
      <c r="F382" s="747" t="s">
        <v>1074</v>
      </c>
      <c r="G382" s="714" t="s">
        <v>1548</v>
      </c>
      <c r="H382" s="748" t="s">
        <v>1075</v>
      </c>
      <c r="I382" s="714" t="s">
        <v>1549</v>
      </c>
      <c r="J382" s="714" t="s">
        <v>1092</v>
      </c>
      <c r="K382" s="714" t="s">
        <v>1078</v>
      </c>
      <c r="L382" s="718"/>
      <c r="M382" s="718"/>
      <c r="N382" s="718" t="s">
        <v>1557</v>
      </c>
      <c r="O382" s="739"/>
      <c r="P382" s="718"/>
      <c r="Q382" s="718"/>
      <c r="U382" s="714" t="s">
        <v>1550</v>
      </c>
      <c r="V382" s="714" t="s">
        <v>1550</v>
      </c>
      <c r="X382" s="745">
        <v>43557</v>
      </c>
      <c r="Y382" s="745">
        <v>43557</v>
      </c>
      <c r="AA382" s="745"/>
      <c r="AB382" s="714" t="s">
        <v>1079</v>
      </c>
      <c r="AC382" s="714">
        <v>0</v>
      </c>
      <c r="AD382" s="714">
        <v>0</v>
      </c>
      <c r="AE382" s="714">
        <v>0</v>
      </c>
      <c r="AF382" s="714">
        <v>0</v>
      </c>
      <c r="AG382" s="714">
        <v>0</v>
      </c>
      <c r="AH382" s="714">
        <v>1</v>
      </c>
      <c r="AI382" s="714">
        <v>70095</v>
      </c>
      <c r="AJ382" s="714">
        <v>2183</v>
      </c>
      <c r="AK382" s="714">
        <v>0</v>
      </c>
      <c r="AL382" s="714">
        <v>0</v>
      </c>
      <c r="AO382" s="748"/>
      <c r="AP382" s="748"/>
      <c r="AQ382" s="714" t="str">
        <f t="shared" si="10"/>
        <v/>
      </c>
      <c r="AS382" s="714" t="str">
        <f t="shared" si="11"/>
        <v>wci_corp</v>
      </c>
    </row>
    <row r="383" spans="2:45">
      <c r="B383" s="714" t="s">
        <v>1228</v>
      </c>
      <c r="C383" s="745">
        <v>43555</v>
      </c>
      <c r="D383" s="746">
        <v>23.95</v>
      </c>
      <c r="E383" s="746">
        <v>0</v>
      </c>
      <c r="F383" s="747" t="s">
        <v>1074</v>
      </c>
      <c r="G383" s="714" t="s">
        <v>1548</v>
      </c>
      <c r="H383" s="748" t="s">
        <v>1075</v>
      </c>
      <c r="I383" s="714" t="s">
        <v>1549</v>
      </c>
      <c r="J383" s="714" t="s">
        <v>1092</v>
      </c>
      <c r="K383" s="714" t="s">
        <v>1078</v>
      </c>
      <c r="L383" s="718"/>
      <c r="M383" s="718"/>
      <c r="N383" s="718" t="s">
        <v>1557</v>
      </c>
      <c r="O383" s="739"/>
      <c r="P383" s="718"/>
      <c r="Q383" s="718"/>
      <c r="U383" s="714" t="s">
        <v>1550</v>
      </c>
      <c r="V383" s="714" t="s">
        <v>1550</v>
      </c>
      <c r="X383" s="745">
        <v>43557</v>
      </c>
      <c r="Y383" s="745">
        <v>43557</v>
      </c>
      <c r="AA383" s="745"/>
      <c r="AB383" s="714" t="s">
        <v>1079</v>
      </c>
      <c r="AC383" s="714">
        <v>0</v>
      </c>
      <c r="AD383" s="714">
        <v>0</v>
      </c>
      <c r="AE383" s="714">
        <v>0</v>
      </c>
      <c r="AF383" s="714">
        <v>0</v>
      </c>
      <c r="AG383" s="714">
        <v>0</v>
      </c>
      <c r="AH383" s="714">
        <v>1</v>
      </c>
      <c r="AI383" s="714">
        <v>70095</v>
      </c>
      <c r="AJ383" s="714">
        <v>2183</v>
      </c>
      <c r="AK383" s="714">
        <v>0</v>
      </c>
      <c r="AL383" s="714">
        <v>0</v>
      </c>
      <c r="AO383" s="748"/>
      <c r="AP383" s="748"/>
      <c r="AQ383" s="714" t="str">
        <f t="shared" si="10"/>
        <v/>
      </c>
      <c r="AS383" s="714" t="str">
        <f t="shared" si="11"/>
        <v>wci_corp</v>
      </c>
    </row>
    <row r="384" spans="2:45">
      <c r="B384" s="714" t="s">
        <v>1228</v>
      </c>
      <c r="C384" s="745">
        <v>43555</v>
      </c>
      <c r="D384" s="746">
        <v>291.88</v>
      </c>
      <c r="E384" s="746">
        <v>0</v>
      </c>
      <c r="F384" s="747" t="s">
        <v>1074</v>
      </c>
      <c r="G384" s="714" t="s">
        <v>1548</v>
      </c>
      <c r="H384" s="748" t="s">
        <v>1075</v>
      </c>
      <c r="I384" s="714" t="s">
        <v>1549</v>
      </c>
      <c r="J384" s="714" t="s">
        <v>1092</v>
      </c>
      <c r="K384" s="714" t="s">
        <v>1078</v>
      </c>
      <c r="L384" s="718"/>
      <c r="M384" s="718"/>
      <c r="N384" s="718" t="s">
        <v>1259</v>
      </c>
      <c r="O384" s="739"/>
      <c r="P384" s="718"/>
      <c r="Q384" s="718"/>
      <c r="U384" s="714" t="s">
        <v>1550</v>
      </c>
      <c r="V384" s="714" t="s">
        <v>1550</v>
      </c>
      <c r="X384" s="745">
        <v>43557</v>
      </c>
      <c r="Y384" s="745">
        <v>43557</v>
      </c>
      <c r="AA384" s="745"/>
      <c r="AB384" s="714" t="s">
        <v>1079</v>
      </c>
      <c r="AC384" s="714">
        <v>0</v>
      </c>
      <c r="AD384" s="714">
        <v>0</v>
      </c>
      <c r="AE384" s="714">
        <v>0</v>
      </c>
      <c r="AF384" s="714">
        <v>0</v>
      </c>
      <c r="AG384" s="714">
        <v>0</v>
      </c>
      <c r="AH384" s="714">
        <v>1</v>
      </c>
      <c r="AI384" s="714">
        <v>70095</v>
      </c>
      <c r="AJ384" s="714">
        <v>2183</v>
      </c>
      <c r="AK384" s="714">
        <v>0</v>
      </c>
      <c r="AL384" s="714">
        <v>0</v>
      </c>
      <c r="AO384" s="748"/>
      <c r="AP384" s="748"/>
      <c r="AQ384" s="714" t="str">
        <f t="shared" si="10"/>
        <v/>
      </c>
      <c r="AS384" s="714" t="str">
        <f t="shared" si="11"/>
        <v>wci_corp</v>
      </c>
    </row>
    <row r="385" spans="2:45">
      <c r="B385" s="714" t="s">
        <v>1228</v>
      </c>
      <c r="C385" s="745">
        <v>43555</v>
      </c>
      <c r="D385" s="746">
        <v>126.72</v>
      </c>
      <c r="E385" s="746">
        <v>0</v>
      </c>
      <c r="F385" s="747" t="s">
        <v>1074</v>
      </c>
      <c r="G385" s="714" t="s">
        <v>1548</v>
      </c>
      <c r="H385" s="748" t="s">
        <v>1075</v>
      </c>
      <c r="I385" s="714" t="s">
        <v>1549</v>
      </c>
      <c r="J385" s="714" t="s">
        <v>1092</v>
      </c>
      <c r="K385" s="714" t="s">
        <v>1078</v>
      </c>
      <c r="L385" s="718"/>
      <c r="M385" s="718"/>
      <c r="N385" s="718" t="s">
        <v>1288</v>
      </c>
      <c r="O385" s="739"/>
      <c r="P385" s="718"/>
      <c r="Q385" s="718"/>
      <c r="U385" s="714" t="s">
        <v>1550</v>
      </c>
      <c r="V385" s="714" t="s">
        <v>1550</v>
      </c>
      <c r="X385" s="745">
        <v>43557</v>
      </c>
      <c r="Y385" s="745">
        <v>43557</v>
      </c>
      <c r="AA385" s="745"/>
      <c r="AB385" s="714" t="s">
        <v>1079</v>
      </c>
      <c r="AC385" s="714">
        <v>0</v>
      </c>
      <c r="AD385" s="714">
        <v>0</v>
      </c>
      <c r="AE385" s="714">
        <v>0</v>
      </c>
      <c r="AF385" s="714">
        <v>0</v>
      </c>
      <c r="AG385" s="714">
        <v>0</v>
      </c>
      <c r="AH385" s="714">
        <v>1</v>
      </c>
      <c r="AI385" s="714">
        <v>70095</v>
      </c>
      <c r="AJ385" s="714">
        <v>2183</v>
      </c>
      <c r="AK385" s="714">
        <v>0</v>
      </c>
      <c r="AL385" s="714">
        <v>0</v>
      </c>
      <c r="AO385" s="748"/>
      <c r="AP385" s="748"/>
      <c r="AQ385" s="714" t="str">
        <f t="shared" si="10"/>
        <v/>
      </c>
      <c r="AS385" s="714" t="str">
        <f t="shared" si="11"/>
        <v>wci_corp</v>
      </c>
    </row>
    <row r="386" spans="2:45">
      <c r="B386" s="714" t="s">
        <v>1228</v>
      </c>
      <c r="C386" s="745">
        <v>43555</v>
      </c>
      <c r="D386" s="746">
        <v>90.36</v>
      </c>
      <c r="E386" s="746">
        <v>0</v>
      </c>
      <c r="F386" s="747" t="s">
        <v>1074</v>
      </c>
      <c r="G386" s="714" t="s">
        <v>1548</v>
      </c>
      <c r="H386" s="748" t="s">
        <v>1075</v>
      </c>
      <c r="I386" s="714" t="s">
        <v>1549</v>
      </c>
      <c r="J386" s="714" t="s">
        <v>1092</v>
      </c>
      <c r="K386" s="714" t="s">
        <v>1078</v>
      </c>
      <c r="L386" s="718"/>
      <c r="M386" s="718"/>
      <c r="N386" s="718" t="s">
        <v>1426</v>
      </c>
      <c r="O386" s="739"/>
      <c r="P386" s="718"/>
      <c r="Q386" s="718"/>
      <c r="U386" s="714" t="s">
        <v>1550</v>
      </c>
      <c r="V386" s="714" t="s">
        <v>1550</v>
      </c>
      <c r="X386" s="745">
        <v>43557</v>
      </c>
      <c r="Y386" s="745">
        <v>43557</v>
      </c>
      <c r="AA386" s="745"/>
      <c r="AB386" s="714" t="s">
        <v>1079</v>
      </c>
      <c r="AC386" s="714">
        <v>0</v>
      </c>
      <c r="AD386" s="714">
        <v>0</v>
      </c>
      <c r="AE386" s="714">
        <v>0</v>
      </c>
      <c r="AF386" s="714">
        <v>0</v>
      </c>
      <c r="AG386" s="714">
        <v>0</v>
      </c>
      <c r="AH386" s="714">
        <v>1</v>
      </c>
      <c r="AI386" s="714">
        <v>70095</v>
      </c>
      <c r="AJ386" s="714">
        <v>2183</v>
      </c>
      <c r="AK386" s="714">
        <v>0</v>
      </c>
      <c r="AL386" s="714">
        <v>0</v>
      </c>
      <c r="AO386" s="748"/>
      <c r="AP386" s="748"/>
      <c r="AQ386" s="714" t="str">
        <f t="shared" si="10"/>
        <v/>
      </c>
      <c r="AS386" s="714" t="str">
        <f t="shared" si="11"/>
        <v>wci_corp</v>
      </c>
    </row>
    <row r="387" spans="2:45">
      <c r="B387" s="714" t="s">
        <v>1228</v>
      </c>
      <c r="C387" s="745">
        <v>43555</v>
      </c>
      <c r="D387" s="746">
        <v>300</v>
      </c>
      <c r="E387" s="746">
        <v>0</v>
      </c>
      <c r="F387" s="747" t="s">
        <v>1074</v>
      </c>
      <c r="G387" s="714" t="s">
        <v>1213</v>
      </c>
      <c r="H387" s="748" t="s">
        <v>1075</v>
      </c>
      <c r="I387" s="714" t="s">
        <v>1081</v>
      </c>
      <c r="J387" s="714" t="s">
        <v>1092</v>
      </c>
      <c r="K387" s="714" t="s">
        <v>1078</v>
      </c>
      <c r="L387" s="718"/>
      <c r="M387" s="718"/>
      <c r="N387" s="718" t="s">
        <v>1558</v>
      </c>
      <c r="O387" s="739"/>
      <c r="P387" s="718"/>
      <c r="Q387" s="718"/>
      <c r="U387" s="714" t="s">
        <v>1215</v>
      </c>
      <c r="V387" s="714" t="s">
        <v>1215</v>
      </c>
      <c r="X387" s="745">
        <v>43559</v>
      </c>
      <c r="Y387" s="745">
        <v>43560</v>
      </c>
      <c r="AA387" s="745"/>
      <c r="AB387" s="714" t="s">
        <v>1079</v>
      </c>
      <c r="AC387" s="714">
        <v>0</v>
      </c>
      <c r="AD387" s="714">
        <v>0</v>
      </c>
      <c r="AE387" s="714">
        <v>0</v>
      </c>
      <c r="AF387" s="714">
        <v>0</v>
      </c>
      <c r="AG387" s="714">
        <v>0</v>
      </c>
      <c r="AH387" s="714">
        <v>1</v>
      </c>
      <c r="AI387" s="714">
        <v>70095</v>
      </c>
      <c r="AJ387" s="714">
        <v>2183</v>
      </c>
      <c r="AK387" s="714">
        <v>0</v>
      </c>
      <c r="AL387" s="714">
        <v>0</v>
      </c>
      <c r="AO387" s="748"/>
      <c r="AP387" s="748"/>
      <c r="AQ387" s="714" t="str">
        <f t="shared" si="10"/>
        <v/>
      </c>
      <c r="AS387" s="714" t="str">
        <f t="shared" si="11"/>
        <v>wci_corp</v>
      </c>
    </row>
    <row r="388" spans="2:45">
      <c r="B388" s="714" t="s">
        <v>1228</v>
      </c>
      <c r="C388" s="745">
        <v>43555</v>
      </c>
      <c r="D388" s="746">
        <v>-1250</v>
      </c>
      <c r="E388" s="746">
        <v>0</v>
      </c>
      <c r="F388" s="747" t="s">
        <v>1074</v>
      </c>
      <c r="G388" s="714" t="s">
        <v>1213</v>
      </c>
      <c r="H388" s="748" t="s">
        <v>1075</v>
      </c>
      <c r="I388" s="714" t="s">
        <v>1081</v>
      </c>
      <c r="J388" s="714" t="s">
        <v>1092</v>
      </c>
      <c r="K388" s="714" t="s">
        <v>1078</v>
      </c>
      <c r="L388" s="718"/>
      <c r="M388" s="718"/>
      <c r="N388" s="718" t="s">
        <v>1559</v>
      </c>
      <c r="O388" s="739"/>
      <c r="P388" s="718"/>
      <c r="Q388" s="718"/>
      <c r="U388" s="714" t="s">
        <v>1215</v>
      </c>
      <c r="V388" s="714" t="s">
        <v>1215</v>
      </c>
      <c r="X388" s="745">
        <v>43559</v>
      </c>
      <c r="Y388" s="745">
        <v>43560</v>
      </c>
      <c r="AA388" s="745"/>
      <c r="AB388" s="714" t="s">
        <v>1079</v>
      </c>
      <c r="AC388" s="714">
        <v>0</v>
      </c>
      <c r="AD388" s="714">
        <v>0</v>
      </c>
      <c r="AE388" s="714">
        <v>0</v>
      </c>
      <c r="AF388" s="714">
        <v>0</v>
      </c>
      <c r="AG388" s="714">
        <v>0</v>
      </c>
      <c r="AH388" s="714">
        <v>1</v>
      </c>
      <c r="AI388" s="714">
        <v>70095</v>
      </c>
      <c r="AJ388" s="714">
        <v>2183</v>
      </c>
      <c r="AK388" s="714">
        <v>0</v>
      </c>
      <c r="AL388" s="714">
        <v>0</v>
      </c>
      <c r="AO388" s="748"/>
      <c r="AP388" s="748"/>
      <c r="AQ388" s="714" t="str">
        <f t="shared" si="10"/>
        <v/>
      </c>
      <c r="AS388" s="714" t="str">
        <f t="shared" si="11"/>
        <v>wci_corp</v>
      </c>
    </row>
    <row r="389" spans="2:45">
      <c r="B389" s="714" t="s">
        <v>1228</v>
      </c>
      <c r="C389" s="745">
        <v>43555</v>
      </c>
      <c r="D389" s="746">
        <v>1250</v>
      </c>
      <c r="E389" s="746">
        <v>0</v>
      </c>
      <c r="F389" s="747" t="s">
        <v>1074</v>
      </c>
      <c r="G389" s="714" t="s">
        <v>1213</v>
      </c>
      <c r="H389" s="748" t="s">
        <v>1075</v>
      </c>
      <c r="I389" s="714" t="s">
        <v>1081</v>
      </c>
      <c r="J389" s="714" t="s">
        <v>1092</v>
      </c>
      <c r="K389" s="714" t="s">
        <v>1078</v>
      </c>
      <c r="L389" s="718"/>
      <c r="M389" s="718"/>
      <c r="N389" s="718" t="s">
        <v>1559</v>
      </c>
      <c r="O389" s="739"/>
      <c r="P389" s="718"/>
      <c r="Q389" s="718"/>
      <c r="U389" s="714" t="s">
        <v>1215</v>
      </c>
      <c r="V389" s="714" t="s">
        <v>1215</v>
      </c>
      <c r="X389" s="745">
        <v>43559</v>
      </c>
      <c r="Y389" s="745">
        <v>43560</v>
      </c>
      <c r="AA389" s="745"/>
      <c r="AB389" s="714" t="s">
        <v>1079</v>
      </c>
      <c r="AC389" s="714">
        <v>0</v>
      </c>
      <c r="AD389" s="714">
        <v>0</v>
      </c>
      <c r="AE389" s="714">
        <v>0</v>
      </c>
      <c r="AF389" s="714">
        <v>0</v>
      </c>
      <c r="AG389" s="714">
        <v>0</v>
      </c>
      <c r="AH389" s="714">
        <v>1</v>
      </c>
      <c r="AI389" s="714">
        <v>70095</v>
      </c>
      <c r="AJ389" s="714">
        <v>2183</v>
      </c>
      <c r="AK389" s="714">
        <v>0</v>
      </c>
      <c r="AL389" s="714">
        <v>0</v>
      </c>
      <c r="AO389" s="748"/>
      <c r="AP389" s="748"/>
      <c r="AQ389" s="714" t="str">
        <f t="shared" si="10"/>
        <v/>
      </c>
      <c r="AS389" s="714" t="str">
        <f t="shared" si="11"/>
        <v>wci_corp</v>
      </c>
    </row>
    <row r="390" spans="2:45">
      <c r="B390" s="714" t="s">
        <v>1228</v>
      </c>
      <c r="C390" s="745">
        <v>43555</v>
      </c>
      <c r="D390" s="746">
        <v>250</v>
      </c>
      <c r="E390" s="746">
        <v>0</v>
      </c>
      <c r="F390" s="747" t="s">
        <v>1074</v>
      </c>
      <c r="G390" s="714" t="s">
        <v>1213</v>
      </c>
      <c r="H390" s="748" t="s">
        <v>1075</v>
      </c>
      <c r="I390" s="714" t="s">
        <v>1081</v>
      </c>
      <c r="J390" s="714" t="s">
        <v>1092</v>
      </c>
      <c r="K390" s="714" t="s">
        <v>1078</v>
      </c>
      <c r="L390" s="718"/>
      <c r="M390" s="718"/>
      <c r="N390" s="718" t="s">
        <v>1560</v>
      </c>
      <c r="O390" s="739"/>
      <c r="P390" s="718"/>
      <c r="Q390" s="718"/>
      <c r="U390" s="714" t="s">
        <v>1215</v>
      </c>
      <c r="V390" s="714" t="s">
        <v>1215</v>
      </c>
      <c r="X390" s="745">
        <v>43559</v>
      </c>
      <c r="Y390" s="745">
        <v>43560</v>
      </c>
      <c r="AA390" s="745"/>
      <c r="AB390" s="714" t="s">
        <v>1079</v>
      </c>
      <c r="AC390" s="714">
        <v>0</v>
      </c>
      <c r="AD390" s="714">
        <v>0</v>
      </c>
      <c r="AE390" s="714">
        <v>0</v>
      </c>
      <c r="AF390" s="714">
        <v>0</v>
      </c>
      <c r="AG390" s="714">
        <v>0</v>
      </c>
      <c r="AH390" s="714">
        <v>1</v>
      </c>
      <c r="AI390" s="714">
        <v>70095</v>
      </c>
      <c r="AJ390" s="714">
        <v>2183</v>
      </c>
      <c r="AK390" s="714">
        <v>0</v>
      </c>
      <c r="AL390" s="714">
        <v>0</v>
      </c>
      <c r="AO390" s="748"/>
      <c r="AP390" s="748"/>
      <c r="AQ390" s="714" t="str">
        <f t="shared" si="10"/>
        <v/>
      </c>
      <c r="AS390" s="714" t="str">
        <f t="shared" si="11"/>
        <v>wci_corp</v>
      </c>
    </row>
    <row r="391" spans="2:45">
      <c r="B391" s="714" t="s">
        <v>1228</v>
      </c>
      <c r="C391" s="745">
        <v>43555</v>
      </c>
      <c r="D391" s="746">
        <v>1608.86</v>
      </c>
      <c r="E391" s="746">
        <v>0</v>
      </c>
      <c r="F391" s="747" t="s">
        <v>1074</v>
      </c>
      <c r="G391" s="714" t="s">
        <v>1213</v>
      </c>
      <c r="H391" s="748" t="s">
        <v>1075</v>
      </c>
      <c r="I391" s="714" t="s">
        <v>1081</v>
      </c>
      <c r="J391" s="714" t="s">
        <v>1092</v>
      </c>
      <c r="K391" s="714" t="s">
        <v>1078</v>
      </c>
      <c r="L391" s="718"/>
      <c r="M391" s="718"/>
      <c r="N391" s="718" t="s">
        <v>1561</v>
      </c>
      <c r="O391" s="739"/>
      <c r="P391" s="718"/>
      <c r="Q391" s="718"/>
      <c r="U391" s="714" t="s">
        <v>1215</v>
      </c>
      <c r="V391" s="714" t="s">
        <v>1215</v>
      </c>
      <c r="X391" s="745">
        <v>43559</v>
      </c>
      <c r="Y391" s="745">
        <v>43560</v>
      </c>
      <c r="AA391" s="745"/>
      <c r="AB391" s="714" t="s">
        <v>1079</v>
      </c>
      <c r="AC391" s="714">
        <v>0</v>
      </c>
      <c r="AD391" s="714">
        <v>0</v>
      </c>
      <c r="AE391" s="714">
        <v>0</v>
      </c>
      <c r="AF391" s="714">
        <v>0</v>
      </c>
      <c r="AG391" s="714">
        <v>0</v>
      </c>
      <c r="AH391" s="714">
        <v>1</v>
      </c>
      <c r="AI391" s="714">
        <v>70095</v>
      </c>
      <c r="AJ391" s="714">
        <v>2183</v>
      </c>
      <c r="AK391" s="714">
        <v>0</v>
      </c>
      <c r="AL391" s="714">
        <v>0</v>
      </c>
      <c r="AO391" s="748"/>
      <c r="AP391" s="748"/>
      <c r="AQ391" s="714" t="str">
        <f t="shared" si="10"/>
        <v/>
      </c>
      <c r="AS391" s="714" t="str">
        <f t="shared" si="11"/>
        <v>wci_corp</v>
      </c>
    </row>
    <row r="392" spans="2:45">
      <c r="B392" s="714" t="s">
        <v>1228</v>
      </c>
      <c r="C392" s="745">
        <v>43555</v>
      </c>
      <c r="D392" s="746">
        <v>26.98</v>
      </c>
      <c r="E392" s="746">
        <v>0</v>
      </c>
      <c r="F392" s="747" t="s">
        <v>1074</v>
      </c>
      <c r="G392" s="714" t="s">
        <v>1216</v>
      </c>
      <c r="H392" s="748" t="s">
        <v>1075</v>
      </c>
      <c r="I392" s="714" t="s">
        <v>1131</v>
      </c>
      <c r="J392" s="714" t="s">
        <v>1092</v>
      </c>
      <c r="K392" s="714" t="s">
        <v>1078</v>
      </c>
      <c r="L392" s="718"/>
      <c r="M392" s="718"/>
      <c r="N392" s="718" t="s">
        <v>1259</v>
      </c>
      <c r="O392" s="739"/>
      <c r="P392" s="718"/>
      <c r="Q392" s="718"/>
      <c r="U392" s="714" t="s">
        <v>1217</v>
      </c>
      <c r="V392" s="714" t="s">
        <v>1217</v>
      </c>
      <c r="X392" s="745">
        <v>43559</v>
      </c>
      <c r="Y392" s="745">
        <v>43560</v>
      </c>
      <c r="AA392" s="745"/>
      <c r="AB392" s="714" t="s">
        <v>1079</v>
      </c>
      <c r="AC392" s="714">
        <v>0</v>
      </c>
      <c r="AD392" s="714">
        <v>0</v>
      </c>
      <c r="AE392" s="714">
        <v>0</v>
      </c>
      <c r="AF392" s="714">
        <v>0</v>
      </c>
      <c r="AG392" s="714">
        <v>0</v>
      </c>
      <c r="AH392" s="714">
        <v>1</v>
      </c>
      <c r="AI392" s="714">
        <v>70095</v>
      </c>
      <c r="AJ392" s="714">
        <v>2183</v>
      </c>
      <c r="AK392" s="714">
        <v>0</v>
      </c>
      <c r="AL392" s="714">
        <v>0</v>
      </c>
      <c r="AO392" s="748"/>
      <c r="AP392" s="748"/>
      <c r="AQ392" s="714" t="str">
        <f t="shared" si="10"/>
        <v/>
      </c>
      <c r="AS392" s="714" t="str">
        <f t="shared" si="11"/>
        <v>wci_corp</v>
      </c>
    </row>
    <row r="393" spans="2:45">
      <c r="B393" s="714" t="s">
        <v>1228</v>
      </c>
      <c r="C393" s="745">
        <v>43555</v>
      </c>
      <c r="D393" s="746">
        <v>12.66</v>
      </c>
      <c r="E393" s="746">
        <v>0</v>
      </c>
      <c r="F393" s="747" t="s">
        <v>1074</v>
      </c>
      <c r="G393" s="714" t="s">
        <v>1216</v>
      </c>
      <c r="H393" s="748" t="s">
        <v>1075</v>
      </c>
      <c r="I393" s="714" t="s">
        <v>1131</v>
      </c>
      <c r="J393" s="714" t="s">
        <v>1092</v>
      </c>
      <c r="K393" s="714" t="s">
        <v>1078</v>
      </c>
      <c r="L393" s="718"/>
      <c r="M393" s="718"/>
      <c r="N393" s="718" t="s">
        <v>1288</v>
      </c>
      <c r="O393" s="739"/>
      <c r="P393" s="718"/>
      <c r="Q393" s="718"/>
      <c r="U393" s="714" t="s">
        <v>1217</v>
      </c>
      <c r="V393" s="714" t="s">
        <v>1217</v>
      </c>
      <c r="X393" s="745">
        <v>43559</v>
      </c>
      <c r="Y393" s="745">
        <v>43560</v>
      </c>
      <c r="AA393" s="745"/>
      <c r="AB393" s="714" t="s">
        <v>1079</v>
      </c>
      <c r="AC393" s="714">
        <v>0</v>
      </c>
      <c r="AD393" s="714">
        <v>0</v>
      </c>
      <c r="AE393" s="714">
        <v>0</v>
      </c>
      <c r="AF393" s="714">
        <v>0</v>
      </c>
      <c r="AG393" s="714">
        <v>0</v>
      </c>
      <c r="AH393" s="714">
        <v>1</v>
      </c>
      <c r="AI393" s="714">
        <v>70095</v>
      </c>
      <c r="AJ393" s="714">
        <v>2183</v>
      </c>
      <c r="AK393" s="714">
        <v>0</v>
      </c>
      <c r="AL393" s="714">
        <v>0</v>
      </c>
      <c r="AO393" s="748"/>
      <c r="AP393" s="748"/>
      <c r="AQ393" s="714" t="str">
        <f t="shared" si="10"/>
        <v/>
      </c>
      <c r="AS393" s="714" t="str">
        <f t="shared" si="11"/>
        <v>wci_corp</v>
      </c>
    </row>
    <row r="394" spans="2:45">
      <c r="B394" s="714" t="s">
        <v>1228</v>
      </c>
      <c r="C394" s="745">
        <v>43555</v>
      </c>
      <c r="D394" s="746">
        <v>87.68</v>
      </c>
      <c r="E394" s="746">
        <v>0</v>
      </c>
      <c r="F394" s="747" t="s">
        <v>1074</v>
      </c>
      <c r="G394" s="714" t="s">
        <v>1216</v>
      </c>
      <c r="H394" s="748" t="s">
        <v>1075</v>
      </c>
      <c r="I394" s="714" t="s">
        <v>1131</v>
      </c>
      <c r="J394" s="714" t="s">
        <v>1092</v>
      </c>
      <c r="K394" s="714" t="s">
        <v>1078</v>
      </c>
      <c r="L394" s="718"/>
      <c r="M394" s="718"/>
      <c r="N394" s="718" t="s">
        <v>1392</v>
      </c>
      <c r="O394" s="739"/>
      <c r="P394" s="718"/>
      <c r="Q394" s="718"/>
      <c r="U394" s="714" t="s">
        <v>1217</v>
      </c>
      <c r="V394" s="714" t="s">
        <v>1217</v>
      </c>
      <c r="X394" s="745">
        <v>43559</v>
      </c>
      <c r="Y394" s="745">
        <v>43560</v>
      </c>
      <c r="AA394" s="745"/>
      <c r="AB394" s="714" t="s">
        <v>1079</v>
      </c>
      <c r="AC394" s="714">
        <v>0</v>
      </c>
      <c r="AD394" s="714">
        <v>0</v>
      </c>
      <c r="AE394" s="714">
        <v>0</v>
      </c>
      <c r="AF394" s="714">
        <v>0</v>
      </c>
      <c r="AG394" s="714">
        <v>0</v>
      </c>
      <c r="AH394" s="714">
        <v>1</v>
      </c>
      <c r="AI394" s="714">
        <v>70095</v>
      </c>
      <c r="AJ394" s="714">
        <v>2183</v>
      </c>
      <c r="AK394" s="714">
        <v>0</v>
      </c>
      <c r="AL394" s="714">
        <v>0</v>
      </c>
      <c r="AO394" s="748"/>
      <c r="AP394" s="748"/>
      <c r="AQ394" s="714" t="str">
        <f t="shared" si="10"/>
        <v/>
      </c>
      <c r="AS394" s="714" t="str">
        <f t="shared" si="11"/>
        <v>wci_corp</v>
      </c>
    </row>
    <row r="395" spans="2:45">
      <c r="B395" s="714" t="s">
        <v>1228</v>
      </c>
      <c r="C395" s="745">
        <v>43559</v>
      </c>
      <c r="D395" s="746">
        <v>1250</v>
      </c>
      <c r="E395" s="746">
        <v>0</v>
      </c>
      <c r="F395" s="747" t="s">
        <v>1074</v>
      </c>
      <c r="G395" s="714" t="s">
        <v>1562</v>
      </c>
      <c r="H395" s="748" t="s">
        <v>1075</v>
      </c>
      <c r="I395" s="714" t="s">
        <v>1076</v>
      </c>
      <c r="J395" s="714" t="s">
        <v>1077</v>
      </c>
      <c r="K395" s="714" t="s">
        <v>1078</v>
      </c>
      <c r="L395" s="718" t="s">
        <v>1269</v>
      </c>
      <c r="M395" s="718"/>
      <c r="N395" s="718" t="s">
        <v>1270</v>
      </c>
      <c r="O395" s="739">
        <v>43546</v>
      </c>
      <c r="P395" s="718" t="s">
        <v>1563</v>
      </c>
      <c r="Q395" s="718">
        <v>851</v>
      </c>
      <c r="R395" s="714" t="s">
        <v>1564</v>
      </c>
      <c r="U395" s="714" t="s">
        <v>1565</v>
      </c>
      <c r="V395" s="714" t="s">
        <v>1566</v>
      </c>
      <c r="W395" s="714" t="s">
        <v>1528</v>
      </c>
      <c r="X395" s="745">
        <v>43559</v>
      </c>
      <c r="Y395" s="745">
        <v>43559</v>
      </c>
      <c r="Z395" s="714">
        <v>1250</v>
      </c>
      <c r="AA395" s="745">
        <v>43556</v>
      </c>
      <c r="AB395" s="714" t="s">
        <v>1079</v>
      </c>
      <c r="AC395" s="714">
        <v>0</v>
      </c>
      <c r="AD395" s="714">
        <v>0</v>
      </c>
      <c r="AE395" s="714">
        <v>0</v>
      </c>
      <c r="AF395" s="714">
        <v>0</v>
      </c>
      <c r="AG395" s="714">
        <v>0</v>
      </c>
      <c r="AH395" s="714">
        <v>1</v>
      </c>
      <c r="AI395" s="714">
        <v>70095</v>
      </c>
      <c r="AJ395" s="714">
        <v>2183</v>
      </c>
      <c r="AK395" s="714">
        <v>0</v>
      </c>
      <c r="AL395" s="714">
        <v>0</v>
      </c>
      <c r="AO395" s="748"/>
      <c r="AP395" s="748"/>
      <c r="AQ395" s="714" t="str">
        <f t="shared" si="10"/>
        <v>VO04973493</v>
      </c>
      <c r="AS395" s="714" t="str">
        <f t="shared" si="11"/>
        <v>wci_corp</v>
      </c>
    </row>
    <row r="396" spans="2:45">
      <c r="B396" s="714" t="s">
        <v>1228</v>
      </c>
      <c r="C396" s="745">
        <v>43585</v>
      </c>
      <c r="D396" s="746">
        <v>-300</v>
      </c>
      <c r="E396" s="746">
        <v>0</v>
      </c>
      <c r="F396" s="747" t="s">
        <v>1074</v>
      </c>
      <c r="G396" s="714" t="s">
        <v>1218</v>
      </c>
      <c r="H396" s="748" t="s">
        <v>1075</v>
      </c>
      <c r="I396" s="714" t="s">
        <v>1081</v>
      </c>
      <c r="J396" s="714" t="s">
        <v>1082</v>
      </c>
      <c r="K396" s="714" t="s">
        <v>1078</v>
      </c>
      <c r="L396" s="718"/>
      <c r="M396" s="718"/>
      <c r="N396" s="718" t="s">
        <v>1558</v>
      </c>
      <c r="O396" s="739"/>
      <c r="P396" s="718"/>
      <c r="Q396" s="718"/>
      <c r="U396" s="714" t="s">
        <v>1215</v>
      </c>
      <c r="V396" s="714" t="s">
        <v>1219</v>
      </c>
      <c r="X396" s="745">
        <v>43560</v>
      </c>
      <c r="Y396" s="745">
        <v>43560</v>
      </c>
      <c r="AA396" s="745"/>
      <c r="AB396" s="714" t="s">
        <v>1079</v>
      </c>
      <c r="AC396" s="714">
        <v>0</v>
      </c>
      <c r="AD396" s="714">
        <v>0</v>
      </c>
      <c r="AE396" s="714">
        <v>0</v>
      </c>
      <c r="AF396" s="714">
        <v>0</v>
      </c>
      <c r="AG396" s="714">
        <v>5</v>
      </c>
      <c r="AH396" s="714">
        <v>1</v>
      </c>
      <c r="AI396" s="714">
        <v>70095</v>
      </c>
      <c r="AJ396" s="714">
        <v>2183</v>
      </c>
      <c r="AK396" s="714">
        <v>0</v>
      </c>
      <c r="AL396" s="714">
        <v>0</v>
      </c>
      <c r="AO396" s="748"/>
      <c r="AP396" s="748"/>
      <c r="AQ396" s="714" t="str">
        <f t="shared" si="10"/>
        <v/>
      </c>
      <c r="AS396" s="714" t="str">
        <f t="shared" si="11"/>
        <v>wci_corp</v>
      </c>
    </row>
    <row r="397" spans="2:45">
      <c r="B397" s="714" t="s">
        <v>1228</v>
      </c>
      <c r="C397" s="745">
        <v>43585</v>
      </c>
      <c r="D397" s="746">
        <v>1250</v>
      </c>
      <c r="E397" s="746">
        <v>0</v>
      </c>
      <c r="F397" s="747" t="s">
        <v>1074</v>
      </c>
      <c r="G397" s="714" t="s">
        <v>1218</v>
      </c>
      <c r="H397" s="748" t="s">
        <v>1075</v>
      </c>
      <c r="I397" s="714" t="s">
        <v>1081</v>
      </c>
      <c r="J397" s="714" t="s">
        <v>1082</v>
      </c>
      <c r="K397" s="714" t="s">
        <v>1078</v>
      </c>
      <c r="L397" s="718"/>
      <c r="M397" s="718"/>
      <c r="N397" s="718" t="s">
        <v>1559</v>
      </c>
      <c r="O397" s="739"/>
      <c r="P397" s="718"/>
      <c r="Q397" s="718"/>
      <c r="U397" s="714" t="s">
        <v>1215</v>
      </c>
      <c r="V397" s="714" t="s">
        <v>1219</v>
      </c>
      <c r="X397" s="745">
        <v>43560</v>
      </c>
      <c r="Y397" s="745">
        <v>43560</v>
      </c>
      <c r="AA397" s="745"/>
      <c r="AB397" s="714" t="s">
        <v>1079</v>
      </c>
      <c r="AC397" s="714">
        <v>0</v>
      </c>
      <c r="AD397" s="714">
        <v>0</v>
      </c>
      <c r="AE397" s="714">
        <v>0</v>
      </c>
      <c r="AF397" s="714">
        <v>0</v>
      </c>
      <c r="AG397" s="714">
        <v>5</v>
      </c>
      <c r="AH397" s="714">
        <v>1</v>
      </c>
      <c r="AI397" s="714">
        <v>70095</v>
      </c>
      <c r="AJ397" s="714">
        <v>2183</v>
      </c>
      <c r="AK397" s="714">
        <v>0</v>
      </c>
      <c r="AL397" s="714">
        <v>0</v>
      </c>
      <c r="AO397" s="748"/>
      <c r="AP397" s="748"/>
      <c r="AQ397" s="714" t="str">
        <f t="shared" si="10"/>
        <v/>
      </c>
      <c r="AS397" s="714" t="str">
        <f t="shared" si="11"/>
        <v>wci_corp</v>
      </c>
    </row>
    <row r="398" spans="2:45">
      <c r="B398" s="714" t="s">
        <v>1228</v>
      </c>
      <c r="C398" s="745">
        <v>43585</v>
      </c>
      <c r="D398" s="746">
        <v>-1250</v>
      </c>
      <c r="E398" s="746">
        <v>0</v>
      </c>
      <c r="F398" s="747" t="s">
        <v>1074</v>
      </c>
      <c r="G398" s="714" t="s">
        <v>1218</v>
      </c>
      <c r="H398" s="748" t="s">
        <v>1075</v>
      </c>
      <c r="I398" s="714" t="s">
        <v>1081</v>
      </c>
      <c r="J398" s="714" t="s">
        <v>1082</v>
      </c>
      <c r="K398" s="714" t="s">
        <v>1078</v>
      </c>
      <c r="L398" s="718"/>
      <c r="M398" s="718"/>
      <c r="N398" s="718" t="s">
        <v>1559</v>
      </c>
      <c r="O398" s="739"/>
      <c r="P398" s="718"/>
      <c r="Q398" s="718"/>
      <c r="U398" s="714" t="s">
        <v>1215</v>
      </c>
      <c r="V398" s="714" t="s">
        <v>1219</v>
      </c>
      <c r="X398" s="745">
        <v>43560</v>
      </c>
      <c r="Y398" s="745">
        <v>43560</v>
      </c>
      <c r="AA398" s="745"/>
      <c r="AB398" s="714" t="s">
        <v>1079</v>
      </c>
      <c r="AC398" s="714">
        <v>0</v>
      </c>
      <c r="AD398" s="714">
        <v>0</v>
      </c>
      <c r="AE398" s="714">
        <v>0</v>
      </c>
      <c r="AF398" s="714">
        <v>0</v>
      </c>
      <c r="AG398" s="714">
        <v>5</v>
      </c>
      <c r="AH398" s="714">
        <v>1</v>
      </c>
      <c r="AI398" s="714">
        <v>70095</v>
      </c>
      <c r="AJ398" s="714">
        <v>2183</v>
      </c>
      <c r="AK398" s="714">
        <v>0</v>
      </c>
      <c r="AL398" s="714">
        <v>0</v>
      </c>
      <c r="AO398" s="748"/>
      <c r="AP398" s="748"/>
      <c r="AQ398" s="714" t="str">
        <f t="shared" si="10"/>
        <v/>
      </c>
      <c r="AS398" s="714" t="str">
        <f t="shared" si="11"/>
        <v>wci_corp</v>
      </c>
    </row>
    <row r="399" spans="2:45">
      <c r="B399" s="714" t="s">
        <v>1228</v>
      </c>
      <c r="C399" s="745">
        <v>43585</v>
      </c>
      <c r="D399" s="746">
        <v>-250</v>
      </c>
      <c r="E399" s="746">
        <v>0</v>
      </c>
      <c r="F399" s="747" t="s">
        <v>1074</v>
      </c>
      <c r="G399" s="714" t="s">
        <v>1218</v>
      </c>
      <c r="H399" s="748" t="s">
        <v>1075</v>
      </c>
      <c r="I399" s="714" t="s">
        <v>1081</v>
      </c>
      <c r="J399" s="714" t="s">
        <v>1082</v>
      </c>
      <c r="K399" s="714" t="s">
        <v>1078</v>
      </c>
      <c r="L399" s="718"/>
      <c r="M399" s="718"/>
      <c r="N399" s="718" t="s">
        <v>1560</v>
      </c>
      <c r="O399" s="739"/>
      <c r="P399" s="718"/>
      <c r="Q399" s="718"/>
      <c r="U399" s="714" t="s">
        <v>1215</v>
      </c>
      <c r="V399" s="714" t="s">
        <v>1219</v>
      </c>
      <c r="X399" s="745">
        <v>43560</v>
      </c>
      <c r="Y399" s="745">
        <v>43560</v>
      </c>
      <c r="AA399" s="745"/>
      <c r="AB399" s="714" t="s">
        <v>1079</v>
      </c>
      <c r="AC399" s="714">
        <v>0</v>
      </c>
      <c r="AD399" s="714">
        <v>0</v>
      </c>
      <c r="AE399" s="714">
        <v>0</v>
      </c>
      <c r="AF399" s="714">
        <v>0</v>
      </c>
      <c r="AG399" s="714">
        <v>5</v>
      </c>
      <c r="AH399" s="714">
        <v>1</v>
      </c>
      <c r="AI399" s="714">
        <v>70095</v>
      </c>
      <c r="AJ399" s="714">
        <v>2183</v>
      </c>
      <c r="AK399" s="714">
        <v>0</v>
      </c>
      <c r="AL399" s="714">
        <v>0</v>
      </c>
      <c r="AO399" s="748"/>
      <c r="AP399" s="748"/>
      <c r="AQ399" s="714" t="str">
        <f t="shared" si="10"/>
        <v/>
      </c>
      <c r="AS399" s="714" t="str">
        <f t="shared" si="11"/>
        <v>wci_corp</v>
      </c>
    </row>
    <row r="400" spans="2:45">
      <c r="B400" s="714" t="s">
        <v>1228</v>
      </c>
      <c r="C400" s="745">
        <v>43585</v>
      </c>
      <c r="D400" s="746">
        <v>-1608.86</v>
      </c>
      <c r="E400" s="746">
        <v>0</v>
      </c>
      <c r="F400" s="747" t="s">
        <v>1074</v>
      </c>
      <c r="G400" s="714" t="s">
        <v>1218</v>
      </c>
      <c r="H400" s="748" t="s">
        <v>1075</v>
      </c>
      <c r="I400" s="714" t="s">
        <v>1081</v>
      </c>
      <c r="J400" s="714" t="s">
        <v>1082</v>
      </c>
      <c r="K400" s="714" t="s">
        <v>1078</v>
      </c>
      <c r="L400" s="718"/>
      <c r="M400" s="718"/>
      <c r="N400" s="718" t="s">
        <v>1561</v>
      </c>
      <c r="O400" s="739"/>
      <c r="P400" s="718"/>
      <c r="Q400" s="718"/>
      <c r="U400" s="714" t="s">
        <v>1215</v>
      </c>
      <c r="V400" s="714" t="s">
        <v>1219</v>
      </c>
      <c r="X400" s="745">
        <v>43560</v>
      </c>
      <c r="Y400" s="745">
        <v>43560</v>
      </c>
      <c r="AA400" s="745"/>
      <c r="AB400" s="714" t="s">
        <v>1079</v>
      </c>
      <c r="AC400" s="714">
        <v>0</v>
      </c>
      <c r="AD400" s="714">
        <v>0</v>
      </c>
      <c r="AE400" s="714">
        <v>0</v>
      </c>
      <c r="AF400" s="714">
        <v>0</v>
      </c>
      <c r="AG400" s="714">
        <v>5</v>
      </c>
      <c r="AH400" s="714">
        <v>1</v>
      </c>
      <c r="AI400" s="714">
        <v>70095</v>
      </c>
      <c r="AJ400" s="714">
        <v>2183</v>
      </c>
      <c r="AK400" s="714">
        <v>0</v>
      </c>
      <c r="AL400" s="714">
        <v>0</v>
      </c>
      <c r="AO400" s="748"/>
      <c r="AP400" s="748"/>
      <c r="AQ400" s="714" t="str">
        <f t="shared" si="10"/>
        <v/>
      </c>
      <c r="AS400" s="714" t="str">
        <f t="shared" si="11"/>
        <v>wci_corp</v>
      </c>
    </row>
    <row r="401" spans="2:45">
      <c r="B401" s="714" t="s">
        <v>1228</v>
      </c>
      <c r="C401" s="745">
        <v>43585</v>
      </c>
      <c r="D401" s="746">
        <v>-26.98</v>
      </c>
      <c r="E401" s="746">
        <v>0</v>
      </c>
      <c r="F401" s="747" t="s">
        <v>1074</v>
      </c>
      <c r="G401" s="714" t="s">
        <v>1220</v>
      </c>
      <c r="H401" s="748" t="s">
        <v>1075</v>
      </c>
      <c r="I401" s="714" t="s">
        <v>1131</v>
      </c>
      <c r="J401" s="714" t="s">
        <v>1082</v>
      </c>
      <c r="K401" s="714" t="s">
        <v>1078</v>
      </c>
      <c r="L401" s="718"/>
      <c r="M401" s="718"/>
      <c r="N401" s="718" t="s">
        <v>1259</v>
      </c>
      <c r="O401" s="739"/>
      <c r="P401" s="718"/>
      <c r="Q401" s="718"/>
      <c r="U401" s="714" t="s">
        <v>1217</v>
      </c>
      <c r="V401" s="714" t="s">
        <v>1221</v>
      </c>
      <c r="X401" s="745">
        <v>43560</v>
      </c>
      <c r="Y401" s="745">
        <v>43560</v>
      </c>
      <c r="AA401" s="745"/>
      <c r="AB401" s="714" t="s">
        <v>1079</v>
      </c>
      <c r="AC401" s="714">
        <v>0</v>
      </c>
      <c r="AD401" s="714">
        <v>0</v>
      </c>
      <c r="AE401" s="714">
        <v>0</v>
      </c>
      <c r="AF401" s="714">
        <v>0</v>
      </c>
      <c r="AG401" s="714">
        <v>5</v>
      </c>
      <c r="AH401" s="714">
        <v>1</v>
      </c>
      <c r="AI401" s="714">
        <v>70095</v>
      </c>
      <c r="AJ401" s="714">
        <v>2183</v>
      </c>
      <c r="AK401" s="714">
        <v>0</v>
      </c>
      <c r="AL401" s="714">
        <v>0</v>
      </c>
      <c r="AO401" s="748"/>
      <c r="AP401" s="748"/>
      <c r="AQ401" s="714" t="str">
        <f t="shared" si="10"/>
        <v/>
      </c>
      <c r="AS401" s="714" t="str">
        <f t="shared" si="11"/>
        <v>wci_corp</v>
      </c>
    </row>
    <row r="402" spans="2:45">
      <c r="B402" s="714" t="s">
        <v>1228</v>
      </c>
      <c r="C402" s="745">
        <v>43585</v>
      </c>
      <c r="D402" s="746">
        <v>-12.66</v>
      </c>
      <c r="E402" s="746">
        <v>0</v>
      </c>
      <c r="F402" s="747" t="s">
        <v>1074</v>
      </c>
      <c r="G402" s="714" t="s">
        <v>1220</v>
      </c>
      <c r="H402" s="748" t="s">
        <v>1075</v>
      </c>
      <c r="I402" s="714" t="s">
        <v>1131</v>
      </c>
      <c r="J402" s="714" t="s">
        <v>1082</v>
      </c>
      <c r="K402" s="714" t="s">
        <v>1078</v>
      </c>
      <c r="L402" s="718"/>
      <c r="M402" s="718"/>
      <c r="N402" s="718" t="s">
        <v>1288</v>
      </c>
      <c r="O402" s="739"/>
      <c r="P402" s="718"/>
      <c r="Q402" s="718"/>
      <c r="U402" s="714" t="s">
        <v>1217</v>
      </c>
      <c r="V402" s="714" t="s">
        <v>1221</v>
      </c>
      <c r="X402" s="745">
        <v>43560</v>
      </c>
      <c r="Y402" s="745">
        <v>43560</v>
      </c>
      <c r="AA402" s="745"/>
      <c r="AB402" s="714" t="s">
        <v>1079</v>
      </c>
      <c r="AC402" s="714">
        <v>0</v>
      </c>
      <c r="AD402" s="714">
        <v>0</v>
      </c>
      <c r="AE402" s="714">
        <v>0</v>
      </c>
      <c r="AF402" s="714">
        <v>0</v>
      </c>
      <c r="AG402" s="714">
        <v>5</v>
      </c>
      <c r="AH402" s="714">
        <v>1</v>
      </c>
      <c r="AI402" s="714">
        <v>70095</v>
      </c>
      <c r="AJ402" s="714">
        <v>2183</v>
      </c>
      <c r="AK402" s="714">
        <v>0</v>
      </c>
      <c r="AL402" s="714">
        <v>0</v>
      </c>
      <c r="AO402" s="748"/>
      <c r="AP402" s="748"/>
      <c r="AQ402" s="714" t="str">
        <f t="shared" si="10"/>
        <v/>
      </c>
      <c r="AS402" s="714" t="str">
        <f t="shared" si="11"/>
        <v>wci_corp</v>
      </c>
    </row>
    <row r="403" spans="2:45">
      <c r="B403" s="714" t="s">
        <v>1228</v>
      </c>
      <c r="C403" s="745">
        <v>43585</v>
      </c>
      <c r="D403" s="746">
        <v>-87.68</v>
      </c>
      <c r="E403" s="746">
        <v>0</v>
      </c>
      <c r="F403" s="747" t="s">
        <v>1074</v>
      </c>
      <c r="G403" s="714" t="s">
        <v>1220</v>
      </c>
      <c r="H403" s="748" t="s">
        <v>1075</v>
      </c>
      <c r="I403" s="714" t="s">
        <v>1131</v>
      </c>
      <c r="J403" s="714" t="s">
        <v>1082</v>
      </c>
      <c r="K403" s="714" t="s">
        <v>1078</v>
      </c>
      <c r="L403" s="718"/>
      <c r="M403" s="718"/>
      <c r="N403" s="718" t="s">
        <v>1392</v>
      </c>
      <c r="O403" s="739"/>
      <c r="P403" s="718"/>
      <c r="Q403" s="718"/>
      <c r="U403" s="714" t="s">
        <v>1217</v>
      </c>
      <c r="V403" s="714" t="s">
        <v>1221</v>
      </c>
      <c r="X403" s="745">
        <v>43560</v>
      </c>
      <c r="Y403" s="745">
        <v>43560</v>
      </c>
      <c r="AA403" s="745"/>
      <c r="AB403" s="714" t="s">
        <v>1079</v>
      </c>
      <c r="AC403" s="714">
        <v>0</v>
      </c>
      <c r="AD403" s="714">
        <v>0</v>
      </c>
      <c r="AE403" s="714">
        <v>0</v>
      </c>
      <c r="AF403" s="714">
        <v>0</v>
      </c>
      <c r="AG403" s="714">
        <v>5</v>
      </c>
      <c r="AH403" s="714">
        <v>1</v>
      </c>
      <c r="AI403" s="714">
        <v>70095</v>
      </c>
      <c r="AJ403" s="714">
        <v>2183</v>
      </c>
      <c r="AK403" s="714">
        <v>0</v>
      </c>
      <c r="AL403" s="714">
        <v>0</v>
      </c>
      <c r="AO403" s="748"/>
      <c r="AP403" s="748"/>
      <c r="AQ403" s="714" t="str">
        <f t="shared" si="10"/>
        <v/>
      </c>
      <c r="AS403" s="714" t="str">
        <f t="shared" si="11"/>
        <v>wci_corp</v>
      </c>
    </row>
    <row r="404" spans="2:45">
      <c r="B404" s="714" t="s">
        <v>1228</v>
      </c>
      <c r="C404" s="745">
        <v>43585</v>
      </c>
      <c r="D404" s="746">
        <v>250</v>
      </c>
      <c r="E404" s="746">
        <v>0</v>
      </c>
      <c r="F404" s="747" t="s">
        <v>1074</v>
      </c>
      <c r="G404" s="714" t="s">
        <v>1102</v>
      </c>
      <c r="H404" s="748" t="s">
        <v>1075</v>
      </c>
      <c r="I404" s="714" t="s">
        <v>1103</v>
      </c>
      <c r="J404" s="714" t="s">
        <v>1092</v>
      </c>
      <c r="K404" s="714" t="s">
        <v>1078</v>
      </c>
      <c r="L404" s="718"/>
      <c r="M404" s="718"/>
      <c r="N404" s="718" t="s">
        <v>1567</v>
      </c>
      <c r="O404" s="739"/>
      <c r="P404" s="718"/>
      <c r="Q404" s="718"/>
      <c r="U404" s="714" t="s">
        <v>1104</v>
      </c>
      <c r="V404" s="714" t="s">
        <v>1104</v>
      </c>
      <c r="X404" s="745">
        <v>43586</v>
      </c>
      <c r="Y404" s="745">
        <v>43587</v>
      </c>
      <c r="AA404" s="745"/>
      <c r="AB404" s="714" t="s">
        <v>1079</v>
      </c>
      <c r="AC404" s="714">
        <v>0</v>
      </c>
      <c r="AD404" s="714">
        <v>0</v>
      </c>
      <c r="AE404" s="714">
        <v>0</v>
      </c>
      <c r="AF404" s="714">
        <v>0</v>
      </c>
      <c r="AG404" s="714">
        <v>0</v>
      </c>
      <c r="AH404" s="714">
        <v>1</v>
      </c>
      <c r="AI404" s="714">
        <v>70095</v>
      </c>
      <c r="AJ404" s="714">
        <v>2183</v>
      </c>
      <c r="AK404" s="714">
        <v>0</v>
      </c>
      <c r="AL404" s="714">
        <v>0</v>
      </c>
      <c r="AO404" s="748"/>
      <c r="AP404" s="748"/>
      <c r="AQ404" s="714" t="str">
        <f t="shared" si="10"/>
        <v/>
      </c>
      <c r="AS404" s="714" t="str">
        <f t="shared" si="11"/>
        <v>wci_corp</v>
      </c>
    </row>
    <row r="405" spans="2:45">
      <c r="B405" s="714" t="s">
        <v>1228</v>
      </c>
      <c r="C405" s="745">
        <v>43585</v>
      </c>
      <c r="D405" s="746">
        <v>26.98</v>
      </c>
      <c r="E405" s="746">
        <v>0</v>
      </c>
      <c r="F405" s="747" t="s">
        <v>1074</v>
      </c>
      <c r="G405" s="714" t="s">
        <v>1102</v>
      </c>
      <c r="H405" s="748" t="s">
        <v>1075</v>
      </c>
      <c r="I405" s="714" t="s">
        <v>1103</v>
      </c>
      <c r="J405" s="714" t="s">
        <v>1092</v>
      </c>
      <c r="K405" s="714" t="s">
        <v>1078</v>
      </c>
      <c r="L405" s="718"/>
      <c r="M405" s="718"/>
      <c r="N405" s="718" t="s">
        <v>1259</v>
      </c>
      <c r="O405" s="739"/>
      <c r="P405" s="718"/>
      <c r="Q405" s="718"/>
      <c r="U405" s="714" t="s">
        <v>1104</v>
      </c>
      <c r="V405" s="714" t="s">
        <v>1104</v>
      </c>
      <c r="X405" s="745">
        <v>43586</v>
      </c>
      <c r="Y405" s="745">
        <v>43587</v>
      </c>
      <c r="AA405" s="745"/>
      <c r="AB405" s="714" t="s">
        <v>1079</v>
      </c>
      <c r="AC405" s="714">
        <v>0</v>
      </c>
      <c r="AD405" s="714">
        <v>0</v>
      </c>
      <c r="AE405" s="714">
        <v>0</v>
      </c>
      <c r="AF405" s="714">
        <v>0</v>
      </c>
      <c r="AG405" s="714">
        <v>0</v>
      </c>
      <c r="AH405" s="714">
        <v>1</v>
      </c>
      <c r="AI405" s="714">
        <v>70095</v>
      </c>
      <c r="AJ405" s="714">
        <v>2183</v>
      </c>
      <c r="AK405" s="714">
        <v>0</v>
      </c>
      <c r="AL405" s="714">
        <v>0</v>
      </c>
      <c r="AO405" s="748"/>
      <c r="AP405" s="748"/>
      <c r="AQ405" s="714" t="str">
        <f t="shared" ref="AQ405:AQ433" si="12">IF(LEFT(U405,2)="VO",U405,"")</f>
        <v/>
      </c>
      <c r="AS405" s="714" t="str">
        <f t="shared" ref="AS405:AS433" si="13">IF(RIGHT(K405,2)="IC",IF(OR(AB405="wci_canada",AB405="wci_can_corp"),"wci_can_Corp","wci_corp"),AB405)</f>
        <v>wci_corp</v>
      </c>
    </row>
    <row r="406" spans="2:45">
      <c r="B406" s="714" t="s">
        <v>1228</v>
      </c>
      <c r="C406" s="745">
        <v>43585</v>
      </c>
      <c r="D406" s="746">
        <v>12.66</v>
      </c>
      <c r="E406" s="746">
        <v>0</v>
      </c>
      <c r="F406" s="747" t="s">
        <v>1074</v>
      </c>
      <c r="G406" s="714" t="s">
        <v>1102</v>
      </c>
      <c r="H406" s="748" t="s">
        <v>1075</v>
      </c>
      <c r="I406" s="714" t="s">
        <v>1103</v>
      </c>
      <c r="J406" s="714" t="s">
        <v>1092</v>
      </c>
      <c r="K406" s="714" t="s">
        <v>1078</v>
      </c>
      <c r="L406" s="718"/>
      <c r="M406" s="718"/>
      <c r="N406" s="718" t="s">
        <v>1288</v>
      </c>
      <c r="O406" s="739"/>
      <c r="P406" s="718"/>
      <c r="Q406" s="718"/>
      <c r="U406" s="714" t="s">
        <v>1104</v>
      </c>
      <c r="V406" s="714" t="s">
        <v>1104</v>
      </c>
      <c r="X406" s="745">
        <v>43586</v>
      </c>
      <c r="Y406" s="745">
        <v>43587</v>
      </c>
      <c r="AA406" s="745"/>
      <c r="AB406" s="714" t="s">
        <v>1079</v>
      </c>
      <c r="AC406" s="714">
        <v>0</v>
      </c>
      <c r="AD406" s="714">
        <v>0</v>
      </c>
      <c r="AE406" s="714">
        <v>0</v>
      </c>
      <c r="AF406" s="714">
        <v>0</v>
      </c>
      <c r="AG406" s="714">
        <v>0</v>
      </c>
      <c r="AH406" s="714">
        <v>1</v>
      </c>
      <c r="AI406" s="714">
        <v>70095</v>
      </c>
      <c r="AJ406" s="714">
        <v>2183</v>
      </c>
      <c r="AK406" s="714">
        <v>0</v>
      </c>
      <c r="AL406" s="714">
        <v>0</v>
      </c>
      <c r="AO406" s="748"/>
      <c r="AP406" s="748"/>
      <c r="AQ406" s="714" t="str">
        <f t="shared" si="12"/>
        <v/>
      </c>
      <c r="AS406" s="714" t="str">
        <f t="shared" si="13"/>
        <v>wci_corp</v>
      </c>
    </row>
    <row r="407" spans="2:45">
      <c r="B407" s="714" t="s">
        <v>1228</v>
      </c>
      <c r="C407" s="745">
        <v>43585</v>
      </c>
      <c r="D407" s="746">
        <v>1608.86</v>
      </c>
      <c r="E407" s="746">
        <v>0</v>
      </c>
      <c r="F407" s="747" t="s">
        <v>1074</v>
      </c>
      <c r="G407" s="714" t="s">
        <v>1102</v>
      </c>
      <c r="H407" s="748" t="s">
        <v>1075</v>
      </c>
      <c r="I407" s="714" t="s">
        <v>1103</v>
      </c>
      <c r="J407" s="714" t="s">
        <v>1092</v>
      </c>
      <c r="K407" s="714" t="s">
        <v>1078</v>
      </c>
      <c r="L407" s="718"/>
      <c r="M407" s="718"/>
      <c r="N407" s="718" t="s">
        <v>1568</v>
      </c>
      <c r="O407" s="739"/>
      <c r="P407" s="718"/>
      <c r="Q407" s="718"/>
      <c r="U407" s="714" t="s">
        <v>1104</v>
      </c>
      <c r="V407" s="714" t="s">
        <v>1104</v>
      </c>
      <c r="X407" s="745">
        <v>43586</v>
      </c>
      <c r="Y407" s="745">
        <v>43587</v>
      </c>
      <c r="AA407" s="745"/>
      <c r="AB407" s="714" t="s">
        <v>1079</v>
      </c>
      <c r="AC407" s="714">
        <v>0</v>
      </c>
      <c r="AD407" s="714">
        <v>0</v>
      </c>
      <c r="AE407" s="714">
        <v>0</v>
      </c>
      <c r="AF407" s="714">
        <v>0</v>
      </c>
      <c r="AG407" s="714">
        <v>0</v>
      </c>
      <c r="AH407" s="714">
        <v>1</v>
      </c>
      <c r="AI407" s="714">
        <v>70095</v>
      </c>
      <c r="AJ407" s="714">
        <v>2183</v>
      </c>
      <c r="AK407" s="714">
        <v>0</v>
      </c>
      <c r="AL407" s="714">
        <v>0</v>
      </c>
      <c r="AO407" s="748"/>
      <c r="AP407" s="748"/>
      <c r="AQ407" s="714" t="str">
        <f t="shared" si="12"/>
        <v/>
      </c>
      <c r="AS407" s="714" t="str">
        <f t="shared" si="13"/>
        <v>wci_corp</v>
      </c>
    </row>
    <row r="408" spans="2:45">
      <c r="B408" s="714" t="s">
        <v>1228</v>
      </c>
      <c r="C408" s="745">
        <v>43585</v>
      </c>
      <c r="D408" s="746">
        <v>87.68</v>
      </c>
      <c r="E408" s="746">
        <v>0</v>
      </c>
      <c r="F408" s="747" t="s">
        <v>1074</v>
      </c>
      <c r="G408" s="714" t="s">
        <v>1102</v>
      </c>
      <c r="H408" s="748" t="s">
        <v>1075</v>
      </c>
      <c r="I408" s="714" t="s">
        <v>1103</v>
      </c>
      <c r="J408" s="714" t="s">
        <v>1092</v>
      </c>
      <c r="K408" s="714" t="s">
        <v>1078</v>
      </c>
      <c r="L408" s="718"/>
      <c r="M408" s="718"/>
      <c r="N408" s="718" t="s">
        <v>1392</v>
      </c>
      <c r="O408" s="739"/>
      <c r="P408" s="718"/>
      <c r="Q408" s="718"/>
      <c r="U408" s="714" t="s">
        <v>1104</v>
      </c>
      <c r="V408" s="714" t="s">
        <v>1104</v>
      </c>
      <c r="X408" s="745">
        <v>43586</v>
      </c>
      <c r="Y408" s="745">
        <v>43587</v>
      </c>
      <c r="AA408" s="745"/>
      <c r="AB408" s="714" t="s">
        <v>1079</v>
      </c>
      <c r="AC408" s="714">
        <v>0</v>
      </c>
      <c r="AD408" s="714">
        <v>0</v>
      </c>
      <c r="AE408" s="714">
        <v>0</v>
      </c>
      <c r="AF408" s="714">
        <v>0</v>
      </c>
      <c r="AG408" s="714">
        <v>0</v>
      </c>
      <c r="AH408" s="714">
        <v>1</v>
      </c>
      <c r="AI408" s="714">
        <v>70095</v>
      </c>
      <c r="AJ408" s="714">
        <v>2183</v>
      </c>
      <c r="AK408" s="714">
        <v>0</v>
      </c>
      <c r="AL408" s="714">
        <v>0</v>
      </c>
      <c r="AO408" s="748"/>
      <c r="AP408" s="748"/>
      <c r="AQ408" s="714" t="str">
        <f t="shared" si="12"/>
        <v/>
      </c>
      <c r="AS408" s="714" t="str">
        <f t="shared" si="13"/>
        <v>wci_corp</v>
      </c>
    </row>
    <row r="409" spans="2:45">
      <c r="B409" s="714" t="s">
        <v>1228</v>
      </c>
      <c r="C409" s="745">
        <v>43585</v>
      </c>
      <c r="D409" s="746">
        <v>23.44</v>
      </c>
      <c r="E409" s="746">
        <v>0</v>
      </c>
      <c r="F409" s="747" t="s">
        <v>1074</v>
      </c>
      <c r="G409" s="714" t="s">
        <v>1102</v>
      </c>
      <c r="H409" s="748" t="s">
        <v>1075</v>
      </c>
      <c r="I409" s="714" t="s">
        <v>1103</v>
      </c>
      <c r="J409" s="714" t="s">
        <v>1092</v>
      </c>
      <c r="K409" s="714" t="s">
        <v>1078</v>
      </c>
      <c r="L409" s="718"/>
      <c r="M409" s="718"/>
      <c r="N409" s="718" t="s">
        <v>1418</v>
      </c>
      <c r="O409" s="739"/>
      <c r="P409" s="718"/>
      <c r="Q409" s="718"/>
      <c r="U409" s="714" t="s">
        <v>1104</v>
      </c>
      <c r="V409" s="714" t="s">
        <v>1104</v>
      </c>
      <c r="X409" s="745">
        <v>43586</v>
      </c>
      <c r="Y409" s="745">
        <v>43587</v>
      </c>
      <c r="AA409" s="745"/>
      <c r="AB409" s="714" t="s">
        <v>1079</v>
      </c>
      <c r="AC409" s="714">
        <v>0</v>
      </c>
      <c r="AD409" s="714">
        <v>0</v>
      </c>
      <c r="AE409" s="714">
        <v>0</v>
      </c>
      <c r="AF409" s="714">
        <v>0</v>
      </c>
      <c r="AG409" s="714">
        <v>0</v>
      </c>
      <c r="AH409" s="714">
        <v>1</v>
      </c>
      <c r="AI409" s="714">
        <v>70095</v>
      </c>
      <c r="AJ409" s="714">
        <v>2183</v>
      </c>
      <c r="AK409" s="714">
        <v>0</v>
      </c>
      <c r="AL409" s="714">
        <v>0</v>
      </c>
      <c r="AO409" s="748"/>
      <c r="AP409" s="748"/>
      <c r="AQ409" s="714" t="str">
        <f t="shared" si="12"/>
        <v/>
      </c>
      <c r="AS409" s="714" t="str">
        <f t="shared" si="13"/>
        <v>wci_corp</v>
      </c>
    </row>
    <row r="410" spans="2:45">
      <c r="B410" s="714" t="s">
        <v>1228</v>
      </c>
      <c r="C410" s="745">
        <v>43585</v>
      </c>
      <c r="D410" s="746">
        <v>32.340000000000003</v>
      </c>
      <c r="E410" s="746">
        <v>0</v>
      </c>
      <c r="F410" s="747" t="s">
        <v>1074</v>
      </c>
      <c r="G410" s="714" t="s">
        <v>1102</v>
      </c>
      <c r="H410" s="748" t="s">
        <v>1075</v>
      </c>
      <c r="I410" s="714" t="s">
        <v>1103</v>
      </c>
      <c r="J410" s="714" t="s">
        <v>1092</v>
      </c>
      <c r="K410" s="714" t="s">
        <v>1078</v>
      </c>
      <c r="L410" s="718"/>
      <c r="M410" s="718"/>
      <c r="N410" s="718" t="s">
        <v>1260</v>
      </c>
      <c r="O410" s="739"/>
      <c r="P410" s="718"/>
      <c r="Q410" s="718"/>
      <c r="U410" s="714" t="s">
        <v>1104</v>
      </c>
      <c r="V410" s="714" t="s">
        <v>1104</v>
      </c>
      <c r="X410" s="745">
        <v>43586</v>
      </c>
      <c r="Y410" s="745">
        <v>43587</v>
      </c>
      <c r="AA410" s="745"/>
      <c r="AB410" s="714" t="s">
        <v>1079</v>
      </c>
      <c r="AC410" s="714">
        <v>0</v>
      </c>
      <c r="AD410" s="714">
        <v>0</v>
      </c>
      <c r="AE410" s="714">
        <v>0</v>
      </c>
      <c r="AF410" s="714">
        <v>0</v>
      </c>
      <c r="AG410" s="714">
        <v>0</v>
      </c>
      <c r="AH410" s="714">
        <v>1</v>
      </c>
      <c r="AI410" s="714">
        <v>70095</v>
      </c>
      <c r="AJ410" s="714">
        <v>2183</v>
      </c>
      <c r="AK410" s="714">
        <v>0</v>
      </c>
      <c r="AL410" s="714">
        <v>0</v>
      </c>
      <c r="AO410" s="748"/>
      <c r="AP410" s="748"/>
      <c r="AQ410" s="714" t="str">
        <f t="shared" si="12"/>
        <v/>
      </c>
      <c r="AS410" s="714" t="str">
        <f t="shared" si="13"/>
        <v>wci_corp</v>
      </c>
    </row>
    <row r="411" spans="2:45">
      <c r="B411" s="714" t="s">
        <v>1228</v>
      </c>
      <c r="C411" s="745">
        <v>43585</v>
      </c>
      <c r="D411" s="746">
        <v>46.97</v>
      </c>
      <c r="E411" s="746">
        <v>0</v>
      </c>
      <c r="F411" s="747" t="s">
        <v>1074</v>
      </c>
      <c r="G411" s="714" t="s">
        <v>1102</v>
      </c>
      <c r="H411" s="748" t="s">
        <v>1075</v>
      </c>
      <c r="I411" s="714" t="s">
        <v>1103</v>
      </c>
      <c r="J411" s="714" t="s">
        <v>1092</v>
      </c>
      <c r="K411" s="714" t="s">
        <v>1078</v>
      </c>
      <c r="L411" s="718"/>
      <c r="M411" s="718"/>
      <c r="N411" s="718" t="s">
        <v>1259</v>
      </c>
      <c r="O411" s="739"/>
      <c r="P411" s="718"/>
      <c r="Q411" s="718"/>
      <c r="U411" s="714" t="s">
        <v>1104</v>
      </c>
      <c r="V411" s="714" t="s">
        <v>1104</v>
      </c>
      <c r="X411" s="745">
        <v>43586</v>
      </c>
      <c r="Y411" s="745">
        <v>43587</v>
      </c>
      <c r="AA411" s="745"/>
      <c r="AB411" s="714" t="s">
        <v>1079</v>
      </c>
      <c r="AC411" s="714">
        <v>0</v>
      </c>
      <c r="AD411" s="714">
        <v>0</v>
      </c>
      <c r="AE411" s="714">
        <v>0</v>
      </c>
      <c r="AF411" s="714">
        <v>0</v>
      </c>
      <c r="AG411" s="714">
        <v>0</v>
      </c>
      <c r="AH411" s="714">
        <v>1</v>
      </c>
      <c r="AI411" s="714">
        <v>70095</v>
      </c>
      <c r="AJ411" s="714">
        <v>2183</v>
      </c>
      <c r="AK411" s="714">
        <v>0</v>
      </c>
      <c r="AL411" s="714">
        <v>0</v>
      </c>
      <c r="AO411" s="748"/>
      <c r="AP411" s="748"/>
      <c r="AQ411" s="714" t="str">
        <f t="shared" si="12"/>
        <v/>
      </c>
      <c r="AS411" s="714" t="str">
        <f t="shared" si="13"/>
        <v>wci_corp</v>
      </c>
    </row>
    <row r="412" spans="2:45">
      <c r="B412" s="714" t="s">
        <v>1228</v>
      </c>
      <c r="C412" s="745">
        <v>43585</v>
      </c>
      <c r="D412" s="746">
        <v>49.15</v>
      </c>
      <c r="E412" s="746">
        <v>0</v>
      </c>
      <c r="F412" s="747" t="s">
        <v>1074</v>
      </c>
      <c r="G412" s="714" t="s">
        <v>1102</v>
      </c>
      <c r="H412" s="748" t="s">
        <v>1075</v>
      </c>
      <c r="I412" s="714" t="s">
        <v>1103</v>
      </c>
      <c r="J412" s="714" t="s">
        <v>1092</v>
      </c>
      <c r="K412" s="714" t="s">
        <v>1078</v>
      </c>
      <c r="L412" s="718"/>
      <c r="M412" s="718"/>
      <c r="N412" s="718" t="s">
        <v>1345</v>
      </c>
      <c r="O412" s="739"/>
      <c r="P412" s="718"/>
      <c r="Q412" s="718"/>
      <c r="U412" s="714" t="s">
        <v>1104</v>
      </c>
      <c r="V412" s="714" t="s">
        <v>1104</v>
      </c>
      <c r="X412" s="745">
        <v>43586</v>
      </c>
      <c r="Y412" s="745">
        <v>43587</v>
      </c>
      <c r="AA412" s="745"/>
      <c r="AB412" s="714" t="s">
        <v>1079</v>
      </c>
      <c r="AC412" s="714">
        <v>0</v>
      </c>
      <c r="AD412" s="714">
        <v>0</v>
      </c>
      <c r="AE412" s="714">
        <v>0</v>
      </c>
      <c r="AF412" s="714">
        <v>0</v>
      </c>
      <c r="AG412" s="714">
        <v>0</v>
      </c>
      <c r="AH412" s="714">
        <v>1</v>
      </c>
      <c r="AI412" s="714">
        <v>70095</v>
      </c>
      <c r="AJ412" s="714">
        <v>2183</v>
      </c>
      <c r="AK412" s="714">
        <v>0</v>
      </c>
      <c r="AL412" s="714">
        <v>0</v>
      </c>
      <c r="AO412" s="748"/>
      <c r="AP412" s="748"/>
      <c r="AQ412" s="714" t="str">
        <f t="shared" si="12"/>
        <v/>
      </c>
      <c r="AS412" s="714" t="str">
        <f t="shared" si="13"/>
        <v>wci_corp</v>
      </c>
    </row>
    <row r="413" spans="2:45">
      <c r="B413" s="714" t="s">
        <v>1228</v>
      </c>
      <c r="C413" s="745">
        <v>43585</v>
      </c>
      <c r="D413" s="746">
        <v>18.989999999999998</v>
      </c>
      <c r="E413" s="746">
        <v>0</v>
      </c>
      <c r="F413" s="747" t="s">
        <v>1074</v>
      </c>
      <c r="G413" s="714" t="s">
        <v>1102</v>
      </c>
      <c r="H413" s="748" t="s">
        <v>1075</v>
      </c>
      <c r="I413" s="714" t="s">
        <v>1103</v>
      </c>
      <c r="J413" s="714" t="s">
        <v>1092</v>
      </c>
      <c r="K413" s="714" t="s">
        <v>1078</v>
      </c>
      <c r="L413" s="718"/>
      <c r="M413" s="718"/>
      <c r="N413" s="718" t="s">
        <v>1259</v>
      </c>
      <c r="O413" s="739"/>
      <c r="P413" s="718"/>
      <c r="Q413" s="718"/>
      <c r="U413" s="714" t="s">
        <v>1104</v>
      </c>
      <c r="V413" s="714" t="s">
        <v>1104</v>
      </c>
      <c r="X413" s="745">
        <v>43586</v>
      </c>
      <c r="Y413" s="745">
        <v>43587</v>
      </c>
      <c r="AA413" s="745"/>
      <c r="AB413" s="714" t="s">
        <v>1079</v>
      </c>
      <c r="AC413" s="714">
        <v>0</v>
      </c>
      <c r="AD413" s="714">
        <v>0</v>
      </c>
      <c r="AE413" s="714">
        <v>0</v>
      </c>
      <c r="AF413" s="714">
        <v>0</v>
      </c>
      <c r="AG413" s="714">
        <v>0</v>
      </c>
      <c r="AH413" s="714">
        <v>1</v>
      </c>
      <c r="AI413" s="714">
        <v>70095</v>
      </c>
      <c r="AJ413" s="714">
        <v>2183</v>
      </c>
      <c r="AK413" s="714">
        <v>0</v>
      </c>
      <c r="AL413" s="714">
        <v>0</v>
      </c>
      <c r="AO413" s="748"/>
      <c r="AP413" s="748"/>
      <c r="AQ413" s="714" t="str">
        <f t="shared" si="12"/>
        <v/>
      </c>
      <c r="AS413" s="714" t="str">
        <f t="shared" si="13"/>
        <v>wci_corp</v>
      </c>
    </row>
    <row r="414" spans="2:45">
      <c r="B414" s="714" t="s">
        <v>1228</v>
      </c>
      <c r="C414" s="745">
        <v>43585</v>
      </c>
      <c r="D414" s="746">
        <v>8.99</v>
      </c>
      <c r="E414" s="746">
        <v>0</v>
      </c>
      <c r="F414" s="747" t="s">
        <v>1074</v>
      </c>
      <c r="G414" s="714" t="s">
        <v>1102</v>
      </c>
      <c r="H414" s="748" t="s">
        <v>1075</v>
      </c>
      <c r="I414" s="714" t="s">
        <v>1103</v>
      </c>
      <c r="J414" s="714" t="s">
        <v>1092</v>
      </c>
      <c r="K414" s="714" t="s">
        <v>1078</v>
      </c>
      <c r="L414" s="718"/>
      <c r="M414" s="718"/>
      <c r="N414" s="718" t="s">
        <v>1288</v>
      </c>
      <c r="O414" s="739"/>
      <c r="P414" s="718"/>
      <c r="Q414" s="718"/>
      <c r="U414" s="714" t="s">
        <v>1104</v>
      </c>
      <c r="V414" s="714" t="s">
        <v>1104</v>
      </c>
      <c r="X414" s="745">
        <v>43586</v>
      </c>
      <c r="Y414" s="745">
        <v>43587</v>
      </c>
      <c r="AA414" s="745"/>
      <c r="AB414" s="714" t="s">
        <v>1079</v>
      </c>
      <c r="AC414" s="714">
        <v>0</v>
      </c>
      <c r="AD414" s="714">
        <v>0</v>
      </c>
      <c r="AE414" s="714">
        <v>0</v>
      </c>
      <c r="AF414" s="714">
        <v>0</v>
      </c>
      <c r="AG414" s="714">
        <v>0</v>
      </c>
      <c r="AH414" s="714">
        <v>1</v>
      </c>
      <c r="AI414" s="714">
        <v>70095</v>
      </c>
      <c r="AJ414" s="714">
        <v>2183</v>
      </c>
      <c r="AK414" s="714">
        <v>0</v>
      </c>
      <c r="AL414" s="714">
        <v>0</v>
      </c>
      <c r="AO414" s="748"/>
      <c r="AP414" s="748"/>
      <c r="AQ414" s="714" t="str">
        <f t="shared" si="12"/>
        <v/>
      </c>
      <c r="AS414" s="714" t="str">
        <f t="shared" si="13"/>
        <v>wci_corp</v>
      </c>
    </row>
    <row r="415" spans="2:45">
      <c r="B415" s="714" t="s">
        <v>1228</v>
      </c>
      <c r="C415" s="745">
        <v>43585</v>
      </c>
      <c r="D415" s="746">
        <v>658.89</v>
      </c>
      <c r="E415" s="746">
        <v>0</v>
      </c>
      <c r="F415" s="747" t="s">
        <v>1074</v>
      </c>
      <c r="G415" s="714" t="s">
        <v>1102</v>
      </c>
      <c r="H415" s="748" t="s">
        <v>1075</v>
      </c>
      <c r="I415" s="714" t="s">
        <v>1103</v>
      </c>
      <c r="J415" s="714" t="s">
        <v>1092</v>
      </c>
      <c r="K415" s="714" t="s">
        <v>1078</v>
      </c>
      <c r="L415" s="718"/>
      <c r="M415" s="718"/>
      <c r="N415" s="718" t="s">
        <v>1569</v>
      </c>
      <c r="O415" s="739"/>
      <c r="P415" s="718"/>
      <c r="Q415" s="718"/>
      <c r="U415" s="714" t="s">
        <v>1104</v>
      </c>
      <c r="V415" s="714" t="s">
        <v>1104</v>
      </c>
      <c r="X415" s="745">
        <v>43586</v>
      </c>
      <c r="Y415" s="745">
        <v>43587</v>
      </c>
      <c r="AA415" s="745"/>
      <c r="AB415" s="714" t="s">
        <v>1079</v>
      </c>
      <c r="AC415" s="714">
        <v>0</v>
      </c>
      <c r="AD415" s="714">
        <v>0</v>
      </c>
      <c r="AE415" s="714">
        <v>0</v>
      </c>
      <c r="AF415" s="714">
        <v>0</v>
      </c>
      <c r="AG415" s="714">
        <v>0</v>
      </c>
      <c r="AH415" s="714">
        <v>1</v>
      </c>
      <c r="AI415" s="714">
        <v>70095</v>
      </c>
      <c r="AJ415" s="714">
        <v>2183</v>
      </c>
      <c r="AK415" s="714">
        <v>0</v>
      </c>
      <c r="AL415" s="714">
        <v>0</v>
      </c>
      <c r="AO415" s="748"/>
      <c r="AP415" s="748"/>
      <c r="AQ415" s="714" t="str">
        <f t="shared" si="12"/>
        <v/>
      </c>
      <c r="AS415" s="714" t="str">
        <f t="shared" si="13"/>
        <v>wci_corp</v>
      </c>
    </row>
    <row r="416" spans="2:45">
      <c r="B416" s="714" t="s">
        <v>1228</v>
      </c>
      <c r="C416" s="745">
        <v>43585</v>
      </c>
      <c r="D416" s="746">
        <v>63.35</v>
      </c>
      <c r="E416" s="746">
        <v>0</v>
      </c>
      <c r="F416" s="747" t="s">
        <v>1074</v>
      </c>
      <c r="G416" s="714" t="s">
        <v>1102</v>
      </c>
      <c r="H416" s="748" t="s">
        <v>1075</v>
      </c>
      <c r="I416" s="714" t="s">
        <v>1103</v>
      </c>
      <c r="J416" s="714" t="s">
        <v>1092</v>
      </c>
      <c r="K416" s="714" t="s">
        <v>1078</v>
      </c>
      <c r="L416" s="718"/>
      <c r="M416" s="718"/>
      <c r="N416" s="718" t="s">
        <v>1557</v>
      </c>
      <c r="O416" s="739"/>
      <c r="P416" s="718"/>
      <c r="Q416" s="718"/>
      <c r="U416" s="714" t="s">
        <v>1104</v>
      </c>
      <c r="V416" s="714" t="s">
        <v>1104</v>
      </c>
      <c r="X416" s="745">
        <v>43586</v>
      </c>
      <c r="Y416" s="745">
        <v>43587</v>
      </c>
      <c r="AA416" s="745"/>
      <c r="AB416" s="714" t="s">
        <v>1079</v>
      </c>
      <c r="AC416" s="714">
        <v>0</v>
      </c>
      <c r="AD416" s="714">
        <v>0</v>
      </c>
      <c r="AE416" s="714">
        <v>0</v>
      </c>
      <c r="AF416" s="714">
        <v>0</v>
      </c>
      <c r="AG416" s="714">
        <v>0</v>
      </c>
      <c r="AH416" s="714">
        <v>1</v>
      </c>
      <c r="AI416" s="714">
        <v>70095</v>
      </c>
      <c r="AJ416" s="714">
        <v>2183</v>
      </c>
      <c r="AK416" s="714">
        <v>0</v>
      </c>
      <c r="AL416" s="714">
        <v>0</v>
      </c>
      <c r="AO416" s="748"/>
      <c r="AP416" s="748"/>
      <c r="AQ416" s="714" t="str">
        <f t="shared" si="12"/>
        <v/>
      </c>
      <c r="AS416" s="714" t="str">
        <f t="shared" si="13"/>
        <v>wci_corp</v>
      </c>
    </row>
    <row r="417" spans="2:45">
      <c r="B417" s="714" t="s">
        <v>1228</v>
      </c>
      <c r="C417" s="745">
        <v>43585</v>
      </c>
      <c r="D417" s="746">
        <v>45.03</v>
      </c>
      <c r="E417" s="746">
        <v>0</v>
      </c>
      <c r="F417" s="747" t="s">
        <v>1074</v>
      </c>
      <c r="G417" s="714" t="s">
        <v>1102</v>
      </c>
      <c r="H417" s="748" t="s">
        <v>1075</v>
      </c>
      <c r="I417" s="714" t="s">
        <v>1103</v>
      </c>
      <c r="J417" s="714" t="s">
        <v>1092</v>
      </c>
      <c r="K417" s="714" t="s">
        <v>1078</v>
      </c>
      <c r="L417" s="718"/>
      <c r="M417" s="718"/>
      <c r="N417" s="718" t="s">
        <v>1570</v>
      </c>
      <c r="O417" s="739"/>
      <c r="P417" s="718"/>
      <c r="Q417" s="718"/>
      <c r="U417" s="714" t="s">
        <v>1104</v>
      </c>
      <c r="V417" s="714" t="s">
        <v>1104</v>
      </c>
      <c r="X417" s="745">
        <v>43586</v>
      </c>
      <c r="Y417" s="745">
        <v>43587</v>
      </c>
      <c r="AA417" s="745"/>
      <c r="AB417" s="714" t="s">
        <v>1079</v>
      </c>
      <c r="AC417" s="714">
        <v>0</v>
      </c>
      <c r="AD417" s="714">
        <v>0</v>
      </c>
      <c r="AE417" s="714">
        <v>0</v>
      </c>
      <c r="AF417" s="714">
        <v>0</v>
      </c>
      <c r="AG417" s="714">
        <v>0</v>
      </c>
      <c r="AH417" s="714">
        <v>1</v>
      </c>
      <c r="AI417" s="714">
        <v>70095</v>
      </c>
      <c r="AJ417" s="714">
        <v>2183</v>
      </c>
      <c r="AK417" s="714">
        <v>0</v>
      </c>
      <c r="AL417" s="714">
        <v>0</v>
      </c>
      <c r="AO417" s="748"/>
      <c r="AP417" s="748"/>
      <c r="AQ417" s="714" t="str">
        <f t="shared" si="12"/>
        <v/>
      </c>
      <c r="AS417" s="714" t="str">
        <f t="shared" si="13"/>
        <v>wci_corp</v>
      </c>
    </row>
    <row r="418" spans="2:45">
      <c r="B418" s="714" t="s">
        <v>1228</v>
      </c>
      <c r="C418" s="745">
        <v>43585</v>
      </c>
      <c r="D418" s="746">
        <v>300</v>
      </c>
      <c r="E418" s="746">
        <v>0</v>
      </c>
      <c r="F418" s="747" t="s">
        <v>1074</v>
      </c>
      <c r="G418" s="714" t="s">
        <v>1105</v>
      </c>
      <c r="H418" s="748" t="s">
        <v>1075</v>
      </c>
      <c r="I418" s="714" t="s">
        <v>1081</v>
      </c>
      <c r="J418" s="714" t="s">
        <v>1092</v>
      </c>
      <c r="K418" s="714" t="s">
        <v>1078</v>
      </c>
      <c r="L418" s="718"/>
      <c r="M418" s="718"/>
      <c r="N418" s="718" t="s">
        <v>1558</v>
      </c>
      <c r="O418" s="739"/>
      <c r="P418" s="718"/>
      <c r="Q418" s="718"/>
      <c r="U418" s="714" t="s">
        <v>1106</v>
      </c>
      <c r="V418" s="714" t="s">
        <v>1106</v>
      </c>
      <c r="X418" s="745">
        <v>43588</v>
      </c>
      <c r="Y418" s="745">
        <v>43588</v>
      </c>
      <c r="AA418" s="745"/>
      <c r="AB418" s="714" t="s">
        <v>1079</v>
      </c>
      <c r="AC418" s="714">
        <v>0</v>
      </c>
      <c r="AD418" s="714">
        <v>0</v>
      </c>
      <c r="AE418" s="714">
        <v>0</v>
      </c>
      <c r="AF418" s="714">
        <v>0</v>
      </c>
      <c r="AG418" s="714">
        <v>0</v>
      </c>
      <c r="AH418" s="714">
        <v>1</v>
      </c>
      <c r="AI418" s="714">
        <v>70095</v>
      </c>
      <c r="AJ418" s="714">
        <v>2183</v>
      </c>
      <c r="AK418" s="714">
        <v>0</v>
      </c>
      <c r="AL418" s="714">
        <v>0</v>
      </c>
      <c r="AO418" s="748"/>
      <c r="AP418" s="748"/>
      <c r="AQ418" s="714" t="str">
        <f t="shared" si="12"/>
        <v/>
      </c>
      <c r="AS418" s="714" t="str">
        <f t="shared" si="13"/>
        <v>wci_corp</v>
      </c>
    </row>
    <row r="419" spans="2:45">
      <c r="B419" s="714" t="s">
        <v>1228</v>
      </c>
      <c r="C419" s="745">
        <v>43585</v>
      </c>
      <c r="D419" s="746">
        <v>500</v>
      </c>
      <c r="E419" s="746">
        <v>0</v>
      </c>
      <c r="F419" s="747" t="s">
        <v>1074</v>
      </c>
      <c r="G419" s="714" t="s">
        <v>1105</v>
      </c>
      <c r="H419" s="748" t="s">
        <v>1075</v>
      </c>
      <c r="I419" s="714" t="s">
        <v>1081</v>
      </c>
      <c r="J419" s="714" t="s">
        <v>1092</v>
      </c>
      <c r="K419" s="714" t="s">
        <v>1078</v>
      </c>
      <c r="L419" s="718"/>
      <c r="M419" s="718"/>
      <c r="N419" s="718" t="s">
        <v>1571</v>
      </c>
      <c r="O419" s="739"/>
      <c r="P419" s="718"/>
      <c r="Q419" s="718"/>
      <c r="U419" s="714" t="s">
        <v>1106</v>
      </c>
      <c r="V419" s="714" t="s">
        <v>1106</v>
      </c>
      <c r="X419" s="745">
        <v>43588</v>
      </c>
      <c r="Y419" s="745">
        <v>43588</v>
      </c>
      <c r="AA419" s="745"/>
      <c r="AB419" s="714" t="s">
        <v>1079</v>
      </c>
      <c r="AC419" s="714">
        <v>0</v>
      </c>
      <c r="AD419" s="714">
        <v>0</v>
      </c>
      <c r="AE419" s="714">
        <v>0</v>
      </c>
      <c r="AF419" s="714">
        <v>0</v>
      </c>
      <c r="AG419" s="714">
        <v>0</v>
      </c>
      <c r="AH419" s="714">
        <v>1</v>
      </c>
      <c r="AI419" s="714">
        <v>70095</v>
      </c>
      <c r="AJ419" s="714">
        <v>2183</v>
      </c>
      <c r="AK419" s="714">
        <v>0</v>
      </c>
      <c r="AL419" s="714">
        <v>0</v>
      </c>
      <c r="AO419" s="748"/>
      <c r="AP419" s="748"/>
      <c r="AQ419" s="714" t="str">
        <f t="shared" si="12"/>
        <v/>
      </c>
      <c r="AS419" s="714" t="str">
        <f t="shared" si="13"/>
        <v>wci_corp</v>
      </c>
    </row>
    <row r="420" spans="2:45">
      <c r="B420" s="714" t="s">
        <v>1228</v>
      </c>
      <c r="C420" s="745">
        <v>43585</v>
      </c>
      <c r="D420" s="746">
        <v>18.989999999999998</v>
      </c>
      <c r="E420" s="746">
        <v>0</v>
      </c>
      <c r="F420" s="747" t="s">
        <v>1074</v>
      </c>
      <c r="G420" s="714" t="s">
        <v>1105</v>
      </c>
      <c r="H420" s="748" t="s">
        <v>1075</v>
      </c>
      <c r="I420" s="714" t="s">
        <v>1081</v>
      </c>
      <c r="J420" s="714" t="s">
        <v>1092</v>
      </c>
      <c r="K420" s="714" t="s">
        <v>1078</v>
      </c>
      <c r="L420" s="718"/>
      <c r="M420" s="718"/>
      <c r="N420" s="718" t="s">
        <v>1572</v>
      </c>
      <c r="O420" s="739"/>
      <c r="P420" s="718"/>
      <c r="Q420" s="718"/>
      <c r="U420" s="714" t="s">
        <v>1106</v>
      </c>
      <c r="V420" s="714" t="s">
        <v>1106</v>
      </c>
      <c r="X420" s="745">
        <v>43588</v>
      </c>
      <c r="Y420" s="745">
        <v>43588</v>
      </c>
      <c r="AA420" s="745"/>
      <c r="AB420" s="714" t="s">
        <v>1079</v>
      </c>
      <c r="AC420" s="714">
        <v>0</v>
      </c>
      <c r="AD420" s="714">
        <v>0</v>
      </c>
      <c r="AE420" s="714">
        <v>0</v>
      </c>
      <c r="AF420" s="714">
        <v>0</v>
      </c>
      <c r="AG420" s="714">
        <v>0</v>
      </c>
      <c r="AH420" s="714">
        <v>1</v>
      </c>
      <c r="AI420" s="714">
        <v>70095</v>
      </c>
      <c r="AJ420" s="714">
        <v>2183</v>
      </c>
      <c r="AK420" s="714">
        <v>0</v>
      </c>
      <c r="AL420" s="714">
        <v>0</v>
      </c>
      <c r="AO420" s="748"/>
      <c r="AP420" s="748"/>
      <c r="AQ420" s="714" t="str">
        <f t="shared" si="12"/>
        <v/>
      </c>
      <c r="AS420" s="714" t="str">
        <f t="shared" si="13"/>
        <v>wci_corp</v>
      </c>
    </row>
    <row r="421" spans="2:45">
      <c r="B421" s="714" t="s">
        <v>1228</v>
      </c>
      <c r="C421" s="745">
        <v>43585</v>
      </c>
      <c r="D421" s="746">
        <v>21.99</v>
      </c>
      <c r="E421" s="746">
        <v>0</v>
      </c>
      <c r="F421" s="747" t="s">
        <v>1074</v>
      </c>
      <c r="G421" s="714" t="s">
        <v>1105</v>
      </c>
      <c r="H421" s="748" t="s">
        <v>1075</v>
      </c>
      <c r="I421" s="714" t="s">
        <v>1081</v>
      </c>
      <c r="J421" s="714" t="s">
        <v>1092</v>
      </c>
      <c r="K421" s="714" t="s">
        <v>1078</v>
      </c>
      <c r="L421" s="718"/>
      <c r="M421" s="718"/>
      <c r="N421" s="718" t="s">
        <v>1573</v>
      </c>
      <c r="O421" s="739"/>
      <c r="P421" s="718"/>
      <c r="Q421" s="718"/>
      <c r="U421" s="714" t="s">
        <v>1106</v>
      </c>
      <c r="V421" s="714" t="s">
        <v>1106</v>
      </c>
      <c r="X421" s="745">
        <v>43588</v>
      </c>
      <c r="Y421" s="745">
        <v>43588</v>
      </c>
      <c r="AA421" s="745"/>
      <c r="AB421" s="714" t="s">
        <v>1079</v>
      </c>
      <c r="AC421" s="714">
        <v>0</v>
      </c>
      <c r="AD421" s="714">
        <v>0</v>
      </c>
      <c r="AE421" s="714">
        <v>0</v>
      </c>
      <c r="AF421" s="714">
        <v>0</v>
      </c>
      <c r="AG421" s="714">
        <v>0</v>
      </c>
      <c r="AH421" s="714">
        <v>1</v>
      </c>
      <c r="AI421" s="714">
        <v>70095</v>
      </c>
      <c r="AJ421" s="714">
        <v>2183</v>
      </c>
      <c r="AK421" s="714">
        <v>0</v>
      </c>
      <c r="AL421" s="714">
        <v>0</v>
      </c>
      <c r="AO421" s="748"/>
      <c r="AP421" s="748"/>
      <c r="AQ421" s="714" t="str">
        <f t="shared" si="12"/>
        <v/>
      </c>
      <c r="AS421" s="714" t="str">
        <f t="shared" si="13"/>
        <v>wci_corp</v>
      </c>
    </row>
    <row r="422" spans="2:45">
      <c r="B422" s="714" t="s">
        <v>1228</v>
      </c>
      <c r="C422" s="745">
        <v>43585</v>
      </c>
      <c r="D422" s="746">
        <v>-300</v>
      </c>
      <c r="E422" s="746">
        <v>0</v>
      </c>
      <c r="F422" s="747" t="s">
        <v>1074</v>
      </c>
      <c r="G422" s="714" t="s">
        <v>1107</v>
      </c>
      <c r="H422" s="748" t="s">
        <v>1075</v>
      </c>
      <c r="I422" s="714" t="s">
        <v>1081</v>
      </c>
      <c r="J422" s="714" t="s">
        <v>1082</v>
      </c>
      <c r="K422" s="714" t="s">
        <v>1078</v>
      </c>
      <c r="L422" s="718"/>
      <c r="M422" s="718"/>
      <c r="N422" s="718" t="s">
        <v>1558</v>
      </c>
      <c r="O422" s="739"/>
      <c r="P422" s="718"/>
      <c r="Q422" s="718"/>
      <c r="U422" s="714" t="s">
        <v>1108</v>
      </c>
      <c r="V422" s="714" t="s">
        <v>1108</v>
      </c>
      <c r="X422" s="745">
        <v>43588</v>
      </c>
      <c r="Y422" s="745">
        <v>43588</v>
      </c>
      <c r="AA422" s="745"/>
      <c r="AB422" s="714" t="s">
        <v>1079</v>
      </c>
      <c r="AC422" s="714">
        <v>0</v>
      </c>
      <c r="AD422" s="714">
        <v>0</v>
      </c>
      <c r="AE422" s="714">
        <v>0</v>
      </c>
      <c r="AF422" s="714">
        <v>0</v>
      </c>
      <c r="AG422" s="714">
        <v>0</v>
      </c>
      <c r="AH422" s="714">
        <v>1</v>
      </c>
      <c r="AI422" s="714">
        <v>70095</v>
      </c>
      <c r="AJ422" s="714">
        <v>2183</v>
      </c>
      <c r="AK422" s="714">
        <v>0</v>
      </c>
      <c r="AL422" s="714">
        <v>0</v>
      </c>
      <c r="AO422" s="748"/>
      <c r="AP422" s="748"/>
      <c r="AQ422" s="714" t="str">
        <f t="shared" si="12"/>
        <v/>
      </c>
      <c r="AS422" s="714" t="str">
        <f t="shared" si="13"/>
        <v>wci_corp</v>
      </c>
    </row>
    <row r="423" spans="2:45">
      <c r="B423" s="714" t="s">
        <v>1228</v>
      </c>
      <c r="C423" s="745">
        <v>43585</v>
      </c>
      <c r="D423" s="746">
        <v>-500</v>
      </c>
      <c r="E423" s="746">
        <v>0</v>
      </c>
      <c r="F423" s="747" t="s">
        <v>1074</v>
      </c>
      <c r="G423" s="714" t="s">
        <v>1107</v>
      </c>
      <c r="H423" s="748" t="s">
        <v>1075</v>
      </c>
      <c r="I423" s="714" t="s">
        <v>1081</v>
      </c>
      <c r="J423" s="714" t="s">
        <v>1082</v>
      </c>
      <c r="K423" s="714" t="s">
        <v>1078</v>
      </c>
      <c r="L423" s="718"/>
      <c r="M423" s="718"/>
      <c r="N423" s="718" t="s">
        <v>1571</v>
      </c>
      <c r="O423" s="739"/>
      <c r="P423" s="718"/>
      <c r="Q423" s="718"/>
      <c r="U423" s="714" t="s">
        <v>1108</v>
      </c>
      <c r="V423" s="714" t="s">
        <v>1108</v>
      </c>
      <c r="X423" s="745">
        <v>43588</v>
      </c>
      <c r="Y423" s="745">
        <v>43588</v>
      </c>
      <c r="AA423" s="745"/>
      <c r="AB423" s="714" t="s">
        <v>1079</v>
      </c>
      <c r="AC423" s="714">
        <v>0</v>
      </c>
      <c r="AD423" s="714">
        <v>0</v>
      </c>
      <c r="AE423" s="714">
        <v>0</v>
      </c>
      <c r="AF423" s="714">
        <v>0</v>
      </c>
      <c r="AG423" s="714">
        <v>0</v>
      </c>
      <c r="AH423" s="714">
        <v>1</v>
      </c>
      <c r="AI423" s="714">
        <v>70095</v>
      </c>
      <c r="AJ423" s="714">
        <v>2183</v>
      </c>
      <c r="AK423" s="714">
        <v>0</v>
      </c>
      <c r="AL423" s="714">
        <v>0</v>
      </c>
      <c r="AO423" s="748"/>
      <c r="AP423" s="748"/>
      <c r="AQ423" s="714" t="str">
        <f t="shared" si="12"/>
        <v/>
      </c>
      <c r="AS423" s="714" t="str">
        <f t="shared" si="13"/>
        <v>wci_corp</v>
      </c>
    </row>
    <row r="424" spans="2:45">
      <c r="B424" s="714" t="s">
        <v>1228</v>
      </c>
      <c r="C424" s="745">
        <v>43585</v>
      </c>
      <c r="D424" s="746">
        <v>-18.989999999999998</v>
      </c>
      <c r="E424" s="746">
        <v>0</v>
      </c>
      <c r="F424" s="747" t="s">
        <v>1074</v>
      </c>
      <c r="G424" s="714" t="s">
        <v>1107</v>
      </c>
      <c r="H424" s="748" t="s">
        <v>1075</v>
      </c>
      <c r="I424" s="714" t="s">
        <v>1081</v>
      </c>
      <c r="J424" s="714" t="s">
        <v>1082</v>
      </c>
      <c r="K424" s="714" t="s">
        <v>1078</v>
      </c>
      <c r="L424" s="718"/>
      <c r="M424" s="718"/>
      <c r="N424" s="718" t="s">
        <v>1572</v>
      </c>
      <c r="O424" s="739"/>
      <c r="P424" s="718"/>
      <c r="Q424" s="718"/>
      <c r="U424" s="714" t="s">
        <v>1108</v>
      </c>
      <c r="V424" s="714" t="s">
        <v>1108</v>
      </c>
      <c r="X424" s="745">
        <v>43588</v>
      </c>
      <c r="Y424" s="745">
        <v>43588</v>
      </c>
      <c r="AA424" s="745"/>
      <c r="AB424" s="714" t="s">
        <v>1079</v>
      </c>
      <c r="AC424" s="714">
        <v>0</v>
      </c>
      <c r="AD424" s="714">
        <v>0</v>
      </c>
      <c r="AE424" s="714">
        <v>0</v>
      </c>
      <c r="AF424" s="714">
        <v>0</v>
      </c>
      <c r="AG424" s="714">
        <v>0</v>
      </c>
      <c r="AH424" s="714">
        <v>1</v>
      </c>
      <c r="AI424" s="714">
        <v>70095</v>
      </c>
      <c r="AJ424" s="714">
        <v>2183</v>
      </c>
      <c r="AK424" s="714">
        <v>0</v>
      </c>
      <c r="AL424" s="714">
        <v>0</v>
      </c>
      <c r="AO424" s="748"/>
      <c r="AP424" s="748"/>
      <c r="AQ424" s="714" t="str">
        <f t="shared" si="12"/>
        <v/>
      </c>
      <c r="AS424" s="714" t="str">
        <f t="shared" si="13"/>
        <v>wci_corp</v>
      </c>
    </row>
    <row r="425" spans="2:45">
      <c r="B425" s="714" t="s">
        <v>1228</v>
      </c>
      <c r="C425" s="745">
        <v>43585</v>
      </c>
      <c r="D425" s="746">
        <v>-21.99</v>
      </c>
      <c r="E425" s="746">
        <v>0</v>
      </c>
      <c r="F425" s="747" t="s">
        <v>1074</v>
      </c>
      <c r="G425" s="714" t="s">
        <v>1107</v>
      </c>
      <c r="H425" s="748" t="s">
        <v>1075</v>
      </c>
      <c r="I425" s="714" t="s">
        <v>1081</v>
      </c>
      <c r="J425" s="714" t="s">
        <v>1082</v>
      </c>
      <c r="K425" s="714" t="s">
        <v>1078</v>
      </c>
      <c r="L425" s="718"/>
      <c r="M425" s="718"/>
      <c r="N425" s="718" t="s">
        <v>1573</v>
      </c>
      <c r="O425" s="739"/>
      <c r="P425" s="718"/>
      <c r="Q425" s="718"/>
      <c r="U425" s="714" t="s">
        <v>1108</v>
      </c>
      <c r="V425" s="714" t="s">
        <v>1108</v>
      </c>
      <c r="X425" s="745">
        <v>43588</v>
      </c>
      <c r="Y425" s="745">
        <v>43588</v>
      </c>
      <c r="AA425" s="745"/>
      <c r="AB425" s="714" t="s">
        <v>1079</v>
      </c>
      <c r="AC425" s="714">
        <v>0</v>
      </c>
      <c r="AD425" s="714">
        <v>0</v>
      </c>
      <c r="AE425" s="714">
        <v>0</v>
      </c>
      <c r="AF425" s="714">
        <v>0</v>
      </c>
      <c r="AG425" s="714">
        <v>0</v>
      </c>
      <c r="AH425" s="714">
        <v>1</v>
      </c>
      <c r="AI425" s="714">
        <v>70095</v>
      </c>
      <c r="AJ425" s="714">
        <v>2183</v>
      </c>
      <c r="AK425" s="714">
        <v>0</v>
      </c>
      <c r="AL425" s="714">
        <v>0</v>
      </c>
      <c r="AO425" s="748"/>
      <c r="AP425" s="748"/>
      <c r="AQ425" s="714" t="str">
        <f t="shared" si="12"/>
        <v/>
      </c>
      <c r="AS425" s="714" t="str">
        <f t="shared" si="13"/>
        <v>wci_corp</v>
      </c>
    </row>
    <row r="426" spans="2:45">
      <c r="B426" s="714" t="s">
        <v>1228</v>
      </c>
      <c r="C426" s="745">
        <v>43585</v>
      </c>
      <c r="D426" s="746">
        <v>90.72</v>
      </c>
      <c r="E426" s="746">
        <v>0</v>
      </c>
      <c r="F426" s="747" t="s">
        <v>1074</v>
      </c>
      <c r="G426" s="714" t="s">
        <v>1574</v>
      </c>
      <c r="H426" s="748" t="s">
        <v>1075</v>
      </c>
      <c r="I426" s="714" t="s">
        <v>1131</v>
      </c>
      <c r="J426" s="714" t="s">
        <v>1082</v>
      </c>
      <c r="K426" s="714" t="s">
        <v>1078</v>
      </c>
      <c r="L426" s="718"/>
      <c r="M426" s="718"/>
      <c r="N426" s="718" t="s">
        <v>1250</v>
      </c>
      <c r="O426" s="739"/>
      <c r="P426" s="718"/>
      <c r="Q426" s="718"/>
      <c r="U426" s="714" t="s">
        <v>1575</v>
      </c>
      <c r="V426" s="714" t="s">
        <v>1575</v>
      </c>
      <c r="X426" s="745">
        <v>43591</v>
      </c>
      <c r="Y426" s="745">
        <v>43591</v>
      </c>
      <c r="AA426" s="745"/>
      <c r="AB426" s="714" t="s">
        <v>1079</v>
      </c>
      <c r="AC426" s="714">
        <v>0</v>
      </c>
      <c r="AD426" s="714">
        <v>0</v>
      </c>
      <c r="AE426" s="714">
        <v>0</v>
      </c>
      <c r="AF426" s="714">
        <v>0</v>
      </c>
      <c r="AG426" s="714">
        <v>0</v>
      </c>
      <c r="AH426" s="714">
        <v>1</v>
      </c>
      <c r="AI426" s="714">
        <v>70095</v>
      </c>
      <c r="AJ426" s="714">
        <v>2183</v>
      </c>
      <c r="AK426" s="714">
        <v>0</v>
      </c>
      <c r="AL426" s="714">
        <v>0</v>
      </c>
      <c r="AO426" s="748"/>
      <c r="AP426" s="748"/>
      <c r="AQ426" s="714" t="str">
        <f t="shared" si="12"/>
        <v/>
      </c>
      <c r="AS426" s="714" t="str">
        <f t="shared" si="13"/>
        <v>wci_corp</v>
      </c>
    </row>
    <row r="427" spans="2:45">
      <c r="B427" s="714" t="s">
        <v>1228</v>
      </c>
      <c r="C427" s="745">
        <v>43585</v>
      </c>
      <c r="D427" s="746">
        <v>150.29</v>
      </c>
      <c r="E427" s="746">
        <v>0</v>
      </c>
      <c r="F427" s="747" t="s">
        <v>1074</v>
      </c>
      <c r="G427" s="714" t="s">
        <v>1574</v>
      </c>
      <c r="H427" s="748" t="s">
        <v>1075</v>
      </c>
      <c r="I427" s="714" t="s">
        <v>1131</v>
      </c>
      <c r="J427" s="714" t="s">
        <v>1082</v>
      </c>
      <c r="K427" s="714" t="s">
        <v>1078</v>
      </c>
      <c r="L427" s="718"/>
      <c r="M427" s="718"/>
      <c r="N427" s="718" t="s">
        <v>1250</v>
      </c>
      <c r="O427" s="739"/>
      <c r="P427" s="718"/>
      <c r="Q427" s="718"/>
      <c r="U427" s="714" t="s">
        <v>1575</v>
      </c>
      <c r="V427" s="714" t="s">
        <v>1575</v>
      </c>
      <c r="X427" s="745">
        <v>43591</v>
      </c>
      <c r="Y427" s="745">
        <v>43591</v>
      </c>
      <c r="AA427" s="745"/>
      <c r="AB427" s="714" t="s">
        <v>1079</v>
      </c>
      <c r="AC427" s="714">
        <v>0</v>
      </c>
      <c r="AD427" s="714">
        <v>0</v>
      </c>
      <c r="AE427" s="714">
        <v>0</v>
      </c>
      <c r="AF427" s="714">
        <v>0</v>
      </c>
      <c r="AG427" s="714">
        <v>0</v>
      </c>
      <c r="AH427" s="714">
        <v>1</v>
      </c>
      <c r="AI427" s="714">
        <v>70095</v>
      </c>
      <c r="AJ427" s="714">
        <v>2183</v>
      </c>
      <c r="AK427" s="714">
        <v>0</v>
      </c>
      <c r="AL427" s="714">
        <v>0</v>
      </c>
      <c r="AO427" s="748"/>
      <c r="AP427" s="748"/>
      <c r="AQ427" s="714" t="str">
        <f t="shared" si="12"/>
        <v/>
      </c>
      <c r="AS427" s="714" t="str">
        <f t="shared" si="13"/>
        <v>wci_corp</v>
      </c>
    </row>
    <row r="428" spans="2:45">
      <c r="B428" s="714" t="s">
        <v>1228</v>
      </c>
      <c r="C428" s="745">
        <v>43585</v>
      </c>
      <c r="D428" s="746">
        <v>18.989999999999998</v>
      </c>
      <c r="E428" s="746">
        <v>0</v>
      </c>
      <c r="F428" s="747" t="s">
        <v>1074</v>
      </c>
      <c r="G428" s="714" t="s">
        <v>1574</v>
      </c>
      <c r="H428" s="748" t="s">
        <v>1075</v>
      </c>
      <c r="I428" s="714" t="s">
        <v>1131</v>
      </c>
      <c r="J428" s="714" t="s">
        <v>1082</v>
      </c>
      <c r="K428" s="714" t="s">
        <v>1078</v>
      </c>
      <c r="L428" s="718"/>
      <c r="M428" s="718"/>
      <c r="N428" s="718" t="s">
        <v>1259</v>
      </c>
      <c r="O428" s="739"/>
      <c r="P428" s="718"/>
      <c r="Q428" s="718"/>
      <c r="U428" s="714" t="s">
        <v>1575</v>
      </c>
      <c r="V428" s="714" t="s">
        <v>1575</v>
      </c>
      <c r="X428" s="745">
        <v>43591</v>
      </c>
      <c r="Y428" s="745">
        <v>43591</v>
      </c>
      <c r="AA428" s="745"/>
      <c r="AB428" s="714" t="s">
        <v>1079</v>
      </c>
      <c r="AC428" s="714">
        <v>0</v>
      </c>
      <c r="AD428" s="714">
        <v>0</v>
      </c>
      <c r="AE428" s="714">
        <v>0</v>
      </c>
      <c r="AF428" s="714">
        <v>0</v>
      </c>
      <c r="AG428" s="714">
        <v>0</v>
      </c>
      <c r="AH428" s="714">
        <v>1</v>
      </c>
      <c r="AI428" s="714">
        <v>70095</v>
      </c>
      <c r="AJ428" s="714">
        <v>2183</v>
      </c>
      <c r="AK428" s="714">
        <v>0</v>
      </c>
      <c r="AL428" s="714">
        <v>0</v>
      </c>
      <c r="AO428" s="748"/>
      <c r="AP428" s="748"/>
      <c r="AQ428" s="714" t="str">
        <f t="shared" si="12"/>
        <v/>
      </c>
      <c r="AS428" s="714" t="str">
        <f t="shared" si="13"/>
        <v>wci_corp</v>
      </c>
    </row>
    <row r="429" spans="2:45">
      <c r="B429" s="714" t="s">
        <v>1228</v>
      </c>
      <c r="C429" s="745">
        <v>43585</v>
      </c>
      <c r="D429" s="746">
        <v>18.989999999999998</v>
      </c>
      <c r="E429" s="746">
        <v>0</v>
      </c>
      <c r="F429" s="747" t="s">
        <v>1074</v>
      </c>
      <c r="G429" s="714" t="s">
        <v>1574</v>
      </c>
      <c r="H429" s="748" t="s">
        <v>1075</v>
      </c>
      <c r="I429" s="714" t="s">
        <v>1131</v>
      </c>
      <c r="J429" s="714" t="s">
        <v>1082</v>
      </c>
      <c r="K429" s="714" t="s">
        <v>1078</v>
      </c>
      <c r="L429" s="718"/>
      <c r="M429" s="718"/>
      <c r="N429" s="718" t="s">
        <v>1259</v>
      </c>
      <c r="O429" s="739"/>
      <c r="P429" s="718"/>
      <c r="Q429" s="718"/>
      <c r="U429" s="714" t="s">
        <v>1575</v>
      </c>
      <c r="V429" s="714" t="s">
        <v>1575</v>
      </c>
      <c r="X429" s="745">
        <v>43591</v>
      </c>
      <c r="Y429" s="745">
        <v>43591</v>
      </c>
      <c r="AA429" s="745"/>
      <c r="AB429" s="714" t="s">
        <v>1079</v>
      </c>
      <c r="AC429" s="714">
        <v>0</v>
      </c>
      <c r="AD429" s="714">
        <v>0</v>
      </c>
      <c r="AE429" s="714">
        <v>0</v>
      </c>
      <c r="AF429" s="714">
        <v>0</v>
      </c>
      <c r="AG429" s="714">
        <v>0</v>
      </c>
      <c r="AH429" s="714">
        <v>1</v>
      </c>
      <c r="AI429" s="714">
        <v>70095</v>
      </c>
      <c r="AJ429" s="714">
        <v>2183</v>
      </c>
      <c r="AK429" s="714">
        <v>0</v>
      </c>
      <c r="AL429" s="714">
        <v>0</v>
      </c>
      <c r="AO429" s="748"/>
      <c r="AP429" s="748"/>
      <c r="AQ429" s="714" t="str">
        <f t="shared" si="12"/>
        <v/>
      </c>
      <c r="AS429" s="714" t="str">
        <f t="shared" si="13"/>
        <v>wci_corp</v>
      </c>
    </row>
    <row r="430" spans="2:45">
      <c r="B430" s="714" t="s">
        <v>1228</v>
      </c>
      <c r="C430" s="745">
        <v>43585</v>
      </c>
      <c r="D430" s="746">
        <v>21.99</v>
      </c>
      <c r="E430" s="746">
        <v>0</v>
      </c>
      <c r="F430" s="747" t="s">
        <v>1074</v>
      </c>
      <c r="G430" s="714" t="s">
        <v>1574</v>
      </c>
      <c r="H430" s="748" t="s">
        <v>1075</v>
      </c>
      <c r="I430" s="714" t="s">
        <v>1131</v>
      </c>
      <c r="J430" s="714" t="s">
        <v>1082</v>
      </c>
      <c r="K430" s="714" t="s">
        <v>1078</v>
      </c>
      <c r="L430" s="718"/>
      <c r="M430" s="718"/>
      <c r="N430" s="718" t="s">
        <v>1288</v>
      </c>
      <c r="O430" s="739"/>
      <c r="P430" s="718"/>
      <c r="Q430" s="718"/>
      <c r="U430" s="714" t="s">
        <v>1575</v>
      </c>
      <c r="V430" s="714" t="s">
        <v>1575</v>
      </c>
      <c r="X430" s="745">
        <v>43591</v>
      </c>
      <c r="Y430" s="745">
        <v>43591</v>
      </c>
      <c r="AA430" s="745"/>
      <c r="AB430" s="714" t="s">
        <v>1079</v>
      </c>
      <c r="AC430" s="714">
        <v>0</v>
      </c>
      <c r="AD430" s="714">
        <v>0</v>
      </c>
      <c r="AE430" s="714">
        <v>0</v>
      </c>
      <c r="AF430" s="714">
        <v>0</v>
      </c>
      <c r="AG430" s="714">
        <v>0</v>
      </c>
      <c r="AH430" s="714">
        <v>1</v>
      </c>
      <c r="AI430" s="714">
        <v>70095</v>
      </c>
      <c r="AJ430" s="714">
        <v>2183</v>
      </c>
      <c r="AK430" s="714">
        <v>0</v>
      </c>
      <c r="AL430" s="714">
        <v>0</v>
      </c>
      <c r="AO430" s="748"/>
      <c r="AP430" s="748"/>
      <c r="AQ430" s="714" t="str">
        <f t="shared" si="12"/>
        <v/>
      </c>
      <c r="AS430" s="714" t="str">
        <f t="shared" si="13"/>
        <v>wci_corp</v>
      </c>
    </row>
    <row r="431" spans="2:45">
      <c r="B431" s="714" t="s">
        <v>1228</v>
      </c>
      <c r="C431" s="745">
        <v>43585</v>
      </c>
      <c r="D431" s="746">
        <v>33.35</v>
      </c>
      <c r="E431" s="746">
        <v>0</v>
      </c>
      <c r="F431" s="747" t="s">
        <v>1074</v>
      </c>
      <c r="G431" s="714" t="s">
        <v>1574</v>
      </c>
      <c r="H431" s="748" t="s">
        <v>1075</v>
      </c>
      <c r="I431" s="714" t="s">
        <v>1131</v>
      </c>
      <c r="J431" s="714" t="s">
        <v>1082</v>
      </c>
      <c r="K431" s="714" t="s">
        <v>1078</v>
      </c>
      <c r="L431" s="718"/>
      <c r="M431" s="718"/>
      <c r="N431" s="718" t="s">
        <v>1288</v>
      </c>
      <c r="O431" s="739"/>
      <c r="P431" s="718"/>
      <c r="Q431" s="718"/>
      <c r="U431" s="714" t="s">
        <v>1575</v>
      </c>
      <c r="V431" s="714" t="s">
        <v>1575</v>
      </c>
      <c r="X431" s="745">
        <v>43591</v>
      </c>
      <c r="Y431" s="745">
        <v>43591</v>
      </c>
      <c r="AA431" s="745"/>
      <c r="AB431" s="714" t="s">
        <v>1079</v>
      </c>
      <c r="AC431" s="714">
        <v>0</v>
      </c>
      <c r="AD431" s="714">
        <v>0</v>
      </c>
      <c r="AE431" s="714">
        <v>0</v>
      </c>
      <c r="AF431" s="714">
        <v>0</v>
      </c>
      <c r="AG431" s="714">
        <v>0</v>
      </c>
      <c r="AH431" s="714">
        <v>1</v>
      </c>
      <c r="AI431" s="714">
        <v>70095</v>
      </c>
      <c r="AJ431" s="714">
        <v>2183</v>
      </c>
      <c r="AK431" s="714">
        <v>0</v>
      </c>
      <c r="AL431" s="714">
        <v>0</v>
      </c>
      <c r="AO431" s="748"/>
      <c r="AP431" s="748"/>
      <c r="AQ431" s="714" t="str">
        <f t="shared" si="12"/>
        <v/>
      </c>
      <c r="AS431" s="714" t="str">
        <f t="shared" si="13"/>
        <v>wci_corp</v>
      </c>
    </row>
    <row r="432" spans="2:45">
      <c r="B432" s="714" t="s">
        <v>1228</v>
      </c>
      <c r="C432" s="745">
        <v>43585</v>
      </c>
      <c r="D432" s="746">
        <v>300</v>
      </c>
      <c r="E432" s="746">
        <v>0</v>
      </c>
      <c r="F432" s="747" t="s">
        <v>1074</v>
      </c>
      <c r="G432" s="714" t="s">
        <v>1109</v>
      </c>
      <c r="H432" s="748" t="s">
        <v>1075</v>
      </c>
      <c r="I432" s="714" t="s">
        <v>1081</v>
      </c>
      <c r="J432" s="714" t="s">
        <v>1092</v>
      </c>
      <c r="K432" s="714" t="s">
        <v>1078</v>
      </c>
      <c r="L432" s="718"/>
      <c r="M432" s="718"/>
      <c r="N432" s="718" t="s">
        <v>1558</v>
      </c>
      <c r="O432" s="739"/>
      <c r="P432" s="718"/>
      <c r="Q432" s="718"/>
      <c r="U432" s="714" t="s">
        <v>1110</v>
      </c>
      <c r="V432" s="714" t="s">
        <v>1110</v>
      </c>
      <c r="X432" s="745">
        <v>43591</v>
      </c>
      <c r="Y432" s="745">
        <v>43592</v>
      </c>
      <c r="AA432" s="745"/>
      <c r="AB432" s="714" t="s">
        <v>1079</v>
      </c>
      <c r="AC432" s="714">
        <v>0</v>
      </c>
      <c r="AD432" s="714">
        <v>0</v>
      </c>
      <c r="AE432" s="714">
        <v>0</v>
      </c>
      <c r="AF432" s="714">
        <v>0</v>
      </c>
      <c r="AG432" s="714">
        <v>0</v>
      </c>
      <c r="AH432" s="714">
        <v>1</v>
      </c>
      <c r="AI432" s="714">
        <v>70095</v>
      </c>
      <c r="AJ432" s="714">
        <v>2183</v>
      </c>
      <c r="AK432" s="714">
        <v>0</v>
      </c>
      <c r="AL432" s="714">
        <v>0</v>
      </c>
      <c r="AO432" s="748"/>
      <c r="AP432" s="748"/>
      <c r="AQ432" s="714" t="str">
        <f t="shared" si="12"/>
        <v/>
      </c>
      <c r="AS432" s="714" t="str">
        <f t="shared" si="13"/>
        <v>wci_corp</v>
      </c>
    </row>
    <row r="433" spans="2:45">
      <c r="B433" s="714" t="s">
        <v>1228</v>
      </c>
      <c r="C433" s="745">
        <v>43585</v>
      </c>
      <c r="D433" s="746">
        <v>500</v>
      </c>
      <c r="E433" s="746">
        <v>0</v>
      </c>
      <c r="F433" s="747" t="s">
        <v>1074</v>
      </c>
      <c r="G433" s="714" t="s">
        <v>1109</v>
      </c>
      <c r="H433" s="748" t="s">
        <v>1075</v>
      </c>
      <c r="I433" s="714" t="s">
        <v>1081</v>
      </c>
      <c r="J433" s="714" t="s">
        <v>1092</v>
      </c>
      <c r="K433" s="714" t="s">
        <v>1078</v>
      </c>
      <c r="L433" s="718"/>
      <c r="M433" s="718"/>
      <c r="N433" s="718" t="s">
        <v>1571</v>
      </c>
      <c r="O433" s="739"/>
      <c r="P433" s="718"/>
      <c r="Q433" s="718"/>
      <c r="U433" s="714" t="s">
        <v>1110</v>
      </c>
      <c r="V433" s="714" t="s">
        <v>1110</v>
      </c>
      <c r="X433" s="745">
        <v>43591</v>
      </c>
      <c r="Y433" s="745">
        <v>43592</v>
      </c>
      <c r="AA433" s="745"/>
      <c r="AB433" s="714" t="s">
        <v>1079</v>
      </c>
      <c r="AC433" s="714">
        <v>0</v>
      </c>
      <c r="AD433" s="714">
        <v>0</v>
      </c>
      <c r="AE433" s="714">
        <v>0</v>
      </c>
      <c r="AF433" s="714">
        <v>0</v>
      </c>
      <c r="AG433" s="714">
        <v>0</v>
      </c>
      <c r="AH433" s="714">
        <v>1</v>
      </c>
      <c r="AI433" s="714">
        <v>70095</v>
      </c>
      <c r="AJ433" s="714">
        <v>2183</v>
      </c>
      <c r="AK433" s="714">
        <v>0</v>
      </c>
      <c r="AL433" s="714">
        <v>0</v>
      </c>
      <c r="AO433" s="748"/>
      <c r="AP433" s="748"/>
      <c r="AQ433" s="714" t="str">
        <f t="shared" si="12"/>
        <v/>
      </c>
      <c r="AS433" s="714" t="str">
        <f t="shared" si="13"/>
        <v>wci_corp</v>
      </c>
    </row>
    <row r="434" spans="2:45">
      <c r="C434" s="745"/>
      <c r="D434" s="749"/>
      <c r="E434" s="749"/>
      <c r="F434" s="749"/>
      <c r="H434" s="717"/>
    </row>
    <row r="435" spans="2:45">
      <c r="B435" s="750" t="s">
        <v>1111</v>
      </c>
      <c r="C435" s="750"/>
      <c r="D435" s="751"/>
      <c r="E435" s="751"/>
      <c r="F435" s="751"/>
      <c r="G435" s="750"/>
      <c r="H435" s="752"/>
      <c r="I435" s="750"/>
      <c r="J435" s="750"/>
      <c r="K435" s="750"/>
      <c r="L435" s="750"/>
      <c r="M435" s="750"/>
      <c r="N435" s="750"/>
      <c r="O435" s="750"/>
      <c r="P435" s="750"/>
      <c r="Q435" s="750"/>
      <c r="R435" s="750"/>
      <c r="S435" s="750"/>
      <c r="T435" s="750"/>
      <c r="U435" s="750"/>
      <c r="V435" s="750"/>
      <c r="W435" s="750"/>
      <c r="X435" s="750"/>
      <c r="Y435" s="750"/>
      <c r="Z435" s="750"/>
      <c r="AA435" s="750"/>
      <c r="AB435" s="750"/>
      <c r="AC435" s="750"/>
      <c r="AD435" s="750"/>
      <c r="AE435" s="750"/>
      <c r="AF435" s="750"/>
      <c r="AG435" s="750"/>
      <c r="AH435" s="750"/>
      <c r="AI435" s="750"/>
      <c r="AJ435" s="750"/>
      <c r="AK435" s="750"/>
      <c r="AL435" s="750"/>
      <c r="AM435" s="750"/>
      <c r="AN435" s="750"/>
      <c r="AO435" s="750"/>
      <c r="AP435" s="753"/>
    </row>
    <row r="436" spans="2:45">
      <c r="H436" s="717"/>
    </row>
    <row r="437" spans="2:45">
      <c r="B437" s="672"/>
      <c r="H437" s="717"/>
    </row>
    <row r="438" spans="2:45">
      <c r="B438" s="714" t="s">
        <v>1112</v>
      </c>
      <c r="C438" s="714" t="s">
        <v>1113</v>
      </c>
      <c r="D438" s="755" t="s">
        <v>1114</v>
      </c>
      <c r="F438" s="668" t="s">
        <v>1576</v>
      </c>
      <c r="H438" s="717"/>
    </row>
    <row r="439" spans="2:45">
      <c r="B439" s="718" t="s">
        <v>1231</v>
      </c>
      <c r="C439" s="680">
        <v>136.82999999999998</v>
      </c>
      <c r="D439" s="680">
        <v>136.82999999999998</v>
      </c>
      <c r="E439" s="754" t="s">
        <v>1577</v>
      </c>
      <c r="F439" s="668"/>
      <c r="H439" s="717"/>
    </row>
    <row r="440" spans="2:45">
      <c r="B440" s="718" t="s">
        <v>1240</v>
      </c>
      <c r="C440" s="680">
        <v>84.78</v>
      </c>
      <c r="D440" s="680">
        <v>84.78</v>
      </c>
      <c r="E440" s="754" t="s">
        <v>1577</v>
      </c>
      <c r="F440" s="668"/>
      <c r="H440" s="717"/>
    </row>
    <row r="441" spans="2:45">
      <c r="B441" s="718" t="s">
        <v>1245</v>
      </c>
      <c r="C441" s="680">
        <v>-40</v>
      </c>
      <c r="D441" s="680">
        <v>-40</v>
      </c>
      <c r="E441" s="667"/>
      <c r="F441" s="668"/>
      <c r="H441" s="717"/>
    </row>
    <row r="442" spans="2:45">
      <c r="B442" s="718" t="s">
        <v>1246</v>
      </c>
      <c r="C442" s="680">
        <v>-40</v>
      </c>
      <c r="D442" s="680">
        <v>-40</v>
      </c>
      <c r="E442" s="667"/>
      <c r="F442" s="668"/>
      <c r="H442" s="717"/>
    </row>
    <row r="443" spans="2:45">
      <c r="B443" s="718" t="s">
        <v>1247</v>
      </c>
      <c r="C443" s="680">
        <v>-56.83</v>
      </c>
      <c r="D443" s="680">
        <v>-56.83</v>
      </c>
      <c r="E443" s="667"/>
      <c r="F443" s="668"/>
      <c r="H443" s="717"/>
    </row>
    <row r="444" spans="2:45">
      <c r="B444" s="718" t="s">
        <v>1248</v>
      </c>
      <c r="C444" s="680">
        <v>-30.98</v>
      </c>
      <c r="D444" s="680">
        <v>-30.98</v>
      </c>
      <c r="E444" s="667"/>
      <c r="F444" s="668"/>
      <c r="H444" s="717"/>
    </row>
    <row r="445" spans="2:45">
      <c r="B445" s="718" t="s">
        <v>1249</v>
      </c>
      <c r="C445" s="680">
        <v>2662.96</v>
      </c>
      <c r="D445" s="680">
        <v>2662.96</v>
      </c>
      <c r="E445" s="667"/>
      <c r="F445" s="668" t="s">
        <v>1906</v>
      </c>
      <c r="H445" s="717"/>
    </row>
    <row r="446" spans="2:45">
      <c r="B446" s="718" t="s">
        <v>1250</v>
      </c>
      <c r="C446" s="680">
        <v>1921.92</v>
      </c>
      <c r="D446" s="680">
        <v>1921.92</v>
      </c>
      <c r="E446" s="667"/>
      <c r="F446" s="668"/>
      <c r="H446" s="717"/>
    </row>
    <row r="447" spans="2:45">
      <c r="B447" s="718" t="s">
        <v>1251</v>
      </c>
      <c r="C447" s="680">
        <v>0</v>
      </c>
      <c r="D447" s="680">
        <v>0</v>
      </c>
      <c r="E447" s="667"/>
      <c r="F447" s="668"/>
      <c r="H447" s="717"/>
    </row>
    <row r="448" spans="2:45">
      <c r="B448" s="718" t="s">
        <v>1254</v>
      </c>
      <c r="C448" s="680">
        <v>57.61</v>
      </c>
      <c r="D448" s="680">
        <v>57.61</v>
      </c>
      <c r="E448" s="667"/>
      <c r="F448" s="668"/>
      <c r="H448" s="717"/>
    </row>
    <row r="449" spans="2:8">
      <c r="B449" s="718" t="s">
        <v>1259</v>
      </c>
      <c r="C449" s="680">
        <v>1553.6700000000005</v>
      </c>
      <c r="D449" s="680">
        <v>1553.6700000000005</v>
      </c>
      <c r="E449" s="667"/>
      <c r="F449" s="668"/>
      <c r="H449" s="717"/>
    </row>
    <row r="450" spans="2:8">
      <c r="B450" s="718" t="s">
        <v>1260</v>
      </c>
      <c r="C450" s="680">
        <v>84.12</v>
      </c>
      <c r="D450" s="680">
        <v>84.12</v>
      </c>
      <c r="E450" s="667"/>
      <c r="F450" s="668"/>
      <c r="H450" s="717"/>
    </row>
    <row r="451" spans="2:8">
      <c r="B451" s="718" t="s">
        <v>1261</v>
      </c>
      <c r="C451" s="680">
        <v>8.76</v>
      </c>
      <c r="D451" s="680">
        <v>8.76</v>
      </c>
      <c r="E451" s="667"/>
      <c r="F451" s="668"/>
      <c r="H451" s="717"/>
    </row>
    <row r="452" spans="2:8">
      <c r="B452" s="718" t="s">
        <v>1262</v>
      </c>
      <c r="C452" s="680">
        <v>7.61</v>
      </c>
      <c r="D452" s="680">
        <v>7.61</v>
      </c>
      <c r="E452" s="667"/>
      <c r="F452" s="668"/>
      <c r="H452" s="717"/>
    </row>
    <row r="453" spans="2:8">
      <c r="B453" s="718" t="s">
        <v>1263</v>
      </c>
      <c r="C453" s="680">
        <v>0</v>
      </c>
      <c r="D453" s="680">
        <v>0</v>
      </c>
      <c r="E453" s="667"/>
      <c r="F453" s="668"/>
      <c r="H453" s="717"/>
    </row>
    <row r="454" spans="2:8">
      <c r="B454" s="718" t="s">
        <v>1264</v>
      </c>
      <c r="C454" s="680">
        <v>0</v>
      </c>
      <c r="D454" s="680">
        <v>0</v>
      </c>
      <c r="E454" s="667"/>
      <c r="F454" s="668"/>
    </row>
    <row r="455" spans="2:8">
      <c r="B455" s="718" t="s">
        <v>1266</v>
      </c>
      <c r="C455" s="680">
        <v>91.49</v>
      </c>
      <c r="D455" s="680">
        <v>91.49</v>
      </c>
      <c r="E455" s="667"/>
      <c r="F455" s="668"/>
    </row>
    <row r="456" spans="2:8">
      <c r="B456" s="718" t="s">
        <v>1270</v>
      </c>
      <c r="C456" s="680">
        <v>2500</v>
      </c>
      <c r="D456" s="680">
        <v>2500</v>
      </c>
      <c r="E456" s="754" t="s">
        <v>1577</v>
      </c>
      <c r="F456" s="668" t="s">
        <v>1317</v>
      </c>
    </row>
    <row r="457" spans="2:8">
      <c r="B457" s="718" t="s">
        <v>1278</v>
      </c>
      <c r="C457" s="680">
        <v>6430.3199999999988</v>
      </c>
      <c r="D457" s="680">
        <v>6430.3199999999988</v>
      </c>
      <c r="E457" s="667"/>
      <c r="F457" s="668" t="s">
        <v>1578</v>
      </c>
    </row>
    <row r="458" spans="2:8">
      <c r="B458" s="718" t="s">
        <v>1285</v>
      </c>
      <c r="C458" s="680">
        <v>96.38</v>
      </c>
      <c r="D458" s="680">
        <v>96.38</v>
      </c>
      <c r="E458" s="667"/>
      <c r="F458" s="668"/>
    </row>
    <row r="459" spans="2:8">
      <c r="B459" s="718" t="s">
        <v>1286</v>
      </c>
      <c r="C459" s="680">
        <v>28.15</v>
      </c>
      <c r="D459" s="680">
        <v>28.15</v>
      </c>
      <c r="E459" s="667"/>
      <c r="F459" s="668"/>
    </row>
    <row r="460" spans="2:8">
      <c r="B460" s="718" t="s">
        <v>1287</v>
      </c>
      <c r="C460" s="680">
        <v>250</v>
      </c>
      <c r="D460" s="680">
        <v>250</v>
      </c>
      <c r="E460" s="754" t="s">
        <v>1577</v>
      </c>
      <c r="F460" s="668" t="s">
        <v>1317</v>
      </c>
    </row>
    <row r="461" spans="2:8">
      <c r="B461" s="718" t="s">
        <v>1288</v>
      </c>
      <c r="C461" s="680">
        <v>428.50000000000006</v>
      </c>
      <c r="D461" s="680">
        <v>428.50000000000006</v>
      </c>
      <c r="E461" s="667"/>
      <c r="F461" s="668"/>
    </row>
    <row r="462" spans="2:8">
      <c r="B462" s="666" t="s">
        <v>1289</v>
      </c>
      <c r="C462" s="665">
        <v>700</v>
      </c>
      <c r="D462" s="665">
        <v>700</v>
      </c>
      <c r="E462" s="667" t="s">
        <v>1577</v>
      </c>
      <c r="F462" s="668" t="s">
        <v>1317</v>
      </c>
    </row>
    <row r="463" spans="2:8">
      <c r="B463" s="718" t="s">
        <v>1290</v>
      </c>
      <c r="C463" s="680">
        <v>234.29</v>
      </c>
      <c r="D463" s="680">
        <v>234.29</v>
      </c>
      <c r="E463" s="667"/>
      <c r="F463" s="668"/>
    </row>
    <row r="464" spans="2:8">
      <c r="B464" s="718" t="s">
        <v>1291</v>
      </c>
      <c r="C464" s="680">
        <v>64.83</v>
      </c>
      <c r="D464" s="680">
        <v>64.83</v>
      </c>
      <c r="E464" s="667"/>
      <c r="F464" s="668"/>
    </row>
    <row r="465" spans="2:6">
      <c r="B465" s="666" t="s">
        <v>1292</v>
      </c>
      <c r="C465" s="665">
        <v>82.6</v>
      </c>
      <c r="D465" s="665">
        <v>82.6</v>
      </c>
      <c r="E465" s="667"/>
      <c r="F465" s="668" t="s">
        <v>1579</v>
      </c>
    </row>
    <row r="466" spans="2:6">
      <c r="B466" s="718" t="s">
        <v>1293</v>
      </c>
      <c r="C466" s="680">
        <v>321.75</v>
      </c>
      <c r="D466" s="680">
        <v>321.75</v>
      </c>
      <c r="E466" s="667"/>
      <c r="F466" s="668"/>
    </row>
    <row r="467" spans="2:6">
      <c r="B467" s="718" t="s">
        <v>1294</v>
      </c>
      <c r="C467" s="680">
        <v>34.76</v>
      </c>
      <c r="D467" s="680">
        <v>34.76</v>
      </c>
      <c r="E467" s="667"/>
      <c r="F467" s="668"/>
    </row>
    <row r="468" spans="2:6">
      <c r="B468" s="666" t="s">
        <v>1297</v>
      </c>
      <c r="C468" s="665">
        <v>322.10000000000002</v>
      </c>
      <c r="D468" s="665">
        <v>322.10000000000002</v>
      </c>
      <c r="E468" s="667"/>
      <c r="F468" s="668"/>
    </row>
    <row r="469" spans="2:6">
      <c r="B469" s="718" t="s">
        <v>1301</v>
      </c>
      <c r="C469" s="680">
        <v>7393.48</v>
      </c>
      <c r="D469" s="680">
        <v>7393.48</v>
      </c>
      <c r="E469" s="667"/>
      <c r="F469" s="668" t="s">
        <v>1580</v>
      </c>
    </row>
    <row r="470" spans="2:6">
      <c r="B470" s="718" t="s">
        <v>1303</v>
      </c>
      <c r="C470" s="680">
        <v>41.34</v>
      </c>
      <c r="D470" s="680">
        <v>41.34</v>
      </c>
      <c r="E470" s="667"/>
      <c r="F470" s="668"/>
    </row>
    <row r="471" spans="2:6">
      <c r="B471" s="718" t="s">
        <v>1304</v>
      </c>
      <c r="C471" s="680">
        <v>579.25</v>
      </c>
      <c r="D471" s="680">
        <v>579.25</v>
      </c>
      <c r="E471" s="667"/>
      <c r="F471" s="668"/>
    </row>
    <row r="472" spans="2:6">
      <c r="B472" s="718" t="s">
        <v>1305</v>
      </c>
      <c r="C472" s="680">
        <v>138.41999999999999</v>
      </c>
      <c r="D472" s="680">
        <v>138.41999999999999</v>
      </c>
      <c r="E472" s="667"/>
      <c r="F472" s="668"/>
    </row>
    <row r="473" spans="2:6">
      <c r="B473" s="718" t="s">
        <v>1306</v>
      </c>
      <c r="C473" s="680">
        <v>41.36</v>
      </c>
      <c r="D473" s="680">
        <v>41.36</v>
      </c>
      <c r="E473" s="667"/>
      <c r="F473" s="668"/>
    </row>
    <row r="474" spans="2:6">
      <c r="B474" s="718" t="s">
        <v>1307</v>
      </c>
      <c r="C474" s="680">
        <v>210.82000000000002</v>
      </c>
      <c r="D474" s="680">
        <v>210.82000000000002</v>
      </c>
      <c r="E474" s="667"/>
      <c r="F474" s="668"/>
    </row>
    <row r="475" spans="2:6">
      <c r="B475" s="718" t="s">
        <v>1308</v>
      </c>
      <c r="C475" s="680">
        <v>226.45</v>
      </c>
      <c r="D475" s="680">
        <v>226.45</v>
      </c>
      <c r="E475" s="754" t="s">
        <v>1577</v>
      </c>
      <c r="F475" s="668"/>
    </row>
    <row r="476" spans="2:6">
      <c r="B476" s="718" t="s">
        <v>1311</v>
      </c>
      <c r="C476" s="680">
        <v>238.96</v>
      </c>
      <c r="D476" s="680">
        <v>238.96</v>
      </c>
      <c r="E476" s="667"/>
      <c r="F476" s="668"/>
    </row>
    <row r="477" spans="2:6">
      <c r="B477" s="718" t="s">
        <v>1312</v>
      </c>
      <c r="C477" s="680">
        <v>0</v>
      </c>
      <c r="D477" s="680">
        <v>0</v>
      </c>
      <c r="E477" s="667"/>
      <c r="F477" s="668"/>
    </row>
    <row r="478" spans="2:6">
      <c r="B478" s="718" t="s">
        <v>1313</v>
      </c>
      <c r="C478" s="680">
        <v>0.98</v>
      </c>
      <c r="D478" s="680">
        <v>0.98</v>
      </c>
      <c r="E478" s="667"/>
      <c r="F478" s="668"/>
    </row>
    <row r="479" spans="2:6">
      <c r="B479" s="718" t="s">
        <v>1316</v>
      </c>
      <c r="C479" s="680">
        <v>1525</v>
      </c>
      <c r="D479" s="680">
        <v>1525</v>
      </c>
      <c r="E479" s="754" t="s">
        <v>1577</v>
      </c>
      <c r="F479" s="668"/>
    </row>
    <row r="480" spans="2:6">
      <c r="B480" s="718" t="s">
        <v>1239</v>
      </c>
      <c r="C480" s="680">
        <v>412.78999999999996</v>
      </c>
      <c r="D480" s="680">
        <v>412.78999999999996</v>
      </c>
      <c r="E480" s="754" t="s">
        <v>1577</v>
      </c>
      <c r="F480" s="668"/>
    </row>
    <row r="481" spans="2:6">
      <c r="B481" s="718" t="s">
        <v>1329</v>
      </c>
      <c r="C481" s="680">
        <v>368.65</v>
      </c>
      <c r="D481" s="680">
        <v>368.65</v>
      </c>
      <c r="E481" s="667"/>
      <c r="F481" s="668"/>
    </row>
    <row r="482" spans="2:6">
      <c r="B482" s="718" t="s">
        <v>1330</v>
      </c>
      <c r="C482" s="680">
        <v>21.98</v>
      </c>
      <c r="D482" s="680">
        <v>21.98</v>
      </c>
      <c r="E482" s="667"/>
      <c r="F482" s="668"/>
    </row>
    <row r="483" spans="2:6">
      <c r="B483" s="718" t="s">
        <v>1331</v>
      </c>
      <c r="C483" s="680">
        <v>87.13</v>
      </c>
      <c r="D483" s="680">
        <v>87.13</v>
      </c>
      <c r="E483" s="667"/>
      <c r="F483" s="668"/>
    </row>
    <row r="484" spans="2:6">
      <c r="B484" s="718" t="s">
        <v>1332</v>
      </c>
      <c r="C484" s="680">
        <v>33.479999999999997</v>
      </c>
      <c r="D484" s="680">
        <v>33.479999999999997</v>
      </c>
      <c r="E484" s="667"/>
      <c r="F484" s="668"/>
    </row>
    <row r="485" spans="2:6">
      <c r="B485" s="718" t="s">
        <v>1333</v>
      </c>
      <c r="C485" s="680">
        <v>14.99</v>
      </c>
      <c r="D485" s="680">
        <v>14.99</v>
      </c>
      <c r="E485" s="667"/>
      <c r="F485" s="668"/>
    </row>
    <row r="486" spans="2:6">
      <c r="B486" s="718" t="s">
        <v>1334</v>
      </c>
      <c r="C486" s="680">
        <v>100</v>
      </c>
      <c r="D486" s="680">
        <v>100</v>
      </c>
      <c r="E486" s="754" t="s">
        <v>1577</v>
      </c>
      <c r="F486" s="668"/>
    </row>
    <row r="487" spans="2:6">
      <c r="B487" s="718" t="s">
        <v>1335</v>
      </c>
      <c r="C487" s="680">
        <v>45.15</v>
      </c>
      <c r="D487" s="680">
        <v>45.15</v>
      </c>
      <c r="E487" s="667"/>
      <c r="F487" s="668"/>
    </row>
    <row r="488" spans="2:6">
      <c r="B488" s="718" t="s">
        <v>1336</v>
      </c>
      <c r="C488" s="680">
        <v>52.14</v>
      </c>
      <c r="D488" s="680">
        <v>52.14</v>
      </c>
      <c r="E488" s="667"/>
      <c r="F488" s="668"/>
    </row>
    <row r="489" spans="2:6">
      <c r="B489" s="718" t="s">
        <v>1339</v>
      </c>
      <c r="C489" s="680">
        <v>38.130000000000003</v>
      </c>
      <c r="D489" s="680">
        <v>38.130000000000003</v>
      </c>
      <c r="E489" s="667"/>
      <c r="F489" s="668"/>
    </row>
    <row r="490" spans="2:6">
      <c r="B490" s="718" t="s">
        <v>1342</v>
      </c>
      <c r="C490" s="680">
        <v>500</v>
      </c>
      <c r="D490" s="680">
        <v>500</v>
      </c>
      <c r="E490" s="667"/>
      <c r="F490" s="668"/>
    </row>
    <row r="491" spans="2:6">
      <c r="B491" s="718" t="s">
        <v>1344</v>
      </c>
      <c r="C491" s="680">
        <v>100</v>
      </c>
      <c r="D491" s="680">
        <v>100</v>
      </c>
      <c r="E491" s="667"/>
      <c r="F491" s="668"/>
    </row>
    <row r="492" spans="2:6">
      <c r="B492" s="718" t="s">
        <v>1345</v>
      </c>
      <c r="C492" s="680">
        <v>83.13</v>
      </c>
      <c r="D492" s="680">
        <v>83.13</v>
      </c>
      <c r="E492" s="667"/>
      <c r="F492" s="668"/>
    </row>
    <row r="493" spans="2:6">
      <c r="B493" s="718" t="s">
        <v>1346</v>
      </c>
      <c r="C493" s="680">
        <v>564.79</v>
      </c>
      <c r="D493" s="680">
        <v>564.79</v>
      </c>
      <c r="E493" s="667"/>
      <c r="F493" s="668"/>
    </row>
    <row r="494" spans="2:6">
      <c r="B494" s="718" t="s">
        <v>1348</v>
      </c>
      <c r="C494" s="680">
        <v>3025.9</v>
      </c>
      <c r="D494" s="680">
        <v>3025.9</v>
      </c>
      <c r="E494" s="667"/>
      <c r="F494" s="668" t="s">
        <v>1907</v>
      </c>
    </row>
    <row r="495" spans="2:6">
      <c r="B495" s="718" t="s">
        <v>1350</v>
      </c>
      <c r="C495" s="680">
        <v>0</v>
      </c>
      <c r="D495" s="680">
        <v>0</v>
      </c>
      <c r="E495" s="667"/>
      <c r="F495" s="668"/>
    </row>
    <row r="496" spans="2:6">
      <c r="B496" s="718" t="s">
        <v>1353</v>
      </c>
      <c r="C496" s="680">
        <v>1000</v>
      </c>
      <c r="D496" s="680">
        <v>1000</v>
      </c>
      <c r="E496" s="754" t="s">
        <v>1577</v>
      </c>
      <c r="F496" s="668"/>
    </row>
    <row r="497" spans="2:6">
      <c r="B497" s="718" t="s">
        <v>1368</v>
      </c>
      <c r="C497" s="680">
        <v>750</v>
      </c>
      <c r="D497" s="680">
        <v>750</v>
      </c>
      <c r="E497" s="754" t="s">
        <v>1577</v>
      </c>
      <c r="F497" s="668"/>
    </row>
    <row r="498" spans="2:6">
      <c r="B498" s="718" t="s">
        <v>1374</v>
      </c>
      <c r="C498" s="680">
        <v>-0.98</v>
      </c>
      <c r="D498" s="680">
        <v>-0.98</v>
      </c>
      <c r="E498" s="667"/>
      <c r="F498" s="668"/>
    </row>
    <row r="499" spans="2:6">
      <c r="B499" s="718" t="s">
        <v>1375</v>
      </c>
      <c r="C499" s="680">
        <v>20.36</v>
      </c>
      <c r="D499" s="680">
        <v>20.36</v>
      </c>
      <c r="E499" s="667"/>
      <c r="F499" s="668"/>
    </row>
    <row r="500" spans="2:6">
      <c r="B500" s="718" t="s">
        <v>1376</v>
      </c>
      <c r="C500" s="680">
        <v>100</v>
      </c>
      <c r="D500" s="680">
        <v>100</v>
      </c>
      <c r="E500" s="754" t="s">
        <v>1577</v>
      </c>
      <c r="F500" s="668"/>
    </row>
    <row r="501" spans="2:6">
      <c r="B501" s="718" t="s">
        <v>1377</v>
      </c>
      <c r="C501" s="680">
        <v>250</v>
      </c>
      <c r="D501" s="680">
        <v>250</v>
      </c>
      <c r="E501" s="754" t="s">
        <v>1577</v>
      </c>
      <c r="F501" s="668"/>
    </row>
    <row r="502" spans="2:6">
      <c r="B502" s="718" t="s">
        <v>1378</v>
      </c>
      <c r="C502" s="680">
        <v>100</v>
      </c>
      <c r="D502" s="680">
        <v>100</v>
      </c>
      <c r="E502" s="754" t="s">
        <v>1577</v>
      </c>
      <c r="F502" s="668"/>
    </row>
    <row r="503" spans="2:6">
      <c r="B503" s="718" t="s">
        <v>1380</v>
      </c>
      <c r="C503" s="680">
        <v>24005.73</v>
      </c>
      <c r="D503" s="680">
        <v>24005.73</v>
      </c>
      <c r="E503" s="667"/>
      <c r="F503" s="668" t="s">
        <v>1581</v>
      </c>
    </row>
    <row r="504" spans="2:6">
      <c r="B504" s="718" t="s">
        <v>1382</v>
      </c>
      <c r="C504" s="680">
        <v>500</v>
      </c>
      <c r="D504" s="680">
        <v>500</v>
      </c>
      <c r="E504" s="754" t="s">
        <v>1577</v>
      </c>
      <c r="F504" s="668"/>
    </row>
    <row r="505" spans="2:6">
      <c r="B505" s="718" t="s">
        <v>1384</v>
      </c>
      <c r="C505" s="680">
        <v>1000</v>
      </c>
      <c r="D505" s="680">
        <v>1000</v>
      </c>
      <c r="E505" s="754" t="s">
        <v>1577</v>
      </c>
      <c r="F505" s="668"/>
    </row>
    <row r="506" spans="2:6">
      <c r="B506" s="718" t="s">
        <v>1390</v>
      </c>
      <c r="C506" s="680">
        <v>166.76</v>
      </c>
      <c r="D506" s="680">
        <v>166.76</v>
      </c>
      <c r="E506" s="667"/>
      <c r="F506" s="668"/>
    </row>
    <row r="507" spans="2:6">
      <c r="B507" s="718" t="s">
        <v>1392</v>
      </c>
      <c r="C507" s="680">
        <v>1480.99</v>
      </c>
      <c r="D507" s="680">
        <v>1480.99</v>
      </c>
      <c r="E507" s="667"/>
      <c r="F507" s="668"/>
    </row>
    <row r="508" spans="2:6">
      <c r="B508" s="718" t="s">
        <v>1396</v>
      </c>
      <c r="C508" s="680">
        <v>64.040000000000006</v>
      </c>
      <c r="D508" s="680">
        <v>64.040000000000006</v>
      </c>
      <c r="E508" s="667"/>
      <c r="F508" s="668"/>
    </row>
    <row r="509" spans="2:6">
      <c r="B509" s="718" t="s">
        <v>1399</v>
      </c>
      <c r="C509" s="680">
        <v>100.15</v>
      </c>
      <c r="D509" s="680">
        <v>100.15</v>
      </c>
      <c r="E509" s="667"/>
      <c r="F509" s="668"/>
    </row>
    <row r="510" spans="2:6">
      <c r="B510" s="718" t="s">
        <v>1403</v>
      </c>
      <c r="C510" s="680">
        <v>163.35</v>
      </c>
      <c r="D510" s="680">
        <v>163.35</v>
      </c>
      <c r="E510" s="667"/>
      <c r="F510" s="668"/>
    </row>
    <row r="511" spans="2:6">
      <c r="B511" s="718" t="s">
        <v>1408</v>
      </c>
      <c r="C511" s="680">
        <v>60</v>
      </c>
      <c r="D511" s="680">
        <v>60</v>
      </c>
      <c r="E511" s="754" t="s">
        <v>1577</v>
      </c>
      <c r="F511" s="668"/>
    </row>
    <row r="512" spans="2:6">
      <c r="B512" s="666" t="s">
        <v>1410</v>
      </c>
      <c r="C512" s="665">
        <v>1760</v>
      </c>
      <c r="D512" s="665">
        <v>1760</v>
      </c>
      <c r="E512" s="667" t="s">
        <v>1577</v>
      </c>
      <c r="F512" s="668"/>
    </row>
    <row r="513" spans="2:6">
      <c r="B513" s="718" t="s">
        <v>1411</v>
      </c>
      <c r="C513" s="680">
        <v>168.76</v>
      </c>
      <c r="D513" s="680">
        <v>168.76</v>
      </c>
      <c r="E513" s="667"/>
      <c r="F513" s="668"/>
    </row>
    <row r="514" spans="2:6">
      <c r="B514" s="718" t="s">
        <v>1412</v>
      </c>
      <c r="C514" s="680">
        <v>20.66</v>
      </c>
      <c r="D514" s="680">
        <v>20.66</v>
      </c>
      <c r="E514" s="667"/>
      <c r="F514" s="668"/>
    </row>
    <row r="515" spans="2:6">
      <c r="B515" s="718" t="s">
        <v>1413</v>
      </c>
      <c r="C515" s="680">
        <v>385.62</v>
      </c>
      <c r="D515" s="680">
        <v>385.62</v>
      </c>
      <c r="E515" s="667"/>
      <c r="F515" s="668"/>
    </row>
    <row r="516" spans="2:6">
      <c r="B516" s="718" t="s">
        <v>1414</v>
      </c>
      <c r="C516" s="680">
        <v>42.54</v>
      </c>
      <c r="D516" s="680">
        <v>42.54</v>
      </c>
      <c r="E516" s="667"/>
      <c r="F516" s="668"/>
    </row>
    <row r="517" spans="2:6">
      <c r="B517" s="718" t="s">
        <v>1415</v>
      </c>
      <c r="C517" s="680">
        <v>0</v>
      </c>
      <c r="D517" s="680">
        <v>0</v>
      </c>
      <c r="E517" s="667"/>
      <c r="F517" s="668"/>
    </row>
    <row r="518" spans="2:6">
      <c r="B518" s="718" t="s">
        <v>1416</v>
      </c>
      <c r="C518" s="680">
        <v>0</v>
      </c>
      <c r="D518" s="680">
        <v>0</v>
      </c>
      <c r="E518" s="667"/>
      <c r="F518" s="668"/>
    </row>
    <row r="519" spans="2:6">
      <c r="B519" s="718" t="s">
        <v>1418</v>
      </c>
      <c r="C519" s="680">
        <v>556.37000000000012</v>
      </c>
      <c r="D519" s="680">
        <v>556.37000000000012</v>
      </c>
      <c r="E519" s="667"/>
      <c r="F519" s="668"/>
    </row>
    <row r="520" spans="2:6">
      <c r="B520" s="718" t="s">
        <v>1420</v>
      </c>
      <c r="C520" s="680">
        <v>17.39</v>
      </c>
      <c r="D520" s="680">
        <v>17.39</v>
      </c>
      <c r="E520" s="667"/>
      <c r="F520" s="668"/>
    </row>
    <row r="521" spans="2:6">
      <c r="B521" s="718" t="s">
        <v>1421</v>
      </c>
      <c r="C521" s="680">
        <v>446.62</v>
      </c>
      <c r="D521" s="680">
        <v>446.62</v>
      </c>
      <c r="E521" s="667"/>
      <c r="F521" s="668"/>
    </row>
    <row r="522" spans="2:6">
      <c r="B522" s="718" t="s">
        <v>1422</v>
      </c>
      <c r="C522" s="680">
        <v>892.53</v>
      </c>
      <c r="D522" s="680">
        <v>892.53</v>
      </c>
      <c r="E522" s="667"/>
      <c r="F522" s="668"/>
    </row>
    <row r="523" spans="2:6">
      <c r="B523" s="718" t="s">
        <v>1423</v>
      </c>
      <c r="C523" s="680">
        <v>700</v>
      </c>
      <c r="D523" s="680">
        <v>700</v>
      </c>
      <c r="E523" s="754" t="s">
        <v>1577</v>
      </c>
      <c r="F523" s="668"/>
    </row>
    <row r="524" spans="2:6">
      <c r="B524" s="718" t="s">
        <v>1424</v>
      </c>
      <c r="C524" s="680">
        <v>229.77</v>
      </c>
      <c r="D524" s="680">
        <v>229.77</v>
      </c>
      <c r="E524" s="667"/>
      <c r="F524" s="668"/>
    </row>
    <row r="525" spans="2:6">
      <c r="B525" s="718" t="s">
        <v>1425</v>
      </c>
      <c r="C525" s="680">
        <v>93.57</v>
      </c>
      <c r="D525" s="680">
        <v>93.57</v>
      </c>
      <c r="E525" s="667"/>
      <c r="F525" s="668"/>
    </row>
    <row r="526" spans="2:6">
      <c r="B526" s="718" t="s">
        <v>1426</v>
      </c>
      <c r="C526" s="680">
        <v>362.58000000000004</v>
      </c>
      <c r="D526" s="680">
        <v>362.58000000000004</v>
      </c>
      <c r="E526" s="667"/>
      <c r="F526" s="668"/>
    </row>
    <row r="527" spans="2:6">
      <c r="B527" s="718" t="s">
        <v>1427</v>
      </c>
      <c r="C527" s="680">
        <v>78.38</v>
      </c>
      <c r="D527" s="680">
        <v>78.38</v>
      </c>
      <c r="E527" s="667"/>
      <c r="F527" s="668"/>
    </row>
    <row r="528" spans="2:6">
      <c r="B528" s="718" t="s">
        <v>1428</v>
      </c>
      <c r="C528" s="680">
        <v>320.76</v>
      </c>
      <c r="D528" s="680">
        <v>320.76</v>
      </c>
      <c r="E528" s="667"/>
      <c r="F528" s="668"/>
    </row>
    <row r="529" spans="2:6">
      <c r="B529" s="718" t="s">
        <v>1429</v>
      </c>
      <c r="C529" s="680">
        <v>81.75</v>
      </c>
      <c r="D529" s="680">
        <v>81.75</v>
      </c>
      <c r="E529" s="667"/>
      <c r="F529" s="668"/>
    </row>
    <row r="530" spans="2:6">
      <c r="B530" s="718" t="s">
        <v>1430</v>
      </c>
      <c r="C530" s="680">
        <v>34.520000000000003</v>
      </c>
      <c r="D530" s="680">
        <v>34.520000000000003</v>
      </c>
      <c r="E530" s="667"/>
      <c r="F530" s="668"/>
    </row>
    <row r="531" spans="2:6">
      <c r="B531" s="718" t="s">
        <v>1431</v>
      </c>
      <c r="C531" s="680">
        <v>54.87</v>
      </c>
      <c r="D531" s="680">
        <v>54.87</v>
      </c>
      <c r="E531" s="667"/>
      <c r="F531" s="668"/>
    </row>
    <row r="532" spans="2:6">
      <c r="B532" s="718" t="s">
        <v>1432</v>
      </c>
      <c r="C532" s="680">
        <v>43.52</v>
      </c>
      <c r="D532" s="680">
        <v>43.52</v>
      </c>
      <c r="E532" s="667"/>
      <c r="F532" s="668"/>
    </row>
    <row r="533" spans="2:6">
      <c r="B533" s="718" t="s">
        <v>1433</v>
      </c>
      <c r="C533" s="680">
        <v>73.819999999999993</v>
      </c>
      <c r="D533" s="680">
        <v>73.819999999999993</v>
      </c>
      <c r="E533" s="754" t="s">
        <v>1577</v>
      </c>
      <c r="F533" s="668"/>
    </row>
    <row r="534" spans="2:6">
      <c r="B534" s="718" t="s">
        <v>1434</v>
      </c>
      <c r="C534" s="680">
        <v>39.11</v>
      </c>
      <c r="D534" s="680">
        <v>39.11</v>
      </c>
      <c r="E534" s="667"/>
      <c r="F534" s="668"/>
    </row>
    <row r="535" spans="2:6">
      <c r="B535" s="718" t="s">
        <v>1437</v>
      </c>
      <c r="C535" s="680">
        <v>247.23</v>
      </c>
      <c r="D535" s="680">
        <v>247.23</v>
      </c>
      <c r="E535" s="667"/>
      <c r="F535" s="668"/>
    </row>
    <row r="536" spans="2:6">
      <c r="B536" s="718" t="s">
        <v>1439</v>
      </c>
      <c r="C536" s="680">
        <v>25.04</v>
      </c>
      <c r="D536" s="680">
        <v>25.04</v>
      </c>
      <c r="E536" s="667"/>
      <c r="F536" s="668"/>
    </row>
    <row r="537" spans="2:6">
      <c r="B537" s="718" t="s">
        <v>1440</v>
      </c>
      <c r="C537" s="680">
        <v>219.78</v>
      </c>
      <c r="D537" s="680">
        <v>219.78</v>
      </c>
      <c r="E537" s="667"/>
      <c r="F537" s="668"/>
    </row>
    <row r="538" spans="2:6">
      <c r="B538" s="718" t="s">
        <v>1441</v>
      </c>
      <c r="C538" s="680">
        <v>109.89</v>
      </c>
      <c r="D538" s="680">
        <v>109.89</v>
      </c>
      <c r="E538" s="667"/>
      <c r="F538" s="668"/>
    </row>
    <row r="539" spans="2:6">
      <c r="B539" s="718" t="s">
        <v>1446</v>
      </c>
      <c r="C539" s="680">
        <v>190.87</v>
      </c>
      <c r="D539" s="680">
        <v>190.87</v>
      </c>
      <c r="E539" s="667"/>
      <c r="F539" s="668"/>
    </row>
    <row r="540" spans="2:6">
      <c r="B540" s="718" t="s">
        <v>1447</v>
      </c>
      <c r="C540" s="680">
        <v>101</v>
      </c>
      <c r="D540" s="680">
        <v>101</v>
      </c>
      <c r="E540" s="667"/>
      <c r="F540" s="668"/>
    </row>
    <row r="541" spans="2:6">
      <c r="B541" s="718" t="s">
        <v>1448</v>
      </c>
      <c r="C541" s="680">
        <v>4123.91</v>
      </c>
      <c r="D541" s="680">
        <v>4123.91</v>
      </c>
      <c r="E541" s="667"/>
      <c r="F541" s="668" t="s">
        <v>1582</v>
      </c>
    </row>
    <row r="542" spans="2:6">
      <c r="B542" s="718" t="s">
        <v>1449</v>
      </c>
      <c r="C542" s="680">
        <v>71.25</v>
      </c>
      <c r="D542" s="680">
        <v>71.25</v>
      </c>
      <c r="E542" s="667"/>
      <c r="F542" s="668"/>
    </row>
    <row r="543" spans="2:6">
      <c r="B543" s="666" t="s">
        <v>1450</v>
      </c>
      <c r="C543" s="665">
        <v>44.63</v>
      </c>
      <c r="D543" s="665">
        <v>44.63</v>
      </c>
      <c r="E543" s="667"/>
      <c r="F543" s="668"/>
    </row>
    <row r="544" spans="2:6">
      <c r="B544" s="718" t="s">
        <v>1451</v>
      </c>
      <c r="C544" s="680">
        <v>75.319999999999993</v>
      </c>
      <c r="D544" s="680">
        <v>75.319999999999993</v>
      </c>
      <c r="E544" s="667"/>
      <c r="F544" s="668"/>
    </row>
    <row r="545" spans="2:6">
      <c r="B545" s="718" t="s">
        <v>1452</v>
      </c>
      <c r="C545" s="680">
        <v>111.18</v>
      </c>
      <c r="D545" s="680">
        <v>111.18</v>
      </c>
      <c r="E545" s="667"/>
      <c r="F545" s="668"/>
    </row>
    <row r="546" spans="2:6">
      <c r="B546" s="718" t="s">
        <v>1453</v>
      </c>
      <c r="C546" s="680">
        <v>35.1</v>
      </c>
      <c r="D546" s="680">
        <v>35.1</v>
      </c>
      <c r="E546" s="667"/>
      <c r="F546" s="668"/>
    </row>
    <row r="547" spans="2:6">
      <c r="B547" s="718" t="s">
        <v>1454</v>
      </c>
      <c r="C547" s="680">
        <v>2603.5</v>
      </c>
      <c r="D547" s="680">
        <v>2603.5</v>
      </c>
      <c r="E547" s="754" t="s">
        <v>1577</v>
      </c>
      <c r="F547" s="668" t="s">
        <v>1583</v>
      </c>
    </row>
    <row r="548" spans="2:6">
      <c r="B548" s="718" t="s">
        <v>1459</v>
      </c>
      <c r="C548" s="680">
        <v>6500</v>
      </c>
      <c r="D548" s="680">
        <v>6500</v>
      </c>
      <c r="E548" s="754" t="s">
        <v>1577</v>
      </c>
      <c r="F548" s="668" t="s">
        <v>1317</v>
      </c>
    </row>
    <row r="549" spans="2:6">
      <c r="B549" s="718" t="s">
        <v>1473</v>
      </c>
      <c r="C549" s="680">
        <v>192.74</v>
      </c>
      <c r="D549" s="680">
        <v>192.74</v>
      </c>
      <c r="E549" s="667"/>
      <c r="F549" s="668"/>
    </row>
    <row r="550" spans="2:6">
      <c r="B550" s="718" t="s">
        <v>1481</v>
      </c>
      <c r="C550" s="680">
        <v>86.36</v>
      </c>
      <c r="D550" s="680">
        <v>86.36</v>
      </c>
      <c r="E550" s="667"/>
      <c r="F550" s="668"/>
    </row>
    <row r="551" spans="2:6">
      <c r="B551" s="718" t="s">
        <v>1484</v>
      </c>
      <c r="C551" s="680">
        <v>-133</v>
      </c>
      <c r="D551" s="680">
        <v>-133</v>
      </c>
      <c r="E551" s="667"/>
      <c r="F551" s="668"/>
    </row>
    <row r="552" spans="2:6">
      <c r="B552" s="718" t="s">
        <v>1486</v>
      </c>
      <c r="C552" s="680">
        <v>-44</v>
      </c>
      <c r="D552" s="680">
        <v>-44</v>
      </c>
      <c r="E552" s="667"/>
      <c r="F552" s="668"/>
    </row>
    <row r="553" spans="2:6">
      <c r="B553" s="718" t="s">
        <v>1488</v>
      </c>
      <c r="C553" s="680">
        <v>250</v>
      </c>
      <c r="D553" s="680">
        <v>250</v>
      </c>
      <c r="E553" s="754" t="s">
        <v>1577</v>
      </c>
      <c r="F553" s="668"/>
    </row>
    <row r="554" spans="2:6">
      <c r="B554" s="718" t="s">
        <v>1490</v>
      </c>
      <c r="C554" s="680">
        <v>78.349999999999994</v>
      </c>
      <c r="D554" s="680">
        <v>78.349999999999994</v>
      </c>
      <c r="E554" s="667"/>
      <c r="F554" s="668"/>
    </row>
    <row r="555" spans="2:6">
      <c r="B555" s="718" t="s">
        <v>1498</v>
      </c>
      <c r="C555" s="680">
        <v>159.12</v>
      </c>
      <c r="D555" s="680">
        <v>159.12</v>
      </c>
      <c r="E555" s="667"/>
      <c r="F555" s="668"/>
    </row>
    <row r="556" spans="2:6">
      <c r="B556" s="718" t="s">
        <v>1500</v>
      </c>
      <c r="C556" s="680">
        <v>1657.99</v>
      </c>
      <c r="D556" s="680">
        <v>1657.99</v>
      </c>
      <c r="E556" s="754" t="s">
        <v>1577</v>
      </c>
      <c r="F556" s="668"/>
    </row>
    <row r="557" spans="2:6">
      <c r="B557" s="718" t="s">
        <v>1504</v>
      </c>
      <c r="C557" s="680">
        <v>0</v>
      </c>
      <c r="D557" s="680">
        <v>0</v>
      </c>
      <c r="E557" s="667"/>
      <c r="F557" s="668"/>
    </row>
    <row r="558" spans="2:6">
      <c r="B558" s="718" t="s">
        <v>1507</v>
      </c>
      <c r="C558" s="680">
        <v>0</v>
      </c>
      <c r="D558" s="680">
        <v>0</v>
      </c>
      <c r="E558" s="667"/>
      <c r="F558" s="668"/>
    </row>
    <row r="559" spans="2:6">
      <c r="B559" s="718" t="s">
        <v>1509</v>
      </c>
      <c r="C559" s="680">
        <v>0</v>
      </c>
      <c r="D559" s="680">
        <v>0</v>
      </c>
      <c r="E559" s="667"/>
      <c r="F559" s="668"/>
    </row>
    <row r="560" spans="2:6">
      <c r="B560" s="718" t="s">
        <v>1523</v>
      </c>
      <c r="C560" s="680">
        <v>300</v>
      </c>
      <c r="D560" s="680">
        <v>300</v>
      </c>
      <c r="E560" s="754" t="s">
        <v>1577</v>
      </c>
      <c r="F560" s="668"/>
    </row>
    <row r="561" spans="2:6">
      <c r="B561" s="718" t="s">
        <v>1531</v>
      </c>
      <c r="C561" s="680">
        <v>2500</v>
      </c>
      <c r="D561" s="680">
        <v>2500</v>
      </c>
      <c r="E561" s="754" t="s">
        <v>1577</v>
      </c>
      <c r="F561" s="668" t="s">
        <v>1317</v>
      </c>
    </row>
    <row r="562" spans="2:6">
      <c r="B562" s="718" t="s">
        <v>1551</v>
      </c>
      <c r="C562" s="680">
        <v>1226.99</v>
      </c>
      <c r="D562" s="680">
        <v>1226.99</v>
      </c>
      <c r="E562" s="667"/>
    </row>
    <row r="563" spans="2:6">
      <c r="B563" s="718" t="s">
        <v>1552</v>
      </c>
      <c r="C563" s="680">
        <v>35.79</v>
      </c>
      <c r="D563" s="680">
        <v>35.79</v>
      </c>
      <c r="E563" s="667"/>
    </row>
    <row r="564" spans="2:6">
      <c r="B564" s="718" t="s">
        <v>1553</v>
      </c>
      <c r="C564" s="680">
        <v>69.650000000000006</v>
      </c>
      <c r="D564" s="680">
        <v>69.650000000000006</v>
      </c>
      <c r="E564" s="667"/>
    </row>
    <row r="565" spans="2:6">
      <c r="B565" s="718" t="s">
        <v>1554</v>
      </c>
      <c r="C565" s="680">
        <v>300</v>
      </c>
      <c r="D565" s="680">
        <v>300</v>
      </c>
      <c r="E565" s="754" t="s">
        <v>1577</v>
      </c>
    </row>
    <row r="566" spans="2:6">
      <c r="B566" s="718" t="s">
        <v>1555</v>
      </c>
      <c r="C566" s="680">
        <v>47.54</v>
      </c>
      <c r="D566" s="680">
        <v>47.54</v>
      </c>
      <c r="E566" s="667"/>
    </row>
    <row r="567" spans="2:6">
      <c r="B567" s="718" t="s">
        <v>1556</v>
      </c>
      <c r="C567" s="680">
        <v>250.98</v>
      </c>
      <c r="D567" s="680">
        <v>250.98</v>
      </c>
      <c r="E567" s="667"/>
    </row>
    <row r="568" spans="2:6">
      <c r="B568" s="718" t="s">
        <v>1557</v>
      </c>
      <c r="C568" s="680">
        <v>278.26</v>
      </c>
      <c r="D568" s="680">
        <v>278.26</v>
      </c>
      <c r="E568" s="667"/>
    </row>
    <row r="569" spans="2:6">
      <c r="B569" s="666" t="s">
        <v>1558</v>
      </c>
      <c r="C569" s="665">
        <v>300</v>
      </c>
      <c r="D569" s="665">
        <v>300</v>
      </c>
      <c r="E569" s="667" t="s">
        <v>1577</v>
      </c>
    </row>
    <row r="570" spans="2:6">
      <c r="B570" s="718" t="s">
        <v>1559</v>
      </c>
      <c r="C570" s="680">
        <v>0</v>
      </c>
      <c r="D570" s="680">
        <v>0</v>
      </c>
      <c r="E570" s="667"/>
    </row>
    <row r="571" spans="2:6">
      <c r="B571" s="718" t="s">
        <v>1560</v>
      </c>
      <c r="C571" s="680">
        <v>0</v>
      </c>
      <c r="D571" s="680">
        <v>0</v>
      </c>
      <c r="E571" s="667"/>
    </row>
    <row r="572" spans="2:6">
      <c r="B572" s="718" t="s">
        <v>1561</v>
      </c>
      <c r="C572" s="680">
        <v>0</v>
      </c>
      <c r="D572" s="680">
        <v>0</v>
      </c>
      <c r="E572" s="667"/>
    </row>
    <row r="573" spans="2:6">
      <c r="B573" s="718" t="s">
        <v>1567</v>
      </c>
      <c r="C573" s="680">
        <v>250</v>
      </c>
      <c r="D573" s="680">
        <v>250</v>
      </c>
      <c r="E573" s="754" t="s">
        <v>1577</v>
      </c>
    </row>
    <row r="574" spans="2:6">
      <c r="B574" s="666" t="s">
        <v>1568</v>
      </c>
      <c r="C574" s="665">
        <v>1608.86</v>
      </c>
      <c r="D574" s="665">
        <v>1608.86</v>
      </c>
      <c r="E574" s="754" t="s">
        <v>1577</v>
      </c>
    </row>
    <row r="575" spans="2:6">
      <c r="B575" s="718" t="s">
        <v>1569</v>
      </c>
      <c r="C575" s="680">
        <v>658.89</v>
      </c>
      <c r="D575" s="680">
        <v>658.89</v>
      </c>
      <c r="E575" s="667"/>
    </row>
    <row r="576" spans="2:6">
      <c r="B576" s="718" t="s">
        <v>1570</v>
      </c>
      <c r="C576" s="680">
        <v>45.03</v>
      </c>
      <c r="D576" s="680">
        <v>45.03</v>
      </c>
      <c r="E576" s="667"/>
    </row>
    <row r="577" spans="2:5">
      <c r="B577" s="718" t="s">
        <v>1571</v>
      </c>
      <c r="C577" s="680">
        <v>500</v>
      </c>
      <c r="D577" s="680">
        <v>500</v>
      </c>
      <c r="E577" s="754" t="s">
        <v>1577</v>
      </c>
    </row>
    <row r="578" spans="2:5">
      <c r="B578" s="718" t="s">
        <v>1572</v>
      </c>
      <c r="C578" s="680">
        <v>0</v>
      </c>
      <c r="D578" s="680">
        <v>0</v>
      </c>
      <c r="E578" s="667"/>
    </row>
    <row r="579" spans="2:5">
      <c r="B579" s="718" t="s">
        <v>1573</v>
      </c>
      <c r="C579" s="680">
        <v>0</v>
      </c>
      <c r="D579" s="680">
        <v>0</v>
      </c>
      <c r="E579" s="667"/>
    </row>
    <row r="580" spans="2:5">
      <c r="B580" s="718" t="s">
        <v>646</v>
      </c>
      <c r="C580" s="680">
        <v>95021.73</v>
      </c>
      <c r="D580" s="679">
        <v>95021.73</v>
      </c>
    </row>
    <row r="582" spans="2:5" ht="15">
      <c r="C582" s="664" t="s">
        <v>642</v>
      </c>
      <c r="D582" s="663">
        <f>+SUMIF($E$439:$E$579,"x",$D$439:$D$579)</f>
        <v>29000.02</v>
      </c>
    </row>
  </sheetData>
  <dataValidations disablePrompts="1" count="1">
    <dataValidation type="list" allowBlank="1" showInputMessage="1" showErrorMessage="1" sqref="P15">
      <formula1>"All,Posted/Unposted,Posted,Unposted,Staged"</formula1>
    </dataValidation>
  </dataValidations>
  <pageMargins left="0.27" right="0.28999999999999998" top="0.37" bottom="0.43" header="0.25" footer="0.25"/>
  <pageSetup scale="34"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S88"/>
  <sheetViews>
    <sheetView showGridLines="0" tabSelected="1" view="pageBreakPreview" topLeftCell="A9" zoomScale="60" zoomScaleNormal="80" workbookViewId="0">
      <pane ySplit="11" topLeftCell="A20" activePane="bottomLeft" state="frozen"/>
      <selection activeCell="AR41" sqref="AR41"/>
      <selection pane="bottomLeft" activeCell="AR41" sqref="AR41"/>
    </sheetView>
  </sheetViews>
  <sheetFormatPr defaultRowHeight="12.75" outlineLevelRow="1"/>
  <cols>
    <col min="1" max="1" width="2.7109375" style="714" customWidth="1"/>
    <col min="2" max="2" width="68.42578125" style="714" customWidth="1"/>
    <col min="3" max="3" width="21.28515625" style="714" customWidth="1"/>
    <col min="4" max="4" width="18.7109375" style="714" customWidth="1"/>
    <col min="5" max="5" width="8.2851562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11.42578125" style="714"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_xll.ReportDrill('[55]JE Lookup'!B1,,_xll.PairGroup(_xll.Pair(G20:G57,'[55]JE Lookup'!N8),_xll.Pair(AB20:AB57,'[55]JE Lookup'!N7)),"JE Lookup")</f>
        <v>OK!: ReportDrill 'JE Lookup' Formula OK [jAction{}]</v>
      </c>
      <c r="U4" s="714" t="str">
        <f ca="1">_xll.ReportDrill(,"APDrill",_xll.PairGroup(_xll.PairExt(AQ20:AQ57,"H8")),"AP Detail")</f>
        <v>OK!: ReportDrill 'AP Detail' Formula OK [jAction{}]</v>
      </c>
      <c r="Y4" s="714" t="str">
        <f ca="1">_xll.ReportDrill(,"JEStaged_DrillToDetail",_xll.PairGroup(_xll.PairExt(Q19:Q57,"dControlNum",TRUE),_xll.PairExt(AP19:AP57,"dDistrict",TRUE),_xll.PairExt(AO19:AO57,"dApplyMonth",TRUE)),"JE Staged Details")</f>
        <v>OK!: ReportDrill 'JE Staged Details' Formula OK [jAction{}]</v>
      </c>
    </row>
    <row r="5" spans="1:43" hidden="1" outlineLevel="1">
      <c r="B5" s="714" t="str">
        <f ca="1">_xll.ReportRange("JEQuery_WithStaged",B20:AS56,B2:AS2,,_xll.Param(I12,DateTo,IF(M12="","all",M12),M13,M14,M15,P12,P13,P14,P15,EntrieShownLimit,DateFrom,DateTo),TRUE)</f>
        <v>OK!: ReportRange Formula OK [jAction{}]</v>
      </c>
      <c r="Q5" s="714" t="str">
        <f ca="1">_xll.ReportDrill('[55]JE Lookup'!B1,,_xll.PairGroup(_xll.Pair(V20:V57,'[55]JE Lookup'!N8),_xll.Pair(AS20:AS57,'[55]JE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2018-05</v>
      </c>
      <c r="E8" s="717" t="s">
        <v>1012</v>
      </c>
      <c r="G8" s="714" t="str">
        <f>IF(DateTo="",CurrentMonth,DateTo)</f>
        <v>2019-04</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1584</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SUM(D19:D57)</f>
        <v>16340.019999999999</v>
      </c>
      <c r="E16" s="735">
        <f>SUM(E19:E57)</f>
        <v>0</v>
      </c>
      <c r="F16" s="714" t="s">
        <v>1030</v>
      </c>
      <c r="N16" s="736"/>
      <c r="O16" s="736"/>
      <c r="P16" s="736"/>
      <c r="Q16" s="736"/>
    </row>
    <row r="17" spans="2:45">
      <c r="B17" s="733" t="s">
        <v>1031</v>
      </c>
      <c r="C17" s="734"/>
      <c r="D17" s="737">
        <f>COUNT(D20:D58)</f>
        <v>36</v>
      </c>
      <c r="E17" s="737">
        <f>COUNT(E20:E58)</f>
        <v>36</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695" t="s">
        <v>1046</v>
      </c>
      <c r="P19" s="697" t="s">
        <v>1047</v>
      </c>
      <c r="Q19" s="697" t="s">
        <v>1048</v>
      </c>
      <c r="R19" s="697" t="s">
        <v>1049</v>
      </c>
      <c r="S19" s="697" t="s">
        <v>1050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s="662" customFormat="1">
      <c r="B20" s="662" t="s">
        <v>1585</v>
      </c>
      <c r="C20" s="661">
        <v>43223</v>
      </c>
      <c r="D20" s="660">
        <v>909.93</v>
      </c>
      <c r="E20" s="660">
        <v>0</v>
      </c>
      <c r="F20" s="702" t="s">
        <v>1074</v>
      </c>
      <c r="G20" s="662" t="s">
        <v>1586</v>
      </c>
      <c r="H20" s="696" t="s">
        <v>1075</v>
      </c>
      <c r="I20" s="662" t="s">
        <v>1076</v>
      </c>
      <c r="J20" s="662" t="s">
        <v>1118</v>
      </c>
      <c r="K20" s="662" t="s">
        <v>1078</v>
      </c>
      <c r="L20" s="659" t="s">
        <v>1587</v>
      </c>
      <c r="M20" s="659"/>
      <c r="N20" s="659" t="s">
        <v>1588</v>
      </c>
      <c r="O20" s="692">
        <v>43221</v>
      </c>
      <c r="P20" s="659" t="s">
        <v>1589</v>
      </c>
      <c r="Q20" s="659">
        <v>14134</v>
      </c>
      <c r="R20" s="662" t="s">
        <v>1590</v>
      </c>
      <c r="U20" s="662" t="s">
        <v>1591</v>
      </c>
      <c r="V20" s="662" t="s">
        <v>1592</v>
      </c>
      <c r="W20" s="662">
        <v>2000</v>
      </c>
      <c r="X20" s="661">
        <v>43223</v>
      </c>
      <c r="Y20" s="661">
        <v>43223</v>
      </c>
      <c r="Z20" s="662">
        <v>8400</v>
      </c>
      <c r="AA20" s="661">
        <v>43251</v>
      </c>
      <c r="AB20" s="662" t="s">
        <v>1079</v>
      </c>
      <c r="AC20" s="662">
        <v>0</v>
      </c>
      <c r="AD20" s="662">
        <v>0</v>
      </c>
      <c r="AE20" s="662">
        <v>0</v>
      </c>
      <c r="AF20" s="662">
        <v>0</v>
      </c>
      <c r="AG20" s="662">
        <v>0</v>
      </c>
      <c r="AH20" s="662">
        <v>1</v>
      </c>
      <c r="AI20" s="662">
        <v>70195</v>
      </c>
      <c r="AJ20" s="662">
        <v>2183</v>
      </c>
      <c r="AK20" s="662">
        <v>0</v>
      </c>
      <c r="AL20" s="662">
        <v>0</v>
      </c>
      <c r="AO20" s="696"/>
      <c r="AP20" s="696"/>
      <c r="AQ20" s="662" t="str">
        <f>IF(LEFT(U20,2)="VO",U20,"")</f>
        <v>VO04641071</v>
      </c>
      <c r="AS20" s="662" t="str">
        <f>IF(RIGHT(K20,2)="IC",IF(OR(AB20="wci_canada",AB20="wci_can_corp"),"wci_can_Corp","wci_corp"),AB20)</f>
        <v>wci_corp</v>
      </c>
    </row>
    <row r="21" spans="2:45">
      <c r="B21" s="714" t="s">
        <v>1585</v>
      </c>
      <c r="C21" s="745">
        <v>43251</v>
      </c>
      <c r="D21" s="746">
        <v>494.82</v>
      </c>
      <c r="E21" s="746">
        <v>0</v>
      </c>
      <c r="F21" s="747" t="s">
        <v>1074</v>
      </c>
      <c r="G21" s="714" t="s">
        <v>1135</v>
      </c>
      <c r="H21" s="748" t="s">
        <v>1075</v>
      </c>
      <c r="I21" s="714" t="s">
        <v>1136</v>
      </c>
      <c r="J21" s="714" t="s">
        <v>1092</v>
      </c>
      <c r="K21" s="714" t="s">
        <v>1078</v>
      </c>
      <c r="L21" s="718"/>
      <c r="M21" s="718"/>
      <c r="N21" s="718" t="s">
        <v>1593</v>
      </c>
      <c r="O21" s="739"/>
      <c r="P21" s="718"/>
      <c r="Q21" s="718"/>
      <c r="U21" s="714" t="s">
        <v>1137</v>
      </c>
      <c r="V21" s="714" t="s">
        <v>1137</v>
      </c>
      <c r="X21" s="745">
        <v>43255</v>
      </c>
      <c r="Y21" s="745">
        <v>43255</v>
      </c>
      <c r="AA21" s="745"/>
      <c r="AB21" s="714" t="s">
        <v>1079</v>
      </c>
      <c r="AC21" s="714">
        <v>0</v>
      </c>
      <c r="AD21" s="714">
        <v>0</v>
      </c>
      <c r="AE21" s="714">
        <v>0</v>
      </c>
      <c r="AF21" s="714">
        <v>0</v>
      </c>
      <c r="AG21" s="714">
        <v>0</v>
      </c>
      <c r="AH21" s="714">
        <v>1</v>
      </c>
      <c r="AI21" s="714">
        <v>70195</v>
      </c>
      <c r="AJ21" s="714">
        <v>2183</v>
      </c>
      <c r="AK21" s="714">
        <v>0</v>
      </c>
      <c r="AL21" s="714">
        <v>0</v>
      </c>
      <c r="AO21" s="748"/>
      <c r="AP21" s="748"/>
      <c r="AQ21" s="714" t="str">
        <f t="shared" ref="AQ21:AQ55" si="0">IF(LEFT(U21,2)="VO",U21,"")</f>
        <v/>
      </c>
      <c r="AS21" s="714" t="str">
        <f t="shared" ref="AS21:AS55" si="1">IF(RIGHT(K21,2)="IC",IF(OR(AB21="wci_canada",AB21="wci_can_corp"),"wci_can_Corp","wci_corp"),AB21)</f>
        <v>wci_corp</v>
      </c>
    </row>
    <row r="22" spans="2:45">
      <c r="B22" s="714" t="s">
        <v>1585</v>
      </c>
      <c r="C22" s="745">
        <v>43251</v>
      </c>
      <c r="D22" s="746">
        <v>640</v>
      </c>
      <c r="E22" s="746">
        <v>0</v>
      </c>
      <c r="F22" s="747" t="s">
        <v>1074</v>
      </c>
      <c r="G22" s="714" t="s">
        <v>1138</v>
      </c>
      <c r="H22" s="748" t="s">
        <v>1075</v>
      </c>
      <c r="I22" s="714" t="s">
        <v>1126</v>
      </c>
      <c r="J22" s="714" t="s">
        <v>1082</v>
      </c>
      <c r="K22" s="714" t="s">
        <v>1078</v>
      </c>
      <c r="L22" s="718"/>
      <c r="M22" s="718"/>
      <c r="N22" s="718" t="s">
        <v>1594</v>
      </c>
      <c r="O22" s="739"/>
      <c r="P22" s="718"/>
      <c r="Q22" s="718"/>
      <c r="U22" s="714" t="s">
        <v>1140</v>
      </c>
      <c r="V22" s="714" t="s">
        <v>1140</v>
      </c>
      <c r="X22" s="745">
        <v>43257</v>
      </c>
      <c r="Y22" s="745">
        <v>43258</v>
      </c>
      <c r="AA22" s="745"/>
      <c r="AB22" s="714" t="s">
        <v>1079</v>
      </c>
      <c r="AC22" s="714">
        <v>0</v>
      </c>
      <c r="AD22" s="714">
        <v>0</v>
      </c>
      <c r="AE22" s="714">
        <v>0</v>
      </c>
      <c r="AF22" s="714">
        <v>0</v>
      </c>
      <c r="AG22" s="714">
        <v>0</v>
      </c>
      <c r="AH22" s="714">
        <v>1</v>
      </c>
      <c r="AI22" s="714">
        <v>70195</v>
      </c>
      <c r="AJ22" s="714">
        <v>2183</v>
      </c>
      <c r="AK22" s="714">
        <v>0</v>
      </c>
      <c r="AL22" s="714">
        <v>0</v>
      </c>
      <c r="AO22" s="748"/>
      <c r="AP22" s="748"/>
      <c r="AQ22" s="714" t="str">
        <f t="shared" si="0"/>
        <v/>
      </c>
      <c r="AS22" s="714" t="str">
        <f t="shared" si="1"/>
        <v>wci_corp</v>
      </c>
    </row>
    <row r="23" spans="2:45" s="662" customFormat="1">
      <c r="B23" s="662" t="s">
        <v>1585</v>
      </c>
      <c r="C23" s="661">
        <v>43264</v>
      </c>
      <c r="D23" s="660">
        <v>909.93</v>
      </c>
      <c r="E23" s="660">
        <v>0</v>
      </c>
      <c r="F23" s="702" t="s">
        <v>1074</v>
      </c>
      <c r="G23" s="662" t="s">
        <v>1595</v>
      </c>
      <c r="H23" s="696" t="s">
        <v>1075</v>
      </c>
      <c r="I23" s="662" t="s">
        <v>1076</v>
      </c>
      <c r="J23" s="662" t="s">
        <v>1118</v>
      </c>
      <c r="K23" s="662" t="s">
        <v>1078</v>
      </c>
      <c r="L23" s="659" t="s">
        <v>1587</v>
      </c>
      <c r="M23" s="659"/>
      <c r="N23" s="659" t="s">
        <v>1588</v>
      </c>
      <c r="O23" s="692">
        <v>43252</v>
      </c>
      <c r="P23" s="659" t="s">
        <v>1589</v>
      </c>
      <c r="Q23" s="659">
        <v>14217</v>
      </c>
      <c r="R23" s="662" t="s">
        <v>1596</v>
      </c>
      <c r="U23" s="662" t="s">
        <v>1597</v>
      </c>
      <c r="V23" s="662" t="s">
        <v>1598</v>
      </c>
      <c r="W23" s="662">
        <v>2000</v>
      </c>
      <c r="X23" s="661">
        <v>43264</v>
      </c>
      <c r="Y23" s="661">
        <v>43265</v>
      </c>
      <c r="Z23" s="662">
        <v>8400</v>
      </c>
      <c r="AA23" s="661">
        <v>43282</v>
      </c>
      <c r="AB23" s="662" t="s">
        <v>1079</v>
      </c>
      <c r="AC23" s="662">
        <v>0</v>
      </c>
      <c r="AD23" s="662">
        <v>0</v>
      </c>
      <c r="AE23" s="662">
        <v>0</v>
      </c>
      <c r="AF23" s="662">
        <v>0</v>
      </c>
      <c r="AG23" s="662">
        <v>0</v>
      </c>
      <c r="AH23" s="662">
        <v>1</v>
      </c>
      <c r="AI23" s="662">
        <v>70195</v>
      </c>
      <c r="AJ23" s="662">
        <v>2183</v>
      </c>
      <c r="AK23" s="662">
        <v>0</v>
      </c>
      <c r="AL23" s="662">
        <v>0</v>
      </c>
      <c r="AO23" s="696"/>
      <c r="AP23" s="696"/>
      <c r="AQ23" s="662" t="str">
        <f t="shared" si="0"/>
        <v>VO04677949</v>
      </c>
      <c r="AS23" s="662" t="str">
        <f t="shared" si="1"/>
        <v>wci_corp</v>
      </c>
    </row>
    <row r="24" spans="2:45">
      <c r="B24" s="714" t="s">
        <v>1585</v>
      </c>
      <c r="C24" s="745">
        <v>43281</v>
      </c>
      <c r="D24" s="746">
        <v>-640</v>
      </c>
      <c r="E24" s="746">
        <v>0</v>
      </c>
      <c r="F24" s="747" t="s">
        <v>1074</v>
      </c>
      <c r="G24" s="714" t="s">
        <v>1142</v>
      </c>
      <c r="H24" s="748" t="s">
        <v>1075</v>
      </c>
      <c r="I24" s="714" t="s">
        <v>1126</v>
      </c>
      <c r="J24" s="714" t="s">
        <v>1082</v>
      </c>
      <c r="K24" s="714" t="s">
        <v>1078</v>
      </c>
      <c r="L24" s="718"/>
      <c r="M24" s="718"/>
      <c r="N24" s="718" t="s">
        <v>1594</v>
      </c>
      <c r="O24" s="739"/>
      <c r="P24" s="718"/>
      <c r="Q24" s="718"/>
      <c r="U24" s="714" t="s">
        <v>1140</v>
      </c>
      <c r="V24" s="714" t="s">
        <v>1143</v>
      </c>
      <c r="X24" s="745">
        <v>43258</v>
      </c>
      <c r="Y24" s="745">
        <v>43258</v>
      </c>
      <c r="AA24" s="745"/>
      <c r="AB24" s="714" t="s">
        <v>1079</v>
      </c>
      <c r="AC24" s="714">
        <v>0</v>
      </c>
      <c r="AD24" s="714">
        <v>0</v>
      </c>
      <c r="AE24" s="714">
        <v>0</v>
      </c>
      <c r="AF24" s="714">
        <v>0</v>
      </c>
      <c r="AG24" s="714">
        <v>5</v>
      </c>
      <c r="AH24" s="714">
        <v>1</v>
      </c>
      <c r="AI24" s="714">
        <v>70195</v>
      </c>
      <c r="AJ24" s="714">
        <v>2183</v>
      </c>
      <c r="AK24" s="714">
        <v>0</v>
      </c>
      <c r="AL24" s="714">
        <v>0</v>
      </c>
      <c r="AO24" s="748"/>
      <c r="AP24" s="748"/>
      <c r="AQ24" s="714" t="str">
        <f t="shared" si="0"/>
        <v/>
      </c>
      <c r="AS24" s="714" t="str">
        <f t="shared" si="1"/>
        <v>wci_corp</v>
      </c>
    </row>
    <row r="25" spans="2:45">
      <c r="B25" s="714" t="s">
        <v>1585</v>
      </c>
      <c r="C25" s="745">
        <v>43281</v>
      </c>
      <c r="D25" s="746">
        <v>640</v>
      </c>
      <c r="E25" s="746">
        <v>0</v>
      </c>
      <c r="F25" s="747" t="s">
        <v>1074</v>
      </c>
      <c r="G25" s="714" t="s">
        <v>1144</v>
      </c>
      <c r="H25" s="748" t="s">
        <v>1075</v>
      </c>
      <c r="I25" s="714" t="s">
        <v>1145</v>
      </c>
      <c r="J25" s="714" t="s">
        <v>1146</v>
      </c>
      <c r="K25" s="714" t="s">
        <v>1078</v>
      </c>
      <c r="L25" s="718"/>
      <c r="M25" s="718"/>
      <c r="N25" s="718" t="s">
        <v>1599</v>
      </c>
      <c r="O25" s="739"/>
      <c r="P25" s="718"/>
      <c r="Q25" s="718"/>
      <c r="U25" s="714" t="s">
        <v>1148</v>
      </c>
      <c r="V25" s="714" t="s">
        <v>1148</v>
      </c>
      <c r="X25" s="745">
        <v>43284</v>
      </c>
      <c r="Y25" s="745">
        <v>43284</v>
      </c>
      <c r="AA25" s="745"/>
      <c r="AB25" s="714" t="s">
        <v>1079</v>
      </c>
      <c r="AC25" s="714">
        <v>0</v>
      </c>
      <c r="AD25" s="714">
        <v>0</v>
      </c>
      <c r="AE25" s="714">
        <v>0</v>
      </c>
      <c r="AF25" s="714">
        <v>0</v>
      </c>
      <c r="AG25" s="714">
        <v>0</v>
      </c>
      <c r="AH25" s="714">
        <v>1</v>
      </c>
      <c r="AI25" s="714">
        <v>70195</v>
      </c>
      <c r="AJ25" s="714">
        <v>2183</v>
      </c>
      <c r="AK25" s="714">
        <v>0</v>
      </c>
      <c r="AL25" s="714">
        <v>0</v>
      </c>
      <c r="AO25" s="748"/>
      <c r="AP25" s="748"/>
      <c r="AQ25" s="714" t="str">
        <f t="shared" si="0"/>
        <v/>
      </c>
      <c r="AS25" s="714" t="str">
        <f t="shared" si="1"/>
        <v>wci_corp</v>
      </c>
    </row>
    <row r="26" spans="2:45">
      <c r="B26" s="714" t="s">
        <v>1585</v>
      </c>
      <c r="C26" s="745">
        <v>43281</v>
      </c>
      <c r="D26" s="746">
        <v>675</v>
      </c>
      <c r="E26" s="746">
        <v>0</v>
      </c>
      <c r="F26" s="747" t="s">
        <v>1074</v>
      </c>
      <c r="G26" s="714" t="s">
        <v>1144</v>
      </c>
      <c r="H26" s="748" t="s">
        <v>1075</v>
      </c>
      <c r="I26" s="714" t="s">
        <v>1145</v>
      </c>
      <c r="J26" s="714" t="s">
        <v>1146</v>
      </c>
      <c r="K26" s="714" t="s">
        <v>1078</v>
      </c>
      <c r="L26" s="718"/>
      <c r="M26" s="718"/>
      <c r="N26" s="718" t="s">
        <v>1600</v>
      </c>
      <c r="O26" s="739"/>
      <c r="P26" s="718"/>
      <c r="Q26" s="718"/>
      <c r="U26" s="714" t="s">
        <v>1148</v>
      </c>
      <c r="V26" s="714" t="s">
        <v>1148</v>
      </c>
      <c r="X26" s="745">
        <v>43284</v>
      </c>
      <c r="Y26" s="745">
        <v>43284</v>
      </c>
      <c r="AA26" s="745"/>
      <c r="AB26" s="714" t="s">
        <v>1079</v>
      </c>
      <c r="AC26" s="714">
        <v>0</v>
      </c>
      <c r="AD26" s="714">
        <v>0</v>
      </c>
      <c r="AE26" s="714">
        <v>0</v>
      </c>
      <c r="AF26" s="714">
        <v>0</v>
      </c>
      <c r="AG26" s="714">
        <v>0</v>
      </c>
      <c r="AH26" s="714">
        <v>1</v>
      </c>
      <c r="AI26" s="714">
        <v>70195</v>
      </c>
      <c r="AJ26" s="714">
        <v>2183</v>
      </c>
      <c r="AK26" s="714">
        <v>0</v>
      </c>
      <c r="AL26" s="714">
        <v>0</v>
      </c>
      <c r="AO26" s="748"/>
      <c r="AP26" s="748"/>
      <c r="AQ26" s="714" t="str">
        <f t="shared" si="0"/>
        <v/>
      </c>
      <c r="AS26" s="714" t="str">
        <f t="shared" si="1"/>
        <v>wci_corp</v>
      </c>
    </row>
    <row r="27" spans="2:45" s="662" customFormat="1">
      <c r="B27" s="662" t="s">
        <v>1585</v>
      </c>
      <c r="C27" s="661">
        <v>43300</v>
      </c>
      <c r="D27" s="660">
        <v>909.93</v>
      </c>
      <c r="E27" s="660">
        <v>0</v>
      </c>
      <c r="F27" s="702" t="s">
        <v>1074</v>
      </c>
      <c r="G27" s="662" t="s">
        <v>1601</v>
      </c>
      <c r="H27" s="696" t="s">
        <v>1075</v>
      </c>
      <c r="I27" s="662" t="s">
        <v>1076</v>
      </c>
      <c r="J27" s="662" t="s">
        <v>1118</v>
      </c>
      <c r="K27" s="662" t="s">
        <v>1078</v>
      </c>
      <c r="L27" s="659" t="s">
        <v>1587</v>
      </c>
      <c r="M27" s="659"/>
      <c r="N27" s="659" t="s">
        <v>1588</v>
      </c>
      <c r="O27" s="692">
        <v>43282</v>
      </c>
      <c r="P27" s="659" t="s">
        <v>1602</v>
      </c>
      <c r="Q27" s="659">
        <v>14290</v>
      </c>
      <c r="R27" s="662" t="s">
        <v>1603</v>
      </c>
      <c r="U27" s="662" t="s">
        <v>1604</v>
      </c>
      <c r="V27" s="662" t="s">
        <v>1605</v>
      </c>
      <c r="W27" s="662">
        <v>2000</v>
      </c>
      <c r="X27" s="661">
        <v>43300</v>
      </c>
      <c r="Y27" s="661">
        <v>43300</v>
      </c>
      <c r="Z27" s="662">
        <v>8400</v>
      </c>
      <c r="AA27" s="661">
        <v>43317</v>
      </c>
      <c r="AB27" s="662" t="s">
        <v>1079</v>
      </c>
      <c r="AC27" s="662">
        <v>0</v>
      </c>
      <c r="AD27" s="662">
        <v>0</v>
      </c>
      <c r="AE27" s="662">
        <v>0</v>
      </c>
      <c r="AF27" s="662">
        <v>0</v>
      </c>
      <c r="AG27" s="662">
        <v>0</v>
      </c>
      <c r="AH27" s="662">
        <v>1</v>
      </c>
      <c r="AI27" s="662">
        <v>70195</v>
      </c>
      <c r="AJ27" s="662">
        <v>2183</v>
      </c>
      <c r="AK27" s="662">
        <v>0</v>
      </c>
      <c r="AL27" s="662">
        <v>0</v>
      </c>
      <c r="AO27" s="696"/>
      <c r="AP27" s="696"/>
      <c r="AQ27" s="662" t="str">
        <f t="shared" si="0"/>
        <v>VO04715045</v>
      </c>
      <c r="AS27" s="662" t="str">
        <f t="shared" si="1"/>
        <v>wci_corp</v>
      </c>
    </row>
    <row r="28" spans="2:45">
      <c r="B28" s="714" t="s">
        <v>1585</v>
      </c>
      <c r="C28" s="745">
        <v>43312</v>
      </c>
      <c r="D28" s="746">
        <v>500</v>
      </c>
      <c r="E28" s="746">
        <v>0</v>
      </c>
      <c r="F28" s="747" t="s">
        <v>1074</v>
      </c>
      <c r="G28" s="714" t="s">
        <v>1162</v>
      </c>
      <c r="H28" s="748" t="s">
        <v>1075</v>
      </c>
      <c r="I28" s="714" t="s">
        <v>1126</v>
      </c>
      <c r="J28" s="714" t="s">
        <v>1082</v>
      </c>
      <c r="K28" s="714" t="s">
        <v>1078</v>
      </c>
      <c r="L28" s="718"/>
      <c r="M28" s="718"/>
      <c r="N28" s="718" t="s">
        <v>1606</v>
      </c>
      <c r="O28" s="739"/>
      <c r="P28" s="718"/>
      <c r="Q28" s="718"/>
      <c r="U28" s="714" t="s">
        <v>1164</v>
      </c>
      <c r="V28" s="714" t="s">
        <v>1164</v>
      </c>
      <c r="X28" s="745">
        <v>43318</v>
      </c>
      <c r="Y28" s="745">
        <v>43319</v>
      </c>
      <c r="AA28" s="745"/>
      <c r="AB28" s="714" t="s">
        <v>1079</v>
      </c>
      <c r="AC28" s="714">
        <v>0</v>
      </c>
      <c r="AD28" s="714">
        <v>0</v>
      </c>
      <c r="AE28" s="714">
        <v>0</v>
      </c>
      <c r="AF28" s="714">
        <v>0</v>
      </c>
      <c r="AG28" s="714">
        <v>0</v>
      </c>
      <c r="AH28" s="714">
        <v>1</v>
      </c>
      <c r="AI28" s="714">
        <v>70195</v>
      </c>
      <c r="AJ28" s="714">
        <v>2183</v>
      </c>
      <c r="AK28" s="714">
        <v>0</v>
      </c>
      <c r="AL28" s="714">
        <v>0</v>
      </c>
      <c r="AO28" s="748"/>
      <c r="AP28" s="748"/>
      <c r="AQ28" s="714" t="str">
        <f t="shared" si="0"/>
        <v/>
      </c>
      <c r="AS28" s="714" t="str">
        <f t="shared" si="1"/>
        <v>wci_corp</v>
      </c>
    </row>
    <row r="29" spans="2:45" s="662" customFormat="1">
      <c r="B29" s="662" t="s">
        <v>1585</v>
      </c>
      <c r="C29" s="661">
        <v>43321</v>
      </c>
      <c r="D29" s="660">
        <v>909.93</v>
      </c>
      <c r="E29" s="660">
        <v>0</v>
      </c>
      <c r="F29" s="702" t="s">
        <v>1074</v>
      </c>
      <c r="G29" s="662" t="s">
        <v>1607</v>
      </c>
      <c r="H29" s="696" t="s">
        <v>1075</v>
      </c>
      <c r="I29" s="662" t="s">
        <v>1076</v>
      </c>
      <c r="J29" s="662" t="s">
        <v>1152</v>
      </c>
      <c r="K29" s="662" t="s">
        <v>1078</v>
      </c>
      <c r="L29" s="659" t="s">
        <v>1587</v>
      </c>
      <c r="M29" s="659"/>
      <c r="N29" s="659" t="s">
        <v>1588</v>
      </c>
      <c r="O29" s="692">
        <v>43313</v>
      </c>
      <c r="P29" s="659" t="s">
        <v>1589</v>
      </c>
      <c r="Q29" s="659">
        <v>14340</v>
      </c>
      <c r="R29" s="662" t="s">
        <v>1608</v>
      </c>
      <c r="U29" s="662" t="s">
        <v>1609</v>
      </c>
      <c r="V29" s="662" t="s">
        <v>1610</v>
      </c>
      <c r="W29" s="662">
        <v>2000</v>
      </c>
      <c r="X29" s="661">
        <v>43321</v>
      </c>
      <c r="Y29" s="661">
        <v>43322</v>
      </c>
      <c r="Z29" s="662">
        <v>8400</v>
      </c>
      <c r="AA29" s="661">
        <v>43348</v>
      </c>
      <c r="AB29" s="662" t="s">
        <v>1079</v>
      </c>
      <c r="AC29" s="662">
        <v>0</v>
      </c>
      <c r="AD29" s="662">
        <v>0</v>
      </c>
      <c r="AE29" s="662">
        <v>0</v>
      </c>
      <c r="AF29" s="662">
        <v>0</v>
      </c>
      <c r="AG29" s="662">
        <v>0</v>
      </c>
      <c r="AH29" s="662">
        <v>1</v>
      </c>
      <c r="AI29" s="662">
        <v>70195</v>
      </c>
      <c r="AJ29" s="662">
        <v>2183</v>
      </c>
      <c r="AK29" s="662">
        <v>0</v>
      </c>
      <c r="AL29" s="662">
        <v>0</v>
      </c>
      <c r="AO29" s="696"/>
      <c r="AP29" s="696"/>
      <c r="AQ29" s="662" t="str">
        <f t="shared" si="0"/>
        <v>VO04736220</v>
      </c>
      <c r="AS29" s="662" t="str">
        <f t="shared" si="1"/>
        <v>wci_corp</v>
      </c>
    </row>
    <row r="30" spans="2:45">
      <c r="B30" s="714" t="s">
        <v>1585</v>
      </c>
      <c r="C30" s="745">
        <v>43343</v>
      </c>
      <c r="D30" s="746">
        <v>-500</v>
      </c>
      <c r="E30" s="746">
        <v>0</v>
      </c>
      <c r="F30" s="747" t="s">
        <v>1074</v>
      </c>
      <c r="G30" s="714" t="s">
        <v>1166</v>
      </c>
      <c r="H30" s="748" t="s">
        <v>1075</v>
      </c>
      <c r="I30" s="714" t="s">
        <v>1126</v>
      </c>
      <c r="J30" s="714" t="s">
        <v>1092</v>
      </c>
      <c r="K30" s="714" t="s">
        <v>1078</v>
      </c>
      <c r="L30" s="718"/>
      <c r="M30" s="718"/>
      <c r="N30" s="718" t="s">
        <v>1606</v>
      </c>
      <c r="O30" s="739"/>
      <c r="P30" s="718"/>
      <c r="Q30" s="718"/>
      <c r="U30" s="714" t="s">
        <v>1164</v>
      </c>
      <c r="V30" s="714" t="s">
        <v>1167</v>
      </c>
      <c r="X30" s="745">
        <v>43319</v>
      </c>
      <c r="Y30" s="745">
        <v>43319</v>
      </c>
      <c r="AA30" s="745"/>
      <c r="AB30" s="714" t="s">
        <v>1079</v>
      </c>
      <c r="AC30" s="714">
        <v>0</v>
      </c>
      <c r="AD30" s="714">
        <v>0</v>
      </c>
      <c r="AE30" s="714">
        <v>0</v>
      </c>
      <c r="AF30" s="714">
        <v>0</v>
      </c>
      <c r="AG30" s="714">
        <v>5</v>
      </c>
      <c r="AH30" s="714">
        <v>1</v>
      </c>
      <c r="AI30" s="714">
        <v>70195</v>
      </c>
      <c r="AJ30" s="714">
        <v>2183</v>
      </c>
      <c r="AK30" s="714">
        <v>0</v>
      </c>
      <c r="AL30" s="714">
        <v>0</v>
      </c>
      <c r="AO30" s="748"/>
      <c r="AP30" s="748"/>
      <c r="AQ30" s="714" t="str">
        <f t="shared" si="0"/>
        <v/>
      </c>
      <c r="AS30" s="714" t="str">
        <f t="shared" si="1"/>
        <v>wci_corp</v>
      </c>
    </row>
    <row r="31" spans="2:45">
      <c r="B31" s="714" t="s">
        <v>1585</v>
      </c>
      <c r="C31" s="745">
        <v>43343</v>
      </c>
      <c r="D31" s="746">
        <v>500</v>
      </c>
      <c r="E31" s="746">
        <v>0</v>
      </c>
      <c r="F31" s="747" t="s">
        <v>1074</v>
      </c>
      <c r="G31" s="714" t="s">
        <v>1172</v>
      </c>
      <c r="H31" s="748" t="s">
        <v>1075</v>
      </c>
      <c r="I31" s="714" t="s">
        <v>1126</v>
      </c>
      <c r="J31" s="714" t="s">
        <v>1082</v>
      </c>
      <c r="K31" s="714" t="s">
        <v>1078</v>
      </c>
      <c r="L31" s="718"/>
      <c r="M31" s="718"/>
      <c r="N31" s="718" t="s">
        <v>1611</v>
      </c>
      <c r="O31" s="739"/>
      <c r="P31" s="718"/>
      <c r="Q31" s="718"/>
      <c r="U31" s="714" t="s">
        <v>1174</v>
      </c>
      <c r="V31" s="714" t="s">
        <v>1174</v>
      </c>
      <c r="X31" s="745">
        <v>43350</v>
      </c>
      <c r="Y31" s="745">
        <v>43353</v>
      </c>
      <c r="AA31" s="745"/>
      <c r="AB31" s="714" t="s">
        <v>1079</v>
      </c>
      <c r="AC31" s="714">
        <v>0</v>
      </c>
      <c r="AD31" s="714">
        <v>0</v>
      </c>
      <c r="AE31" s="714">
        <v>0</v>
      </c>
      <c r="AF31" s="714">
        <v>0</v>
      </c>
      <c r="AG31" s="714">
        <v>0</v>
      </c>
      <c r="AH31" s="714">
        <v>1</v>
      </c>
      <c r="AI31" s="714">
        <v>70195</v>
      </c>
      <c r="AJ31" s="714">
        <v>2183</v>
      </c>
      <c r="AK31" s="714">
        <v>0</v>
      </c>
      <c r="AL31" s="714">
        <v>0</v>
      </c>
      <c r="AO31" s="748"/>
      <c r="AP31" s="748"/>
      <c r="AQ31" s="714" t="str">
        <f t="shared" si="0"/>
        <v/>
      </c>
      <c r="AS31" s="714" t="str">
        <f t="shared" si="1"/>
        <v>wci_corp</v>
      </c>
    </row>
    <row r="32" spans="2:45">
      <c r="B32" s="714" t="s">
        <v>1585</v>
      </c>
      <c r="C32" s="745">
        <v>43349</v>
      </c>
      <c r="D32" s="746">
        <v>500</v>
      </c>
      <c r="E32" s="746">
        <v>0</v>
      </c>
      <c r="F32" s="747" t="s">
        <v>1074</v>
      </c>
      <c r="G32" s="714" t="s">
        <v>1612</v>
      </c>
      <c r="H32" s="748" t="s">
        <v>1075</v>
      </c>
      <c r="I32" s="714" t="s">
        <v>1076</v>
      </c>
      <c r="J32" s="714" t="s">
        <v>1077</v>
      </c>
      <c r="K32" s="714" t="s">
        <v>1078</v>
      </c>
      <c r="L32" s="718" t="s">
        <v>1613</v>
      </c>
      <c r="M32" s="718"/>
      <c r="N32" s="718" t="s">
        <v>1614</v>
      </c>
      <c r="O32" s="739">
        <v>43282</v>
      </c>
      <c r="P32" s="718" t="s">
        <v>1615</v>
      </c>
      <c r="Q32" s="718">
        <v>13931</v>
      </c>
      <c r="R32" s="714" t="s">
        <v>1616</v>
      </c>
      <c r="U32" s="714" t="s">
        <v>1617</v>
      </c>
      <c r="V32" s="714" t="s">
        <v>1618</v>
      </c>
      <c r="W32" s="714">
        <v>2183</v>
      </c>
      <c r="X32" s="745">
        <v>43349</v>
      </c>
      <c r="Y32" s="745">
        <v>43349</v>
      </c>
      <c r="Z32" s="714">
        <v>500</v>
      </c>
      <c r="AA32" s="745">
        <v>43347</v>
      </c>
      <c r="AB32" s="714" t="s">
        <v>1079</v>
      </c>
      <c r="AC32" s="714">
        <v>0</v>
      </c>
      <c r="AD32" s="714">
        <v>0</v>
      </c>
      <c r="AE32" s="714">
        <v>0</v>
      </c>
      <c r="AF32" s="714">
        <v>0</v>
      </c>
      <c r="AG32" s="714">
        <v>0</v>
      </c>
      <c r="AH32" s="714">
        <v>1</v>
      </c>
      <c r="AI32" s="714">
        <v>70195</v>
      </c>
      <c r="AJ32" s="714">
        <v>2183</v>
      </c>
      <c r="AK32" s="714">
        <v>0</v>
      </c>
      <c r="AL32" s="714">
        <v>0</v>
      </c>
      <c r="AO32" s="748"/>
      <c r="AP32" s="748"/>
      <c r="AQ32" s="714" t="str">
        <f t="shared" si="0"/>
        <v>VO04762782</v>
      </c>
      <c r="AS32" s="714" t="str">
        <f t="shared" si="1"/>
        <v>wci_corp</v>
      </c>
    </row>
    <row r="33" spans="2:45" s="662" customFormat="1">
      <c r="B33" s="662" t="s">
        <v>1585</v>
      </c>
      <c r="C33" s="661">
        <v>43363</v>
      </c>
      <c r="D33" s="660">
        <v>909.93</v>
      </c>
      <c r="E33" s="660">
        <v>0</v>
      </c>
      <c r="F33" s="702" t="s">
        <v>1074</v>
      </c>
      <c r="G33" s="662" t="s">
        <v>1619</v>
      </c>
      <c r="H33" s="696" t="s">
        <v>1075</v>
      </c>
      <c r="I33" s="662" t="s">
        <v>1076</v>
      </c>
      <c r="J33" s="662" t="s">
        <v>1077</v>
      </c>
      <c r="K33" s="662" t="s">
        <v>1078</v>
      </c>
      <c r="L33" s="659" t="s">
        <v>1587</v>
      </c>
      <c r="M33" s="659"/>
      <c r="N33" s="659" t="s">
        <v>1588</v>
      </c>
      <c r="O33" s="692">
        <v>43344</v>
      </c>
      <c r="P33" s="659" t="s">
        <v>1589</v>
      </c>
      <c r="Q33" s="659">
        <v>14367</v>
      </c>
      <c r="R33" s="662" t="s">
        <v>1620</v>
      </c>
      <c r="U33" s="662" t="s">
        <v>1621</v>
      </c>
      <c r="V33" s="662" t="s">
        <v>1622</v>
      </c>
      <c r="W33" s="662">
        <v>2000</v>
      </c>
      <c r="X33" s="661">
        <v>43363</v>
      </c>
      <c r="Y33" s="661">
        <v>43363</v>
      </c>
      <c r="Z33" s="662">
        <v>8400</v>
      </c>
      <c r="AA33" s="661">
        <v>43379</v>
      </c>
      <c r="AB33" s="662" t="s">
        <v>1079</v>
      </c>
      <c r="AC33" s="662">
        <v>0</v>
      </c>
      <c r="AD33" s="662">
        <v>0</v>
      </c>
      <c r="AE33" s="662">
        <v>0</v>
      </c>
      <c r="AF33" s="662">
        <v>0</v>
      </c>
      <c r="AG33" s="662">
        <v>0</v>
      </c>
      <c r="AH33" s="662">
        <v>1</v>
      </c>
      <c r="AI33" s="662">
        <v>70195</v>
      </c>
      <c r="AJ33" s="662">
        <v>2183</v>
      </c>
      <c r="AK33" s="662">
        <v>0</v>
      </c>
      <c r="AL33" s="662">
        <v>0</v>
      </c>
      <c r="AO33" s="696"/>
      <c r="AP33" s="696"/>
      <c r="AQ33" s="662" t="str">
        <f t="shared" si="0"/>
        <v>VO04778008</v>
      </c>
      <c r="AS33" s="662" t="str">
        <f t="shared" si="1"/>
        <v>wci_corp</v>
      </c>
    </row>
    <row r="34" spans="2:45">
      <c r="B34" s="714" t="s">
        <v>1585</v>
      </c>
      <c r="C34" s="745">
        <v>43373</v>
      </c>
      <c r="D34" s="746">
        <v>-500</v>
      </c>
      <c r="E34" s="746">
        <v>0</v>
      </c>
      <c r="F34" s="747" t="s">
        <v>1074</v>
      </c>
      <c r="G34" s="714" t="s">
        <v>1175</v>
      </c>
      <c r="H34" s="748" t="s">
        <v>1075</v>
      </c>
      <c r="I34" s="714" t="s">
        <v>1126</v>
      </c>
      <c r="J34" s="714" t="s">
        <v>1082</v>
      </c>
      <c r="K34" s="714" t="s">
        <v>1078</v>
      </c>
      <c r="L34" s="718"/>
      <c r="M34" s="718"/>
      <c r="N34" s="718" t="s">
        <v>1611</v>
      </c>
      <c r="O34" s="739"/>
      <c r="P34" s="718"/>
      <c r="Q34" s="718"/>
      <c r="U34" s="714" t="s">
        <v>1174</v>
      </c>
      <c r="V34" s="714" t="s">
        <v>1176</v>
      </c>
      <c r="X34" s="745">
        <v>43353</v>
      </c>
      <c r="Y34" s="745">
        <v>43353</v>
      </c>
      <c r="AA34" s="745"/>
      <c r="AB34" s="714" t="s">
        <v>1079</v>
      </c>
      <c r="AC34" s="714">
        <v>0</v>
      </c>
      <c r="AD34" s="714">
        <v>0</v>
      </c>
      <c r="AE34" s="714">
        <v>0</v>
      </c>
      <c r="AF34" s="714">
        <v>0</v>
      </c>
      <c r="AG34" s="714">
        <v>5</v>
      </c>
      <c r="AH34" s="714">
        <v>1</v>
      </c>
      <c r="AI34" s="714">
        <v>70195</v>
      </c>
      <c r="AJ34" s="714">
        <v>2183</v>
      </c>
      <c r="AK34" s="714">
        <v>0</v>
      </c>
      <c r="AL34" s="714">
        <v>0</v>
      </c>
      <c r="AO34" s="748"/>
      <c r="AP34" s="748"/>
      <c r="AQ34" s="714" t="str">
        <f t="shared" si="0"/>
        <v/>
      </c>
      <c r="AS34" s="714" t="str">
        <f t="shared" si="1"/>
        <v>wci_corp</v>
      </c>
    </row>
    <row r="35" spans="2:45" s="662" customFormat="1">
      <c r="B35" s="662" t="s">
        <v>1585</v>
      </c>
      <c r="C35" s="661">
        <v>43391</v>
      </c>
      <c r="D35" s="660">
        <v>909.93</v>
      </c>
      <c r="E35" s="660">
        <v>0</v>
      </c>
      <c r="F35" s="702" t="s">
        <v>1074</v>
      </c>
      <c r="G35" s="662" t="s">
        <v>1623</v>
      </c>
      <c r="H35" s="696" t="s">
        <v>1075</v>
      </c>
      <c r="I35" s="662" t="s">
        <v>1076</v>
      </c>
      <c r="J35" s="662" t="s">
        <v>1152</v>
      </c>
      <c r="K35" s="662" t="s">
        <v>1078</v>
      </c>
      <c r="L35" s="659" t="s">
        <v>1587</v>
      </c>
      <c r="M35" s="659"/>
      <c r="N35" s="659" t="s">
        <v>1588</v>
      </c>
      <c r="O35" s="692">
        <v>43374</v>
      </c>
      <c r="P35" s="659" t="s">
        <v>1589</v>
      </c>
      <c r="Q35" s="659">
        <v>14394</v>
      </c>
      <c r="R35" s="662" t="s">
        <v>1624</v>
      </c>
      <c r="U35" s="662" t="s">
        <v>1625</v>
      </c>
      <c r="V35" s="662" t="s">
        <v>1626</v>
      </c>
      <c r="W35" s="662">
        <v>2000</v>
      </c>
      <c r="X35" s="661">
        <v>43391</v>
      </c>
      <c r="Y35" s="661">
        <v>43392</v>
      </c>
      <c r="Z35" s="662">
        <v>8400</v>
      </c>
      <c r="AA35" s="661">
        <v>43409</v>
      </c>
      <c r="AB35" s="662" t="s">
        <v>1079</v>
      </c>
      <c r="AC35" s="662">
        <v>0</v>
      </c>
      <c r="AD35" s="662">
        <v>0</v>
      </c>
      <c r="AE35" s="662">
        <v>0</v>
      </c>
      <c r="AF35" s="662">
        <v>0</v>
      </c>
      <c r="AG35" s="662">
        <v>0</v>
      </c>
      <c r="AH35" s="662">
        <v>1</v>
      </c>
      <c r="AI35" s="662">
        <v>70195</v>
      </c>
      <c r="AJ35" s="662">
        <v>2183</v>
      </c>
      <c r="AK35" s="662">
        <v>0</v>
      </c>
      <c r="AL35" s="662">
        <v>0</v>
      </c>
      <c r="AO35" s="696"/>
      <c r="AP35" s="696"/>
      <c r="AQ35" s="662" t="str">
        <f t="shared" si="0"/>
        <v>VO04806236</v>
      </c>
      <c r="AS35" s="662" t="str">
        <f t="shared" si="1"/>
        <v>wci_corp</v>
      </c>
    </row>
    <row r="36" spans="2:45">
      <c r="B36" s="714" t="s">
        <v>1585</v>
      </c>
      <c r="C36" s="745">
        <v>43404</v>
      </c>
      <c r="D36" s="746">
        <v>180</v>
      </c>
      <c r="E36" s="746">
        <v>0</v>
      </c>
      <c r="F36" s="747" t="s">
        <v>1074</v>
      </c>
      <c r="H36" s="748" t="s">
        <v>1183</v>
      </c>
      <c r="I36" s="714" t="s">
        <v>1184</v>
      </c>
      <c r="J36" s="714" t="s">
        <v>1185</v>
      </c>
      <c r="L36" s="718"/>
      <c r="M36" s="718"/>
      <c r="N36" s="718" t="s">
        <v>1627</v>
      </c>
      <c r="O36" s="739"/>
      <c r="P36" s="718"/>
      <c r="Q36" s="718" t="s">
        <v>1186</v>
      </c>
      <c r="X36" s="745">
        <v>43406</v>
      </c>
      <c r="Y36" s="745"/>
      <c r="AA36" s="745"/>
      <c r="AC36" s="714">
        <v>0</v>
      </c>
      <c r="AI36" s="714">
        <v>70195</v>
      </c>
      <c r="AJ36" s="714">
        <v>2183</v>
      </c>
      <c r="AK36" s="714">
        <v>0</v>
      </c>
      <c r="AL36" s="714">
        <v>0</v>
      </c>
      <c r="AN36" s="714" t="s">
        <v>1628</v>
      </c>
      <c r="AO36" s="748">
        <v>2018010</v>
      </c>
      <c r="AP36" s="748">
        <v>2000</v>
      </c>
      <c r="AQ36" s="714" t="str">
        <f t="shared" si="0"/>
        <v/>
      </c>
      <c r="AS36" s="714">
        <f t="shared" si="1"/>
        <v>0</v>
      </c>
    </row>
    <row r="37" spans="2:45">
      <c r="B37" s="714" t="s">
        <v>1585</v>
      </c>
      <c r="C37" s="745">
        <v>43404</v>
      </c>
      <c r="D37" s="746">
        <v>180</v>
      </c>
      <c r="E37" s="746">
        <v>0</v>
      </c>
      <c r="F37" s="747" t="s">
        <v>1074</v>
      </c>
      <c r="G37" s="714" t="s">
        <v>1190</v>
      </c>
      <c r="H37" s="748" t="s">
        <v>1075</v>
      </c>
      <c r="I37" s="714" t="s">
        <v>1191</v>
      </c>
      <c r="J37" s="714" t="s">
        <v>1082</v>
      </c>
      <c r="K37" s="714" t="s">
        <v>1078</v>
      </c>
      <c r="L37" s="718"/>
      <c r="M37" s="718"/>
      <c r="N37" s="718" t="s">
        <v>1627</v>
      </c>
      <c r="O37" s="739"/>
      <c r="P37" s="718"/>
      <c r="Q37" s="718"/>
      <c r="U37" s="714" t="s">
        <v>1192</v>
      </c>
      <c r="V37" s="714" t="s">
        <v>1192</v>
      </c>
      <c r="X37" s="745">
        <v>43406</v>
      </c>
      <c r="Y37" s="745">
        <v>43406</v>
      </c>
      <c r="AA37" s="745"/>
      <c r="AB37" s="714" t="s">
        <v>1079</v>
      </c>
      <c r="AC37" s="714">
        <v>0</v>
      </c>
      <c r="AD37" s="714">
        <v>0</v>
      </c>
      <c r="AE37" s="714">
        <v>0</v>
      </c>
      <c r="AF37" s="714">
        <v>0</v>
      </c>
      <c r="AG37" s="714">
        <v>0</v>
      </c>
      <c r="AH37" s="714">
        <v>1</v>
      </c>
      <c r="AI37" s="714">
        <v>70195</v>
      </c>
      <c r="AJ37" s="714">
        <v>2183</v>
      </c>
      <c r="AK37" s="714">
        <v>0</v>
      </c>
      <c r="AL37" s="714">
        <v>0</v>
      </c>
      <c r="AO37" s="748"/>
      <c r="AP37" s="748"/>
      <c r="AQ37" s="714" t="str">
        <f t="shared" si="0"/>
        <v/>
      </c>
      <c r="AS37" s="714" t="str">
        <f t="shared" si="1"/>
        <v>wci_corp</v>
      </c>
    </row>
    <row r="38" spans="2:45" s="662" customFormat="1">
      <c r="B38" s="662" t="s">
        <v>1585</v>
      </c>
      <c r="C38" s="661">
        <v>43423</v>
      </c>
      <c r="D38" s="660">
        <v>909.93</v>
      </c>
      <c r="E38" s="660">
        <v>0</v>
      </c>
      <c r="F38" s="702" t="s">
        <v>1074</v>
      </c>
      <c r="G38" s="662" t="s">
        <v>1629</v>
      </c>
      <c r="H38" s="696" t="s">
        <v>1075</v>
      </c>
      <c r="I38" s="662" t="s">
        <v>1076</v>
      </c>
      <c r="J38" s="662" t="s">
        <v>1077</v>
      </c>
      <c r="K38" s="662" t="s">
        <v>1078</v>
      </c>
      <c r="L38" s="659" t="s">
        <v>1587</v>
      </c>
      <c r="M38" s="659"/>
      <c r="N38" s="659" t="s">
        <v>1588</v>
      </c>
      <c r="O38" s="692">
        <v>43405</v>
      </c>
      <c r="P38" s="659" t="s">
        <v>1630</v>
      </c>
      <c r="Q38" s="659">
        <v>14437</v>
      </c>
      <c r="R38" s="662" t="s">
        <v>1631</v>
      </c>
      <c r="U38" s="662" t="s">
        <v>1632</v>
      </c>
      <c r="V38" s="662" t="s">
        <v>1633</v>
      </c>
      <c r="W38" s="662">
        <v>2000</v>
      </c>
      <c r="X38" s="661">
        <v>43423</v>
      </c>
      <c r="Y38" s="661">
        <v>43423</v>
      </c>
      <c r="Z38" s="662">
        <v>8400</v>
      </c>
      <c r="AA38" s="661">
        <v>43440</v>
      </c>
      <c r="AB38" s="662" t="s">
        <v>1079</v>
      </c>
      <c r="AC38" s="662">
        <v>0</v>
      </c>
      <c r="AD38" s="662">
        <v>0</v>
      </c>
      <c r="AE38" s="662">
        <v>0</v>
      </c>
      <c r="AF38" s="662">
        <v>0</v>
      </c>
      <c r="AG38" s="662">
        <v>0</v>
      </c>
      <c r="AH38" s="662">
        <v>1</v>
      </c>
      <c r="AI38" s="662">
        <v>70195</v>
      </c>
      <c r="AJ38" s="662">
        <v>2183</v>
      </c>
      <c r="AK38" s="662">
        <v>0</v>
      </c>
      <c r="AL38" s="662">
        <v>0</v>
      </c>
      <c r="AO38" s="696"/>
      <c r="AP38" s="696"/>
      <c r="AQ38" s="662" t="str">
        <f t="shared" si="0"/>
        <v>VO04836697</v>
      </c>
      <c r="AS38" s="662" t="str">
        <f t="shared" si="1"/>
        <v>wci_corp</v>
      </c>
    </row>
    <row r="39" spans="2:45" s="662" customFormat="1">
      <c r="B39" s="662" t="s">
        <v>1585</v>
      </c>
      <c r="C39" s="661">
        <v>43446</v>
      </c>
      <c r="D39" s="660">
        <v>909.93</v>
      </c>
      <c r="E39" s="660">
        <v>0</v>
      </c>
      <c r="F39" s="702" t="s">
        <v>1074</v>
      </c>
      <c r="G39" s="662" t="s">
        <v>1634</v>
      </c>
      <c r="H39" s="696" t="s">
        <v>1075</v>
      </c>
      <c r="I39" s="662" t="s">
        <v>1076</v>
      </c>
      <c r="J39" s="662" t="s">
        <v>1152</v>
      </c>
      <c r="K39" s="662" t="s">
        <v>1078</v>
      </c>
      <c r="L39" s="659" t="s">
        <v>1587</v>
      </c>
      <c r="M39" s="659"/>
      <c r="N39" s="659" t="s">
        <v>1588</v>
      </c>
      <c r="O39" s="692">
        <v>43435</v>
      </c>
      <c r="P39" s="659" t="s">
        <v>1589</v>
      </c>
      <c r="Q39" s="659">
        <v>14461</v>
      </c>
      <c r="R39" s="662" t="s">
        <v>1635</v>
      </c>
      <c r="U39" s="662" t="s">
        <v>1636</v>
      </c>
      <c r="V39" s="662" t="s">
        <v>1637</v>
      </c>
      <c r="W39" s="662">
        <v>2000</v>
      </c>
      <c r="X39" s="661">
        <v>43446</v>
      </c>
      <c r="Y39" s="661">
        <v>43454</v>
      </c>
      <c r="Z39" s="662">
        <v>8400</v>
      </c>
      <c r="AA39" s="661">
        <v>43470</v>
      </c>
      <c r="AB39" s="662" t="s">
        <v>1079</v>
      </c>
      <c r="AC39" s="662">
        <v>0</v>
      </c>
      <c r="AD39" s="662">
        <v>0</v>
      </c>
      <c r="AE39" s="662">
        <v>0</v>
      </c>
      <c r="AF39" s="662">
        <v>0</v>
      </c>
      <c r="AG39" s="662">
        <v>0</v>
      </c>
      <c r="AH39" s="662">
        <v>1</v>
      </c>
      <c r="AI39" s="662">
        <v>70195</v>
      </c>
      <c r="AJ39" s="662">
        <v>2183</v>
      </c>
      <c r="AK39" s="662">
        <v>0</v>
      </c>
      <c r="AL39" s="662">
        <v>0</v>
      </c>
      <c r="AO39" s="696"/>
      <c r="AP39" s="696"/>
      <c r="AQ39" s="662" t="str">
        <f t="shared" si="0"/>
        <v>VO04859541</v>
      </c>
      <c r="AS39" s="662" t="str">
        <f t="shared" si="1"/>
        <v>wci_corp</v>
      </c>
    </row>
    <row r="40" spans="2:45">
      <c r="B40" s="714" t="s">
        <v>1585</v>
      </c>
      <c r="C40" s="745">
        <v>43465</v>
      </c>
      <c r="D40" s="746">
        <v>1025</v>
      </c>
      <c r="E40" s="746">
        <v>0</v>
      </c>
      <c r="F40" s="747" t="s">
        <v>1074</v>
      </c>
      <c r="G40" s="714" t="s">
        <v>1090</v>
      </c>
      <c r="H40" s="748" t="s">
        <v>1075</v>
      </c>
      <c r="I40" s="714" t="s">
        <v>1091</v>
      </c>
      <c r="J40" s="714" t="s">
        <v>1092</v>
      </c>
      <c r="K40" s="714" t="s">
        <v>1078</v>
      </c>
      <c r="L40" s="718"/>
      <c r="M40" s="718"/>
      <c r="N40" s="718" t="s">
        <v>1638</v>
      </c>
      <c r="O40" s="739"/>
      <c r="P40" s="718"/>
      <c r="Q40" s="718"/>
      <c r="U40" s="714" t="s">
        <v>1093</v>
      </c>
      <c r="V40" s="714" t="s">
        <v>1093</v>
      </c>
      <c r="X40" s="745">
        <v>43468</v>
      </c>
      <c r="Y40" s="745">
        <v>43468</v>
      </c>
      <c r="AA40" s="745"/>
      <c r="AB40" s="714" t="s">
        <v>1079</v>
      </c>
      <c r="AC40" s="714">
        <v>0</v>
      </c>
      <c r="AD40" s="714">
        <v>0</v>
      </c>
      <c r="AE40" s="714">
        <v>0</v>
      </c>
      <c r="AF40" s="714">
        <v>0</v>
      </c>
      <c r="AG40" s="714">
        <v>0</v>
      </c>
      <c r="AH40" s="714">
        <v>1</v>
      </c>
      <c r="AI40" s="714">
        <v>70195</v>
      </c>
      <c r="AJ40" s="714">
        <v>2183</v>
      </c>
      <c r="AK40" s="714">
        <v>0</v>
      </c>
      <c r="AL40" s="714">
        <v>0</v>
      </c>
      <c r="AO40" s="748"/>
      <c r="AP40" s="748"/>
      <c r="AQ40" s="714" t="str">
        <f t="shared" si="0"/>
        <v/>
      </c>
      <c r="AS40" s="714" t="str">
        <f t="shared" si="1"/>
        <v>wci_corp</v>
      </c>
    </row>
    <row r="41" spans="2:45">
      <c r="B41" s="714" t="s">
        <v>1585</v>
      </c>
      <c r="C41" s="745">
        <v>43465</v>
      </c>
      <c r="D41" s="746">
        <v>275</v>
      </c>
      <c r="E41" s="746">
        <v>0</v>
      </c>
      <c r="F41" s="747" t="s">
        <v>1074</v>
      </c>
      <c r="G41" s="714" t="s">
        <v>1455</v>
      </c>
      <c r="H41" s="748" t="s">
        <v>1075</v>
      </c>
      <c r="I41" s="714" t="s">
        <v>1131</v>
      </c>
      <c r="J41" s="714" t="s">
        <v>1082</v>
      </c>
      <c r="K41" s="714" t="s">
        <v>1078</v>
      </c>
      <c r="L41" s="718"/>
      <c r="M41" s="718"/>
      <c r="N41" s="718" t="s">
        <v>1639</v>
      </c>
      <c r="O41" s="739"/>
      <c r="P41" s="718"/>
      <c r="Q41" s="718"/>
      <c r="U41" s="714" t="s">
        <v>1456</v>
      </c>
      <c r="V41" s="714" t="s">
        <v>1456</v>
      </c>
      <c r="X41" s="745">
        <v>43472</v>
      </c>
      <c r="Y41" s="745">
        <v>43473</v>
      </c>
      <c r="AA41" s="745"/>
      <c r="AB41" s="714" t="s">
        <v>1079</v>
      </c>
      <c r="AC41" s="714">
        <v>0</v>
      </c>
      <c r="AD41" s="714">
        <v>0</v>
      </c>
      <c r="AE41" s="714">
        <v>0</v>
      </c>
      <c r="AF41" s="714">
        <v>0</v>
      </c>
      <c r="AG41" s="714">
        <v>0</v>
      </c>
      <c r="AH41" s="714">
        <v>1</v>
      </c>
      <c r="AI41" s="714">
        <v>70195</v>
      </c>
      <c r="AJ41" s="714">
        <v>2183</v>
      </c>
      <c r="AK41" s="714">
        <v>0</v>
      </c>
      <c r="AL41" s="714">
        <v>0</v>
      </c>
      <c r="AO41" s="748"/>
      <c r="AP41" s="748"/>
      <c r="AQ41" s="714" t="str">
        <f t="shared" si="0"/>
        <v/>
      </c>
      <c r="AS41" s="714" t="str">
        <f t="shared" si="1"/>
        <v>wci_corp</v>
      </c>
    </row>
    <row r="42" spans="2:45" s="662" customFormat="1">
      <c r="B42" s="662" t="s">
        <v>1585</v>
      </c>
      <c r="C42" s="661">
        <v>43482</v>
      </c>
      <c r="D42" s="660">
        <v>876.65</v>
      </c>
      <c r="E42" s="660">
        <v>0</v>
      </c>
      <c r="F42" s="702" t="s">
        <v>1074</v>
      </c>
      <c r="G42" s="662" t="s">
        <v>1640</v>
      </c>
      <c r="H42" s="696" t="s">
        <v>1075</v>
      </c>
      <c r="I42" s="662" t="s">
        <v>1076</v>
      </c>
      <c r="J42" s="662" t="s">
        <v>1077</v>
      </c>
      <c r="K42" s="662" t="s">
        <v>1078</v>
      </c>
      <c r="L42" s="659" t="s">
        <v>1587</v>
      </c>
      <c r="M42" s="659"/>
      <c r="N42" s="659" t="s">
        <v>1588</v>
      </c>
      <c r="O42" s="692">
        <v>43466</v>
      </c>
      <c r="P42" s="659" t="s">
        <v>1589</v>
      </c>
      <c r="Q42" s="659">
        <v>14621</v>
      </c>
      <c r="R42" s="662" t="s">
        <v>1641</v>
      </c>
      <c r="U42" s="662" t="s">
        <v>1642</v>
      </c>
      <c r="V42" s="662" t="s">
        <v>1643</v>
      </c>
      <c r="W42" s="662">
        <v>2000</v>
      </c>
      <c r="X42" s="661">
        <v>43482</v>
      </c>
      <c r="Y42" s="661">
        <v>43482</v>
      </c>
      <c r="Z42" s="662">
        <v>8400</v>
      </c>
      <c r="AA42" s="661">
        <v>43501</v>
      </c>
      <c r="AB42" s="662" t="s">
        <v>1079</v>
      </c>
      <c r="AC42" s="662">
        <v>0</v>
      </c>
      <c r="AD42" s="662">
        <v>0</v>
      </c>
      <c r="AE42" s="662">
        <v>0</v>
      </c>
      <c r="AF42" s="662">
        <v>0</v>
      </c>
      <c r="AG42" s="662">
        <v>0</v>
      </c>
      <c r="AH42" s="662">
        <v>1</v>
      </c>
      <c r="AI42" s="662">
        <v>70195</v>
      </c>
      <c r="AJ42" s="662">
        <v>2183</v>
      </c>
      <c r="AK42" s="662">
        <v>0</v>
      </c>
      <c r="AL42" s="662">
        <v>0</v>
      </c>
      <c r="AO42" s="696"/>
      <c r="AP42" s="696"/>
      <c r="AQ42" s="662" t="str">
        <f t="shared" si="0"/>
        <v>VO04894005</v>
      </c>
      <c r="AS42" s="662" t="str">
        <f t="shared" si="1"/>
        <v>wci_corp</v>
      </c>
    </row>
    <row r="43" spans="2:45">
      <c r="B43" s="714" t="s">
        <v>1585</v>
      </c>
      <c r="C43" s="745">
        <v>43496</v>
      </c>
      <c r="D43" s="746">
        <v>-275</v>
      </c>
      <c r="E43" s="746">
        <v>0</v>
      </c>
      <c r="F43" s="747" t="s">
        <v>1074</v>
      </c>
      <c r="G43" s="714" t="s">
        <v>1469</v>
      </c>
      <c r="H43" s="748" t="s">
        <v>1075</v>
      </c>
      <c r="I43" s="714" t="s">
        <v>1131</v>
      </c>
      <c r="J43" s="714" t="s">
        <v>1082</v>
      </c>
      <c r="K43" s="714" t="s">
        <v>1078</v>
      </c>
      <c r="L43" s="718"/>
      <c r="M43" s="718"/>
      <c r="N43" s="718" t="s">
        <v>1639</v>
      </c>
      <c r="O43" s="739"/>
      <c r="P43" s="718"/>
      <c r="Q43" s="718"/>
      <c r="U43" s="714" t="s">
        <v>1456</v>
      </c>
      <c r="V43" s="714" t="s">
        <v>1470</v>
      </c>
      <c r="X43" s="745">
        <v>43473</v>
      </c>
      <c r="Y43" s="745">
        <v>43473</v>
      </c>
      <c r="AA43" s="745"/>
      <c r="AB43" s="714" t="s">
        <v>1079</v>
      </c>
      <c r="AC43" s="714">
        <v>0</v>
      </c>
      <c r="AD43" s="714">
        <v>0</v>
      </c>
      <c r="AE43" s="714">
        <v>0</v>
      </c>
      <c r="AF43" s="714">
        <v>0</v>
      </c>
      <c r="AG43" s="714">
        <v>5</v>
      </c>
      <c r="AH43" s="714">
        <v>1</v>
      </c>
      <c r="AI43" s="714">
        <v>70195</v>
      </c>
      <c r="AJ43" s="714">
        <v>2183</v>
      </c>
      <c r="AK43" s="714">
        <v>0</v>
      </c>
      <c r="AL43" s="714">
        <v>0</v>
      </c>
      <c r="AO43" s="748"/>
      <c r="AP43" s="748"/>
      <c r="AQ43" s="714" t="str">
        <f t="shared" si="0"/>
        <v/>
      </c>
      <c r="AS43" s="714" t="str">
        <f t="shared" si="1"/>
        <v>wci_corp</v>
      </c>
    </row>
    <row r="44" spans="2:45">
      <c r="B44" s="714" t="s">
        <v>1585</v>
      </c>
      <c r="C44" s="745">
        <v>43496</v>
      </c>
      <c r="D44" s="746">
        <v>275</v>
      </c>
      <c r="E44" s="746">
        <v>0</v>
      </c>
      <c r="F44" s="747" t="s">
        <v>1074</v>
      </c>
      <c r="G44" s="714" t="s">
        <v>1206</v>
      </c>
      <c r="H44" s="748" t="s">
        <v>1075</v>
      </c>
      <c r="I44" s="714" t="s">
        <v>1207</v>
      </c>
      <c r="J44" s="714" t="s">
        <v>1082</v>
      </c>
      <c r="K44" s="714" t="s">
        <v>1078</v>
      </c>
      <c r="L44" s="718"/>
      <c r="M44" s="718"/>
      <c r="N44" s="718" t="s">
        <v>1639</v>
      </c>
      <c r="O44" s="739"/>
      <c r="P44" s="718"/>
      <c r="Q44" s="718"/>
      <c r="U44" s="714" t="s">
        <v>1208</v>
      </c>
      <c r="V44" s="714" t="s">
        <v>1208</v>
      </c>
      <c r="X44" s="745">
        <v>43500</v>
      </c>
      <c r="Y44" s="745">
        <v>43500</v>
      </c>
      <c r="AA44" s="745"/>
      <c r="AB44" s="714" t="s">
        <v>1079</v>
      </c>
      <c r="AC44" s="714">
        <v>0</v>
      </c>
      <c r="AD44" s="714">
        <v>0</v>
      </c>
      <c r="AE44" s="714">
        <v>0</v>
      </c>
      <c r="AF44" s="714">
        <v>0</v>
      </c>
      <c r="AG44" s="714">
        <v>0</v>
      </c>
      <c r="AH44" s="714">
        <v>1</v>
      </c>
      <c r="AI44" s="714">
        <v>70195</v>
      </c>
      <c r="AJ44" s="714">
        <v>2183</v>
      </c>
      <c r="AK44" s="714">
        <v>0</v>
      </c>
      <c r="AL44" s="714">
        <v>0</v>
      </c>
      <c r="AO44" s="748"/>
      <c r="AP44" s="748"/>
      <c r="AQ44" s="714" t="str">
        <f t="shared" si="0"/>
        <v/>
      </c>
      <c r="AS44" s="714" t="str">
        <f t="shared" si="1"/>
        <v>wci_corp</v>
      </c>
    </row>
    <row r="45" spans="2:45">
      <c r="B45" s="714" t="s">
        <v>1585</v>
      </c>
      <c r="C45" s="745">
        <v>43496</v>
      </c>
      <c r="D45" s="746">
        <v>431.6</v>
      </c>
      <c r="E45" s="746">
        <v>0</v>
      </c>
      <c r="F45" s="747" t="s">
        <v>1074</v>
      </c>
      <c r="G45" s="714" t="s">
        <v>1206</v>
      </c>
      <c r="H45" s="748" t="s">
        <v>1075</v>
      </c>
      <c r="I45" s="714" t="s">
        <v>1207</v>
      </c>
      <c r="J45" s="714" t="s">
        <v>1082</v>
      </c>
      <c r="K45" s="714" t="s">
        <v>1078</v>
      </c>
      <c r="L45" s="718"/>
      <c r="M45" s="718"/>
      <c r="N45" s="718" t="s">
        <v>1644</v>
      </c>
      <c r="O45" s="739"/>
      <c r="P45" s="718"/>
      <c r="Q45" s="718"/>
      <c r="U45" s="714" t="s">
        <v>1208</v>
      </c>
      <c r="V45" s="714" t="s">
        <v>1208</v>
      </c>
      <c r="X45" s="745">
        <v>43500</v>
      </c>
      <c r="Y45" s="745">
        <v>43500</v>
      </c>
      <c r="AA45" s="745"/>
      <c r="AB45" s="714" t="s">
        <v>1079</v>
      </c>
      <c r="AC45" s="714">
        <v>0</v>
      </c>
      <c r="AD45" s="714">
        <v>0</v>
      </c>
      <c r="AE45" s="714">
        <v>0</v>
      </c>
      <c r="AF45" s="714">
        <v>0</v>
      </c>
      <c r="AG45" s="714">
        <v>0</v>
      </c>
      <c r="AH45" s="714">
        <v>1</v>
      </c>
      <c r="AI45" s="714">
        <v>70195</v>
      </c>
      <c r="AJ45" s="714">
        <v>2183</v>
      </c>
      <c r="AK45" s="714">
        <v>0</v>
      </c>
      <c r="AL45" s="714">
        <v>0</v>
      </c>
      <c r="AO45" s="748"/>
      <c r="AP45" s="748"/>
      <c r="AQ45" s="714" t="str">
        <f t="shared" si="0"/>
        <v/>
      </c>
      <c r="AS45" s="714" t="str">
        <f t="shared" si="1"/>
        <v>wci_corp</v>
      </c>
    </row>
    <row r="46" spans="2:45" s="662" customFormat="1">
      <c r="B46" s="662" t="s">
        <v>1585</v>
      </c>
      <c r="C46" s="661">
        <v>43514</v>
      </c>
      <c r="D46" s="660">
        <v>876.65</v>
      </c>
      <c r="E46" s="660">
        <v>0</v>
      </c>
      <c r="F46" s="702" t="s">
        <v>1074</v>
      </c>
      <c r="G46" s="662" t="s">
        <v>1645</v>
      </c>
      <c r="H46" s="696" t="s">
        <v>1075</v>
      </c>
      <c r="I46" s="662" t="s">
        <v>1076</v>
      </c>
      <c r="J46" s="662" t="s">
        <v>1077</v>
      </c>
      <c r="K46" s="662" t="s">
        <v>1078</v>
      </c>
      <c r="L46" s="659" t="s">
        <v>1587</v>
      </c>
      <c r="M46" s="659"/>
      <c r="N46" s="659" t="s">
        <v>1588</v>
      </c>
      <c r="O46" s="692">
        <v>43497</v>
      </c>
      <c r="P46" s="659" t="s">
        <v>1589</v>
      </c>
      <c r="Q46" s="659">
        <v>14650</v>
      </c>
      <c r="R46" s="662" t="s">
        <v>1646</v>
      </c>
      <c r="U46" s="662" t="s">
        <v>1647</v>
      </c>
      <c r="V46" s="662" t="s">
        <v>1648</v>
      </c>
      <c r="W46" s="662">
        <v>2000</v>
      </c>
      <c r="X46" s="661">
        <v>43514</v>
      </c>
      <c r="Y46" s="661">
        <v>43516</v>
      </c>
      <c r="Z46" s="662">
        <v>8400</v>
      </c>
      <c r="AA46" s="661">
        <v>43532</v>
      </c>
      <c r="AB46" s="662" t="s">
        <v>1079</v>
      </c>
      <c r="AC46" s="662">
        <v>0</v>
      </c>
      <c r="AD46" s="662">
        <v>0</v>
      </c>
      <c r="AE46" s="662">
        <v>0</v>
      </c>
      <c r="AF46" s="662">
        <v>0</v>
      </c>
      <c r="AG46" s="662">
        <v>0</v>
      </c>
      <c r="AH46" s="662">
        <v>1</v>
      </c>
      <c r="AI46" s="662">
        <v>70195</v>
      </c>
      <c r="AJ46" s="662">
        <v>2183</v>
      </c>
      <c r="AK46" s="662">
        <v>0</v>
      </c>
      <c r="AL46" s="662">
        <v>0</v>
      </c>
      <c r="AO46" s="696"/>
      <c r="AP46" s="696"/>
      <c r="AQ46" s="662" t="str">
        <f t="shared" si="0"/>
        <v>VO04925537</v>
      </c>
      <c r="AS46" s="662" t="str">
        <f t="shared" si="1"/>
        <v>wci_corp</v>
      </c>
    </row>
    <row r="47" spans="2:45">
      <c r="B47" s="714" t="s">
        <v>1585</v>
      </c>
      <c r="C47" s="745">
        <v>43524</v>
      </c>
      <c r="D47" s="746">
        <v>208</v>
      </c>
      <c r="E47" s="746">
        <v>0</v>
      </c>
      <c r="F47" s="747" t="s">
        <v>1074</v>
      </c>
      <c r="G47" s="714" t="s">
        <v>1649</v>
      </c>
      <c r="H47" s="748" t="s">
        <v>1075</v>
      </c>
      <c r="I47" s="714" t="s">
        <v>1650</v>
      </c>
      <c r="J47" s="714" t="s">
        <v>1082</v>
      </c>
      <c r="K47" s="714" t="s">
        <v>1078</v>
      </c>
      <c r="L47" s="718"/>
      <c r="M47" s="718"/>
      <c r="N47" s="718" t="s">
        <v>1651</v>
      </c>
      <c r="O47" s="739"/>
      <c r="P47" s="718"/>
      <c r="Q47" s="718"/>
      <c r="U47" s="714" t="s">
        <v>1652</v>
      </c>
      <c r="V47" s="714" t="s">
        <v>1652</v>
      </c>
      <c r="X47" s="745">
        <v>43530</v>
      </c>
      <c r="Y47" s="745">
        <v>43531</v>
      </c>
      <c r="AA47" s="745"/>
      <c r="AB47" s="714" t="s">
        <v>1079</v>
      </c>
      <c r="AC47" s="714">
        <v>0</v>
      </c>
      <c r="AD47" s="714">
        <v>0</v>
      </c>
      <c r="AE47" s="714">
        <v>0</v>
      </c>
      <c r="AF47" s="714">
        <v>0</v>
      </c>
      <c r="AG47" s="714">
        <v>0</v>
      </c>
      <c r="AH47" s="714">
        <v>1</v>
      </c>
      <c r="AI47" s="714">
        <v>70195</v>
      </c>
      <c r="AJ47" s="714">
        <v>2183</v>
      </c>
      <c r="AK47" s="714">
        <v>0</v>
      </c>
      <c r="AL47" s="714">
        <v>0</v>
      </c>
      <c r="AO47" s="748"/>
      <c r="AP47" s="748"/>
      <c r="AQ47" s="714" t="str">
        <f t="shared" si="0"/>
        <v/>
      </c>
      <c r="AS47" s="714" t="str">
        <f t="shared" si="1"/>
        <v>wci_corp</v>
      </c>
    </row>
    <row r="48" spans="2:45">
      <c r="B48" s="714" t="s">
        <v>1585</v>
      </c>
      <c r="C48" s="745">
        <v>43524</v>
      </c>
      <c r="D48" s="746">
        <v>25</v>
      </c>
      <c r="E48" s="746">
        <v>0</v>
      </c>
      <c r="F48" s="747" t="s">
        <v>1074</v>
      </c>
      <c r="G48" s="714" t="s">
        <v>1506</v>
      </c>
      <c r="H48" s="748" t="s">
        <v>1075</v>
      </c>
      <c r="I48" s="714" t="s">
        <v>1081</v>
      </c>
      <c r="J48" s="714" t="s">
        <v>1082</v>
      </c>
      <c r="K48" s="714" t="s">
        <v>1078</v>
      </c>
      <c r="L48" s="718"/>
      <c r="M48" s="718"/>
      <c r="N48" s="718" t="s">
        <v>1653</v>
      </c>
      <c r="O48" s="739"/>
      <c r="P48" s="718"/>
      <c r="Q48" s="718"/>
      <c r="U48" s="714" t="s">
        <v>1508</v>
      </c>
      <c r="V48" s="714" t="s">
        <v>1508</v>
      </c>
      <c r="X48" s="745">
        <v>43530</v>
      </c>
      <c r="Y48" s="745">
        <v>43531</v>
      </c>
      <c r="AA48" s="745"/>
      <c r="AB48" s="714" t="s">
        <v>1079</v>
      </c>
      <c r="AC48" s="714">
        <v>0</v>
      </c>
      <c r="AD48" s="714">
        <v>0</v>
      </c>
      <c r="AE48" s="714">
        <v>0</v>
      </c>
      <c r="AF48" s="714">
        <v>0</v>
      </c>
      <c r="AG48" s="714">
        <v>0</v>
      </c>
      <c r="AH48" s="714">
        <v>1</v>
      </c>
      <c r="AI48" s="714">
        <v>70195</v>
      </c>
      <c r="AJ48" s="714">
        <v>2183</v>
      </c>
      <c r="AK48" s="714">
        <v>0</v>
      </c>
      <c r="AL48" s="714">
        <v>0</v>
      </c>
      <c r="AO48" s="748"/>
      <c r="AP48" s="748"/>
      <c r="AQ48" s="714" t="str">
        <f t="shared" si="0"/>
        <v/>
      </c>
      <c r="AS48" s="714" t="str">
        <f t="shared" si="1"/>
        <v>wci_corp</v>
      </c>
    </row>
    <row r="49" spans="2:45">
      <c r="B49" s="714" t="s">
        <v>1585</v>
      </c>
      <c r="C49" s="745">
        <v>43529</v>
      </c>
      <c r="D49" s="746">
        <v>208</v>
      </c>
      <c r="E49" s="746">
        <v>0</v>
      </c>
      <c r="F49" s="747" t="s">
        <v>1074</v>
      </c>
      <c r="G49" s="714" t="s">
        <v>1654</v>
      </c>
      <c r="H49" s="748" t="s">
        <v>1075</v>
      </c>
      <c r="I49" s="714" t="s">
        <v>1076</v>
      </c>
      <c r="J49" s="714" t="s">
        <v>1077</v>
      </c>
      <c r="K49" s="714" t="s">
        <v>1078</v>
      </c>
      <c r="L49" s="718" t="s">
        <v>1655</v>
      </c>
      <c r="M49" s="718"/>
      <c r="N49" s="718" t="s">
        <v>1656</v>
      </c>
      <c r="O49" s="739">
        <v>43525</v>
      </c>
      <c r="P49" s="718" t="s">
        <v>1657</v>
      </c>
      <c r="Q49" s="718">
        <v>192113</v>
      </c>
      <c r="R49" s="714" t="s">
        <v>1658</v>
      </c>
      <c r="U49" s="714" t="s">
        <v>1659</v>
      </c>
      <c r="V49" s="714" t="s">
        <v>1660</v>
      </c>
      <c r="W49" s="714">
        <v>2111</v>
      </c>
      <c r="X49" s="745">
        <v>43529</v>
      </c>
      <c r="Y49" s="745">
        <v>43529</v>
      </c>
      <c r="Z49" s="714">
        <v>2600</v>
      </c>
      <c r="AA49" s="745">
        <v>43535</v>
      </c>
      <c r="AB49" s="714" t="s">
        <v>1079</v>
      </c>
      <c r="AC49" s="714">
        <v>0</v>
      </c>
      <c r="AD49" s="714">
        <v>0</v>
      </c>
      <c r="AE49" s="714">
        <v>0</v>
      </c>
      <c r="AF49" s="714">
        <v>0</v>
      </c>
      <c r="AG49" s="714">
        <v>0</v>
      </c>
      <c r="AH49" s="714">
        <v>1</v>
      </c>
      <c r="AI49" s="714">
        <v>70195</v>
      </c>
      <c r="AJ49" s="714">
        <v>2183</v>
      </c>
      <c r="AK49" s="714">
        <v>0</v>
      </c>
      <c r="AL49" s="714">
        <v>0</v>
      </c>
      <c r="AO49" s="748"/>
      <c r="AP49" s="748"/>
      <c r="AQ49" s="714" t="str">
        <f t="shared" si="0"/>
        <v>VO04941245</v>
      </c>
      <c r="AS49" s="714" t="str">
        <f t="shared" si="1"/>
        <v>wci_corp</v>
      </c>
    </row>
    <row r="50" spans="2:45" s="662" customFormat="1">
      <c r="B50" s="662" t="s">
        <v>1585</v>
      </c>
      <c r="C50" s="661">
        <v>43550</v>
      </c>
      <c r="D50" s="660">
        <v>876.65</v>
      </c>
      <c r="E50" s="660">
        <v>0</v>
      </c>
      <c r="F50" s="702" t="s">
        <v>1074</v>
      </c>
      <c r="G50" s="662" t="s">
        <v>1661</v>
      </c>
      <c r="H50" s="696" t="s">
        <v>1075</v>
      </c>
      <c r="I50" s="662" t="s">
        <v>1076</v>
      </c>
      <c r="J50" s="662" t="s">
        <v>1077</v>
      </c>
      <c r="K50" s="662" t="s">
        <v>1078</v>
      </c>
      <c r="L50" s="659" t="s">
        <v>1587</v>
      </c>
      <c r="M50" s="659"/>
      <c r="N50" s="659" t="s">
        <v>1588</v>
      </c>
      <c r="O50" s="692">
        <v>43525</v>
      </c>
      <c r="P50" s="659" t="s">
        <v>1589</v>
      </c>
      <c r="Q50" s="659">
        <v>14680</v>
      </c>
      <c r="R50" s="662" t="s">
        <v>1662</v>
      </c>
      <c r="U50" s="662" t="s">
        <v>1663</v>
      </c>
      <c r="V50" s="662" t="s">
        <v>1664</v>
      </c>
      <c r="W50" s="662">
        <v>2000</v>
      </c>
      <c r="X50" s="661">
        <v>43550</v>
      </c>
      <c r="Y50" s="661">
        <v>43552</v>
      </c>
      <c r="Z50" s="662">
        <v>8400</v>
      </c>
      <c r="AA50" s="661">
        <v>43560</v>
      </c>
      <c r="AB50" s="662" t="s">
        <v>1079</v>
      </c>
      <c r="AC50" s="662">
        <v>0</v>
      </c>
      <c r="AD50" s="662">
        <v>0</v>
      </c>
      <c r="AE50" s="662">
        <v>0</v>
      </c>
      <c r="AF50" s="662">
        <v>0</v>
      </c>
      <c r="AG50" s="662">
        <v>0</v>
      </c>
      <c r="AH50" s="662">
        <v>1</v>
      </c>
      <c r="AI50" s="662">
        <v>70195</v>
      </c>
      <c r="AJ50" s="662">
        <v>2183</v>
      </c>
      <c r="AK50" s="662">
        <v>0</v>
      </c>
      <c r="AL50" s="662">
        <v>0</v>
      </c>
      <c r="AO50" s="696"/>
      <c r="AP50" s="696"/>
      <c r="AQ50" s="662" t="str">
        <f t="shared" si="0"/>
        <v>VO04964688</v>
      </c>
      <c r="AS50" s="662" t="str">
        <f t="shared" si="1"/>
        <v>wci_corp</v>
      </c>
    </row>
    <row r="51" spans="2:45">
      <c r="B51" s="714" t="s">
        <v>1585</v>
      </c>
      <c r="C51" s="745">
        <v>43555</v>
      </c>
      <c r="D51" s="746">
        <v>-208</v>
      </c>
      <c r="E51" s="746">
        <v>0</v>
      </c>
      <c r="F51" s="747" t="s">
        <v>1074</v>
      </c>
      <c r="G51" s="714" t="s">
        <v>1665</v>
      </c>
      <c r="H51" s="748" t="s">
        <v>1075</v>
      </c>
      <c r="I51" s="714" t="s">
        <v>1650</v>
      </c>
      <c r="J51" s="714" t="s">
        <v>1082</v>
      </c>
      <c r="K51" s="714" t="s">
        <v>1078</v>
      </c>
      <c r="L51" s="718"/>
      <c r="M51" s="718"/>
      <c r="N51" s="718" t="s">
        <v>1651</v>
      </c>
      <c r="O51" s="739"/>
      <c r="P51" s="718"/>
      <c r="Q51" s="718"/>
      <c r="U51" s="714" t="s">
        <v>1652</v>
      </c>
      <c r="V51" s="714" t="s">
        <v>1666</v>
      </c>
      <c r="X51" s="745">
        <v>43531</v>
      </c>
      <c r="Y51" s="745">
        <v>43531</v>
      </c>
      <c r="AA51" s="745"/>
      <c r="AB51" s="714" t="s">
        <v>1079</v>
      </c>
      <c r="AC51" s="714">
        <v>0</v>
      </c>
      <c r="AD51" s="714">
        <v>0</v>
      </c>
      <c r="AE51" s="714">
        <v>0</v>
      </c>
      <c r="AF51" s="714">
        <v>0</v>
      </c>
      <c r="AG51" s="714">
        <v>5</v>
      </c>
      <c r="AH51" s="714">
        <v>1</v>
      </c>
      <c r="AI51" s="714">
        <v>70195</v>
      </c>
      <c r="AJ51" s="714">
        <v>2183</v>
      </c>
      <c r="AK51" s="714">
        <v>0</v>
      </c>
      <c r="AL51" s="714">
        <v>0</v>
      </c>
      <c r="AO51" s="748"/>
      <c r="AP51" s="748"/>
      <c r="AQ51" s="714" t="str">
        <f t="shared" si="0"/>
        <v/>
      </c>
      <c r="AS51" s="714" t="str">
        <f t="shared" si="1"/>
        <v>wci_corp</v>
      </c>
    </row>
    <row r="52" spans="2:45">
      <c r="B52" s="714" t="s">
        <v>1585</v>
      </c>
      <c r="C52" s="745">
        <v>43555</v>
      </c>
      <c r="D52" s="746">
        <v>-25</v>
      </c>
      <c r="E52" s="746">
        <v>0</v>
      </c>
      <c r="F52" s="747" t="s">
        <v>1074</v>
      </c>
      <c r="G52" s="714" t="s">
        <v>1540</v>
      </c>
      <c r="H52" s="748" t="s">
        <v>1075</v>
      </c>
      <c r="I52" s="714" t="s">
        <v>1081</v>
      </c>
      <c r="J52" s="714" t="s">
        <v>1082</v>
      </c>
      <c r="K52" s="714" t="s">
        <v>1078</v>
      </c>
      <c r="L52" s="718"/>
      <c r="M52" s="718"/>
      <c r="N52" s="718" t="s">
        <v>1653</v>
      </c>
      <c r="O52" s="739"/>
      <c r="P52" s="718"/>
      <c r="Q52" s="718"/>
      <c r="U52" s="714" t="s">
        <v>1508</v>
      </c>
      <c r="V52" s="714" t="s">
        <v>1541</v>
      </c>
      <c r="X52" s="745">
        <v>43531</v>
      </c>
      <c r="Y52" s="745">
        <v>43531</v>
      </c>
      <c r="AA52" s="745"/>
      <c r="AB52" s="714" t="s">
        <v>1079</v>
      </c>
      <c r="AC52" s="714">
        <v>0</v>
      </c>
      <c r="AD52" s="714">
        <v>0</v>
      </c>
      <c r="AE52" s="714">
        <v>0</v>
      </c>
      <c r="AF52" s="714">
        <v>0</v>
      </c>
      <c r="AG52" s="714">
        <v>5</v>
      </c>
      <c r="AH52" s="714">
        <v>1</v>
      </c>
      <c r="AI52" s="714">
        <v>70195</v>
      </c>
      <c r="AJ52" s="714">
        <v>2183</v>
      </c>
      <c r="AK52" s="714">
        <v>0</v>
      </c>
      <c r="AL52" s="714">
        <v>0</v>
      </c>
      <c r="AO52" s="748"/>
      <c r="AP52" s="748"/>
      <c r="AQ52" s="714" t="str">
        <f t="shared" si="0"/>
        <v/>
      </c>
      <c r="AS52" s="714" t="str">
        <f t="shared" si="1"/>
        <v>wci_corp</v>
      </c>
    </row>
    <row r="53" spans="2:45" s="662" customFormat="1">
      <c r="B53" s="662" t="s">
        <v>1585</v>
      </c>
      <c r="C53" s="661">
        <v>43565</v>
      </c>
      <c r="D53" s="660">
        <v>876.65</v>
      </c>
      <c r="E53" s="660">
        <v>0</v>
      </c>
      <c r="F53" s="702" t="s">
        <v>1074</v>
      </c>
      <c r="G53" s="662" t="s">
        <v>1667</v>
      </c>
      <c r="H53" s="696" t="s">
        <v>1075</v>
      </c>
      <c r="I53" s="662" t="s">
        <v>1076</v>
      </c>
      <c r="J53" s="662" t="s">
        <v>1077</v>
      </c>
      <c r="K53" s="662" t="s">
        <v>1078</v>
      </c>
      <c r="L53" s="659" t="s">
        <v>1587</v>
      </c>
      <c r="M53" s="659"/>
      <c r="N53" s="659" t="s">
        <v>1588</v>
      </c>
      <c r="O53" s="692">
        <v>43556</v>
      </c>
      <c r="P53" s="659" t="s">
        <v>1589</v>
      </c>
      <c r="Q53" s="659">
        <v>14709</v>
      </c>
      <c r="R53" s="662" t="s">
        <v>1668</v>
      </c>
      <c r="U53" s="662" t="s">
        <v>1669</v>
      </c>
      <c r="V53" s="662" t="s">
        <v>1670</v>
      </c>
      <c r="W53" s="662">
        <v>2000</v>
      </c>
      <c r="X53" s="661">
        <v>43565</v>
      </c>
      <c r="Y53" s="661">
        <v>43574</v>
      </c>
      <c r="Z53" s="662">
        <v>8400</v>
      </c>
      <c r="AA53" s="661">
        <v>43591</v>
      </c>
      <c r="AB53" s="662" t="s">
        <v>1079</v>
      </c>
      <c r="AC53" s="662">
        <v>0</v>
      </c>
      <c r="AD53" s="662">
        <v>0</v>
      </c>
      <c r="AE53" s="662">
        <v>0</v>
      </c>
      <c r="AF53" s="662">
        <v>0</v>
      </c>
      <c r="AG53" s="662">
        <v>0</v>
      </c>
      <c r="AH53" s="662">
        <v>1</v>
      </c>
      <c r="AI53" s="662">
        <v>70195</v>
      </c>
      <c r="AJ53" s="662">
        <v>2183</v>
      </c>
      <c r="AK53" s="662">
        <v>0</v>
      </c>
      <c r="AL53" s="662">
        <v>0</v>
      </c>
      <c r="AO53" s="696"/>
      <c r="AP53" s="696"/>
      <c r="AQ53" s="662" t="str">
        <f t="shared" si="0"/>
        <v>VO04979309</v>
      </c>
      <c r="AS53" s="662" t="str">
        <f t="shared" si="1"/>
        <v>wci_corp</v>
      </c>
    </row>
    <row r="54" spans="2:45">
      <c r="B54" s="714" t="s">
        <v>1585</v>
      </c>
      <c r="C54" s="745">
        <v>43585</v>
      </c>
      <c r="D54" s="746">
        <v>239.56</v>
      </c>
      <c r="E54" s="746">
        <v>0</v>
      </c>
      <c r="F54" s="747" t="s">
        <v>1074</v>
      </c>
      <c r="G54" s="714" t="s">
        <v>1102</v>
      </c>
      <c r="H54" s="748" t="s">
        <v>1075</v>
      </c>
      <c r="I54" s="714" t="s">
        <v>1103</v>
      </c>
      <c r="J54" s="714" t="s">
        <v>1092</v>
      </c>
      <c r="K54" s="714" t="s">
        <v>1078</v>
      </c>
      <c r="L54" s="718"/>
      <c r="M54" s="718"/>
      <c r="N54" s="718" t="s">
        <v>1671</v>
      </c>
      <c r="O54" s="739"/>
      <c r="P54" s="718"/>
      <c r="Q54" s="718"/>
      <c r="U54" s="714" t="s">
        <v>1104</v>
      </c>
      <c r="V54" s="714" t="s">
        <v>1104</v>
      </c>
      <c r="X54" s="745">
        <v>43586</v>
      </c>
      <c r="Y54" s="745">
        <v>43587</v>
      </c>
      <c r="AA54" s="745"/>
      <c r="AB54" s="714" t="s">
        <v>1079</v>
      </c>
      <c r="AC54" s="714">
        <v>0</v>
      </c>
      <c r="AD54" s="714">
        <v>0</v>
      </c>
      <c r="AE54" s="714">
        <v>0</v>
      </c>
      <c r="AF54" s="714">
        <v>0</v>
      </c>
      <c r="AG54" s="714">
        <v>0</v>
      </c>
      <c r="AH54" s="714">
        <v>1</v>
      </c>
      <c r="AI54" s="714">
        <v>70195</v>
      </c>
      <c r="AJ54" s="714">
        <v>2183</v>
      </c>
      <c r="AK54" s="714">
        <v>0</v>
      </c>
      <c r="AL54" s="714">
        <v>0</v>
      </c>
      <c r="AO54" s="748"/>
      <c r="AP54" s="748"/>
      <c r="AQ54" s="714" t="str">
        <f t="shared" si="0"/>
        <v/>
      </c>
      <c r="AS54" s="714" t="str">
        <f t="shared" si="1"/>
        <v>wci_corp</v>
      </c>
    </row>
    <row r="55" spans="2:45">
      <c r="B55" s="714" t="s">
        <v>1585</v>
      </c>
      <c r="C55" s="745">
        <v>43585</v>
      </c>
      <c r="D55" s="746">
        <v>705</v>
      </c>
      <c r="E55" s="746">
        <v>0</v>
      </c>
      <c r="F55" s="747" t="s">
        <v>1074</v>
      </c>
      <c r="G55" s="714" t="s">
        <v>1574</v>
      </c>
      <c r="H55" s="748" t="s">
        <v>1075</v>
      </c>
      <c r="I55" s="714" t="s">
        <v>1131</v>
      </c>
      <c r="J55" s="714" t="s">
        <v>1082</v>
      </c>
      <c r="K55" s="714" t="s">
        <v>1078</v>
      </c>
      <c r="L55" s="718"/>
      <c r="M55" s="718"/>
      <c r="N55" s="718" t="s">
        <v>1600</v>
      </c>
      <c r="O55" s="739"/>
      <c r="P55" s="718"/>
      <c r="Q55" s="718"/>
      <c r="U55" s="714" t="s">
        <v>1575</v>
      </c>
      <c r="V55" s="714" t="s">
        <v>1575</v>
      </c>
      <c r="X55" s="745">
        <v>43591</v>
      </c>
      <c r="Y55" s="745">
        <v>43591</v>
      </c>
      <c r="AA55" s="745"/>
      <c r="AB55" s="714" t="s">
        <v>1079</v>
      </c>
      <c r="AC55" s="714">
        <v>0</v>
      </c>
      <c r="AD55" s="714">
        <v>0</v>
      </c>
      <c r="AE55" s="714">
        <v>0</v>
      </c>
      <c r="AF55" s="714">
        <v>0</v>
      </c>
      <c r="AG55" s="714">
        <v>0</v>
      </c>
      <c r="AH55" s="714">
        <v>1</v>
      </c>
      <c r="AI55" s="714">
        <v>70195</v>
      </c>
      <c r="AJ55" s="714">
        <v>2183</v>
      </c>
      <c r="AK55" s="714">
        <v>0</v>
      </c>
      <c r="AL55" s="714">
        <v>0</v>
      </c>
      <c r="AO55" s="748"/>
      <c r="AP55" s="748"/>
      <c r="AQ55" s="714" t="str">
        <f t="shared" si="0"/>
        <v/>
      </c>
      <c r="AS55" s="714" t="str">
        <f t="shared" si="1"/>
        <v>wci_corp</v>
      </c>
    </row>
    <row r="56" spans="2:45">
      <c r="C56" s="745"/>
      <c r="D56" s="749"/>
      <c r="E56" s="749"/>
      <c r="F56" s="749"/>
      <c r="H56" s="717"/>
    </row>
    <row r="57" spans="2:45">
      <c r="B57" s="750" t="s">
        <v>1111</v>
      </c>
      <c r="C57" s="750"/>
      <c r="D57" s="751"/>
      <c r="E57" s="751"/>
      <c r="F57" s="751"/>
      <c r="G57" s="750"/>
      <c r="H57" s="752"/>
      <c r="I57" s="750"/>
      <c r="J57" s="750"/>
      <c r="K57" s="750"/>
      <c r="L57" s="750"/>
      <c r="M57" s="750"/>
      <c r="N57" s="750"/>
      <c r="O57" s="750"/>
      <c r="P57" s="750"/>
      <c r="Q57" s="750"/>
      <c r="R57" s="750"/>
      <c r="S57" s="750"/>
      <c r="T57" s="750"/>
      <c r="U57" s="750"/>
      <c r="V57" s="750"/>
      <c r="W57" s="750"/>
      <c r="X57" s="750"/>
      <c r="Y57" s="750"/>
      <c r="Z57" s="750"/>
      <c r="AA57" s="750"/>
      <c r="AB57" s="750"/>
      <c r="AC57" s="750"/>
      <c r="AD57" s="750"/>
      <c r="AE57" s="750"/>
      <c r="AF57" s="750"/>
      <c r="AG57" s="750"/>
      <c r="AH57" s="750"/>
      <c r="AI57" s="750"/>
      <c r="AJ57" s="750"/>
      <c r="AK57" s="750"/>
      <c r="AL57" s="750"/>
      <c r="AM57" s="750"/>
      <c r="AN57" s="750"/>
      <c r="AO57" s="750"/>
      <c r="AP57" s="753"/>
    </row>
    <row r="58" spans="2:45">
      <c r="H58" s="717"/>
    </row>
    <row r="59" spans="2:45">
      <c r="B59" s="672"/>
      <c r="H59" s="717"/>
    </row>
    <row r="60" spans="2:45">
      <c r="B60" s="714" t="s">
        <v>1112</v>
      </c>
      <c r="C60" s="714" t="s">
        <v>1113</v>
      </c>
      <c r="D60" s="755" t="s">
        <v>1114</v>
      </c>
      <c r="H60" s="717"/>
    </row>
    <row r="61" spans="2:45">
      <c r="B61" s="718" t="s">
        <v>1588</v>
      </c>
      <c r="C61" s="680">
        <v>10786.039999999999</v>
      </c>
      <c r="D61" s="680">
        <v>10786.039999999999</v>
      </c>
      <c r="F61" s="672" t="s">
        <v>1672</v>
      </c>
      <c r="H61" s="717"/>
    </row>
    <row r="62" spans="2:45">
      <c r="B62" s="718" t="s">
        <v>1593</v>
      </c>
      <c r="C62" s="680">
        <v>494.82</v>
      </c>
      <c r="D62" s="680">
        <v>494.82</v>
      </c>
      <c r="E62" s="715" t="s">
        <v>1577</v>
      </c>
      <c r="F62" s="715" t="s">
        <v>1673</v>
      </c>
      <c r="H62" s="717"/>
    </row>
    <row r="63" spans="2:45">
      <c r="B63" s="718" t="s">
        <v>1594</v>
      </c>
      <c r="C63" s="680">
        <v>0</v>
      </c>
      <c r="D63" s="680">
        <v>0</v>
      </c>
      <c r="H63" s="717"/>
    </row>
    <row r="64" spans="2:45">
      <c r="B64" s="718" t="s">
        <v>1599</v>
      </c>
      <c r="C64" s="680">
        <v>640</v>
      </c>
      <c r="D64" s="680">
        <v>640</v>
      </c>
      <c r="F64" s="715" t="s">
        <v>1674</v>
      </c>
      <c r="H64" s="717"/>
    </row>
    <row r="65" spans="2:8">
      <c r="B65" s="718" t="s">
        <v>1600</v>
      </c>
      <c r="C65" s="680">
        <v>1380</v>
      </c>
      <c r="D65" s="680">
        <v>1380</v>
      </c>
      <c r="E65" s="715" t="s">
        <v>1577</v>
      </c>
      <c r="F65" s="715" t="s">
        <v>1675</v>
      </c>
      <c r="H65" s="717"/>
    </row>
    <row r="66" spans="2:8">
      <c r="B66" s="718" t="s">
        <v>1606</v>
      </c>
      <c r="C66" s="680">
        <v>0</v>
      </c>
      <c r="D66" s="680">
        <v>0</v>
      </c>
      <c r="H66" s="717"/>
    </row>
    <row r="67" spans="2:8">
      <c r="B67" s="718" t="s">
        <v>1611</v>
      </c>
      <c r="C67" s="680">
        <v>0</v>
      </c>
      <c r="D67" s="680">
        <v>0</v>
      </c>
      <c r="H67" s="717"/>
    </row>
    <row r="68" spans="2:8">
      <c r="B68" s="718" t="s">
        <v>1614</v>
      </c>
      <c r="C68" s="680">
        <v>500</v>
      </c>
      <c r="D68" s="680">
        <v>500</v>
      </c>
      <c r="F68" s="715" t="s">
        <v>1676</v>
      </c>
      <c r="H68" s="717"/>
    </row>
    <row r="69" spans="2:8">
      <c r="B69" s="718" t="s">
        <v>1627</v>
      </c>
      <c r="C69" s="680">
        <v>360</v>
      </c>
      <c r="D69" s="680">
        <v>360</v>
      </c>
      <c r="F69" s="715" t="s">
        <v>1677</v>
      </c>
      <c r="H69" s="717"/>
    </row>
    <row r="70" spans="2:8">
      <c r="B70" s="718" t="s">
        <v>1638</v>
      </c>
      <c r="C70" s="680">
        <v>1025</v>
      </c>
      <c r="D70" s="680">
        <v>1025</v>
      </c>
      <c r="F70" s="715" t="s">
        <v>1678</v>
      </c>
      <c r="H70" s="717"/>
    </row>
    <row r="71" spans="2:8">
      <c r="B71" s="718" t="s">
        <v>1639</v>
      </c>
      <c r="C71" s="680">
        <v>275</v>
      </c>
      <c r="D71" s="680">
        <v>275</v>
      </c>
      <c r="E71" s="715" t="s">
        <v>1577</v>
      </c>
      <c r="F71" s="715" t="s">
        <v>1679</v>
      </c>
      <c r="H71" s="717"/>
    </row>
    <row r="72" spans="2:8">
      <c r="B72" s="718" t="s">
        <v>1644</v>
      </c>
      <c r="C72" s="680">
        <v>431.6</v>
      </c>
      <c r="D72" s="680">
        <v>431.6</v>
      </c>
      <c r="F72" s="715" t="s">
        <v>1680</v>
      </c>
      <c r="H72" s="717"/>
    </row>
    <row r="73" spans="2:8">
      <c r="B73" s="718" t="s">
        <v>1651</v>
      </c>
      <c r="C73" s="680">
        <v>0</v>
      </c>
      <c r="D73" s="680">
        <v>0</v>
      </c>
      <c r="H73" s="717"/>
    </row>
    <row r="74" spans="2:8">
      <c r="B74" s="718" t="s">
        <v>1653</v>
      </c>
      <c r="C74" s="680">
        <v>0</v>
      </c>
      <c r="D74" s="680">
        <v>0</v>
      </c>
      <c r="H74" s="717"/>
    </row>
    <row r="75" spans="2:8">
      <c r="B75" s="718" t="s">
        <v>1656</v>
      </c>
      <c r="C75" s="680">
        <v>208</v>
      </c>
      <c r="D75" s="680">
        <v>208</v>
      </c>
      <c r="E75" s="715" t="s">
        <v>1577</v>
      </c>
      <c r="F75" s="715" t="s">
        <v>1681</v>
      </c>
      <c r="H75" s="717"/>
    </row>
    <row r="76" spans="2:8">
      <c r="B76" s="718" t="s">
        <v>1671</v>
      </c>
      <c r="C76" s="680">
        <v>239.56</v>
      </c>
      <c r="D76" s="680">
        <v>239.56</v>
      </c>
      <c r="E76" s="715" t="s">
        <v>1577</v>
      </c>
      <c r="F76" s="715" t="s">
        <v>1682</v>
      </c>
    </row>
    <row r="77" spans="2:8">
      <c r="B77" s="718" t="s">
        <v>646</v>
      </c>
      <c r="C77" s="680">
        <v>16340.019999999999</v>
      </c>
      <c r="D77" s="679">
        <v>16340.019999999999</v>
      </c>
    </row>
    <row r="79" spans="2:8" ht="13.5" thickBot="1">
      <c r="C79" s="670" t="s">
        <v>642</v>
      </c>
      <c r="D79" s="703">
        <f>+SUM(D62,D65,D71,D75,D76)-D87</f>
        <v>4215.2860000000001</v>
      </c>
    </row>
    <row r="85" spans="3:4">
      <c r="C85" s="1278" t="s">
        <v>1683</v>
      </c>
      <c r="D85" s="1278"/>
    </row>
    <row r="86" spans="3:4">
      <c r="C86" s="714" t="s">
        <v>13</v>
      </c>
      <c r="D86" s="694">
        <f>+D53+D50+D46+D42+D39+D38+D35+D33+D29+D27+D23+D20</f>
        <v>10786.04</v>
      </c>
    </row>
    <row r="87" spans="3:4">
      <c r="C87" s="714" t="s">
        <v>1684</v>
      </c>
      <c r="D87" s="694">
        <f>+D86*(-0.15)</f>
        <v>-1617.9060000000002</v>
      </c>
    </row>
    <row r="88" spans="3:4">
      <c r="C88" s="714" t="s">
        <v>1685</v>
      </c>
      <c r="D88" s="658">
        <f>+D86+D87</f>
        <v>9168.134</v>
      </c>
    </row>
  </sheetData>
  <mergeCells count="1">
    <mergeCell ref="C85:D85"/>
  </mergeCells>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1"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87"/>
  <sheetViews>
    <sheetView showGridLines="0" tabSelected="1" view="pageBreakPreview" topLeftCell="A9" zoomScale="60" zoomScaleNormal="80" workbookViewId="0">
      <pane ySplit="11" topLeftCell="A20" activePane="bottomLeft" state="frozen"/>
      <selection activeCell="AR41" sqref="AR41"/>
      <selection pane="bottomLeft" activeCell="AR41" sqref="AR41"/>
    </sheetView>
  </sheetViews>
  <sheetFormatPr defaultRowHeight="12.75" outlineLevelRow="1"/>
  <cols>
    <col min="1" max="1" width="2.7109375" style="714" customWidth="1"/>
    <col min="2" max="2" width="21.28515625" style="714" customWidth="1"/>
    <col min="3" max="3" width="21.5703125" style="714" customWidth="1"/>
    <col min="4" max="5" width="18.710937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11.42578125" style="714"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_xll.ReportDrill('[56]JE Lookup'!B1,,_xll.PairGroup(_xll.Pair(G20:G69,'[56]JE Lookup'!N8),_xll.Pair(AB20:AB69,'[56]JE Lookup'!N7)),"JE Lookup")</f>
        <v>OK!: ReportDrill 'JE Lookup' Formula OK [jAction{}]</v>
      </c>
      <c r="U4" s="714" t="str">
        <f ca="1">_xll.ReportDrill(,"APDrill",_xll.PairGroup(_xll.PairExt(AQ20:AQ69,"H8")),"AP Detail")</f>
        <v>OK!: ReportDrill 'AP Detail' Formula OK [jAction{}]</v>
      </c>
      <c r="Y4" s="714" t="str">
        <f ca="1">_xll.ReportDrill(,"JEStaged_DrillToDetail",_xll.PairGroup(_xll.PairExt(Q19:Q69,"dControlNum",TRUE),_xll.PairExt(AP19:AP69,"dDistrict",TRUE),_xll.PairExt(AO19:AO69,"dApplyMonth",TRUE)),"JE Staged Details")</f>
        <v>OK!: ReportDrill 'JE Staged Details' Formula OK [jAction{}]</v>
      </c>
    </row>
    <row r="5" spans="1:43" hidden="1" outlineLevel="1">
      <c r="B5" s="714" t="str">
        <f ca="1">_xll.ReportRange("JEQuery_WithStaged",B20:AS68,B2:AS2,,_xll.Param(I12,DateTo,IF(M12="","all",M12),M13,M14,M15,P12,P13,P14,P15,EntrieShownLimit,DateFrom,DateTo),TRUE)</f>
        <v>OK!: ReportRange Formula OK [jAction{}]</v>
      </c>
      <c r="Q5" s="714" t="str">
        <f ca="1">_xll.ReportDrill('[56]JE Lookup'!B1,,_xll.PairGroup(_xll.Pair(V20:V69,'[56]JE Lookup'!N8),_xll.Pair(AS20:AS69,'[56]JE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2018-05</v>
      </c>
      <c r="E8" s="717" t="s">
        <v>1012</v>
      </c>
      <c r="G8" s="714" t="str">
        <f>IF(DateTo="",CurrentMonth,DateTo)</f>
        <v>2019-04</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2442</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SUM(D19:D69)</f>
        <v>11974996</v>
      </c>
      <c r="E16" s="735">
        <f>SUM(E19:E69)</f>
        <v>0</v>
      </c>
      <c r="F16" s="714" t="s">
        <v>1030</v>
      </c>
      <c r="N16" s="736"/>
      <c r="O16" s="736"/>
      <c r="P16" s="736"/>
      <c r="Q16" s="736"/>
    </row>
    <row r="17" spans="2:45">
      <c r="B17" s="733" t="s">
        <v>1031</v>
      </c>
      <c r="C17" s="734"/>
      <c r="D17" s="737">
        <f>COUNT(D20:D70)</f>
        <v>48</v>
      </c>
      <c r="E17" s="737">
        <f>COUNT(E20:E70)</f>
        <v>48</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695" t="s">
        <v>1046</v>
      </c>
      <c r="P19" s="697" t="s">
        <v>1047</v>
      </c>
      <c r="Q19" s="697" t="s">
        <v>1048</v>
      </c>
      <c r="R19" s="697" t="s">
        <v>1049</v>
      </c>
      <c r="S19" s="697" t="s">
        <v>1050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c r="B20" s="714" t="s">
        <v>2443</v>
      </c>
      <c r="C20" s="745">
        <v>43237</v>
      </c>
      <c r="D20" s="746">
        <v>924718</v>
      </c>
      <c r="E20" s="746">
        <v>0</v>
      </c>
      <c r="F20" s="747" t="s">
        <v>1074</v>
      </c>
      <c r="G20" s="714" t="s">
        <v>2444</v>
      </c>
      <c r="H20" s="748" t="s">
        <v>1075</v>
      </c>
      <c r="I20" s="714" t="s">
        <v>1076</v>
      </c>
      <c r="J20" s="714" t="s">
        <v>1118</v>
      </c>
      <c r="K20" s="714" t="s">
        <v>1078</v>
      </c>
      <c r="L20" s="718" t="s">
        <v>2445</v>
      </c>
      <c r="M20" s="718"/>
      <c r="N20" s="718" t="s">
        <v>2446</v>
      </c>
      <c r="O20" s="739">
        <v>43220</v>
      </c>
      <c r="P20" s="718" t="s">
        <v>2447</v>
      </c>
      <c r="Q20" s="718" t="s">
        <v>2448</v>
      </c>
      <c r="R20" s="714" t="s">
        <v>2449</v>
      </c>
      <c r="U20" s="714" t="s">
        <v>2450</v>
      </c>
      <c r="V20" s="714" t="s">
        <v>2451</v>
      </c>
      <c r="W20" s="714">
        <v>2183</v>
      </c>
      <c r="X20" s="745">
        <v>43237</v>
      </c>
      <c r="Y20" s="745">
        <v>43237</v>
      </c>
      <c r="Z20" s="931">
        <v>1063030</v>
      </c>
      <c r="AA20" s="745">
        <v>43221</v>
      </c>
      <c r="AB20" s="714" t="s">
        <v>1079</v>
      </c>
      <c r="AC20" s="714">
        <v>0</v>
      </c>
      <c r="AD20" s="714">
        <v>0</v>
      </c>
      <c r="AE20" s="714">
        <v>0</v>
      </c>
      <c r="AF20" s="714">
        <v>0</v>
      </c>
      <c r="AG20" s="714">
        <v>0</v>
      </c>
      <c r="AH20" s="714">
        <v>1</v>
      </c>
      <c r="AI20" s="714">
        <v>40101</v>
      </c>
      <c r="AJ20" s="714">
        <v>2183</v>
      </c>
      <c r="AK20" s="714">
        <v>0</v>
      </c>
      <c r="AL20" s="714">
        <v>1</v>
      </c>
      <c r="AO20" s="748"/>
      <c r="AP20" s="748"/>
      <c r="AQ20" s="714" t="str">
        <f>IF(LEFT(U20,2)="VO",U20,"")</f>
        <v>VO04654537</v>
      </c>
      <c r="AS20" s="714" t="str">
        <f>IF(RIGHT(K20,2)="IC",IF(OR(AB20="wci_canada",AB20="wci_can_corp"),"wci_can_Corp","wci_corp"),AB20)</f>
        <v>wci_corp</v>
      </c>
    </row>
    <row r="21" spans="2:45">
      <c r="B21" s="714" t="s">
        <v>2452</v>
      </c>
      <c r="C21" s="745">
        <v>43237</v>
      </c>
      <c r="D21" s="746">
        <v>44953</v>
      </c>
      <c r="E21" s="746">
        <v>0</v>
      </c>
      <c r="F21" s="747" t="s">
        <v>1074</v>
      </c>
      <c r="G21" s="714" t="s">
        <v>2444</v>
      </c>
      <c r="H21" s="748" t="s">
        <v>1075</v>
      </c>
      <c r="I21" s="714" t="s">
        <v>1076</v>
      </c>
      <c r="J21" s="714" t="s">
        <v>1118</v>
      </c>
      <c r="K21" s="714" t="s">
        <v>1078</v>
      </c>
      <c r="L21" s="718" t="s">
        <v>2445</v>
      </c>
      <c r="M21" s="718"/>
      <c r="N21" s="718" t="s">
        <v>2446</v>
      </c>
      <c r="O21" s="739">
        <v>43220</v>
      </c>
      <c r="P21" s="718" t="s">
        <v>2447</v>
      </c>
      <c r="Q21" s="718" t="s">
        <v>2448</v>
      </c>
      <c r="R21" s="714" t="s">
        <v>2449</v>
      </c>
      <c r="U21" s="714" t="s">
        <v>2450</v>
      </c>
      <c r="V21" s="714" t="s">
        <v>2451</v>
      </c>
      <c r="W21" s="714">
        <v>2183</v>
      </c>
      <c r="X21" s="745">
        <v>43237</v>
      </c>
      <c r="Y21" s="745">
        <v>43237</v>
      </c>
      <c r="Z21" s="931">
        <v>1063030</v>
      </c>
      <c r="AA21" s="745">
        <v>43221</v>
      </c>
      <c r="AB21" s="714" t="s">
        <v>1079</v>
      </c>
      <c r="AC21" s="714">
        <v>0</v>
      </c>
      <c r="AD21" s="714">
        <v>0</v>
      </c>
      <c r="AE21" s="714">
        <v>0</v>
      </c>
      <c r="AF21" s="714">
        <v>0</v>
      </c>
      <c r="AG21" s="714">
        <v>0</v>
      </c>
      <c r="AH21" s="714">
        <v>1</v>
      </c>
      <c r="AI21" s="714">
        <v>40101</v>
      </c>
      <c r="AJ21" s="714">
        <v>2183</v>
      </c>
      <c r="AK21" s="714">
        <v>0</v>
      </c>
      <c r="AL21" s="714">
        <v>2</v>
      </c>
      <c r="AO21" s="748"/>
      <c r="AP21" s="748"/>
      <c r="AQ21" s="714" t="str">
        <f t="shared" ref="AQ21:AQ67" si="0">IF(LEFT(U21,2)="VO",U21,"")</f>
        <v>VO04654537</v>
      </c>
      <c r="AS21" s="714" t="str">
        <f t="shared" ref="AS21:AS67" si="1">IF(RIGHT(K21,2)="IC",IF(OR(AB21="wci_canada",AB21="wci_can_corp"),"wci_can_Corp","wci_corp"),AB21)</f>
        <v>wci_corp</v>
      </c>
    </row>
    <row r="22" spans="2:45">
      <c r="B22" s="714" t="s">
        <v>2443</v>
      </c>
      <c r="C22" s="745">
        <v>43251</v>
      </c>
      <c r="D22" s="746">
        <v>-964070</v>
      </c>
      <c r="E22" s="746">
        <v>0</v>
      </c>
      <c r="F22" s="747" t="s">
        <v>1074</v>
      </c>
      <c r="G22" s="714" t="s">
        <v>1125</v>
      </c>
      <c r="H22" s="748" t="s">
        <v>1075</v>
      </c>
      <c r="I22" s="714" t="s">
        <v>1126</v>
      </c>
      <c r="J22" s="714" t="s">
        <v>1082</v>
      </c>
      <c r="K22" s="714" t="s">
        <v>1078</v>
      </c>
      <c r="L22" s="718"/>
      <c r="M22" s="718"/>
      <c r="N22" s="718" t="s">
        <v>2453</v>
      </c>
      <c r="O22" s="739"/>
      <c r="P22" s="718"/>
      <c r="Q22" s="718"/>
      <c r="U22" s="714" t="s">
        <v>1128</v>
      </c>
      <c r="V22" s="714" t="s">
        <v>1129</v>
      </c>
      <c r="X22" s="745">
        <v>43227</v>
      </c>
      <c r="Y22" s="745">
        <v>43227</v>
      </c>
      <c r="AA22" s="745"/>
      <c r="AB22" s="714" t="s">
        <v>1079</v>
      </c>
      <c r="AC22" s="714">
        <v>0</v>
      </c>
      <c r="AD22" s="714">
        <v>0</v>
      </c>
      <c r="AE22" s="714">
        <v>0</v>
      </c>
      <c r="AF22" s="714">
        <v>0</v>
      </c>
      <c r="AG22" s="714">
        <v>5</v>
      </c>
      <c r="AH22" s="714">
        <v>1</v>
      </c>
      <c r="AI22" s="714">
        <v>40101</v>
      </c>
      <c r="AJ22" s="714">
        <v>2183</v>
      </c>
      <c r="AK22" s="714">
        <v>0</v>
      </c>
      <c r="AL22" s="714">
        <v>1</v>
      </c>
      <c r="AO22" s="748"/>
      <c r="AP22" s="748"/>
      <c r="AQ22" s="714" t="str">
        <f t="shared" si="0"/>
        <v/>
      </c>
      <c r="AS22" s="714" t="str">
        <f t="shared" si="1"/>
        <v>wci_corp</v>
      </c>
    </row>
    <row r="23" spans="2:45">
      <c r="B23" s="714" t="s">
        <v>2443</v>
      </c>
      <c r="C23" s="745">
        <v>43251</v>
      </c>
      <c r="D23" s="746">
        <v>1098626</v>
      </c>
      <c r="E23" s="746">
        <v>0</v>
      </c>
      <c r="F23" s="747" t="s">
        <v>1074</v>
      </c>
      <c r="G23" s="714" t="s">
        <v>1138</v>
      </c>
      <c r="H23" s="748" t="s">
        <v>1075</v>
      </c>
      <c r="I23" s="714" t="s">
        <v>1126</v>
      </c>
      <c r="J23" s="714" t="s">
        <v>1082</v>
      </c>
      <c r="K23" s="714" t="s">
        <v>1078</v>
      </c>
      <c r="L23" s="718"/>
      <c r="M23" s="718"/>
      <c r="N23" s="718" t="s">
        <v>2453</v>
      </c>
      <c r="O23" s="739"/>
      <c r="P23" s="718"/>
      <c r="Q23" s="718"/>
      <c r="U23" s="714" t="s">
        <v>1140</v>
      </c>
      <c r="V23" s="714" t="s">
        <v>1140</v>
      </c>
      <c r="X23" s="745">
        <v>43257</v>
      </c>
      <c r="Y23" s="745">
        <v>43258</v>
      </c>
      <c r="AA23" s="745"/>
      <c r="AB23" s="714" t="s">
        <v>1079</v>
      </c>
      <c r="AC23" s="714">
        <v>0</v>
      </c>
      <c r="AD23" s="714">
        <v>0</v>
      </c>
      <c r="AE23" s="714">
        <v>0</v>
      </c>
      <c r="AF23" s="714">
        <v>0</v>
      </c>
      <c r="AG23" s="714">
        <v>0</v>
      </c>
      <c r="AH23" s="714">
        <v>1</v>
      </c>
      <c r="AI23" s="714">
        <v>40101</v>
      </c>
      <c r="AJ23" s="714">
        <v>2183</v>
      </c>
      <c r="AK23" s="714">
        <v>0</v>
      </c>
      <c r="AL23" s="714">
        <v>1</v>
      </c>
      <c r="AO23" s="748"/>
      <c r="AP23" s="748"/>
      <c r="AQ23" s="714" t="str">
        <f t="shared" si="0"/>
        <v/>
      </c>
      <c r="AS23" s="714" t="str">
        <f t="shared" si="1"/>
        <v>wci_corp</v>
      </c>
    </row>
    <row r="24" spans="2:45">
      <c r="B24" s="714" t="s">
        <v>2443</v>
      </c>
      <c r="C24" s="745">
        <v>43265</v>
      </c>
      <c r="D24" s="746">
        <v>1033942</v>
      </c>
      <c r="E24" s="746">
        <v>0</v>
      </c>
      <c r="F24" s="747" t="s">
        <v>1074</v>
      </c>
      <c r="G24" s="714" t="s">
        <v>2454</v>
      </c>
      <c r="H24" s="748" t="s">
        <v>1075</v>
      </c>
      <c r="I24" s="714" t="s">
        <v>1076</v>
      </c>
      <c r="J24" s="714" t="s">
        <v>1118</v>
      </c>
      <c r="K24" s="714" t="s">
        <v>1078</v>
      </c>
      <c r="L24" s="718" t="s">
        <v>2445</v>
      </c>
      <c r="M24" s="718"/>
      <c r="N24" s="718" t="s">
        <v>2446</v>
      </c>
      <c r="O24" s="739">
        <v>43251</v>
      </c>
      <c r="P24" s="718" t="s">
        <v>2447</v>
      </c>
      <c r="Q24" s="718" t="s">
        <v>2455</v>
      </c>
      <c r="R24" s="714" t="s">
        <v>2449</v>
      </c>
      <c r="U24" s="714" t="s">
        <v>2456</v>
      </c>
      <c r="V24" s="714" t="s">
        <v>2457</v>
      </c>
      <c r="W24" s="714">
        <v>2183</v>
      </c>
      <c r="X24" s="745">
        <v>43265</v>
      </c>
      <c r="Y24" s="745">
        <v>43265</v>
      </c>
      <c r="Z24" s="931">
        <v>1194200</v>
      </c>
      <c r="AA24" s="745">
        <v>43252</v>
      </c>
      <c r="AB24" s="714" t="s">
        <v>1079</v>
      </c>
      <c r="AC24" s="714">
        <v>0</v>
      </c>
      <c r="AD24" s="714">
        <v>0</v>
      </c>
      <c r="AE24" s="714">
        <v>0</v>
      </c>
      <c r="AF24" s="714">
        <v>0</v>
      </c>
      <c r="AG24" s="714">
        <v>0</v>
      </c>
      <c r="AH24" s="714">
        <v>1</v>
      </c>
      <c r="AI24" s="714">
        <v>40101</v>
      </c>
      <c r="AJ24" s="714">
        <v>2183</v>
      </c>
      <c r="AK24" s="714">
        <v>0</v>
      </c>
      <c r="AL24" s="714">
        <v>1</v>
      </c>
      <c r="AO24" s="748"/>
      <c r="AP24" s="748"/>
      <c r="AQ24" s="714" t="str">
        <f t="shared" si="0"/>
        <v>VO04680492</v>
      </c>
      <c r="AS24" s="714" t="str">
        <f t="shared" si="1"/>
        <v>wci_corp</v>
      </c>
    </row>
    <row r="25" spans="2:45">
      <c r="B25" s="714" t="s">
        <v>2452</v>
      </c>
      <c r="C25" s="745">
        <v>43265</v>
      </c>
      <c r="D25" s="746">
        <v>67339</v>
      </c>
      <c r="E25" s="746">
        <v>0</v>
      </c>
      <c r="F25" s="747" t="s">
        <v>1074</v>
      </c>
      <c r="G25" s="714" t="s">
        <v>2454</v>
      </c>
      <c r="H25" s="748" t="s">
        <v>1075</v>
      </c>
      <c r="I25" s="714" t="s">
        <v>1076</v>
      </c>
      <c r="J25" s="714" t="s">
        <v>1118</v>
      </c>
      <c r="K25" s="714" t="s">
        <v>1078</v>
      </c>
      <c r="L25" s="718" t="s">
        <v>2445</v>
      </c>
      <c r="M25" s="718"/>
      <c r="N25" s="718" t="s">
        <v>2446</v>
      </c>
      <c r="O25" s="739">
        <v>43251</v>
      </c>
      <c r="P25" s="718" t="s">
        <v>2447</v>
      </c>
      <c r="Q25" s="718" t="s">
        <v>2455</v>
      </c>
      <c r="R25" s="714" t="s">
        <v>2449</v>
      </c>
      <c r="U25" s="714" t="s">
        <v>2456</v>
      </c>
      <c r="V25" s="714" t="s">
        <v>2457</v>
      </c>
      <c r="W25" s="714">
        <v>2183</v>
      </c>
      <c r="X25" s="745">
        <v>43265</v>
      </c>
      <c r="Y25" s="745">
        <v>43265</v>
      </c>
      <c r="Z25" s="931">
        <v>1194200</v>
      </c>
      <c r="AA25" s="745">
        <v>43252</v>
      </c>
      <c r="AB25" s="714" t="s">
        <v>1079</v>
      </c>
      <c r="AC25" s="714">
        <v>0</v>
      </c>
      <c r="AD25" s="714">
        <v>0</v>
      </c>
      <c r="AE25" s="714">
        <v>0</v>
      </c>
      <c r="AF25" s="714">
        <v>0</v>
      </c>
      <c r="AG25" s="714">
        <v>0</v>
      </c>
      <c r="AH25" s="714">
        <v>1</v>
      </c>
      <c r="AI25" s="714">
        <v>40101</v>
      </c>
      <c r="AJ25" s="714">
        <v>2183</v>
      </c>
      <c r="AK25" s="714">
        <v>0</v>
      </c>
      <c r="AL25" s="714">
        <v>2</v>
      </c>
      <c r="AO25" s="748"/>
      <c r="AP25" s="748"/>
      <c r="AQ25" s="714" t="str">
        <f t="shared" si="0"/>
        <v>VO04680492</v>
      </c>
      <c r="AS25" s="714" t="str">
        <f t="shared" si="1"/>
        <v>wci_corp</v>
      </c>
    </row>
    <row r="26" spans="2:45">
      <c r="B26" s="714" t="s">
        <v>2443</v>
      </c>
      <c r="C26" s="745">
        <v>43281</v>
      </c>
      <c r="D26" s="746">
        <v>-1098626</v>
      </c>
      <c r="E26" s="746">
        <v>0</v>
      </c>
      <c r="F26" s="747" t="s">
        <v>1074</v>
      </c>
      <c r="G26" s="714" t="s">
        <v>1142</v>
      </c>
      <c r="H26" s="748" t="s">
        <v>1075</v>
      </c>
      <c r="I26" s="714" t="s">
        <v>1126</v>
      </c>
      <c r="J26" s="714" t="s">
        <v>1082</v>
      </c>
      <c r="K26" s="714" t="s">
        <v>1078</v>
      </c>
      <c r="L26" s="718"/>
      <c r="M26" s="718"/>
      <c r="N26" s="718" t="s">
        <v>2453</v>
      </c>
      <c r="O26" s="739"/>
      <c r="P26" s="718"/>
      <c r="Q26" s="718"/>
      <c r="U26" s="714" t="s">
        <v>1140</v>
      </c>
      <c r="V26" s="714" t="s">
        <v>1143</v>
      </c>
      <c r="X26" s="745">
        <v>43258</v>
      </c>
      <c r="Y26" s="745">
        <v>43258</v>
      </c>
      <c r="AA26" s="745"/>
      <c r="AB26" s="714" t="s">
        <v>1079</v>
      </c>
      <c r="AC26" s="714">
        <v>0</v>
      </c>
      <c r="AD26" s="714">
        <v>0</v>
      </c>
      <c r="AE26" s="714">
        <v>0</v>
      </c>
      <c r="AF26" s="714">
        <v>0</v>
      </c>
      <c r="AG26" s="714">
        <v>5</v>
      </c>
      <c r="AH26" s="714">
        <v>1</v>
      </c>
      <c r="AI26" s="714">
        <v>40101</v>
      </c>
      <c r="AJ26" s="714">
        <v>2183</v>
      </c>
      <c r="AK26" s="714">
        <v>0</v>
      </c>
      <c r="AL26" s="714">
        <v>1</v>
      </c>
      <c r="AO26" s="748"/>
      <c r="AP26" s="748"/>
      <c r="AQ26" s="714" t="str">
        <f t="shared" si="0"/>
        <v/>
      </c>
      <c r="AS26" s="714" t="str">
        <f t="shared" si="1"/>
        <v>wci_corp</v>
      </c>
    </row>
    <row r="27" spans="2:45">
      <c r="B27" s="714" t="s">
        <v>2443</v>
      </c>
      <c r="C27" s="745">
        <v>43281</v>
      </c>
      <c r="D27" s="746">
        <v>982637</v>
      </c>
      <c r="E27" s="746">
        <v>0</v>
      </c>
      <c r="F27" s="747" t="s">
        <v>1074</v>
      </c>
      <c r="G27" s="714" t="s">
        <v>2458</v>
      </c>
      <c r="H27" s="748" t="s">
        <v>1075</v>
      </c>
      <c r="I27" s="714" t="s">
        <v>1126</v>
      </c>
      <c r="J27" s="714" t="s">
        <v>1082</v>
      </c>
      <c r="K27" s="714" t="s">
        <v>1078</v>
      </c>
      <c r="L27" s="718"/>
      <c r="M27" s="718"/>
      <c r="N27" s="718" t="s">
        <v>2453</v>
      </c>
      <c r="O27" s="739"/>
      <c r="P27" s="718"/>
      <c r="Q27" s="718"/>
      <c r="U27" s="714" t="s">
        <v>2459</v>
      </c>
      <c r="V27" s="714" t="s">
        <v>2459</v>
      </c>
      <c r="X27" s="745">
        <v>43287</v>
      </c>
      <c r="Y27" s="745">
        <v>43290</v>
      </c>
      <c r="AA27" s="745"/>
      <c r="AB27" s="714" t="s">
        <v>1079</v>
      </c>
      <c r="AC27" s="714">
        <v>0</v>
      </c>
      <c r="AD27" s="714">
        <v>0</v>
      </c>
      <c r="AE27" s="714">
        <v>0</v>
      </c>
      <c r="AF27" s="714">
        <v>0</v>
      </c>
      <c r="AG27" s="714">
        <v>0</v>
      </c>
      <c r="AH27" s="714">
        <v>1</v>
      </c>
      <c r="AI27" s="714">
        <v>40101</v>
      </c>
      <c r="AJ27" s="714">
        <v>2183</v>
      </c>
      <c r="AK27" s="714">
        <v>0</v>
      </c>
      <c r="AL27" s="714">
        <v>1</v>
      </c>
      <c r="AO27" s="748"/>
      <c r="AP27" s="748"/>
      <c r="AQ27" s="714" t="str">
        <f t="shared" si="0"/>
        <v/>
      </c>
      <c r="AS27" s="714" t="str">
        <f t="shared" si="1"/>
        <v>wci_corp</v>
      </c>
    </row>
    <row r="28" spans="2:45">
      <c r="B28" s="714" t="s">
        <v>2443</v>
      </c>
      <c r="C28" s="745">
        <v>43293</v>
      </c>
      <c r="D28" s="746">
        <v>939230</v>
      </c>
      <c r="E28" s="746">
        <v>0</v>
      </c>
      <c r="F28" s="747" t="s">
        <v>1074</v>
      </c>
      <c r="G28" s="714" t="s">
        <v>2460</v>
      </c>
      <c r="H28" s="748" t="s">
        <v>1075</v>
      </c>
      <c r="I28" s="714" t="s">
        <v>1076</v>
      </c>
      <c r="J28" s="714" t="s">
        <v>1118</v>
      </c>
      <c r="K28" s="714" t="s">
        <v>1078</v>
      </c>
      <c r="L28" s="718" t="s">
        <v>2445</v>
      </c>
      <c r="M28" s="718"/>
      <c r="N28" s="718" t="s">
        <v>2446</v>
      </c>
      <c r="O28" s="739">
        <v>43281</v>
      </c>
      <c r="P28" s="718" t="s">
        <v>2447</v>
      </c>
      <c r="Q28" s="718" t="s">
        <v>2461</v>
      </c>
      <c r="R28" s="714" t="s">
        <v>2449</v>
      </c>
      <c r="U28" s="714" t="s">
        <v>2462</v>
      </c>
      <c r="V28" s="714" t="s">
        <v>2463</v>
      </c>
      <c r="W28" s="714">
        <v>2183</v>
      </c>
      <c r="X28" s="745">
        <v>43293</v>
      </c>
      <c r="Y28" s="745">
        <v>43293</v>
      </c>
      <c r="Z28" s="931">
        <v>1069640</v>
      </c>
      <c r="AA28" s="745">
        <v>43282</v>
      </c>
      <c r="AB28" s="714" t="s">
        <v>1079</v>
      </c>
      <c r="AC28" s="714">
        <v>0</v>
      </c>
      <c r="AD28" s="714">
        <v>0</v>
      </c>
      <c r="AE28" s="714">
        <v>0</v>
      </c>
      <c r="AF28" s="714">
        <v>0</v>
      </c>
      <c r="AG28" s="714">
        <v>0</v>
      </c>
      <c r="AH28" s="714">
        <v>1</v>
      </c>
      <c r="AI28" s="714">
        <v>40101</v>
      </c>
      <c r="AJ28" s="714">
        <v>2183</v>
      </c>
      <c r="AK28" s="714">
        <v>0</v>
      </c>
      <c r="AL28" s="714">
        <v>1</v>
      </c>
      <c r="AO28" s="748"/>
      <c r="AP28" s="748"/>
      <c r="AQ28" s="714" t="str">
        <f t="shared" si="0"/>
        <v>VO04707864</v>
      </c>
      <c r="AS28" s="714" t="str">
        <f t="shared" si="1"/>
        <v>wci_corp</v>
      </c>
    </row>
    <row r="29" spans="2:45">
      <c r="B29" s="714" t="s">
        <v>2452</v>
      </c>
      <c r="C29" s="745">
        <v>43293</v>
      </c>
      <c r="D29" s="746">
        <v>47843</v>
      </c>
      <c r="E29" s="746">
        <v>0</v>
      </c>
      <c r="F29" s="747" t="s">
        <v>1074</v>
      </c>
      <c r="G29" s="714" t="s">
        <v>2460</v>
      </c>
      <c r="H29" s="748" t="s">
        <v>1075</v>
      </c>
      <c r="I29" s="714" t="s">
        <v>1076</v>
      </c>
      <c r="J29" s="714" t="s">
        <v>1118</v>
      </c>
      <c r="K29" s="714" t="s">
        <v>1078</v>
      </c>
      <c r="L29" s="718" t="s">
        <v>2445</v>
      </c>
      <c r="M29" s="718"/>
      <c r="N29" s="718" t="s">
        <v>2446</v>
      </c>
      <c r="O29" s="739">
        <v>43281</v>
      </c>
      <c r="P29" s="718" t="s">
        <v>2447</v>
      </c>
      <c r="Q29" s="718" t="s">
        <v>2461</v>
      </c>
      <c r="R29" s="714" t="s">
        <v>2449</v>
      </c>
      <c r="U29" s="714" t="s">
        <v>2462</v>
      </c>
      <c r="V29" s="714" t="s">
        <v>2463</v>
      </c>
      <c r="W29" s="714">
        <v>2183</v>
      </c>
      <c r="X29" s="745">
        <v>43293</v>
      </c>
      <c r="Y29" s="745">
        <v>43293</v>
      </c>
      <c r="Z29" s="931">
        <v>1069640</v>
      </c>
      <c r="AA29" s="745">
        <v>43282</v>
      </c>
      <c r="AB29" s="714" t="s">
        <v>1079</v>
      </c>
      <c r="AC29" s="714">
        <v>0</v>
      </c>
      <c r="AD29" s="714">
        <v>0</v>
      </c>
      <c r="AE29" s="714">
        <v>0</v>
      </c>
      <c r="AF29" s="714">
        <v>0</v>
      </c>
      <c r="AG29" s="714">
        <v>0</v>
      </c>
      <c r="AH29" s="714">
        <v>1</v>
      </c>
      <c r="AI29" s="714">
        <v>40101</v>
      </c>
      <c r="AJ29" s="714">
        <v>2183</v>
      </c>
      <c r="AK29" s="714">
        <v>0</v>
      </c>
      <c r="AL29" s="714">
        <v>2</v>
      </c>
      <c r="AO29" s="748"/>
      <c r="AP29" s="748"/>
      <c r="AQ29" s="714" t="str">
        <f t="shared" si="0"/>
        <v>VO04707864</v>
      </c>
      <c r="AS29" s="714" t="str">
        <f t="shared" si="1"/>
        <v>wci_corp</v>
      </c>
    </row>
    <row r="30" spans="2:45">
      <c r="B30" s="714" t="s">
        <v>2443</v>
      </c>
      <c r="C30" s="745">
        <v>43312</v>
      </c>
      <c r="D30" s="746">
        <v>-982637</v>
      </c>
      <c r="E30" s="746">
        <v>0</v>
      </c>
      <c r="F30" s="747" t="s">
        <v>1074</v>
      </c>
      <c r="G30" s="714" t="s">
        <v>2464</v>
      </c>
      <c r="H30" s="748" t="s">
        <v>1075</v>
      </c>
      <c r="I30" s="714" t="s">
        <v>1126</v>
      </c>
      <c r="J30" s="714" t="s">
        <v>1082</v>
      </c>
      <c r="K30" s="714" t="s">
        <v>1078</v>
      </c>
      <c r="L30" s="718"/>
      <c r="M30" s="718"/>
      <c r="N30" s="718" t="s">
        <v>2453</v>
      </c>
      <c r="O30" s="739"/>
      <c r="P30" s="718"/>
      <c r="Q30" s="718"/>
      <c r="U30" s="714" t="s">
        <v>2459</v>
      </c>
      <c r="V30" s="714" t="s">
        <v>2465</v>
      </c>
      <c r="X30" s="745">
        <v>43290</v>
      </c>
      <c r="Y30" s="745">
        <v>43290</v>
      </c>
      <c r="AA30" s="745"/>
      <c r="AB30" s="714" t="s">
        <v>1079</v>
      </c>
      <c r="AC30" s="714">
        <v>0</v>
      </c>
      <c r="AD30" s="714">
        <v>0</v>
      </c>
      <c r="AE30" s="714">
        <v>0</v>
      </c>
      <c r="AF30" s="714">
        <v>0</v>
      </c>
      <c r="AG30" s="714">
        <v>5</v>
      </c>
      <c r="AH30" s="714">
        <v>1</v>
      </c>
      <c r="AI30" s="714">
        <v>40101</v>
      </c>
      <c r="AJ30" s="714">
        <v>2183</v>
      </c>
      <c r="AK30" s="714">
        <v>0</v>
      </c>
      <c r="AL30" s="714">
        <v>1</v>
      </c>
      <c r="AO30" s="748"/>
      <c r="AP30" s="748"/>
      <c r="AQ30" s="714" t="str">
        <f t="shared" si="0"/>
        <v/>
      </c>
      <c r="AS30" s="714" t="str">
        <f t="shared" si="1"/>
        <v>wci_corp</v>
      </c>
    </row>
    <row r="31" spans="2:45">
      <c r="B31" s="714" t="s">
        <v>2443</v>
      </c>
      <c r="C31" s="745">
        <v>43312</v>
      </c>
      <c r="D31" s="746">
        <v>1010889</v>
      </c>
      <c r="E31" s="746">
        <v>0</v>
      </c>
      <c r="F31" s="747" t="s">
        <v>1074</v>
      </c>
      <c r="G31" s="714" t="s">
        <v>1162</v>
      </c>
      <c r="H31" s="748" t="s">
        <v>1075</v>
      </c>
      <c r="I31" s="714" t="s">
        <v>1126</v>
      </c>
      <c r="J31" s="714" t="s">
        <v>1082</v>
      </c>
      <c r="K31" s="714" t="s">
        <v>1078</v>
      </c>
      <c r="L31" s="718"/>
      <c r="M31" s="718"/>
      <c r="N31" s="718" t="s">
        <v>2453</v>
      </c>
      <c r="O31" s="739"/>
      <c r="P31" s="718"/>
      <c r="Q31" s="718"/>
      <c r="U31" s="714" t="s">
        <v>1164</v>
      </c>
      <c r="V31" s="714" t="s">
        <v>1164</v>
      </c>
      <c r="X31" s="745">
        <v>43318</v>
      </c>
      <c r="Y31" s="745">
        <v>43319</v>
      </c>
      <c r="AA31" s="745"/>
      <c r="AB31" s="714" t="s">
        <v>1079</v>
      </c>
      <c r="AC31" s="714">
        <v>0</v>
      </c>
      <c r="AD31" s="714">
        <v>0</v>
      </c>
      <c r="AE31" s="714">
        <v>0</v>
      </c>
      <c r="AF31" s="714">
        <v>0</v>
      </c>
      <c r="AG31" s="714">
        <v>0</v>
      </c>
      <c r="AH31" s="714">
        <v>1</v>
      </c>
      <c r="AI31" s="714">
        <v>40101</v>
      </c>
      <c r="AJ31" s="714">
        <v>2183</v>
      </c>
      <c r="AK31" s="714">
        <v>0</v>
      </c>
      <c r="AL31" s="714">
        <v>1</v>
      </c>
      <c r="AO31" s="748"/>
      <c r="AP31" s="748"/>
      <c r="AQ31" s="714" t="str">
        <f t="shared" si="0"/>
        <v/>
      </c>
      <c r="AS31" s="714" t="str">
        <f t="shared" si="1"/>
        <v>wci_corp</v>
      </c>
    </row>
    <row r="32" spans="2:45">
      <c r="B32" s="714" t="s">
        <v>2443</v>
      </c>
      <c r="C32" s="745">
        <v>43326</v>
      </c>
      <c r="D32" s="746">
        <v>973029</v>
      </c>
      <c r="E32" s="746">
        <v>0</v>
      </c>
      <c r="F32" s="747" t="s">
        <v>1074</v>
      </c>
      <c r="G32" s="714" t="s">
        <v>2466</v>
      </c>
      <c r="H32" s="748" t="s">
        <v>1075</v>
      </c>
      <c r="I32" s="714" t="s">
        <v>1076</v>
      </c>
      <c r="J32" s="714" t="s">
        <v>1077</v>
      </c>
      <c r="K32" s="714" t="s">
        <v>1078</v>
      </c>
      <c r="L32" s="718" t="s">
        <v>2445</v>
      </c>
      <c r="M32" s="718"/>
      <c r="N32" s="718" t="s">
        <v>2446</v>
      </c>
      <c r="O32" s="739">
        <v>43312</v>
      </c>
      <c r="P32" s="718" t="s">
        <v>2447</v>
      </c>
      <c r="Q32" s="718" t="s">
        <v>2467</v>
      </c>
      <c r="R32" s="714" t="s">
        <v>2449</v>
      </c>
      <c r="U32" s="714" t="s">
        <v>2468</v>
      </c>
      <c r="V32" s="714" t="s">
        <v>2469</v>
      </c>
      <c r="W32" s="714">
        <v>2183</v>
      </c>
      <c r="X32" s="745">
        <v>43326</v>
      </c>
      <c r="Y32" s="745">
        <v>43333</v>
      </c>
      <c r="Z32" s="931">
        <v>1103660</v>
      </c>
      <c r="AA32" s="745">
        <v>43313</v>
      </c>
      <c r="AB32" s="714" t="s">
        <v>1079</v>
      </c>
      <c r="AC32" s="714">
        <v>0</v>
      </c>
      <c r="AD32" s="714">
        <v>0</v>
      </c>
      <c r="AE32" s="714">
        <v>0</v>
      </c>
      <c r="AF32" s="714">
        <v>0</v>
      </c>
      <c r="AG32" s="714">
        <v>0</v>
      </c>
      <c r="AH32" s="714">
        <v>1</v>
      </c>
      <c r="AI32" s="714">
        <v>40101</v>
      </c>
      <c r="AJ32" s="714">
        <v>2183</v>
      </c>
      <c r="AK32" s="714">
        <v>0</v>
      </c>
      <c r="AL32" s="714">
        <v>1</v>
      </c>
      <c r="AO32" s="748"/>
      <c r="AP32" s="748"/>
      <c r="AQ32" s="714" t="str">
        <f t="shared" si="0"/>
        <v>VO04740338</v>
      </c>
      <c r="AS32" s="714" t="str">
        <f t="shared" si="1"/>
        <v>wci_corp</v>
      </c>
    </row>
    <row r="33" spans="2:45">
      <c r="B33" s="714" t="s">
        <v>2452</v>
      </c>
      <c r="C33" s="745">
        <v>43326</v>
      </c>
      <c r="D33" s="746">
        <v>38800</v>
      </c>
      <c r="E33" s="746">
        <v>0</v>
      </c>
      <c r="F33" s="747" t="s">
        <v>1074</v>
      </c>
      <c r="G33" s="714" t="s">
        <v>2466</v>
      </c>
      <c r="H33" s="748" t="s">
        <v>1075</v>
      </c>
      <c r="I33" s="714" t="s">
        <v>1076</v>
      </c>
      <c r="J33" s="714" t="s">
        <v>1077</v>
      </c>
      <c r="K33" s="714" t="s">
        <v>1078</v>
      </c>
      <c r="L33" s="718" t="s">
        <v>2445</v>
      </c>
      <c r="M33" s="718"/>
      <c r="N33" s="718" t="s">
        <v>2446</v>
      </c>
      <c r="O33" s="739">
        <v>43312</v>
      </c>
      <c r="P33" s="718" t="s">
        <v>2447</v>
      </c>
      <c r="Q33" s="718" t="s">
        <v>2467</v>
      </c>
      <c r="R33" s="714" t="s">
        <v>2449</v>
      </c>
      <c r="U33" s="714" t="s">
        <v>2468</v>
      </c>
      <c r="V33" s="714" t="s">
        <v>2469</v>
      </c>
      <c r="W33" s="714">
        <v>2183</v>
      </c>
      <c r="X33" s="745">
        <v>43326</v>
      </c>
      <c r="Y33" s="745">
        <v>43333</v>
      </c>
      <c r="Z33" s="931">
        <v>1103660</v>
      </c>
      <c r="AA33" s="745">
        <v>43313</v>
      </c>
      <c r="AB33" s="714" t="s">
        <v>1079</v>
      </c>
      <c r="AC33" s="714">
        <v>0</v>
      </c>
      <c r="AD33" s="714">
        <v>0</v>
      </c>
      <c r="AE33" s="714">
        <v>0</v>
      </c>
      <c r="AF33" s="714">
        <v>0</v>
      </c>
      <c r="AG33" s="714">
        <v>0</v>
      </c>
      <c r="AH33" s="714">
        <v>1</v>
      </c>
      <c r="AI33" s="714">
        <v>40101</v>
      </c>
      <c r="AJ33" s="714">
        <v>2183</v>
      </c>
      <c r="AK33" s="714">
        <v>0</v>
      </c>
      <c r="AL33" s="714">
        <v>2</v>
      </c>
      <c r="AO33" s="748"/>
      <c r="AP33" s="748"/>
      <c r="AQ33" s="714" t="str">
        <f t="shared" si="0"/>
        <v>VO04740338</v>
      </c>
      <c r="AS33" s="714" t="str">
        <f t="shared" si="1"/>
        <v>wci_corp</v>
      </c>
    </row>
    <row r="34" spans="2:45">
      <c r="B34" s="714" t="s">
        <v>2443</v>
      </c>
      <c r="C34" s="745">
        <v>43343</v>
      </c>
      <c r="D34" s="746">
        <v>-1010889</v>
      </c>
      <c r="E34" s="746">
        <v>0</v>
      </c>
      <c r="F34" s="747" t="s">
        <v>1074</v>
      </c>
      <c r="G34" s="714" t="s">
        <v>1166</v>
      </c>
      <c r="H34" s="748" t="s">
        <v>1075</v>
      </c>
      <c r="I34" s="714" t="s">
        <v>1126</v>
      </c>
      <c r="J34" s="714" t="s">
        <v>1092</v>
      </c>
      <c r="K34" s="714" t="s">
        <v>1078</v>
      </c>
      <c r="L34" s="718"/>
      <c r="M34" s="718"/>
      <c r="N34" s="718" t="s">
        <v>2453</v>
      </c>
      <c r="O34" s="739"/>
      <c r="P34" s="718"/>
      <c r="Q34" s="718"/>
      <c r="U34" s="714" t="s">
        <v>1164</v>
      </c>
      <c r="V34" s="714" t="s">
        <v>1167</v>
      </c>
      <c r="X34" s="745">
        <v>43319</v>
      </c>
      <c r="Y34" s="745">
        <v>43319</v>
      </c>
      <c r="AA34" s="745"/>
      <c r="AB34" s="714" t="s">
        <v>1079</v>
      </c>
      <c r="AC34" s="714">
        <v>0</v>
      </c>
      <c r="AD34" s="714">
        <v>0</v>
      </c>
      <c r="AE34" s="714">
        <v>0</v>
      </c>
      <c r="AF34" s="714">
        <v>0</v>
      </c>
      <c r="AG34" s="714">
        <v>5</v>
      </c>
      <c r="AH34" s="714">
        <v>1</v>
      </c>
      <c r="AI34" s="714">
        <v>40101</v>
      </c>
      <c r="AJ34" s="714">
        <v>2183</v>
      </c>
      <c r="AK34" s="714">
        <v>0</v>
      </c>
      <c r="AL34" s="714">
        <v>1</v>
      </c>
      <c r="AO34" s="748"/>
      <c r="AP34" s="748"/>
      <c r="AQ34" s="714" t="str">
        <f t="shared" si="0"/>
        <v/>
      </c>
      <c r="AS34" s="714" t="str">
        <f t="shared" si="1"/>
        <v>wci_corp</v>
      </c>
    </row>
    <row r="35" spans="2:45">
      <c r="B35" s="714" t="s">
        <v>2443</v>
      </c>
      <c r="C35" s="745">
        <v>43343</v>
      </c>
      <c r="D35" s="746">
        <v>1057086</v>
      </c>
      <c r="E35" s="746">
        <v>0</v>
      </c>
      <c r="F35" s="747" t="s">
        <v>1074</v>
      </c>
      <c r="G35" s="714" t="s">
        <v>1172</v>
      </c>
      <c r="H35" s="748" t="s">
        <v>1075</v>
      </c>
      <c r="I35" s="714" t="s">
        <v>1126</v>
      </c>
      <c r="J35" s="714" t="s">
        <v>1082</v>
      </c>
      <c r="K35" s="714" t="s">
        <v>1078</v>
      </c>
      <c r="L35" s="718"/>
      <c r="M35" s="718"/>
      <c r="N35" s="718" t="s">
        <v>2453</v>
      </c>
      <c r="O35" s="739"/>
      <c r="P35" s="718"/>
      <c r="Q35" s="718"/>
      <c r="U35" s="714" t="s">
        <v>1174</v>
      </c>
      <c r="V35" s="714" t="s">
        <v>1174</v>
      </c>
      <c r="X35" s="745">
        <v>43350</v>
      </c>
      <c r="Y35" s="745">
        <v>43353</v>
      </c>
      <c r="AA35" s="745"/>
      <c r="AB35" s="714" t="s">
        <v>1079</v>
      </c>
      <c r="AC35" s="714">
        <v>0</v>
      </c>
      <c r="AD35" s="714">
        <v>0</v>
      </c>
      <c r="AE35" s="714">
        <v>0</v>
      </c>
      <c r="AF35" s="714">
        <v>0</v>
      </c>
      <c r="AG35" s="714">
        <v>0</v>
      </c>
      <c r="AH35" s="714">
        <v>1</v>
      </c>
      <c r="AI35" s="714">
        <v>40101</v>
      </c>
      <c r="AJ35" s="714">
        <v>2183</v>
      </c>
      <c r="AK35" s="714">
        <v>0</v>
      </c>
      <c r="AL35" s="714">
        <v>1</v>
      </c>
      <c r="AO35" s="748"/>
      <c r="AP35" s="748"/>
      <c r="AQ35" s="714" t="str">
        <f t="shared" si="0"/>
        <v/>
      </c>
      <c r="AS35" s="714" t="str">
        <f t="shared" si="1"/>
        <v>wci_corp</v>
      </c>
    </row>
    <row r="36" spans="2:45">
      <c r="B36" s="714" t="s">
        <v>2443</v>
      </c>
      <c r="C36" s="745">
        <v>43355</v>
      </c>
      <c r="D36" s="746">
        <v>1022428</v>
      </c>
      <c r="E36" s="746">
        <v>0</v>
      </c>
      <c r="F36" s="747" t="s">
        <v>1074</v>
      </c>
      <c r="G36" s="714" t="s">
        <v>2470</v>
      </c>
      <c r="H36" s="748" t="s">
        <v>1075</v>
      </c>
      <c r="I36" s="714" t="s">
        <v>1076</v>
      </c>
      <c r="J36" s="714" t="s">
        <v>1077</v>
      </c>
      <c r="K36" s="714" t="s">
        <v>1078</v>
      </c>
      <c r="L36" s="718" t="s">
        <v>2445</v>
      </c>
      <c r="M36" s="718"/>
      <c r="N36" s="718" t="s">
        <v>2446</v>
      </c>
      <c r="O36" s="739">
        <v>43343</v>
      </c>
      <c r="P36" s="718" t="s">
        <v>2447</v>
      </c>
      <c r="Q36" s="718" t="s">
        <v>2471</v>
      </c>
      <c r="R36" s="714" t="s">
        <v>2449</v>
      </c>
      <c r="U36" s="714" t="s">
        <v>2472</v>
      </c>
      <c r="V36" s="714" t="s">
        <v>2473</v>
      </c>
      <c r="W36" s="714">
        <v>2183</v>
      </c>
      <c r="X36" s="745">
        <v>43355</v>
      </c>
      <c r="Y36" s="745">
        <v>43356</v>
      </c>
      <c r="Z36" s="931">
        <v>1147220</v>
      </c>
      <c r="AA36" s="745">
        <v>43344</v>
      </c>
      <c r="AB36" s="714" t="s">
        <v>1079</v>
      </c>
      <c r="AC36" s="714">
        <v>0</v>
      </c>
      <c r="AD36" s="714">
        <v>0</v>
      </c>
      <c r="AE36" s="714">
        <v>0</v>
      </c>
      <c r="AF36" s="714">
        <v>0</v>
      </c>
      <c r="AG36" s="714">
        <v>0</v>
      </c>
      <c r="AH36" s="714">
        <v>1</v>
      </c>
      <c r="AI36" s="714">
        <v>40101</v>
      </c>
      <c r="AJ36" s="714">
        <v>2183</v>
      </c>
      <c r="AK36" s="714">
        <v>0</v>
      </c>
      <c r="AL36" s="714">
        <v>1</v>
      </c>
      <c r="AO36" s="748"/>
      <c r="AP36" s="748"/>
      <c r="AQ36" s="714" t="str">
        <f t="shared" si="0"/>
        <v>VO04769953</v>
      </c>
      <c r="AS36" s="714" t="str">
        <f t="shared" si="1"/>
        <v>wci_corp</v>
      </c>
    </row>
    <row r="37" spans="2:45">
      <c r="B37" s="714" t="s">
        <v>2452</v>
      </c>
      <c r="C37" s="745">
        <v>43355</v>
      </c>
      <c r="D37" s="746">
        <v>34784</v>
      </c>
      <c r="E37" s="746">
        <v>0</v>
      </c>
      <c r="F37" s="747" t="s">
        <v>1074</v>
      </c>
      <c r="G37" s="714" t="s">
        <v>2470</v>
      </c>
      <c r="H37" s="748" t="s">
        <v>1075</v>
      </c>
      <c r="I37" s="714" t="s">
        <v>1076</v>
      </c>
      <c r="J37" s="714" t="s">
        <v>1077</v>
      </c>
      <c r="K37" s="714" t="s">
        <v>1078</v>
      </c>
      <c r="L37" s="718" t="s">
        <v>2445</v>
      </c>
      <c r="M37" s="718"/>
      <c r="N37" s="718" t="s">
        <v>2446</v>
      </c>
      <c r="O37" s="739">
        <v>43343</v>
      </c>
      <c r="P37" s="718" t="s">
        <v>2447</v>
      </c>
      <c r="Q37" s="718" t="s">
        <v>2471</v>
      </c>
      <c r="R37" s="714" t="s">
        <v>2449</v>
      </c>
      <c r="U37" s="714" t="s">
        <v>2472</v>
      </c>
      <c r="V37" s="714" t="s">
        <v>2473</v>
      </c>
      <c r="W37" s="714">
        <v>2183</v>
      </c>
      <c r="X37" s="745">
        <v>43355</v>
      </c>
      <c r="Y37" s="745">
        <v>43356</v>
      </c>
      <c r="Z37" s="931">
        <v>1147220</v>
      </c>
      <c r="AA37" s="745">
        <v>43344</v>
      </c>
      <c r="AB37" s="714" t="s">
        <v>1079</v>
      </c>
      <c r="AC37" s="714">
        <v>0</v>
      </c>
      <c r="AD37" s="714">
        <v>0</v>
      </c>
      <c r="AE37" s="714">
        <v>0</v>
      </c>
      <c r="AF37" s="714">
        <v>0</v>
      </c>
      <c r="AG37" s="714">
        <v>0</v>
      </c>
      <c r="AH37" s="714">
        <v>1</v>
      </c>
      <c r="AI37" s="714">
        <v>40101</v>
      </c>
      <c r="AJ37" s="714">
        <v>2183</v>
      </c>
      <c r="AK37" s="714">
        <v>0</v>
      </c>
      <c r="AL37" s="714">
        <v>2</v>
      </c>
      <c r="AO37" s="748"/>
      <c r="AP37" s="748"/>
      <c r="AQ37" s="714" t="str">
        <f t="shared" si="0"/>
        <v>VO04769953</v>
      </c>
      <c r="AS37" s="714" t="str">
        <f t="shared" si="1"/>
        <v>wci_corp</v>
      </c>
    </row>
    <row r="38" spans="2:45">
      <c r="B38" s="714" t="s">
        <v>2443</v>
      </c>
      <c r="C38" s="745">
        <v>43373</v>
      </c>
      <c r="D38" s="746">
        <v>-1057086</v>
      </c>
      <c r="E38" s="746">
        <v>0</v>
      </c>
      <c r="F38" s="747" t="s">
        <v>1074</v>
      </c>
      <c r="G38" s="714" t="s">
        <v>1175</v>
      </c>
      <c r="H38" s="748" t="s">
        <v>1075</v>
      </c>
      <c r="I38" s="714" t="s">
        <v>1126</v>
      </c>
      <c r="J38" s="714" t="s">
        <v>1082</v>
      </c>
      <c r="K38" s="714" t="s">
        <v>1078</v>
      </c>
      <c r="L38" s="718"/>
      <c r="M38" s="718"/>
      <c r="N38" s="718" t="s">
        <v>2453</v>
      </c>
      <c r="O38" s="739"/>
      <c r="P38" s="718"/>
      <c r="Q38" s="718"/>
      <c r="U38" s="714" t="s">
        <v>1174</v>
      </c>
      <c r="V38" s="714" t="s">
        <v>1176</v>
      </c>
      <c r="X38" s="745">
        <v>43353</v>
      </c>
      <c r="Y38" s="745">
        <v>43353</v>
      </c>
      <c r="AA38" s="745"/>
      <c r="AB38" s="714" t="s">
        <v>1079</v>
      </c>
      <c r="AC38" s="714">
        <v>0</v>
      </c>
      <c r="AD38" s="714">
        <v>0</v>
      </c>
      <c r="AE38" s="714">
        <v>0</v>
      </c>
      <c r="AF38" s="714">
        <v>0</v>
      </c>
      <c r="AG38" s="714">
        <v>5</v>
      </c>
      <c r="AH38" s="714">
        <v>1</v>
      </c>
      <c r="AI38" s="714">
        <v>40101</v>
      </c>
      <c r="AJ38" s="714">
        <v>2183</v>
      </c>
      <c r="AK38" s="714">
        <v>0</v>
      </c>
      <c r="AL38" s="714">
        <v>1</v>
      </c>
      <c r="AO38" s="748"/>
      <c r="AP38" s="748"/>
      <c r="AQ38" s="714" t="str">
        <f t="shared" si="0"/>
        <v/>
      </c>
      <c r="AS38" s="714" t="str">
        <f t="shared" si="1"/>
        <v>wci_corp</v>
      </c>
    </row>
    <row r="39" spans="2:45">
      <c r="B39" s="714" t="s">
        <v>2443</v>
      </c>
      <c r="C39" s="745">
        <v>43373</v>
      </c>
      <c r="D39" s="746">
        <v>922011</v>
      </c>
      <c r="E39" s="746">
        <v>0</v>
      </c>
      <c r="F39" s="747" t="s">
        <v>1074</v>
      </c>
      <c r="G39" s="714" t="s">
        <v>1180</v>
      </c>
      <c r="H39" s="748" t="s">
        <v>1075</v>
      </c>
      <c r="I39" s="714" t="s">
        <v>1126</v>
      </c>
      <c r="J39" s="714" t="s">
        <v>1082</v>
      </c>
      <c r="K39" s="714" t="s">
        <v>1078</v>
      </c>
      <c r="L39" s="718"/>
      <c r="M39" s="718"/>
      <c r="N39" s="718" t="s">
        <v>2474</v>
      </c>
      <c r="O39" s="739"/>
      <c r="P39" s="718"/>
      <c r="Q39" s="718"/>
      <c r="U39" s="714" t="s">
        <v>1182</v>
      </c>
      <c r="V39" s="714" t="s">
        <v>1182</v>
      </c>
      <c r="X39" s="745">
        <v>43377</v>
      </c>
      <c r="Y39" s="745">
        <v>43378</v>
      </c>
      <c r="AA39" s="745"/>
      <c r="AB39" s="714" t="s">
        <v>1079</v>
      </c>
      <c r="AC39" s="714">
        <v>0</v>
      </c>
      <c r="AD39" s="714">
        <v>0</v>
      </c>
      <c r="AE39" s="714">
        <v>0</v>
      </c>
      <c r="AF39" s="714">
        <v>0</v>
      </c>
      <c r="AG39" s="714">
        <v>0</v>
      </c>
      <c r="AH39" s="714">
        <v>1</v>
      </c>
      <c r="AI39" s="714">
        <v>40101</v>
      </c>
      <c r="AJ39" s="714">
        <v>2183</v>
      </c>
      <c r="AK39" s="714">
        <v>0</v>
      </c>
      <c r="AL39" s="714">
        <v>1</v>
      </c>
      <c r="AO39" s="748"/>
      <c r="AP39" s="748"/>
      <c r="AQ39" s="714" t="str">
        <f t="shared" si="0"/>
        <v/>
      </c>
      <c r="AS39" s="714" t="str">
        <f t="shared" si="1"/>
        <v>wci_corp</v>
      </c>
    </row>
    <row r="40" spans="2:45">
      <c r="B40" s="714" t="s">
        <v>2443</v>
      </c>
      <c r="C40" s="745">
        <v>43384</v>
      </c>
      <c r="D40" s="746">
        <v>894638</v>
      </c>
      <c r="E40" s="746">
        <v>0</v>
      </c>
      <c r="F40" s="747" t="s">
        <v>1074</v>
      </c>
      <c r="G40" s="714" t="s">
        <v>2475</v>
      </c>
      <c r="H40" s="748" t="s">
        <v>1075</v>
      </c>
      <c r="I40" s="714" t="s">
        <v>1076</v>
      </c>
      <c r="J40" s="714" t="s">
        <v>1077</v>
      </c>
      <c r="K40" s="714" t="s">
        <v>1078</v>
      </c>
      <c r="L40" s="718" t="s">
        <v>2445</v>
      </c>
      <c r="M40" s="718"/>
      <c r="N40" s="718" t="s">
        <v>2446</v>
      </c>
      <c r="O40" s="739">
        <v>43373</v>
      </c>
      <c r="P40" s="718" t="s">
        <v>2447</v>
      </c>
      <c r="Q40" s="718" t="s">
        <v>2476</v>
      </c>
      <c r="R40" s="714" t="s">
        <v>2449</v>
      </c>
      <c r="U40" s="714" t="s">
        <v>2477</v>
      </c>
      <c r="V40" s="714" t="s">
        <v>2478</v>
      </c>
      <c r="W40" s="714">
        <v>2183</v>
      </c>
      <c r="X40" s="745">
        <v>43384</v>
      </c>
      <c r="Y40" s="745">
        <v>43385</v>
      </c>
      <c r="Z40" s="931">
        <v>1009630</v>
      </c>
      <c r="AA40" s="745">
        <v>43374</v>
      </c>
      <c r="AB40" s="714" t="s">
        <v>1079</v>
      </c>
      <c r="AC40" s="714">
        <v>0</v>
      </c>
      <c r="AD40" s="714">
        <v>0</v>
      </c>
      <c r="AE40" s="714">
        <v>0</v>
      </c>
      <c r="AF40" s="714">
        <v>0</v>
      </c>
      <c r="AG40" s="714">
        <v>0</v>
      </c>
      <c r="AH40" s="714">
        <v>1</v>
      </c>
      <c r="AI40" s="714">
        <v>40101</v>
      </c>
      <c r="AJ40" s="714">
        <v>2183</v>
      </c>
      <c r="AK40" s="714">
        <v>0</v>
      </c>
      <c r="AL40" s="714">
        <v>1</v>
      </c>
      <c r="AO40" s="748"/>
      <c r="AP40" s="748"/>
      <c r="AQ40" s="714" t="str">
        <f t="shared" si="0"/>
        <v>VO04799621</v>
      </c>
      <c r="AS40" s="714" t="str">
        <f t="shared" si="1"/>
        <v>wci_corp</v>
      </c>
    </row>
    <row r="41" spans="2:45">
      <c r="B41" s="714" t="s">
        <v>2452</v>
      </c>
      <c r="C41" s="745">
        <v>43384</v>
      </c>
      <c r="D41" s="746">
        <v>32977</v>
      </c>
      <c r="E41" s="746">
        <v>0</v>
      </c>
      <c r="F41" s="747" t="s">
        <v>1074</v>
      </c>
      <c r="G41" s="714" t="s">
        <v>2475</v>
      </c>
      <c r="H41" s="748" t="s">
        <v>1075</v>
      </c>
      <c r="I41" s="714" t="s">
        <v>1076</v>
      </c>
      <c r="J41" s="714" t="s">
        <v>1077</v>
      </c>
      <c r="K41" s="714" t="s">
        <v>1078</v>
      </c>
      <c r="L41" s="718" t="s">
        <v>2445</v>
      </c>
      <c r="M41" s="718"/>
      <c r="N41" s="718" t="s">
        <v>2446</v>
      </c>
      <c r="O41" s="739">
        <v>43373</v>
      </c>
      <c r="P41" s="718" t="s">
        <v>2447</v>
      </c>
      <c r="Q41" s="718" t="s">
        <v>2476</v>
      </c>
      <c r="R41" s="714" t="s">
        <v>2449</v>
      </c>
      <c r="U41" s="714" t="s">
        <v>2477</v>
      </c>
      <c r="V41" s="714" t="s">
        <v>2478</v>
      </c>
      <c r="W41" s="714">
        <v>2183</v>
      </c>
      <c r="X41" s="745">
        <v>43384</v>
      </c>
      <c r="Y41" s="745">
        <v>43385</v>
      </c>
      <c r="Z41" s="931">
        <v>1009630</v>
      </c>
      <c r="AA41" s="745">
        <v>43374</v>
      </c>
      <c r="AB41" s="714" t="s">
        <v>1079</v>
      </c>
      <c r="AC41" s="714">
        <v>0</v>
      </c>
      <c r="AD41" s="714">
        <v>0</v>
      </c>
      <c r="AE41" s="714">
        <v>0</v>
      </c>
      <c r="AF41" s="714">
        <v>0</v>
      </c>
      <c r="AG41" s="714">
        <v>0</v>
      </c>
      <c r="AH41" s="714">
        <v>1</v>
      </c>
      <c r="AI41" s="714">
        <v>40101</v>
      </c>
      <c r="AJ41" s="714">
        <v>2183</v>
      </c>
      <c r="AK41" s="714">
        <v>0</v>
      </c>
      <c r="AL41" s="714">
        <v>2</v>
      </c>
      <c r="AO41" s="748"/>
      <c r="AP41" s="748"/>
      <c r="AQ41" s="714" t="str">
        <f t="shared" si="0"/>
        <v>VO04799621</v>
      </c>
      <c r="AS41" s="714" t="str">
        <f t="shared" si="1"/>
        <v>wci_corp</v>
      </c>
    </row>
    <row r="42" spans="2:45">
      <c r="B42" s="714" t="s">
        <v>2443</v>
      </c>
      <c r="C42" s="745">
        <v>43404</v>
      </c>
      <c r="D42" s="746">
        <v>-922011</v>
      </c>
      <c r="E42" s="746">
        <v>0</v>
      </c>
      <c r="F42" s="747" t="s">
        <v>1074</v>
      </c>
      <c r="G42" s="714" t="s">
        <v>1188</v>
      </c>
      <c r="H42" s="748" t="s">
        <v>1075</v>
      </c>
      <c r="I42" s="714" t="s">
        <v>1126</v>
      </c>
      <c r="J42" s="714" t="s">
        <v>1092</v>
      </c>
      <c r="K42" s="714" t="s">
        <v>1078</v>
      </c>
      <c r="L42" s="718"/>
      <c r="M42" s="718"/>
      <c r="N42" s="718" t="s">
        <v>2474</v>
      </c>
      <c r="O42" s="739"/>
      <c r="P42" s="718"/>
      <c r="Q42" s="718"/>
      <c r="U42" s="714" t="s">
        <v>1182</v>
      </c>
      <c r="V42" s="714" t="s">
        <v>1189</v>
      </c>
      <c r="X42" s="745">
        <v>43378</v>
      </c>
      <c r="Y42" s="745">
        <v>43378</v>
      </c>
      <c r="AA42" s="745"/>
      <c r="AB42" s="714" t="s">
        <v>1079</v>
      </c>
      <c r="AC42" s="714">
        <v>0</v>
      </c>
      <c r="AD42" s="714">
        <v>0</v>
      </c>
      <c r="AE42" s="714">
        <v>0</v>
      </c>
      <c r="AF42" s="714">
        <v>0</v>
      </c>
      <c r="AG42" s="714">
        <v>5</v>
      </c>
      <c r="AH42" s="714">
        <v>1</v>
      </c>
      <c r="AI42" s="714">
        <v>40101</v>
      </c>
      <c r="AJ42" s="714">
        <v>2183</v>
      </c>
      <c r="AK42" s="714">
        <v>0</v>
      </c>
      <c r="AL42" s="714">
        <v>1</v>
      </c>
      <c r="AO42" s="748"/>
      <c r="AP42" s="748"/>
      <c r="AQ42" s="714" t="str">
        <f t="shared" si="0"/>
        <v/>
      </c>
      <c r="AS42" s="714" t="str">
        <f t="shared" si="1"/>
        <v>wci_corp</v>
      </c>
    </row>
    <row r="43" spans="2:45">
      <c r="B43" s="714" t="s">
        <v>2443</v>
      </c>
      <c r="C43" s="745">
        <v>43404</v>
      </c>
      <c r="D43" s="746">
        <v>1052854</v>
      </c>
      <c r="E43" s="746">
        <v>0</v>
      </c>
      <c r="F43" s="747" t="s">
        <v>1074</v>
      </c>
      <c r="G43" s="714" t="s">
        <v>1080</v>
      </c>
      <c r="H43" s="748" t="s">
        <v>1075</v>
      </c>
      <c r="I43" s="714" t="s">
        <v>1081</v>
      </c>
      <c r="J43" s="714" t="s">
        <v>1082</v>
      </c>
      <c r="K43" s="714" t="s">
        <v>1078</v>
      </c>
      <c r="L43" s="718"/>
      <c r="M43" s="718"/>
      <c r="N43" s="718" t="s">
        <v>2474</v>
      </c>
      <c r="O43" s="739"/>
      <c r="P43" s="718"/>
      <c r="Q43" s="718"/>
      <c r="U43" s="714" t="s">
        <v>1083</v>
      </c>
      <c r="V43" s="714" t="s">
        <v>1083</v>
      </c>
      <c r="X43" s="745">
        <v>43411</v>
      </c>
      <c r="Y43" s="745">
        <v>43411</v>
      </c>
      <c r="AA43" s="745"/>
      <c r="AB43" s="714" t="s">
        <v>1079</v>
      </c>
      <c r="AC43" s="714">
        <v>0</v>
      </c>
      <c r="AD43" s="714">
        <v>0</v>
      </c>
      <c r="AE43" s="714">
        <v>0</v>
      </c>
      <c r="AF43" s="714">
        <v>0</v>
      </c>
      <c r="AG43" s="714">
        <v>0</v>
      </c>
      <c r="AH43" s="714">
        <v>1</v>
      </c>
      <c r="AI43" s="714">
        <v>40101</v>
      </c>
      <c r="AJ43" s="714">
        <v>2183</v>
      </c>
      <c r="AK43" s="714">
        <v>0</v>
      </c>
      <c r="AL43" s="714">
        <v>1</v>
      </c>
      <c r="AO43" s="748"/>
      <c r="AP43" s="748"/>
      <c r="AQ43" s="714" t="str">
        <f t="shared" si="0"/>
        <v/>
      </c>
      <c r="AS43" s="714" t="str">
        <f t="shared" si="1"/>
        <v>wci_corp</v>
      </c>
    </row>
    <row r="44" spans="2:45">
      <c r="B44" s="714" t="s">
        <v>2443</v>
      </c>
      <c r="C44" s="745">
        <v>43417</v>
      </c>
      <c r="D44" s="746">
        <v>1014373</v>
      </c>
      <c r="E44" s="746">
        <v>0</v>
      </c>
      <c r="F44" s="747" t="s">
        <v>1074</v>
      </c>
      <c r="G44" s="714" t="s">
        <v>2479</v>
      </c>
      <c r="H44" s="748" t="s">
        <v>1075</v>
      </c>
      <c r="I44" s="714" t="s">
        <v>1076</v>
      </c>
      <c r="J44" s="714" t="s">
        <v>1077</v>
      </c>
      <c r="K44" s="714" t="s">
        <v>1078</v>
      </c>
      <c r="L44" s="718" t="s">
        <v>2445</v>
      </c>
      <c r="M44" s="718"/>
      <c r="N44" s="718" t="s">
        <v>2446</v>
      </c>
      <c r="O44" s="739">
        <v>43404</v>
      </c>
      <c r="P44" s="718" t="s">
        <v>2447</v>
      </c>
      <c r="Q44" s="718" t="s">
        <v>2480</v>
      </c>
      <c r="R44" s="714" t="s">
        <v>2449</v>
      </c>
      <c r="U44" s="714" t="s">
        <v>2481</v>
      </c>
      <c r="V44" s="714" t="s">
        <v>2482</v>
      </c>
      <c r="W44" s="714">
        <v>2183</v>
      </c>
      <c r="X44" s="745">
        <v>43417</v>
      </c>
      <c r="Y44" s="745">
        <v>43423</v>
      </c>
      <c r="Z44" s="931">
        <v>1147590</v>
      </c>
      <c r="AA44" s="745">
        <v>43405</v>
      </c>
      <c r="AB44" s="714" t="s">
        <v>1079</v>
      </c>
      <c r="AC44" s="714">
        <v>0</v>
      </c>
      <c r="AD44" s="714">
        <v>0</v>
      </c>
      <c r="AE44" s="714">
        <v>0</v>
      </c>
      <c r="AF44" s="714">
        <v>0</v>
      </c>
      <c r="AG44" s="714">
        <v>0</v>
      </c>
      <c r="AH44" s="714">
        <v>1</v>
      </c>
      <c r="AI44" s="714">
        <v>40101</v>
      </c>
      <c r="AJ44" s="714">
        <v>2183</v>
      </c>
      <c r="AK44" s="714">
        <v>0</v>
      </c>
      <c r="AL44" s="714">
        <v>1</v>
      </c>
      <c r="AO44" s="748"/>
      <c r="AP44" s="748"/>
      <c r="AQ44" s="714" t="str">
        <f t="shared" si="0"/>
        <v>VO04831740</v>
      </c>
      <c r="AS44" s="714" t="str">
        <f t="shared" si="1"/>
        <v>wci_corp</v>
      </c>
    </row>
    <row r="45" spans="2:45">
      <c r="B45" s="714" t="s">
        <v>2452</v>
      </c>
      <c r="C45" s="745">
        <v>43417</v>
      </c>
      <c r="D45" s="746">
        <v>41152</v>
      </c>
      <c r="E45" s="746">
        <v>0</v>
      </c>
      <c r="F45" s="747" t="s">
        <v>1074</v>
      </c>
      <c r="G45" s="714" t="s">
        <v>2479</v>
      </c>
      <c r="H45" s="748" t="s">
        <v>1075</v>
      </c>
      <c r="I45" s="714" t="s">
        <v>1076</v>
      </c>
      <c r="J45" s="714" t="s">
        <v>1077</v>
      </c>
      <c r="K45" s="714" t="s">
        <v>1078</v>
      </c>
      <c r="L45" s="718" t="s">
        <v>2445</v>
      </c>
      <c r="M45" s="718"/>
      <c r="N45" s="718" t="s">
        <v>2446</v>
      </c>
      <c r="O45" s="739">
        <v>43404</v>
      </c>
      <c r="P45" s="718" t="s">
        <v>2447</v>
      </c>
      <c r="Q45" s="718" t="s">
        <v>2480</v>
      </c>
      <c r="R45" s="714" t="s">
        <v>2449</v>
      </c>
      <c r="U45" s="714" t="s">
        <v>2481</v>
      </c>
      <c r="V45" s="714" t="s">
        <v>2482</v>
      </c>
      <c r="W45" s="714">
        <v>2183</v>
      </c>
      <c r="X45" s="745">
        <v>43417</v>
      </c>
      <c r="Y45" s="745">
        <v>43423</v>
      </c>
      <c r="Z45" s="931">
        <v>1147590</v>
      </c>
      <c r="AA45" s="745">
        <v>43405</v>
      </c>
      <c r="AB45" s="714" t="s">
        <v>1079</v>
      </c>
      <c r="AC45" s="714">
        <v>0</v>
      </c>
      <c r="AD45" s="714">
        <v>0</v>
      </c>
      <c r="AE45" s="714">
        <v>0</v>
      </c>
      <c r="AF45" s="714">
        <v>0</v>
      </c>
      <c r="AG45" s="714">
        <v>0</v>
      </c>
      <c r="AH45" s="714">
        <v>1</v>
      </c>
      <c r="AI45" s="714">
        <v>40101</v>
      </c>
      <c r="AJ45" s="714">
        <v>2183</v>
      </c>
      <c r="AK45" s="714">
        <v>0</v>
      </c>
      <c r="AL45" s="714">
        <v>2</v>
      </c>
      <c r="AO45" s="748"/>
      <c r="AP45" s="748"/>
      <c r="AQ45" s="714" t="str">
        <f t="shared" si="0"/>
        <v>VO04831740</v>
      </c>
      <c r="AS45" s="714" t="str">
        <f t="shared" si="1"/>
        <v>wci_corp</v>
      </c>
    </row>
    <row r="46" spans="2:45">
      <c r="B46" s="714" t="s">
        <v>2443</v>
      </c>
      <c r="C46" s="745">
        <v>43434</v>
      </c>
      <c r="D46" s="746">
        <v>-1052854</v>
      </c>
      <c r="E46" s="746">
        <v>0</v>
      </c>
      <c r="F46" s="747" t="s">
        <v>1074</v>
      </c>
      <c r="G46" s="714" t="s">
        <v>1084</v>
      </c>
      <c r="H46" s="748" t="s">
        <v>1075</v>
      </c>
      <c r="I46" s="714" t="s">
        <v>1081</v>
      </c>
      <c r="J46" s="714" t="s">
        <v>1082</v>
      </c>
      <c r="K46" s="714" t="s">
        <v>1078</v>
      </c>
      <c r="L46" s="718"/>
      <c r="M46" s="718"/>
      <c r="N46" s="718" t="s">
        <v>2474</v>
      </c>
      <c r="O46" s="739"/>
      <c r="P46" s="718"/>
      <c r="Q46" s="718"/>
      <c r="U46" s="714" t="s">
        <v>1083</v>
      </c>
      <c r="V46" s="714" t="s">
        <v>1085</v>
      </c>
      <c r="X46" s="745">
        <v>43411</v>
      </c>
      <c r="Y46" s="745">
        <v>43411</v>
      </c>
      <c r="AA46" s="745"/>
      <c r="AB46" s="714" t="s">
        <v>1079</v>
      </c>
      <c r="AC46" s="714">
        <v>0</v>
      </c>
      <c r="AD46" s="714">
        <v>0</v>
      </c>
      <c r="AE46" s="714">
        <v>0</v>
      </c>
      <c r="AF46" s="714">
        <v>0</v>
      </c>
      <c r="AG46" s="714">
        <v>5</v>
      </c>
      <c r="AH46" s="714">
        <v>1</v>
      </c>
      <c r="AI46" s="714">
        <v>40101</v>
      </c>
      <c r="AJ46" s="714">
        <v>2183</v>
      </c>
      <c r="AK46" s="714">
        <v>0</v>
      </c>
      <c r="AL46" s="714">
        <v>1</v>
      </c>
      <c r="AO46" s="748"/>
      <c r="AP46" s="748"/>
      <c r="AQ46" s="714" t="str">
        <f t="shared" si="0"/>
        <v/>
      </c>
      <c r="AS46" s="714" t="str">
        <f t="shared" si="1"/>
        <v>wci_corp</v>
      </c>
    </row>
    <row r="47" spans="2:45">
      <c r="B47" s="714" t="s">
        <v>2443</v>
      </c>
      <c r="C47" s="745">
        <v>43434</v>
      </c>
      <c r="D47" s="746">
        <v>1041723</v>
      </c>
      <c r="E47" s="746">
        <v>0</v>
      </c>
      <c r="F47" s="747" t="s">
        <v>1074</v>
      </c>
      <c r="G47" s="714" t="s">
        <v>1086</v>
      </c>
      <c r="H47" s="748" t="s">
        <v>1075</v>
      </c>
      <c r="I47" s="714" t="s">
        <v>1081</v>
      </c>
      <c r="J47" s="714" t="s">
        <v>1082</v>
      </c>
      <c r="K47" s="714" t="s">
        <v>1078</v>
      </c>
      <c r="L47" s="718"/>
      <c r="M47" s="718"/>
      <c r="N47" s="718" t="s">
        <v>2453</v>
      </c>
      <c r="O47" s="739"/>
      <c r="P47" s="718"/>
      <c r="Q47" s="718"/>
      <c r="U47" s="714" t="s">
        <v>1087</v>
      </c>
      <c r="V47" s="714" t="s">
        <v>1087</v>
      </c>
      <c r="X47" s="745">
        <v>43440</v>
      </c>
      <c r="Y47" s="745">
        <v>43441</v>
      </c>
      <c r="AA47" s="745"/>
      <c r="AB47" s="714" t="s">
        <v>1079</v>
      </c>
      <c r="AC47" s="714">
        <v>0</v>
      </c>
      <c r="AD47" s="714">
        <v>0</v>
      </c>
      <c r="AE47" s="714">
        <v>0</v>
      </c>
      <c r="AF47" s="714">
        <v>0</v>
      </c>
      <c r="AG47" s="714">
        <v>0</v>
      </c>
      <c r="AH47" s="714">
        <v>1</v>
      </c>
      <c r="AI47" s="714">
        <v>40101</v>
      </c>
      <c r="AJ47" s="714">
        <v>2183</v>
      </c>
      <c r="AK47" s="714">
        <v>0</v>
      </c>
      <c r="AL47" s="714">
        <v>1</v>
      </c>
      <c r="AO47" s="748"/>
      <c r="AP47" s="748"/>
      <c r="AQ47" s="714" t="str">
        <f t="shared" si="0"/>
        <v/>
      </c>
      <c r="AS47" s="714" t="str">
        <f t="shared" si="1"/>
        <v>wci_corp</v>
      </c>
    </row>
    <row r="48" spans="2:45">
      <c r="B48" s="714" t="s">
        <v>2443</v>
      </c>
      <c r="C48" s="745">
        <v>43447</v>
      </c>
      <c r="D48" s="746">
        <v>1000214</v>
      </c>
      <c r="E48" s="746">
        <v>0</v>
      </c>
      <c r="F48" s="747" t="s">
        <v>1074</v>
      </c>
      <c r="G48" s="714" t="s">
        <v>2483</v>
      </c>
      <c r="H48" s="748" t="s">
        <v>1075</v>
      </c>
      <c r="I48" s="714" t="s">
        <v>1076</v>
      </c>
      <c r="J48" s="714" t="s">
        <v>1077</v>
      </c>
      <c r="K48" s="714" t="s">
        <v>1078</v>
      </c>
      <c r="L48" s="718" t="s">
        <v>2445</v>
      </c>
      <c r="M48" s="718"/>
      <c r="N48" s="718" t="s">
        <v>2446</v>
      </c>
      <c r="O48" s="739">
        <v>43434</v>
      </c>
      <c r="P48" s="718" t="s">
        <v>2447</v>
      </c>
      <c r="Q48" s="718" t="s">
        <v>2484</v>
      </c>
      <c r="R48" s="714" t="s">
        <v>2449</v>
      </c>
      <c r="U48" s="714" t="s">
        <v>2485</v>
      </c>
      <c r="V48" s="714" t="s">
        <v>2486</v>
      </c>
      <c r="W48" s="714">
        <v>2183</v>
      </c>
      <c r="X48" s="745">
        <v>43447</v>
      </c>
      <c r="Y48" s="745">
        <v>43454</v>
      </c>
      <c r="Z48" s="931">
        <v>1128680</v>
      </c>
      <c r="AA48" s="745">
        <v>43435</v>
      </c>
      <c r="AB48" s="714" t="s">
        <v>1079</v>
      </c>
      <c r="AC48" s="714">
        <v>0</v>
      </c>
      <c r="AD48" s="714">
        <v>0</v>
      </c>
      <c r="AE48" s="714">
        <v>0</v>
      </c>
      <c r="AF48" s="714">
        <v>0</v>
      </c>
      <c r="AG48" s="714">
        <v>0</v>
      </c>
      <c r="AH48" s="714">
        <v>1</v>
      </c>
      <c r="AI48" s="714">
        <v>40101</v>
      </c>
      <c r="AJ48" s="714">
        <v>2183</v>
      </c>
      <c r="AK48" s="714">
        <v>0</v>
      </c>
      <c r="AL48" s="714">
        <v>1</v>
      </c>
      <c r="AO48" s="748"/>
      <c r="AP48" s="748"/>
      <c r="AQ48" s="714" t="str">
        <f t="shared" si="0"/>
        <v>VO04861821</v>
      </c>
      <c r="AS48" s="714" t="str">
        <f t="shared" si="1"/>
        <v>wci_corp</v>
      </c>
    </row>
    <row r="49" spans="2:45">
      <c r="B49" s="714" t="s">
        <v>2452</v>
      </c>
      <c r="C49" s="745">
        <v>43447</v>
      </c>
      <c r="D49" s="746">
        <v>46757</v>
      </c>
      <c r="E49" s="746">
        <v>0</v>
      </c>
      <c r="F49" s="747" t="s">
        <v>1074</v>
      </c>
      <c r="G49" s="714" t="s">
        <v>2483</v>
      </c>
      <c r="H49" s="748" t="s">
        <v>1075</v>
      </c>
      <c r="I49" s="714" t="s">
        <v>1076</v>
      </c>
      <c r="J49" s="714" t="s">
        <v>1077</v>
      </c>
      <c r="K49" s="714" t="s">
        <v>1078</v>
      </c>
      <c r="L49" s="718" t="s">
        <v>2445</v>
      </c>
      <c r="M49" s="718"/>
      <c r="N49" s="718" t="s">
        <v>2446</v>
      </c>
      <c r="O49" s="739">
        <v>43434</v>
      </c>
      <c r="P49" s="718" t="s">
        <v>2447</v>
      </c>
      <c r="Q49" s="718" t="s">
        <v>2484</v>
      </c>
      <c r="R49" s="714" t="s">
        <v>2449</v>
      </c>
      <c r="U49" s="714" t="s">
        <v>2485</v>
      </c>
      <c r="V49" s="714" t="s">
        <v>2486</v>
      </c>
      <c r="W49" s="714">
        <v>2183</v>
      </c>
      <c r="X49" s="745">
        <v>43447</v>
      </c>
      <c r="Y49" s="745">
        <v>43454</v>
      </c>
      <c r="Z49" s="931">
        <v>1128680</v>
      </c>
      <c r="AA49" s="745">
        <v>43435</v>
      </c>
      <c r="AB49" s="714" t="s">
        <v>1079</v>
      </c>
      <c r="AC49" s="714">
        <v>0</v>
      </c>
      <c r="AD49" s="714">
        <v>0</v>
      </c>
      <c r="AE49" s="714">
        <v>0</v>
      </c>
      <c r="AF49" s="714">
        <v>0</v>
      </c>
      <c r="AG49" s="714">
        <v>0</v>
      </c>
      <c r="AH49" s="714">
        <v>1</v>
      </c>
      <c r="AI49" s="714">
        <v>40101</v>
      </c>
      <c r="AJ49" s="714">
        <v>2183</v>
      </c>
      <c r="AK49" s="714">
        <v>0</v>
      </c>
      <c r="AL49" s="714">
        <v>2</v>
      </c>
      <c r="AO49" s="748"/>
      <c r="AP49" s="748"/>
      <c r="AQ49" s="714" t="str">
        <f t="shared" si="0"/>
        <v>VO04861821</v>
      </c>
      <c r="AS49" s="714" t="str">
        <f t="shared" si="1"/>
        <v>wci_corp</v>
      </c>
    </row>
    <row r="50" spans="2:45">
      <c r="B50" s="714" t="s">
        <v>2443</v>
      </c>
      <c r="C50" s="745">
        <v>43465</v>
      </c>
      <c r="D50" s="746">
        <v>-1041723</v>
      </c>
      <c r="E50" s="746">
        <v>0</v>
      </c>
      <c r="F50" s="747" t="s">
        <v>1074</v>
      </c>
      <c r="G50" s="714" t="s">
        <v>1088</v>
      </c>
      <c r="H50" s="748" t="s">
        <v>1075</v>
      </c>
      <c r="I50" s="714" t="s">
        <v>1081</v>
      </c>
      <c r="J50" s="714" t="s">
        <v>1082</v>
      </c>
      <c r="K50" s="714" t="s">
        <v>1078</v>
      </c>
      <c r="L50" s="718"/>
      <c r="M50" s="718"/>
      <c r="N50" s="718" t="s">
        <v>2453</v>
      </c>
      <c r="O50" s="739"/>
      <c r="P50" s="718"/>
      <c r="Q50" s="718"/>
      <c r="U50" s="714" t="s">
        <v>1087</v>
      </c>
      <c r="V50" s="714" t="s">
        <v>1089</v>
      </c>
      <c r="X50" s="745">
        <v>43441</v>
      </c>
      <c r="Y50" s="745">
        <v>43441</v>
      </c>
      <c r="AA50" s="745"/>
      <c r="AB50" s="714" t="s">
        <v>1079</v>
      </c>
      <c r="AC50" s="714">
        <v>0</v>
      </c>
      <c r="AD50" s="714">
        <v>0</v>
      </c>
      <c r="AE50" s="714">
        <v>0</v>
      </c>
      <c r="AF50" s="714">
        <v>0</v>
      </c>
      <c r="AG50" s="714">
        <v>5</v>
      </c>
      <c r="AH50" s="714">
        <v>1</v>
      </c>
      <c r="AI50" s="714">
        <v>40101</v>
      </c>
      <c r="AJ50" s="714">
        <v>2183</v>
      </c>
      <c r="AK50" s="714">
        <v>0</v>
      </c>
      <c r="AL50" s="714">
        <v>1</v>
      </c>
      <c r="AO50" s="748"/>
      <c r="AP50" s="748"/>
      <c r="AQ50" s="714" t="str">
        <f t="shared" si="0"/>
        <v/>
      </c>
      <c r="AS50" s="714" t="str">
        <f t="shared" si="1"/>
        <v>wci_corp</v>
      </c>
    </row>
    <row r="51" spans="2:45">
      <c r="B51" s="714" t="s">
        <v>2443</v>
      </c>
      <c r="C51" s="745">
        <v>43465</v>
      </c>
      <c r="D51" s="746">
        <v>952165</v>
      </c>
      <c r="E51" s="746">
        <v>0</v>
      </c>
      <c r="F51" s="747" t="s">
        <v>1074</v>
      </c>
      <c r="G51" s="714" t="s">
        <v>1094</v>
      </c>
      <c r="H51" s="748" t="s">
        <v>1075</v>
      </c>
      <c r="I51" s="714" t="s">
        <v>1081</v>
      </c>
      <c r="J51" s="714" t="s">
        <v>1082</v>
      </c>
      <c r="K51" s="714" t="s">
        <v>1078</v>
      </c>
      <c r="L51" s="718"/>
      <c r="M51" s="718"/>
      <c r="N51" s="718" t="s">
        <v>2453</v>
      </c>
      <c r="O51" s="739"/>
      <c r="P51" s="718"/>
      <c r="Q51" s="718"/>
      <c r="U51" s="714" t="s">
        <v>1095</v>
      </c>
      <c r="V51" s="714" t="s">
        <v>1095</v>
      </c>
      <c r="X51" s="745">
        <v>43472</v>
      </c>
      <c r="Y51" s="745">
        <v>43473</v>
      </c>
      <c r="AA51" s="745"/>
      <c r="AB51" s="714" t="s">
        <v>1079</v>
      </c>
      <c r="AC51" s="714">
        <v>0</v>
      </c>
      <c r="AD51" s="714">
        <v>0</v>
      </c>
      <c r="AE51" s="714">
        <v>0</v>
      </c>
      <c r="AF51" s="714">
        <v>0</v>
      </c>
      <c r="AG51" s="714">
        <v>0</v>
      </c>
      <c r="AH51" s="714">
        <v>1</v>
      </c>
      <c r="AI51" s="714">
        <v>40101</v>
      </c>
      <c r="AJ51" s="714">
        <v>2183</v>
      </c>
      <c r="AK51" s="714">
        <v>0</v>
      </c>
      <c r="AL51" s="714">
        <v>1</v>
      </c>
      <c r="AO51" s="748"/>
      <c r="AP51" s="748"/>
      <c r="AQ51" s="714" t="str">
        <f t="shared" si="0"/>
        <v/>
      </c>
      <c r="AS51" s="714" t="str">
        <f t="shared" si="1"/>
        <v>wci_corp</v>
      </c>
    </row>
    <row r="52" spans="2:45">
      <c r="B52" s="714" t="s">
        <v>2443</v>
      </c>
      <c r="C52" s="745">
        <v>43482</v>
      </c>
      <c r="D52" s="746">
        <v>927298</v>
      </c>
      <c r="E52" s="746">
        <v>0</v>
      </c>
      <c r="F52" s="747" t="s">
        <v>1074</v>
      </c>
      <c r="G52" s="714" t="s">
        <v>2487</v>
      </c>
      <c r="H52" s="748" t="s">
        <v>1075</v>
      </c>
      <c r="I52" s="714" t="s">
        <v>1076</v>
      </c>
      <c r="J52" s="714" t="s">
        <v>1077</v>
      </c>
      <c r="K52" s="714" t="s">
        <v>1078</v>
      </c>
      <c r="L52" s="718" t="s">
        <v>2445</v>
      </c>
      <c r="M52" s="718"/>
      <c r="N52" s="718" t="s">
        <v>2446</v>
      </c>
      <c r="O52" s="739">
        <v>43465</v>
      </c>
      <c r="P52" s="718" t="s">
        <v>2447</v>
      </c>
      <c r="Q52" s="718" t="s">
        <v>2488</v>
      </c>
      <c r="R52" s="714" t="s">
        <v>2449</v>
      </c>
      <c r="U52" s="714" t="s">
        <v>2489</v>
      </c>
      <c r="V52" s="714" t="s">
        <v>2490</v>
      </c>
      <c r="W52" s="714">
        <v>2183</v>
      </c>
      <c r="X52" s="745">
        <v>43482</v>
      </c>
      <c r="Y52" s="745">
        <v>43482</v>
      </c>
      <c r="Z52" s="931">
        <v>1032270</v>
      </c>
      <c r="AA52" s="745">
        <v>43466</v>
      </c>
      <c r="AB52" s="714" t="s">
        <v>1079</v>
      </c>
      <c r="AC52" s="714">
        <v>0</v>
      </c>
      <c r="AD52" s="714">
        <v>0</v>
      </c>
      <c r="AE52" s="714">
        <v>0</v>
      </c>
      <c r="AF52" s="714">
        <v>0</v>
      </c>
      <c r="AG52" s="714">
        <v>0</v>
      </c>
      <c r="AH52" s="714">
        <v>1</v>
      </c>
      <c r="AI52" s="714">
        <v>40101</v>
      </c>
      <c r="AJ52" s="714">
        <v>2183</v>
      </c>
      <c r="AK52" s="714">
        <v>0</v>
      </c>
      <c r="AL52" s="714">
        <v>1</v>
      </c>
      <c r="AO52" s="748"/>
      <c r="AP52" s="748"/>
      <c r="AQ52" s="714" t="str">
        <f t="shared" si="0"/>
        <v>VO04894306</v>
      </c>
      <c r="AS52" s="714" t="str">
        <f t="shared" si="1"/>
        <v>wci_corp</v>
      </c>
    </row>
    <row r="53" spans="2:45">
      <c r="B53" s="714" t="s">
        <v>2452</v>
      </c>
      <c r="C53" s="745">
        <v>43482</v>
      </c>
      <c r="D53" s="746">
        <v>28955</v>
      </c>
      <c r="E53" s="746">
        <v>0</v>
      </c>
      <c r="F53" s="747" t="s">
        <v>1074</v>
      </c>
      <c r="G53" s="714" t="s">
        <v>2487</v>
      </c>
      <c r="H53" s="748" t="s">
        <v>1075</v>
      </c>
      <c r="I53" s="714" t="s">
        <v>1076</v>
      </c>
      <c r="J53" s="714" t="s">
        <v>1077</v>
      </c>
      <c r="K53" s="714" t="s">
        <v>1078</v>
      </c>
      <c r="L53" s="718" t="s">
        <v>2445</v>
      </c>
      <c r="M53" s="718"/>
      <c r="N53" s="718" t="s">
        <v>2446</v>
      </c>
      <c r="O53" s="739">
        <v>43465</v>
      </c>
      <c r="P53" s="718" t="s">
        <v>2447</v>
      </c>
      <c r="Q53" s="718" t="s">
        <v>2488</v>
      </c>
      <c r="R53" s="714" t="s">
        <v>2449</v>
      </c>
      <c r="U53" s="714" t="s">
        <v>2489</v>
      </c>
      <c r="V53" s="714" t="s">
        <v>2490</v>
      </c>
      <c r="W53" s="714">
        <v>2183</v>
      </c>
      <c r="X53" s="745">
        <v>43482</v>
      </c>
      <c r="Y53" s="745">
        <v>43482</v>
      </c>
      <c r="Z53" s="931">
        <v>1032270</v>
      </c>
      <c r="AA53" s="745">
        <v>43466</v>
      </c>
      <c r="AB53" s="714" t="s">
        <v>1079</v>
      </c>
      <c r="AC53" s="714">
        <v>0</v>
      </c>
      <c r="AD53" s="714">
        <v>0</v>
      </c>
      <c r="AE53" s="714">
        <v>0</v>
      </c>
      <c r="AF53" s="714">
        <v>0</v>
      </c>
      <c r="AG53" s="714">
        <v>0</v>
      </c>
      <c r="AH53" s="714">
        <v>1</v>
      </c>
      <c r="AI53" s="714">
        <v>40101</v>
      </c>
      <c r="AJ53" s="714">
        <v>2183</v>
      </c>
      <c r="AK53" s="714">
        <v>0</v>
      </c>
      <c r="AL53" s="714">
        <v>2</v>
      </c>
      <c r="AO53" s="748"/>
      <c r="AP53" s="748"/>
      <c r="AQ53" s="714" t="str">
        <f t="shared" si="0"/>
        <v>VO04894306</v>
      </c>
      <c r="AS53" s="714" t="str">
        <f t="shared" si="1"/>
        <v>wci_corp</v>
      </c>
    </row>
    <row r="54" spans="2:45">
      <c r="B54" s="714" t="s">
        <v>2443</v>
      </c>
      <c r="C54" s="745">
        <v>43496</v>
      </c>
      <c r="D54" s="746">
        <v>-952165</v>
      </c>
      <c r="E54" s="746">
        <v>0</v>
      </c>
      <c r="F54" s="747" t="s">
        <v>1074</v>
      </c>
      <c r="G54" s="714" t="s">
        <v>1096</v>
      </c>
      <c r="H54" s="748" t="s">
        <v>1075</v>
      </c>
      <c r="I54" s="714" t="s">
        <v>1081</v>
      </c>
      <c r="J54" s="714" t="s">
        <v>1082</v>
      </c>
      <c r="K54" s="714" t="s">
        <v>1078</v>
      </c>
      <c r="L54" s="718"/>
      <c r="M54" s="718"/>
      <c r="N54" s="718" t="s">
        <v>2453</v>
      </c>
      <c r="O54" s="739"/>
      <c r="P54" s="718"/>
      <c r="Q54" s="718"/>
      <c r="U54" s="714" t="s">
        <v>1095</v>
      </c>
      <c r="V54" s="714" t="s">
        <v>1097</v>
      </c>
      <c r="X54" s="745">
        <v>43473</v>
      </c>
      <c r="Y54" s="745">
        <v>43473</v>
      </c>
      <c r="AA54" s="745"/>
      <c r="AB54" s="714" t="s">
        <v>1079</v>
      </c>
      <c r="AC54" s="714">
        <v>0</v>
      </c>
      <c r="AD54" s="714">
        <v>0</v>
      </c>
      <c r="AE54" s="714">
        <v>0</v>
      </c>
      <c r="AF54" s="714">
        <v>0</v>
      </c>
      <c r="AG54" s="714">
        <v>5</v>
      </c>
      <c r="AH54" s="714">
        <v>1</v>
      </c>
      <c r="AI54" s="714">
        <v>40101</v>
      </c>
      <c r="AJ54" s="714">
        <v>2183</v>
      </c>
      <c r="AK54" s="714">
        <v>0</v>
      </c>
      <c r="AL54" s="714">
        <v>1</v>
      </c>
      <c r="AO54" s="748"/>
      <c r="AP54" s="748"/>
      <c r="AQ54" s="714" t="str">
        <f t="shared" si="0"/>
        <v/>
      </c>
      <c r="AS54" s="714" t="str">
        <f t="shared" si="1"/>
        <v>wci_corp</v>
      </c>
    </row>
    <row r="55" spans="2:45">
      <c r="B55" s="714" t="s">
        <v>2443</v>
      </c>
      <c r="C55" s="745">
        <v>43496</v>
      </c>
      <c r="D55" s="746">
        <v>1037943</v>
      </c>
      <c r="E55" s="746">
        <v>0</v>
      </c>
      <c r="F55" s="747" t="s">
        <v>1074</v>
      </c>
      <c r="G55" s="714" t="s">
        <v>1098</v>
      </c>
      <c r="H55" s="748" t="s">
        <v>1075</v>
      </c>
      <c r="I55" s="714" t="s">
        <v>1081</v>
      </c>
      <c r="J55" s="714" t="s">
        <v>1082</v>
      </c>
      <c r="K55" s="714" t="s">
        <v>1078</v>
      </c>
      <c r="L55" s="718"/>
      <c r="M55" s="718"/>
      <c r="N55" s="718" t="s">
        <v>2491</v>
      </c>
      <c r="O55" s="739"/>
      <c r="P55" s="718"/>
      <c r="Q55" s="718"/>
      <c r="U55" s="714" t="s">
        <v>1099</v>
      </c>
      <c r="V55" s="714" t="s">
        <v>1099</v>
      </c>
      <c r="X55" s="745">
        <v>43502</v>
      </c>
      <c r="Y55" s="745">
        <v>43503</v>
      </c>
      <c r="AA55" s="745"/>
      <c r="AB55" s="714" t="s">
        <v>1079</v>
      </c>
      <c r="AC55" s="714">
        <v>0</v>
      </c>
      <c r="AD55" s="714">
        <v>0</v>
      </c>
      <c r="AE55" s="714">
        <v>0</v>
      </c>
      <c r="AF55" s="714">
        <v>0</v>
      </c>
      <c r="AG55" s="714">
        <v>0</v>
      </c>
      <c r="AH55" s="714">
        <v>1</v>
      </c>
      <c r="AI55" s="714">
        <v>40101</v>
      </c>
      <c r="AJ55" s="714">
        <v>2183</v>
      </c>
      <c r="AK55" s="714">
        <v>0</v>
      </c>
      <c r="AL55" s="714">
        <v>1</v>
      </c>
      <c r="AO55" s="748"/>
      <c r="AP55" s="748"/>
      <c r="AQ55" s="714" t="str">
        <f t="shared" si="0"/>
        <v/>
      </c>
      <c r="AS55" s="714" t="str">
        <f t="shared" si="1"/>
        <v>wci_corp</v>
      </c>
    </row>
    <row r="56" spans="2:45">
      <c r="B56" s="714" t="s">
        <v>2443</v>
      </c>
      <c r="C56" s="745">
        <v>43510</v>
      </c>
      <c r="D56" s="746">
        <v>1010266</v>
      </c>
      <c r="E56" s="746">
        <v>0</v>
      </c>
      <c r="F56" s="747" t="s">
        <v>1074</v>
      </c>
      <c r="G56" s="714" t="s">
        <v>2492</v>
      </c>
      <c r="H56" s="748" t="s">
        <v>1075</v>
      </c>
      <c r="I56" s="714" t="s">
        <v>1076</v>
      </c>
      <c r="J56" s="714" t="s">
        <v>1152</v>
      </c>
      <c r="K56" s="714" t="s">
        <v>1078</v>
      </c>
      <c r="L56" s="718" t="s">
        <v>2445</v>
      </c>
      <c r="M56" s="718"/>
      <c r="N56" s="718" t="s">
        <v>2446</v>
      </c>
      <c r="O56" s="739">
        <v>43496</v>
      </c>
      <c r="P56" s="718" t="s">
        <v>2447</v>
      </c>
      <c r="Q56" s="718" t="s">
        <v>2493</v>
      </c>
      <c r="R56" s="714" t="s">
        <v>2494</v>
      </c>
      <c r="U56" s="714" t="s">
        <v>2495</v>
      </c>
      <c r="V56" s="714" t="s">
        <v>2496</v>
      </c>
      <c r="W56" s="714">
        <v>2183</v>
      </c>
      <c r="X56" s="745">
        <v>43510</v>
      </c>
      <c r="Y56" s="745">
        <v>43516</v>
      </c>
      <c r="Z56" s="931">
        <v>1125210</v>
      </c>
      <c r="AA56" s="745">
        <v>43497</v>
      </c>
      <c r="AB56" s="714" t="s">
        <v>1079</v>
      </c>
      <c r="AC56" s="714">
        <v>0</v>
      </c>
      <c r="AD56" s="714">
        <v>0</v>
      </c>
      <c r="AE56" s="714">
        <v>0</v>
      </c>
      <c r="AF56" s="714">
        <v>0</v>
      </c>
      <c r="AG56" s="714">
        <v>0</v>
      </c>
      <c r="AH56" s="714">
        <v>1</v>
      </c>
      <c r="AI56" s="714">
        <v>40101</v>
      </c>
      <c r="AJ56" s="714">
        <v>2183</v>
      </c>
      <c r="AK56" s="714">
        <v>0</v>
      </c>
      <c r="AL56" s="714">
        <v>1</v>
      </c>
      <c r="AO56" s="748"/>
      <c r="AP56" s="748"/>
      <c r="AQ56" s="714" t="str">
        <f t="shared" si="0"/>
        <v>VO04922805</v>
      </c>
      <c r="AS56" s="714" t="str">
        <f t="shared" si="1"/>
        <v>wci_corp</v>
      </c>
    </row>
    <row r="57" spans="2:45">
      <c r="B57" s="714" t="s">
        <v>2452</v>
      </c>
      <c r="C57" s="745">
        <v>43510</v>
      </c>
      <c r="D57" s="746">
        <v>30724</v>
      </c>
      <c r="E57" s="746">
        <v>0</v>
      </c>
      <c r="F57" s="747" t="s">
        <v>1074</v>
      </c>
      <c r="G57" s="714" t="s">
        <v>2492</v>
      </c>
      <c r="H57" s="748" t="s">
        <v>1075</v>
      </c>
      <c r="I57" s="714" t="s">
        <v>1076</v>
      </c>
      <c r="J57" s="714" t="s">
        <v>1152</v>
      </c>
      <c r="K57" s="714" t="s">
        <v>1078</v>
      </c>
      <c r="L57" s="718" t="s">
        <v>2445</v>
      </c>
      <c r="M57" s="718"/>
      <c r="N57" s="718" t="s">
        <v>2446</v>
      </c>
      <c r="O57" s="739">
        <v>43496</v>
      </c>
      <c r="P57" s="718" t="s">
        <v>2447</v>
      </c>
      <c r="Q57" s="718" t="s">
        <v>2493</v>
      </c>
      <c r="R57" s="714" t="s">
        <v>2494</v>
      </c>
      <c r="U57" s="714" t="s">
        <v>2495</v>
      </c>
      <c r="V57" s="714" t="s">
        <v>2496</v>
      </c>
      <c r="W57" s="714">
        <v>2183</v>
      </c>
      <c r="X57" s="745">
        <v>43510</v>
      </c>
      <c r="Y57" s="745">
        <v>43516</v>
      </c>
      <c r="Z57" s="931">
        <v>1125210</v>
      </c>
      <c r="AA57" s="745">
        <v>43497</v>
      </c>
      <c r="AB57" s="714" t="s">
        <v>1079</v>
      </c>
      <c r="AC57" s="714">
        <v>0</v>
      </c>
      <c r="AD57" s="714">
        <v>0</v>
      </c>
      <c r="AE57" s="714">
        <v>0</v>
      </c>
      <c r="AF57" s="714">
        <v>0</v>
      </c>
      <c r="AG57" s="714">
        <v>0</v>
      </c>
      <c r="AH57" s="714">
        <v>1</v>
      </c>
      <c r="AI57" s="714">
        <v>40101</v>
      </c>
      <c r="AJ57" s="714">
        <v>2183</v>
      </c>
      <c r="AK57" s="714">
        <v>0</v>
      </c>
      <c r="AL57" s="714">
        <v>2</v>
      </c>
      <c r="AO57" s="748"/>
      <c r="AP57" s="748"/>
      <c r="AQ57" s="714" t="str">
        <f t="shared" si="0"/>
        <v>VO04922805</v>
      </c>
      <c r="AS57" s="714" t="str">
        <f t="shared" si="1"/>
        <v>wci_corp</v>
      </c>
    </row>
    <row r="58" spans="2:45">
      <c r="B58" s="714" t="s">
        <v>2443</v>
      </c>
      <c r="C58" s="745">
        <v>43524</v>
      </c>
      <c r="D58" s="746">
        <v>-1037943</v>
      </c>
      <c r="E58" s="746">
        <v>0</v>
      </c>
      <c r="F58" s="747" t="s">
        <v>1074</v>
      </c>
      <c r="G58" s="714" t="s">
        <v>1100</v>
      </c>
      <c r="H58" s="748" t="s">
        <v>1075</v>
      </c>
      <c r="I58" s="714" t="s">
        <v>1081</v>
      </c>
      <c r="J58" s="714" t="s">
        <v>1082</v>
      </c>
      <c r="K58" s="714" t="s">
        <v>1078</v>
      </c>
      <c r="L58" s="718"/>
      <c r="M58" s="718"/>
      <c r="N58" s="718" t="s">
        <v>2491</v>
      </c>
      <c r="O58" s="739"/>
      <c r="P58" s="718"/>
      <c r="Q58" s="718"/>
      <c r="U58" s="714" t="s">
        <v>1099</v>
      </c>
      <c r="V58" s="714" t="s">
        <v>1101</v>
      </c>
      <c r="X58" s="745">
        <v>43503</v>
      </c>
      <c r="Y58" s="745">
        <v>43503</v>
      </c>
      <c r="AA58" s="745"/>
      <c r="AB58" s="714" t="s">
        <v>1079</v>
      </c>
      <c r="AC58" s="714">
        <v>0</v>
      </c>
      <c r="AD58" s="714">
        <v>0</v>
      </c>
      <c r="AE58" s="714">
        <v>0</v>
      </c>
      <c r="AF58" s="714">
        <v>0</v>
      </c>
      <c r="AG58" s="714">
        <v>5</v>
      </c>
      <c r="AH58" s="714">
        <v>1</v>
      </c>
      <c r="AI58" s="714">
        <v>40101</v>
      </c>
      <c r="AJ58" s="714">
        <v>2183</v>
      </c>
      <c r="AK58" s="714">
        <v>0</v>
      </c>
      <c r="AL58" s="714">
        <v>1</v>
      </c>
      <c r="AO58" s="748"/>
      <c r="AP58" s="748"/>
      <c r="AQ58" s="714" t="str">
        <f t="shared" si="0"/>
        <v/>
      </c>
      <c r="AS58" s="714" t="str">
        <f t="shared" si="1"/>
        <v>wci_corp</v>
      </c>
    </row>
    <row r="59" spans="2:45">
      <c r="B59" s="714" t="s">
        <v>2443</v>
      </c>
      <c r="C59" s="745">
        <v>43524</v>
      </c>
      <c r="D59" s="746">
        <v>797103</v>
      </c>
      <c r="E59" s="746">
        <v>0</v>
      </c>
      <c r="F59" s="747" t="s">
        <v>1074</v>
      </c>
      <c r="G59" s="714" t="s">
        <v>1506</v>
      </c>
      <c r="H59" s="748" t="s">
        <v>1075</v>
      </c>
      <c r="I59" s="714" t="s">
        <v>1081</v>
      </c>
      <c r="J59" s="714" t="s">
        <v>1082</v>
      </c>
      <c r="K59" s="714" t="s">
        <v>1078</v>
      </c>
      <c r="L59" s="718"/>
      <c r="M59" s="718"/>
      <c r="N59" s="718" t="s">
        <v>2491</v>
      </c>
      <c r="O59" s="739"/>
      <c r="P59" s="718"/>
      <c r="Q59" s="718"/>
      <c r="U59" s="714" t="s">
        <v>1508</v>
      </c>
      <c r="V59" s="714" t="s">
        <v>1508</v>
      </c>
      <c r="X59" s="745">
        <v>43530</v>
      </c>
      <c r="Y59" s="745">
        <v>43531</v>
      </c>
      <c r="AA59" s="745"/>
      <c r="AB59" s="714" t="s">
        <v>1079</v>
      </c>
      <c r="AC59" s="714">
        <v>0</v>
      </c>
      <c r="AD59" s="714">
        <v>0</v>
      </c>
      <c r="AE59" s="714">
        <v>0</v>
      </c>
      <c r="AF59" s="714">
        <v>0</v>
      </c>
      <c r="AG59" s="714">
        <v>0</v>
      </c>
      <c r="AH59" s="714">
        <v>1</v>
      </c>
      <c r="AI59" s="714">
        <v>40101</v>
      </c>
      <c r="AJ59" s="714">
        <v>2183</v>
      </c>
      <c r="AK59" s="714">
        <v>0</v>
      </c>
      <c r="AL59" s="714">
        <v>1</v>
      </c>
      <c r="AO59" s="748"/>
      <c r="AP59" s="748"/>
      <c r="AQ59" s="714" t="str">
        <f t="shared" si="0"/>
        <v/>
      </c>
      <c r="AS59" s="714" t="str">
        <f t="shared" si="1"/>
        <v>wci_corp</v>
      </c>
    </row>
    <row r="60" spans="2:45">
      <c r="B60" s="714" t="s">
        <v>2443</v>
      </c>
      <c r="C60" s="745">
        <v>43535</v>
      </c>
      <c r="D60" s="746">
        <v>780534</v>
      </c>
      <c r="E60" s="746">
        <v>0</v>
      </c>
      <c r="F60" s="747" t="s">
        <v>1074</v>
      </c>
      <c r="G60" s="714" t="s">
        <v>1510</v>
      </c>
      <c r="H60" s="748" t="s">
        <v>1075</v>
      </c>
      <c r="I60" s="714" t="s">
        <v>1076</v>
      </c>
      <c r="J60" s="714" t="s">
        <v>1077</v>
      </c>
      <c r="K60" s="714" t="s">
        <v>1078</v>
      </c>
      <c r="L60" s="718" t="s">
        <v>2445</v>
      </c>
      <c r="M60" s="718"/>
      <c r="N60" s="718" t="s">
        <v>2446</v>
      </c>
      <c r="O60" s="739">
        <v>43524</v>
      </c>
      <c r="P60" s="718" t="s">
        <v>2447</v>
      </c>
      <c r="Q60" s="718" t="s">
        <v>2497</v>
      </c>
      <c r="R60" s="714" t="s">
        <v>2494</v>
      </c>
      <c r="U60" s="714" t="s">
        <v>2498</v>
      </c>
      <c r="V60" s="714" t="s">
        <v>1515</v>
      </c>
      <c r="W60" s="714">
        <v>2183</v>
      </c>
      <c r="X60" s="745">
        <v>43535</v>
      </c>
      <c r="Y60" s="745">
        <v>43543</v>
      </c>
      <c r="Z60" s="714">
        <v>864208</v>
      </c>
      <c r="AA60" s="745">
        <v>43525</v>
      </c>
      <c r="AB60" s="714" t="s">
        <v>1079</v>
      </c>
      <c r="AC60" s="714">
        <v>0</v>
      </c>
      <c r="AD60" s="714">
        <v>0</v>
      </c>
      <c r="AE60" s="714">
        <v>0</v>
      </c>
      <c r="AF60" s="714">
        <v>0</v>
      </c>
      <c r="AG60" s="714">
        <v>0</v>
      </c>
      <c r="AH60" s="714">
        <v>1</v>
      </c>
      <c r="AI60" s="714">
        <v>40101</v>
      </c>
      <c r="AJ60" s="714">
        <v>2183</v>
      </c>
      <c r="AK60" s="714">
        <v>0</v>
      </c>
      <c r="AL60" s="714">
        <v>1</v>
      </c>
      <c r="AO60" s="748"/>
      <c r="AP60" s="748"/>
      <c r="AQ60" s="714" t="str">
        <f t="shared" si="0"/>
        <v>VO04947166</v>
      </c>
      <c r="AS60" s="714" t="str">
        <f t="shared" si="1"/>
        <v>wci_corp</v>
      </c>
    </row>
    <row r="61" spans="2:45">
      <c r="B61" s="714" t="s">
        <v>2452</v>
      </c>
      <c r="C61" s="745">
        <v>43535</v>
      </c>
      <c r="D61" s="746">
        <v>16945</v>
      </c>
      <c r="E61" s="746">
        <v>0</v>
      </c>
      <c r="F61" s="747" t="s">
        <v>1074</v>
      </c>
      <c r="G61" s="714" t="s">
        <v>1510</v>
      </c>
      <c r="H61" s="748" t="s">
        <v>1075</v>
      </c>
      <c r="I61" s="714" t="s">
        <v>1076</v>
      </c>
      <c r="J61" s="714" t="s">
        <v>1077</v>
      </c>
      <c r="K61" s="714" t="s">
        <v>1078</v>
      </c>
      <c r="L61" s="718" t="s">
        <v>2445</v>
      </c>
      <c r="M61" s="718"/>
      <c r="N61" s="718" t="s">
        <v>2446</v>
      </c>
      <c r="O61" s="739">
        <v>43524</v>
      </c>
      <c r="P61" s="718" t="s">
        <v>2447</v>
      </c>
      <c r="Q61" s="718" t="s">
        <v>2497</v>
      </c>
      <c r="R61" s="714" t="s">
        <v>2494</v>
      </c>
      <c r="U61" s="714" t="s">
        <v>2498</v>
      </c>
      <c r="V61" s="714" t="s">
        <v>1515</v>
      </c>
      <c r="W61" s="714">
        <v>2183</v>
      </c>
      <c r="X61" s="745">
        <v>43535</v>
      </c>
      <c r="Y61" s="745">
        <v>43543</v>
      </c>
      <c r="Z61" s="714">
        <v>864208</v>
      </c>
      <c r="AA61" s="745">
        <v>43525</v>
      </c>
      <c r="AB61" s="714" t="s">
        <v>1079</v>
      </c>
      <c r="AC61" s="714">
        <v>0</v>
      </c>
      <c r="AD61" s="714">
        <v>0</v>
      </c>
      <c r="AE61" s="714">
        <v>0</v>
      </c>
      <c r="AF61" s="714">
        <v>0</v>
      </c>
      <c r="AG61" s="714">
        <v>0</v>
      </c>
      <c r="AH61" s="714">
        <v>1</v>
      </c>
      <c r="AI61" s="714">
        <v>40101</v>
      </c>
      <c r="AJ61" s="714">
        <v>2183</v>
      </c>
      <c r="AK61" s="714">
        <v>0</v>
      </c>
      <c r="AL61" s="714">
        <v>2</v>
      </c>
      <c r="AO61" s="748"/>
      <c r="AP61" s="748"/>
      <c r="AQ61" s="714" t="str">
        <f t="shared" si="0"/>
        <v>VO04947166</v>
      </c>
      <c r="AS61" s="714" t="str">
        <f t="shared" si="1"/>
        <v>wci_corp</v>
      </c>
    </row>
    <row r="62" spans="2:45">
      <c r="B62" s="714" t="s">
        <v>2443</v>
      </c>
      <c r="C62" s="745">
        <v>43555</v>
      </c>
      <c r="D62" s="746">
        <v>-797103</v>
      </c>
      <c r="E62" s="746">
        <v>0</v>
      </c>
      <c r="F62" s="747" t="s">
        <v>1074</v>
      </c>
      <c r="G62" s="714" t="s">
        <v>1540</v>
      </c>
      <c r="H62" s="748" t="s">
        <v>1075</v>
      </c>
      <c r="I62" s="714" t="s">
        <v>1081</v>
      </c>
      <c r="J62" s="714" t="s">
        <v>1082</v>
      </c>
      <c r="K62" s="714" t="s">
        <v>1078</v>
      </c>
      <c r="L62" s="718"/>
      <c r="M62" s="718"/>
      <c r="N62" s="718" t="s">
        <v>2491</v>
      </c>
      <c r="O62" s="739"/>
      <c r="P62" s="718"/>
      <c r="Q62" s="718"/>
      <c r="U62" s="714" t="s">
        <v>1508</v>
      </c>
      <c r="V62" s="714" t="s">
        <v>1541</v>
      </c>
      <c r="X62" s="745">
        <v>43531</v>
      </c>
      <c r="Y62" s="745">
        <v>43531</v>
      </c>
      <c r="AA62" s="745"/>
      <c r="AB62" s="714" t="s">
        <v>1079</v>
      </c>
      <c r="AC62" s="714">
        <v>0</v>
      </c>
      <c r="AD62" s="714">
        <v>0</v>
      </c>
      <c r="AE62" s="714">
        <v>0</v>
      </c>
      <c r="AF62" s="714">
        <v>0</v>
      </c>
      <c r="AG62" s="714">
        <v>5</v>
      </c>
      <c r="AH62" s="714">
        <v>1</v>
      </c>
      <c r="AI62" s="714">
        <v>40101</v>
      </c>
      <c r="AJ62" s="714">
        <v>2183</v>
      </c>
      <c r="AK62" s="714">
        <v>0</v>
      </c>
      <c r="AL62" s="714">
        <v>1</v>
      </c>
      <c r="AO62" s="748"/>
      <c r="AP62" s="748"/>
      <c r="AQ62" s="714" t="str">
        <f t="shared" si="0"/>
        <v/>
      </c>
      <c r="AS62" s="714" t="str">
        <f t="shared" si="1"/>
        <v>wci_corp</v>
      </c>
    </row>
    <row r="63" spans="2:45">
      <c r="B63" s="714" t="s">
        <v>2443</v>
      </c>
      <c r="C63" s="745">
        <v>43555</v>
      </c>
      <c r="D63" s="746">
        <v>947863</v>
      </c>
      <c r="E63" s="746">
        <v>0</v>
      </c>
      <c r="F63" s="747" t="s">
        <v>1074</v>
      </c>
      <c r="G63" s="714" t="s">
        <v>1213</v>
      </c>
      <c r="H63" s="748" t="s">
        <v>1075</v>
      </c>
      <c r="I63" s="714" t="s">
        <v>1081</v>
      </c>
      <c r="J63" s="714" t="s">
        <v>1092</v>
      </c>
      <c r="K63" s="714" t="s">
        <v>1078</v>
      </c>
      <c r="L63" s="718"/>
      <c r="M63" s="718"/>
      <c r="N63" s="718" t="s">
        <v>2491</v>
      </c>
      <c r="O63" s="739"/>
      <c r="P63" s="718"/>
      <c r="Q63" s="718"/>
      <c r="U63" s="714" t="s">
        <v>1215</v>
      </c>
      <c r="V63" s="714" t="s">
        <v>1215</v>
      </c>
      <c r="X63" s="745">
        <v>43559</v>
      </c>
      <c r="Y63" s="745">
        <v>43560</v>
      </c>
      <c r="AA63" s="745"/>
      <c r="AB63" s="714" t="s">
        <v>1079</v>
      </c>
      <c r="AC63" s="714">
        <v>0</v>
      </c>
      <c r="AD63" s="714">
        <v>0</v>
      </c>
      <c r="AE63" s="714">
        <v>0</v>
      </c>
      <c r="AF63" s="714">
        <v>0</v>
      </c>
      <c r="AG63" s="714">
        <v>0</v>
      </c>
      <c r="AH63" s="714">
        <v>1</v>
      </c>
      <c r="AI63" s="714">
        <v>40101</v>
      </c>
      <c r="AJ63" s="714">
        <v>2183</v>
      </c>
      <c r="AK63" s="714">
        <v>0</v>
      </c>
      <c r="AL63" s="714">
        <v>1</v>
      </c>
      <c r="AO63" s="748"/>
      <c r="AP63" s="748"/>
      <c r="AQ63" s="714" t="str">
        <f t="shared" si="0"/>
        <v/>
      </c>
      <c r="AS63" s="714" t="str">
        <f t="shared" si="1"/>
        <v>wci_corp</v>
      </c>
    </row>
    <row r="64" spans="2:45">
      <c r="B64" s="714" t="s">
        <v>2443</v>
      </c>
      <c r="C64" s="745">
        <v>43570</v>
      </c>
      <c r="D64" s="746">
        <v>919353</v>
      </c>
      <c r="E64" s="746">
        <v>0</v>
      </c>
      <c r="F64" s="747" t="s">
        <v>1074</v>
      </c>
      <c r="G64" s="714" t="s">
        <v>2499</v>
      </c>
      <c r="H64" s="748" t="s">
        <v>1075</v>
      </c>
      <c r="I64" s="714" t="s">
        <v>1076</v>
      </c>
      <c r="J64" s="714" t="s">
        <v>1237</v>
      </c>
      <c r="K64" s="714" t="s">
        <v>1078</v>
      </c>
      <c r="L64" s="718" t="s">
        <v>2445</v>
      </c>
      <c r="M64" s="718"/>
      <c r="N64" s="718" t="s">
        <v>2446</v>
      </c>
      <c r="O64" s="739">
        <v>43555</v>
      </c>
      <c r="P64" s="718" t="s">
        <v>2447</v>
      </c>
      <c r="Q64" s="718" t="s">
        <v>2500</v>
      </c>
      <c r="R64" s="714" t="s">
        <v>2494</v>
      </c>
      <c r="U64" s="714" t="s">
        <v>2501</v>
      </c>
      <c r="V64" s="714" t="s">
        <v>2502</v>
      </c>
      <c r="W64" s="714">
        <v>2183</v>
      </c>
      <c r="X64" s="745">
        <v>43570</v>
      </c>
      <c r="Y64" s="745">
        <v>43574</v>
      </c>
      <c r="Z64" s="931">
        <v>1035110</v>
      </c>
      <c r="AA64" s="745">
        <v>43556</v>
      </c>
      <c r="AB64" s="714" t="s">
        <v>1079</v>
      </c>
      <c r="AC64" s="714">
        <v>0</v>
      </c>
      <c r="AD64" s="714">
        <v>0</v>
      </c>
      <c r="AE64" s="714">
        <v>0</v>
      </c>
      <c r="AF64" s="714">
        <v>0</v>
      </c>
      <c r="AG64" s="714">
        <v>0</v>
      </c>
      <c r="AH64" s="714">
        <v>1</v>
      </c>
      <c r="AI64" s="714">
        <v>40101</v>
      </c>
      <c r="AJ64" s="714">
        <v>2183</v>
      </c>
      <c r="AK64" s="714">
        <v>0</v>
      </c>
      <c r="AL64" s="714">
        <v>1</v>
      </c>
      <c r="AO64" s="748"/>
      <c r="AP64" s="748"/>
      <c r="AQ64" s="714" t="str">
        <f t="shared" si="0"/>
        <v>VO04983430</v>
      </c>
      <c r="AS64" s="714" t="str">
        <f t="shared" si="1"/>
        <v>wci_corp</v>
      </c>
    </row>
    <row r="65" spans="2:45">
      <c r="B65" s="714" t="s">
        <v>2452</v>
      </c>
      <c r="C65" s="745">
        <v>43570</v>
      </c>
      <c r="D65" s="746">
        <v>32785</v>
      </c>
      <c r="E65" s="746">
        <v>0</v>
      </c>
      <c r="F65" s="747" t="s">
        <v>1074</v>
      </c>
      <c r="G65" s="714" t="s">
        <v>2499</v>
      </c>
      <c r="H65" s="748" t="s">
        <v>1075</v>
      </c>
      <c r="I65" s="714" t="s">
        <v>1076</v>
      </c>
      <c r="J65" s="714" t="s">
        <v>1237</v>
      </c>
      <c r="K65" s="714" t="s">
        <v>1078</v>
      </c>
      <c r="L65" s="718" t="s">
        <v>2445</v>
      </c>
      <c r="M65" s="718"/>
      <c r="N65" s="718" t="s">
        <v>2446</v>
      </c>
      <c r="O65" s="739">
        <v>43555</v>
      </c>
      <c r="P65" s="718" t="s">
        <v>2447</v>
      </c>
      <c r="Q65" s="718" t="s">
        <v>2500</v>
      </c>
      <c r="R65" s="714" t="s">
        <v>2494</v>
      </c>
      <c r="U65" s="714" t="s">
        <v>2501</v>
      </c>
      <c r="V65" s="714" t="s">
        <v>2502</v>
      </c>
      <c r="W65" s="714">
        <v>2183</v>
      </c>
      <c r="X65" s="745">
        <v>43570</v>
      </c>
      <c r="Y65" s="745">
        <v>43574</v>
      </c>
      <c r="Z65" s="931">
        <v>1035110</v>
      </c>
      <c r="AA65" s="745">
        <v>43556</v>
      </c>
      <c r="AB65" s="714" t="s">
        <v>1079</v>
      </c>
      <c r="AC65" s="714">
        <v>0</v>
      </c>
      <c r="AD65" s="714">
        <v>0</v>
      </c>
      <c r="AE65" s="714">
        <v>0</v>
      </c>
      <c r="AF65" s="714">
        <v>0</v>
      </c>
      <c r="AG65" s="714">
        <v>0</v>
      </c>
      <c r="AH65" s="714">
        <v>1</v>
      </c>
      <c r="AI65" s="714">
        <v>40101</v>
      </c>
      <c r="AJ65" s="714">
        <v>2183</v>
      </c>
      <c r="AK65" s="714">
        <v>0</v>
      </c>
      <c r="AL65" s="714">
        <v>2</v>
      </c>
      <c r="AO65" s="748"/>
      <c r="AP65" s="748"/>
      <c r="AQ65" s="714" t="str">
        <f t="shared" si="0"/>
        <v>VO04983430</v>
      </c>
      <c r="AS65" s="714" t="str">
        <f t="shared" si="1"/>
        <v>wci_corp</v>
      </c>
    </row>
    <row r="66" spans="2:45">
      <c r="B66" s="714" t="s">
        <v>2443</v>
      </c>
      <c r="C66" s="745">
        <v>43585</v>
      </c>
      <c r="D66" s="746">
        <v>-947863</v>
      </c>
      <c r="E66" s="746">
        <v>0</v>
      </c>
      <c r="F66" s="747" t="s">
        <v>1074</v>
      </c>
      <c r="G66" s="714" t="s">
        <v>1218</v>
      </c>
      <c r="H66" s="748" t="s">
        <v>1075</v>
      </c>
      <c r="I66" s="714" t="s">
        <v>1081</v>
      </c>
      <c r="J66" s="714" t="s">
        <v>1082</v>
      </c>
      <c r="K66" s="714" t="s">
        <v>1078</v>
      </c>
      <c r="L66" s="718"/>
      <c r="M66" s="718"/>
      <c r="N66" s="718" t="s">
        <v>2491</v>
      </c>
      <c r="O66" s="739"/>
      <c r="P66" s="718"/>
      <c r="Q66" s="718"/>
      <c r="U66" s="714" t="s">
        <v>1215</v>
      </c>
      <c r="V66" s="714" t="s">
        <v>1219</v>
      </c>
      <c r="X66" s="745">
        <v>43560</v>
      </c>
      <c r="Y66" s="745">
        <v>43560</v>
      </c>
      <c r="AA66" s="745"/>
      <c r="AB66" s="714" t="s">
        <v>1079</v>
      </c>
      <c r="AC66" s="714">
        <v>0</v>
      </c>
      <c r="AD66" s="714">
        <v>0</v>
      </c>
      <c r="AE66" s="714">
        <v>0</v>
      </c>
      <c r="AF66" s="714">
        <v>0</v>
      </c>
      <c r="AG66" s="714">
        <v>5</v>
      </c>
      <c r="AH66" s="714">
        <v>1</v>
      </c>
      <c r="AI66" s="714">
        <v>40101</v>
      </c>
      <c r="AJ66" s="714">
        <v>2183</v>
      </c>
      <c r="AK66" s="714">
        <v>0</v>
      </c>
      <c r="AL66" s="714">
        <v>1</v>
      </c>
      <c r="AO66" s="748"/>
      <c r="AP66" s="748"/>
      <c r="AQ66" s="714" t="str">
        <f t="shared" si="0"/>
        <v/>
      </c>
      <c r="AS66" s="714" t="str">
        <f t="shared" si="1"/>
        <v>wci_corp</v>
      </c>
    </row>
    <row r="67" spans="2:45">
      <c r="B67" s="714" t="s">
        <v>2443</v>
      </c>
      <c r="C67" s="745">
        <v>43585</v>
      </c>
      <c r="D67" s="746">
        <v>1035029</v>
      </c>
      <c r="E67" s="746">
        <v>0</v>
      </c>
      <c r="F67" s="747" t="s">
        <v>1074</v>
      </c>
      <c r="G67" s="714" t="s">
        <v>1109</v>
      </c>
      <c r="H67" s="748" t="s">
        <v>1075</v>
      </c>
      <c r="I67" s="714" t="s">
        <v>1081</v>
      </c>
      <c r="J67" s="714" t="s">
        <v>1092</v>
      </c>
      <c r="K67" s="714" t="s">
        <v>1078</v>
      </c>
      <c r="L67" s="718"/>
      <c r="M67" s="718"/>
      <c r="N67" s="718" t="s">
        <v>2491</v>
      </c>
      <c r="O67" s="739"/>
      <c r="P67" s="718"/>
      <c r="Q67" s="718"/>
      <c r="U67" s="714" t="s">
        <v>1110</v>
      </c>
      <c r="V67" s="714" t="s">
        <v>1110</v>
      </c>
      <c r="X67" s="745">
        <v>43591</v>
      </c>
      <c r="Y67" s="745">
        <v>43592</v>
      </c>
      <c r="AA67" s="745"/>
      <c r="AB67" s="714" t="s">
        <v>1079</v>
      </c>
      <c r="AC67" s="714">
        <v>0</v>
      </c>
      <c r="AD67" s="714">
        <v>0</v>
      </c>
      <c r="AE67" s="714">
        <v>0</v>
      </c>
      <c r="AF67" s="714">
        <v>0</v>
      </c>
      <c r="AG67" s="714">
        <v>0</v>
      </c>
      <c r="AH67" s="714">
        <v>1</v>
      </c>
      <c r="AI67" s="714">
        <v>40101</v>
      </c>
      <c r="AJ67" s="714">
        <v>2183</v>
      </c>
      <c r="AK67" s="714">
        <v>0</v>
      </c>
      <c r="AL67" s="714">
        <v>1</v>
      </c>
      <c r="AO67" s="748"/>
      <c r="AP67" s="748"/>
      <c r="AQ67" s="714" t="str">
        <f t="shared" si="0"/>
        <v/>
      </c>
      <c r="AS67" s="714" t="str">
        <f t="shared" si="1"/>
        <v>wci_corp</v>
      </c>
    </row>
    <row r="68" spans="2:45">
      <c r="C68" s="745"/>
      <c r="D68" s="749"/>
      <c r="E68" s="749"/>
      <c r="F68" s="749"/>
      <c r="H68" s="717"/>
    </row>
    <row r="69" spans="2:45">
      <c r="B69" s="750" t="s">
        <v>1111</v>
      </c>
      <c r="C69" s="750"/>
      <c r="D69" s="751"/>
      <c r="E69" s="751"/>
      <c r="F69" s="751"/>
      <c r="G69" s="750"/>
      <c r="H69" s="752"/>
      <c r="I69" s="750"/>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3"/>
    </row>
    <row r="70" spans="2:45">
      <c r="B70" s="714" t="s">
        <v>1034</v>
      </c>
      <c r="C70" s="714" t="s">
        <v>2452</v>
      </c>
      <c r="H70" s="717"/>
    </row>
    <row r="71" spans="2:45">
      <c r="H71" s="717"/>
    </row>
    <row r="72" spans="2:45">
      <c r="B72" s="714" t="s">
        <v>1113</v>
      </c>
      <c r="H72" s="717"/>
    </row>
    <row r="73" spans="2:45">
      <c r="B73" s="932">
        <v>464014</v>
      </c>
      <c r="C73" s="715" t="s">
        <v>2503</v>
      </c>
      <c r="H73" s="717"/>
    </row>
    <row r="74" spans="2:45">
      <c r="H74" s="717"/>
    </row>
    <row r="75" spans="2:45">
      <c r="H75" s="717"/>
    </row>
    <row r="76" spans="2:45">
      <c r="H76" s="717"/>
    </row>
    <row r="77" spans="2:45">
      <c r="H77" s="717"/>
    </row>
    <row r="78" spans="2:45">
      <c r="B78" s="934">
        <v>464014</v>
      </c>
      <c r="C78" s="714" t="s">
        <v>2503</v>
      </c>
      <c r="H78" s="717"/>
    </row>
    <row r="79" spans="2:45">
      <c r="B79" s="933">
        <f>-[57]Sheet1!$L$19</f>
        <v>-43083.909999999989</v>
      </c>
      <c r="C79" s="715" t="s">
        <v>2504</v>
      </c>
      <c r="H79" s="717"/>
    </row>
    <row r="80" spans="2:45">
      <c r="B80" s="680">
        <f>+B73+B79</f>
        <v>420930.09</v>
      </c>
      <c r="C80" s="715" t="s">
        <v>2505</v>
      </c>
      <c r="H80" s="717"/>
    </row>
    <row r="81" spans="8:8">
      <c r="H81" s="717"/>
    </row>
    <row r="82" spans="8:8">
      <c r="H82" s="717"/>
    </row>
    <row r="83" spans="8:8">
      <c r="H83" s="717"/>
    </row>
    <row r="84" spans="8:8">
      <c r="H84" s="717"/>
    </row>
    <row r="85" spans="8:8">
      <c r="H85" s="717"/>
    </row>
    <row r="86" spans="8:8">
      <c r="H86" s="717"/>
    </row>
    <row r="87" spans="8:8">
      <c r="H87" s="717"/>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9"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S75"/>
  <sheetViews>
    <sheetView showGridLines="0" tabSelected="1" view="pageBreakPreview" topLeftCell="A9" zoomScale="60" zoomScaleNormal="80" workbookViewId="0">
      <pane ySplit="11" topLeftCell="A20" activePane="bottomLeft" state="frozen"/>
      <selection activeCell="AR41" sqref="AR41"/>
      <selection pane="bottomLeft" activeCell="AR41" sqref="AR41"/>
    </sheetView>
  </sheetViews>
  <sheetFormatPr defaultRowHeight="12.75" outlineLevelRow="1"/>
  <cols>
    <col min="1" max="1" width="2.7109375" style="714" customWidth="1"/>
    <col min="2" max="2" width="40.140625" style="714" customWidth="1"/>
    <col min="3" max="3" width="21.28515625" style="714" customWidth="1"/>
    <col min="4" max="5" width="18.7109375" style="714" customWidth="1"/>
    <col min="6" max="6" width="12.28515625" style="714" customWidth="1"/>
    <col min="7" max="7" width="19" style="714" customWidth="1"/>
    <col min="8" max="8" width="7.85546875" style="714" customWidth="1"/>
    <col min="9" max="9" width="30.28515625" style="714" customWidth="1"/>
    <col min="10" max="10" width="10.28515625" style="714" customWidth="1"/>
    <col min="11" max="11" width="13.5703125" style="714" customWidth="1"/>
    <col min="12" max="12" width="15.140625" style="714" customWidth="1"/>
    <col min="13" max="13" width="29.85546875" style="714" customWidth="1"/>
    <col min="14" max="14" width="38.5703125" style="714" customWidth="1"/>
    <col min="15" max="15" width="11.42578125" style="714" customWidth="1"/>
    <col min="16" max="16" width="35.140625" style="714" customWidth="1"/>
    <col min="17" max="17" width="18" style="714" customWidth="1"/>
    <col min="18" max="18" width="14.140625" style="714" customWidth="1"/>
    <col min="19" max="19" width="17.7109375" style="714" customWidth="1"/>
    <col min="20" max="20" width="12.7109375" style="714" customWidth="1"/>
    <col min="21" max="21" width="15.85546875" style="714" customWidth="1"/>
    <col min="22" max="22" width="13.7109375" style="714" bestFit="1" customWidth="1"/>
    <col min="23" max="23" width="13.28515625" style="714" customWidth="1"/>
    <col min="24" max="24" width="12.28515625" style="714" customWidth="1"/>
    <col min="25" max="25" width="11.5703125" style="714" customWidth="1"/>
    <col min="26" max="26" width="9.85546875" style="714" customWidth="1"/>
    <col min="27" max="27" width="11.42578125" style="714" customWidth="1"/>
    <col min="28" max="28" width="11" style="714" customWidth="1"/>
    <col min="29" max="29" width="11.5703125" style="714" customWidth="1"/>
    <col min="30" max="30" width="7" style="714" customWidth="1"/>
    <col min="31" max="31" width="11.140625" style="714" customWidth="1"/>
    <col min="32" max="32" width="11" style="714" customWidth="1"/>
    <col min="33" max="33" width="8.5703125" style="714" customWidth="1"/>
    <col min="34" max="34" width="8.42578125" style="714" customWidth="1"/>
    <col min="35" max="36" width="10.28515625" style="714" customWidth="1"/>
    <col min="37" max="37" width="10.140625" style="714" customWidth="1"/>
    <col min="38" max="38" width="10.42578125" style="714" customWidth="1"/>
    <col min="39" max="39" width="21.140625" style="714" customWidth="1"/>
    <col min="40" max="42" width="18.85546875" style="714" customWidth="1"/>
    <col min="43" max="43" width="20.42578125" style="714" customWidth="1"/>
    <col min="44" max="44" width="9.140625" style="714" customWidth="1"/>
    <col min="45" max="45" width="9.140625" style="714" hidden="1" customWidth="1"/>
    <col min="46" max="46" width="9.140625" style="714" customWidth="1"/>
    <col min="47" max="16384" width="9.140625" style="714"/>
  </cols>
  <sheetData>
    <row r="1" spans="1:43" hidden="1" outlineLevel="1">
      <c r="A1" s="713" t="b">
        <v>1</v>
      </c>
      <c r="B1" s="713"/>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row>
    <row r="2" spans="1:43" hidden="1" outlineLevel="1">
      <c r="B2" s="714" t="s">
        <v>967</v>
      </c>
      <c r="C2" s="714" t="s">
        <v>968</v>
      </c>
      <c r="D2" s="715" t="s">
        <v>969</v>
      </c>
      <c r="E2" s="715" t="s">
        <v>970</v>
      </c>
      <c r="F2" s="715" t="s">
        <v>971</v>
      </c>
      <c r="G2" s="714" t="s">
        <v>972</v>
      </c>
      <c r="H2" s="714" t="s">
        <v>973</v>
      </c>
      <c r="I2" s="714" t="s">
        <v>974</v>
      </c>
      <c r="J2" s="714" t="s">
        <v>975</v>
      </c>
      <c r="K2" s="714" t="s">
        <v>976</v>
      </c>
      <c r="L2" s="714" t="s">
        <v>977</v>
      </c>
      <c r="M2" s="714" t="s">
        <v>978</v>
      </c>
      <c r="N2" s="714" t="s">
        <v>979</v>
      </c>
      <c r="O2" s="714" t="s">
        <v>980</v>
      </c>
      <c r="P2" s="714" t="s">
        <v>981</v>
      </c>
      <c r="Q2" s="714" t="s">
        <v>982</v>
      </c>
      <c r="R2" s="714" t="s">
        <v>983</v>
      </c>
      <c r="S2" s="714" t="s">
        <v>984</v>
      </c>
      <c r="T2" s="714" t="s">
        <v>985</v>
      </c>
      <c r="U2" s="714" t="s">
        <v>986</v>
      </c>
      <c r="V2" s="714" t="s">
        <v>987</v>
      </c>
      <c r="W2" s="714" t="s">
        <v>988</v>
      </c>
      <c r="X2" s="714" t="s">
        <v>989</v>
      </c>
      <c r="Y2" s="714" t="s">
        <v>990</v>
      </c>
      <c r="Z2" s="714" t="s">
        <v>991</v>
      </c>
      <c r="AA2" s="714" t="s">
        <v>992</v>
      </c>
      <c r="AB2" s="714" t="s">
        <v>993</v>
      </c>
      <c r="AC2" s="714" t="s">
        <v>994</v>
      </c>
      <c r="AD2" s="714" t="s">
        <v>995</v>
      </c>
      <c r="AE2" s="714" t="s">
        <v>996</v>
      </c>
      <c r="AF2" s="714" t="s">
        <v>997</v>
      </c>
      <c r="AG2" s="714" t="s">
        <v>998</v>
      </c>
      <c r="AH2" s="714" t="s">
        <v>999</v>
      </c>
      <c r="AI2" s="714" t="s">
        <v>1000</v>
      </c>
      <c r="AJ2" s="714" t="s">
        <v>1001</v>
      </c>
      <c r="AK2" s="714" t="s">
        <v>1002</v>
      </c>
      <c r="AL2" s="714" t="s">
        <v>1003</v>
      </c>
      <c r="AM2" s="714" t="s">
        <v>1004</v>
      </c>
      <c r="AN2" s="714" t="s">
        <v>1005</v>
      </c>
      <c r="AO2" s="714" t="s">
        <v>1006</v>
      </c>
      <c r="AP2" s="714" t="s">
        <v>1007</v>
      </c>
      <c r="AQ2" s="715"/>
    </row>
    <row r="3" spans="1:43" hidden="1" outlineLevel="1">
      <c r="A3" s="713" t="s">
        <v>1008</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row>
    <row r="4" spans="1:43" hidden="1" outlineLevel="1">
      <c r="Q4" s="714" t="str">
        <f ca="1">_xll.ReportDrill('[55]JE Lookup'!B1,,_xll.PairGroup(_xll.Pair(G20:G57,'[55]JE Lookup'!N8),_xll.Pair(AB20:AB57,'[55]JE Lookup'!N7)),"JE Lookup")</f>
        <v>OK!: ReportDrill 'JE Lookup' Formula OK [jAction{}]</v>
      </c>
      <c r="U4" s="714" t="str">
        <f ca="1">_xll.ReportDrill(,"APDrill",_xll.PairGroup(_xll.PairExt(AQ20:AQ57,"H8")),"AP Detail")</f>
        <v>OK!: ReportDrill 'AP Detail' Formula OK [jAction{}]</v>
      </c>
      <c r="Y4" s="714" t="str">
        <f ca="1">_xll.ReportDrill(,"JEStaged_DrillToDetail",_xll.PairGroup(_xll.PairExt(Q19:Q57,"dControlNum",TRUE),_xll.PairExt(AP19:AP57,"dDistrict",TRUE),_xll.PairExt(AO19:AO57,"dApplyMonth",TRUE)),"JE Staged Details")</f>
        <v>OK!: ReportDrill 'JE Staged Details' Formula OK [jAction{}]</v>
      </c>
    </row>
    <row r="5" spans="1:43" hidden="1" outlineLevel="1">
      <c r="B5" s="714" t="str">
        <f ca="1">_xll.ReportRange("JEQuery_WithStaged",B20:AS56,B2:AS2,,_xll.Param(I12,DateTo,IF(M12="","all",M12),M13,M14,M15,P12,P13,P14,P15,EntrieShownLimit,DateFrom,DateTo),TRUE)</f>
        <v>OK!: ReportRange Formula OK [jAction{}]</v>
      </c>
      <c r="Q5" s="714" t="str">
        <f ca="1">_xll.ReportDrill('[55]JE Lookup'!B1,,_xll.PairGroup(_xll.Pair(V20:V57,'[55]JE Lookup'!N8),_xll.Pair(AS20:AS57,'[55]JE Lookup'!N7)),"I/C Originating JE")</f>
        <v>OK!: ReportDrill 'I/C Originating JE' Formula OK [jAction{}]</v>
      </c>
    </row>
    <row r="6" spans="1:43" hidden="1" outlineLevel="1">
      <c r="B6" s="716" t="s">
        <v>1009</v>
      </c>
      <c r="D6" s="714">
        <v>10000</v>
      </c>
    </row>
    <row r="7" spans="1:43" hidden="1" outlineLevel="1">
      <c r="A7" s="713" t="s">
        <v>1010</v>
      </c>
      <c r="B7" s="713"/>
      <c r="C7" s="713"/>
      <c r="D7" s="713"/>
      <c r="E7" s="713"/>
      <c r="F7" s="713"/>
      <c r="G7" s="713"/>
      <c r="H7" s="713"/>
      <c r="I7" s="713"/>
      <c r="J7" s="713"/>
      <c r="K7" s="713"/>
      <c r="L7" s="713"/>
      <c r="M7" s="713"/>
      <c r="N7" s="713"/>
      <c r="O7" s="713"/>
      <c r="P7" s="713"/>
      <c r="Q7" s="713"/>
      <c r="R7" s="713"/>
      <c r="S7" s="713"/>
      <c r="T7" s="713"/>
      <c r="U7" s="713"/>
      <c r="V7" s="713"/>
      <c r="W7" s="713"/>
      <c r="X7" s="713"/>
      <c r="Y7" s="713"/>
      <c r="Z7" s="713"/>
      <c r="AA7" s="713"/>
      <c r="AB7" s="713"/>
      <c r="AC7" s="713"/>
      <c r="AD7" s="713"/>
      <c r="AE7" s="713"/>
      <c r="AF7" s="713"/>
      <c r="AG7" s="713"/>
      <c r="AH7" s="713"/>
      <c r="AI7" s="713"/>
      <c r="AJ7" s="713"/>
      <c r="AK7" s="713"/>
      <c r="AL7" s="713"/>
      <c r="AM7" s="713"/>
      <c r="AN7" s="713"/>
      <c r="AO7" s="713"/>
      <c r="AP7" s="713"/>
      <c r="AQ7" s="713"/>
    </row>
    <row r="8" spans="1:43" hidden="1" outlineLevel="1">
      <c r="B8" s="717" t="s">
        <v>1011</v>
      </c>
      <c r="C8" s="714" t="str">
        <f>IF(DateFrom="",CurrentMonth,DateFrom)</f>
        <v>2015-04</v>
      </c>
      <c r="E8" s="717" t="s">
        <v>1012</v>
      </c>
      <c r="G8" s="714" t="str">
        <f>IF(DateTo="",CurrentMonth,DateTo)</f>
        <v>2016-03</v>
      </c>
      <c r="I8" s="717" t="s">
        <v>1013</v>
      </c>
      <c r="J8" s="718" t="str">
        <f ca="1">TEXT(NOW() - 15,"yyyy-mm")</f>
        <v>2019-05</v>
      </c>
    </row>
    <row r="9" spans="1:43" ht="18" collapsed="1">
      <c r="B9" s="719" t="s">
        <v>1014</v>
      </c>
      <c r="G9" s="720" t="s">
        <v>1015</v>
      </c>
      <c r="P9" s="721"/>
      <c r="U9" s="716"/>
    </row>
    <row r="10" spans="1:43" ht="14.25">
      <c r="B10" s="715" t="s">
        <v>1016</v>
      </c>
      <c r="G10" s="722"/>
      <c r="P10" s="721"/>
      <c r="U10" s="716"/>
    </row>
    <row r="11" spans="1:43">
      <c r="G11" s="723" t="s">
        <v>1017</v>
      </c>
      <c r="H11" s="724"/>
      <c r="I11" s="725"/>
      <c r="L11" s="724" t="s">
        <v>1018</v>
      </c>
      <c r="M11" s="724"/>
      <c r="N11" s="724"/>
      <c r="O11" s="724"/>
      <c r="P11" s="724"/>
      <c r="U11" s="715"/>
    </row>
    <row r="12" spans="1:43" s="716" customFormat="1">
      <c r="H12" s="726" t="s">
        <v>1019</v>
      </c>
      <c r="I12" s="727" t="s">
        <v>1020</v>
      </c>
      <c r="K12" s="728"/>
      <c r="L12" s="716" t="s">
        <v>1021</v>
      </c>
      <c r="M12" s="727" t="s">
        <v>191</v>
      </c>
      <c r="O12" s="726" t="s">
        <v>1022</v>
      </c>
      <c r="P12" s="729"/>
      <c r="Z12" s="714"/>
      <c r="AA12" s="714"/>
      <c r="AB12" s="714"/>
      <c r="AH12" s="714"/>
      <c r="AI12" s="714"/>
      <c r="AJ12" s="714"/>
      <c r="AK12" s="714"/>
      <c r="AL12" s="714"/>
    </row>
    <row r="13" spans="1:43" s="716" customFormat="1">
      <c r="H13" s="726" t="s">
        <v>1023</v>
      </c>
      <c r="I13" s="727" t="s">
        <v>824</v>
      </c>
      <c r="K13" s="728"/>
      <c r="L13" s="716" t="s">
        <v>1024</v>
      </c>
      <c r="M13" s="727" t="s">
        <v>1686</v>
      </c>
      <c r="N13" s="714"/>
      <c r="O13" s="726" t="s">
        <v>1025</v>
      </c>
      <c r="P13" s="730"/>
      <c r="Q13" s="731"/>
      <c r="Z13" s="714"/>
      <c r="AA13" s="714"/>
      <c r="AB13" s="714"/>
      <c r="AH13" s="714"/>
      <c r="AI13" s="714"/>
      <c r="AJ13" s="714"/>
      <c r="AK13" s="714"/>
      <c r="AL13" s="714"/>
    </row>
    <row r="14" spans="1:43">
      <c r="L14" s="716" t="s">
        <v>195</v>
      </c>
      <c r="M14" s="727" t="s">
        <v>194</v>
      </c>
      <c r="O14" s="726" t="s">
        <v>1026</v>
      </c>
      <c r="P14" s="730"/>
      <c r="Q14" s="731"/>
    </row>
    <row r="15" spans="1:43">
      <c r="L15" s="716" t="s">
        <v>1027</v>
      </c>
      <c r="M15" s="727" t="s">
        <v>194</v>
      </c>
      <c r="O15" s="726" t="s">
        <v>1028</v>
      </c>
      <c r="P15" s="732" t="s">
        <v>655</v>
      </c>
    </row>
    <row r="16" spans="1:43">
      <c r="B16" s="733" t="s">
        <v>1029</v>
      </c>
      <c r="C16" s="734"/>
      <c r="D16" s="735">
        <f>SUM(D19:D57)</f>
        <v>5622.12</v>
      </c>
      <c r="E16" s="735">
        <f>SUM(E19:E57)</f>
        <v>0</v>
      </c>
      <c r="F16" s="714" t="s">
        <v>1030</v>
      </c>
      <c r="N16" s="736"/>
      <c r="O16" s="736"/>
      <c r="P16" s="736"/>
      <c r="Q16" s="736"/>
    </row>
    <row r="17" spans="2:45">
      <c r="B17" s="733" t="s">
        <v>1031</v>
      </c>
      <c r="C17" s="734"/>
      <c r="D17" s="737">
        <f>COUNT(D20:D58)</f>
        <v>36</v>
      </c>
      <c r="E17" s="737">
        <f>COUNT(E20:E58)</f>
        <v>36</v>
      </c>
      <c r="F17" s="715" t="s">
        <v>1032</v>
      </c>
      <c r="G17" s="738" t="str">
        <f>""&amp;EntrieShownLimit</f>
        <v>10000</v>
      </c>
    </row>
    <row r="18" spans="2:45">
      <c r="O18" s="739"/>
      <c r="R18" s="740" t="s">
        <v>1033</v>
      </c>
      <c r="S18" s="741"/>
      <c r="T18" s="741"/>
      <c r="U18" s="741"/>
      <c r="V18" s="741"/>
      <c r="W18" s="741"/>
      <c r="X18" s="741"/>
      <c r="Y18" s="741"/>
      <c r="Z18" s="742"/>
      <c r="AA18" s="742"/>
      <c r="AB18" s="742"/>
      <c r="AC18" s="742"/>
      <c r="AD18" s="742"/>
      <c r="AE18" s="742"/>
      <c r="AF18" s="742"/>
      <c r="AG18" s="742"/>
      <c r="AH18" s="742"/>
      <c r="AI18" s="742"/>
      <c r="AJ18" s="742"/>
      <c r="AK18" s="742"/>
      <c r="AL18" s="742"/>
      <c r="AM18" s="742"/>
      <c r="AN18" s="742"/>
      <c r="AO18" s="742"/>
      <c r="AP18" s="742"/>
      <c r="AQ18" s="742"/>
    </row>
    <row r="19" spans="2:45" s="744" customFormat="1" ht="29.25" customHeight="1" thickBot="1">
      <c r="B19" s="697" t="s">
        <v>1034</v>
      </c>
      <c r="C19" s="684" t="s">
        <v>1035</v>
      </c>
      <c r="D19" s="683" t="s">
        <v>1036</v>
      </c>
      <c r="E19" s="683" t="s">
        <v>1037</v>
      </c>
      <c r="F19" s="683" t="s">
        <v>1038</v>
      </c>
      <c r="G19" s="682" t="s">
        <v>1039</v>
      </c>
      <c r="H19" s="697" t="s">
        <v>1040</v>
      </c>
      <c r="I19" s="697" t="s">
        <v>1041</v>
      </c>
      <c r="J19" s="697" t="s">
        <v>975</v>
      </c>
      <c r="K19" s="697" t="s">
        <v>1042</v>
      </c>
      <c r="L19" s="697" t="s">
        <v>1043</v>
      </c>
      <c r="M19" s="697" t="s">
        <v>1044</v>
      </c>
      <c r="N19" s="697" t="s">
        <v>1045</v>
      </c>
      <c r="O19" s="695" t="s">
        <v>1046</v>
      </c>
      <c r="P19" s="697" t="s">
        <v>1047</v>
      </c>
      <c r="Q19" s="697" t="s">
        <v>1048</v>
      </c>
      <c r="R19" s="697" t="s">
        <v>1049</v>
      </c>
      <c r="S19" s="697" t="s">
        <v>1050</v>
      </c>
      <c r="T19" s="697" t="s">
        <v>1051</v>
      </c>
      <c r="U19" s="697" t="s">
        <v>1052</v>
      </c>
      <c r="V19" s="697" t="s">
        <v>1053</v>
      </c>
      <c r="W19" s="697" t="s">
        <v>1054</v>
      </c>
      <c r="X19" s="697" t="s">
        <v>1055</v>
      </c>
      <c r="Y19" s="697" t="s">
        <v>1056</v>
      </c>
      <c r="Z19" s="697" t="s">
        <v>1057</v>
      </c>
      <c r="AA19" s="697" t="s">
        <v>1058</v>
      </c>
      <c r="AB19" s="697" t="s">
        <v>1059</v>
      </c>
      <c r="AC19" s="681" t="s">
        <v>1060</v>
      </c>
      <c r="AD19" s="681" t="s">
        <v>1061</v>
      </c>
      <c r="AE19" s="681" t="s">
        <v>1062</v>
      </c>
      <c r="AF19" s="681" t="s">
        <v>1063</v>
      </c>
      <c r="AG19" s="681" t="s">
        <v>1064</v>
      </c>
      <c r="AH19" s="681" t="s">
        <v>1065</v>
      </c>
      <c r="AI19" s="684" t="s">
        <v>1066</v>
      </c>
      <c r="AJ19" s="684" t="s">
        <v>1067</v>
      </c>
      <c r="AK19" s="684" t="s">
        <v>1068</v>
      </c>
      <c r="AL19" s="684" t="s">
        <v>1069</v>
      </c>
      <c r="AM19" s="684" t="s">
        <v>1070</v>
      </c>
      <c r="AN19" s="684" t="s">
        <v>1005</v>
      </c>
      <c r="AO19" s="743" t="s">
        <v>1071</v>
      </c>
      <c r="AP19" s="743" t="s">
        <v>1072</v>
      </c>
      <c r="AQ19" s="743" t="s">
        <v>1073</v>
      </c>
    </row>
    <row r="20" spans="2:45">
      <c r="B20" s="714" t="s">
        <v>1687</v>
      </c>
      <c r="C20" s="745">
        <v>43251</v>
      </c>
      <c r="D20" s="746">
        <v>-644.37</v>
      </c>
      <c r="E20" s="746">
        <v>0</v>
      </c>
      <c r="F20" s="747" t="s">
        <v>1074</v>
      </c>
      <c r="G20" s="714" t="s">
        <v>1688</v>
      </c>
      <c r="H20" s="748" t="s">
        <v>1075</v>
      </c>
      <c r="I20" s="714" t="s">
        <v>1689</v>
      </c>
      <c r="J20" s="714" t="s">
        <v>1082</v>
      </c>
      <c r="K20" s="714" t="s">
        <v>1078</v>
      </c>
      <c r="L20" s="718"/>
      <c r="M20" s="718"/>
      <c r="N20" s="718" t="s">
        <v>1690</v>
      </c>
      <c r="O20" s="739"/>
      <c r="P20" s="718"/>
      <c r="Q20" s="718"/>
      <c r="U20" s="714" t="s">
        <v>1691</v>
      </c>
      <c r="V20" s="714" t="s">
        <v>1692</v>
      </c>
      <c r="X20" s="745">
        <v>43224</v>
      </c>
      <c r="Y20" s="745">
        <v>43224</v>
      </c>
      <c r="AA20" s="745"/>
      <c r="AB20" s="714" t="s">
        <v>1079</v>
      </c>
      <c r="AC20" s="714">
        <v>0</v>
      </c>
      <c r="AD20" s="714">
        <v>0</v>
      </c>
      <c r="AE20" s="714">
        <v>0</v>
      </c>
      <c r="AF20" s="714">
        <v>0</v>
      </c>
      <c r="AG20" s="714">
        <v>5</v>
      </c>
      <c r="AH20" s="714">
        <v>1</v>
      </c>
      <c r="AI20" s="714">
        <v>70255</v>
      </c>
      <c r="AJ20" s="714">
        <v>2183</v>
      </c>
      <c r="AK20" s="714">
        <v>0</v>
      </c>
      <c r="AL20" s="714">
        <v>0</v>
      </c>
      <c r="AO20" s="748"/>
      <c r="AP20" s="748"/>
      <c r="AQ20" s="714" t="str">
        <f>IF(LEFT(U20,2)="VO",U20,"")</f>
        <v/>
      </c>
      <c r="AS20" s="714" t="str">
        <f>IF(RIGHT(K20,2)="IC",IF(OR(AB20="wci_canada",AB20="wci_can_corp"),"wci_can_Corp","wci_corp"),AB20)</f>
        <v>wci_corp</v>
      </c>
    </row>
    <row r="21" spans="2:45">
      <c r="B21" s="714" t="s">
        <v>1687</v>
      </c>
      <c r="C21" s="745">
        <v>43251</v>
      </c>
      <c r="D21" s="746">
        <v>-275</v>
      </c>
      <c r="E21" s="746">
        <v>0</v>
      </c>
      <c r="F21" s="747" t="s">
        <v>1074</v>
      </c>
      <c r="G21" s="714" t="s">
        <v>1125</v>
      </c>
      <c r="H21" s="748" t="s">
        <v>1075</v>
      </c>
      <c r="I21" s="714" t="s">
        <v>1126</v>
      </c>
      <c r="J21" s="714" t="s">
        <v>1082</v>
      </c>
      <c r="K21" s="714" t="s">
        <v>1078</v>
      </c>
      <c r="L21" s="718"/>
      <c r="M21" s="718"/>
      <c r="N21" s="718" t="s">
        <v>1693</v>
      </c>
      <c r="O21" s="739"/>
      <c r="P21" s="718"/>
      <c r="Q21" s="718"/>
      <c r="U21" s="714" t="s">
        <v>1128</v>
      </c>
      <c r="V21" s="714" t="s">
        <v>1129</v>
      </c>
      <c r="X21" s="745">
        <v>43227</v>
      </c>
      <c r="Y21" s="745">
        <v>43227</v>
      </c>
      <c r="AA21" s="745"/>
      <c r="AB21" s="714" t="s">
        <v>1079</v>
      </c>
      <c r="AC21" s="714">
        <v>0</v>
      </c>
      <c r="AD21" s="714">
        <v>0</v>
      </c>
      <c r="AE21" s="714">
        <v>0</v>
      </c>
      <c r="AF21" s="714">
        <v>0</v>
      </c>
      <c r="AG21" s="714">
        <v>5</v>
      </c>
      <c r="AH21" s="714">
        <v>1</v>
      </c>
      <c r="AI21" s="714">
        <v>70255</v>
      </c>
      <c r="AJ21" s="714">
        <v>2183</v>
      </c>
      <c r="AK21" s="714">
        <v>0</v>
      </c>
      <c r="AL21" s="714">
        <v>0</v>
      </c>
      <c r="AO21" s="748"/>
      <c r="AP21" s="748"/>
      <c r="AQ21" s="714" t="str">
        <f t="shared" ref="AQ21:AQ55" si="0">IF(LEFT(U21,2)="VO",U21,"")</f>
        <v/>
      </c>
      <c r="AS21" s="714" t="str">
        <f t="shared" ref="AS21:AS55" si="1">IF(RIGHT(K21,2)="IC",IF(OR(AB21="wci_canada",AB21="wci_can_corp"),"wci_can_Corp","wci_corp"),AB21)</f>
        <v>wci_corp</v>
      </c>
    </row>
    <row r="22" spans="2:45">
      <c r="B22" s="714" t="s">
        <v>1687</v>
      </c>
      <c r="C22" s="745">
        <v>43251</v>
      </c>
      <c r="D22" s="746">
        <v>412.82</v>
      </c>
      <c r="E22" s="746">
        <v>0</v>
      </c>
      <c r="F22" s="747" t="s">
        <v>1074</v>
      </c>
      <c r="G22" s="714" t="s">
        <v>1694</v>
      </c>
      <c r="H22" s="748" t="s">
        <v>1075</v>
      </c>
      <c r="I22" s="714" t="s">
        <v>1076</v>
      </c>
      <c r="J22" s="714" t="s">
        <v>1118</v>
      </c>
      <c r="K22" s="714" t="s">
        <v>1078</v>
      </c>
      <c r="L22" s="718" t="s">
        <v>1695</v>
      </c>
      <c r="M22" s="718"/>
      <c r="N22" s="718" t="s">
        <v>1696</v>
      </c>
      <c r="O22" s="739">
        <v>43212</v>
      </c>
      <c r="P22" s="718" t="s">
        <v>1697</v>
      </c>
      <c r="Q22" s="718" t="s">
        <v>1698</v>
      </c>
      <c r="R22" s="714" t="s">
        <v>1699</v>
      </c>
      <c r="U22" s="714" t="s">
        <v>1700</v>
      </c>
      <c r="V22" s="714" t="s">
        <v>1701</v>
      </c>
      <c r="W22" s="714">
        <v>2000</v>
      </c>
      <c r="X22" s="745">
        <v>43252</v>
      </c>
      <c r="Y22" s="745">
        <v>43252</v>
      </c>
      <c r="Z22" s="714">
        <v>1784</v>
      </c>
      <c r="AA22" s="745">
        <v>43277</v>
      </c>
      <c r="AB22" s="714" t="s">
        <v>1079</v>
      </c>
      <c r="AC22" s="714">
        <v>0</v>
      </c>
      <c r="AD22" s="714">
        <v>0</v>
      </c>
      <c r="AE22" s="714">
        <v>0</v>
      </c>
      <c r="AF22" s="714">
        <v>0</v>
      </c>
      <c r="AG22" s="714">
        <v>0</v>
      </c>
      <c r="AH22" s="714">
        <v>1</v>
      </c>
      <c r="AI22" s="714">
        <v>70255</v>
      </c>
      <c r="AJ22" s="714">
        <v>2183</v>
      </c>
      <c r="AK22" s="714">
        <v>0</v>
      </c>
      <c r="AL22" s="714">
        <v>0</v>
      </c>
      <c r="AO22" s="748"/>
      <c r="AP22" s="748"/>
      <c r="AQ22" s="714" t="str">
        <f t="shared" si="0"/>
        <v>VO04668693</v>
      </c>
      <c r="AS22" s="714" t="str">
        <f t="shared" si="1"/>
        <v>wci_corp</v>
      </c>
    </row>
    <row r="23" spans="2:45">
      <c r="B23" s="714" t="s">
        <v>1687</v>
      </c>
      <c r="C23" s="745">
        <v>43251</v>
      </c>
      <c r="D23" s="746">
        <v>275</v>
      </c>
      <c r="E23" s="746">
        <v>0</v>
      </c>
      <c r="F23" s="747" t="s">
        <v>1074</v>
      </c>
      <c r="G23" s="714" t="s">
        <v>1135</v>
      </c>
      <c r="H23" s="748" t="s">
        <v>1075</v>
      </c>
      <c r="I23" s="714" t="s">
        <v>1136</v>
      </c>
      <c r="J23" s="714" t="s">
        <v>1092</v>
      </c>
      <c r="K23" s="714" t="s">
        <v>1078</v>
      </c>
      <c r="L23" s="718"/>
      <c r="M23" s="718"/>
      <c r="N23" s="718" t="s">
        <v>1702</v>
      </c>
      <c r="O23" s="739"/>
      <c r="P23" s="718"/>
      <c r="Q23" s="718"/>
      <c r="U23" s="714" t="s">
        <v>1137</v>
      </c>
      <c r="V23" s="714" t="s">
        <v>1137</v>
      </c>
      <c r="X23" s="745">
        <v>43255</v>
      </c>
      <c r="Y23" s="745">
        <v>43255</v>
      </c>
      <c r="AA23" s="745"/>
      <c r="AB23" s="714" t="s">
        <v>1079</v>
      </c>
      <c r="AC23" s="714">
        <v>0</v>
      </c>
      <c r="AD23" s="714">
        <v>0</v>
      </c>
      <c r="AE23" s="714">
        <v>0</v>
      </c>
      <c r="AF23" s="714">
        <v>0</v>
      </c>
      <c r="AG23" s="714">
        <v>0</v>
      </c>
      <c r="AH23" s="714">
        <v>1</v>
      </c>
      <c r="AI23" s="714">
        <v>70255</v>
      </c>
      <c r="AJ23" s="714">
        <v>2183</v>
      </c>
      <c r="AK23" s="714">
        <v>0</v>
      </c>
      <c r="AL23" s="714">
        <v>0</v>
      </c>
      <c r="AO23" s="748"/>
      <c r="AP23" s="748"/>
      <c r="AQ23" s="714" t="str">
        <f t="shared" si="0"/>
        <v/>
      </c>
      <c r="AS23" s="714" t="str">
        <f t="shared" si="1"/>
        <v>wci_corp</v>
      </c>
    </row>
    <row r="24" spans="2:45">
      <c r="B24" s="714" t="s">
        <v>1687</v>
      </c>
      <c r="C24" s="745">
        <v>43251</v>
      </c>
      <c r="D24" s="746">
        <v>1287.79</v>
      </c>
      <c r="E24" s="746">
        <v>0</v>
      </c>
      <c r="F24" s="747" t="s">
        <v>1074</v>
      </c>
      <c r="G24" s="714" t="s">
        <v>1703</v>
      </c>
      <c r="H24" s="748" t="s">
        <v>1075</v>
      </c>
      <c r="I24" s="714" t="s">
        <v>1689</v>
      </c>
      <c r="J24" s="714" t="s">
        <v>1082</v>
      </c>
      <c r="K24" s="714" t="s">
        <v>1078</v>
      </c>
      <c r="L24" s="718"/>
      <c r="M24" s="718"/>
      <c r="N24" s="718" t="s">
        <v>1704</v>
      </c>
      <c r="O24" s="739"/>
      <c r="P24" s="718"/>
      <c r="Q24" s="718"/>
      <c r="U24" s="714" t="s">
        <v>1705</v>
      </c>
      <c r="V24" s="714" t="s">
        <v>1705</v>
      </c>
      <c r="X24" s="745">
        <v>43257</v>
      </c>
      <c r="Y24" s="745">
        <v>43257</v>
      </c>
      <c r="AA24" s="745"/>
      <c r="AB24" s="714" t="s">
        <v>1079</v>
      </c>
      <c r="AC24" s="714">
        <v>0</v>
      </c>
      <c r="AD24" s="714">
        <v>0</v>
      </c>
      <c r="AE24" s="714">
        <v>0</v>
      </c>
      <c r="AF24" s="714">
        <v>0</v>
      </c>
      <c r="AG24" s="714">
        <v>0</v>
      </c>
      <c r="AH24" s="714">
        <v>1</v>
      </c>
      <c r="AI24" s="714">
        <v>70255</v>
      </c>
      <c r="AJ24" s="714">
        <v>2183</v>
      </c>
      <c r="AK24" s="714">
        <v>0</v>
      </c>
      <c r="AL24" s="714">
        <v>0</v>
      </c>
      <c r="AO24" s="748"/>
      <c r="AP24" s="748"/>
      <c r="AQ24" s="714" t="str">
        <f t="shared" si="0"/>
        <v/>
      </c>
      <c r="AS24" s="714" t="str">
        <f t="shared" si="1"/>
        <v>wci_corp</v>
      </c>
    </row>
    <row r="25" spans="2:45">
      <c r="B25" s="714" t="s">
        <v>1687</v>
      </c>
      <c r="C25" s="745">
        <v>43251</v>
      </c>
      <c r="D25" s="746">
        <v>275</v>
      </c>
      <c r="E25" s="746">
        <v>0</v>
      </c>
      <c r="F25" s="747" t="s">
        <v>1074</v>
      </c>
      <c r="G25" s="714" t="s">
        <v>1138</v>
      </c>
      <c r="H25" s="748" t="s">
        <v>1075</v>
      </c>
      <c r="I25" s="714" t="s">
        <v>1126</v>
      </c>
      <c r="J25" s="714" t="s">
        <v>1082</v>
      </c>
      <c r="K25" s="714" t="s">
        <v>1078</v>
      </c>
      <c r="L25" s="718"/>
      <c r="M25" s="718"/>
      <c r="N25" s="718" t="s">
        <v>1693</v>
      </c>
      <c r="O25" s="739"/>
      <c r="P25" s="718"/>
      <c r="Q25" s="718"/>
      <c r="U25" s="714" t="s">
        <v>1140</v>
      </c>
      <c r="V25" s="714" t="s">
        <v>1140</v>
      </c>
      <c r="X25" s="745">
        <v>43257</v>
      </c>
      <c r="Y25" s="745">
        <v>43258</v>
      </c>
      <c r="AA25" s="745"/>
      <c r="AB25" s="714" t="s">
        <v>1079</v>
      </c>
      <c r="AC25" s="714">
        <v>0</v>
      </c>
      <c r="AD25" s="714">
        <v>0</v>
      </c>
      <c r="AE25" s="714">
        <v>0</v>
      </c>
      <c r="AF25" s="714">
        <v>0</v>
      </c>
      <c r="AG25" s="714">
        <v>0</v>
      </c>
      <c r="AH25" s="714">
        <v>1</v>
      </c>
      <c r="AI25" s="714">
        <v>70255</v>
      </c>
      <c r="AJ25" s="714">
        <v>2183</v>
      </c>
      <c r="AK25" s="714">
        <v>0</v>
      </c>
      <c r="AL25" s="714">
        <v>0</v>
      </c>
      <c r="AO25" s="748"/>
      <c r="AP25" s="748"/>
      <c r="AQ25" s="714" t="str">
        <f t="shared" si="0"/>
        <v/>
      </c>
      <c r="AS25" s="714" t="str">
        <f t="shared" si="1"/>
        <v>wci_corp</v>
      </c>
    </row>
    <row r="26" spans="2:45">
      <c r="B26" s="714" t="s">
        <v>1687</v>
      </c>
      <c r="C26" s="745">
        <v>43269</v>
      </c>
      <c r="D26" s="746">
        <v>212.93</v>
      </c>
      <c r="E26" s="746">
        <v>0</v>
      </c>
      <c r="F26" s="747" t="s">
        <v>1074</v>
      </c>
      <c r="G26" s="714" t="s">
        <v>1706</v>
      </c>
      <c r="H26" s="748" t="s">
        <v>1075</v>
      </c>
      <c r="I26" s="714" t="s">
        <v>1076</v>
      </c>
      <c r="J26" s="714" t="s">
        <v>1118</v>
      </c>
      <c r="K26" s="714" t="s">
        <v>1078</v>
      </c>
      <c r="L26" s="718" t="s">
        <v>1707</v>
      </c>
      <c r="M26" s="718"/>
      <c r="N26" s="718" t="s">
        <v>1708</v>
      </c>
      <c r="O26" s="739">
        <v>43259</v>
      </c>
      <c r="P26" s="718" t="s">
        <v>1709</v>
      </c>
      <c r="Q26" s="718">
        <v>20180708</v>
      </c>
      <c r="R26" s="714" t="s">
        <v>1710</v>
      </c>
      <c r="U26" s="714" t="s">
        <v>1711</v>
      </c>
      <c r="V26" s="714" t="s">
        <v>1712</v>
      </c>
      <c r="W26" s="714">
        <v>2111</v>
      </c>
      <c r="X26" s="745">
        <v>43269</v>
      </c>
      <c r="Y26" s="745">
        <v>43269</v>
      </c>
      <c r="Z26" s="714">
        <v>1162.5</v>
      </c>
      <c r="AA26" s="745">
        <v>43324</v>
      </c>
      <c r="AB26" s="714" t="s">
        <v>1079</v>
      </c>
      <c r="AC26" s="714">
        <v>0</v>
      </c>
      <c r="AD26" s="714">
        <v>0</v>
      </c>
      <c r="AE26" s="714">
        <v>0</v>
      </c>
      <c r="AF26" s="714">
        <v>0</v>
      </c>
      <c r="AG26" s="714">
        <v>0</v>
      </c>
      <c r="AH26" s="714">
        <v>1</v>
      </c>
      <c r="AI26" s="714">
        <v>70255</v>
      </c>
      <c r="AJ26" s="714">
        <v>2183</v>
      </c>
      <c r="AK26" s="714">
        <v>0</v>
      </c>
      <c r="AL26" s="714">
        <v>0</v>
      </c>
      <c r="AO26" s="748"/>
      <c r="AP26" s="748"/>
      <c r="AQ26" s="714" t="str">
        <f t="shared" si="0"/>
        <v>VO04683065</v>
      </c>
      <c r="AS26" s="714" t="str">
        <f t="shared" si="1"/>
        <v>wci_corp</v>
      </c>
    </row>
    <row r="27" spans="2:45">
      <c r="B27" s="714" t="s">
        <v>1687</v>
      </c>
      <c r="C27" s="745">
        <v>43281</v>
      </c>
      <c r="D27" s="746">
        <v>-1287.79</v>
      </c>
      <c r="E27" s="746">
        <v>0</v>
      </c>
      <c r="F27" s="747" t="s">
        <v>1074</v>
      </c>
      <c r="G27" s="714" t="s">
        <v>1713</v>
      </c>
      <c r="H27" s="748" t="s">
        <v>1075</v>
      </c>
      <c r="I27" s="714" t="s">
        <v>1689</v>
      </c>
      <c r="J27" s="714" t="s">
        <v>1082</v>
      </c>
      <c r="K27" s="714" t="s">
        <v>1078</v>
      </c>
      <c r="L27" s="718"/>
      <c r="M27" s="718"/>
      <c r="N27" s="718" t="s">
        <v>1704</v>
      </c>
      <c r="O27" s="739"/>
      <c r="P27" s="718"/>
      <c r="Q27" s="718"/>
      <c r="U27" s="714" t="s">
        <v>1705</v>
      </c>
      <c r="V27" s="714" t="s">
        <v>1714</v>
      </c>
      <c r="X27" s="745">
        <v>43257</v>
      </c>
      <c r="Y27" s="745">
        <v>43257</v>
      </c>
      <c r="AA27" s="745"/>
      <c r="AB27" s="714" t="s">
        <v>1079</v>
      </c>
      <c r="AC27" s="714">
        <v>0</v>
      </c>
      <c r="AD27" s="714">
        <v>0</v>
      </c>
      <c r="AE27" s="714">
        <v>0</v>
      </c>
      <c r="AF27" s="714">
        <v>0</v>
      </c>
      <c r="AG27" s="714">
        <v>5</v>
      </c>
      <c r="AH27" s="714">
        <v>1</v>
      </c>
      <c r="AI27" s="714">
        <v>70255</v>
      </c>
      <c r="AJ27" s="714">
        <v>2183</v>
      </c>
      <c r="AK27" s="714">
        <v>0</v>
      </c>
      <c r="AL27" s="714">
        <v>0</v>
      </c>
      <c r="AO27" s="748"/>
      <c r="AP27" s="748"/>
      <c r="AQ27" s="714" t="str">
        <f t="shared" si="0"/>
        <v/>
      </c>
      <c r="AS27" s="714" t="str">
        <f t="shared" si="1"/>
        <v>wci_corp</v>
      </c>
    </row>
    <row r="28" spans="2:45">
      <c r="B28" s="714" t="s">
        <v>1687</v>
      </c>
      <c r="C28" s="745">
        <v>43281</v>
      </c>
      <c r="D28" s="746">
        <v>-275</v>
      </c>
      <c r="E28" s="746">
        <v>0</v>
      </c>
      <c r="F28" s="747" t="s">
        <v>1074</v>
      </c>
      <c r="G28" s="714" t="s">
        <v>1142</v>
      </c>
      <c r="H28" s="748" t="s">
        <v>1075</v>
      </c>
      <c r="I28" s="714" t="s">
        <v>1126</v>
      </c>
      <c r="J28" s="714" t="s">
        <v>1082</v>
      </c>
      <c r="K28" s="714" t="s">
        <v>1078</v>
      </c>
      <c r="L28" s="718"/>
      <c r="M28" s="718"/>
      <c r="N28" s="718" t="s">
        <v>1693</v>
      </c>
      <c r="O28" s="739"/>
      <c r="P28" s="718"/>
      <c r="Q28" s="718"/>
      <c r="U28" s="714" t="s">
        <v>1140</v>
      </c>
      <c r="V28" s="714" t="s">
        <v>1143</v>
      </c>
      <c r="X28" s="745">
        <v>43258</v>
      </c>
      <c r="Y28" s="745">
        <v>43258</v>
      </c>
      <c r="AA28" s="745"/>
      <c r="AB28" s="714" t="s">
        <v>1079</v>
      </c>
      <c r="AC28" s="714">
        <v>0</v>
      </c>
      <c r="AD28" s="714">
        <v>0</v>
      </c>
      <c r="AE28" s="714">
        <v>0</v>
      </c>
      <c r="AF28" s="714">
        <v>0</v>
      </c>
      <c r="AG28" s="714">
        <v>5</v>
      </c>
      <c r="AH28" s="714">
        <v>1</v>
      </c>
      <c r="AI28" s="714">
        <v>70255</v>
      </c>
      <c r="AJ28" s="714">
        <v>2183</v>
      </c>
      <c r="AK28" s="714">
        <v>0</v>
      </c>
      <c r="AL28" s="714">
        <v>0</v>
      </c>
      <c r="AO28" s="748"/>
      <c r="AP28" s="748"/>
      <c r="AQ28" s="714" t="str">
        <f t="shared" si="0"/>
        <v/>
      </c>
      <c r="AS28" s="714" t="str">
        <f t="shared" si="1"/>
        <v>wci_corp</v>
      </c>
    </row>
    <row r="29" spans="2:45">
      <c r="B29" s="714" t="s">
        <v>1687</v>
      </c>
      <c r="C29" s="745">
        <v>43281</v>
      </c>
      <c r="D29" s="746">
        <v>275</v>
      </c>
      <c r="E29" s="746">
        <v>0</v>
      </c>
      <c r="F29" s="747" t="s">
        <v>1074</v>
      </c>
      <c r="G29" s="714" t="s">
        <v>1144</v>
      </c>
      <c r="H29" s="748" t="s">
        <v>1075</v>
      </c>
      <c r="I29" s="714" t="s">
        <v>1145</v>
      </c>
      <c r="J29" s="714" t="s">
        <v>1146</v>
      </c>
      <c r="K29" s="714" t="s">
        <v>1078</v>
      </c>
      <c r="L29" s="718"/>
      <c r="M29" s="718"/>
      <c r="N29" s="718" t="s">
        <v>1715</v>
      </c>
      <c r="O29" s="739"/>
      <c r="P29" s="718"/>
      <c r="Q29" s="718"/>
      <c r="U29" s="714" t="s">
        <v>1148</v>
      </c>
      <c r="V29" s="714" t="s">
        <v>1148</v>
      </c>
      <c r="X29" s="745">
        <v>43284</v>
      </c>
      <c r="Y29" s="745">
        <v>43284</v>
      </c>
      <c r="AA29" s="745"/>
      <c r="AB29" s="714" t="s">
        <v>1079</v>
      </c>
      <c r="AC29" s="714">
        <v>0</v>
      </c>
      <c r="AD29" s="714">
        <v>0</v>
      </c>
      <c r="AE29" s="714">
        <v>0</v>
      </c>
      <c r="AF29" s="714">
        <v>0</v>
      </c>
      <c r="AG29" s="714">
        <v>0</v>
      </c>
      <c r="AH29" s="714">
        <v>1</v>
      </c>
      <c r="AI29" s="714">
        <v>70255</v>
      </c>
      <c r="AJ29" s="714">
        <v>2183</v>
      </c>
      <c r="AK29" s="714">
        <v>0</v>
      </c>
      <c r="AL29" s="714">
        <v>0</v>
      </c>
      <c r="AO29" s="748"/>
      <c r="AP29" s="748"/>
      <c r="AQ29" s="714" t="str">
        <f t="shared" si="0"/>
        <v/>
      </c>
      <c r="AS29" s="714" t="str">
        <f t="shared" si="1"/>
        <v>wci_corp</v>
      </c>
    </row>
    <row r="30" spans="2:45">
      <c r="B30" s="714" t="s">
        <v>1687</v>
      </c>
      <c r="C30" s="745">
        <v>43281</v>
      </c>
      <c r="D30" s="746">
        <v>275</v>
      </c>
      <c r="E30" s="746">
        <v>0</v>
      </c>
      <c r="F30" s="747" t="s">
        <v>1074</v>
      </c>
      <c r="G30" s="714" t="s">
        <v>1144</v>
      </c>
      <c r="H30" s="748" t="s">
        <v>1075</v>
      </c>
      <c r="I30" s="714" t="s">
        <v>1145</v>
      </c>
      <c r="J30" s="714" t="s">
        <v>1146</v>
      </c>
      <c r="K30" s="714" t="s">
        <v>1078</v>
      </c>
      <c r="L30" s="718"/>
      <c r="M30" s="718"/>
      <c r="N30" s="718" t="s">
        <v>1702</v>
      </c>
      <c r="O30" s="739"/>
      <c r="P30" s="718"/>
      <c r="Q30" s="718"/>
      <c r="U30" s="714" t="s">
        <v>1148</v>
      </c>
      <c r="V30" s="714" t="s">
        <v>1148</v>
      </c>
      <c r="X30" s="745">
        <v>43284</v>
      </c>
      <c r="Y30" s="745">
        <v>43284</v>
      </c>
      <c r="AA30" s="745"/>
      <c r="AB30" s="714" t="s">
        <v>1079</v>
      </c>
      <c r="AC30" s="714">
        <v>0</v>
      </c>
      <c r="AD30" s="714">
        <v>0</v>
      </c>
      <c r="AE30" s="714">
        <v>0</v>
      </c>
      <c r="AF30" s="714">
        <v>0</v>
      </c>
      <c r="AG30" s="714">
        <v>0</v>
      </c>
      <c r="AH30" s="714">
        <v>1</v>
      </c>
      <c r="AI30" s="714">
        <v>70255</v>
      </c>
      <c r="AJ30" s="714">
        <v>2183</v>
      </c>
      <c r="AK30" s="714">
        <v>0</v>
      </c>
      <c r="AL30" s="714">
        <v>0</v>
      </c>
      <c r="AO30" s="748"/>
      <c r="AP30" s="748"/>
      <c r="AQ30" s="714" t="str">
        <f t="shared" si="0"/>
        <v/>
      </c>
      <c r="AS30" s="714" t="str">
        <f t="shared" si="1"/>
        <v>wci_corp</v>
      </c>
    </row>
    <row r="31" spans="2:45">
      <c r="B31" s="714" t="s">
        <v>1687</v>
      </c>
      <c r="C31" s="745">
        <v>43281</v>
      </c>
      <c r="D31" s="746">
        <v>305.33999999999997</v>
      </c>
      <c r="E31" s="746">
        <v>0</v>
      </c>
      <c r="F31" s="747" t="s">
        <v>1074</v>
      </c>
      <c r="G31" s="714" t="s">
        <v>1716</v>
      </c>
      <c r="H31" s="748" t="s">
        <v>1075</v>
      </c>
      <c r="I31" s="714" t="s">
        <v>1689</v>
      </c>
      <c r="J31" s="714" t="s">
        <v>1146</v>
      </c>
      <c r="K31" s="714" t="s">
        <v>1078</v>
      </c>
      <c r="L31" s="718"/>
      <c r="M31" s="718"/>
      <c r="N31" s="718" t="s">
        <v>1717</v>
      </c>
      <c r="O31" s="739"/>
      <c r="P31" s="718"/>
      <c r="Q31" s="718"/>
      <c r="U31" s="714" t="s">
        <v>1718</v>
      </c>
      <c r="V31" s="714" t="s">
        <v>1718</v>
      </c>
      <c r="X31" s="745">
        <v>43286</v>
      </c>
      <c r="Y31" s="745">
        <v>43286</v>
      </c>
      <c r="AA31" s="745"/>
      <c r="AB31" s="714" t="s">
        <v>1079</v>
      </c>
      <c r="AC31" s="714">
        <v>0</v>
      </c>
      <c r="AD31" s="714">
        <v>0</v>
      </c>
      <c r="AE31" s="714">
        <v>0</v>
      </c>
      <c r="AF31" s="714">
        <v>0</v>
      </c>
      <c r="AG31" s="714">
        <v>0</v>
      </c>
      <c r="AH31" s="714">
        <v>1</v>
      </c>
      <c r="AI31" s="714">
        <v>70255</v>
      </c>
      <c r="AJ31" s="714">
        <v>2183</v>
      </c>
      <c r="AK31" s="714">
        <v>0</v>
      </c>
      <c r="AL31" s="714">
        <v>0</v>
      </c>
      <c r="AO31" s="748"/>
      <c r="AP31" s="748"/>
      <c r="AQ31" s="714" t="str">
        <f t="shared" si="0"/>
        <v/>
      </c>
      <c r="AS31" s="714" t="str">
        <f t="shared" si="1"/>
        <v>wci_corp</v>
      </c>
    </row>
    <row r="32" spans="2:45">
      <c r="B32" s="714" t="s">
        <v>1687</v>
      </c>
      <c r="C32" s="745">
        <v>43281</v>
      </c>
      <c r="D32" s="746">
        <v>1287.79</v>
      </c>
      <c r="E32" s="746">
        <v>0</v>
      </c>
      <c r="F32" s="747" t="s">
        <v>1074</v>
      </c>
      <c r="G32" s="714" t="s">
        <v>1719</v>
      </c>
      <c r="H32" s="748" t="s">
        <v>1075</v>
      </c>
      <c r="I32" s="714" t="s">
        <v>1720</v>
      </c>
      <c r="J32" s="714" t="s">
        <v>1146</v>
      </c>
      <c r="K32" s="714" t="s">
        <v>1078</v>
      </c>
      <c r="L32" s="718"/>
      <c r="M32" s="718"/>
      <c r="N32" s="718" t="s">
        <v>1721</v>
      </c>
      <c r="O32" s="739"/>
      <c r="P32" s="718"/>
      <c r="Q32" s="718"/>
      <c r="U32" s="714" t="s">
        <v>1722</v>
      </c>
      <c r="V32" s="714" t="s">
        <v>1722</v>
      </c>
      <c r="X32" s="745">
        <v>43286</v>
      </c>
      <c r="Y32" s="745">
        <v>43286</v>
      </c>
      <c r="AA32" s="745"/>
      <c r="AB32" s="714" t="s">
        <v>1079</v>
      </c>
      <c r="AC32" s="714">
        <v>0</v>
      </c>
      <c r="AD32" s="714">
        <v>0</v>
      </c>
      <c r="AE32" s="714">
        <v>0</v>
      </c>
      <c r="AF32" s="714">
        <v>0</v>
      </c>
      <c r="AG32" s="714">
        <v>0</v>
      </c>
      <c r="AH32" s="714">
        <v>1</v>
      </c>
      <c r="AI32" s="714">
        <v>70255</v>
      </c>
      <c r="AJ32" s="714">
        <v>2183</v>
      </c>
      <c r="AK32" s="714">
        <v>0</v>
      </c>
      <c r="AL32" s="714">
        <v>0</v>
      </c>
      <c r="AO32" s="748"/>
      <c r="AP32" s="748"/>
      <c r="AQ32" s="714" t="str">
        <f t="shared" si="0"/>
        <v/>
      </c>
      <c r="AS32" s="714" t="str">
        <f t="shared" si="1"/>
        <v>wci_corp</v>
      </c>
    </row>
    <row r="33" spans="2:45">
      <c r="B33" s="714" t="s">
        <v>1687</v>
      </c>
      <c r="C33" s="745">
        <v>43312</v>
      </c>
      <c r="D33" s="746">
        <v>-305.33999999999997</v>
      </c>
      <c r="E33" s="746">
        <v>0</v>
      </c>
      <c r="F33" s="747" t="s">
        <v>1074</v>
      </c>
      <c r="G33" s="714" t="s">
        <v>1723</v>
      </c>
      <c r="H33" s="748" t="s">
        <v>1075</v>
      </c>
      <c r="I33" s="714" t="s">
        <v>1689</v>
      </c>
      <c r="J33" s="714" t="s">
        <v>1092</v>
      </c>
      <c r="K33" s="714" t="s">
        <v>1078</v>
      </c>
      <c r="L33" s="718"/>
      <c r="M33" s="718"/>
      <c r="N33" s="718" t="s">
        <v>1717</v>
      </c>
      <c r="O33" s="739"/>
      <c r="P33" s="718"/>
      <c r="Q33" s="718"/>
      <c r="U33" s="714" t="s">
        <v>1718</v>
      </c>
      <c r="V33" s="714" t="s">
        <v>1724</v>
      </c>
      <c r="X33" s="745">
        <v>43286</v>
      </c>
      <c r="Y33" s="745">
        <v>43286</v>
      </c>
      <c r="AA33" s="745"/>
      <c r="AB33" s="714" t="s">
        <v>1079</v>
      </c>
      <c r="AC33" s="714">
        <v>0</v>
      </c>
      <c r="AD33" s="714">
        <v>0</v>
      </c>
      <c r="AE33" s="714">
        <v>0</v>
      </c>
      <c r="AF33" s="714">
        <v>0</v>
      </c>
      <c r="AG33" s="714">
        <v>5</v>
      </c>
      <c r="AH33" s="714">
        <v>1</v>
      </c>
      <c r="AI33" s="714">
        <v>70255</v>
      </c>
      <c r="AJ33" s="714">
        <v>2183</v>
      </c>
      <c r="AK33" s="714">
        <v>0</v>
      </c>
      <c r="AL33" s="714">
        <v>0</v>
      </c>
      <c r="AO33" s="748"/>
      <c r="AP33" s="748"/>
      <c r="AQ33" s="714" t="str">
        <f t="shared" si="0"/>
        <v/>
      </c>
      <c r="AS33" s="714" t="str">
        <f t="shared" si="1"/>
        <v>wci_corp</v>
      </c>
    </row>
    <row r="34" spans="2:45">
      <c r="B34" s="714" t="s">
        <v>1687</v>
      </c>
      <c r="C34" s="745">
        <v>43312</v>
      </c>
      <c r="D34" s="746">
        <v>275</v>
      </c>
      <c r="E34" s="746">
        <v>0</v>
      </c>
      <c r="F34" s="747" t="s">
        <v>1074</v>
      </c>
      <c r="G34" s="714" t="s">
        <v>1159</v>
      </c>
      <c r="H34" s="748" t="s">
        <v>1075</v>
      </c>
      <c r="I34" s="714" t="s">
        <v>1160</v>
      </c>
      <c r="J34" s="714" t="s">
        <v>1082</v>
      </c>
      <c r="K34" s="714" t="s">
        <v>1078</v>
      </c>
      <c r="L34" s="718"/>
      <c r="M34" s="718"/>
      <c r="N34" s="718" t="s">
        <v>1702</v>
      </c>
      <c r="O34" s="739"/>
      <c r="P34" s="718"/>
      <c r="Q34" s="718"/>
      <c r="U34" s="714" t="s">
        <v>1161</v>
      </c>
      <c r="V34" s="714" t="s">
        <v>1161</v>
      </c>
      <c r="X34" s="745">
        <v>43314</v>
      </c>
      <c r="Y34" s="745">
        <v>43314</v>
      </c>
      <c r="AA34" s="745"/>
      <c r="AB34" s="714" t="s">
        <v>1079</v>
      </c>
      <c r="AC34" s="714">
        <v>0</v>
      </c>
      <c r="AD34" s="714">
        <v>0</v>
      </c>
      <c r="AE34" s="714">
        <v>0</v>
      </c>
      <c r="AF34" s="714">
        <v>0</v>
      </c>
      <c r="AG34" s="714">
        <v>0</v>
      </c>
      <c r="AH34" s="714">
        <v>1</v>
      </c>
      <c r="AI34" s="714">
        <v>70255</v>
      </c>
      <c r="AJ34" s="714">
        <v>2183</v>
      </c>
      <c r="AK34" s="714">
        <v>0</v>
      </c>
      <c r="AL34" s="714">
        <v>0</v>
      </c>
      <c r="AO34" s="748"/>
      <c r="AP34" s="748"/>
      <c r="AQ34" s="714" t="str">
        <f t="shared" si="0"/>
        <v/>
      </c>
      <c r="AS34" s="714" t="str">
        <f t="shared" si="1"/>
        <v>wci_corp</v>
      </c>
    </row>
    <row r="35" spans="2:45">
      <c r="B35" s="714" t="s">
        <v>1687</v>
      </c>
      <c r="C35" s="745">
        <v>43312</v>
      </c>
      <c r="D35" s="746">
        <v>240</v>
      </c>
      <c r="E35" s="746">
        <v>0</v>
      </c>
      <c r="F35" s="747" t="s">
        <v>1074</v>
      </c>
      <c r="G35" s="714" t="s">
        <v>1725</v>
      </c>
      <c r="H35" s="748" t="s">
        <v>1075</v>
      </c>
      <c r="I35" s="714" t="s">
        <v>1726</v>
      </c>
      <c r="J35" s="714" t="s">
        <v>1082</v>
      </c>
      <c r="K35" s="714" t="s">
        <v>1078</v>
      </c>
      <c r="L35" s="718"/>
      <c r="M35" s="718"/>
      <c r="N35" s="718" t="s">
        <v>1727</v>
      </c>
      <c r="O35" s="739"/>
      <c r="P35" s="718"/>
      <c r="Q35" s="718"/>
      <c r="U35" s="714" t="s">
        <v>1728</v>
      </c>
      <c r="V35" s="714" t="s">
        <v>1728</v>
      </c>
      <c r="X35" s="745">
        <v>43314</v>
      </c>
      <c r="Y35" s="745">
        <v>43314</v>
      </c>
      <c r="AA35" s="745"/>
      <c r="AB35" s="714" t="s">
        <v>1079</v>
      </c>
      <c r="AC35" s="714">
        <v>0</v>
      </c>
      <c r="AD35" s="714">
        <v>0</v>
      </c>
      <c r="AE35" s="714">
        <v>0</v>
      </c>
      <c r="AF35" s="714">
        <v>0</v>
      </c>
      <c r="AG35" s="714">
        <v>0</v>
      </c>
      <c r="AH35" s="714">
        <v>1</v>
      </c>
      <c r="AI35" s="714">
        <v>70255</v>
      </c>
      <c r="AJ35" s="714">
        <v>2183</v>
      </c>
      <c r="AK35" s="714">
        <v>0</v>
      </c>
      <c r="AL35" s="714">
        <v>0</v>
      </c>
      <c r="AO35" s="748"/>
      <c r="AP35" s="748"/>
      <c r="AQ35" s="714" t="str">
        <f t="shared" si="0"/>
        <v/>
      </c>
      <c r="AS35" s="714" t="str">
        <f t="shared" si="1"/>
        <v>wci_corp</v>
      </c>
    </row>
    <row r="36" spans="2:45">
      <c r="B36" s="714" t="s">
        <v>1687</v>
      </c>
      <c r="C36" s="745">
        <v>43312</v>
      </c>
      <c r="D36" s="746">
        <v>25.68</v>
      </c>
      <c r="E36" s="746">
        <v>0</v>
      </c>
      <c r="F36" s="747" t="s">
        <v>1074</v>
      </c>
      <c r="G36" s="714" t="s">
        <v>1729</v>
      </c>
      <c r="H36" s="748" t="s">
        <v>1075</v>
      </c>
      <c r="I36" s="714" t="s">
        <v>1689</v>
      </c>
      <c r="J36" s="714" t="s">
        <v>1082</v>
      </c>
      <c r="K36" s="714" t="s">
        <v>1078</v>
      </c>
      <c r="L36" s="718"/>
      <c r="M36" s="718"/>
      <c r="N36" s="718" t="s">
        <v>1730</v>
      </c>
      <c r="O36" s="739"/>
      <c r="P36" s="718"/>
      <c r="Q36" s="718"/>
      <c r="U36" s="714" t="s">
        <v>1731</v>
      </c>
      <c r="V36" s="714" t="s">
        <v>1731</v>
      </c>
      <c r="X36" s="745">
        <v>43318</v>
      </c>
      <c r="Y36" s="745">
        <v>43319</v>
      </c>
      <c r="AA36" s="745"/>
      <c r="AB36" s="714" t="s">
        <v>1079</v>
      </c>
      <c r="AC36" s="714">
        <v>0</v>
      </c>
      <c r="AD36" s="714">
        <v>0</v>
      </c>
      <c r="AE36" s="714">
        <v>0</v>
      </c>
      <c r="AF36" s="714">
        <v>0</v>
      </c>
      <c r="AG36" s="714">
        <v>0</v>
      </c>
      <c r="AH36" s="714">
        <v>1</v>
      </c>
      <c r="AI36" s="714">
        <v>70255</v>
      </c>
      <c r="AJ36" s="714">
        <v>2183</v>
      </c>
      <c r="AK36" s="714">
        <v>0</v>
      </c>
      <c r="AL36" s="714">
        <v>0</v>
      </c>
      <c r="AO36" s="748"/>
      <c r="AP36" s="748"/>
      <c r="AQ36" s="714" t="str">
        <f t="shared" si="0"/>
        <v/>
      </c>
      <c r="AS36" s="714" t="str">
        <f t="shared" si="1"/>
        <v>wci_corp</v>
      </c>
    </row>
    <row r="37" spans="2:45">
      <c r="B37" s="714" t="s">
        <v>1687</v>
      </c>
      <c r="C37" s="745">
        <v>43312</v>
      </c>
      <c r="D37" s="746">
        <v>305.33999999999997</v>
      </c>
      <c r="E37" s="746">
        <v>0</v>
      </c>
      <c r="F37" s="747" t="s">
        <v>1074</v>
      </c>
      <c r="G37" s="714" t="s">
        <v>1732</v>
      </c>
      <c r="H37" s="748" t="s">
        <v>1075</v>
      </c>
      <c r="I37" s="714" t="s">
        <v>1720</v>
      </c>
      <c r="J37" s="714" t="s">
        <v>1082</v>
      </c>
      <c r="K37" s="714" t="s">
        <v>1078</v>
      </c>
      <c r="L37" s="718"/>
      <c r="M37" s="718"/>
      <c r="N37" s="718" t="s">
        <v>1721</v>
      </c>
      <c r="O37" s="739"/>
      <c r="P37" s="718"/>
      <c r="Q37" s="718"/>
      <c r="U37" s="714" t="s">
        <v>1733</v>
      </c>
      <c r="V37" s="714" t="s">
        <v>1733</v>
      </c>
      <c r="X37" s="745">
        <v>43318</v>
      </c>
      <c r="Y37" s="745">
        <v>43319</v>
      </c>
      <c r="AA37" s="745"/>
      <c r="AB37" s="714" t="s">
        <v>1079</v>
      </c>
      <c r="AC37" s="714">
        <v>0</v>
      </c>
      <c r="AD37" s="714">
        <v>0</v>
      </c>
      <c r="AE37" s="714">
        <v>0</v>
      </c>
      <c r="AF37" s="714">
        <v>0</v>
      </c>
      <c r="AG37" s="714">
        <v>0</v>
      </c>
      <c r="AH37" s="714">
        <v>1</v>
      </c>
      <c r="AI37" s="714">
        <v>70255</v>
      </c>
      <c r="AJ37" s="714">
        <v>2183</v>
      </c>
      <c r="AK37" s="714">
        <v>0</v>
      </c>
      <c r="AL37" s="714">
        <v>0</v>
      </c>
      <c r="AO37" s="748"/>
      <c r="AP37" s="748"/>
      <c r="AQ37" s="714" t="str">
        <f t="shared" si="0"/>
        <v/>
      </c>
      <c r="AS37" s="714" t="str">
        <f t="shared" si="1"/>
        <v>wci_corp</v>
      </c>
    </row>
    <row r="38" spans="2:45">
      <c r="B38" s="714" t="s">
        <v>1687</v>
      </c>
      <c r="C38" s="745">
        <v>43343</v>
      </c>
      <c r="D38" s="746">
        <v>-25.68</v>
      </c>
      <c r="E38" s="746">
        <v>0</v>
      </c>
      <c r="F38" s="747" t="s">
        <v>1074</v>
      </c>
      <c r="G38" s="714" t="s">
        <v>1734</v>
      </c>
      <c r="H38" s="748" t="s">
        <v>1075</v>
      </c>
      <c r="I38" s="714" t="s">
        <v>1689</v>
      </c>
      <c r="J38" s="714" t="s">
        <v>1092</v>
      </c>
      <c r="K38" s="714" t="s">
        <v>1078</v>
      </c>
      <c r="L38" s="718"/>
      <c r="M38" s="718"/>
      <c r="N38" s="718" t="s">
        <v>1730</v>
      </c>
      <c r="O38" s="739"/>
      <c r="P38" s="718"/>
      <c r="Q38" s="718"/>
      <c r="U38" s="714" t="s">
        <v>1731</v>
      </c>
      <c r="V38" s="714" t="s">
        <v>1735</v>
      </c>
      <c r="X38" s="745">
        <v>43319</v>
      </c>
      <c r="Y38" s="745">
        <v>43319</v>
      </c>
      <c r="AA38" s="745"/>
      <c r="AB38" s="714" t="s">
        <v>1079</v>
      </c>
      <c r="AC38" s="714">
        <v>0</v>
      </c>
      <c r="AD38" s="714">
        <v>0</v>
      </c>
      <c r="AE38" s="714">
        <v>0</v>
      </c>
      <c r="AF38" s="714">
        <v>0</v>
      </c>
      <c r="AG38" s="714">
        <v>5</v>
      </c>
      <c r="AH38" s="714">
        <v>1</v>
      </c>
      <c r="AI38" s="714">
        <v>70255</v>
      </c>
      <c r="AJ38" s="714">
        <v>2183</v>
      </c>
      <c r="AK38" s="714">
        <v>0</v>
      </c>
      <c r="AL38" s="714">
        <v>0</v>
      </c>
      <c r="AO38" s="748"/>
      <c r="AP38" s="748"/>
      <c r="AQ38" s="714" t="str">
        <f t="shared" si="0"/>
        <v/>
      </c>
      <c r="AS38" s="714" t="str">
        <f t="shared" si="1"/>
        <v>wci_corp</v>
      </c>
    </row>
    <row r="39" spans="2:45">
      <c r="B39" s="714" t="s">
        <v>1687</v>
      </c>
      <c r="C39" s="745">
        <v>43343</v>
      </c>
      <c r="D39" s="746">
        <v>275</v>
      </c>
      <c r="E39" s="746">
        <v>0</v>
      </c>
      <c r="F39" s="747" t="s">
        <v>1074</v>
      </c>
      <c r="G39" s="714" t="s">
        <v>1168</v>
      </c>
      <c r="H39" s="748" t="s">
        <v>1075</v>
      </c>
      <c r="I39" s="714" t="s">
        <v>1169</v>
      </c>
      <c r="J39" s="714" t="s">
        <v>1092</v>
      </c>
      <c r="K39" s="714" t="s">
        <v>1078</v>
      </c>
      <c r="L39" s="718"/>
      <c r="M39" s="718"/>
      <c r="N39" s="718" t="s">
        <v>1702</v>
      </c>
      <c r="O39" s="739"/>
      <c r="P39" s="718"/>
      <c r="Q39" s="718"/>
      <c r="U39" s="714" t="s">
        <v>1170</v>
      </c>
      <c r="V39" s="714" t="s">
        <v>1170</v>
      </c>
      <c r="X39" s="745">
        <v>43348</v>
      </c>
      <c r="Y39" s="745">
        <v>43348</v>
      </c>
      <c r="AA39" s="745"/>
      <c r="AB39" s="714" t="s">
        <v>1079</v>
      </c>
      <c r="AC39" s="714">
        <v>0</v>
      </c>
      <c r="AD39" s="714">
        <v>0</v>
      </c>
      <c r="AE39" s="714">
        <v>0</v>
      </c>
      <c r="AF39" s="714">
        <v>0</v>
      </c>
      <c r="AG39" s="714">
        <v>0</v>
      </c>
      <c r="AH39" s="714">
        <v>1</v>
      </c>
      <c r="AI39" s="714">
        <v>70255</v>
      </c>
      <c r="AJ39" s="714">
        <v>2183</v>
      </c>
      <c r="AK39" s="714">
        <v>0</v>
      </c>
      <c r="AL39" s="714">
        <v>0</v>
      </c>
      <c r="AO39" s="748"/>
      <c r="AP39" s="748"/>
      <c r="AQ39" s="714" t="str">
        <f t="shared" si="0"/>
        <v/>
      </c>
      <c r="AS39" s="714" t="str">
        <f t="shared" si="1"/>
        <v>wci_corp</v>
      </c>
    </row>
    <row r="40" spans="2:45">
      <c r="B40" s="714" t="s">
        <v>1687</v>
      </c>
      <c r="C40" s="745">
        <v>43343</v>
      </c>
      <c r="D40" s="746">
        <v>25.68</v>
      </c>
      <c r="E40" s="746">
        <v>0</v>
      </c>
      <c r="F40" s="747" t="s">
        <v>1074</v>
      </c>
      <c r="G40" s="714" t="s">
        <v>1736</v>
      </c>
      <c r="H40" s="748" t="s">
        <v>1075</v>
      </c>
      <c r="I40" s="714" t="s">
        <v>1720</v>
      </c>
      <c r="J40" s="714" t="s">
        <v>1082</v>
      </c>
      <c r="K40" s="714" t="s">
        <v>1078</v>
      </c>
      <c r="L40" s="718"/>
      <c r="M40" s="718"/>
      <c r="N40" s="718" t="s">
        <v>1721</v>
      </c>
      <c r="O40" s="739"/>
      <c r="P40" s="718"/>
      <c r="Q40" s="718"/>
      <c r="U40" s="714" t="s">
        <v>1737</v>
      </c>
      <c r="V40" s="714" t="s">
        <v>1737</v>
      </c>
      <c r="X40" s="745">
        <v>43350</v>
      </c>
      <c r="Y40" s="745">
        <v>43353</v>
      </c>
      <c r="AA40" s="745"/>
      <c r="AB40" s="714" t="s">
        <v>1079</v>
      </c>
      <c r="AC40" s="714">
        <v>0</v>
      </c>
      <c r="AD40" s="714">
        <v>0</v>
      </c>
      <c r="AE40" s="714">
        <v>0</v>
      </c>
      <c r="AF40" s="714">
        <v>0</v>
      </c>
      <c r="AG40" s="714">
        <v>0</v>
      </c>
      <c r="AH40" s="714">
        <v>1</v>
      </c>
      <c r="AI40" s="714">
        <v>70255</v>
      </c>
      <c r="AJ40" s="714">
        <v>2183</v>
      </c>
      <c r="AK40" s="714">
        <v>0</v>
      </c>
      <c r="AL40" s="714">
        <v>0</v>
      </c>
      <c r="AO40" s="748"/>
      <c r="AP40" s="748"/>
      <c r="AQ40" s="714" t="str">
        <f t="shared" si="0"/>
        <v/>
      </c>
      <c r="AS40" s="714" t="str">
        <f t="shared" si="1"/>
        <v>wci_corp</v>
      </c>
    </row>
    <row r="41" spans="2:45">
      <c r="B41" s="714" t="s">
        <v>1687</v>
      </c>
      <c r="C41" s="745">
        <v>43343</v>
      </c>
      <c r="D41" s="746">
        <v>84.01</v>
      </c>
      <c r="E41" s="746">
        <v>0</v>
      </c>
      <c r="F41" s="747" t="s">
        <v>1074</v>
      </c>
      <c r="G41" s="714" t="s">
        <v>1738</v>
      </c>
      <c r="H41" s="748" t="s">
        <v>1075</v>
      </c>
      <c r="I41" s="714" t="s">
        <v>1689</v>
      </c>
      <c r="J41" s="714" t="s">
        <v>1082</v>
      </c>
      <c r="K41" s="714" t="s">
        <v>1078</v>
      </c>
      <c r="L41" s="718"/>
      <c r="M41" s="718"/>
      <c r="N41" s="718" t="s">
        <v>1739</v>
      </c>
      <c r="O41" s="739"/>
      <c r="P41" s="718"/>
      <c r="Q41" s="718"/>
      <c r="U41" s="714" t="s">
        <v>1740</v>
      </c>
      <c r="V41" s="714" t="s">
        <v>1740</v>
      </c>
      <c r="X41" s="745">
        <v>43350</v>
      </c>
      <c r="Y41" s="745">
        <v>43353</v>
      </c>
      <c r="AA41" s="745"/>
      <c r="AB41" s="714" t="s">
        <v>1079</v>
      </c>
      <c r="AC41" s="714">
        <v>0</v>
      </c>
      <c r="AD41" s="714">
        <v>0</v>
      </c>
      <c r="AE41" s="714">
        <v>0</v>
      </c>
      <c r="AF41" s="714">
        <v>0</v>
      </c>
      <c r="AG41" s="714">
        <v>0</v>
      </c>
      <c r="AH41" s="714">
        <v>1</v>
      </c>
      <c r="AI41" s="714">
        <v>70255</v>
      </c>
      <c r="AJ41" s="714">
        <v>2183</v>
      </c>
      <c r="AK41" s="714">
        <v>0</v>
      </c>
      <c r="AL41" s="714">
        <v>0</v>
      </c>
      <c r="AO41" s="748"/>
      <c r="AP41" s="748"/>
      <c r="AQ41" s="714" t="str">
        <f t="shared" si="0"/>
        <v/>
      </c>
      <c r="AS41" s="714" t="str">
        <f t="shared" si="1"/>
        <v>wci_corp</v>
      </c>
    </row>
    <row r="42" spans="2:45">
      <c r="B42" s="714" t="s">
        <v>1687</v>
      </c>
      <c r="C42" s="745">
        <v>43373</v>
      </c>
      <c r="D42" s="746">
        <v>-84.01</v>
      </c>
      <c r="E42" s="746">
        <v>0</v>
      </c>
      <c r="F42" s="747" t="s">
        <v>1074</v>
      </c>
      <c r="G42" s="714" t="s">
        <v>1741</v>
      </c>
      <c r="H42" s="748" t="s">
        <v>1075</v>
      </c>
      <c r="I42" s="714" t="s">
        <v>1689</v>
      </c>
      <c r="J42" s="714" t="s">
        <v>1082</v>
      </c>
      <c r="K42" s="714" t="s">
        <v>1078</v>
      </c>
      <c r="L42" s="718"/>
      <c r="M42" s="718"/>
      <c r="N42" s="718" t="s">
        <v>1739</v>
      </c>
      <c r="O42" s="739"/>
      <c r="P42" s="718"/>
      <c r="Q42" s="718"/>
      <c r="U42" s="714" t="s">
        <v>1740</v>
      </c>
      <c r="V42" s="714" t="s">
        <v>1742</v>
      </c>
      <c r="X42" s="745">
        <v>43353</v>
      </c>
      <c r="Y42" s="745">
        <v>43353</v>
      </c>
      <c r="AA42" s="745"/>
      <c r="AB42" s="714" t="s">
        <v>1079</v>
      </c>
      <c r="AC42" s="714">
        <v>0</v>
      </c>
      <c r="AD42" s="714">
        <v>0</v>
      </c>
      <c r="AE42" s="714">
        <v>0</v>
      </c>
      <c r="AF42" s="714">
        <v>0</v>
      </c>
      <c r="AG42" s="714">
        <v>5</v>
      </c>
      <c r="AH42" s="714">
        <v>1</v>
      </c>
      <c r="AI42" s="714">
        <v>70255</v>
      </c>
      <c r="AJ42" s="714">
        <v>2183</v>
      </c>
      <c r="AK42" s="714">
        <v>0</v>
      </c>
      <c r="AL42" s="714">
        <v>0</v>
      </c>
      <c r="AO42" s="748"/>
      <c r="AP42" s="748"/>
      <c r="AQ42" s="714" t="str">
        <f t="shared" si="0"/>
        <v/>
      </c>
      <c r="AS42" s="714" t="str">
        <f t="shared" si="1"/>
        <v>wci_corp</v>
      </c>
    </row>
    <row r="43" spans="2:45">
      <c r="B43" s="714" t="s">
        <v>1687</v>
      </c>
      <c r="C43" s="745">
        <v>43373</v>
      </c>
      <c r="D43" s="746">
        <v>275</v>
      </c>
      <c r="E43" s="746">
        <v>0</v>
      </c>
      <c r="F43" s="747" t="s">
        <v>1074</v>
      </c>
      <c r="G43" s="714" t="s">
        <v>1177</v>
      </c>
      <c r="H43" s="748" t="s">
        <v>1075</v>
      </c>
      <c r="I43" s="714" t="s">
        <v>1178</v>
      </c>
      <c r="J43" s="714" t="s">
        <v>1082</v>
      </c>
      <c r="K43" s="714" t="s">
        <v>1078</v>
      </c>
      <c r="L43" s="718"/>
      <c r="M43" s="718"/>
      <c r="N43" s="718" t="s">
        <v>1702</v>
      </c>
      <c r="O43" s="739"/>
      <c r="P43" s="718"/>
      <c r="Q43" s="718"/>
      <c r="U43" s="714" t="s">
        <v>1179</v>
      </c>
      <c r="V43" s="714" t="s">
        <v>1179</v>
      </c>
      <c r="X43" s="745">
        <v>43375</v>
      </c>
      <c r="Y43" s="745">
        <v>43375</v>
      </c>
      <c r="AA43" s="745"/>
      <c r="AB43" s="714" t="s">
        <v>1079</v>
      </c>
      <c r="AC43" s="714">
        <v>0</v>
      </c>
      <c r="AD43" s="714">
        <v>0</v>
      </c>
      <c r="AE43" s="714">
        <v>0</v>
      </c>
      <c r="AF43" s="714">
        <v>0</v>
      </c>
      <c r="AG43" s="714">
        <v>0</v>
      </c>
      <c r="AH43" s="714">
        <v>1</v>
      </c>
      <c r="AI43" s="714">
        <v>70255</v>
      </c>
      <c r="AJ43" s="714">
        <v>2183</v>
      </c>
      <c r="AK43" s="714">
        <v>0</v>
      </c>
      <c r="AL43" s="714">
        <v>0</v>
      </c>
      <c r="AO43" s="748"/>
      <c r="AP43" s="748"/>
      <c r="AQ43" s="714" t="str">
        <f t="shared" si="0"/>
        <v/>
      </c>
      <c r="AS43" s="714" t="str">
        <f t="shared" si="1"/>
        <v>wci_corp</v>
      </c>
    </row>
    <row r="44" spans="2:45">
      <c r="B44" s="714" t="s">
        <v>1687</v>
      </c>
      <c r="C44" s="745">
        <v>43373</v>
      </c>
      <c r="D44" s="746">
        <v>161.19</v>
      </c>
      <c r="E44" s="746">
        <v>0</v>
      </c>
      <c r="F44" s="747" t="s">
        <v>1074</v>
      </c>
      <c r="G44" s="714" t="s">
        <v>1743</v>
      </c>
      <c r="H44" s="748" t="s">
        <v>1075</v>
      </c>
      <c r="I44" s="714" t="s">
        <v>1720</v>
      </c>
      <c r="J44" s="714" t="s">
        <v>1082</v>
      </c>
      <c r="K44" s="714" t="s">
        <v>1078</v>
      </c>
      <c r="L44" s="718"/>
      <c r="M44" s="718"/>
      <c r="N44" s="718" t="s">
        <v>1721</v>
      </c>
      <c r="O44" s="739"/>
      <c r="P44" s="718"/>
      <c r="Q44" s="718"/>
      <c r="U44" s="714" t="s">
        <v>1744</v>
      </c>
      <c r="V44" s="714" t="s">
        <v>1744</v>
      </c>
      <c r="X44" s="745">
        <v>43376</v>
      </c>
      <c r="Y44" s="745">
        <v>43377</v>
      </c>
      <c r="AA44" s="745"/>
      <c r="AB44" s="714" t="s">
        <v>1079</v>
      </c>
      <c r="AC44" s="714">
        <v>0</v>
      </c>
      <c r="AD44" s="714">
        <v>0</v>
      </c>
      <c r="AE44" s="714">
        <v>0</v>
      </c>
      <c r="AF44" s="714">
        <v>0</v>
      </c>
      <c r="AG44" s="714">
        <v>0</v>
      </c>
      <c r="AH44" s="714">
        <v>1</v>
      </c>
      <c r="AI44" s="714">
        <v>70255</v>
      </c>
      <c r="AJ44" s="714">
        <v>2183</v>
      </c>
      <c r="AK44" s="714">
        <v>0</v>
      </c>
      <c r="AL44" s="714">
        <v>0</v>
      </c>
      <c r="AO44" s="748"/>
      <c r="AP44" s="748"/>
      <c r="AQ44" s="714" t="str">
        <f t="shared" si="0"/>
        <v/>
      </c>
      <c r="AS44" s="714" t="str">
        <f t="shared" si="1"/>
        <v>wci_corp</v>
      </c>
    </row>
    <row r="45" spans="2:45">
      <c r="B45" s="714" t="s">
        <v>1687</v>
      </c>
      <c r="C45" s="745">
        <v>43373</v>
      </c>
      <c r="D45" s="746">
        <v>28.9</v>
      </c>
      <c r="E45" s="746">
        <v>0</v>
      </c>
      <c r="F45" s="747" t="s">
        <v>1074</v>
      </c>
      <c r="G45" s="714" t="s">
        <v>1745</v>
      </c>
      <c r="H45" s="748" t="s">
        <v>1075</v>
      </c>
      <c r="I45" s="714" t="s">
        <v>1689</v>
      </c>
      <c r="J45" s="714" t="s">
        <v>1092</v>
      </c>
      <c r="K45" s="714" t="s">
        <v>1078</v>
      </c>
      <c r="L45" s="718"/>
      <c r="M45" s="718"/>
      <c r="N45" s="718" t="s">
        <v>1746</v>
      </c>
      <c r="O45" s="739"/>
      <c r="P45" s="718"/>
      <c r="Q45" s="718"/>
      <c r="U45" s="714" t="s">
        <v>1747</v>
      </c>
      <c r="V45" s="714" t="s">
        <v>1747</v>
      </c>
      <c r="X45" s="745">
        <v>43377</v>
      </c>
      <c r="Y45" s="745">
        <v>43377</v>
      </c>
      <c r="AA45" s="745"/>
      <c r="AB45" s="714" t="s">
        <v>1079</v>
      </c>
      <c r="AC45" s="714">
        <v>0</v>
      </c>
      <c r="AD45" s="714">
        <v>0</v>
      </c>
      <c r="AE45" s="714">
        <v>0</v>
      </c>
      <c r="AF45" s="714">
        <v>0</v>
      </c>
      <c r="AG45" s="714">
        <v>0</v>
      </c>
      <c r="AH45" s="714">
        <v>1</v>
      </c>
      <c r="AI45" s="714">
        <v>70255</v>
      </c>
      <c r="AJ45" s="714">
        <v>2183</v>
      </c>
      <c r="AK45" s="714">
        <v>0</v>
      </c>
      <c r="AL45" s="714">
        <v>0</v>
      </c>
      <c r="AO45" s="748"/>
      <c r="AP45" s="748"/>
      <c r="AQ45" s="714" t="str">
        <f t="shared" si="0"/>
        <v/>
      </c>
      <c r="AS45" s="714" t="str">
        <f t="shared" si="1"/>
        <v>wci_corp</v>
      </c>
    </row>
    <row r="46" spans="2:45">
      <c r="B46" s="714" t="s">
        <v>1687</v>
      </c>
      <c r="C46" s="745">
        <v>43404</v>
      </c>
      <c r="D46" s="746">
        <v>275</v>
      </c>
      <c r="E46" s="746">
        <v>0</v>
      </c>
      <c r="F46" s="747" t="s">
        <v>1074</v>
      </c>
      <c r="H46" s="748" t="s">
        <v>1183</v>
      </c>
      <c r="I46" s="714" t="s">
        <v>1184</v>
      </c>
      <c r="J46" s="714" t="s">
        <v>1185</v>
      </c>
      <c r="L46" s="718"/>
      <c r="M46" s="718"/>
      <c r="N46" s="718" t="s">
        <v>1702</v>
      </c>
      <c r="O46" s="739"/>
      <c r="P46" s="718"/>
      <c r="Q46" s="718" t="s">
        <v>1186</v>
      </c>
      <c r="X46" s="745">
        <v>43406</v>
      </c>
      <c r="Y46" s="745"/>
      <c r="AA46" s="745"/>
      <c r="AC46" s="714">
        <v>0</v>
      </c>
      <c r="AI46" s="714">
        <v>70255</v>
      </c>
      <c r="AJ46" s="714">
        <v>2183</v>
      </c>
      <c r="AK46" s="714">
        <v>0</v>
      </c>
      <c r="AL46" s="714">
        <v>0</v>
      </c>
      <c r="AN46" s="714" t="s">
        <v>1748</v>
      </c>
      <c r="AO46" s="748">
        <v>2018010</v>
      </c>
      <c r="AP46" s="748">
        <v>2000</v>
      </c>
      <c r="AQ46" s="714" t="str">
        <f t="shared" si="0"/>
        <v/>
      </c>
      <c r="AS46" s="714">
        <f t="shared" si="1"/>
        <v>0</v>
      </c>
    </row>
    <row r="47" spans="2:45">
      <c r="B47" s="714" t="s">
        <v>1687</v>
      </c>
      <c r="C47" s="745">
        <v>43404</v>
      </c>
      <c r="D47" s="746">
        <v>-28.9</v>
      </c>
      <c r="E47" s="746">
        <v>0</v>
      </c>
      <c r="F47" s="747" t="s">
        <v>1074</v>
      </c>
      <c r="G47" s="714" t="s">
        <v>1749</v>
      </c>
      <c r="H47" s="748" t="s">
        <v>1075</v>
      </c>
      <c r="I47" s="714" t="s">
        <v>1689</v>
      </c>
      <c r="J47" s="714" t="s">
        <v>1092</v>
      </c>
      <c r="K47" s="714" t="s">
        <v>1078</v>
      </c>
      <c r="L47" s="718"/>
      <c r="M47" s="718"/>
      <c r="N47" s="718" t="s">
        <v>1746</v>
      </c>
      <c r="O47" s="739"/>
      <c r="P47" s="718"/>
      <c r="Q47" s="718"/>
      <c r="U47" s="714" t="s">
        <v>1747</v>
      </c>
      <c r="V47" s="714" t="s">
        <v>1750</v>
      </c>
      <c r="X47" s="745">
        <v>43377</v>
      </c>
      <c r="Y47" s="745">
        <v>43377</v>
      </c>
      <c r="AA47" s="745"/>
      <c r="AB47" s="714" t="s">
        <v>1079</v>
      </c>
      <c r="AC47" s="714">
        <v>0</v>
      </c>
      <c r="AD47" s="714">
        <v>0</v>
      </c>
      <c r="AE47" s="714">
        <v>0</v>
      </c>
      <c r="AF47" s="714">
        <v>0</v>
      </c>
      <c r="AG47" s="714">
        <v>5</v>
      </c>
      <c r="AH47" s="714">
        <v>1</v>
      </c>
      <c r="AI47" s="714">
        <v>70255</v>
      </c>
      <c r="AJ47" s="714">
        <v>2183</v>
      </c>
      <c r="AK47" s="714">
        <v>0</v>
      </c>
      <c r="AL47" s="714">
        <v>0</v>
      </c>
      <c r="AO47" s="748"/>
      <c r="AP47" s="748"/>
      <c r="AQ47" s="714" t="str">
        <f t="shared" si="0"/>
        <v/>
      </c>
      <c r="AS47" s="714" t="str">
        <f t="shared" si="1"/>
        <v>wci_corp</v>
      </c>
    </row>
    <row r="48" spans="2:45">
      <c r="B48" s="714" t="s">
        <v>1687</v>
      </c>
      <c r="C48" s="745">
        <v>43404</v>
      </c>
      <c r="D48" s="746">
        <v>275</v>
      </c>
      <c r="E48" s="746">
        <v>0</v>
      </c>
      <c r="F48" s="747" t="s">
        <v>1074</v>
      </c>
      <c r="G48" s="714" t="s">
        <v>1190</v>
      </c>
      <c r="H48" s="748" t="s">
        <v>1075</v>
      </c>
      <c r="I48" s="714" t="s">
        <v>1191</v>
      </c>
      <c r="J48" s="714" t="s">
        <v>1082</v>
      </c>
      <c r="K48" s="714" t="s">
        <v>1078</v>
      </c>
      <c r="L48" s="718"/>
      <c r="M48" s="718"/>
      <c r="N48" s="718" t="s">
        <v>1702</v>
      </c>
      <c r="O48" s="739"/>
      <c r="P48" s="718"/>
      <c r="Q48" s="718"/>
      <c r="U48" s="714" t="s">
        <v>1192</v>
      </c>
      <c r="V48" s="714" t="s">
        <v>1192</v>
      </c>
      <c r="X48" s="745">
        <v>43406</v>
      </c>
      <c r="Y48" s="745">
        <v>43406</v>
      </c>
      <c r="AA48" s="745"/>
      <c r="AB48" s="714" t="s">
        <v>1079</v>
      </c>
      <c r="AC48" s="714">
        <v>0</v>
      </c>
      <c r="AD48" s="714">
        <v>0</v>
      </c>
      <c r="AE48" s="714">
        <v>0</v>
      </c>
      <c r="AF48" s="714">
        <v>0</v>
      </c>
      <c r="AG48" s="714">
        <v>0</v>
      </c>
      <c r="AH48" s="714">
        <v>1</v>
      </c>
      <c r="AI48" s="714">
        <v>70255</v>
      </c>
      <c r="AJ48" s="714">
        <v>2183</v>
      </c>
      <c r="AK48" s="714">
        <v>0</v>
      </c>
      <c r="AL48" s="714">
        <v>0</v>
      </c>
      <c r="AO48" s="748"/>
      <c r="AP48" s="748"/>
      <c r="AQ48" s="714" t="str">
        <f t="shared" si="0"/>
        <v/>
      </c>
      <c r="AS48" s="714" t="str">
        <f t="shared" si="1"/>
        <v>wci_corp</v>
      </c>
    </row>
    <row r="49" spans="2:45">
      <c r="B49" s="714" t="s">
        <v>1687</v>
      </c>
      <c r="C49" s="745">
        <v>43404</v>
      </c>
      <c r="D49" s="746">
        <v>45.74</v>
      </c>
      <c r="E49" s="746">
        <v>0</v>
      </c>
      <c r="F49" s="747" t="s">
        <v>1074</v>
      </c>
      <c r="G49" s="714" t="s">
        <v>1751</v>
      </c>
      <c r="H49" s="748" t="s">
        <v>1075</v>
      </c>
      <c r="I49" s="714" t="s">
        <v>1720</v>
      </c>
      <c r="J49" s="714" t="s">
        <v>1082</v>
      </c>
      <c r="K49" s="714" t="s">
        <v>1078</v>
      </c>
      <c r="L49" s="718"/>
      <c r="M49" s="718"/>
      <c r="N49" s="718" t="s">
        <v>1752</v>
      </c>
      <c r="O49" s="739"/>
      <c r="P49" s="718"/>
      <c r="Q49" s="718"/>
      <c r="U49" s="714" t="s">
        <v>1753</v>
      </c>
      <c r="V49" s="714" t="s">
        <v>1753</v>
      </c>
      <c r="X49" s="745">
        <v>43411</v>
      </c>
      <c r="Y49" s="745">
        <v>43412</v>
      </c>
      <c r="AA49" s="745"/>
      <c r="AB49" s="714" t="s">
        <v>1079</v>
      </c>
      <c r="AC49" s="714">
        <v>0</v>
      </c>
      <c r="AD49" s="714">
        <v>0</v>
      </c>
      <c r="AE49" s="714">
        <v>0</v>
      </c>
      <c r="AF49" s="714">
        <v>0</v>
      </c>
      <c r="AG49" s="714">
        <v>0</v>
      </c>
      <c r="AH49" s="714">
        <v>1</v>
      </c>
      <c r="AI49" s="714">
        <v>70255</v>
      </c>
      <c r="AJ49" s="714">
        <v>2183</v>
      </c>
      <c r="AK49" s="714">
        <v>0</v>
      </c>
      <c r="AL49" s="714">
        <v>0</v>
      </c>
      <c r="AO49" s="748"/>
      <c r="AP49" s="748"/>
      <c r="AQ49" s="714" t="str">
        <f t="shared" si="0"/>
        <v/>
      </c>
      <c r="AS49" s="714" t="str">
        <f t="shared" si="1"/>
        <v>wci_corp</v>
      </c>
    </row>
    <row r="50" spans="2:45">
      <c r="B50" s="714" t="s">
        <v>1687</v>
      </c>
      <c r="C50" s="745">
        <v>43434</v>
      </c>
      <c r="D50" s="746">
        <v>275</v>
      </c>
      <c r="E50" s="746">
        <v>0</v>
      </c>
      <c r="F50" s="747" t="s">
        <v>1074</v>
      </c>
      <c r="G50" s="714" t="s">
        <v>1406</v>
      </c>
      <c r="H50" s="748" t="s">
        <v>1075</v>
      </c>
      <c r="I50" s="714" t="s">
        <v>1407</v>
      </c>
      <c r="J50" s="714" t="s">
        <v>1092</v>
      </c>
      <c r="K50" s="714" t="s">
        <v>1078</v>
      </c>
      <c r="L50" s="718"/>
      <c r="M50" s="718"/>
      <c r="N50" s="718" t="s">
        <v>1702</v>
      </c>
      <c r="O50" s="739"/>
      <c r="P50" s="718"/>
      <c r="Q50" s="718"/>
      <c r="U50" s="714" t="s">
        <v>1409</v>
      </c>
      <c r="V50" s="714" t="s">
        <v>1409</v>
      </c>
      <c r="X50" s="745">
        <v>43438</v>
      </c>
      <c r="Y50" s="745">
        <v>43438</v>
      </c>
      <c r="AA50" s="745"/>
      <c r="AB50" s="714" t="s">
        <v>1079</v>
      </c>
      <c r="AC50" s="714">
        <v>0</v>
      </c>
      <c r="AD50" s="714">
        <v>0</v>
      </c>
      <c r="AE50" s="714">
        <v>0</v>
      </c>
      <c r="AF50" s="714">
        <v>0</v>
      </c>
      <c r="AG50" s="714">
        <v>0</v>
      </c>
      <c r="AH50" s="714">
        <v>1</v>
      </c>
      <c r="AI50" s="714">
        <v>70255</v>
      </c>
      <c r="AJ50" s="714">
        <v>2183</v>
      </c>
      <c r="AK50" s="714">
        <v>0</v>
      </c>
      <c r="AL50" s="714">
        <v>0</v>
      </c>
      <c r="AO50" s="748"/>
      <c r="AP50" s="748"/>
      <c r="AQ50" s="714" t="str">
        <f t="shared" si="0"/>
        <v/>
      </c>
      <c r="AS50" s="714" t="str">
        <f t="shared" si="1"/>
        <v>wci_corp</v>
      </c>
    </row>
    <row r="51" spans="2:45">
      <c r="B51" s="714" t="s">
        <v>1687</v>
      </c>
      <c r="C51" s="745">
        <v>43465</v>
      </c>
      <c r="D51" s="746">
        <v>275</v>
      </c>
      <c r="E51" s="746">
        <v>0</v>
      </c>
      <c r="F51" s="747" t="s">
        <v>1074</v>
      </c>
      <c r="G51" s="714" t="s">
        <v>1090</v>
      </c>
      <c r="H51" s="748" t="s">
        <v>1075</v>
      </c>
      <c r="I51" s="714" t="s">
        <v>1091</v>
      </c>
      <c r="J51" s="714" t="s">
        <v>1092</v>
      </c>
      <c r="K51" s="714" t="s">
        <v>1078</v>
      </c>
      <c r="L51" s="718"/>
      <c r="M51" s="718"/>
      <c r="N51" s="718" t="s">
        <v>1702</v>
      </c>
      <c r="O51" s="739"/>
      <c r="P51" s="718"/>
      <c r="Q51" s="718"/>
      <c r="U51" s="714" t="s">
        <v>1093</v>
      </c>
      <c r="V51" s="714" t="s">
        <v>1093</v>
      </c>
      <c r="X51" s="745">
        <v>43468</v>
      </c>
      <c r="Y51" s="745">
        <v>43468</v>
      </c>
      <c r="AA51" s="745"/>
      <c r="AB51" s="714" t="s">
        <v>1079</v>
      </c>
      <c r="AC51" s="714">
        <v>0</v>
      </c>
      <c r="AD51" s="714">
        <v>0</v>
      </c>
      <c r="AE51" s="714">
        <v>0</v>
      </c>
      <c r="AF51" s="714">
        <v>0</v>
      </c>
      <c r="AG51" s="714">
        <v>0</v>
      </c>
      <c r="AH51" s="714">
        <v>1</v>
      </c>
      <c r="AI51" s="714">
        <v>70255</v>
      </c>
      <c r="AJ51" s="714">
        <v>2183</v>
      </c>
      <c r="AK51" s="714">
        <v>0</v>
      </c>
      <c r="AL51" s="714">
        <v>0</v>
      </c>
      <c r="AO51" s="748"/>
      <c r="AP51" s="748"/>
      <c r="AQ51" s="714" t="str">
        <f t="shared" si="0"/>
        <v/>
      </c>
      <c r="AS51" s="714" t="str">
        <f t="shared" si="1"/>
        <v>wci_corp</v>
      </c>
    </row>
    <row r="52" spans="2:45">
      <c r="B52" s="714" t="s">
        <v>1687</v>
      </c>
      <c r="C52" s="745">
        <v>43496</v>
      </c>
      <c r="D52" s="746">
        <v>275</v>
      </c>
      <c r="E52" s="746">
        <v>0</v>
      </c>
      <c r="F52" s="747" t="s">
        <v>1074</v>
      </c>
      <c r="G52" s="714" t="s">
        <v>1206</v>
      </c>
      <c r="H52" s="748" t="s">
        <v>1075</v>
      </c>
      <c r="I52" s="714" t="s">
        <v>1207</v>
      </c>
      <c r="J52" s="714" t="s">
        <v>1082</v>
      </c>
      <c r="K52" s="714" t="s">
        <v>1078</v>
      </c>
      <c r="L52" s="718"/>
      <c r="M52" s="718"/>
      <c r="N52" s="718" t="s">
        <v>1702</v>
      </c>
      <c r="O52" s="739"/>
      <c r="P52" s="718"/>
      <c r="Q52" s="718"/>
      <c r="U52" s="714" t="s">
        <v>1208</v>
      </c>
      <c r="V52" s="714" t="s">
        <v>1208</v>
      </c>
      <c r="X52" s="745">
        <v>43500</v>
      </c>
      <c r="Y52" s="745">
        <v>43500</v>
      </c>
      <c r="AA52" s="745"/>
      <c r="AB52" s="714" t="s">
        <v>1079</v>
      </c>
      <c r="AC52" s="714">
        <v>0</v>
      </c>
      <c r="AD52" s="714">
        <v>0</v>
      </c>
      <c r="AE52" s="714">
        <v>0</v>
      </c>
      <c r="AF52" s="714">
        <v>0</v>
      </c>
      <c r="AG52" s="714">
        <v>0</v>
      </c>
      <c r="AH52" s="714">
        <v>1</v>
      </c>
      <c r="AI52" s="714">
        <v>70255</v>
      </c>
      <c r="AJ52" s="714">
        <v>2183</v>
      </c>
      <c r="AK52" s="714">
        <v>0</v>
      </c>
      <c r="AL52" s="714">
        <v>0</v>
      </c>
      <c r="AO52" s="748"/>
      <c r="AP52" s="748"/>
      <c r="AQ52" s="714" t="str">
        <f t="shared" si="0"/>
        <v/>
      </c>
      <c r="AS52" s="714" t="str">
        <f t="shared" si="1"/>
        <v>wci_corp</v>
      </c>
    </row>
    <row r="53" spans="2:45">
      <c r="B53" s="714" t="s">
        <v>1687</v>
      </c>
      <c r="C53" s="745">
        <v>43524</v>
      </c>
      <c r="D53" s="746">
        <v>275</v>
      </c>
      <c r="E53" s="746">
        <v>0</v>
      </c>
      <c r="F53" s="747" t="s">
        <v>1074</v>
      </c>
      <c r="G53" s="714" t="s">
        <v>1210</v>
      </c>
      <c r="H53" s="748" t="s">
        <v>1075</v>
      </c>
      <c r="I53" s="714" t="s">
        <v>1211</v>
      </c>
      <c r="J53" s="714" t="s">
        <v>1082</v>
      </c>
      <c r="K53" s="714" t="s">
        <v>1078</v>
      </c>
      <c r="L53" s="718"/>
      <c r="M53" s="718"/>
      <c r="N53" s="718" t="s">
        <v>1702</v>
      </c>
      <c r="O53" s="739"/>
      <c r="P53" s="718"/>
      <c r="Q53" s="718"/>
      <c r="U53" s="714" t="s">
        <v>1212</v>
      </c>
      <c r="V53" s="714" t="s">
        <v>1212</v>
      </c>
      <c r="X53" s="745">
        <v>43528</v>
      </c>
      <c r="Y53" s="745">
        <v>43528</v>
      </c>
      <c r="AA53" s="745"/>
      <c r="AB53" s="714" t="s">
        <v>1079</v>
      </c>
      <c r="AC53" s="714">
        <v>0</v>
      </c>
      <c r="AD53" s="714">
        <v>0</v>
      </c>
      <c r="AE53" s="714">
        <v>0</v>
      </c>
      <c r="AF53" s="714">
        <v>0</v>
      </c>
      <c r="AG53" s="714">
        <v>0</v>
      </c>
      <c r="AH53" s="714">
        <v>1</v>
      </c>
      <c r="AI53" s="714">
        <v>70255</v>
      </c>
      <c r="AJ53" s="714">
        <v>2183</v>
      </c>
      <c r="AK53" s="714">
        <v>0</v>
      </c>
      <c r="AL53" s="714">
        <v>0</v>
      </c>
      <c r="AO53" s="748"/>
      <c r="AP53" s="748"/>
      <c r="AQ53" s="714" t="str">
        <f t="shared" si="0"/>
        <v/>
      </c>
      <c r="AS53" s="714" t="str">
        <f t="shared" si="1"/>
        <v>wci_corp</v>
      </c>
    </row>
    <row r="54" spans="2:45">
      <c r="B54" s="714" t="s">
        <v>1687</v>
      </c>
      <c r="C54" s="745">
        <v>43555</v>
      </c>
      <c r="D54" s="746">
        <v>275</v>
      </c>
      <c r="E54" s="746">
        <v>0</v>
      </c>
      <c r="F54" s="747" t="s">
        <v>1074</v>
      </c>
      <c r="G54" s="714" t="s">
        <v>1548</v>
      </c>
      <c r="H54" s="748" t="s">
        <v>1075</v>
      </c>
      <c r="I54" s="714" t="s">
        <v>1549</v>
      </c>
      <c r="J54" s="714" t="s">
        <v>1092</v>
      </c>
      <c r="K54" s="714" t="s">
        <v>1078</v>
      </c>
      <c r="L54" s="718"/>
      <c r="M54" s="718"/>
      <c r="N54" s="718" t="s">
        <v>1702</v>
      </c>
      <c r="O54" s="739"/>
      <c r="P54" s="718"/>
      <c r="Q54" s="718"/>
      <c r="U54" s="714" t="s">
        <v>1550</v>
      </c>
      <c r="V54" s="714" t="s">
        <v>1550</v>
      </c>
      <c r="X54" s="745">
        <v>43557</v>
      </c>
      <c r="Y54" s="745">
        <v>43557</v>
      </c>
      <c r="AA54" s="745"/>
      <c r="AB54" s="714" t="s">
        <v>1079</v>
      </c>
      <c r="AC54" s="714">
        <v>0</v>
      </c>
      <c r="AD54" s="714">
        <v>0</v>
      </c>
      <c r="AE54" s="714">
        <v>0</v>
      </c>
      <c r="AF54" s="714">
        <v>0</v>
      </c>
      <c r="AG54" s="714">
        <v>0</v>
      </c>
      <c r="AH54" s="714">
        <v>1</v>
      </c>
      <c r="AI54" s="714">
        <v>70255</v>
      </c>
      <c r="AJ54" s="714">
        <v>2183</v>
      </c>
      <c r="AK54" s="714">
        <v>0</v>
      </c>
      <c r="AL54" s="714">
        <v>0</v>
      </c>
      <c r="AO54" s="748"/>
      <c r="AP54" s="748"/>
      <c r="AQ54" s="714" t="str">
        <f t="shared" si="0"/>
        <v/>
      </c>
      <c r="AS54" s="714" t="str">
        <f t="shared" si="1"/>
        <v>wci_corp</v>
      </c>
    </row>
    <row r="55" spans="2:45">
      <c r="B55" s="714" t="s">
        <v>1687</v>
      </c>
      <c r="C55" s="745">
        <v>43585</v>
      </c>
      <c r="D55" s="746">
        <v>275</v>
      </c>
      <c r="E55" s="746">
        <v>0</v>
      </c>
      <c r="F55" s="747" t="s">
        <v>1074</v>
      </c>
      <c r="G55" s="714" t="s">
        <v>1574</v>
      </c>
      <c r="H55" s="748" t="s">
        <v>1075</v>
      </c>
      <c r="I55" s="714" t="s">
        <v>1131</v>
      </c>
      <c r="J55" s="714" t="s">
        <v>1082</v>
      </c>
      <c r="K55" s="714" t="s">
        <v>1078</v>
      </c>
      <c r="L55" s="718"/>
      <c r="M55" s="718"/>
      <c r="N55" s="718" t="s">
        <v>1702</v>
      </c>
      <c r="O55" s="739"/>
      <c r="P55" s="718"/>
      <c r="Q55" s="718"/>
      <c r="U55" s="714" t="s">
        <v>1575</v>
      </c>
      <c r="V55" s="714" t="s">
        <v>1575</v>
      </c>
      <c r="X55" s="745">
        <v>43591</v>
      </c>
      <c r="Y55" s="745">
        <v>43591</v>
      </c>
      <c r="AA55" s="745"/>
      <c r="AB55" s="714" t="s">
        <v>1079</v>
      </c>
      <c r="AC55" s="714">
        <v>0</v>
      </c>
      <c r="AD55" s="714">
        <v>0</v>
      </c>
      <c r="AE55" s="714">
        <v>0</v>
      </c>
      <c r="AF55" s="714">
        <v>0</v>
      </c>
      <c r="AG55" s="714">
        <v>0</v>
      </c>
      <c r="AH55" s="714">
        <v>1</v>
      </c>
      <c r="AI55" s="714">
        <v>70255</v>
      </c>
      <c r="AJ55" s="714">
        <v>2183</v>
      </c>
      <c r="AK55" s="714">
        <v>0</v>
      </c>
      <c r="AL55" s="714">
        <v>0</v>
      </c>
      <c r="AO55" s="748"/>
      <c r="AP55" s="748"/>
      <c r="AQ55" s="714" t="str">
        <f t="shared" si="0"/>
        <v/>
      </c>
      <c r="AS55" s="714" t="str">
        <f t="shared" si="1"/>
        <v>wci_corp</v>
      </c>
    </row>
    <row r="56" spans="2:45">
      <c r="C56" s="745"/>
      <c r="D56" s="749"/>
      <c r="E56" s="749"/>
      <c r="F56" s="749"/>
      <c r="H56" s="717"/>
    </row>
    <row r="57" spans="2:45">
      <c r="B57" s="750" t="s">
        <v>1111</v>
      </c>
      <c r="C57" s="750"/>
      <c r="D57" s="751"/>
      <c r="E57" s="751"/>
      <c r="F57" s="751"/>
      <c r="G57" s="750"/>
      <c r="H57" s="752"/>
      <c r="I57" s="750"/>
      <c r="J57" s="750"/>
      <c r="K57" s="750"/>
      <c r="L57" s="750"/>
      <c r="M57" s="750"/>
      <c r="N57" s="750"/>
      <c r="O57" s="750"/>
      <c r="P57" s="750"/>
      <c r="Q57" s="750"/>
      <c r="R57" s="750"/>
      <c r="S57" s="750"/>
      <c r="T57" s="750"/>
      <c r="U57" s="750"/>
      <c r="V57" s="750"/>
      <c r="W57" s="750"/>
      <c r="X57" s="750"/>
      <c r="Y57" s="750"/>
      <c r="Z57" s="750"/>
      <c r="AA57" s="750"/>
      <c r="AB57" s="750"/>
      <c r="AC57" s="750"/>
      <c r="AD57" s="750"/>
      <c r="AE57" s="750"/>
      <c r="AF57" s="750"/>
      <c r="AG57" s="750"/>
      <c r="AH57" s="750"/>
      <c r="AI57" s="750"/>
      <c r="AJ57" s="750"/>
      <c r="AK57" s="750"/>
      <c r="AL57" s="750"/>
      <c r="AM57" s="750"/>
      <c r="AN57" s="750"/>
      <c r="AO57" s="750"/>
      <c r="AP57" s="753"/>
    </row>
    <row r="58" spans="2:45">
      <c r="H58" s="717"/>
    </row>
    <row r="59" spans="2:45">
      <c r="B59" s="672"/>
      <c r="H59" s="717"/>
    </row>
    <row r="60" spans="2:45">
      <c r="B60" s="714" t="s">
        <v>1112</v>
      </c>
      <c r="C60" s="714" t="s">
        <v>1113</v>
      </c>
      <c r="D60" s="755" t="s">
        <v>1114</v>
      </c>
      <c r="H60" s="717"/>
    </row>
    <row r="61" spans="2:45">
      <c r="B61" s="718" t="s">
        <v>1727</v>
      </c>
      <c r="C61" s="680">
        <v>240</v>
      </c>
      <c r="D61" s="680">
        <v>240</v>
      </c>
      <c r="E61" s="693" t="s">
        <v>1754</v>
      </c>
      <c r="H61" s="717"/>
    </row>
    <row r="62" spans="2:45">
      <c r="B62" s="718" t="s">
        <v>1715</v>
      </c>
      <c r="C62" s="680">
        <v>275</v>
      </c>
      <c r="D62" s="680">
        <v>275</v>
      </c>
      <c r="E62" s="715" t="s">
        <v>1755</v>
      </c>
      <c r="H62" s="717"/>
    </row>
    <row r="63" spans="2:45">
      <c r="B63" s="718" t="s">
        <v>1702</v>
      </c>
      <c r="C63" s="680">
        <v>3575</v>
      </c>
      <c r="D63" s="680">
        <v>3575</v>
      </c>
      <c r="E63" s="715" t="s">
        <v>1755</v>
      </c>
      <c r="H63" s="717"/>
    </row>
    <row r="64" spans="2:45">
      <c r="B64" s="718" t="s">
        <v>1696</v>
      </c>
      <c r="C64" s="680">
        <v>412.82</v>
      </c>
      <c r="D64" s="680">
        <v>412.82</v>
      </c>
      <c r="E64" s="714" t="s">
        <v>1756</v>
      </c>
      <c r="H64" s="717"/>
    </row>
    <row r="65" spans="2:8">
      <c r="B65" s="718" t="s">
        <v>1693</v>
      </c>
      <c r="C65" s="680">
        <v>-275</v>
      </c>
      <c r="D65" s="680">
        <v>-275</v>
      </c>
      <c r="E65" s="715" t="s">
        <v>1755</v>
      </c>
      <c r="H65" s="717"/>
    </row>
    <row r="66" spans="2:8">
      <c r="B66" s="718" t="s">
        <v>1690</v>
      </c>
      <c r="C66" s="680">
        <v>-644.37</v>
      </c>
      <c r="D66" s="680">
        <v>-644.37</v>
      </c>
      <c r="E66" s="715" t="s">
        <v>1757</v>
      </c>
      <c r="H66" s="717"/>
    </row>
    <row r="67" spans="2:8">
      <c r="B67" s="718" t="s">
        <v>1739</v>
      </c>
      <c r="C67" s="680">
        <v>0</v>
      </c>
      <c r="D67" s="680">
        <v>0</v>
      </c>
      <c r="H67" s="717"/>
    </row>
    <row r="68" spans="2:8">
      <c r="B68" s="718" t="s">
        <v>1730</v>
      </c>
      <c r="C68" s="680">
        <v>0</v>
      </c>
      <c r="D68" s="680">
        <v>0</v>
      </c>
      <c r="H68" s="717"/>
    </row>
    <row r="69" spans="2:8">
      <c r="B69" s="718" t="s">
        <v>1717</v>
      </c>
      <c r="C69" s="680">
        <v>0</v>
      </c>
      <c r="D69" s="680">
        <v>0</v>
      </c>
      <c r="H69" s="717"/>
    </row>
    <row r="70" spans="2:8">
      <c r="B70" s="718" t="s">
        <v>1704</v>
      </c>
      <c r="C70" s="680">
        <v>0</v>
      </c>
      <c r="D70" s="680">
        <v>0</v>
      </c>
      <c r="H70" s="717"/>
    </row>
    <row r="71" spans="2:8">
      <c r="B71" s="718" t="s">
        <v>1746</v>
      </c>
      <c r="C71" s="680">
        <v>0</v>
      </c>
      <c r="D71" s="680">
        <v>0</v>
      </c>
      <c r="H71" s="717"/>
    </row>
    <row r="72" spans="2:8">
      <c r="B72" s="718" t="s">
        <v>1721</v>
      </c>
      <c r="C72" s="680">
        <v>1780</v>
      </c>
      <c r="D72" s="680">
        <v>1780</v>
      </c>
      <c r="E72" s="715" t="s">
        <v>1757</v>
      </c>
      <c r="H72" s="717"/>
    </row>
    <row r="73" spans="2:8">
      <c r="B73" s="718" t="s">
        <v>1752</v>
      </c>
      <c r="C73" s="680">
        <v>45.74</v>
      </c>
      <c r="D73" s="680">
        <v>45.74</v>
      </c>
      <c r="E73" s="715" t="s">
        <v>1757</v>
      </c>
      <c r="H73" s="717"/>
    </row>
    <row r="74" spans="2:8">
      <c r="B74" s="718" t="s">
        <v>1708</v>
      </c>
      <c r="C74" s="680">
        <v>212.93</v>
      </c>
      <c r="D74" s="680">
        <v>212.93</v>
      </c>
      <c r="E74" s="715" t="s">
        <v>1758</v>
      </c>
      <c r="H74" s="717"/>
    </row>
    <row r="75" spans="2:8">
      <c r="B75" s="718" t="s">
        <v>646</v>
      </c>
      <c r="C75" s="680">
        <v>5622.12</v>
      </c>
      <c r="D75" s="679">
        <v>5622.12</v>
      </c>
      <c r="E75" s="716" t="s">
        <v>1759</v>
      </c>
      <c r="H75" s="717"/>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35"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election activeCell="H21" sqref="H21"/>
    </sheetView>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34998626667073579"/>
  </sheetPr>
  <dimension ref="A1:AK1387"/>
  <sheetViews>
    <sheetView showGridLines="0" tabSelected="1" view="pageBreakPreview" topLeftCell="A2" zoomScale="85" zoomScaleNormal="115" zoomScaleSheetLayoutView="85" workbookViewId="0">
      <selection activeCell="AR41" sqref="AR41"/>
    </sheetView>
  </sheetViews>
  <sheetFormatPr defaultRowHeight="11.25"/>
  <cols>
    <col min="1" max="1" width="6.85546875" style="54" customWidth="1"/>
    <col min="2" max="2" width="15.85546875" style="53" customWidth="1"/>
    <col min="3" max="3" width="11.140625" style="59" customWidth="1"/>
    <col min="4" max="4" width="11" style="56" customWidth="1"/>
    <col min="5" max="5" width="11" style="53" customWidth="1"/>
    <col min="6" max="6" width="11.140625" style="53" customWidth="1"/>
    <col min="7" max="7" width="1.85546875" style="53" customWidth="1"/>
    <col min="8" max="8" width="9.5703125" style="58" bestFit="1" customWidth="1"/>
    <col min="9" max="9" width="14" style="58" bestFit="1" customWidth="1"/>
    <col min="10" max="10" width="7.42578125" style="58" bestFit="1" customWidth="1"/>
    <col min="11" max="11" width="8.85546875" style="58" bestFit="1" customWidth="1"/>
    <col min="12" max="12" width="11.140625" style="58" customWidth="1"/>
    <col min="13" max="13" width="1.7109375" style="53" customWidth="1"/>
    <col min="14" max="14" width="11.140625" style="57" customWidth="1"/>
    <col min="15" max="17" width="11.140625" style="53" customWidth="1"/>
    <col min="18" max="18" width="2.42578125" style="53" customWidth="1"/>
    <col min="19" max="21" width="8.28515625" style="53" customWidth="1"/>
    <col min="22" max="22" width="11.140625" style="53" customWidth="1"/>
    <col min="23" max="23" width="7.85546875" style="53" customWidth="1"/>
    <col min="24" max="24" width="11.140625" style="53" customWidth="1"/>
    <col min="25" max="26" width="10.5703125" style="53" customWidth="1"/>
    <col min="27" max="27" width="11.140625" style="53" customWidth="1"/>
    <col min="28" max="31" width="11.140625" style="58" customWidth="1"/>
    <col min="32" max="33" width="10.7109375" style="58" customWidth="1"/>
    <col min="34" max="34" width="16" style="53" customWidth="1"/>
    <col min="35" max="35" width="12" style="78" hidden="1" customWidth="1"/>
    <col min="36" max="16384" width="9.140625" style="53"/>
  </cols>
  <sheetData>
    <row r="1" spans="1:36" hidden="1">
      <c r="A1" s="54">
        <v>1</v>
      </c>
      <c r="B1" s="53">
        <v>2</v>
      </c>
      <c r="C1" s="54">
        <v>3</v>
      </c>
      <c r="D1" s="53">
        <v>4</v>
      </c>
      <c r="E1" s="54">
        <v>5</v>
      </c>
      <c r="F1" s="53">
        <v>6</v>
      </c>
      <c r="G1" s="54">
        <v>7</v>
      </c>
      <c r="H1" s="53">
        <v>8</v>
      </c>
      <c r="I1" s="54">
        <v>9</v>
      </c>
      <c r="J1" s="53">
        <v>10</v>
      </c>
      <c r="K1" s="54">
        <v>11</v>
      </c>
      <c r="L1" s="53">
        <v>12</v>
      </c>
      <c r="M1" s="54">
        <v>13</v>
      </c>
      <c r="N1" s="53">
        <v>14</v>
      </c>
      <c r="O1" s="54">
        <v>15</v>
      </c>
      <c r="P1" s="53">
        <v>16</v>
      </c>
      <c r="Q1" s="54">
        <v>17</v>
      </c>
      <c r="R1" s="53">
        <v>18</v>
      </c>
      <c r="S1" s="54">
        <v>19</v>
      </c>
      <c r="T1" s="53">
        <v>20</v>
      </c>
      <c r="U1" s="54">
        <v>21</v>
      </c>
      <c r="V1" s="53">
        <v>22</v>
      </c>
      <c r="W1" s="54">
        <v>23</v>
      </c>
      <c r="X1" s="53">
        <v>24</v>
      </c>
      <c r="Y1" s="54">
        <v>25</v>
      </c>
      <c r="Z1" s="53">
        <v>26</v>
      </c>
      <c r="AA1" s="54">
        <v>27</v>
      </c>
      <c r="AB1" s="53">
        <v>28</v>
      </c>
      <c r="AC1" s="54">
        <v>29</v>
      </c>
      <c r="AD1" s="53">
        <v>30</v>
      </c>
      <c r="AE1" s="54">
        <v>31</v>
      </c>
      <c r="AF1" s="53">
        <v>32</v>
      </c>
      <c r="AG1" s="54">
        <v>33</v>
      </c>
      <c r="AH1" s="53">
        <v>34</v>
      </c>
      <c r="AI1" s="54">
        <v>35</v>
      </c>
      <c r="AJ1" s="53">
        <v>36</v>
      </c>
    </row>
    <row r="2" spans="1:36" ht="12.75">
      <c r="A2" s="1235" t="s">
        <v>2957</v>
      </c>
      <c r="B2" s="50"/>
      <c r="H2" s="53"/>
      <c r="N2" s="53"/>
    </row>
    <row r="3" spans="1:36" ht="12.75">
      <c r="A3" s="1235" t="s">
        <v>0</v>
      </c>
      <c r="B3" s="50"/>
      <c r="C3" s="62"/>
      <c r="E3" s="59"/>
      <c r="H3" s="61"/>
      <c r="N3" s="53"/>
    </row>
    <row r="4" spans="1:36" ht="12.75">
      <c r="A4" s="1235" t="s">
        <v>2958</v>
      </c>
      <c r="B4" s="50"/>
      <c r="I4" s="139" t="s">
        <v>940</v>
      </c>
      <c r="P4" s="59"/>
    </row>
    <row r="5" spans="1:36" ht="12.75">
      <c r="B5" s="75"/>
      <c r="E5" s="63"/>
      <c r="I5" s="79" t="s">
        <v>941</v>
      </c>
      <c r="P5" s="59"/>
    </row>
    <row r="6" spans="1:36" ht="12.75">
      <c r="A6" s="74"/>
      <c r="B6" s="75"/>
      <c r="C6" s="65"/>
      <c r="E6" s="69"/>
      <c r="F6" s="69"/>
      <c r="G6" s="56"/>
      <c r="H6" s="76"/>
      <c r="I6" s="76"/>
      <c r="J6" s="76"/>
      <c r="K6" s="76"/>
      <c r="L6" s="70"/>
      <c r="M6" s="71"/>
      <c r="N6" s="71"/>
      <c r="O6" s="71"/>
      <c r="P6" s="71"/>
      <c r="Q6" s="72"/>
      <c r="R6" s="72"/>
      <c r="S6" s="72"/>
      <c r="T6" s="72"/>
      <c r="U6" s="72"/>
      <c r="V6" s="71"/>
      <c r="W6" s="71"/>
      <c r="X6" s="71"/>
      <c r="Y6" s="71"/>
      <c r="Z6" s="71"/>
      <c r="AA6" s="71"/>
      <c r="AB6" s="76"/>
      <c r="AC6" s="76"/>
      <c r="AD6" s="76"/>
      <c r="AE6" s="76"/>
      <c r="AF6" s="76"/>
    </row>
    <row r="7" spans="1:36">
      <c r="A7" s="74"/>
      <c r="B7" s="50"/>
      <c r="C7" s="65"/>
      <c r="D7" s="68"/>
      <c r="E7" s="69"/>
      <c r="F7" s="69"/>
      <c r="G7" s="56"/>
      <c r="H7" s="70"/>
      <c r="I7" s="70"/>
      <c r="J7" s="70"/>
      <c r="K7" s="70"/>
      <c r="L7" s="70"/>
      <c r="M7" s="71"/>
      <c r="N7" s="73"/>
      <c r="O7" s="73"/>
      <c r="P7" s="73"/>
      <c r="Q7" s="73"/>
      <c r="R7" s="73"/>
      <c r="S7" s="73"/>
      <c r="T7" s="73"/>
      <c r="U7" s="73"/>
      <c r="V7" s="71"/>
      <c r="W7" s="71"/>
      <c r="X7" s="71"/>
      <c r="Y7" s="71"/>
      <c r="Z7" s="71"/>
      <c r="AA7" s="71"/>
      <c r="AB7" s="644">
        <f ca="1">'LG Public 2018 V5.0c'!J20</f>
        <v>865069.20380939171</v>
      </c>
      <c r="AC7" s="644">
        <f>'Rural - Price Out '!AN174</f>
        <v>-94417.766706754075</v>
      </c>
      <c r="AD7" s="644">
        <f ca="1">AB7+AC7</f>
        <v>770651.4371026376</v>
      </c>
      <c r="AE7" s="70"/>
      <c r="AF7" s="76"/>
    </row>
    <row r="8" spans="1:36" s="359" customFormat="1">
      <c r="A8" s="354"/>
      <c r="B8" s="355"/>
      <c r="C8" s="1261" t="s">
        <v>551</v>
      </c>
      <c r="D8" s="1261"/>
      <c r="E8" s="1261"/>
      <c r="F8" s="1261"/>
      <c r="G8" s="356"/>
      <c r="H8" s="1259" t="s">
        <v>554</v>
      </c>
      <c r="I8" s="1259"/>
      <c r="J8" s="1259"/>
      <c r="K8" s="1259"/>
      <c r="L8" s="1259"/>
      <c r="M8" s="357"/>
      <c r="N8" s="1260" t="s">
        <v>553</v>
      </c>
      <c r="O8" s="1260"/>
      <c r="P8" s="1260"/>
      <c r="Q8" s="1260"/>
      <c r="R8" s="358"/>
      <c r="S8" s="1260" t="s">
        <v>555</v>
      </c>
      <c r="T8" s="1260"/>
      <c r="U8" s="1260"/>
      <c r="V8" s="1260"/>
      <c r="W8" s="358"/>
      <c r="X8" s="1260" t="s">
        <v>560</v>
      </c>
      <c r="Y8" s="1260"/>
      <c r="Z8" s="1260"/>
      <c r="AA8" s="1260"/>
      <c r="AB8" s="1259" t="s">
        <v>559</v>
      </c>
      <c r="AC8" s="1259"/>
      <c r="AD8" s="1259"/>
      <c r="AE8" s="1259"/>
      <c r="AF8" s="1259"/>
      <c r="AG8" s="1259"/>
      <c r="AH8" s="358" t="s">
        <v>302</v>
      </c>
      <c r="AI8" s="358"/>
    </row>
    <row r="9" spans="1:36" ht="21" customHeight="1">
      <c r="A9" s="1331"/>
      <c r="B9" s="1332" t="s">
        <v>1</v>
      </c>
      <c r="C9" s="1333">
        <v>2183</v>
      </c>
      <c r="D9" s="1334">
        <v>2184</v>
      </c>
      <c r="E9" s="1333">
        <v>2185</v>
      </c>
      <c r="F9" s="1335" t="s">
        <v>552</v>
      </c>
      <c r="G9" s="1336"/>
      <c r="H9" s="1337">
        <v>2183</v>
      </c>
      <c r="I9" s="1337">
        <v>2184</v>
      </c>
      <c r="J9" s="1337">
        <v>2185</v>
      </c>
      <c r="K9" s="1338" t="s">
        <v>633</v>
      </c>
      <c r="L9" s="1383" t="s">
        <v>556</v>
      </c>
      <c r="M9" s="1337"/>
      <c r="N9" s="1333">
        <v>2183</v>
      </c>
      <c r="O9" s="1333">
        <v>2184</v>
      </c>
      <c r="P9" s="1333">
        <v>2185</v>
      </c>
      <c r="Q9" s="1339" t="s">
        <v>562</v>
      </c>
      <c r="R9" s="1339"/>
      <c r="S9" s="1339">
        <v>2183</v>
      </c>
      <c r="T9" s="1339">
        <v>2184</v>
      </c>
      <c r="U9" s="1339">
        <v>2185</v>
      </c>
      <c r="V9" s="1680" t="s">
        <v>561</v>
      </c>
      <c r="W9" s="1333" t="s">
        <v>633</v>
      </c>
      <c r="X9" s="1333">
        <v>2183</v>
      </c>
      <c r="Y9" s="1333">
        <v>2184</v>
      </c>
      <c r="Z9" s="1333">
        <v>2185</v>
      </c>
      <c r="AA9" s="1333" t="s">
        <v>557</v>
      </c>
      <c r="AB9" s="1337" t="s">
        <v>853</v>
      </c>
      <c r="AC9" s="1337" t="s">
        <v>850</v>
      </c>
      <c r="AD9" s="1337" t="s">
        <v>851</v>
      </c>
      <c r="AE9" s="1339" t="s">
        <v>558</v>
      </c>
      <c r="AF9" s="1337">
        <v>2184</v>
      </c>
      <c r="AG9" s="1337">
        <v>2185</v>
      </c>
      <c r="AH9" s="1333"/>
      <c r="AI9" s="1340" t="s">
        <v>288</v>
      </c>
    </row>
    <row r="10" spans="1:36">
      <c r="A10" s="1331">
        <v>32000</v>
      </c>
      <c r="B10" s="1336" t="s">
        <v>2</v>
      </c>
      <c r="C10" s="1341">
        <f>+SUM('2183 IS 2018'!AH22:AH23)</f>
        <v>11626242.600000001</v>
      </c>
      <c r="D10" s="1341"/>
      <c r="E10" s="1341"/>
      <c r="F10" s="1342">
        <f t="shared" ref="F10:F22" si="0">SUM(C10:E10)</f>
        <v>11626242.600000001</v>
      </c>
      <c r="G10" s="1343"/>
      <c r="H10" s="1359">
        <f>+'Restating Adj''s'!L9+'Restating Adj''s'!B127</f>
        <v>-6863.1392516949554</v>
      </c>
      <c r="I10" s="1383"/>
      <c r="J10" s="1383"/>
      <c r="K10" s="1383" t="s">
        <v>2706</v>
      </c>
      <c r="L10" s="1362">
        <f t="shared" ref="L10" si="1">F10+H10+I10+J10</f>
        <v>11619379.460748307</v>
      </c>
      <c r="M10" s="1337"/>
      <c r="N10" s="1359">
        <f t="shared" ref="N10" si="2">C10+H10</f>
        <v>11619379.460748307</v>
      </c>
      <c r="O10" s="1359">
        <f t="shared" ref="O10" si="3">D10+I10</f>
        <v>0</v>
      </c>
      <c r="P10" s="1359">
        <f t="shared" ref="P10" si="4">E10+J10</f>
        <v>0</v>
      </c>
      <c r="Q10" s="1359">
        <f>SUM(N10:P10)</f>
        <v>11619379.460748307</v>
      </c>
      <c r="R10" s="1359"/>
      <c r="S10" s="1359"/>
      <c r="T10" s="1359"/>
      <c r="U10" s="1359"/>
      <c r="V10" s="1355">
        <f>+SUM(S10:U10)</f>
        <v>0</v>
      </c>
      <c r="W10" s="1333"/>
      <c r="X10" s="1681">
        <f>+S10+N10</f>
        <v>11619379.460748307</v>
      </c>
      <c r="Y10" s="1681">
        <f>+T10+O10</f>
        <v>0</v>
      </c>
      <c r="Z10" s="1681">
        <f>+U10+P10</f>
        <v>0</v>
      </c>
      <c r="AA10" s="1681">
        <f>+SUM(X10:Z10)</f>
        <v>11619379.460748307</v>
      </c>
      <c r="AB10" s="1359">
        <f>+'Restating Adj''s'!D9+'Restating Adj''s'!B127</f>
        <v>10937253.020748308</v>
      </c>
      <c r="AC10" s="1359">
        <f>+'Restating Adj''s'!F9</f>
        <v>532581.3949999999</v>
      </c>
      <c r="AD10" s="1359">
        <f>+'Restating Adj''s'!E9</f>
        <v>149545.04500000004</v>
      </c>
      <c r="AE10" s="1359">
        <v>0</v>
      </c>
      <c r="AF10" s="1359">
        <f t="shared" ref="AF10:AF19" si="5">Y10</f>
        <v>0</v>
      </c>
      <c r="AG10" s="1359">
        <f t="shared" ref="AG10:AG22" si="6">Z10</f>
        <v>0</v>
      </c>
      <c r="AH10" s="1336" t="s">
        <v>348</v>
      </c>
      <c r="AI10" s="1344">
        <f t="shared" ref="AI10:AI17" si="7">SUM(AB10:AG10)-AA10</f>
        <v>0</v>
      </c>
    </row>
    <row r="11" spans="1:36">
      <c r="A11" s="1331">
        <v>32100</v>
      </c>
      <c r="B11" s="1336" t="s">
        <v>3</v>
      </c>
      <c r="C11" s="1341">
        <f>+SUM('2183 IS 2018'!AH24)</f>
        <v>4544415.74</v>
      </c>
      <c r="D11" s="1341"/>
      <c r="E11" s="1341"/>
      <c r="F11" s="1342">
        <f t="shared" si="0"/>
        <v>4544415.74</v>
      </c>
      <c r="G11" s="1343"/>
      <c r="H11" s="1359">
        <f>+'Restating Adj''s'!L10+SUM('Restating Adj''s'!B116:E116)+'Restating Adj''s'!B128</f>
        <v>-143697.15616585998</v>
      </c>
      <c r="I11" s="1341"/>
      <c r="J11" s="1341"/>
      <c r="K11" s="1383" t="s">
        <v>2707</v>
      </c>
      <c r="L11" s="1362">
        <f t="shared" ref="L11:L22" si="8">F11+H11+I11+J11</f>
        <v>4400718.5838341406</v>
      </c>
      <c r="M11" s="1337"/>
      <c r="N11" s="1359">
        <f t="shared" ref="N11:N22" si="9">C11+H11</f>
        <v>4400718.5838341406</v>
      </c>
      <c r="O11" s="1359">
        <f t="shared" ref="O11:O22" si="10">D11+I11</f>
        <v>0</v>
      </c>
      <c r="P11" s="1359">
        <f t="shared" ref="P11:P22" si="11">E11+J11</f>
        <v>0</v>
      </c>
      <c r="Q11" s="1359">
        <f t="shared" ref="Q11:Q22" si="12">SUM(N11:P11)</f>
        <v>4400718.5838341406</v>
      </c>
      <c r="R11" s="1359"/>
      <c r="S11" s="1359"/>
      <c r="T11" s="1359"/>
      <c r="U11" s="1359"/>
      <c r="V11" s="1355">
        <f t="shared" ref="V11:V22" si="13">+SUM(S11:U11)</f>
        <v>0</v>
      </c>
      <c r="W11" s="1333"/>
      <c r="X11" s="1681">
        <f t="shared" ref="X11:X22" si="14">+S11+N11</f>
        <v>4400718.5838341406</v>
      </c>
      <c r="Y11" s="1681">
        <f t="shared" ref="Y11:Y22" si="15">+T11+O11</f>
        <v>0</v>
      </c>
      <c r="Z11" s="1681">
        <f t="shared" ref="Z11:Z22" si="16">+U11+P11</f>
        <v>0</v>
      </c>
      <c r="AA11" s="1681">
        <f t="shared" ref="AA11:AA22" si="17">+SUM(X11:Z11)</f>
        <v>4400718.5838341406</v>
      </c>
      <c r="AB11" s="1682">
        <f>+'Restating Adj''s'!D10+'Restating Adj''s'!B116+'Restating Adj''s'!C116-AE11+'Restating Adj''s'!B128</f>
        <v>4158495.0055516609</v>
      </c>
      <c r="AC11" s="1359">
        <f>+'Restating Adj''s'!F10+'Restating Adj''s'!D116</f>
        <v>184096.1825709891</v>
      </c>
      <c r="AD11" s="1359">
        <f>+'Restating Adj''s'!E10+'Restating Adj''s'!E116</f>
        <v>58127.395711489502</v>
      </c>
      <c r="AE11" s="1359">
        <v>0</v>
      </c>
      <c r="AF11" s="1359">
        <f t="shared" si="5"/>
        <v>0</v>
      </c>
      <c r="AG11" s="1359">
        <f t="shared" si="6"/>
        <v>0</v>
      </c>
      <c r="AH11" s="1336" t="s">
        <v>348</v>
      </c>
      <c r="AI11" s="1344">
        <f t="shared" si="7"/>
        <v>0</v>
      </c>
    </row>
    <row r="12" spans="1:36">
      <c r="A12" s="1331">
        <v>32110</v>
      </c>
      <c r="B12" s="1336" t="s">
        <v>4</v>
      </c>
      <c r="C12" s="1341">
        <f>+'2183 IS 2018'!AH25</f>
        <v>1952407.25</v>
      </c>
      <c r="D12" s="1341"/>
      <c r="E12" s="1341"/>
      <c r="F12" s="1342">
        <f t="shared" si="0"/>
        <v>1952407.25</v>
      </c>
      <c r="G12" s="1343"/>
      <c r="H12" s="1359">
        <f>+'Restating Adj''s'!L11+'Restating Adj''s'!B129</f>
        <v>-21227.024187102834</v>
      </c>
      <c r="I12" s="1341"/>
      <c r="J12" s="1341"/>
      <c r="K12" s="1383" t="s">
        <v>2706</v>
      </c>
      <c r="L12" s="1362">
        <f t="shared" si="8"/>
        <v>1931180.2258128971</v>
      </c>
      <c r="M12" s="1337"/>
      <c r="N12" s="1359">
        <f t="shared" si="9"/>
        <v>1931180.2258128971</v>
      </c>
      <c r="O12" s="1359">
        <f t="shared" si="10"/>
        <v>0</v>
      </c>
      <c r="P12" s="1359">
        <f t="shared" si="11"/>
        <v>0</v>
      </c>
      <c r="Q12" s="1359">
        <f t="shared" si="12"/>
        <v>1931180.2258128971</v>
      </c>
      <c r="R12" s="1359"/>
      <c r="S12" s="1359"/>
      <c r="T12" s="1359"/>
      <c r="U12" s="1359"/>
      <c r="V12" s="1355">
        <f t="shared" si="13"/>
        <v>0</v>
      </c>
      <c r="W12" s="1333"/>
      <c r="X12" s="1681">
        <f t="shared" si="14"/>
        <v>1931180.2258128971</v>
      </c>
      <c r="Y12" s="1681">
        <f t="shared" si="15"/>
        <v>0</v>
      </c>
      <c r="Z12" s="1681">
        <f t="shared" si="16"/>
        <v>0</v>
      </c>
      <c r="AA12" s="1681">
        <f t="shared" si="17"/>
        <v>1931180.2258128971</v>
      </c>
      <c r="AB12" s="1359">
        <f>+'Restating Adj''s'!D11-AE12+'Restating Adj''s'!B129</f>
        <v>1840163.9458128971</v>
      </c>
      <c r="AC12" s="1359">
        <f>+'Restating Adj''s'!F11</f>
        <v>78447.225000000006</v>
      </c>
      <c r="AD12" s="1359">
        <f>+'Restating Adj''s'!E11</f>
        <v>12569.055000000002</v>
      </c>
      <c r="AE12" s="1359">
        <v>0</v>
      </c>
      <c r="AF12" s="1359">
        <f t="shared" si="5"/>
        <v>0</v>
      </c>
      <c r="AG12" s="1359">
        <f t="shared" si="6"/>
        <v>0</v>
      </c>
      <c r="AH12" s="1336" t="s">
        <v>348</v>
      </c>
      <c r="AI12" s="1344">
        <f t="shared" si="7"/>
        <v>0</v>
      </c>
    </row>
    <row r="13" spans="1:36">
      <c r="A13" s="1331"/>
      <c r="B13" s="1336" t="s">
        <v>308</v>
      </c>
      <c r="C13" s="1341">
        <f>+IFERROR(VLOOKUP(A13,'2183 IS 2018'!$D:$AH,31,FALSE),0)</f>
        <v>0</v>
      </c>
      <c r="D13" s="1341"/>
      <c r="E13" s="1341"/>
      <c r="F13" s="1342">
        <f t="shared" si="0"/>
        <v>0</v>
      </c>
      <c r="G13" s="1343"/>
      <c r="H13" s="1341">
        <f>+'Restating Adj''s'!L14+SUM('Restating Adj''s'!B119:E119)</f>
        <v>518396.42851253814</v>
      </c>
      <c r="I13" s="1341"/>
      <c r="J13" s="1341"/>
      <c r="K13" s="1383" t="s">
        <v>2708</v>
      </c>
      <c r="L13" s="1362">
        <f t="shared" si="8"/>
        <v>518396.42851253814</v>
      </c>
      <c r="M13" s="1337"/>
      <c r="N13" s="1359">
        <f t="shared" si="9"/>
        <v>518396.42851253814</v>
      </c>
      <c r="O13" s="1359">
        <f t="shared" si="10"/>
        <v>0</v>
      </c>
      <c r="P13" s="1359">
        <f t="shared" si="11"/>
        <v>0</v>
      </c>
      <c r="Q13" s="1359">
        <f t="shared" si="12"/>
        <v>518396.42851253814</v>
      </c>
      <c r="R13" s="1359"/>
      <c r="S13" s="1359"/>
      <c r="T13" s="1359"/>
      <c r="U13" s="1359"/>
      <c r="V13" s="1355">
        <f t="shared" si="13"/>
        <v>0</v>
      </c>
      <c r="W13" s="1333"/>
      <c r="X13" s="1681">
        <f t="shared" si="14"/>
        <v>518396.42851253814</v>
      </c>
      <c r="Y13" s="1681">
        <f t="shared" si="15"/>
        <v>0</v>
      </c>
      <c r="Z13" s="1681">
        <f t="shared" si="16"/>
        <v>0</v>
      </c>
      <c r="AA13" s="1681">
        <f t="shared" si="17"/>
        <v>518396.42851253814</v>
      </c>
      <c r="AB13" s="1359">
        <f>+'Restating Adj''s'!D14+'Restating Adj''s'!B119+'Restating Adj''s'!C119-AE13</f>
        <v>506932.21473359119</v>
      </c>
      <c r="AC13" s="1359">
        <f>+'Restating Adj''s'!F14+'Restating Adj''s'!D119</f>
        <v>10505.829054328387</v>
      </c>
      <c r="AD13" s="1359">
        <f>+'Restating Adj''s'!E14+'Restating Adj''s'!E119</f>
        <v>958.3847246185187</v>
      </c>
      <c r="AE13" s="1359">
        <v>0</v>
      </c>
      <c r="AF13" s="1359">
        <f t="shared" si="5"/>
        <v>0</v>
      </c>
      <c r="AG13" s="1359">
        <f t="shared" si="6"/>
        <v>0</v>
      </c>
      <c r="AH13" s="1336" t="s">
        <v>348</v>
      </c>
      <c r="AI13" s="1344">
        <f t="shared" si="7"/>
        <v>0</v>
      </c>
    </row>
    <row r="14" spans="1:36">
      <c r="A14" s="1331">
        <v>33000</v>
      </c>
      <c r="B14" s="1336" t="s">
        <v>5</v>
      </c>
      <c r="C14" s="1341">
        <f>+SUM('2183 IS 2018'!AH26:AH27)</f>
        <v>6604245.79</v>
      </c>
      <c r="D14" s="1341"/>
      <c r="E14" s="1341"/>
      <c r="F14" s="1342">
        <f t="shared" si="0"/>
        <v>6604245.79</v>
      </c>
      <c r="G14" s="1343"/>
      <c r="H14" s="1341">
        <f>+'Restating Adj''s'!L12+'Restating Adj''s'!B132</f>
        <v>-16753.717143455273</v>
      </c>
      <c r="I14" s="1341"/>
      <c r="J14" s="1341"/>
      <c r="K14" s="1383" t="s">
        <v>2706</v>
      </c>
      <c r="L14" s="1362">
        <f t="shared" si="8"/>
        <v>6587492.0728565445</v>
      </c>
      <c r="M14" s="1337"/>
      <c r="N14" s="1359">
        <f t="shared" si="9"/>
        <v>6587492.0728565445</v>
      </c>
      <c r="O14" s="1359">
        <f t="shared" si="10"/>
        <v>0</v>
      </c>
      <c r="P14" s="1359">
        <f t="shared" si="11"/>
        <v>0</v>
      </c>
      <c r="Q14" s="1359">
        <f t="shared" si="12"/>
        <v>6587492.0728565445</v>
      </c>
      <c r="R14" s="1359"/>
      <c r="S14" s="1359"/>
      <c r="T14" s="1359"/>
      <c r="U14" s="1359"/>
      <c r="V14" s="1355">
        <f t="shared" si="13"/>
        <v>0</v>
      </c>
      <c r="W14" s="1333"/>
      <c r="X14" s="1681">
        <f t="shared" si="14"/>
        <v>6587492.0728565445</v>
      </c>
      <c r="Y14" s="1681">
        <f t="shared" si="15"/>
        <v>0</v>
      </c>
      <c r="Z14" s="1681">
        <f t="shared" si="16"/>
        <v>0</v>
      </c>
      <c r="AA14" s="1681">
        <f t="shared" si="17"/>
        <v>6587492.0728565445</v>
      </c>
      <c r="AB14" s="1359">
        <f>+'Restating Adj''s'!D12-AE14+'Restating Adj''s'!B132</f>
        <v>6226892.6828565439</v>
      </c>
      <c r="AC14" s="1359">
        <f>+'Restating Adj''s'!F12</f>
        <v>286439.10999999993</v>
      </c>
      <c r="AD14" s="1359">
        <f>+'Restating Adj''s'!E12</f>
        <v>74160.280000000013</v>
      </c>
      <c r="AE14" s="1359">
        <v>0</v>
      </c>
      <c r="AF14" s="1359">
        <f t="shared" si="5"/>
        <v>0</v>
      </c>
      <c r="AG14" s="1359">
        <f t="shared" si="6"/>
        <v>0</v>
      </c>
      <c r="AH14" s="1336" t="s">
        <v>348</v>
      </c>
      <c r="AI14" s="1344">
        <f t="shared" si="7"/>
        <v>0</v>
      </c>
    </row>
    <row r="15" spans="1:36">
      <c r="A15" s="1331">
        <v>31000</v>
      </c>
      <c r="B15" s="1336" t="s">
        <v>6</v>
      </c>
      <c r="C15" s="1341">
        <f>+SUM('2183 IS 2018'!AH16:AH18,'2183 IS 2018'!AH21)</f>
        <v>1696872.3599999999</v>
      </c>
      <c r="D15" s="1341"/>
      <c r="E15" s="1341"/>
      <c r="F15" s="1342">
        <f t="shared" si="0"/>
        <v>1696872.3599999999</v>
      </c>
      <c r="G15" s="1343"/>
      <c r="H15" s="1341">
        <f>+'Restating Adj''s'!L16+'Restating Adj''s'!B131</f>
        <v>-108851.10845672706</v>
      </c>
      <c r="I15" s="1341"/>
      <c r="J15" s="1341"/>
      <c r="K15" s="1383" t="s">
        <v>2706</v>
      </c>
      <c r="L15" s="1362">
        <f t="shared" si="8"/>
        <v>1588021.2515432728</v>
      </c>
      <c r="M15" s="1337"/>
      <c r="N15" s="1359">
        <f t="shared" si="9"/>
        <v>1588021.2515432728</v>
      </c>
      <c r="O15" s="1359">
        <f t="shared" si="10"/>
        <v>0</v>
      </c>
      <c r="P15" s="1359">
        <f t="shared" si="11"/>
        <v>0</v>
      </c>
      <c r="Q15" s="1359">
        <f t="shared" si="12"/>
        <v>1588021.2515432728</v>
      </c>
      <c r="R15" s="1359"/>
      <c r="S15" s="1359"/>
      <c r="T15" s="1359"/>
      <c r="U15" s="1359"/>
      <c r="V15" s="1355">
        <f t="shared" si="13"/>
        <v>0</v>
      </c>
      <c r="W15" s="1333"/>
      <c r="X15" s="1681">
        <f t="shared" si="14"/>
        <v>1588021.2515432728</v>
      </c>
      <c r="Y15" s="1681">
        <f t="shared" si="15"/>
        <v>0</v>
      </c>
      <c r="Z15" s="1681">
        <f t="shared" si="16"/>
        <v>0</v>
      </c>
      <c r="AA15" s="1681">
        <f t="shared" si="17"/>
        <v>1588021.2515432728</v>
      </c>
      <c r="AB15" s="1682">
        <f>+'Restating Adj''s'!D16-AE15+'Restating Adj''s'!B131</f>
        <v>1455286.1815432727</v>
      </c>
      <c r="AC15" s="1359">
        <f>+'Restating Adj''s'!F16</f>
        <v>116586.29</v>
      </c>
      <c r="AD15" s="1359">
        <f>+'Restating Adj''s'!E16</f>
        <v>16148.779999999999</v>
      </c>
      <c r="AE15" s="1359"/>
      <c r="AF15" s="1359">
        <f t="shared" si="5"/>
        <v>0</v>
      </c>
      <c r="AG15" s="1359">
        <f t="shared" si="6"/>
        <v>0</v>
      </c>
      <c r="AH15" s="1336" t="s">
        <v>348</v>
      </c>
      <c r="AI15" s="1344">
        <f t="shared" si="7"/>
        <v>0</v>
      </c>
    </row>
    <row r="16" spans="1:36">
      <c r="A16" s="1331">
        <v>31004</v>
      </c>
      <c r="B16" s="1336" t="s">
        <v>632</v>
      </c>
      <c r="C16" s="1341"/>
      <c r="D16" s="1341"/>
      <c r="E16" s="1341"/>
      <c r="F16" s="1342">
        <f t="shared" si="0"/>
        <v>0</v>
      </c>
      <c r="G16" s="1343"/>
      <c r="H16" s="1341">
        <f>+'Restating Adj''s'!L17</f>
        <v>1099258.19</v>
      </c>
      <c r="I16" s="1341"/>
      <c r="J16" s="1341"/>
      <c r="K16" s="1383" t="s">
        <v>570</v>
      </c>
      <c r="L16" s="1362">
        <f t="shared" si="8"/>
        <v>1099258.19</v>
      </c>
      <c r="M16" s="1337"/>
      <c r="N16" s="1359">
        <f t="shared" si="9"/>
        <v>1099258.19</v>
      </c>
      <c r="O16" s="1359">
        <f t="shared" si="10"/>
        <v>0</v>
      </c>
      <c r="P16" s="1359">
        <f t="shared" si="11"/>
        <v>0</v>
      </c>
      <c r="Q16" s="1359">
        <f t="shared" si="12"/>
        <v>1099258.19</v>
      </c>
      <c r="R16" s="1359"/>
      <c r="S16" s="1359"/>
      <c r="T16" s="1359"/>
      <c r="U16" s="1359"/>
      <c r="V16" s="1355">
        <f t="shared" si="13"/>
        <v>0</v>
      </c>
      <c r="W16" s="1333"/>
      <c r="X16" s="1681">
        <f t="shared" si="14"/>
        <v>1099258.19</v>
      </c>
      <c r="Y16" s="1681">
        <f t="shared" si="15"/>
        <v>0</v>
      </c>
      <c r="Z16" s="1681">
        <f t="shared" si="16"/>
        <v>0</v>
      </c>
      <c r="AA16" s="1681">
        <f t="shared" si="17"/>
        <v>1099258.19</v>
      </c>
      <c r="AB16" s="1359">
        <f t="shared" ref="AB16" si="18">X16-AE16</f>
        <v>0</v>
      </c>
      <c r="AC16" s="1359"/>
      <c r="AD16" s="1359"/>
      <c r="AE16" s="1359">
        <f>+X16</f>
        <v>1099258.19</v>
      </c>
      <c r="AF16" s="1359">
        <f t="shared" ref="AF16" si="19">Y16</f>
        <v>0</v>
      </c>
      <c r="AG16" s="1359">
        <f t="shared" si="6"/>
        <v>0</v>
      </c>
      <c r="AH16" s="1336" t="s">
        <v>348</v>
      </c>
      <c r="AI16" s="1344">
        <f t="shared" si="7"/>
        <v>0</v>
      </c>
    </row>
    <row r="17" spans="1:37">
      <c r="A17" s="1331">
        <v>31005</v>
      </c>
      <c r="B17" s="1336" t="s">
        <v>7</v>
      </c>
      <c r="C17" s="1341">
        <f>+'2183 IS 2018'!AH20</f>
        <v>3422552.4200000004</v>
      </c>
      <c r="D17" s="1341"/>
      <c r="E17" s="1341"/>
      <c r="F17" s="1342">
        <f t="shared" si="0"/>
        <v>3422552.4200000004</v>
      </c>
      <c r="G17" s="1343"/>
      <c r="H17" s="1341">
        <f>+'Restating Adj''s'!L18</f>
        <v>-585.5</v>
      </c>
      <c r="I17" s="1341"/>
      <c r="J17" s="1341"/>
      <c r="K17" s="1383" t="s">
        <v>570</v>
      </c>
      <c r="L17" s="1362">
        <f t="shared" si="8"/>
        <v>3421966.9200000004</v>
      </c>
      <c r="M17" s="1337"/>
      <c r="N17" s="1359">
        <f t="shared" si="9"/>
        <v>3421966.9200000004</v>
      </c>
      <c r="O17" s="1359">
        <f t="shared" si="10"/>
        <v>0</v>
      </c>
      <c r="P17" s="1359">
        <f t="shared" si="11"/>
        <v>0</v>
      </c>
      <c r="Q17" s="1359">
        <f t="shared" si="12"/>
        <v>3421966.9200000004</v>
      </c>
      <c r="R17" s="1359"/>
      <c r="S17" s="1359"/>
      <c r="T17" s="1359"/>
      <c r="U17" s="1359"/>
      <c r="V17" s="1355">
        <f t="shared" si="13"/>
        <v>0</v>
      </c>
      <c r="W17" s="1333"/>
      <c r="X17" s="1681">
        <f t="shared" si="14"/>
        <v>3421966.9200000004</v>
      </c>
      <c r="Y17" s="1681">
        <f t="shared" si="15"/>
        <v>0</v>
      </c>
      <c r="Z17" s="1681">
        <f t="shared" si="16"/>
        <v>0</v>
      </c>
      <c r="AA17" s="1681">
        <f t="shared" si="17"/>
        <v>3421966.9200000004</v>
      </c>
      <c r="AB17" s="1359">
        <f>'Restating Adj''s'!D18</f>
        <v>2613258.9700000002</v>
      </c>
      <c r="AC17" s="1359">
        <f>'Restating Adj''s'!F18</f>
        <v>242370.78000000003</v>
      </c>
      <c r="AD17" s="1359">
        <f>'Restating Adj''s'!E18</f>
        <v>14933.349999999999</v>
      </c>
      <c r="AE17" s="1359">
        <f>X17-AB17-AC17-AD17</f>
        <v>551403.82000000018</v>
      </c>
      <c r="AF17" s="1359">
        <f t="shared" si="5"/>
        <v>0</v>
      </c>
      <c r="AG17" s="1359">
        <f t="shared" si="6"/>
        <v>0</v>
      </c>
      <c r="AH17" s="1336" t="s">
        <v>348</v>
      </c>
      <c r="AI17" s="1344">
        <f t="shared" si="7"/>
        <v>0</v>
      </c>
    </row>
    <row r="18" spans="1:37">
      <c r="A18" s="1331">
        <v>35000</v>
      </c>
      <c r="B18" s="1336" t="s">
        <v>8</v>
      </c>
      <c r="C18" s="1341">
        <f>+IFERROR(VLOOKUP(A18,'2183 IS 2018'!$D:$AH,31,FALSE),0)</f>
        <v>0</v>
      </c>
      <c r="D18" s="1341">
        <f>+'2184 IS 2018'!AH24</f>
        <v>6246611.8000000007</v>
      </c>
      <c r="E18" s="1341"/>
      <c r="F18" s="1342">
        <f t="shared" si="0"/>
        <v>6246611.8000000007</v>
      </c>
      <c r="G18" s="1343"/>
      <c r="H18" s="1341">
        <v>0</v>
      </c>
      <c r="I18" s="1341"/>
      <c r="J18" s="1341"/>
      <c r="K18" s="1383"/>
      <c r="L18" s="1362">
        <f t="shared" si="8"/>
        <v>6246611.8000000007</v>
      </c>
      <c r="M18" s="1337"/>
      <c r="N18" s="1359">
        <f t="shared" si="9"/>
        <v>0</v>
      </c>
      <c r="O18" s="1359">
        <f t="shared" si="10"/>
        <v>6246611.8000000007</v>
      </c>
      <c r="P18" s="1359">
        <f t="shared" si="11"/>
        <v>0</v>
      </c>
      <c r="Q18" s="1359">
        <f t="shared" si="12"/>
        <v>6246611.8000000007</v>
      </c>
      <c r="R18" s="1359"/>
      <c r="S18" s="1359"/>
      <c r="T18" s="1359"/>
      <c r="U18" s="1359"/>
      <c r="V18" s="1355">
        <f t="shared" si="13"/>
        <v>0</v>
      </c>
      <c r="W18" s="1333"/>
      <c r="X18" s="1681">
        <f t="shared" si="14"/>
        <v>0</v>
      </c>
      <c r="Y18" s="1681">
        <f t="shared" si="15"/>
        <v>6246611.8000000007</v>
      </c>
      <c r="Z18" s="1681">
        <f t="shared" si="16"/>
        <v>0</v>
      </c>
      <c r="AA18" s="1681">
        <f t="shared" si="17"/>
        <v>6246611.8000000007</v>
      </c>
      <c r="AB18" s="1359">
        <f t="shared" ref="AB18" si="20">X18-AE18</f>
        <v>0</v>
      </c>
      <c r="AC18" s="1359"/>
      <c r="AD18" s="1359"/>
      <c r="AE18" s="1359">
        <v>0</v>
      </c>
      <c r="AF18" s="1359">
        <f t="shared" si="5"/>
        <v>6246611.8000000007</v>
      </c>
      <c r="AG18" s="1359">
        <f t="shared" si="6"/>
        <v>0</v>
      </c>
      <c r="AH18" s="1336" t="s">
        <v>348</v>
      </c>
      <c r="AI18" s="1344">
        <f>SUM(AB18:AG18)-AA18</f>
        <v>0</v>
      </c>
    </row>
    <row r="19" spans="1:37">
      <c r="A19" s="1331">
        <v>33020</v>
      </c>
      <c r="B19" s="1336" t="s">
        <v>9</v>
      </c>
      <c r="C19" s="1341">
        <f>+SUM('2183 IS 2018'!AH28:AH30)+'2183 IS 2018'!AH19</f>
        <v>3837392.7999999993</v>
      </c>
      <c r="D19" s="1341"/>
      <c r="E19" s="1341">
        <f>+'2185 IS 2018'!AH19</f>
        <v>3523027.3099999996</v>
      </c>
      <c r="F19" s="1342">
        <f t="shared" si="0"/>
        <v>7360420.1099999994</v>
      </c>
      <c r="G19" s="1343"/>
      <c r="H19" s="1341">
        <f>+'Restating Adj''s'!L15</f>
        <v>-1551536.3999999994</v>
      </c>
      <c r="I19" s="1341"/>
      <c r="J19" s="1341"/>
      <c r="K19" s="1383" t="s">
        <v>570</v>
      </c>
      <c r="L19" s="1362">
        <f t="shared" si="8"/>
        <v>5808883.71</v>
      </c>
      <c r="M19" s="1337"/>
      <c r="N19" s="1359">
        <f t="shared" si="9"/>
        <v>2285856.4</v>
      </c>
      <c r="O19" s="1359">
        <f t="shared" si="10"/>
        <v>0</v>
      </c>
      <c r="P19" s="1359">
        <f t="shared" si="11"/>
        <v>3523027.3099999996</v>
      </c>
      <c r="Q19" s="1359">
        <f t="shared" si="12"/>
        <v>5808883.709999999</v>
      </c>
      <c r="R19" s="1359"/>
      <c r="S19" s="1359"/>
      <c r="T19" s="1359"/>
      <c r="U19" s="1359"/>
      <c r="V19" s="1355">
        <f t="shared" si="13"/>
        <v>0</v>
      </c>
      <c r="W19" s="1333"/>
      <c r="X19" s="1681">
        <f t="shared" si="14"/>
        <v>2285856.4</v>
      </c>
      <c r="Y19" s="1681">
        <f t="shared" si="15"/>
        <v>0</v>
      </c>
      <c r="Z19" s="1681">
        <f t="shared" si="16"/>
        <v>3523027.3099999996</v>
      </c>
      <c r="AA19" s="1681">
        <f t="shared" si="17"/>
        <v>5808883.709999999</v>
      </c>
      <c r="AB19" s="1359"/>
      <c r="AC19" s="1359"/>
      <c r="AD19" s="1359"/>
      <c r="AE19" s="1359">
        <f>X19</f>
        <v>2285856.4</v>
      </c>
      <c r="AF19" s="1359">
        <f t="shared" si="5"/>
        <v>0</v>
      </c>
      <c r="AG19" s="1359">
        <f t="shared" si="6"/>
        <v>3523027.3099999996</v>
      </c>
      <c r="AH19" s="1336" t="s">
        <v>348</v>
      </c>
      <c r="AI19" s="1344">
        <f t="shared" ref="AI19:AI22" si="21">SUM(AB19:AG19)-AA19</f>
        <v>0</v>
      </c>
    </row>
    <row r="20" spans="1:37">
      <c r="A20" s="1331">
        <v>35500</v>
      </c>
      <c r="B20" s="1336" t="s">
        <v>10</v>
      </c>
      <c r="C20" s="1341">
        <f>+'2183 IS 2018'!AH48</f>
        <v>447863.35</v>
      </c>
      <c r="D20" s="1341">
        <f>+'2184 IS 2018'!AH42</f>
        <v>374856.88</v>
      </c>
      <c r="E20" s="1341">
        <f>+'2185 IS 2018'!AH31</f>
        <v>859480.87999999989</v>
      </c>
      <c r="F20" s="1342">
        <f t="shared" si="0"/>
        <v>1682201.1099999999</v>
      </c>
      <c r="G20" s="1343"/>
      <c r="H20" s="1341"/>
      <c r="I20" s="1341"/>
      <c r="J20" s="1341"/>
      <c r="K20" s="1383"/>
      <c r="L20" s="1362">
        <f t="shared" si="8"/>
        <v>1682201.1099999999</v>
      </c>
      <c r="M20" s="1337"/>
      <c r="N20" s="1359">
        <f t="shared" si="9"/>
        <v>447863.35</v>
      </c>
      <c r="O20" s="1359">
        <f t="shared" si="10"/>
        <v>374856.88</v>
      </c>
      <c r="P20" s="1359">
        <f t="shared" si="11"/>
        <v>859480.87999999989</v>
      </c>
      <c r="Q20" s="1359">
        <f t="shared" si="12"/>
        <v>1682201.1099999999</v>
      </c>
      <c r="R20" s="1359"/>
      <c r="S20" s="1359"/>
      <c r="T20" s="1359"/>
      <c r="U20" s="1359"/>
      <c r="V20" s="1355">
        <f t="shared" si="13"/>
        <v>0</v>
      </c>
      <c r="W20" s="1333"/>
      <c r="X20" s="1681">
        <f t="shared" si="14"/>
        <v>447863.35</v>
      </c>
      <c r="Y20" s="1681">
        <f t="shared" si="15"/>
        <v>374856.88</v>
      </c>
      <c r="Z20" s="1681">
        <f t="shared" si="16"/>
        <v>859480.87999999989</v>
      </c>
      <c r="AA20" s="1681">
        <f t="shared" si="17"/>
        <v>1682201.1099999999</v>
      </c>
      <c r="AB20" s="1359"/>
      <c r="AC20" s="1359"/>
      <c r="AD20" s="1359"/>
      <c r="AE20" s="1359">
        <f>X20</f>
        <v>447863.35</v>
      </c>
      <c r="AF20" s="1359">
        <f>Y20</f>
        <v>374856.88</v>
      </c>
      <c r="AG20" s="1359">
        <f t="shared" si="6"/>
        <v>859480.87999999989</v>
      </c>
      <c r="AH20" s="1336" t="s">
        <v>348</v>
      </c>
      <c r="AI20" s="1344">
        <f t="shared" si="21"/>
        <v>0</v>
      </c>
    </row>
    <row r="21" spans="1:37">
      <c r="A21" s="1331">
        <v>38000</v>
      </c>
      <c r="B21" s="1336" t="s">
        <v>11</v>
      </c>
      <c r="C21" s="1341">
        <f>+'2183 IS 2018'!AH60</f>
        <v>38519.33</v>
      </c>
      <c r="D21" s="1341">
        <f>+'2184 IS 2018'!AH54</f>
        <v>9810</v>
      </c>
      <c r="E21" s="1341">
        <f>+'2185 IS 2018'!AH43</f>
        <v>6703.1500000000005</v>
      </c>
      <c r="F21" s="1342">
        <f t="shared" si="0"/>
        <v>55032.480000000003</v>
      </c>
      <c r="G21" s="1343"/>
      <c r="H21" s="1341">
        <f>+'Restating Adj''s'!L19</f>
        <v>712.5199999999968</v>
      </c>
      <c r="I21" s="1341"/>
      <c r="J21" s="1341"/>
      <c r="K21" s="1383" t="s">
        <v>570</v>
      </c>
      <c r="L21" s="1362">
        <f t="shared" si="8"/>
        <v>55745</v>
      </c>
      <c r="M21" s="1337"/>
      <c r="N21" s="1359">
        <f t="shared" si="9"/>
        <v>39231.85</v>
      </c>
      <c r="O21" s="1359">
        <f t="shared" si="10"/>
        <v>9810</v>
      </c>
      <c r="P21" s="1359">
        <f t="shared" si="11"/>
        <v>6703.1500000000005</v>
      </c>
      <c r="Q21" s="1359">
        <f t="shared" si="12"/>
        <v>55745</v>
      </c>
      <c r="R21" s="1359"/>
      <c r="S21" s="1359"/>
      <c r="T21" s="1359"/>
      <c r="U21" s="1359"/>
      <c r="V21" s="1355">
        <f t="shared" si="13"/>
        <v>0</v>
      </c>
      <c r="W21" s="1333"/>
      <c r="X21" s="1681">
        <f t="shared" si="14"/>
        <v>39231.85</v>
      </c>
      <c r="Y21" s="1681">
        <f t="shared" si="15"/>
        <v>9810</v>
      </c>
      <c r="Z21" s="1681">
        <f t="shared" si="16"/>
        <v>6703.1500000000005</v>
      </c>
      <c r="AA21" s="1681">
        <f t="shared" si="17"/>
        <v>55745</v>
      </c>
      <c r="AB21" s="1359">
        <f>+$X21*AB$26</f>
        <v>26572.250590897242</v>
      </c>
      <c r="AC21" s="1359">
        <f>+$X21*AC$26</f>
        <v>1613.4230236875419</v>
      </c>
      <c r="AD21" s="1359">
        <f>+$X21*AD$26</f>
        <v>261.23842430313601</v>
      </c>
      <c r="AE21" s="1359">
        <f>+$X21*AE$26</f>
        <v>10784.937961112084</v>
      </c>
      <c r="AF21" s="1359">
        <f>+Y21</f>
        <v>9810</v>
      </c>
      <c r="AG21" s="1359">
        <f t="shared" si="6"/>
        <v>6703.1500000000005</v>
      </c>
      <c r="AH21" s="1336" t="s">
        <v>174</v>
      </c>
      <c r="AI21" s="1344">
        <f t="shared" si="21"/>
        <v>0</v>
      </c>
    </row>
    <row r="22" spans="1:37">
      <c r="A22" s="1331">
        <v>38001</v>
      </c>
      <c r="B22" s="1336" t="s">
        <v>12</v>
      </c>
      <c r="C22" s="1341">
        <f>+'2183 IS 2018'!AH61</f>
        <v>33794.249999999993</v>
      </c>
      <c r="D22" s="1341">
        <f>+'2184 IS 2018'!AH55</f>
        <v>7190.93</v>
      </c>
      <c r="E22" s="1341">
        <f>+'2185 IS 2018'!AH44</f>
        <v>1846.6000000000001</v>
      </c>
      <c r="F22" s="1342">
        <f t="shared" si="0"/>
        <v>42831.779999999992</v>
      </c>
      <c r="G22" s="1343"/>
      <c r="H22" s="1341"/>
      <c r="I22" s="1341"/>
      <c r="J22" s="1341"/>
      <c r="K22" s="1383"/>
      <c r="L22" s="1362">
        <f t="shared" si="8"/>
        <v>42831.779999999992</v>
      </c>
      <c r="M22" s="1337"/>
      <c r="N22" s="1359">
        <f t="shared" si="9"/>
        <v>33794.249999999993</v>
      </c>
      <c r="O22" s="1359">
        <f t="shared" si="10"/>
        <v>7190.93</v>
      </c>
      <c r="P22" s="1359">
        <f t="shared" si="11"/>
        <v>1846.6000000000001</v>
      </c>
      <c r="Q22" s="1359">
        <f t="shared" si="12"/>
        <v>42831.779999999992</v>
      </c>
      <c r="R22" s="1359"/>
      <c r="S22" s="1359"/>
      <c r="T22" s="1359"/>
      <c r="U22" s="1359"/>
      <c r="V22" s="1355">
        <f t="shared" si="13"/>
        <v>0</v>
      </c>
      <c r="W22" s="1333"/>
      <c r="X22" s="1681">
        <f t="shared" si="14"/>
        <v>33794.249999999993</v>
      </c>
      <c r="Y22" s="1681">
        <f t="shared" si="15"/>
        <v>7190.93</v>
      </c>
      <c r="Z22" s="1681">
        <f t="shared" si="16"/>
        <v>1846.6000000000001</v>
      </c>
      <c r="AA22" s="1681">
        <f t="shared" si="17"/>
        <v>42831.779999999992</v>
      </c>
      <c r="AB22" s="1359">
        <f>+$X22*'2183-2184-2185 Ratios'!C$60</f>
        <v>25721.413337496066</v>
      </c>
      <c r="AC22" s="1359">
        <f>+$X22*'2183-2184-2185 Ratios'!D$60</f>
        <v>1310.4079292850477</v>
      </c>
      <c r="AD22" s="1359">
        <f>+$X22*'2183-2184-2185 Ratios'!E$60</f>
        <v>289.93168933880855</v>
      </c>
      <c r="AE22" s="1359">
        <f>+$X22*'2183-2184-2185 Ratios'!F$60</f>
        <v>6472.4970438800656</v>
      </c>
      <c r="AF22" s="1359">
        <f>Y22</f>
        <v>7190.93</v>
      </c>
      <c r="AG22" s="1359">
        <f t="shared" si="6"/>
        <v>1846.6000000000001</v>
      </c>
      <c r="AH22" s="1336" t="s">
        <v>337</v>
      </c>
      <c r="AI22" s="1344">
        <f t="shared" si="21"/>
        <v>0</v>
      </c>
    </row>
    <row r="23" spans="1:37">
      <c r="A23" s="1331"/>
      <c r="B23" s="1336"/>
      <c r="C23" s="1341"/>
      <c r="D23" s="1341"/>
      <c r="E23" s="1341"/>
      <c r="F23" s="1341"/>
      <c r="G23" s="1343"/>
      <c r="H23" s="1341"/>
      <c r="I23" s="1341"/>
      <c r="J23" s="1341"/>
      <c r="K23" s="1341"/>
      <c r="L23" s="1362"/>
      <c r="M23" s="1336"/>
      <c r="N23" s="1359"/>
      <c r="O23" s="1359"/>
      <c r="P23" s="1359"/>
      <c r="Q23" s="1359"/>
      <c r="R23" s="1359"/>
      <c r="S23" s="1359"/>
      <c r="T23" s="1359"/>
      <c r="U23" s="1359"/>
      <c r="V23" s="1345"/>
      <c r="W23" s="1345"/>
      <c r="X23" s="1345"/>
      <c r="Y23" s="1345"/>
      <c r="Z23" s="1345"/>
      <c r="AA23" s="1345"/>
      <c r="AB23" s="1359"/>
      <c r="AC23" s="1359"/>
      <c r="AD23" s="1359"/>
      <c r="AE23" s="1359"/>
      <c r="AF23" s="1359"/>
      <c r="AG23" s="1359"/>
      <c r="AH23" s="1336"/>
      <c r="AI23" s="1344"/>
    </row>
    <row r="24" spans="1:37">
      <c r="A24" s="1331"/>
      <c r="B24" s="1332" t="s">
        <v>13</v>
      </c>
      <c r="C24" s="1346">
        <f t="shared" ref="C24:J24" si="22">SUM(C10:C23)</f>
        <v>34204305.890000001</v>
      </c>
      <c r="D24" s="1346">
        <f t="shared" si="22"/>
        <v>6638469.6100000003</v>
      </c>
      <c r="E24" s="1346">
        <f t="shared" si="22"/>
        <v>4391057.9399999995</v>
      </c>
      <c r="F24" s="1346">
        <f t="shared" si="22"/>
        <v>45233833.440000005</v>
      </c>
      <c r="G24" s="1346">
        <f t="shared" si="22"/>
        <v>0</v>
      </c>
      <c r="H24" s="1346">
        <f>SUM(H10:H23)</f>
        <v>-231146.90669230142</v>
      </c>
      <c r="I24" s="1346">
        <f t="shared" si="22"/>
        <v>0</v>
      </c>
      <c r="J24" s="1346">
        <f t="shared" si="22"/>
        <v>0</v>
      </c>
      <c r="K24" s="1347"/>
      <c r="L24" s="1346">
        <f>SUM(L10:L23)</f>
        <v>45002686.533307709</v>
      </c>
      <c r="M24" s="1346"/>
      <c r="N24" s="1346">
        <f>SUM(N10:N23)</f>
        <v>33973158.983307704</v>
      </c>
      <c r="O24" s="1346">
        <f>SUM(O10:O23)</f>
        <v>6638469.6100000003</v>
      </c>
      <c r="P24" s="1346">
        <f>SUM(P10:P23)</f>
        <v>4391057.9399999995</v>
      </c>
      <c r="Q24" s="1346">
        <f>SUM(Q10:Q23)</f>
        <v>45002686.533307709</v>
      </c>
      <c r="R24" s="1346"/>
      <c r="S24" s="1346">
        <f>SUM(S10:S23)</f>
        <v>0</v>
      </c>
      <c r="T24" s="1346">
        <f>SUM(T10:T23)</f>
        <v>0</v>
      </c>
      <c r="U24" s="1346">
        <f>SUM(U10:U23)</f>
        <v>0</v>
      </c>
      <c r="V24" s="1346">
        <f>SUM(V10:V23)</f>
        <v>0</v>
      </c>
      <c r="W24" s="1346"/>
      <c r="X24" s="1346">
        <f t="shared" ref="X24:AI24" si="23">SUM(X10:X23)</f>
        <v>33973158.983307704</v>
      </c>
      <c r="Y24" s="1346">
        <f t="shared" si="23"/>
        <v>6638469.6100000003</v>
      </c>
      <c r="Z24" s="1346">
        <f t="shared" si="23"/>
        <v>4391057.9399999995</v>
      </c>
      <c r="AA24" s="1346">
        <f t="shared" si="23"/>
        <v>45002686.533307709</v>
      </c>
      <c r="AB24" s="1346">
        <f>SUM(AB10:AB23)</f>
        <v>27790575.685174663</v>
      </c>
      <c r="AC24" s="1346">
        <f t="shared" si="23"/>
        <v>1453950.6425782898</v>
      </c>
      <c r="AD24" s="1346">
        <f t="shared" si="23"/>
        <v>326993.46054974996</v>
      </c>
      <c r="AE24" s="1346">
        <f t="shared" si="23"/>
        <v>4401639.1950049913</v>
      </c>
      <c r="AF24" s="1346">
        <f t="shared" si="23"/>
        <v>6638469.6100000003</v>
      </c>
      <c r="AG24" s="1346">
        <f t="shared" si="23"/>
        <v>4391057.9399999995</v>
      </c>
      <c r="AH24" s="1346">
        <f t="shared" si="23"/>
        <v>0</v>
      </c>
      <c r="AI24" s="1348">
        <f t="shared" si="23"/>
        <v>0</v>
      </c>
    </row>
    <row r="25" spans="1:37">
      <c r="A25" s="1331"/>
      <c r="B25" s="1336"/>
      <c r="C25" s="1349">
        <f>+'2183 IS 2018'!AH65</f>
        <v>34204305.890000001</v>
      </c>
      <c r="D25" s="1333"/>
      <c r="E25" s="1343"/>
      <c r="F25" s="1343"/>
      <c r="G25" s="1350"/>
      <c r="H25" s="1341"/>
      <c r="I25" s="1341"/>
      <c r="J25" s="1341"/>
      <c r="K25" s="1341"/>
      <c r="L25" s="1341"/>
      <c r="M25" s="1350"/>
      <c r="N25" s="1342"/>
      <c r="O25" s="1336"/>
      <c r="P25" s="1351"/>
      <c r="Q25" s="1345"/>
      <c r="R25" s="1345"/>
      <c r="S25" s="1345"/>
      <c r="T25" s="1345"/>
      <c r="U25" s="1345"/>
      <c r="V25" s="1345"/>
      <c r="W25" s="1345"/>
      <c r="X25" s="1352">
        <f>+X24/$AA$24</f>
        <v>0.7549140195922136</v>
      </c>
      <c r="Y25" s="1352">
        <f>+Y24/$AA$24</f>
        <v>0.14751274026911013</v>
      </c>
      <c r="Z25" s="1352">
        <f>+Z24/$AA$24</f>
        <v>9.7573240138676132E-2</v>
      </c>
      <c r="AA25" s="1350">
        <f>SUM(W25:Z25)</f>
        <v>0.99999999999999978</v>
      </c>
      <c r="AB25" s="1352">
        <f>+AB24/SUM($AB$24:$AE$24)</f>
        <v>0.81801564873108312</v>
      </c>
      <c r="AC25" s="1352">
        <f>+AC24/SUM($AB$24:$AE$24)</f>
        <v>4.2797039960065869E-2</v>
      </c>
      <c r="AD25" s="1352">
        <f>+AD24/SUM($AB$24:$AE$24)</f>
        <v>9.6250531400513661E-3</v>
      </c>
      <c r="AE25" s="1352">
        <f>+AE24/SUM($AB$24:$AE$24)</f>
        <v>0.12956225816879982</v>
      </c>
      <c r="AF25" s="1352"/>
      <c r="AG25" s="1352"/>
      <c r="AH25" s="1350">
        <f>SUM(AB25:AG25)</f>
        <v>1.0000000000000002</v>
      </c>
      <c r="AI25" s="1353"/>
    </row>
    <row r="26" spans="1:37">
      <c r="A26" s="1331"/>
      <c r="B26" s="1336"/>
      <c r="C26" s="1354">
        <f>C24-C25</f>
        <v>0</v>
      </c>
      <c r="D26" s="1355">
        <f>+D24-'2184 IS 2018'!AH59</f>
        <v>0</v>
      </c>
      <c r="E26" s="1355">
        <f>+E24-'2185 IS 2018'!AH48</f>
        <v>0</v>
      </c>
      <c r="F26" s="1356"/>
      <c r="G26" s="1333"/>
      <c r="H26" s="1341"/>
      <c r="I26" s="1341"/>
      <c r="J26" s="1341"/>
      <c r="K26" s="1341"/>
      <c r="L26" s="1341"/>
      <c r="M26" s="1336"/>
      <c r="N26" s="1342"/>
      <c r="O26" s="1336"/>
      <c r="P26" s="1351"/>
      <c r="Q26" s="1345"/>
      <c r="R26" s="1345"/>
      <c r="S26" s="1345"/>
      <c r="T26" s="1345"/>
      <c r="U26" s="1345"/>
      <c r="V26" s="1345"/>
      <c r="W26" s="1345"/>
      <c r="X26" s="1345"/>
      <c r="Y26" s="1345"/>
      <c r="Z26" s="1345"/>
      <c r="AA26" s="1345"/>
      <c r="AB26" s="1352">
        <f>+SUM(AB13:AB20)/SUM($AB$13:$AE$20)</f>
        <v>0.67731321849204773</v>
      </c>
      <c r="AC26" s="1352">
        <f t="shared" ref="AC26:AE26" si="24">+SUM(AC13:AC20)/SUM($AB$13:$AE$20)</f>
        <v>4.1125336268555829E-2</v>
      </c>
      <c r="AD26" s="1352">
        <f t="shared" si="24"/>
        <v>6.6588352143255036E-3</v>
      </c>
      <c r="AE26" s="1352">
        <f t="shared" si="24"/>
        <v>0.27490261002507105</v>
      </c>
      <c r="AF26" s="1352"/>
      <c r="AG26" s="1352"/>
      <c r="AH26" s="1336"/>
      <c r="AI26" s="1353"/>
    </row>
    <row r="27" spans="1:37">
      <c r="A27" s="1331"/>
      <c r="B27" s="1332" t="s">
        <v>14</v>
      </c>
      <c r="C27" s="1354"/>
      <c r="D27" s="1333"/>
      <c r="E27" s="1357"/>
      <c r="F27" s="1357"/>
      <c r="G27" s="1357"/>
      <c r="H27" s="1341"/>
      <c r="I27" s="1341"/>
      <c r="J27" s="1341"/>
      <c r="K27" s="1341"/>
      <c r="L27" s="1341"/>
      <c r="M27" s="1336"/>
      <c r="N27" s="1357"/>
      <c r="O27" s="1336"/>
      <c r="P27" s="1358"/>
      <c r="Q27" s="1333"/>
      <c r="R27" s="1333"/>
      <c r="S27" s="1333"/>
      <c r="T27" s="1333"/>
      <c r="U27" s="1333"/>
      <c r="V27" s="1333"/>
      <c r="W27" s="1333"/>
      <c r="X27" s="1333"/>
      <c r="Y27" s="1333"/>
      <c r="Z27" s="1333"/>
      <c r="AA27" s="1333"/>
      <c r="AB27" s="1359"/>
      <c r="AC27" s="1359"/>
      <c r="AD27" s="1359"/>
      <c r="AE27" s="1341"/>
      <c r="AF27" s="1341"/>
      <c r="AG27" s="1341"/>
      <c r="AH27" s="1336"/>
      <c r="AI27" s="1353"/>
    </row>
    <row r="28" spans="1:37">
      <c r="A28" s="1331"/>
      <c r="B28" s="1332"/>
      <c r="C28" s="1354"/>
      <c r="D28" s="1333"/>
      <c r="E28" s="1357"/>
      <c r="F28" s="1357"/>
      <c r="G28" s="1357"/>
      <c r="H28" s="1341"/>
      <c r="I28" s="1341"/>
      <c r="J28" s="1341"/>
      <c r="K28" s="1341"/>
      <c r="L28" s="1341"/>
      <c r="M28" s="1336"/>
      <c r="N28" s="1357"/>
      <c r="O28" s="1336"/>
      <c r="P28" s="1358"/>
      <c r="Q28" s="1333"/>
      <c r="R28" s="1333"/>
      <c r="S28" s="1333"/>
      <c r="T28" s="1333"/>
      <c r="U28" s="1333"/>
      <c r="V28" s="1333"/>
      <c r="W28" s="1333"/>
      <c r="X28" s="1333"/>
      <c r="Y28" s="1333"/>
      <c r="Z28" s="1333"/>
      <c r="AA28" s="1333"/>
      <c r="AB28" s="1359"/>
      <c r="AC28" s="1359"/>
      <c r="AD28" s="1359"/>
      <c r="AE28" s="1341"/>
      <c r="AF28" s="1341"/>
      <c r="AG28" s="1341"/>
      <c r="AH28" s="1336"/>
      <c r="AI28" s="1353"/>
    </row>
    <row r="29" spans="1:37">
      <c r="A29" s="1360">
        <v>57125</v>
      </c>
      <c r="B29" s="1361" t="s">
        <v>15</v>
      </c>
      <c r="C29" s="1341">
        <f>+IFERROR(VLOOKUP(A29,'2183 IS 2018'!$D:$AH,31,FALSE),0)</f>
        <v>5224.82</v>
      </c>
      <c r="D29" s="1354">
        <f>+IFERROR(VLOOKUP(A29,'2184 IS 2018'!$D:$AH,31,FALSE),0)</f>
        <v>1078.1199999999999</v>
      </c>
      <c r="E29" s="1354">
        <f>+IFERROR(VLOOKUP(A29,'2185 IS 2018'!$D:$AH,31,FALSE),0)</f>
        <v>101.11</v>
      </c>
      <c r="F29" s="1342">
        <f t="shared" ref="F29:F30" si="25">SUM(C29:E29)</f>
        <v>6404.0499999999993</v>
      </c>
      <c r="G29" s="1343"/>
      <c r="H29" s="1341"/>
      <c r="I29" s="1341"/>
      <c r="J29" s="1341"/>
      <c r="K29" s="1341"/>
      <c r="L29" s="1362">
        <f t="shared" ref="L29:L30" si="26">F29+H29+I29+J29</f>
        <v>6404.0499999999993</v>
      </c>
      <c r="M29" s="1337"/>
      <c r="N29" s="1359">
        <f t="shared" ref="N29:N30" si="27">C29+H29</f>
        <v>5224.82</v>
      </c>
      <c r="O29" s="1359">
        <f t="shared" ref="O29:O30" si="28">D29+I29</f>
        <v>1078.1199999999999</v>
      </c>
      <c r="P29" s="1359">
        <f t="shared" ref="P29:P30" si="29">E29+J29</f>
        <v>101.11</v>
      </c>
      <c r="Q29" s="1359">
        <f t="shared" ref="Q29:Q30" si="30">SUM(N29:P29)</f>
        <v>6404.0499999999993</v>
      </c>
      <c r="R29" s="1359"/>
      <c r="S29" s="1359"/>
      <c r="T29" s="1359"/>
      <c r="U29" s="1359"/>
      <c r="V29" s="1355">
        <f t="shared" ref="V29:V30" si="31">+SUM(S29:U29)</f>
        <v>0</v>
      </c>
      <c r="W29" s="1333"/>
      <c r="X29" s="1681">
        <f t="shared" ref="X29:X30" si="32">+S29+N29</f>
        <v>5224.82</v>
      </c>
      <c r="Y29" s="1681">
        <f t="shared" ref="Y29:Y30" si="33">+T29+O29</f>
        <v>1078.1199999999999</v>
      </c>
      <c r="Z29" s="1681">
        <f t="shared" ref="Z29:Z30" si="34">+U29+P29</f>
        <v>101.11</v>
      </c>
      <c r="AA29" s="1681">
        <f t="shared" ref="AA29:AA30" si="35">+SUM(X29:Z29)</f>
        <v>6404.0499999999993</v>
      </c>
      <c r="AB29" s="1362">
        <f>($X29+$Z29)*'2183-2184-2185 Ratios'!C$35</f>
        <v>4813.010432769539</v>
      </c>
      <c r="AC29" s="1362">
        <f>($X29+$Z29)*'2183-2184-2185 Ratios'!D$35</f>
        <v>185.0022537853568</v>
      </c>
      <c r="AD29" s="1362">
        <f>($X29+$Z29)*'2183-2184-2185 Ratios'!E$35</f>
        <v>48.424354996249328</v>
      </c>
      <c r="AE29" s="1362">
        <f>($X29+$Z29)*'2183-2184-2185 Ratios'!F$35</f>
        <v>156.76098746715226</v>
      </c>
      <c r="AF29" s="1362">
        <f t="shared" ref="AF29:AF30" si="36">+Y29</f>
        <v>1078.1199999999999</v>
      </c>
      <c r="AG29" s="1362">
        <f>($X29+$Z29)*'2183-2184-2185 Ratios'!H$35</f>
        <v>122.73197098170181</v>
      </c>
      <c r="AH29" s="1336" t="s">
        <v>912</v>
      </c>
      <c r="AI29" s="1363">
        <f>SUM(AB29:AG29)-AA29</f>
        <v>0</v>
      </c>
      <c r="AK29" s="63">
        <f>AF29-D29</f>
        <v>0</v>
      </c>
    </row>
    <row r="30" spans="1:37">
      <c r="A30" s="1360">
        <v>57147</v>
      </c>
      <c r="B30" s="1361" t="s">
        <v>16</v>
      </c>
      <c r="C30" s="1341">
        <f>+IFERROR(VLOOKUP(A30,'2183 IS 2018'!$D:$AH,31,FALSE),0)</f>
        <v>137218.26999999999</v>
      </c>
      <c r="D30" s="1354">
        <f>+IFERROR(VLOOKUP(A30,'2184 IS 2018'!$D:$AH,31,FALSE),0)</f>
        <v>87555.08</v>
      </c>
      <c r="E30" s="1354">
        <f>+IFERROR(VLOOKUP(A30,'2185 IS 2018'!$D:$AH,31,FALSE),0)</f>
        <v>0</v>
      </c>
      <c r="F30" s="1342">
        <f t="shared" si="25"/>
        <v>224773.34999999998</v>
      </c>
      <c r="G30" s="1343"/>
      <c r="H30" s="1341"/>
      <c r="I30" s="1341"/>
      <c r="J30" s="1341"/>
      <c r="K30" s="1341"/>
      <c r="L30" s="1362">
        <f t="shared" si="26"/>
        <v>224773.34999999998</v>
      </c>
      <c r="M30" s="1337"/>
      <c r="N30" s="1359">
        <f t="shared" si="27"/>
        <v>137218.26999999999</v>
      </c>
      <c r="O30" s="1359">
        <f t="shared" si="28"/>
        <v>87555.08</v>
      </c>
      <c r="P30" s="1359">
        <f t="shared" si="29"/>
        <v>0</v>
      </c>
      <c r="Q30" s="1359">
        <f t="shared" si="30"/>
        <v>224773.34999999998</v>
      </c>
      <c r="R30" s="1359"/>
      <c r="S30" s="1359"/>
      <c r="T30" s="1359"/>
      <c r="U30" s="1359"/>
      <c r="V30" s="1355">
        <f t="shared" si="31"/>
        <v>0</v>
      </c>
      <c r="W30" s="1333"/>
      <c r="X30" s="1681">
        <f t="shared" si="32"/>
        <v>137218.26999999999</v>
      </c>
      <c r="Y30" s="1681">
        <f t="shared" si="33"/>
        <v>87555.08</v>
      </c>
      <c r="Z30" s="1681">
        <f t="shared" si="34"/>
        <v>0</v>
      </c>
      <c r="AA30" s="1681">
        <f t="shared" si="35"/>
        <v>224773.34999999998</v>
      </c>
      <c r="AB30" s="1362">
        <f>($X30+$Z30)*'2183-2184-2185 Ratios'!C$35</f>
        <v>124003.31305078878</v>
      </c>
      <c r="AC30" s="1362">
        <f>($X30+$Z30)*'2183-2184-2185 Ratios'!D$35</f>
        <v>4766.4331319652365</v>
      </c>
      <c r="AD30" s="1362">
        <f>($X30+$Z30)*'2183-2184-2185 Ratios'!E$35</f>
        <v>1247.6142605049615</v>
      </c>
      <c r="AE30" s="1362">
        <f>($X30+$Z30)*'2183-2184-2185 Ratios'!F$35</f>
        <v>4038.8197936762808</v>
      </c>
      <c r="AF30" s="1362">
        <f t="shared" si="36"/>
        <v>87555.08</v>
      </c>
      <c r="AG30" s="1362">
        <f>($X30+$Z30)*'2183-2184-2185 Ratios'!H$35</f>
        <v>3162.0897630647273</v>
      </c>
      <c r="AH30" s="1336" t="s">
        <v>912</v>
      </c>
      <c r="AI30" s="1363">
        <f>SUM(AB30:AG30)-AA30</f>
        <v>0</v>
      </c>
      <c r="AK30" s="63">
        <f>AF30-D30</f>
        <v>0</v>
      </c>
    </row>
    <row r="31" spans="1:37">
      <c r="A31" s="1360"/>
      <c r="B31" s="1361"/>
      <c r="C31" s="1354"/>
      <c r="D31" s="1354"/>
      <c r="E31" s="1354"/>
      <c r="F31" s="1342"/>
      <c r="G31" s="1343"/>
      <c r="H31" s="1341"/>
      <c r="I31" s="1341"/>
      <c r="J31" s="1341"/>
      <c r="K31" s="1341"/>
      <c r="L31" s="1362"/>
      <c r="M31" s="1336"/>
      <c r="N31" s="1359"/>
      <c r="O31" s="1359"/>
      <c r="P31" s="1359"/>
      <c r="Q31" s="1359"/>
      <c r="R31" s="1359"/>
      <c r="S31" s="1359"/>
      <c r="T31" s="1359"/>
      <c r="U31" s="1359"/>
      <c r="V31" s="1364"/>
      <c r="W31" s="1364"/>
      <c r="X31" s="1364"/>
      <c r="Y31" s="1364"/>
      <c r="Z31" s="1364"/>
      <c r="AA31" s="1364"/>
      <c r="AB31" s="1359"/>
      <c r="AC31" s="1359"/>
      <c r="AD31" s="1359"/>
      <c r="AE31" s="1341"/>
      <c r="AF31" s="1341"/>
      <c r="AG31" s="1341"/>
      <c r="AH31" s="1336"/>
      <c r="AI31" s="1363"/>
    </row>
    <row r="32" spans="1:37">
      <c r="A32" s="1365">
        <v>41200</v>
      </c>
      <c r="B32" s="1332" t="s">
        <v>13</v>
      </c>
      <c r="C32" s="1366">
        <f t="shared" ref="C32:J32" si="37">SUM(C29:C31)</f>
        <v>142443.09</v>
      </c>
      <c r="D32" s="1366">
        <f t="shared" si="37"/>
        <v>88633.2</v>
      </c>
      <c r="E32" s="1366">
        <f t="shared" si="37"/>
        <v>101.11</v>
      </c>
      <c r="F32" s="1366">
        <f t="shared" si="37"/>
        <v>231177.39999999997</v>
      </c>
      <c r="G32" s="1366">
        <f t="shared" si="37"/>
        <v>0</v>
      </c>
      <c r="H32" s="1366">
        <f t="shared" si="37"/>
        <v>0</v>
      </c>
      <c r="I32" s="1366">
        <f t="shared" si="37"/>
        <v>0</v>
      </c>
      <c r="J32" s="1366">
        <f t="shared" si="37"/>
        <v>0</v>
      </c>
      <c r="K32" s="1367"/>
      <c r="L32" s="1366">
        <f>SUM(L29:L31)</f>
        <v>231177.39999999997</v>
      </c>
      <c r="M32" s="1366"/>
      <c r="N32" s="1366">
        <f>SUM(N29:N31)</f>
        <v>142443.09</v>
      </c>
      <c r="O32" s="1366">
        <f>SUM(O29:O31)</f>
        <v>88633.2</v>
      </c>
      <c r="P32" s="1346">
        <f>SUM(P29:P31)</f>
        <v>101.11</v>
      </c>
      <c r="Q32" s="1346">
        <f>SUM(Q29:Q31)</f>
        <v>231177.39999999997</v>
      </c>
      <c r="R32" s="1346"/>
      <c r="S32" s="1346">
        <f>SUM(S29:S31)</f>
        <v>0</v>
      </c>
      <c r="T32" s="1346">
        <f>SUM(T29:T31)</f>
        <v>0</v>
      </c>
      <c r="U32" s="1346">
        <f>SUM(U29:U31)</f>
        <v>0</v>
      </c>
      <c r="V32" s="1346">
        <f>SUM(V29:V31)</f>
        <v>0</v>
      </c>
      <c r="W32" s="1346"/>
      <c r="X32" s="1346">
        <f t="shared" ref="X32:AI32" si="38">SUM(X29:X31)</f>
        <v>142443.09</v>
      </c>
      <c r="Y32" s="1346">
        <f t="shared" si="38"/>
        <v>88633.2</v>
      </c>
      <c r="Z32" s="1346">
        <f t="shared" si="38"/>
        <v>101.11</v>
      </c>
      <c r="AA32" s="1346">
        <f t="shared" si="38"/>
        <v>231177.39999999997</v>
      </c>
      <c r="AB32" s="1346">
        <f t="shared" si="38"/>
        <v>128816.32348355833</v>
      </c>
      <c r="AC32" s="1346">
        <f t="shared" si="38"/>
        <v>4951.435385750593</v>
      </c>
      <c r="AD32" s="1346">
        <f t="shared" si="38"/>
        <v>1296.0386155012109</v>
      </c>
      <c r="AE32" s="1346">
        <f t="shared" si="38"/>
        <v>4195.5807811434333</v>
      </c>
      <c r="AF32" s="1346">
        <f t="shared" si="38"/>
        <v>88633.2</v>
      </c>
      <c r="AG32" s="1346">
        <f t="shared" si="38"/>
        <v>3284.8217340464289</v>
      </c>
      <c r="AH32" s="1366">
        <f t="shared" si="38"/>
        <v>0</v>
      </c>
      <c r="AI32" s="1348">
        <f t="shared" si="38"/>
        <v>0</v>
      </c>
    </row>
    <row r="33" spans="1:37">
      <c r="A33" s="1365"/>
      <c r="B33" s="1332"/>
      <c r="C33" s="1368"/>
      <c r="D33" s="1368"/>
      <c r="E33" s="1368"/>
      <c r="F33" s="1368"/>
      <c r="G33" s="1368"/>
      <c r="H33" s="1368"/>
      <c r="I33" s="1368"/>
      <c r="J33" s="1368"/>
      <c r="K33" s="1368"/>
      <c r="L33" s="1368"/>
      <c r="M33" s="1368"/>
      <c r="N33" s="1368"/>
      <c r="O33" s="1368"/>
      <c r="P33" s="1369"/>
      <c r="Q33" s="1369"/>
      <c r="R33" s="1369"/>
      <c r="S33" s="1369"/>
      <c r="T33" s="1369"/>
      <c r="U33" s="1369"/>
      <c r="V33" s="1369"/>
      <c r="W33" s="1369"/>
      <c r="X33" s="1369"/>
      <c r="Y33" s="1369"/>
      <c r="Z33" s="1369"/>
      <c r="AA33" s="1369"/>
      <c r="AB33" s="1369"/>
      <c r="AC33" s="1369"/>
      <c r="AD33" s="1369"/>
      <c r="AE33" s="1369"/>
      <c r="AF33" s="1369"/>
      <c r="AG33" s="1369"/>
      <c r="AH33" s="1368"/>
      <c r="AI33" s="1370"/>
    </row>
    <row r="34" spans="1:37">
      <c r="A34" s="1331"/>
      <c r="B34" s="1336"/>
      <c r="C34" s="1354"/>
      <c r="D34" s="1333"/>
      <c r="E34" s="1342"/>
      <c r="F34" s="1342"/>
      <c r="G34" s="1336"/>
      <c r="H34" s="1341"/>
      <c r="I34" s="1341"/>
      <c r="J34" s="1341"/>
      <c r="K34" s="1341"/>
      <c r="L34" s="1341"/>
      <c r="M34" s="1336"/>
      <c r="N34" s="1342"/>
      <c r="O34" s="1336"/>
      <c r="P34" s="1351"/>
      <c r="Q34" s="1371"/>
      <c r="R34" s="1371"/>
      <c r="S34" s="1371"/>
      <c r="T34" s="1371"/>
      <c r="U34" s="1371"/>
      <c r="V34" s="1364"/>
      <c r="W34" s="1364"/>
      <c r="X34" s="1364"/>
      <c r="Y34" s="1364"/>
      <c r="Z34" s="1364"/>
      <c r="AA34" s="1364"/>
      <c r="AB34" s="1359"/>
      <c r="AC34" s="1359"/>
      <c r="AD34" s="1359"/>
      <c r="AE34" s="1341"/>
      <c r="AF34" s="1341"/>
      <c r="AG34" s="1341"/>
      <c r="AH34" s="1336"/>
      <c r="AI34" s="1363">
        <f t="shared" ref="AI34:AI40" si="39">SUM(AB34:AG34)-AA34</f>
        <v>0</v>
      </c>
    </row>
    <row r="35" spans="1:37">
      <c r="A35" s="1683">
        <v>52010</v>
      </c>
      <c r="B35" s="1336" t="s">
        <v>17</v>
      </c>
      <c r="C35" s="1341">
        <f>+IFERROR(VLOOKUP(A35,'2183 IS 2018'!$D:$AH,31,FALSE),0)</f>
        <v>123485.56</v>
      </c>
      <c r="D35" s="1354">
        <f>+IFERROR(VLOOKUP(A35,'2184 IS 2018'!$D:$AH,31,FALSE),0)</f>
        <v>0</v>
      </c>
      <c r="E35" s="1354">
        <f>+IFERROR(VLOOKUP(A35,'2185 IS 2018'!$D:$AH,31,FALSE),0)</f>
        <v>0</v>
      </c>
      <c r="F35" s="1342">
        <f t="shared" ref="F35:F40" si="40">SUM(C35:E35)</f>
        <v>123485.56</v>
      </c>
      <c r="G35" s="1343"/>
      <c r="H35" s="1341">
        <f>+$F35*'2183-2184-2185 Ratios'!$C$147-'Consolidated IS '!C35</f>
        <v>-24390.924448732272</v>
      </c>
      <c r="I35" s="1341">
        <f>+$F35*'2183-2184-2185 Ratios'!$D$147-'Consolidated IS '!D35</f>
        <v>11359.505924913832</v>
      </c>
      <c r="J35" s="1341">
        <f>+$F35*'2183-2184-2185 Ratios'!$E$147-'Consolidated IS '!E35</f>
        <v>13031.418523818431</v>
      </c>
      <c r="K35" s="1341" t="s">
        <v>1803</v>
      </c>
      <c r="L35" s="1362">
        <f t="shared" ref="L35:L40" si="41">F35+H35+I35+J35</f>
        <v>123485.55999999998</v>
      </c>
      <c r="M35" s="1337"/>
      <c r="N35" s="1359">
        <f t="shared" ref="N35:N40" si="42">C35+H35</f>
        <v>99094.635551267726</v>
      </c>
      <c r="O35" s="1359">
        <f t="shared" ref="O35:O40" si="43">D35+I35</f>
        <v>11359.505924913832</v>
      </c>
      <c r="P35" s="1359">
        <f t="shared" ref="P35:P40" si="44">E35+J35</f>
        <v>13031.418523818431</v>
      </c>
      <c r="Q35" s="1359">
        <f t="shared" ref="Q35:Q40" si="45">SUM(N35:P35)</f>
        <v>123485.55999999998</v>
      </c>
      <c r="R35" s="1359"/>
      <c r="S35" s="1359"/>
      <c r="T35" s="1359"/>
      <c r="U35" s="1359"/>
      <c r="V35" s="1681">
        <f t="shared" ref="V35:V40" si="46">+SUM(S35:U35)</f>
        <v>0</v>
      </c>
      <c r="W35" s="1333"/>
      <c r="X35" s="1681">
        <f t="shared" ref="X35:X40" si="47">+S35+N35</f>
        <v>99094.635551267726</v>
      </c>
      <c r="Y35" s="1681">
        <f t="shared" ref="Y35:Y40" si="48">+T35+O35</f>
        <v>11359.505924913832</v>
      </c>
      <c r="Z35" s="1681">
        <f t="shared" ref="Z35:Z40" si="49">+U35+P35</f>
        <v>13031.418523818431</v>
      </c>
      <c r="AA35" s="1681">
        <f t="shared" ref="AA35:AA40" si="50">+SUM(X35:Z35)</f>
        <v>123485.55999999998</v>
      </c>
      <c r="AB35" s="1362">
        <f>$X35*'2183-2184-2185 Ratios'!C$60</f>
        <v>75422.714827010219</v>
      </c>
      <c r="AC35" s="1362">
        <f>$X35*'2183-2184-2185 Ratios'!D$60</f>
        <v>3842.4997203960211</v>
      </c>
      <c r="AD35" s="1362">
        <f>$X35*'2183-2184-2185 Ratios'!E$60</f>
        <v>850.16460166426589</v>
      </c>
      <c r="AE35" s="1362">
        <f>$X35*'2183-2184-2185 Ratios'!F$60</f>
        <v>18979.256402197207</v>
      </c>
      <c r="AF35" s="1341">
        <f>+Y35</f>
        <v>11359.505924913832</v>
      </c>
      <c r="AG35" s="1341">
        <f>+Z35</f>
        <v>13031.418523818431</v>
      </c>
      <c r="AH35" s="1336" t="s">
        <v>350</v>
      </c>
      <c r="AI35" s="1363">
        <f t="shared" si="39"/>
        <v>0</v>
      </c>
      <c r="AK35" s="63"/>
    </row>
    <row r="36" spans="1:37" s="34" customFormat="1">
      <c r="A36" s="1683">
        <v>52020</v>
      </c>
      <c r="B36" s="1361" t="s">
        <v>18</v>
      </c>
      <c r="C36" s="1341">
        <f>+IFERROR(VLOOKUP(A36,'2183 IS 2018'!$D:$AH,31,FALSE),0)</f>
        <v>591134.85</v>
      </c>
      <c r="D36" s="1354">
        <f>+IFERROR(VLOOKUP(A36,'2184 IS 2018'!$D:$AH,31,FALSE),0)</f>
        <v>101620.19</v>
      </c>
      <c r="E36" s="1354">
        <f>+IFERROR(VLOOKUP(A36,'2185 IS 2018'!$D:$AH,31,FALSE),0)</f>
        <v>44623.479999999996</v>
      </c>
      <c r="F36" s="1342">
        <f t="shared" si="40"/>
        <v>737378.52</v>
      </c>
      <c r="G36" s="1343"/>
      <c r="H36" s="1341">
        <f>+$F36*'2183-2184-2185 Ratios'!$C$147-'Consolidated IS '!C36</f>
        <v>596.3265256859595</v>
      </c>
      <c r="I36" s="1341">
        <f>+$F36*'2183-2184-2185 Ratios'!$D$147-'Consolidated IS '!D36</f>
        <v>-33788.326364736145</v>
      </c>
      <c r="J36" s="1341">
        <f>+$F36*'2183-2184-2185 Ratios'!$E$147-'Consolidated IS '!E36</f>
        <v>33191.999839050171</v>
      </c>
      <c r="K36" s="1341" t="s">
        <v>1803</v>
      </c>
      <c r="L36" s="1362">
        <f t="shared" si="41"/>
        <v>737378.52</v>
      </c>
      <c r="M36" s="1337"/>
      <c r="N36" s="1359">
        <f t="shared" si="42"/>
        <v>591731.17652568594</v>
      </c>
      <c r="O36" s="1359">
        <f t="shared" si="43"/>
        <v>67831.863635263857</v>
      </c>
      <c r="P36" s="1359">
        <f t="shared" si="44"/>
        <v>77815.479839050167</v>
      </c>
      <c r="Q36" s="1359">
        <f t="shared" si="45"/>
        <v>737378.52</v>
      </c>
      <c r="R36" s="1359"/>
      <c r="S36" s="1359">
        <f>'Pro-forma Adj''s'!B9</f>
        <v>18988.395020793731</v>
      </c>
      <c r="T36" s="1359"/>
      <c r="U36" s="1359"/>
      <c r="V36" s="1681">
        <f t="shared" si="46"/>
        <v>18988.395020793731</v>
      </c>
      <c r="W36" s="1369" t="s">
        <v>876</v>
      </c>
      <c r="X36" s="1681">
        <f t="shared" si="47"/>
        <v>610719.57154647971</v>
      </c>
      <c r="Y36" s="1681">
        <f t="shared" si="48"/>
        <v>67831.863635263857</v>
      </c>
      <c r="Z36" s="1681">
        <f t="shared" si="49"/>
        <v>77815.479839050167</v>
      </c>
      <c r="AA36" s="1681">
        <f t="shared" si="50"/>
        <v>756366.91502079379</v>
      </c>
      <c r="AB36" s="1362">
        <f>$X36*'2183-2184-2185 Ratios'!C$60</f>
        <v>464829.6835421857</v>
      </c>
      <c r="AC36" s="1362">
        <f>$X36*'2183-2184-2185 Ratios'!D$60</f>
        <v>23681.299899363774</v>
      </c>
      <c r="AD36" s="1362">
        <f>$X36*'2183-2184-2185 Ratios'!E$60</f>
        <v>5239.5587145962481</v>
      </c>
      <c r="AE36" s="1362">
        <f>$X36*'2183-2184-2185 Ratios'!F$60</f>
        <v>116969.02939033389</v>
      </c>
      <c r="AF36" s="1341">
        <f>+Y36</f>
        <v>67831.863635263857</v>
      </c>
      <c r="AG36" s="1341">
        <f>+Z36</f>
        <v>77815.479839050167</v>
      </c>
      <c r="AH36" s="1336" t="s">
        <v>350</v>
      </c>
      <c r="AI36" s="1363">
        <f t="shared" si="39"/>
        <v>0</v>
      </c>
      <c r="AK36" s="63"/>
    </row>
    <row r="37" spans="1:37">
      <c r="A37" s="1683">
        <v>52025</v>
      </c>
      <c r="B37" s="1336" t="s">
        <v>19</v>
      </c>
      <c r="C37" s="1341">
        <f>+IFERROR(VLOOKUP(A37,'2183 IS 2018'!$D:$AH,31,FALSE),0)</f>
        <v>91139.44</v>
      </c>
      <c r="D37" s="1354">
        <f>+IFERROR(VLOOKUP(A37,'2184 IS 2018'!$D:$AH,31,FALSE),0)</f>
        <v>10684.78</v>
      </c>
      <c r="E37" s="1354">
        <f>+IFERROR(VLOOKUP(A37,'2185 IS 2018'!$D:$AH,31,FALSE),0)</f>
        <v>4657.3999999999996</v>
      </c>
      <c r="F37" s="1342">
        <f t="shared" si="40"/>
        <v>106481.62</v>
      </c>
      <c r="G37" s="1343"/>
      <c r="H37" s="1341">
        <f>+$F37*'2183-2184-2185 Ratios'!$C$147-'Consolidated IS '!C37</f>
        <v>-5690.1184209539933</v>
      </c>
      <c r="I37" s="1341">
        <f>+$F37*'2183-2184-2185 Ratios'!$D$147-'Consolidated IS '!D37</f>
        <v>-889.47605284680139</v>
      </c>
      <c r="J37" s="1341">
        <f>+$F37*'2183-2184-2185 Ratios'!$E$147-'Consolidated IS '!E37</f>
        <v>6579.5944738007838</v>
      </c>
      <c r="K37" s="1341" t="s">
        <v>1803</v>
      </c>
      <c r="L37" s="1362">
        <f t="shared" si="41"/>
        <v>106481.61999999998</v>
      </c>
      <c r="M37" s="1337"/>
      <c r="N37" s="1359">
        <f t="shared" si="42"/>
        <v>85449.321579046009</v>
      </c>
      <c r="O37" s="1359">
        <f t="shared" si="43"/>
        <v>9795.3039471531993</v>
      </c>
      <c r="P37" s="1359">
        <f t="shared" si="44"/>
        <v>11236.994473800783</v>
      </c>
      <c r="Q37" s="1359">
        <f t="shared" si="45"/>
        <v>106481.62</v>
      </c>
      <c r="R37" s="1359"/>
      <c r="S37" s="1359"/>
      <c r="T37" s="1359"/>
      <c r="U37" s="1359"/>
      <c r="V37" s="1681">
        <f t="shared" si="46"/>
        <v>0</v>
      </c>
      <c r="W37" s="1333"/>
      <c r="X37" s="1681">
        <f t="shared" si="47"/>
        <v>85449.321579046009</v>
      </c>
      <c r="Y37" s="1681">
        <f t="shared" si="48"/>
        <v>9795.3039471531993</v>
      </c>
      <c r="Z37" s="1681">
        <f t="shared" si="49"/>
        <v>11236.994473800783</v>
      </c>
      <c r="AA37" s="1681">
        <f t="shared" si="50"/>
        <v>106481.62</v>
      </c>
      <c r="AB37" s="1362">
        <f>$X37*'2183-2184-2185 Ratios'!C$60</f>
        <v>65037.020195544064</v>
      </c>
      <c r="AC37" s="1362">
        <f>$X37*'2183-2184-2185 Ratios'!D$60</f>
        <v>3313.3881813980142</v>
      </c>
      <c r="AD37" s="1362">
        <f>$X37*'2183-2184-2185 Ratios'!E$60</f>
        <v>733.09708480785707</v>
      </c>
      <c r="AE37" s="1362">
        <f>$X37*'2183-2184-2185 Ratios'!F$60</f>
        <v>16365.816117296064</v>
      </c>
      <c r="AF37" s="1341">
        <f t="shared" ref="AF37:AF40" si="51">+Y37</f>
        <v>9795.3039471531993</v>
      </c>
      <c r="AG37" s="1341">
        <f t="shared" ref="AG37:AG40" si="52">+Z37</f>
        <v>11236.994473800783</v>
      </c>
      <c r="AH37" s="1336" t="s">
        <v>350</v>
      </c>
      <c r="AI37" s="1363">
        <f t="shared" si="39"/>
        <v>0</v>
      </c>
      <c r="AK37" s="63"/>
    </row>
    <row r="38" spans="1:37">
      <c r="A38" s="1683">
        <v>52035</v>
      </c>
      <c r="B38" s="1336" t="s">
        <v>20</v>
      </c>
      <c r="C38" s="1341">
        <f>+IFERROR(VLOOKUP(A38,'2183 IS 2018'!$D:$AH,31,FALSE),0)</f>
        <v>7428.52</v>
      </c>
      <c r="D38" s="1354">
        <f>+IFERROR(VLOOKUP(A38,'2184 IS 2018'!$D:$AH,31,FALSE),0)</f>
        <v>625</v>
      </c>
      <c r="E38" s="1354">
        <f>+IFERROR(VLOOKUP(A38,'2185 IS 2018'!$D:$AH,31,FALSE),0)</f>
        <v>625</v>
      </c>
      <c r="F38" s="1342">
        <f t="shared" si="40"/>
        <v>8678.52</v>
      </c>
      <c r="G38" s="1343"/>
      <c r="H38" s="1341">
        <f>+$F38*'2183-2184-2185 Ratios'!$C$147-'Consolidated IS '!C38</f>
        <v>-464.18525086505633</v>
      </c>
      <c r="I38" s="1341">
        <f>+$F38*'2183-2184-2185 Ratios'!$D$147-'Consolidated IS '!D38</f>
        <v>173.3419224035847</v>
      </c>
      <c r="J38" s="1341">
        <f>+$F38*'2183-2184-2185 Ratios'!$E$147-'Consolidated IS '!E38</f>
        <v>290.8433284614714</v>
      </c>
      <c r="K38" s="1341" t="s">
        <v>1803</v>
      </c>
      <c r="L38" s="1362">
        <f t="shared" si="41"/>
        <v>8678.52</v>
      </c>
      <c r="M38" s="1337"/>
      <c r="N38" s="1359">
        <f t="shared" si="42"/>
        <v>6964.3347491349441</v>
      </c>
      <c r="O38" s="1359">
        <f t="shared" si="43"/>
        <v>798.3419224035847</v>
      </c>
      <c r="P38" s="1359">
        <f t="shared" si="44"/>
        <v>915.8433284614714</v>
      </c>
      <c r="Q38" s="1359">
        <f t="shared" si="45"/>
        <v>8678.52</v>
      </c>
      <c r="R38" s="1359"/>
      <c r="S38" s="1359"/>
      <c r="T38" s="1359"/>
      <c r="U38" s="1359"/>
      <c r="V38" s="1681">
        <f t="shared" si="46"/>
        <v>0</v>
      </c>
      <c r="W38" s="1333"/>
      <c r="X38" s="1681">
        <f t="shared" si="47"/>
        <v>6964.3347491349441</v>
      </c>
      <c r="Y38" s="1681">
        <f t="shared" si="48"/>
        <v>798.3419224035847</v>
      </c>
      <c r="Z38" s="1681">
        <f t="shared" si="49"/>
        <v>915.8433284614714</v>
      </c>
      <c r="AA38" s="1681">
        <f t="shared" si="50"/>
        <v>8678.52</v>
      </c>
      <c r="AB38" s="1362">
        <f>$X38*'2183-2184-2185 Ratios'!C$60</f>
        <v>5300.6808170971963</v>
      </c>
      <c r="AC38" s="1362">
        <f>$X38*'2183-2184-2185 Ratios'!D$60</f>
        <v>270.04947520545142</v>
      </c>
      <c r="AD38" s="1362">
        <f>$X38*'2183-2184-2185 Ratios'!E$60</f>
        <v>59.749257312639351</v>
      </c>
      <c r="AE38" s="1362">
        <f>$X38*'2183-2184-2185 Ratios'!F$60</f>
        <v>1333.8551995196567</v>
      </c>
      <c r="AF38" s="1341">
        <f t="shared" si="51"/>
        <v>798.3419224035847</v>
      </c>
      <c r="AG38" s="1341">
        <f t="shared" si="52"/>
        <v>915.8433284614714</v>
      </c>
      <c r="AH38" s="1336" t="s">
        <v>350</v>
      </c>
      <c r="AI38" s="1363">
        <f t="shared" si="39"/>
        <v>0</v>
      </c>
      <c r="AK38" s="63"/>
    </row>
    <row r="39" spans="1:37">
      <c r="A39" s="1331">
        <v>52065</v>
      </c>
      <c r="B39" s="1336" t="s">
        <v>21</v>
      </c>
      <c r="C39" s="1341">
        <f>+IFERROR(VLOOKUP(A39,'2183 IS 2018'!$D:$AH,31,FALSE),0)</f>
        <v>15476.38</v>
      </c>
      <c r="D39" s="1354">
        <f>+IFERROR(VLOOKUP(A39,'2184 IS 2018'!$D:$AH,31,FALSE),0)</f>
        <v>7925.18</v>
      </c>
      <c r="E39" s="1354">
        <f>+IFERROR(VLOOKUP(A39,'2185 IS 2018'!$D:$AH,31,FALSE),0)</f>
        <v>790.1099999999999</v>
      </c>
      <c r="F39" s="1342">
        <f t="shared" si="40"/>
        <v>24191.67</v>
      </c>
      <c r="G39" s="1343"/>
      <c r="H39" s="1341">
        <f>+$F39*'2183-2184-2185 Ratios'!$C$147-'Consolidated IS '!C39</f>
        <v>3936.9402459181201</v>
      </c>
      <c r="I39" s="1341">
        <f>+$F39*'2183-2184-2185 Ratios'!$D$147-'Consolidated IS '!D39</f>
        <v>-5699.7747080892686</v>
      </c>
      <c r="J39" s="1341">
        <f>+$F39*'2183-2184-2185 Ratios'!$E$147-'Consolidated IS '!E39</f>
        <v>1762.8344621711447</v>
      </c>
      <c r="K39" s="1341" t="s">
        <v>1803</v>
      </c>
      <c r="L39" s="1362">
        <f t="shared" si="41"/>
        <v>24191.669999999995</v>
      </c>
      <c r="M39" s="1337"/>
      <c r="N39" s="1359">
        <f t="shared" si="42"/>
        <v>19413.320245918119</v>
      </c>
      <c r="O39" s="1359">
        <f t="shared" si="43"/>
        <v>2225.4052919107316</v>
      </c>
      <c r="P39" s="1359">
        <f t="shared" si="44"/>
        <v>2552.9444621711446</v>
      </c>
      <c r="Q39" s="1359">
        <f t="shared" si="45"/>
        <v>24191.669999999995</v>
      </c>
      <c r="R39" s="1359"/>
      <c r="S39" s="1359"/>
      <c r="T39" s="1359"/>
      <c r="U39" s="1359"/>
      <c r="V39" s="1681">
        <f t="shared" si="46"/>
        <v>0</v>
      </c>
      <c r="W39" s="1333"/>
      <c r="X39" s="1681">
        <f t="shared" si="47"/>
        <v>19413.320245918119</v>
      </c>
      <c r="Y39" s="1681">
        <f t="shared" si="48"/>
        <v>2225.4052919107316</v>
      </c>
      <c r="Z39" s="1681">
        <f t="shared" si="49"/>
        <v>2552.9444621711446</v>
      </c>
      <c r="AA39" s="1681">
        <f t="shared" si="50"/>
        <v>24191.669999999995</v>
      </c>
      <c r="AB39" s="1362">
        <f>$X39*'2183-2184-2185 Ratios'!C$60</f>
        <v>14775.828263637773</v>
      </c>
      <c r="AC39" s="1362">
        <f>$X39*'2183-2184-2185 Ratios'!D$60</f>
        <v>752.77210720761843</v>
      </c>
      <c r="AD39" s="1362">
        <f>$X39*'2183-2184-2185 Ratios'!E$60</f>
        <v>166.55308919636732</v>
      </c>
      <c r="AE39" s="1362">
        <f>$X39*'2183-2184-2185 Ratios'!F$60</f>
        <v>3718.1667858763572</v>
      </c>
      <c r="AF39" s="1341">
        <f t="shared" si="51"/>
        <v>2225.4052919107316</v>
      </c>
      <c r="AG39" s="1341">
        <f t="shared" si="52"/>
        <v>2552.9444621711446</v>
      </c>
      <c r="AH39" s="1336" t="s">
        <v>350</v>
      </c>
      <c r="AI39" s="1363">
        <f t="shared" si="39"/>
        <v>0</v>
      </c>
      <c r="AK39" s="63"/>
    </row>
    <row r="40" spans="1:37">
      <c r="A40" s="1331">
        <v>52070</v>
      </c>
      <c r="B40" s="1336" t="s">
        <v>22</v>
      </c>
      <c r="C40" s="1341">
        <f>+IFERROR(VLOOKUP(A40,'2183 IS 2018'!$D:$AH,31,FALSE),0)</f>
        <v>23159.05</v>
      </c>
      <c r="D40" s="1354">
        <f>+IFERROR(VLOOKUP(A40,'2184 IS 2018'!$D:$AH,31,FALSE),0)</f>
        <v>4824.3099999999995</v>
      </c>
      <c r="E40" s="1354">
        <f>+IFERROR(VLOOKUP(A40,'2185 IS 2018'!$D:$AH,31,FALSE),0)</f>
        <v>1597.8600000000001</v>
      </c>
      <c r="F40" s="1342">
        <f t="shared" si="40"/>
        <v>29581.22</v>
      </c>
      <c r="G40" s="1343"/>
      <c r="H40" s="1341">
        <f>+$F40*'2183-2184-2185 Ratios'!$C$147-'Consolidated IS '!C40</f>
        <v>579.27385796260205</v>
      </c>
      <c r="I40" s="1341">
        <f>+$F40*'2183-2184-2185 Ratios'!$D$147-'Consolidated IS '!D40</f>
        <v>-2103.1169807013903</v>
      </c>
      <c r="J40" s="1341">
        <f>+$F40*'2183-2184-2185 Ratios'!$E$147-'Consolidated IS '!E40</f>
        <v>1523.84312273879</v>
      </c>
      <c r="K40" s="1341" t="s">
        <v>1803</v>
      </c>
      <c r="L40" s="1362">
        <f t="shared" si="41"/>
        <v>29581.22</v>
      </c>
      <c r="M40" s="1337"/>
      <c r="N40" s="1359">
        <f t="shared" si="42"/>
        <v>23738.323857962601</v>
      </c>
      <c r="O40" s="1359">
        <f t="shared" si="43"/>
        <v>2721.1930192986092</v>
      </c>
      <c r="P40" s="1359">
        <f t="shared" si="44"/>
        <v>3121.7031227387902</v>
      </c>
      <c r="Q40" s="1359">
        <f t="shared" si="45"/>
        <v>29581.219999999998</v>
      </c>
      <c r="R40" s="1359"/>
      <c r="S40" s="1359"/>
      <c r="T40" s="1359"/>
      <c r="U40" s="1359"/>
      <c r="V40" s="1681">
        <f t="shared" si="46"/>
        <v>0</v>
      </c>
      <c r="W40" s="1333"/>
      <c r="X40" s="1681">
        <f t="shared" si="47"/>
        <v>23738.323857962601</v>
      </c>
      <c r="Y40" s="1681">
        <f t="shared" si="48"/>
        <v>2721.1930192986092</v>
      </c>
      <c r="Z40" s="1681">
        <f t="shared" si="49"/>
        <v>3121.7031227387902</v>
      </c>
      <c r="AA40" s="1681">
        <f t="shared" si="50"/>
        <v>29581.219999999998</v>
      </c>
      <c r="AB40" s="1362">
        <f>$X40*'2183-2184-2185 Ratios'!C$60</f>
        <v>18067.66653765065</v>
      </c>
      <c r="AC40" s="1362">
        <f>$X40*'2183-2184-2185 Ratios'!D$60</f>
        <v>920.4787149118747</v>
      </c>
      <c r="AD40" s="1362">
        <f>$X40*'2183-2184-2185 Ratios'!E$60</f>
        <v>203.65867975205376</v>
      </c>
      <c r="AE40" s="1362">
        <f>$X40*'2183-2184-2185 Ratios'!F$60</f>
        <v>4546.51992564802</v>
      </c>
      <c r="AF40" s="1341">
        <f t="shared" si="51"/>
        <v>2721.1930192986092</v>
      </c>
      <c r="AG40" s="1341">
        <f t="shared" si="52"/>
        <v>3121.7031227387902</v>
      </c>
      <c r="AH40" s="1336" t="s">
        <v>350</v>
      </c>
      <c r="AI40" s="1363">
        <f t="shared" si="39"/>
        <v>0</v>
      </c>
      <c r="AK40" s="63"/>
    </row>
    <row r="41" spans="1:37">
      <c r="A41" s="1331"/>
      <c r="B41" s="1336"/>
      <c r="C41" s="1354"/>
      <c r="D41" s="1354"/>
      <c r="E41" s="1354"/>
      <c r="F41" s="1342"/>
      <c r="G41" s="1343"/>
      <c r="H41" s="1341"/>
      <c r="I41" s="1341"/>
      <c r="J41" s="1341"/>
      <c r="K41" s="1341"/>
      <c r="L41" s="1362"/>
      <c r="M41" s="1336"/>
      <c r="N41" s="1359"/>
      <c r="O41" s="1359"/>
      <c r="P41" s="1359"/>
      <c r="Q41" s="1359"/>
      <c r="R41" s="1359"/>
      <c r="S41" s="1359"/>
      <c r="T41" s="1359"/>
      <c r="U41" s="1359"/>
      <c r="V41" s="1364"/>
      <c r="W41" s="1364"/>
      <c r="X41" s="1364"/>
      <c r="Y41" s="1364"/>
      <c r="Z41" s="1364"/>
      <c r="AA41" s="1364"/>
      <c r="AB41" s="1362"/>
      <c r="AC41" s="1362"/>
      <c r="AD41" s="1362"/>
      <c r="AE41" s="1362"/>
      <c r="AF41" s="1362"/>
      <c r="AG41" s="1362"/>
      <c r="AH41" s="1336"/>
      <c r="AI41" s="1363"/>
    </row>
    <row r="42" spans="1:37" ht="12" customHeight="1">
      <c r="A42" s="1372">
        <v>41310</v>
      </c>
      <c r="B42" s="1332" t="s">
        <v>23</v>
      </c>
      <c r="C42" s="1367">
        <f t="shared" ref="C42:J42" si="53">SUM(C35:C40)</f>
        <v>851823.79999999993</v>
      </c>
      <c r="D42" s="1367">
        <f t="shared" si="53"/>
        <v>125679.45999999999</v>
      </c>
      <c r="E42" s="1367">
        <f t="shared" si="53"/>
        <v>52293.85</v>
      </c>
      <c r="F42" s="1367">
        <f t="shared" si="53"/>
        <v>1029797.1100000001</v>
      </c>
      <c r="G42" s="1367">
        <f t="shared" si="53"/>
        <v>0</v>
      </c>
      <c r="H42" s="1347">
        <f t="shared" si="53"/>
        <v>-25432.687490984637</v>
      </c>
      <c r="I42" s="1347">
        <f t="shared" si="53"/>
        <v>-30947.846259056187</v>
      </c>
      <c r="J42" s="1347">
        <f t="shared" si="53"/>
        <v>56380.533750040791</v>
      </c>
      <c r="K42" s="1347"/>
      <c r="L42" s="1347">
        <f>SUM(L35:L40)</f>
        <v>1029797.11</v>
      </c>
      <c r="M42" s="1367"/>
      <c r="N42" s="1367">
        <f>SUM(N35:N40)</f>
        <v>826391.11250901537</v>
      </c>
      <c r="O42" s="1367">
        <f>SUM(O35:O40)</f>
        <v>94731.613740943809</v>
      </c>
      <c r="P42" s="1367">
        <f>SUM(P35:P40)</f>
        <v>108674.38375004078</v>
      </c>
      <c r="Q42" s="1367">
        <f>SUM(Q35:Q40)</f>
        <v>1029797.11</v>
      </c>
      <c r="R42" s="1367"/>
      <c r="S42" s="1367">
        <f>SUM(S35:S40)</f>
        <v>18988.395020793731</v>
      </c>
      <c r="T42" s="1367">
        <f>SUM(T35:T40)</f>
        <v>0</v>
      </c>
      <c r="U42" s="1367">
        <f>SUM(U35:U40)</f>
        <v>0</v>
      </c>
      <c r="V42" s="1367">
        <f>SUM(V35:V40)</f>
        <v>18988.395020793731</v>
      </c>
      <c r="W42" s="1373"/>
      <c r="X42" s="1347">
        <f t="shared" ref="X42:AH42" si="54">SUM(X35:X40)</f>
        <v>845379.50752980914</v>
      </c>
      <c r="Y42" s="1347">
        <f t="shared" si="54"/>
        <v>94731.613740943809</v>
      </c>
      <c r="Z42" s="1347">
        <f t="shared" si="54"/>
        <v>108674.38375004078</v>
      </c>
      <c r="AA42" s="1347">
        <f t="shared" si="54"/>
        <v>1048785.5050207938</v>
      </c>
      <c r="AB42" s="1347">
        <f t="shared" si="54"/>
        <v>643433.59418312553</v>
      </c>
      <c r="AC42" s="1347">
        <f t="shared" si="54"/>
        <v>32780.488098482761</v>
      </c>
      <c r="AD42" s="1347">
        <f t="shared" si="54"/>
        <v>7252.7814273294316</v>
      </c>
      <c r="AE42" s="1347">
        <f t="shared" si="54"/>
        <v>161912.64382087119</v>
      </c>
      <c r="AF42" s="1347">
        <f t="shared" si="54"/>
        <v>94731.613740943809</v>
      </c>
      <c r="AG42" s="1347">
        <f t="shared" si="54"/>
        <v>108674.38375004078</v>
      </c>
      <c r="AH42" s="1367">
        <f t="shared" si="54"/>
        <v>0</v>
      </c>
      <c r="AI42" s="1374">
        <f t="shared" ref="AI42:AI47" si="55">SUM(AB42:AG42)-AA42</f>
        <v>0</v>
      </c>
    </row>
    <row r="43" spans="1:37" ht="12" customHeight="1">
      <c r="A43" s="1372"/>
      <c r="B43" s="1332"/>
      <c r="C43" s="1368"/>
      <c r="D43" s="1368"/>
      <c r="E43" s="1368"/>
      <c r="F43" s="1368"/>
      <c r="G43" s="1368"/>
      <c r="H43" s="1369"/>
      <c r="I43" s="1369"/>
      <c r="J43" s="1369"/>
      <c r="K43" s="1369"/>
      <c r="L43" s="1369"/>
      <c r="M43" s="1368"/>
      <c r="N43" s="1368"/>
      <c r="O43" s="1368"/>
      <c r="P43" s="1368"/>
      <c r="Q43" s="1368"/>
      <c r="R43" s="1368"/>
      <c r="S43" s="1368"/>
      <c r="T43" s="1368"/>
      <c r="U43" s="1368"/>
      <c r="V43" s="1368"/>
      <c r="W43" s="1364"/>
      <c r="X43" s="1369"/>
      <c r="Y43" s="1369"/>
      <c r="Z43" s="1369"/>
      <c r="AA43" s="1369"/>
      <c r="AB43" s="1369"/>
      <c r="AC43" s="1369"/>
      <c r="AD43" s="1369"/>
      <c r="AE43" s="1369"/>
      <c r="AF43" s="1369"/>
      <c r="AG43" s="1369"/>
      <c r="AH43" s="1368"/>
      <c r="AI43" s="1363"/>
    </row>
    <row r="44" spans="1:37">
      <c r="A44" s="1372"/>
      <c r="B44" s="1332"/>
      <c r="C44" s="1368"/>
      <c r="D44" s="1333"/>
      <c r="E44" s="1375"/>
      <c r="F44" s="1376"/>
      <c r="G44" s="1376"/>
      <c r="H44" s="1369"/>
      <c r="I44" s="1369"/>
      <c r="J44" s="1341"/>
      <c r="K44" s="1341"/>
      <c r="L44" s="1341"/>
      <c r="M44" s="1336"/>
      <c r="N44" s="1342"/>
      <c r="O44" s="1336"/>
      <c r="P44" s="1351"/>
      <c r="Q44" s="1345"/>
      <c r="R44" s="1345"/>
      <c r="S44" s="1345"/>
      <c r="T44" s="1345"/>
      <c r="U44" s="1345"/>
      <c r="V44" s="1364"/>
      <c r="W44" s="1364"/>
      <c r="X44" s="1364"/>
      <c r="Y44" s="1364"/>
      <c r="Z44" s="1364"/>
      <c r="AA44" s="1364"/>
      <c r="AB44" s="1359"/>
      <c r="AC44" s="1359"/>
      <c r="AD44" s="1359"/>
      <c r="AE44" s="1341"/>
      <c r="AF44" s="1341"/>
      <c r="AG44" s="1341"/>
      <c r="AH44" s="1336"/>
      <c r="AI44" s="1363"/>
    </row>
    <row r="45" spans="1:37">
      <c r="A45" s="1331">
        <v>55020</v>
      </c>
      <c r="B45" s="1336" t="s">
        <v>24</v>
      </c>
      <c r="C45" s="1341">
        <f>+IFERROR(VLOOKUP(A45,'2183 IS 2018'!$D:$AH,31,FALSE),0)</f>
        <v>3598.9100000000003</v>
      </c>
      <c r="D45" s="1354">
        <f>+IFERROR(VLOOKUP(A45,'2184 IS 2018'!$D:$AH,31,FALSE),0)</f>
        <v>0</v>
      </c>
      <c r="E45" s="1354">
        <f>+IFERROR(VLOOKUP(A45,'2185 IS 2018'!$D:$AH,31,FALSE),0)</f>
        <v>0</v>
      </c>
      <c r="F45" s="1342">
        <f t="shared" ref="F45:F47" si="56">SUM(C45:E45)</f>
        <v>3598.9100000000003</v>
      </c>
      <c r="G45" s="1343"/>
      <c r="H45" s="1341"/>
      <c r="I45" s="1341"/>
      <c r="J45" s="1341"/>
      <c r="K45" s="1341"/>
      <c r="L45" s="1362">
        <f t="shared" ref="L45:L47" si="57">F45+H45+I45+J45</f>
        <v>3598.9100000000003</v>
      </c>
      <c r="M45" s="1337"/>
      <c r="N45" s="1359">
        <f t="shared" ref="N45:N47" si="58">C45+H45</f>
        <v>3598.9100000000003</v>
      </c>
      <c r="O45" s="1359">
        <f t="shared" ref="O45:O47" si="59">D45+I45</f>
        <v>0</v>
      </c>
      <c r="P45" s="1359">
        <f t="shared" ref="P45:P47" si="60">E45+J45</f>
        <v>0</v>
      </c>
      <c r="Q45" s="1359">
        <f t="shared" ref="Q45:Q47" si="61">SUM(N45:P45)</f>
        <v>3598.9100000000003</v>
      </c>
      <c r="R45" s="1359"/>
      <c r="S45" s="1359">
        <f>'Pro-forma Adj''s'!B10</f>
        <v>725.48662181249892</v>
      </c>
      <c r="T45" s="1359"/>
      <c r="U45" s="1359"/>
      <c r="V45" s="1681">
        <f t="shared" ref="V45:V47" si="62">+SUM(S45:U45)</f>
        <v>725.48662181249892</v>
      </c>
      <c r="W45" s="1369" t="s">
        <v>876</v>
      </c>
      <c r="X45" s="1681">
        <f t="shared" ref="X45:X47" si="63">+S45+N45</f>
        <v>4324.3966218124988</v>
      </c>
      <c r="Y45" s="1681">
        <f t="shared" ref="Y45:Y47" si="64">+T45+O45</f>
        <v>0</v>
      </c>
      <c r="Z45" s="1681">
        <f t="shared" ref="Z45:Z47" si="65">+U45+P45</f>
        <v>0</v>
      </c>
      <c r="AA45" s="1681">
        <f t="shared" ref="AA45:AA47" si="66">+SUM(X45:Z45)</f>
        <v>4324.3966218124988</v>
      </c>
      <c r="AB45" s="1362">
        <f>+$X45*'2183-2184-2185 Ratios'!C$37</f>
        <v>2269.8264946297763</v>
      </c>
      <c r="AC45" s="1362">
        <f>+$X45*'2183-2184-2185 Ratios'!D$37</f>
        <v>65.588855540606517</v>
      </c>
      <c r="AD45" s="1362">
        <f>+$X45*'2183-2184-2185 Ratios'!E$37</f>
        <v>19.110185369636305</v>
      </c>
      <c r="AE45" s="1362">
        <f>+$X45*'2183-2184-2185 Ratios'!F$37</f>
        <v>1969.8710862724797</v>
      </c>
      <c r="AF45" s="1362">
        <f t="shared" ref="AF45:AF47" si="67">+Y45</f>
        <v>0</v>
      </c>
      <c r="AG45" s="1362">
        <f t="shared" ref="AG45:AG47" si="68">+Z45</f>
        <v>0</v>
      </c>
      <c r="AH45" s="1336" t="s">
        <v>950</v>
      </c>
      <c r="AI45" s="1363">
        <f t="shared" si="55"/>
        <v>0</v>
      </c>
    </row>
    <row r="46" spans="1:37">
      <c r="A46" s="1331">
        <v>55025</v>
      </c>
      <c r="B46" s="1336" t="s">
        <v>25</v>
      </c>
      <c r="C46" s="1341">
        <f>+IFERROR(VLOOKUP(A46,'2183 IS 2018'!$D:$AH,31,FALSE),0)</f>
        <v>469.96</v>
      </c>
      <c r="D46" s="1354">
        <f>+IFERROR(VLOOKUP(A46,'2184 IS 2018'!$D:$AH,31,FALSE),0)</f>
        <v>0</v>
      </c>
      <c r="E46" s="1354">
        <f>+IFERROR(VLOOKUP(A46,'2185 IS 2018'!$D:$AH,31,FALSE),0)</f>
        <v>0</v>
      </c>
      <c r="F46" s="1342">
        <f t="shared" si="56"/>
        <v>469.96</v>
      </c>
      <c r="G46" s="1343"/>
      <c r="H46" s="1341"/>
      <c r="I46" s="1341"/>
      <c r="J46" s="1341"/>
      <c r="K46" s="1341"/>
      <c r="L46" s="1362">
        <f t="shared" si="57"/>
        <v>469.96</v>
      </c>
      <c r="M46" s="1337"/>
      <c r="N46" s="1359">
        <f t="shared" si="58"/>
        <v>469.96</v>
      </c>
      <c r="O46" s="1359">
        <f t="shared" si="59"/>
        <v>0</v>
      </c>
      <c r="P46" s="1359">
        <f t="shared" si="60"/>
        <v>0</v>
      </c>
      <c r="Q46" s="1359">
        <f t="shared" si="61"/>
        <v>469.96</v>
      </c>
      <c r="R46" s="1359"/>
      <c r="S46" s="1359"/>
      <c r="T46" s="1359"/>
      <c r="U46" s="1359"/>
      <c r="V46" s="1681">
        <f t="shared" si="62"/>
        <v>0</v>
      </c>
      <c r="W46" s="1333"/>
      <c r="X46" s="1681">
        <f t="shared" si="63"/>
        <v>469.96</v>
      </c>
      <c r="Y46" s="1681">
        <f t="shared" si="64"/>
        <v>0</v>
      </c>
      <c r="Z46" s="1681">
        <f t="shared" si="65"/>
        <v>0</v>
      </c>
      <c r="AA46" s="1681">
        <f t="shared" si="66"/>
        <v>469.96</v>
      </c>
      <c r="AB46" s="1362">
        <f>+$X46*'2183-2184-2185 Ratios'!C$37</f>
        <v>246.67664710391631</v>
      </c>
      <c r="AC46" s="1362">
        <f>+$X46*'2183-2184-2185 Ratios'!D$37</f>
        <v>7.1279628687120784</v>
      </c>
      <c r="AD46" s="1362">
        <f>+$X46*'2183-2184-2185 Ratios'!E$37</f>
        <v>2.0768267811082581</v>
      </c>
      <c r="AE46" s="1362">
        <f>+$X46*'2183-2184-2185 Ratios'!F$37</f>
        <v>214.07856324626334</v>
      </c>
      <c r="AF46" s="1362">
        <f t="shared" si="67"/>
        <v>0</v>
      </c>
      <c r="AG46" s="1362">
        <f t="shared" si="68"/>
        <v>0</v>
      </c>
      <c r="AH46" s="1336" t="s">
        <v>950</v>
      </c>
      <c r="AI46" s="1363">
        <f t="shared" si="55"/>
        <v>0</v>
      </c>
    </row>
    <row r="47" spans="1:37">
      <c r="A47" s="1331">
        <v>55065</v>
      </c>
      <c r="B47" s="1336" t="s">
        <v>21</v>
      </c>
      <c r="C47" s="1341">
        <f>+IFERROR(VLOOKUP(A47,'2183 IS 2018'!$D:$AH,31,FALSE),0)</f>
        <v>363</v>
      </c>
      <c r="D47" s="1354">
        <f>+IFERROR(VLOOKUP(A47,'2184 IS 2018'!$D:$AH,31,FALSE),0)</f>
        <v>0</v>
      </c>
      <c r="E47" s="1354">
        <f>+IFERROR(VLOOKUP(A47,'2185 IS 2018'!$D:$AH,31,FALSE),0)</f>
        <v>0</v>
      </c>
      <c r="F47" s="1342">
        <f t="shared" si="56"/>
        <v>363</v>
      </c>
      <c r="G47" s="1343"/>
      <c r="H47" s="1341"/>
      <c r="I47" s="1341"/>
      <c r="J47" s="1341"/>
      <c r="K47" s="1341"/>
      <c r="L47" s="1362">
        <f t="shared" si="57"/>
        <v>363</v>
      </c>
      <c r="M47" s="1337"/>
      <c r="N47" s="1359">
        <f t="shared" si="58"/>
        <v>363</v>
      </c>
      <c r="O47" s="1359">
        <f t="shared" si="59"/>
        <v>0</v>
      </c>
      <c r="P47" s="1359">
        <f t="shared" si="60"/>
        <v>0</v>
      </c>
      <c r="Q47" s="1359">
        <f t="shared" si="61"/>
        <v>363</v>
      </c>
      <c r="R47" s="1359"/>
      <c r="S47" s="1359"/>
      <c r="T47" s="1359"/>
      <c r="U47" s="1359"/>
      <c r="V47" s="1681">
        <f t="shared" si="62"/>
        <v>0</v>
      </c>
      <c r="W47" s="1333"/>
      <c r="X47" s="1681">
        <f t="shared" si="63"/>
        <v>363</v>
      </c>
      <c r="Y47" s="1681">
        <f t="shared" si="64"/>
        <v>0</v>
      </c>
      <c r="Z47" s="1681">
        <f t="shared" si="65"/>
        <v>0</v>
      </c>
      <c r="AA47" s="1681">
        <f t="shared" si="66"/>
        <v>363</v>
      </c>
      <c r="AB47" s="1362">
        <f>+$X47*'2183-2184-2185 Ratios'!C$37</f>
        <v>190.53456230045455</v>
      </c>
      <c r="AC47" s="1362">
        <f>+$X47*'2183-2184-2185 Ratios'!D$37</f>
        <v>5.5056824439154068</v>
      </c>
      <c r="AD47" s="1362">
        <f>+$X47*'2183-2184-2185 Ratios'!E$37</f>
        <v>1.6041538036051957</v>
      </c>
      <c r="AE47" s="1362">
        <f>+$X47*'2183-2184-2185 Ratios'!F$37</f>
        <v>165.35560145202484</v>
      </c>
      <c r="AF47" s="1362">
        <f t="shared" si="67"/>
        <v>0</v>
      </c>
      <c r="AG47" s="1362">
        <f t="shared" si="68"/>
        <v>0</v>
      </c>
      <c r="AH47" s="1336" t="s">
        <v>950</v>
      </c>
      <c r="AI47" s="1363">
        <f t="shared" si="55"/>
        <v>0</v>
      </c>
    </row>
    <row r="48" spans="1:37">
      <c r="A48" s="1331"/>
      <c r="B48" s="1336"/>
      <c r="C48" s="1354"/>
      <c r="D48" s="1354"/>
      <c r="E48" s="1354"/>
      <c r="F48" s="1342"/>
      <c r="G48" s="1343"/>
      <c r="H48" s="1341"/>
      <c r="I48" s="1341"/>
      <c r="J48" s="1341"/>
      <c r="K48" s="1341"/>
      <c r="L48" s="1362"/>
      <c r="M48" s="1336"/>
      <c r="N48" s="1359"/>
      <c r="O48" s="1359"/>
      <c r="P48" s="1359"/>
      <c r="Q48" s="1359"/>
      <c r="R48" s="1359"/>
      <c r="S48" s="1359"/>
      <c r="T48" s="1359"/>
      <c r="U48" s="1359"/>
      <c r="V48" s="1364"/>
      <c r="W48" s="1364"/>
      <c r="X48" s="1364"/>
      <c r="Y48" s="1364"/>
      <c r="Z48" s="1364"/>
      <c r="AA48" s="1364"/>
      <c r="AB48" s="1362"/>
      <c r="AC48" s="1362"/>
      <c r="AD48" s="1362"/>
      <c r="AE48" s="1362"/>
      <c r="AF48" s="1362"/>
      <c r="AG48" s="1341"/>
      <c r="AH48" s="1336"/>
      <c r="AI48" s="1363"/>
    </row>
    <row r="49" spans="1:35">
      <c r="A49" s="1372">
        <v>41311</v>
      </c>
      <c r="B49" s="1332" t="s">
        <v>28</v>
      </c>
      <c r="C49" s="1366">
        <f t="shared" ref="C49:J49" si="69">SUM(C45:C48)</f>
        <v>4431.8700000000008</v>
      </c>
      <c r="D49" s="1366">
        <f t="shared" si="69"/>
        <v>0</v>
      </c>
      <c r="E49" s="1366">
        <f t="shared" si="69"/>
        <v>0</v>
      </c>
      <c r="F49" s="1366">
        <f t="shared" si="69"/>
        <v>4431.8700000000008</v>
      </c>
      <c r="G49" s="1366">
        <f t="shared" si="69"/>
        <v>0</v>
      </c>
      <c r="H49" s="1366">
        <f t="shared" si="69"/>
        <v>0</v>
      </c>
      <c r="I49" s="1366">
        <f t="shared" si="69"/>
        <v>0</v>
      </c>
      <c r="J49" s="1366">
        <f t="shared" si="69"/>
        <v>0</v>
      </c>
      <c r="K49" s="1367"/>
      <c r="L49" s="1366">
        <f>SUM(L45:L48)</f>
        <v>4431.8700000000008</v>
      </c>
      <c r="M49" s="1366"/>
      <c r="N49" s="1366">
        <f>SUM(N45:N48)</f>
        <v>4431.8700000000008</v>
      </c>
      <c r="O49" s="1366">
        <f>SUM(O45:O48)</f>
        <v>0</v>
      </c>
      <c r="P49" s="1366">
        <f>SUM(P45:P48)</f>
        <v>0</v>
      </c>
      <c r="Q49" s="1366">
        <f>SUM(Q45:Q48)</f>
        <v>4431.8700000000008</v>
      </c>
      <c r="R49" s="1348"/>
      <c r="S49" s="1348">
        <f>SUM(S45:S48)</f>
        <v>725.48662181249892</v>
      </c>
      <c r="T49" s="1348">
        <f>SUM(T45:T48)</f>
        <v>0</v>
      </c>
      <c r="U49" s="1348">
        <f>SUM(U45:U48)</f>
        <v>0</v>
      </c>
      <c r="V49" s="1348">
        <f>SUM(V45:V48)</f>
        <v>725.48662181249892</v>
      </c>
      <c r="W49" s="1367"/>
      <c r="X49" s="1348">
        <f t="shared" ref="X49:AI49" si="70">SUM(X45:X48)</f>
        <v>5157.3566218124988</v>
      </c>
      <c r="Y49" s="1348">
        <f t="shared" si="70"/>
        <v>0</v>
      </c>
      <c r="Z49" s="1348">
        <f t="shared" si="70"/>
        <v>0</v>
      </c>
      <c r="AA49" s="1348">
        <f t="shared" si="70"/>
        <v>5157.3566218124988</v>
      </c>
      <c r="AB49" s="1348">
        <f t="shared" si="70"/>
        <v>2707.0377040341473</v>
      </c>
      <c r="AC49" s="1348">
        <f t="shared" si="70"/>
        <v>78.222500853233996</v>
      </c>
      <c r="AD49" s="1348">
        <f t="shared" si="70"/>
        <v>22.791165954349761</v>
      </c>
      <c r="AE49" s="1348">
        <f t="shared" si="70"/>
        <v>2349.3052509707682</v>
      </c>
      <c r="AF49" s="1348">
        <f t="shared" si="70"/>
        <v>0</v>
      </c>
      <c r="AG49" s="1348">
        <f t="shared" si="70"/>
        <v>0</v>
      </c>
      <c r="AH49" s="1348">
        <f t="shared" si="70"/>
        <v>0</v>
      </c>
      <c r="AI49" s="1348">
        <f t="shared" si="70"/>
        <v>0</v>
      </c>
    </row>
    <row r="50" spans="1:35">
      <c r="A50" s="1331"/>
      <c r="B50" s="1336"/>
      <c r="C50" s="1368"/>
      <c r="D50" s="1333"/>
      <c r="E50" s="1376"/>
      <c r="F50" s="1376"/>
      <c r="G50" s="1376"/>
      <c r="H50" s="1369"/>
      <c r="I50" s="1369"/>
      <c r="J50" s="1341"/>
      <c r="K50" s="1341"/>
      <c r="L50" s="1341"/>
      <c r="M50" s="1336"/>
      <c r="N50" s="1342"/>
      <c r="O50" s="1336"/>
      <c r="P50" s="1351"/>
      <c r="Q50" s="1345"/>
      <c r="R50" s="1345"/>
      <c r="S50" s="1345"/>
      <c r="T50" s="1345"/>
      <c r="U50" s="1345"/>
      <c r="V50" s="1364"/>
      <c r="W50" s="1364"/>
      <c r="X50" s="1364"/>
      <c r="Y50" s="1364"/>
      <c r="Z50" s="1364"/>
      <c r="AA50" s="1364"/>
      <c r="AB50" s="1359"/>
      <c r="AC50" s="1359"/>
      <c r="AD50" s="1359"/>
      <c r="AE50" s="1341"/>
      <c r="AF50" s="1341"/>
      <c r="AG50" s="1341"/>
      <c r="AH50" s="1336"/>
      <c r="AI50" s="1363">
        <f t="shared" ref="AI50:AI56" si="71">SUM(AB50:AG50)-AA50</f>
        <v>0</v>
      </c>
    </row>
    <row r="51" spans="1:35">
      <c r="A51" s="1372"/>
      <c r="B51" s="1332"/>
      <c r="C51" s="1368"/>
      <c r="D51" s="1333"/>
      <c r="E51" s="1376"/>
      <c r="F51" s="1376"/>
      <c r="G51" s="1376"/>
      <c r="H51" s="1369"/>
      <c r="I51" s="1369"/>
      <c r="J51" s="1341"/>
      <c r="K51" s="1341"/>
      <c r="L51" s="1341"/>
      <c r="M51" s="1336"/>
      <c r="N51" s="1342"/>
      <c r="O51" s="1336"/>
      <c r="P51" s="1351"/>
      <c r="Q51" s="1345"/>
      <c r="R51" s="1345"/>
      <c r="S51" s="1345"/>
      <c r="T51" s="1345"/>
      <c r="U51" s="1345"/>
      <c r="V51" s="1364"/>
      <c r="W51" s="1364"/>
      <c r="X51" s="1364"/>
      <c r="Y51" s="1364"/>
      <c r="Z51" s="1364"/>
      <c r="AA51" s="1364"/>
      <c r="AB51" s="1359"/>
      <c r="AC51" s="1359"/>
      <c r="AD51" s="1359"/>
      <c r="AE51" s="1341"/>
      <c r="AF51" s="1341"/>
      <c r="AG51" s="1341"/>
      <c r="AH51" s="1336"/>
      <c r="AI51" s="1363"/>
    </row>
    <row r="52" spans="1:35">
      <c r="A52" s="1683">
        <v>52120</v>
      </c>
      <c r="B52" s="1336" t="s">
        <v>29</v>
      </c>
      <c r="C52" s="1341">
        <f>+IFERROR(VLOOKUP(A52,'2183 IS 2018'!$D:$AH,31,FALSE),0)</f>
        <v>382941.68</v>
      </c>
      <c r="D52" s="1354">
        <f>+IFERROR(VLOOKUP(A52,'2184 IS 2018'!$D:$AH,31,FALSE),0)</f>
        <v>15238</v>
      </c>
      <c r="E52" s="1354">
        <f>+IFERROR(VLOOKUP(A52,'2185 IS 2018'!$D:$AH,31,FALSE),0)</f>
        <v>53303.200000000004</v>
      </c>
      <c r="F52" s="1342">
        <f t="shared" ref="F52:F56" si="72">SUM(C52:E52)</f>
        <v>451482.88</v>
      </c>
      <c r="G52" s="1343"/>
      <c r="H52" s="1341"/>
      <c r="I52" s="1341"/>
      <c r="J52" s="1341"/>
      <c r="K52" s="1341"/>
      <c r="L52" s="1362">
        <f t="shared" ref="L52:L56" si="73">F52+H52+I52+J52</f>
        <v>451482.88</v>
      </c>
      <c r="M52" s="1337"/>
      <c r="N52" s="1359">
        <f t="shared" ref="N52:N56" si="74">C52+H52</f>
        <v>382941.68</v>
      </c>
      <c r="O52" s="1359">
        <f t="shared" ref="O52:O56" si="75">D52+I52</f>
        <v>15238</v>
      </c>
      <c r="P52" s="1359">
        <f t="shared" ref="P52:P56" si="76">E52+J52</f>
        <v>53303.200000000004</v>
      </c>
      <c r="Q52" s="1359">
        <f t="shared" ref="Q52:Q56" si="77">SUM(N52:P52)</f>
        <v>451482.88</v>
      </c>
      <c r="R52" s="1359"/>
      <c r="S52" s="1359"/>
      <c r="T52" s="1359"/>
      <c r="U52" s="1359"/>
      <c r="V52" s="1681">
        <f t="shared" ref="V52:V56" si="78">+SUM(S52:U52)</f>
        <v>0</v>
      </c>
      <c r="W52" s="1333"/>
      <c r="X52" s="1681">
        <f t="shared" ref="X52:X56" si="79">+S52+N52</f>
        <v>382941.68</v>
      </c>
      <c r="Y52" s="1681">
        <f t="shared" ref="Y52:Y56" si="80">+T52+O52</f>
        <v>15238</v>
      </c>
      <c r="Z52" s="1681">
        <f t="shared" ref="Z52:Z56" si="81">+U52+P52</f>
        <v>53303.200000000004</v>
      </c>
      <c r="AA52" s="1681">
        <f t="shared" ref="AA52:AA56" si="82">+SUM(X52:Z52)</f>
        <v>451482.88</v>
      </c>
      <c r="AB52" s="1362">
        <f>$X52*'2183-2184-2185 Ratios'!C$60</f>
        <v>291463.82107711083</v>
      </c>
      <c r="AC52" s="1362">
        <f>$X52*'2183-2184-2185 Ratios'!D$60</f>
        <v>14848.970281208711</v>
      </c>
      <c r="AD52" s="1362">
        <f>$X52*'2183-2184-2185 Ratios'!E$60</f>
        <v>3285.3792642429248</v>
      </c>
      <c r="AE52" s="1362">
        <f>$X52*'2183-2184-2185 Ratios'!F$60</f>
        <v>73343.509377437484</v>
      </c>
      <c r="AF52" s="1341">
        <f t="shared" ref="AF52:AG54" si="83">+Y52</f>
        <v>15238</v>
      </c>
      <c r="AG52" s="1341">
        <f t="shared" si="83"/>
        <v>53303.200000000004</v>
      </c>
      <c r="AH52" s="1336" t="s">
        <v>350</v>
      </c>
      <c r="AI52" s="1363">
        <f t="shared" si="71"/>
        <v>0</v>
      </c>
    </row>
    <row r="53" spans="1:35">
      <c r="A53" s="1683">
        <v>52125</v>
      </c>
      <c r="B53" s="1336" t="s">
        <v>30</v>
      </c>
      <c r="C53" s="1341">
        <f>+IFERROR(VLOOKUP(A53,'2183 IS 2018'!$D:$AH,31,FALSE),0)</f>
        <v>77886.91</v>
      </c>
      <c r="D53" s="1354">
        <f>+IFERROR(VLOOKUP(A53,'2184 IS 2018'!$D:$AH,31,FALSE),0)</f>
        <v>1442.62</v>
      </c>
      <c r="E53" s="1354">
        <f>+IFERROR(VLOOKUP(A53,'2185 IS 2018'!$D:$AH,31,FALSE),0)</f>
        <v>68.48</v>
      </c>
      <c r="F53" s="1342">
        <f t="shared" si="72"/>
        <v>79398.009999999995</v>
      </c>
      <c r="G53" s="1343"/>
      <c r="H53" s="1341">
        <f>+($F53)*'2183-2184-2185 Ratios'!C$149-'Consolidated IS '!C53</f>
        <v>-11543.53446590442</v>
      </c>
      <c r="I53" s="1341">
        <f>+($F53)*'2183-2184-2185 Ratios'!D$149-'Consolidated IS '!D53</f>
        <v>1633.8365374748068</v>
      </c>
      <c r="J53" s="1341">
        <f>+($F53)*'2183-2184-2185 Ratios'!E$149-'Consolidated IS '!E53</f>
        <v>9909.697928429594</v>
      </c>
      <c r="K53" s="1341" t="s">
        <v>906</v>
      </c>
      <c r="L53" s="1362">
        <f t="shared" si="73"/>
        <v>79398.00999999998</v>
      </c>
      <c r="M53" s="1337"/>
      <c r="N53" s="1359">
        <f t="shared" si="74"/>
        <v>66343.375534095583</v>
      </c>
      <c r="O53" s="1359">
        <f t="shared" si="75"/>
        <v>3076.4565374748067</v>
      </c>
      <c r="P53" s="1359">
        <f t="shared" si="76"/>
        <v>9978.1779284295935</v>
      </c>
      <c r="Q53" s="1359">
        <f t="shared" si="77"/>
        <v>79398.00999999998</v>
      </c>
      <c r="R53" s="1359"/>
      <c r="S53" s="1359"/>
      <c r="T53" s="1359"/>
      <c r="U53" s="1359"/>
      <c r="V53" s="1681">
        <f t="shared" si="78"/>
        <v>0</v>
      </c>
      <c r="W53" s="1333"/>
      <c r="X53" s="1681">
        <f t="shared" si="79"/>
        <v>66343.375534095583</v>
      </c>
      <c r="Y53" s="1681">
        <f t="shared" si="80"/>
        <v>3076.4565374748067</v>
      </c>
      <c r="Z53" s="1681">
        <f t="shared" si="81"/>
        <v>9978.1779284295935</v>
      </c>
      <c r="AA53" s="1681">
        <f t="shared" si="82"/>
        <v>79398.00999999998</v>
      </c>
      <c r="AB53" s="1362">
        <f>$X53*'2183-2184-2185 Ratios'!C$60</f>
        <v>50495.139981422777</v>
      </c>
      <c r="AC53" s="1362">
        <f>$X53*'2183-2184-2185 Ratios'!D$60</f>
        <v>2572.5348352283154</v>
      </c>
      <c r="AD53" s="1362">
        <f>$X53*'2183-2184-2185 Ratios'!E$60</f>
        <v>569.181057281618</v>
      </c>
      <c r="AE53" s="1362">
        <f>$X53*'2183-2184-2185 Ratios'!F$60</f>
        <v>12706.519660162863</v>
      </c>
      <c r="AF53" s="1341">
        <f t="shared" si="83"/>
        <v>3076.4565374748067</v>
      </c>
      <c r="AG53" s="1341">
        <f t="shared" si="83"/>
        <v>9978.1779284295935</v>
      </c>
      <c r="AH53" s="1336" t="s">
        <v>350</v>
      </c>
      <c r="AI53" s="1363">
        <f t="shared" si="71"/>
        <v>0</v>
      </c>
    </row>
    <row r="54" spans="1:35">
      <c r="A54" s="1683">
        <v>52135</v>
      </c>
      <c r="B54" s="1336" t="s">
        <v>31</v>
      </c>
      <c r="C54" s="1341">
        <f>+IFERROR(VLOOKUP(A54,'2183 IS 2018'!$D:$AH,31,FALSE),0)</f>
        <v>82.4</v>
      </c>
      <c r="D54" s="1354">
        <f>+IFERROR(VLOOKUP(A54,'2184 IS 2018'!$D:$AH,31,FALSE),0)</f>
        <v>115755.37999999999</v>
      </c>
      <c r="E54" s="1354">
        <f>+IFERROR(VLOOKUP(A54,'2185 IS 2018'!$D:$AH,31,FALSE),0)</f>
        <v>0</v>
      </c>
      <c r="F54" s="1342">
        <f t="shared" si="72"/>
        <v>115837.77999999998</v>
      </c>
      <c r="G54" s="1343"/>
      <c r="H54" s="1341"/>
      <c r="I54" s="1341"/>
      <c r="J54" s="1341"/>
      <c r="K54" s="1341"/>
      <c r="L54" s="1362">
        <f t="shared" si="73"/>
        <v>115837.77999999998</v>
      </c>
      <c r="M54" s="1337"/>
      <c r="N54" s="1359">
        <f t="shared" si="74"/>
        <v>82.4</v>
      </c>
      <c r="O54" s="1359">
        <f t="shared" si="75"/>
        <v>115755.37999999999</v>
      </c>
      <c r="P54" s="1359">
        <f t="shared" si="76"/>
        <v>0</v>
      </c>
      <c r="Q54" s="1359">
        <f t="shared" si="77"/>
        <v>115837.77999999998</v>
      </c>
      <c r="R54" s="1359"/>
      <c r="S54" s="1359"/>
      <c r="T54" s="1359"/>
      <c r="U54" s="1359"/>
      <c r="V54" s="1681">
        <f t="shared" si="78"/>
        <v>0</v>
      </c>
      <c r="W54" s="1333"/>
      <c r="X54" s="1681">
        <f t="shared" si="79"/>
        <v>82.4</v>
      </c>
      <c r="Y54" s="1681">
        <f t="shared" si="80"/>
        <v>115755.37999999999</v>
      </c>
      <c r="Z54" s="1681">
        <f t="shared" si="81"/>
        <v>0</v>
      </c>
      <c r="AA54" s="1681">
        <f t="shared" si="82"/>
        <v>115837.77999999998</v>
      </c>
      <c r="AB54" s="1362">
        <f>$X54*'2183-2184-2185 Ratios'!C$60</f>
        <v>62.71612653068722</v>
      </c>
      <c r="AC54" s="1362">
        <f>$X54*'2183-2184-2185 Ratios'!D$60</f>
        <v>3.1951474991481676</v>
      </c>
      <c r="AD54" s="1362">
        <f>$X54*'2183-2184-2185 Ratios'!E$60</f>
        <v>0.70693597879869607</v>
      </c>
      <c r="AE54" s="1362">
        <f>$X54*'2183-2184-2185 Ratios'!F$60</f>
        <v>15.781789991365915</v>
      </c>
      <c r="AF54" s="1341">
        <f t="shared" si="83"/>
        <v>115755.37999999999</v>
      </c>
      <c r="AG54" s="1341">
        <f t="shared" si="83"/>
        <v>0</v>
      </c>
      <c r="AH54" s="1336" t="s">
        <v>350</v>
      </c>
      <c r="AI54" s="1363">
        <f t="shared" si="71"/>
        <v>0</v>
      </c>
    </row>
    <row r="55" spans="1:35">
      <c r="A55" s="1683">
        <v>55120</v>
      </c>
      <c r="B55" s="1336" t="s">
        <v>29</v>
      </c>
      <c r="C55" s="1341">
        <f>+IFERROR(VLOOKUP(A55,'2183 IS 2018'!$D:$AH,31,FALSE),0)</f>
        <v>17231.63</v>
      </c>
      <c r="D55" s="1354">
        <f>+IFERROR(VLOOKUP(A55,'2184 IS 2018'!$D:$AH,31,FALSE),0)</f>
        <v>3234</v>
      </c>
      <c r="E55" s="1354">
        <f>+IFERROR(VLOOKUP(A55,'2185 IS 2018'!$D:$AH,31,FALSE),0)</f>
        <v>3718</v>
      </c>
      <c r="F55" s="1342">
        <f t="shared" si="72"/>
        <v>24183.63</v>
      </c>
      <c r="G55" s="1343"/>
      <c r="H55" s="1341"/>
      <c r="I55" s="1341"/>
      <c r="J55" s="1341"/>
      <c r="K55" s="1341"/>
      <c r="L55" s="1362">
        <f t="shared" si="73"/>
        <v>24183.63</v>
      </c>
      <c r="M55" s="1337"/>
      <c r="N55" s="1359">
        <f t="shared" si="74"/>
        <v>17231.63</v>
      </c>
      <c r="O55" s="1359">
        <f t="shared" si="75"/>
        <v>3234</v>
      </c>
      <c r="P55" s="1359">
        <f t="shared" si="76"/>
        <v>3718</v>
      </c>
      <c r="Q55" s="1359">
        <f t="shared" si="77"/>
        <v>24183.63</v>
      </c>
      <c r="R55" s="1359"/>
      <c r="S55" s="1359"/>
      <c r="T55" s="1359"/>
      <c r="U55" s="1359"/>
      <c r="V55" s="1681">
        <f t="shared" si="78"/>
        <v>0</v>
      </c>
      <c r="W55" s="1333"/>
      <c r="X55" s="1681">
        <f t="shared" si="79"/>
        <v>17231.63</v>
      </c>
      <c r="Y55" s="1681">
        <f t="shared" si="80"/>
        <v>3234</v>
      </c>
      <c r="Z55" s="1681">
        <f t="shared" si="81"/>
        <v>3718</v>
      </c>
      <c r="AA55" s="1681">
        <f t="shared" si="82"/>
        <v>24183.63</v>
      </c>
      <c r="AB55" s="1362">
        <f>+$X55*'2183-2184-2185 Ratios'!C$37</f>
        <v>9044.6861701746056</v>
      </c>
      <c r="AC55" s="1362">
        <f>+$X55*'2183-2184-2185 Ratios'!D$37</f>
        <v>261.3550489560497</v>
      </c>
      <c r="AD55" s="1362">
        <f>+$X55*'2183-2184-2185 Ratios'!E$37</f>
        <v>76.149269440268313</v>
      </c>
      <c r="AE55" s="1362">
        <f>+$X55*'2183-2184-2185 Ratios'!F$37</f>
        <v>7849.4395114290774</v>
      </c>
      <c r="AF55" s="1362">
        <f>+Y55</f>
        <v>3234</v>
      </c>
      <c r="AG55" s="1362">
        <f>+Z55</f>
        <v>3718</v>
      </c>
      <c r="AH55" s="1336" t="s">
        <v>950</v>
      </c>
      <c r="AI55" s="1363">
        <f t="shared" si="71"/>
        <v>0</v>
      </c>
    </row>
    <row r="56" spans="1:35">
      <c r="A56" s="1683">
        <v>55125</v>
      </c>
      <c r="B56" s="1336" t="s">
        <v>30</v>
      </c>
      <c r="C56" s="1341">
        <f>+IFERROR(VLOOKUP(A56,'2183 IS 2018'!$D:$AH,31,FALSE),0)</f>
        <v>26027.639999999996</v>
      </c>
      <c r="D56" s="1354">
        <f>+IFERROR(VLOOKUP(A56,'2184 IS 2018'!$D:$AH,31,FALSE),0)</f>
        <v>535.75</v>
      </c>
      <c r="E56" s="1354">
        <f>+IFERROR(VLOOKUP(A56,'2185 IS 2018'!$D:$AH,31,FALSE),0)</f>
        <v>12870.55</v>
      </c>
      <c r="F56" s="1342">
        <f t="shared" si="72"/>
        <v>39433.939999999995</v>
      </c>
      <c r="G56" s="1343"/>
      <c r="H56" s="1341"/>
      <c r="I56" s="1341"/>
      <c r="J56" s="1341"/>
      <c r="K56" s="1341"/>
      <c r="L56" s="1362">
        <f t="shared" si="73"/>
        <v>39433.939999999995</v>
      </c>
      <c r="M56" s="1337"/>
      <c r="N56" s="1359">
        <f t="shared" si="74"/>
        <v>26027.639999999996</v>
      </c>
      <c r="O56" s="1359">
        <f t="shared" si="75"/>
        <v>535.75</v>
      </c>
      <c r="P56" s="1359">
        <f t="shared" si="76"/>
        <v>12870.55</v>
      </c>
      <c r="Q56" s="1359">
        <f t="shared" si="77"/>
        <v>39433.939999999995</v>
      </c>
      <c r="R56" s="1359"/>
      <c r="S56" s="1359"/>
      <c r="T56" s="1359"/>
      <c r="U56" s="1359"/>
      <c r="V56" s="1681">
        <f t="shared" si="78"/>
        <v>0</v>
      </c>
      <c r="W56" s="1333"/>
      <c r="X56" s="1681">
        <f t="shared" si="79"/>
        <v>26027.639999999996</v>
      </c>
      <c r="Y56" s="1681">
        <f t="shared" si="80"/>
        <v>535.75</v>
      </c>
      <c r="Z56" s="1681">
        <f t="shared" si="81"/>
        <v>12870.55</v>
      </c>
      <c r="AA56" s="1681">
        <f t="shared" si="82"/>
        <v>39433.939999999995</v>
      </c>
      <c r="AB56" s="1362">
        <f>+$X56*'2183-2184-2185 Ratios'!C$37</f>
        <v>13661.611556787333</v>
      </c>
      <c r="AC56" s="1362">
        <f>+$X56*'2183-2184-2185 Ratios'!D$37</f>
        <v>394.76562150013876</v>
      </c>
      <c r="AD56" s="1362">
        <f>+$X56*'2183-2184-2185 Ratios'!E$37</f>
        <v>115.02021406299374</v>
      </c>
      <c r="AE56" s="1362">
        <f>+$X56*'2183-2184-2185 Ratios'!F$37</f>
        <v>11856.242607649529</v>
      </c>
      <c r="AF56" s="1362">
        <f>+Y56</f>
        <v>535.75</v>
      </c>
      <c r="AG56" s="1362">
        <f>+Z56</f>
        <v>12870.55</v>
      </c>
      <c r="AH56" s="1336" t="s">
        <v>950</v>
      </c>
      <c r="AI56" s="1363">
        <f t="shared" si="71"/>
        <v>0</v>
      </c>
    </row>
    <row r="57" spans="1:35">
      <c r="A57" s="1683"/>
      <c r="B57" s="1336"/>
      <c r="C57" s="1354"/>
      <c r="D57" s="1354"/>
      <c r="E57" s="1354"/>
      <c r="F57" s="1342"/>
      <c r="G57" s="1343"/>
      <c r="H57" s="1341"/>
      <c r="I57" s="1341"/>
      <c r="J57" s="1341"/>
      <c r="K57" s="1341"/>
      <c r="L57" s="1362"/>
      <c r="M57" s="1336"/>
      <c r="N57" s="1359"/>
      <c r="O57" s="1359"/>
      <c r="P57" s="1359"/>
      <c r="Q57" s="1359"/>
      <c r="R57" s="1359"/>
      <c r="S57" s="1359"/>
      <c r="T57" s="1359"/>
      <c r="U57" s="1359"/>
      <c r="V57" s="1364"/>
      <c r="W57" s="1364"/>
      <c r="X57" s="1364"/>
      <c r="Y57" s="1364"/>
      <c r="Z57" s="1364"/>
      <c r="AA57" s="1364"/>
      <c r="AB57" s="1377"/>
      <c r="AC57" s="1377"/>
      <c r="AD57" s="1377"/>
      <c r="AE57" s="1341"/>
      <c r="AF57" s="1341"/>
      <c r="AG57" s="1341"/>
      <c r="AH57" s="1336"/>
      <c r="AI57" s="1363"/>
    </row>
    <row r="58" spans="1:35">
      <c r="A58" s="1372">
        <v>41320</v>
      </c>
      <c r="B58" s="1332" t="s">
        <v>32</v>
      </c>
      <c r="C58" s="1366">
        <f t="shared" ref="C58:J58" si="84">SUM(C52:C57)</f>
        <v>504170.26</v>
      </c>
      <c r="D58" s="1366">
        <f t="shared" si="84"/>
        <v>136205.75</v>
      </c>
      <c r="E58" s="1366">
        <f t="shared" si="84"/>
        <v>69960.23000000001</v>
      </c>
      <c r="F58" s="1366">
        <f t="shared" si="84"/>
        <v>710336.24</v>
      </c>
      <c r="G58" s="1366">
        <f t="shared" si="84"/>
        <v>0</v>
      </c>
      <c r="H58" s="1366">
        <f t="shared" si="84"/>
        <v>-11543.53446590442</v>
      </c>
      <c r="I58" s="1366">
        <f t="shared" si="84"/>
        <v>1633.8365374748068</v>
      </c>
      <c r="J58" s="1366">
        <f t="shared" si="84"/>
        <v>9909.697928429594</v>
      </c>
      <c r="K58" s="1367"/>
      <c r="L58" s="1366">
        <f>SUM(L52:L57)</f>
        <v>710336.24</v>
      </c>
      <c r="M58" s="1366"/>
      <c r="N58" s="1366">
        <f>SUM(N52:N57)</f>
        <v>492626.7255340956</v>
      </c>
      <c r="O58" s="1366">
        <f>SUM(O52:O57)</f>
        <v>137839.5865374748</v>
      </c>
      <c r="P58" s="1346">
        <f>SUM(P52:P57)</f>
        <v>79869.927928429606</v>
      </c>
      <c r="Q58" s="1346">
        <f>SUM(Q52:Q57)</f>
        <v>710336.24</v>
      </c>
      <c r="R58" s="1346"/>
      <c r="S58" s="1346">
        <f>SUM(S52:S57)</f>
        <v>0</v>
      </c>
      <c r="T58" s="1346">
        <f>SUM(T52:T57)</f>
        <v>0</v>
      </c>
      <c r="U58" s="1346">
        <f>SUM(U52:U57)</f>
        <v>0</v>
      </c>
      <c r="V58" s="1346">
        <f>SUM(V52:V57)</f>
        <v>0</v>
      </c>
      <c r="W58" s="1346"/>
      <c r="X58" s="1346">
        <f t="shared" ref="X58:AI58" si="85">SUM(X52:X57)</f>
        <v>492626.7255340956</v>
      </c>
      <c r="Y58" s="1346">
        <f t="shared" si="85"/>
        <v>137839.5865374748</v>
      </c>
      <c r="Z58" s="1346">
        <f t="shared" si="85"/>
        <v>79869.927928429606</v>
      </c>
      <c r="AA58" s="1346">
        <f t="shared" si="85"/>
        <v>710336.24</v>
      </c>
      <c r="AB58" s="1346">
        <f t="shared" si="85"/>
        <v>364727.97491202626</v>
      </c>
      <c r="AC58" s="1346">
        <f t="shared" si="85"/>
        <v>18080.820934392363</v>
      </c>
      <c r="AD58" s="1346">
        <f t="shared" si="85"/>
        <v>4046.4367410066034</v>
      </c>
      <c r="AE58" s="1346">
        <f t="shared" si="85"/>
        <v>105771.49294667033</v>
      </c>
      <c r="AF58" s="1346">
        <f t="shared" si="85"/>
        <v>137839.5865374748</v>
      </c>
      <c r="AG58" s="1346">
        <f t="shared" si="85"/>
        <v>79869.927928429606</v>
      </c>
      <c r="AH58" s="1366">
        <f t="shared" si="85"/>
        <v>0</v>
      </c>
      <c r="AI58" s="1348">
        <f t="shared" si="85"/>
        <v>0</v>
      </c>
    </row>
    <row r="59" spans="1:35">
      <c r="A59" s="1331"/>
      <c r="B59" s="1336"/>
      <c r="C59" s="1354"/>
      <c r="D59" s="1333"/>
      <c r="E59" s="1342"/>
      <c r="F59" s="1342"/>
      <c r="G59" s="1336"/>
      <c r="H59" s="1341"/>
      <c r="I59" s="1341"/>
      <c r="J59" s="1341"/>
      <c r="K59" s="1341"/>
      <c r="L59" s="1341"/>
      <c r="M59" s="1336"/>
      <c r="N59" s="1342"/>
      <c r="O59" s="1336"/>
      <c r="P59" s="1378"/>
      <c r="Q59" s="1378"/>
      <c r="R59" s="1378"/>
      <c r="S59" s="1378"/>
      <c r="T59" s="1378"/>
      <c r="U59" s="1378"/>
      <c r="V59" s="1364"/>
      <c r="W59" s="1364"/>
      <c r="X59" s="1364"/>
      <c r="Y59" s="1364"/>
      <c r="Z59" s="1364"/>
      <c r="AA59" s="1364"/>
      <c r="AB59" s="1359"/>
      <c r="AC59" s="1359"/>
      <c r="AD59" s="1359"/>
      <c r="AE59" s="1341"/>
      <c r="AF59" s="1341"/>
      <c r="AG59" s="1341"/>
      <c r="AH59" s="1336"/>
      <c r="AI59" s="1363">
        <f>SUM(AB59:AG59)-AA59</f>
        <v>0</v>
      </c>
    </row>
    <row r="60" spans="1:35">
      <c r="A60" s="1331"/>
      <c r="B60" s="1336"/>
      <c r="C60" s="1354"/>
      <c r="D60" s="1333"/>
      <c r="E60" s="1342"/>
      <c r="F60" s="1342"/>
      <c r="G60" s="1336"/>
      <c r="H60" s="1341"/>
      <c r="I60" s="1341"/>
      <c r="J60" s="1341"/>
      <c r="K60" s="1341"/>
      <c r="L60" s="1341"/>
      <c r="M60" s="1336"/>
      <c r="N60" s="1342"/>
      <c r="O60" s="1336"/>
      <c r="P60" s="1378"/>
      <c r="Q60" s="1378"/>
      <c r="R60" s="1378"/>
      <c r="S60" s="1378"/>
      <c r="T60" s="1378"/>
      <c r="U60" s="1378"/>
      <c r="V60" s="1364"/>
      <c r="W60" s="1364"/>
      <c r="X60" s="1364"/>
      <c r="Y60" s="1364"/>
      <c r="Z60" s="1364"/>
      <c r="AA60" s="1364"/>
      <c r="AB60" s="1359"/>
      <c r="AC60" s="1359"/>
      <c r="AD60" s="1359"/>
      <c r="AE60" s="1341"/>
      <c r="AF60" s="1341"/>
      <c r="AG60" s="1341"/>
      <c r="AH60" s="1336"/>
      <c r="AI60" s="1363"/>
    </row>
    <row r="61" spans="1:35">
      <c r="A61" s="1331">
        <v>52147</v>
      </c>
      <c r="B61" s="1336" t="s">
        <v>33</v>
      </c>
      <c r="C61" s="1341">
        <f>+IFERROR(VLOOKUP(A61,'2183 IS 2018'!$D:$AH,31,FALSE),0)</f>
        <v>153599.14000000001</v>
      </c>
      <c r="D61" s="1354">
        <f>+IFERROR(VLOOKUP(A61,'2184 IS 2018'!$D:$AH,31,FALSE),0)</f>
        <v>29127.379999999997</v>
      </c>
      <c r="E61" s="1354">
        <f>+IFERROR(VLOOKUP(A61,'2185 IS 2018'!$D:$AH,31,FALSE),0)</f>
        <v>36338.980000000003</v>
      </c>
      <c r="F61" s="1342">
        <f t="shared" ref="F61:F62" si="86">SUM(C61:E61)</f>
        <v>219065.50000000003</v>
      </c>
      <c r="G61" s="1343"/>
      <c r="H61" s="1341"/>
      <c r="I61" s="1341"/>
      <c r="J61" s="1341"/>
      <c r="K61" s="1341"/>
      <c r="L61" s="1362">
        <f t="shared" ref="L61:L62" si="87">F61+H61+I61+J61</f>
        <v>219065.50000000003</v>
      </c>
      <c r="M61" s="1337"/>
      <c r="N61" s="1359">
        <f t="shared" ref="N61:N62" si="88">C61+H61</f>
        <v>153599.14000000001</v>
      </c>
      <c r="O61" s="1359">
        <f t="shared" ref="O61:O62" si="89">D61+I61</f>
        <v>29127.379999999997</v>
      </c>
      <c r="P61" s="1359">
        <f t="shared" ref="P61:P62" si="90">E61+J61</f>
        <v>36338.980000000003</v>
      </c>
      <c r="Q61" s="1359">
        <f t="shared" ref="Q61:Q62" si="91">SUM(N61:P61)</f>
        <v>219065.50000000003</v>
      </c>
      <c r="R61" s="1359"/>
      <c r="S61" s="1359"/>
      <c r="T61" s="1359"/>
      <c r="U61" s="1359"/>
      <c r="V61" s="1681">
        <f t="shared" ref="V61:V62" si="92">+SUM(S61:U61)</f>
        <v>0</v>
      </c>
      <c r="W61" s="1333"/>
      <c r="X61" s="1681">
        <f t="shared" ref="X61:X62" si="93">+S61+N61</f>
        <v>153599.14000000001</v>
      </c>
      <c r="Y61" s="1681">
        <f t="shared" ref="Y61:Y62" si="94">+T61+O61</f>
        <v>29127.379999999997</v>
      </c>
      <c r="Z61" s="1681">
        <f t="shared" ref="Z61:Z62" si="95">+U61+P61</f>
        <v>36338.980000000003</v>
      </c>
      <c r="AA61" s="1681">
        <f t="shared" ref="AA61:AA62" si="96">+SUM(X61:Z61)</f>
        <v>219065.50000000003</v>
      </c>
      <c r="AB61" s="1362">
        <f>$X61*'2183-2184-2185 Ratios'!C$60</f>
        <v>116907.07644714491</v>
      </c>
      <c r="AC61" s="1362">
        <f>$X61*'2183-2184-2185 Ratios'!D$60</f>
        <v>5955.9697577950155</v>
      </c>
      <c r="AD61" s="1362">
        <f>$X61*'2183-2184-2185 Ratios'!E$60</f>
        <v>1317.7761939142954</v>
      </c>
      <c r="AE61" s="1362">
        <f>$X61*'2183-2184-2185 Ratios'!F$60</f>
        <v>29418.317601145776</v>
      </c>
      <c r="AF61" s="1341">
        <f>+Y61</f>
        <v>29127.379999999997</v>
      </c>
      <c r="AG61" s="1341">
        <f>+Z61</f>
        <v>36338.980000000003</v>
      </c>
      <c r="AH61" s="1336" t="s">
        <v>350</v>
      </c>
      <c r="AI61" s="1363">
        <f>SUM(AB61:AG61)-AA61</f>
        <v>0</v>
      </c>
    </row>
    <row r="62" spans="1:35">
      <c r="A62" s="1331">
        <v>55147</v>
      </c>
      <c r="B62" s="1336" t="s">
        <v>33</v>
      </c>
      <c r="C62" s="1341">
        <f>+IFERROR(VLOOKUP(A62,'2183 IS 2018'!$D:$AH,31,FALSE),0)</f>
        <v>336342.87999999995</v>
      </c>
      <c r="D62" s="1354">
        <f>+IFERROR(VLOOKUP(A62,'2184 IS 2018'!$D:$AH,31,FALSE),0)</f>
        <v>0</v>
      </c>
      <c r="E62" s="1354">
        <f>+IFERROR(VLOOKUP(A62,'2185 IS 2018'!$D:$AH,31,FALSE),0)</f>
        <v>0</v>
      </c>
      <c r="F62" s="1342">
        <f t="shared" si="86"/>
        <v>336342.87999999995</v>
      </c>
      <c r="G62" s="1343"/>
      <c r="H62" s="1341"/>
      <c r="I62" s="1341"/>
      <c r="J62" s="1341"/>
      <c r="K62" s="1341"/>
      <c r="L62" s="1362">
        <f t="shared" si="87"/>
        <v>336342.87999999995</v>
      </c>
      <c r="M62" s="1337"/>
      <c r="N62" s="1359">
        <f t="shared" si="88"/>
        <v>336342.87999999995</v>
      </c>
      <c r="O62" s="1359">
        <f t="shared" si="89"/>
        <v>0</v>
      </c>
      <c r="P62" s="1359">
        <f t="shared" si="90"/>
        <v>0</v>
      </c>
      <c r="Q62" s="1359">
        <f t="shared" si="91"/>
        <v>336342.87999999995</v>
      </c>
      <c r="R62" s="1359"/>
      <c r="S62" s="1359"/>
      <c r="T62" s="1359"/>
      <c r="U62" s="1359"/>
      <c r="V62" s="1681">
        <f t="shared" si="92"/>
        <v>0</v>
      </c>
      <c r="W62" s="1333"/>
      <c r="X62" s="1681">
        <f t="shared" si="93"/>
        <v>336342.87999999995</v>
      </c>
      <c r="Y62" s="1681">
        <f t="shared" si="94"/>
        <v>0</v>
      </c>
      <c r="Z62" s="1681">
        <f t="shared" si="95"/>
        <v>0</v>
      </c>
      <c r="AA62" s="1681">
        <f t="shared" si="96"/>
        <v>336342.87999999995</v>
      </c>
      <c r="AB62" s="1341">
        <f>$X62*'2183-2184-2185 Ratios'!C$21</f>
        <v>311120.54190510616</v>
      </c>
      <c r="AC62" s="1341">
        <f>$X62*'2183-2184-2185 Ratios'!D$21</f>
        <v>11958.835796299265</v>
      </c>
      <c r="AD62" s="1341">
        <f>$X62*'2183-2184-2185 Ratios'!E$21</f>
        <v>3130.2262436960982</v>
      </c>
      <c r="AE62" s="1341">
        <f>$X62*'2183-2184-2185 Ratios'!F$21</f>
        <v>10133.276054898442</v>
      </c>
      <c r="AF62" s="1341">
        <f t="shared" ref="AF62" si="97">+Y62</f>
        <v>0</v>
      </c>
      <c r="AG62" s="1341">
        <f t="shared" ref="AG62" si="98">+Z62</f>
        <v>0</v>
      </c>
      <c r="AH62" s="1379" t="s">
        <v>352</v>
      </c>
      <c r="AI62" s="1363">
        <f>SUM(AB62:AG62)-AA62</f>
        <v>0</v>
      </c>
    </row>
    <row r="63" spans="1:35">
      <c r="A63" s="1331"/>
      <c r="B63" s="1336"/>
      <c r="C63" s="1354"/>
      <c r="D63" s="1354"/>
      <c r="E63" s="1354"/>
      <c r="F63" s="1342"/>
      <c r="G63" s="1343"/>
      <c r="H63" s="1341"/>
      <c r="I63" s="1341"/>
      <c r="J63" s="1341"/>
      <c r="K63" s="1341"/>
      <c r="L63" s="1362"/>
      <c r="M63" s="1336"/>
      <c r="N63" s="1359"/>
      <c r="O63" s="1359"/>
      <c r="P63" s="1359"/>
      <c r="Q63" s="1359"/>
      <c r="R63" s="1359"/>
      <c r="S63" s="1359"/>
      <c r="T63" s="1359"/>
      <c r="U63" s="1359"/>
      <c r="V63" s="1364"/>
      <c r="W63" s="1364"/>
      <c r="X63" s="1364"/>
      <c r="Y63" s="1364"/>
      <c r="Z63" s="1364"/>
      <c r="AA63" s="1364"/>
      <c r="AB63" s="1362"/>
      <c r="AC63" s="1362"/>
      <c r="AD63" s="1362"/>
      <c r="AE63" s="1341"/>
      <c r="AF63" s="1341"/>
      <c r="AG63" s="1341"/>
      <c r="AH63" s="1336"/>
      <c r="AI63" s="1363"/>
    </row>
    <row r="64" spans="1:35">
      <c r="A64" s="1372">
        <v>41330</v>
      </c>
      <c r="B64" s="1332" t="s">
        <v>13</v>
      </c>
      <c r="C64" s="1366">
        <f>SUM(C61:C63)</f>
        <v>489942.01999999996</v>
      </c>
      <c r="D64" s="1366">
        <f t="shared" ref="D64:AI64" si="99">SUM(D61:D63)</f>
        <v>29127.379999999997</v>
      </c>
      <c r="E64" s="1366">
        <f t="shared" si="99"/>
        <v>36338.980000000003</v>
      </c>
      <c r="F64" s="1366">
        <f t="shared" si="99"/>
        <v>555408.38</v>
      </c>
      <c r="G64" s="1366">
        <f t="shared" si="99"/>
        <v>0</v>
      </c>
      <c r="H64" s="1366">
        <f t="shared" si="99"/>
        <v>0</v>
      </c>
      <c r="I64" s="1366">
        <f t="shared" si="99"/>
        <v>0</v>
      </c>
      <c r="J64" s="1366">
        <f t="shared" si="99"/>
        <v>0</v>
      </c>
      <c r="K64" s="1367"/>
      <c r="L64" s="1366">
        <f t="shared" si="99"/>
        <v>555408.38</v>
      </c>
      <c r="M64" s="1366"/>
      <c r="N64" s="1366">
        <f t="shared" si="99"/>
        <v>489942.01999999996</v>
      </c>
      <c r="O64" s="1366">
        <f t="shared" si="99"/>
        <v>29127.379999999997</v>
      </c>
      <c r="P64" s="1366">
        <f t="shared" si="99"/>
        <v>36338.980000000003</v>
      </c>
      <c r="Q64" s="1366">
        <f t="shared" si="99"/>
        <v>555408.38</v>
      </c>
      <c r="R64" s="1366"/>
      <c r="S64" s="1366">
        <f t="shared" si="99"/>
        <v>0</v>
      </c>
      <c r="T64" s="1366">
        <f t="shared" si="99"/>
        <v>0</v>
      </c>
      <c r="U64" s="1366">
        <f t="shared" si="99"/>
        <v>0</v>
      </c>
      <c r="V64" s="1366">
        <f t="shared" si="99"/>
        <v>0</v>
      </c>
      <c r="W64" s="1366"/>
      <c r="X64" s="1366">
        <f t="shared" si="99"/>
        <v>489942.01999999996</v>
      </c>
      <c r="Y64" s="1366">
        <f t="shared" si="99"/>
        <v>29127.379999999997</v>
      </c>
      <c r="Z64" s="1366">
        <f t="shared" si="99"/>
        <v>36338.980000000003</v>
      </c>
      <c r="AA64" s="1366">
        <f t="shared" si="99"/>
        <v>555408.38</v>
      </c>
      <c r="AB64" s="1366">
        <f t="shared" si="99"/>
        <v>428027.61835225107</v>
      </c>
      <c r="AC64" s="1366">
        <f t="shared" si="99"/>
        <v>17914.805554094281</v>
      </c>
      <c r="AD64" s="1366">
        <f t="shared" si="99"/>
        <v>4448.0024376103938</v>
      </c>
      <c r="AE64" s="1366">
        <f>SUM(AE61:AE63)</f>
        <v>39551.593656044221</v>
      </c>
      <c r="AF64" s="1366">
        <f t="shared" si="99"/>
        <v>29127.379999999997</v>
      </c>
      <c r="AG64" s="1366">
        <f t="shared" si="99"/>
        <v>36338.980000000003</v>
      </c>
      <c r="AH64" s="1366">
        <f t="shared" si="99"/>
        <v>0</v>
      </c>
      <c r="AI64" s="1366">
        <f t="shared" si="99"/>
        <v>0</v>
      </c>
    </row>
    <row r="65" spans="1:35">
      <c r="A65" s="1331"/>
      <c r="B65" s="1336"/>
      <c r="C65" s="1354"/>
      <c r="D65" s="1333"/>
      <c r="E65" s="1342"/>
      <c r="F65" s="1342"/>
      <c r="G65" s="1336"/>
      <c r="H65" s="1341"/>
      <c r="I65" s="1341"/>
      <c r="J65" s="1341"/>
      <c r="K65" s="1341"/>
      <c r="L65" s="1341"/>
      <c r="M65" s="1336"/>
      <c r="N65" s="1342"/>
      <c r="O65" s="1336"/>
      <c r="P65" s="1332"/>
      <c r="Q65" s="1345"/>
      <c r="R65" s="1345"/>
      <c r="S65" s="1345"/>
      <c r="T65" s="1345"/>
      <c r="U65" s="1345"/>
      <c r="V65" s="1364"/>
      <c r="W65" s="1364"/>
      <c r="X65" s="1364"/>
      <c r="Y65" s="1364"/>
      <c r="Z65" s="1364"/>
      <c r="AA65" s="1364"/>
      <c r="AB65" s="1359"/>
      <c r="AC65" s="1359"/>
      <c r="AD65" s="1359"/>
      <c r="AE65" s="1341"/>
      <c r="AF65" s="1341"/>
      <c r="AG65" s="1341"/>
      <c r="AH65" s="1336"/>
      <c r="AI65" s="1363">
        <f>SUM(AB65:AG65)-AA65</f>
        <v>0</v>
      </c>
    </row>
    <row r="66" spans="1:35">
      <c r="A66" s="1331"/>
      <c r="B66" s="1336"/>
      <c r="C66" s="1354"/>
      <c r="D66" s="1333"/>
      <c r="E66" s="1342"/>
      <c r="F66" s="1342"/>
      <c r="G66" s="1336"/>
      <c r="H66" s="1341"/>
      <c r="I66" s="1341"/>
      <c r="J66" s="1341"/>
      <c r="K66" s="1341"/>
      <c r="L66" s="1341"/>
      <c r="M66" s="1336"/>
      <c r="N66" s="1342"/>
      <c r="O66" s="1336"/>
      <c r="P66" s="1332"/>
      <c r="Q66" s="1345"/>
      <c r="R66" s="1345"/>
      <c r="S66" s="1345"/>
      <c r="T66" s="1345"/>
      <c r="U66" s="1345"/>
      <c r="V66" s="1364"/>
      <c r="W66" s="1364"/>
      <c r="X66" s="1364"/>
      <c r="Y66" s="1364"/>
      <c r="Z66" s="1364"/>
      <c r="AA66" s="1364"/>
      <c r="AB66" s="1359"/>
      <c r="AC66" s="1359"/>
      <c r="AD66" s="1359"/>
      <c r="AE66" s="1341"/>
      <c r="AF66" s="1341"/>
      <c r="AG66" s="1341"/>
      <c r="AH66" s="1336"/>
      <c r="AI66" s="1363"/>
    </row>
    <row r="67" spans="1:35">
      <c r="A67" s="1331">
        <v>59400</v>
      </c>
      <c r="B67" s="1336" t="s">
        <v>34</v>
      </c>
      <c r="C67" s="1341">
        <f>+IFERROR(VLOOKUP(A67,'2183 IS 2018'!$D:$AH,31,FALSE),0)</f>
        <v>2529.52</v>
      </c>
      <c r="D67" s="1354">
        <f>+IFERROR(VLOOKUP(A67,'2184 IS 2018'!$D:$AH,31,FALSE),0)</f>
        <v>0</v>
      </c>
      <c r="E67" s="1354">
        <f>+IFERROR(VLOOKUP(A67,'2185 IS 2018'!$D:$AH,31,FALSE),0)</f>
        <v>0</v>
      </c>
      <c r="F67" s="1342">
        <f t="shared" ref="F67:F68" si="100">SUM(C67:E67)</f>
        <v>2529.52</v>
      </c>
      <c r="G67" s="1343"/>
      <c r="H67" s="1341"/>
      <c r="I67" s="1341"/>
      <c r="J67" s="1341"/>
      <c r="K67" s="1341"/>
      <c r="L67" s="1362">
        <f t="shared" ref="L67:L68" si="101">F67+H67+I67+J67</f>
        <v>2529.52</v>
      </c>
      <c r="M67" s="1337"/>
      <c r="N67" s="1359">
        <f t="shared" ref="N67:N68" si="102">C67+H67</f>
        <v>2529.52</v>
      </c>
      <c r="O67" s="1359">
        <f t="shared" ref="O67:O68" si="103">D67+I67</f>
        <v>0</v>
      </c>
      <c r="P67" s="1359">
        <f t="shared" ref="P67:P68" si="104">E67+J67</f>
        <v>0</v>
      </c>
      <c r="Q67" s="1359">
        <f t="shared" ref="Q67:Q68" si="105">SUM(N67:P67)</f>
        <v>2529.52</v>
      </c>
      <c r="R67" s="1359"/>
      <c r="S67" s="1359"/>
      <c r="T67" s="1359"/>
      <c r="U67" s="1359"/>
      <c r="V67" s="1681">
        <f t="shared" ref="V67:V68" si="106">+SUM(S67:U67)</f>
        <v>0</v>
      </c>
      <c r="W67" s="1333"/>
      <c r="X67" s="1681">
        <f t="shared" ref="X67:X68" si="107">+S67+N67</f>
        <v>2529.52</v>
      </c>
      <c r="Y67" s="1681">
        <f t="shared" ref="Y67:Y68" si="108">+T67+O67</f>
        <v>0</v>
      </c>
      <c r="Z67" s="1681">
        <f t="shared" ref="Z67:Z68" si="109">+U67+P67</f>
        <v>0</v>
      </c>
      <c r="AA67" s="1681">
        <f t="shared" ref="AA67:AA68" si="110">+SUM(X67:Z67)</f>
        <v>2529.52</v>
      </c>
      <c r="AB67" s="1362">
        <f>$X67*'2183-2184-2185 Ratios'!C$60</f>
        <v>1925.26330560563</v>
      </c>
      <c r="AC67" s="1362">
        <f>$X67*'2183-2184-2185 Ratios'!D$60</f>
        <v>98.084824053947472</v>
      </c>
      <c r="AD67" s="1362">
        <f>$X67*'2183-2184-2185 Ratios'!E$60</f>
        <v>21.701561857898998</v>
      </c>
      <c r="AE67" s="1362">
        <f>$X67*'2183-2184-2185 Ratios'!F$60</f>
        <v>484.47030848252314</v>
      </c>
      <c r="AF67" s="1341">
        <f>+Y67</f>
        <v>0</v>
      </c>
      <c r="AG67" s="1341">
        <f>+Z67</f>
        <v>0</v>
      </c>
      <c r="AH67" s="1336" t="s">
        <v>350</v>
      </c>
      <c r="AI67" s="1363">
        <f>SUM(AB67:AG67)-AA67</f>
        <v>0</v>
      </c>
    </row>
    <row r="68" spans="1:35">
      <c r="A68" s="1331">
        <v>59401</v>
      </c>
      <c r="B68" s="1336" t="s">
        <v>35</v>
      </c>
      <c r="C68" s="1341">
        <f>+IFERROR(VLOOKUP(A68,'2183 IS 2018'!$D:$AH,31,FALSE),0)</f>
        <v>9644.31</v>
      </c>
      <c r="D68" s="1354">
        <f>+IFERROR(VLOOKUP(A68,'2184 IS 2018'!$D:$AH,31,FALSE),0)</f>
        <v>0</v>
      </c>
      <c r="E68" s="1354">
        <f>+IFERROR(VLOOKUP(A68,'2185 IS 2018'!$D:$AH,31,FALSE),0)</f>
        <v>0</v>
      </c>
      <c r="F68" s="1342">
        <f t="shared" si="100"/>
        <v>9644.31</v>
      </c>
      <c r="G68" s="1343"/>
      <c r="H68" s="1341"/>
      <c r="I68" s="1341"/>
      <c r="J68" s="1341"/>
      <c r="K68" s="1341"/>
      <c r="L68" s="1362">
        <f t="shared" si="101"/>
        <v>9644.31</v>
      </c>
      <c r="M68" s="1337"/>
      <c r="N68" s="1359">
        <f t="shared" si="102"/>
        <v>9644.31</v>
      </c>
      <c r="O68" s="1359">
        <f t="shared" si="103"/>
        <v>0</v>
      </c>
      <c r="P68" s="1359">
        <f t="shared" si="104"/>
        <v>0</v>
      </c>
      <c r="Q68" s="1359">
        <f t="shared" si="105"/>
        <v>9644.31</v>
      </c>
      <c r="R68" s="1359"/>
      <c r="S68" s="1359"/>
      <c r="T68" s="1359"/>
      <c r="U68" s="1359"/>
      <c r="V68" s="1681">
        <f t="shared" si="106"/>
        <v>0</v>
      </c>
      <c r="W68" s="1333"/>
      <c r="X68" s="1681">
        <f t="shared" si="107"/>
        <v>9644.31</v>
      </c>
      <c r="Y68" s="1681">
        <f t="shared" si="108"/>
        <v>0</v>
      </c>
      <c r="Z68" s="1681">
        <f t="shared" si="109"/>
        <v>0</v>
      </c>
      <c r="AA68" s="1681">
        <f t="shared" si="110"/>
        <v>9644.31</v>
      </c>
      <c r="AB68" s="1362">
        <f>$X68*'2183-2184-2185 Ratios'!C$60</f>
        <v>7340.4583284122809</v>
      </c>
      <c r="AC68" s="1362">
        <f>$X68*'2183-2184-2185 Ratios'!D$60</f>
        <v>373.9683613775444</v>
      </c>
      <c r="AD68" s="1362">
        <f>$X68*'2183-2184-2185 Ratios'!E$60</f>
        <v>82.741622933107422</v>
      </c>
      <c r="AE68" s="1362">
        <f>$X68*'2183-2184-2185 Ratios'!F$60</f>
        <v>1847.1416872770653</v>
      </c>
      <c r="AF68" s="1341">
        <f>+Y68</f>
        <v>0</v>
      </c>
      <c r="AG68" s="1341">
        <f>+Z68</f>
        <v>0</v>
      </c>
      <c r="AH68" s="1336" t="s">
        <v>350</v>
      </c>
      <c r="AI68" s="1363">
        <f>SUM(AB68:AG68)-AA68</f>
        <v>0</v>
      </c>
    </row>
    <row r="69" spans="1:35">
      <c r="A69" s="1331"/>
      <c r="B69" s="1336"/>
      <c r="C69" s="1354"/>
      <c r="D69" s="1354"/>
      <c r="E69" s="1354"/>
      <c r="F69" s="1342"/>
      <c r="G69" s="1343"/>
      <c r="H69" s="1341"/>
      <c r="I69" s="1341"/>
      <c r="J69" s="1341"/>
      <c r="K69" s="1341"/>
      <c r="L69" s="1362"/>
      <c r="M69" s="1336"/>
      <c r="N69" s="1359"/>
      <c r="O69" s="1359"/>
      <c r="P69" s="1359"/>
      <c r="Q69" s="1359"/>
      <c r="R69" s="1359"/>
      <c r="S69" s="1359"/>
      <c r="T69" s="1359"/>
      <c r="U69" s="1359"/>
      <c r="V69" s="1364"/>
      <c r="W69" s="1364"/>
      <c r="X69" s="1364"/>
      <c r="Y69" s="1364"/>
      <c r="Z69" s="1364"/>
      <c r="AA69" s="1364"/>
      <c r="AB69" s="1362"/>
      <c r="AC69" s="1362"/>
      <c r="AD69" s="1362"/>
      <c r="AE69" s="1341"/>
      <c r="AF69" s="1341"/>
      <c r="AG69" s="1341"/>
      <c r="AH69" s="1336"/>
      <c r="AI69" s="1363"/>
    </row>
    <row r="70" spans="1:35">
      <c r="A70" s="1372">
        <v>41340</v>
      </c>
      <c r="B70" s="1332" t="s">
        <v>36</v>
      </c>
      <c r="C70" s="1366">
        <f>SUM(C67:C69)</f>
        <v>12173.83</v>
      </c>
      <c r="D70" s="1366">
        <f t="shared" ref="D70:AI70" si="111">SUM(D67:D69)</f>
        <v>0</v>
      </c>
      <c r="E70" s="1366">
        <f t="shared" si="111"/>
        <v>0</v>
      </c>
      <c r="F70" s="1366">
        <f t="shared" si="111"/>
        <v>12173.83</v>
      </c>
      <c r="G70" s="1366">
        <f t="shared" si="111"/>
        <v>0</v>
      </c>
      <c r="H70" s="1366">
        <f t="shared" si="111"/>
        <v>0</v>
      </c>
      <c r="I70" s="1366">
        <f t="shared" si="111"/>
        <v>0</v>
      </c>
      <c r="J70" s="1366">
        <f t="shared" si="111"/>
        <v>0</v>
      </c>
      <c r="K70" s="1367"/>
      <c r="L70" s="1366">
        <f t="shared" si="111"/>
        <v>12173.83</v>
      </c>
      <c r="M70" s="1366"/>
      <c r="N70" s="1366">
        <f t="shared" si="111"/>
        <v>12173.83</v>
      </c>
      <c r="O70" s="1366">
        <f t="shared" si="111"/>
        <v>0</v>
      </c>
      <c r="P70" s="1366">
        <f t="shared" si="111"/>
        <v>0</v>
      </c>
      <c r="Q70" s="1366">
        <f t="shared" si="111"/>
        <v>12173.83</v>
      </c>
      <c r="R70" s="1366"/>
      <c r="S70" s="1366">
        <f t="shared" si="111"/>
        <v>0</v>
      </c>
      <c r="T70" s="1366">
        <f t="shared" si="111"/>
        <v>0</v>
      </c>
      <c r="U70" s="1366">
        <f t="shared" si="111"/>
        <v>0</v>
      </c>
      <c r="V70" s="1366">
        <f t="shared" si="111"/>
        <v>0</v>
      </c>
      <c r="W70" s="1366"/>
      <c r="X70" s="1366">
        <f t="shared" si="111"/>
        <v>12173.83</v>
      </c>
      <c r="Y70" s="1366">
        <f t="shared" si="111"/>
        <v>0</v>
      </c>
      <c r="Z70" s="1366">
        <f t="shared" si="111"/>
        <v>0</v>
      </c>
      <c r="AA70" s="1366">
        <f t="shared" si="111"/>
        <v>12173.83</v>
      </c>
      <c r="AB70" s="1366">
        <f t="shared" si="111"/>
        <v>9265.7216340179111</v>
      </c>
      <c r="AC70" s="1366">
        <f t="shared" si="111"/>
        <v>472.0531854314919</v>
      </c>
      <c r="AD70" s="1366">
        <f t="shared" si="111"/>
        <v>104.44318479100642</v>
      </c>
      <c r="AE70" s="1366">
        <f>SUM(AE67:AE69)</f>
        <v>2331.6119957595884</v>
      </c>
      <c r="AF70" s="1366">
        <f t="shared" si="111"/>
        <v>0</v>
      </c>
      <c r="AG70" s="1366">
        <f t="shared" si="111"/>
        <v>0</v>
      </c>
      <c r="AH70" s="1366">
        <f t="shared" si="111"/>
        <v>0</v>
      </c>
      <c r="AI70" s="1366">
        <f t="shared" si="111"/>
        <v>0</v>
      </c>
    </row>
    <row r="71" spans="1:35">
      <c r="A71" s="1331"/>
      <c r="B71" s="1336"/>
      <c r="C71" s="1354"/>
      <c r="D71" s="1333"/>
      <c r="E71" s="1342"/>
      <c r="F71" s="1342"/>
      <c r="G71" s="1336"/>
      <c r="H71" s="1341"/>
      <c r="I71" s="1341"/>
      <c r="J71" s="1341"/>
      <c r="K71" s="1341"/>
      <c r="L71" s="1341"/>
      <c r="M71" s="1336"/>
      <c r="N71" s="1342"/>
      <c r="O71" s="1336"/>
      <c r="P71" s="1378"/>
      <c r="Q71" s="1378"/>
      <c r="R71" s="1378"/>
      <c r="S71" s="1378"/>
      <c r="T71" s="1378"/>
      <c r="U71" s="1378"/>
      <c r="V71" s="1364"/>
      <c r="W71" s="1364"/>
      <c r="X71" s="1364"/>
      <c r="Y71" s="1364"/>
      <c r="Z71" s="1364"/>
      <c r="AA71" s="1364"/>
      <c r="AB71" s="1362"/>
      <c r="AC71" s="1362"/>
      <c r="AD71" s="1362"/>
      <c r="AE71" s="1341"/>
      <c r="AF71" s="1341"/>
      <c r="AG71" s="1341"/>
      <c r="AH71" s="1336"/>
      <c r="AI71" s="1363">
        <f>SUM(AB71:AG71)-AA71</f>
        <v>0</v>
      </c>
    </row>
    <row r="72" spans="1:35">
      <c r="A72" s="1331"/>
      <c r="B72" s="1336"/>
      <c r="C72" s="1354"/>
      <c r="D72" s="1333"/>
      <c r="E72" s="1342"/>
      <c r="F72" s="1342"/>
      <c r="G72" s="1336"/>
      <c r="H72" s="1341"/>
      <c r="I72" s="1341"/>
      <c r="J72" s="1341"/>
      <c r="K72" s="1341"/>
      <c r="L72" s="1341"/>
      <c r="M72" s="1336"/>
      <c r="N72" s="1342"/>
      <c r="O72" s="1336"/>
      <c r="P72" s="1378"/>
      <c r="Q72" s="1378"/>
      <c r="R72" s="1378"/>
      <c r="S72" s="1378"/>
      <c r="T72" s="1378"/>
      <c r="U72" s="1378"/>
      <c r="V72" s="1364"/>
      <c r="W72" s="1364"/>
      <c r="X72" s="1364"/>
      <c r="Y72" s="1364"/>
      <c r="Z72" s="1364"/>
      <c r="AA72" s="1364"/>
      <c r="AB72" s="1362"/>
      <c r="AC72" s="1362"/>
      <c r="AD72" s="1362"/>
      <c r="AE72" s="1341"/>
      <c r="AF72" s="1341"/>
      <c r="AG72" s="1341"/>
      <c r="AH72" s="1336"/>
      <c r="AI72" s="1363"/>
    </row>
    <row r="73" spans="1:35">
      <c r="A73" s="1331">
        <v>52140</v>
      </c>
      <c r="B73" s="1336" t="s">
        <v>37</v>
      </c>
      <c r="C73" s="1341">
        <f>+IFERROR(VLOOKUP(A73,'2183 IS 2018'!$D:$AH,31,FALSE),0)</f>
        <v>221130.97</v>
      </c>
      <c r="D73" s="1354">
        <f>+IFERROR(VLOOKUP(A73,'2184 IS 2018'!$D:$AH,31,FALSE),0)</f>
        <v>2696.54</v>
      </c>
      <c r="E73" s="1354">
        <f>+IFERROR(VLOOKUP(A73,'2185 IS 2018'!$D:$AH,31,FALSE),0)</f>
        <v>0</v>
      </c>
      <c r="F73" s="1342">
        <f t="shared" ref="F73" si="112">SUM(C73:E73)</f>
        <v>223827.51</v>
      </c>
      <c r="G73" s="1343"/>
      <c r="H73" s="1341">
        <f>+$C73*'2183-2184-2185 Ratios'!C148-'Consolidated IS '!C73</f>
        <v>-12726.866859361267</v>
      </c>
      <c r="I73" s="1341"/>
      <c r="J73" s="1341">
        <f>+$C73*'2183-2184-2185 Ratios'!E148-'Consolidated IS '!E73</f>
        <v>12726.866859361244</v>
      </c>
      <c r="K73" s="1341" t="s">
        <v>2709</v>
      </c>
      <c r="L73" s="1362">
        <f t="shared" ref="L73" si="113">F73+H73+I73+J73</f>
        <v>223827.50999999998</v>
      </c>
      <c r="M73" s="1337"/>
      <c r="N73" s="1359">
        <f t="shared" ref="N73" si="114">C73+H73</f>
        <v>208404.10314063873</v>
      </c>
      <c r="O73" s="1359">
        <f t="shared" ref="O73" si="115">D73+I73</f>
        <v>2696.54</v>
      </c>
      <c r="P73" s="1359">
        <f t="shared" ref="P73" si="116">E73+J73</f>
        <v>12726.866859361244</v>
      </c>
      <c r="Q73" s="1359">
        <f t="shared" ref="Q73" si="117">SUM(N73:P73)</f>
        <v>223827.50999999998</v>
      </c>
      <c r="R73" s="1359"/>
      <c r="S73" s="1359"/>
      <c r="T73" s="1359"/>
      <c r="U73" s="1359"/>
      <c r="V73" s="1681">
        <f t="shared" ref="V73" si="118">+SUM(S73:U73)</f>
        <v>0</v>
      </c>
      <c r="W73" s="1333"/>
      <c r="X73" s="1681">
        <f t="shared" ref="X73" si="119">+S73+N73</f>
        <v>208404.10314063873</v>
      </c>
      <c r="Y73" s="1681">
        <f t="shared" ref="Y73" si="120">+T73+O73</f>
        <v>2696.54</v>
      </c>
      <c r="Z73" s="1681">
        <f t="shared" ref="Z73" si="121">+U73+P73</f>
        <v>12726.866859361244</v>
      </c>
      <c r="AA73" s="1681">
        <f t="shared" ref="AA73" si="122">+SUM(X73:Z73)</f>
        <v>223827.50999999998</v>
      </c>
      <c r="AB73" s="1362">
        <f>$X73*'2183-2184-2185 Ratios'!C$60</f>
        <v>158620.12259809085</v>
      </c>
      <c r="AC73" s="1362">
        <f>$X73*'2183-2184-2185 Ratios'!D$60</f>
        <v>8081.0904000246182</v>
      </c>
      <c r="AD73" s="1362">
        <f>$X73*'2183-2184-2185 Ratios'!E$60</f>
        <v>1787.9655174683476</v>
      </c>
      <c r="AE73" s="1362">
        <f>$X73*'2183-2184-2185 Ratios'!F$60</f>
        <v>39914.924625054882</v>
      </c>
      <c r="AF73" s="1341">
        <f>+Y73</f>
        <v>2696.54</v>
      </c>
      <c r="AG73" s="1341">
        <f>+Z73</f>
        <v>12726.866859361244</v>
      </c>
      <c r="AH73" s="1336" t="s">
        <v>350</v>
      </c>
      <c r="AI73" s="1363">
        <f>SUM(AB73:AG73)-AA73</f>
        <v>0</v>
      </c>
    </row>
    <row r="74" spans="1:35">
      <c r="A74" s="1331"/>
      <c r="B74" s="1336"/>
      <c r="C74" s="1354"/>
      <c r="D74" s="1354"/>
      <c r="E74" s="1354"/>
      <c r="F74" s="1342"/>
      <c r="G74" s="1343"/>
      <c r="H74" s="1341"/>
      <c r="I74" s="1341"/>
      <c r="J74" s="1341"/>
      <c r="K74" s="1341"/>
      <c r="L74" s="1362"/>
      <c r="M74" s="1336"/>
      <c r="N74" s="1359"/>
      <c r="O74" s="1359"/>
      <c r="P74" s="1359"/>
      <c r="Q74" s="1359"/>
      <c r="R74" s="1359"/>
      <c r="S74" s="1359"/>
      <c r="T74" s="1359"/>
      <c r="U74" s="1359"/>
      <c r="V74" s="1364"/>
      <c r="W74" s="1364"/>
      <c r="X74" s="1364"/>
      <c r="Y74" s="1364"/>
      <c r="Z74" s="1364"/>
      <c r="AA74" s="1364"/>
      <c r="AB74" s="1362"/>
      <c r="AC74" s="1362"/>
      <c r="AD74" s="1362"/>
      <c r="AE74" s="1341"/>
      <c r="AF74" s="1341"/>
      <c r="AG74" s="1341"/>
      <c r="AH74" s="1336"/>
      <c r="AI74" s="1363"/>
    </row>
    <row r="75" spans="1:35">
      <c r="A75" s="1372">
        <v>41600</v>
      </c>
      <c r="B75" s="1332" t="s">
        <v>13</v>
      </c>
      <c r="C75" s="1366">
        <f>SUM(C73:C74)</f>
        <v>221130.97</v>
      </c>
      <c r="D75" s="1366">
        <f t="shared" ref="D75:AI75" si="123">SUM(D73:D74)</f>
        <v>2696.54</v>
      </c>
      <c r="E75" s="1366">
        <f t="shared" si="123"/>
        <v>0</v>
      </c>
      <c r="F75" s="1366">
        <f t="shared" si="123"/>
        <v>223827.51</v>
      </c>
      <c r="G75" s="1366">
        <f t="shared" si="123"/>
        <v>0</v>
      </c>
      <c r="H75" s="1366">
        <f t="shared" si="123"/>
        <v>-12726.866859361267</v>
      </c>
      <c r="I75" s="1366">
        <f t="shared" si="123"/>
        <v>0</v>
      </c>
      <c r="J75" s="1366">
        <f t="shared" si="123"/>
        <v>12726.866859361244</v>
      </c>
      <c r="K75" s="1367"/>
      <c r="L75" s="1366">
        <f t="shared" si="123"/>
        <v>223827.50999999998</v>
      </c>
      <c r="M75" s="1366"/>
      <c r="N75" s="1366">
        <f t="shared" si="123"/>
        <v>208404.10314063873</v>
      </c>
      <c r="O75" s="1366">
        <f t="shared" si="123"/>
        <v>2696.54</v>
      </c>
      <c r="P75" s="1366">
        <f t="shared" si="123"/>
        <v>12726.866859361244</v>
      </c>
      <c r="Q75" s="1366">
        <f t="shared" si="123"/>
        <v>223827.50999999998</v>
      </c>
      <c r="R75" s="1366"/>
      <c r="S75" s="1366">
        <f t="shared" si="123"/>
        <v>0</v>
      </c>
      <c r="T75" s="1366">
        <f t="shared" si="123"/>
        <v>0</v>
      </c>
      <c r="U75" s="1366">
        <f t="shared" si="123"/>
        <v>0</v>
      </c>
      <c r="V75" s="1366">
        <f t="shared" si="123"/>
        <v>0</v>
      </c>
      <c r="W75" s="1366"/>
      <c r="X75" s="1366">
        <f t="shared" si="123"/>
        <v>208404.10314063873</v>
      </c>
      <c r="Y75" s="1366">
        <f t="shared" si="123"/>
        <v>2696.54</v>
      </c>
      <c r="Z75" s="1366">
        <f t="shared" si="123"/>
        <v>12726.866859361244</v>
      </c>
      <c r="AA75" s="1366">
        <f t="shared" si="123"/>
        <v>223827.50999999998</v>
      </c>
      <c r="AB75" s="1366">
        <f t="shared" si="123"/>
        <v>158620.12259809085</v>
      </c>
      <c r="AC75" s="1366">
        <f t="shared" si="123"/>
        <v>8081.0904000246182</v>
      </c>
      <c r="AD75" s="1366">
        <f t="shared" si="123"/>
        <v>1787.9655174683476</v>
      </c>
      <c r="AE75" s="1366">
        <f>SUM(AE73:AE74)</f>
        <v>39914.924625054882</v>
      </c>
      <c r="AF75" s="1366">
        <f t="shared" si="123"/>
        <v>2696.54</v>
      </c>
      <c r="AG75" s="1366">
        <f t="shared" si="123"/>
        <v>12726.866859361244</v>
      </c>
      <c r="AH75" s="1366">
        <f t="shared" si="123"/>
        <v>0</v>
      </c>
      <c r="AI75" s="1366">
        <f t="shared" si="123"/>
        <v>0</v>
      </c>
    </row>
    <row r="76" spans="1:35">
      <c r="A76" s="1372"/>
      <c r="B76" s="1332"/>
      <c r="C76" s="1368"/>
      <c r="D76" s="1333"/>
      <c r="E76" s="1380"/>
      <c r="F76" s="1381"/>
      <c r="G76" s="1381"/>
      <c r="H76" s="1369"/>
      <c r="I76" s="1369"/>
      <c r="J76" s="1341"/>
      <c r="K76" s="1341"/>
      <c r="L76" s="1341"/>
      <c r="M76" s="1336"/>
      <c r="N76" s="1342"/>
      <c r="O76" s="1336"/>
      <c r="P76" s="1351"/>
      <c r="Q76" s="1345"/>
      <c r="R76" s="1345"/>
      <c r="S76" s="1345"/>
      <c r="T76" s="1345"/>
      <c r="U76" s="1345"/>
      <c r="V76" s="1364"/>
      <c r="W76" s="1364"/>
      <c r="X76" s="1364"/>
      <c r="Y76" s="1364"/>
      <c r="Z76" s="1364"/>
      <c r="AA76" s="1364"/>
      <c r="AB76" s="1359"/>
      <c r="AC76" s="1359"/>
      <c r="AD76" s="1359"/>
      <c r="AE76" s="1359"/>
      <c r="AF76" s="1359"/>
      <c r="AG76" s="1341"/>
      <c r="AH76" s="1336"/>
      <c r="AI76" s="1363">
        <f t="shared" ref="AI76:AI82" si="124">SUM(AB76:AG76)-AA76</f>
        <v>0</v>
      </c>
    </row>
    <row r="77" spans="1:35">
      <c r="A77" s="1372"/>
      <c r="B77" s="1332"/>
      <c r="C77" s="1368"/>
      <c r="D77" s="1333"/>
      <c r="E77" s="1380"/>
      <c r="F77" s="1381"/>
      <c r="G77" s="1381"/>
      <c r="H77" s="1369"/>
      <c r="I77" s="1369"/>
      <c r="J77" s="1341"/>
      <c r="K77" s="1341"/>
      <c r="L77" s="1341"/>
      <c r="M77" s="1336"/>
      <c r="N77" s="1342"/>
      <c r="O77" s="1336"/>
      <c r="P77" s="1351"/>
      <c r="Q77" s="1345"/>
      <c r="R77" s="1345"/>
      <c r="S77" s="1345"/>
      <c r="T77" s="1345"/>
      <c r="U77" s="1345"/>
      <c r="V77" s="1364"/>
      <c r="W77" s="1364"/>
      <c r="X77" s="1364"/>
      <c r="Y77" s="1364"/>
      <c r="Z77" s="1364"/>
      <c r="AA77" s="1364"/>
      <c r="AB77" s="1359"/>
      <c r="AC77" s="1359"/>
      <c r="AD77" s="1359"/>
      <c r="AE77" s="1359"/>
      <c r="AF77" s="1359"/>
      <c r="AG77" s="1341"/>
      <c r="AH77" s="1336"/>
      <c r="AI77" s="1363"/>
    </row>
    <row r="78" spans="1:35">
      <c r="A78" s="1683">
        <v>52086</v>
      </c>
      <c r="B78" s="1336" t="s">
        <v>38</v>
      </c>
      <c r="C78" s="1341">
        <f>+IFERROR(VLOOKUP(A78,'2183 IS 2018'!$D:$AH,31,FALSE),0)</f>
        <v>21671.050000000003</v>
      </c>
      <c r="D78" s="1354">
        <f>+IFERROR(VLOOKUP(A78,'2184 IS 2018'!$D:$AH,31,FALSE),0)</f>
        <v>438.37</v>
      </c>
      <c r="E78" s="1354">
        <f>+IFERROR(VLOOKUP(A78,'2185 IS 2018'!$D:$AH,31,FALSE),0)</f>
        <v>0</v>
      </c>
      <c r="F78" s="1342">
        <f t="shared" ref="F78:F82" si="125">SUM(C78:E78)</f>
        <v>22109.420000000002</v>
      </c>
      <c r="G78" s="1343"/>
      <c r="H78" s="1341">
        <f>+$F78*'2183-2184-2185 Ratios'!$C$147-'Consolidated IS '!C78</f>
        <v>-3928.6927790430746</v>
      </c>
      <c r="I78" s="1341">
        <f>+$F78*'2183-2184-2185 Ratios'!$D$147-'Consolidated IS '!D78</f>
        <v>1595.4879465194831</v>
      </c>
      <c r="J78" s="1341">
        <f>+$F78*'2183-2184-2185 Ratios'!$E$147-'Consolidated IS '!E78</f>
        <v>2333.2048325235901</v>
      </c>
      <c r="K78" s="1341" t="s">
        <v>1803</v>
      </c>
      <c r="L78" s="1362">
        <f t="shared" ref="L78:L82" si="126">F78+H78+I78+J78</f>
        <v>22109.42</v>
      </c>
      <c r="M78" s="1337"/>
      <c r="N78" s="1359">
        <f t="shared" ref="N78:N82" si="127">C78+H78</f>
        <v>17742.357220956928</v>
      </c>
      <c r="O78" s="1359">
        <f t="shared" ref="O78:O82" si="128">D78+I78</f>
        <v>2033.857946519483</v>
      </c>
      <c r="P78" s="1359">
        <f t="shared" ref="P78:P82" si="129">E78+J78</f>
        <v>2333.2048325235901</v>
      </c>
      <c r="Q78" s="1359">
        <f t="shared" ref="Q78:Q82" si="130">SUM(N78:P78)</f>
        <v>22109.42</v>
      </c>
      <c r="R78" s="1359"/>
      <c r="S78" s="1359"/>
      <c r="T78" s="1359"/>
      <c r="U78" s="1359"/>
      <c r="V78" s="1681">
        <f t="shared" ref="V78:V82" si="131">+SUM(S78:U78)</f>
        <v>0</v>
      </c>
      <c r="W78" s="1333"/>
      <c r="X78" s="1681">
        <f t="shared" ref="X78:X82" si="132">+S78+N78</f>
        <v>17742.357220956928</v>
      </c>
      <c r="Y78" s="1681">
        <f t="shared" ref="Y78:Y82" si="133">+T78+O78</f>
        <v>2033.857946519483</v>
      </c>
      <c r="Z78" s="1681">
        <f t="shared" ref="Z78:Z82" si="134">+U78+P78</f>
        <v>2333.2048325235901</v>
      </c>
      <c r="AA78" s="1681">
        <f t="shared" ref="AA78:AA82" si="135">+SUM(X78:Z78)</f>
        <v>22109.42</v>
      </c>
      <c r="AB78" s="1362">
        <f>$X78*'2183-2184-2185 Ratios'!C$60</f>
        <v>13504.028160463431</v>
      </c>
      <c r="AC78" s="1362">
        <f>$X78*'2183-2184-2185 Ratios'!D$60</f>
        <v>687.97874154774217</v>
      </c>
      <c r="AD78" s="1362">
        <f>$X78*'2183-2184-2185 Ratios'!E$60</f>
        <v>152.21736247807399</v>
      </c>
      <c r="AE78" s="1362">
        <f>$X78*'2183-2184-2185 Ratios'!F$60</f>
        <v>3398.1329564676798</v>
      </c>
      <c r="AF78" s="1341">
        <f t="shared" ref="AF78" si="136">+Y78</f>
        <v>2033.857946519483</v>
      </c>
      <c r="AG78" s="1341">
        <f t="shared" ref="AG78" si="137">+Z78</f>
        <v>2333.2048325235901</v>
      </c>
      <c r="AH78" s="1336" t="s">
        <v>350</v>
      </c>
      <c r="AI78" s="1363">
        <f t="shared" si="124"/>
        <v>0</v>
      </c>
    </row>
    <row r="79" spans="1:35">
      <c r="A79" s="1683">
        <v>52090</v>
      </c>
      <c r="B79" s="1336" t="s">
        <v>39</v>
      </c>
      <c r="C79" s="1341">
        <f>+IFERROR(VLOOKUP(A79,'2183 IS 2018'!$D:$AH,31,FALSE),0)</f>
        <v>8958.68</v>
      </c>
      <c r="D79" s="1354">
        <f>+IFERROR(VLOOKUP(A79,'2184 IS 2018'!$D:$AH,31,FALSE),0)</f>
        <v>0</v>
      </c>
      <c r="E79" s="1354">
        <f>+IFERROR(VLOOKUP(A79,'2185 IS 2018'!$D:$AH,31,FALSE),0)</f>
        <v>0</v>
      </c>
      <c r="F79" s="1342">
        <f t="shared" si="125"/>
        <v>8958.68</v>
      </c>
      <c r="G79" s="1343"/>
      <c r="H79" s="1341">
        <f>+$F79*'2183-2184-2185 Ratios'!$C$147-'Consolidated IS '!C79</f>
        <v>-1769.5225825624375</v>
      </c>
      <c r="I79" s="1341">
        <f>+$F79*'2183-2184-2185 Ratios'!$D$147-'Consolidated IS '!D79</f>
        <v>824.11399793957332</v>
      </c>
      <c r="J79" s="1341">
        <f>+$F79*'2183-2184-2185 Ratios'!$E$147-'Consolidated IS '!E79</f>
        <v>945.4085846228636</v>
      </c>
      <c r="K79" s="1341" t="s">
        <v>1803</v>
      </c>
      <c r="L79" s="1362">
        <f t="shared" si="126"/>
        <v>8958.68</v>
      </c>
      <c r="M79" s="1337"/>
      <c r="N79" s="1359">
        <f t="shared" si="127"/>
        <v>7189.1574174375628</v>
      </c>
      <c r="O79" s="1359">
        <f t="shared" si="128"/>
        <v>824.11399793957332</v>
      </c>
      <c r="P79" s="1359">
        <f t="shared" si="129"/>
        <v>945.4085846228636</v>
      </c>
      <c r="Q79" s="1359">
        <f t="shared" si="130"/>
        <v>8958.68</v>
      </c>
      <c r="R79" s="1359"/>
      <c r="S79" s="1359"/>
      <c r="T79" s="1359"/>
      <c r="U79" s="1359"/>
      <c r="V79" s="1681">
        <f t="shared" si="131"/>
        <v>0</v>
      </c>
      <c r="W79" s="1333"/>
      <c r="X79" s="1681">
        <f t="shared" si="132"/>
        <v>7189.1574174375628</v>
      </c>
      <c r="Y79" s="1681">
        <f t="shared" si="133"/>
        <v>824.11399793957332</v>
      </c>
      <c r="Z79" s="1681">
        <f t="shared" si="134"/>
        <v>945.4085846228636</v>
      </c>
      <c r="AA79" s="1681">
        <f t="shared" si="135"/>
        <v>8958.68</v>
      </c>
      <c r="AB79" s="1362">
        <f>$X79*'2183-2184-2185 Ratios'!C$60</f>
        <v>5471.7974058378968</v>
      </c>
      <c r="AC79" s="1362">
        <f>$X79*'2183-2184-2185 Ratios'!D$60</f>
        <v>278.76721290422483</v>
      </c>
      <c r="AD79" s="1362">
        <f>$X79*'2183-2184-2185 Ratios'!E$60</f>
        <v>61.678082956724865</v>
      </c>
      <c r="AE79" s="1362">
        <f>$X79*'2183-2184-2185 Ratios'!F$60</f>
        <v>1376.9147157387154</v>
      </c>
      <c r="AF79" s="1341">
        <f t="shared" ref="AF79" si="138">+Y79</f>
        <v>824.11399793957332</v>
      </c>
      <c r="AG79" s="1341">
        <f t="shared" ref="AG79" si="139">+Z79</f>
        <v>945.4085846228636</v>
      </c>
      <c r="AH79" s="1336" t="s">
        <v>350</v>
      </c>
      <c r="AI79" s="1363">
        <f t="shared" si="124"/>
        <v>0</v>
      </c>
    </row>
    <row r="80" spans="1:35">
      <c r="A80" s="1683">
        <v>52182</v>
      </c>
      <c r="B80" s="1336" t="s">
        <v>41</v>
      </c>
      <c r="C80" s="1341">
        <f>+IFERROR(VLOOKUP(A80,'2183 IS 2018'!$D:$AH,31,FALSE),0)</f>
        <v>9667.84</v>
      </c>
      <c r="D80" s="1354">
        <f>+IFERROR(VLOOKUP(A80,'2184 IS 2018'!$D:$AH,31,FALSE),0)</f>
        <v>1294.8000000000002</v>
      </c>
      <c r="E80" s="1354">
        <f>+IFERROR(VLOOKUP(A80,'2185 IS 2018'!$D:$AH,31,FALSE),0)</f>
        <v>5934.4999999999991</v>
      </c>
      <c r="F80" s="1342">
        <f t="shared" si="125"/>
        <v>16897.14</v>
      </c>
      <c r="G80" s="1343"/>
      <c r="H80" s="1341"/>
      <c r="I80" s="1341"/>
      <c r="J80" s="1341"/>
      <c r="K80" s="1341"/>
      <c r="L80" s="1362">
        <f t="shared" si="126"/>
        <v>16897.14</v>
      </c>
      <c r="M80" s="1337"/>
      <c r="N80" s="1359">
        <f t="shared" si="127"/>
        <v>9667.84</v>
      </c>
      <c r="O80" s="1359">
        <f t="shared" si="128"/>
        <v>1294.8000000000002</v>
      </c>
      <c r="P80" s="1359">
        <f t="shared" si="129"/>
        <v>5934.4999999999991</v>
      </c>
      <c r="Q80" s="1359">
        <f t="shared" si="130"/>
        <v>16897.14</v>
      </c>
      <c r="R80" s="1359"/>
      <c r="S80" s="1359"/>
      <c r="T80" s="1359"/>
      <c r="U80" s="1359"/>
      <c r="V80" s="1681">
        <f t="shared" si="131"/>
        <v>0</v>
      </c>
      <c r="W80" s="1333"/>
      <c r="X80" s="1681">
        <f t="shared" si="132"/>
        <v>9667.84</v>
      </c>
      <c r="Y80" s="1681">
        <f t="shared" si="133"/>
        <v>1294.8000000000002</v>
      </c>
      <c r="Z80" s="1681">
        <f t="shared" si="134"/>
        <v>5934.4999999999991</v>
      </c>
      <c r="AA80" s="1681">
        <f t="shared" si="135"/>
        <v>16897.14</v>
      </c>
      <c r="AB80" s="1362">
        <f>$X80*'2183-2184-2185 Ratios'!C$60</f>
        <v>7358.3674359033866</v>
      </c>
      <c r="AC80" s="1362">
        <f>$X80*'2183-2184-2185 Ratios'!D$60</f>
        <v>374.88076211364825</v>
      </c>
      <c r="AD80" s="1362">
        <f>$X80*'2183-2184-2185 Ratios'!E$60</f>
        <v>82.943494335791087</v>
      </c>
      <c r="AE80" s="1362">
        <f>$X80*'2183-2184-2185 Ratios'!F$60</f>
        <v>1851.6483076471727</v>
      </c>
      <c r="AF80" s="1341">
        <f t="shared" ref="AF80:AF82" si="140">+Y80</f>
        <v>1294.8000000000002</v>
      </c>
      <c r="AG80" s="1341">
        <f t="shared" ref="AG80:AG82" si="141">+Z80</f>
        <v>5934.4999999999991</v>
      </c>
      <c r="AH80" s="1336" t="s">
        <v>350</v>
      </c>
      <c r="AI80" s="1363">
        <f t="shared" si="124"/>
        <v>0</v>
      </c>
    </row>
    <row r="81" spans="1:35">
      <c r="A81" s="1683">
        <v>57254</v>
      </c>
      <c r="B81" s="1336" t="s">
        <v>42</v>
      </c>
      <c r="C81" s="1341">
        <f>+IFERROR(VLOOKUP(A81,'2183 IS 2018'!$D:$AH,31,FALSE),0)</f>
        <v>54885.72</v>
      </c>
      <c r="D81" s="1354">
        <f>+IFERROR(VLOOKUP(A81,'2184 IS 2018'!$D:$AH,31,FALSE),0)</f>
        <v>6356</v>
      </c>
      <c r="E81" s="1354">
        <f>+IFERROR(VLOOKUP(A81,'2185 IS 2018'!$D:$AH,31,FALSE),0)</f>
        <v>0</v>
      </c>
      <c r="F81" s="1342">
        <f t="shared" si="125"/>
        <v>61241.72</v>
      </c>
      <c r="G81" s="1343"/>
      <c r="H81" s="1341">
        <f>-J81</f>
        <v>-9310.9703571428581</v>
      </c>
      <c r="I81" s="1341"/>
      <c r="J81" s="1341">
        <f>+$C81*'2183-2184-2185 Ratios'!E$150</f>
        <v>9310.9703571428581</v>
      </c>
      <c r="K81" s="1341" t="s">
        <v>1804</v>
      </c>
      <c r="L81" s="1362">
        <f t="shared" si="126"/>
        <v>61241.72</v>
      </c>
      <c r="M81" s="1337"/>
      <c r="N81" s="1359">
        <f t="shared" si="127"/>
        <v>45574.749642857147</v>
      </c>
      <c r="O81" s="1359">
        <f t="shared" si="128"/>
        <v>6356</v>
      </c>
      <c r="P81" s="1359">
        <f t="shared" si="129"/>
        <v>9310.9703571428581</v>
      </c>
      <c r="Q81" s="1359">
        <f t="shared" si="130"/>
        <v>61241.72</v>
      </c>
      <c r="R81" s="1359"/>
      <c r="S81" s="1359"/>
      <c r="T81" s="1359"/>
      <c r="U81" s="1359"/>
      <c r="V81" s="1681">
        <f t="shared" si="131"/>
        <v>0</v>
      </c>
      <c r="W81" s="1333"/>
      <c r="X81" s="1681">
        <f t="shared" si="132"/>
        <v>45574.749642857147</v>
      </c>
      <c r="Y81" s="1681">
        <f t="shared" si="133"/>
        <v>6356</v>
      </c>
      <c r="Z81" s="1681">
        <f t="shared" si="134"/>
        <v>9310.9703571428581</v>
      </c>
      <c r="AA81" s="1681">
        <f t="shared" si="135"/>
        <v>61241.72</v>
      </c>
      <c r="AB81" s="1362">
        <f>$X81*'2183-2184-2185 Ratios'!C$60</f>
        <v>34687.764140847336</v>
      </c>
      <c r="AC81" s="1362">
        <f>$X81*'2183-2184-2185 Ratios'!D$60</f>
        <v>1767.2093124475587</v>
      </c>
      <c r="AD81" s="1362">
        <f>$X81*'2183-2184-2185 Ratios'!E$60</f>
        <v>391.00036707862546</v>
      </c>
      <c r="AE81" s="1362">
        <f>$X81*'2183-2184-2185 Ratios'!F$60</f>
        <v>8728.775822483618</v>
      </c>
      <c r="AF81" s="1341">
        <f t="shared" ref="AF81" si="142">+Y81</f>
        <v>6356</v>
      </c>
      <c r="AG81" s="1341">
        <f t="shared" ref="AG81" si="143">+Z81</f>
        <v>9310.9703571428581</v>
      </c>
      <c r="AH81" s="1336" t="s">
        <v>350</v>
      </c>
      <c r="AI81" s="1363">
        <f t="shared" si="124"/>
        <v>0</v>
      </c>
    </row>
    <row r="82" spans="1:35">
      <c r="A82" s="1683">
        <v>55335</v>
      </c>
      <c r="B82" s="1336" t="s">
        <v>43</v>
      </c>
      <c r="C82" s="1341">
        <f>+IFERROR(VLOOKUP(A82,'2183 IS 2018'!$D:$AH,31,FALSE),0)</f>
        <v>303649.11</v>
      </c>
      <c r="D82" s="1354">
        <f>+IFERROR(VLOOKUP(A82,'2184 IS 2018'!$D:$AH,31,FALSE),0)</f>
        <v>0</v>
      </c>
      <c r="E82" s="1354">
        <f>+IFERROR(VLOOKUP(A82,'2185 IS 2018'!$D:$AH,31,FALSE),0)</f>
        <v>0</v>
      </c>
      <c r="F82" s="1342">
        <f t="shared" si="125"/>
        <v>303649.11</v>
      </c>
      <c r="G82" s="1343"/>
      <c r="H82" s="1341"/>
      <c r="I82" s="1341"/>
      <c r="J82" s="1341"/>
      <c r="K82" s="1341"/>
      <c r="L82" s="1362">
        <f t="shared" si="126"/>
        <v>303649.11</v>
      </c>
      <c r="M82" s="1337"/>
      <c r="N82" s="1359">
        <f t="shared" si="127"/>
        <v>303649.11</v>
      </c>
      <c r="O82" s="1359">
        <f t="shared" si="128"/>
        <v>0</v>
      </c>
      <c r="P82" s="1359">
        <f t="shared" si="129"/>
        <v>0</v>
      </c>
      <c r="Q82" s="1359">
        <f t="shared" si="130"/>
        <v>303649.11</v>
      </c>
      <c r="R82" s="1359"/>
      <c r="S82" s="1359"/>
      <c r="T82" s="1359"/>
      <c r="U82" s="1359"/>
      <c r="V82" s="1681">
        <f t="shared" si="131"/>
        <v>0</v>
      </c>
      <c r="W82" s="1333"/>
      <c r="X82" s="1681">
        <f t="shared" si="132"/>
        <v>303649.11</v>
      </c>
      <c r="Y82" s="1681">
        <f t="shared" si="133"/>
        <v>0</v>
      </c>
      <c r="Z82" s="1681">
        <f t="shared" si="134"/>
        <v>0</v>
      </c>
      <c r="AA82" s="1681">
        <f t="shared" si="135"/>
        <v>303649.11</v>
      </c>
      <c r="AB82" s="1362">
        <f>$X82*'2183-2184-2185 Ratios'!C$66</f>
        <v>289980.52630136354</v>
      </c>
      <c r="AC82" s="1362">
        <f>$X82*'2183-2184-2185 Ratios'!D$66</f>
        <v>10365.275259998392</v>
      </c>
      <c r="AD82" s="1362">
        <f>$X82*'2183-2184-2185 Ratios'!E$66</f>
        <v>3303.3084386380033</v>
      </c>
      <c r="AE82" s="1341">
        <v>0</v>
      </c>
      <c r="AF82" s="1341">
        <f t="shared" si="140"/>
        <v>0</v>
      </c>
      <c r="AG82" s="1341">
        <f t="shared" si="141"/>
        <v>0</v>
      </c>
      <c r="AH82" s="1336" t="s">
        <v>902</v>
      </c>
      <c r="AI82" s="1363">
        <f t="shared" si="124"/>
        <v>0</v>
      </c>
    </row>
    <row r="83" spans="1:35">
      <c r="A83" s="1683"/>
      <c r="B83" s="1336"/>
      <c r="C83" s="1354"/>
      <c r="D83" s="1354"/>
      <c r="E83" s="1354"/>
      <c r="F83" s="1342"/>
      <c r="G83" s="1343"/>
      <c r="H83" s="1341"/>
      <c r="I83" s="1341"/>
      <c r="J83" s="1341"/>
      <c r="K83" s="1341"/>
      <c r="L83" s="1362"/>
      <c r="M83" s="1336"/>
      <c r="N83" s="1359"/>
      <c r="O83" s="1359"/>
      <c r="P83" s="1359"/>
      <c r="Q83" s="1359"/>
      <c r="R83" s="1359"/>
      <c r="S83" s="1359"/>
      <c r="T83" s="1359"/>
      <c r="U83" s="1359"/>
      <c r="V83" s="1364"/>
      <c r="W83" s="1364"/>
      <c r="X83" s="1364"/>
      <c r="Y83" s="1364"/>
      <c r="Z83" s="1364"/>
      <c r="AA83" s="1364"/>
      <c r="AB83" s="1362"/>
      <c r="AC83" s="1362"/>
      <c r="AD83" s="1362"/>
      <c r="AE83" s="1341"/>
      <c r="AF83" s="1341"/>
      <c r="AG83" s="1341"/>
      <c r="AH83" s="1336"/>
      <c r="AI83" s="1363"/>
    </row>
    <row r="84" spans="1:35">
      <c r="A84" s="1372">
        <v>41800</v>
      </c>
      <c r="B84" s="1332" t="s">
        <v>46</v>
      </c>
      <c r="C84" s="1366">
        <f t="shared" ref="C84:J84" si="144">SUM(C78:C83)</f>
        <v>398832.4</v>
      </c>
      <c r="D84" s="1366">
        <f t="shared" si="144"/>
        <v>8089.17</v>
      </c>
      <c r="E84" s="1366">
        <f t="shared" si="144"/>
        <v>5934.4999999999991</v>
      </c>
      <c r="F84" s="1366">
        <f t="shared" si="144"/>
        <v>412856.07</v>
      </c>
      <c r="G84" s="1366">
        <f t="shared" si="144"/>
        <v>0</v>
      </c>
      <c r="H84" s="1366">
        <f t="shared" si="144"/>
        <v>-15009.185718748369</v>
      </c>
      <c r="I84" s="1366">
        <f t="shared" si="144"/>
        <v>2419.6019444590565</v>
      </c>
      <c r="J84" s="1366">
        <f t="shared" si="144"/>
        <v>12589.583774289313</v>
      </c>
      <c r="K84" s="1367"/>
      <c r="L84" s="1366">
        <f>SUM(L78:L83)</f>
        <v>412856.06999999995</v>
      </c>
      <c r="M84" s="1366"/>
      <c r="N84" s="1366">
        <f>SUM(N78:N83)</f>
        <v>383823.21428125165</v>
      </c>
      <c r="O84" s="1366">
        <f>SUM(O78:O83)</f>
        <v>10508.771944459057</v>
      </c>
      <c r="P84" s="1366">
        <f>SUM(P78:P83)</f>
        <v>18524.083774289313</v>
      </c>
      <c r="Q84" s="1366">
        <f>SUM(Q78:Q83)</f>
        <v>412856.06999999995</v>
      </c>
      <c r="R84" s="1366"/>
      <c r="S84" s="1366">
        <f>SUM(S78:S83)</f>
        <v>0</v>
      </c>
      <c r="T84" s="1366">
        <f>SUM(T78:T83)</f>
        <v>0</v>
      </c>
      <c r="U84" s="1366">
        <f>SUM(U78:U83)</f>
        <v>0</v>
      </c>
      <c r="V84" s="1366">
        <f>SUM(V78:V83)</f>
        <v>0</v>
      </c>
      <c r="W84" s="1366"/>
      <c r="X84" s="1366">
        <f t="shared" ref="X84:AI84" si="145">SUM(X78:X83)</f>
        <v>383823.21428125165</v>
      </c>
      <c r="Y84" s="1366">
        <f t="shared" si="145"/>
        <v>10508.771944459057</v>
      </c>
      <c r="Z84" s="1366">
        <f t="shared" si="145"/>
        <v>18524.083774289313</v>
      </c>
      <c r="AA84" s="1366">
        <f t="shared" si="145"/>
        <v>412856.06999999995</v>
      </c>
      <c r="AB84" s="1366">
        <f t="shared" si="145"/>
        <v>351002.48344441561</v>
      </c>
      <c r="AC84" s="1366">
        <f t="shared" si="145"/>
        <v>13474.111289011566</v>
      </c>
      <c r="AD84" s="1366">
        <f t="shared" si="145"/>
        <v>3991.1477454872188</v>
      </c>
      <c r="AE84" s="1366">
        <f t="shared" si="145"/>
        <v>15355.471802337186</v>
      </c>
      <c r="AF84" s="1366">
        <f t="shared" si="145"/>
        <v>10508.771944459057</v>
      </c>
      <c r="AG84" s="1366">
        <f t="shared" si="145"/>
        <v>18524.083774289313</v>
      </c>
      <c r="AH84" s="1366">
        <f t="shared" si="145"/>
        <v>0</v>
      </c>
      <c r="AI84" s="1366">
        <f t="shared" si="145"/>
        <v>0</v>
      </c>
    </row>
    <row r="85" spans="1:35">
      <c r="A85" s="1331"/>
      <c r="B85" s="1336"/>
      <c r="C85" s="1354"/>
      <c r="D85" s="1333"/>
      <c r="E85" s="1342"/>
      <c r="F85" s="1342"/>
      <c r="G85" s="1336"/>
      <c r="H85" s="1341"/>
      <c r="I85" s="1341"/>
      <c r="J85" s="1341"/>
      <c r="K85" s="1341"/>
      <c r="L85" s="1362">
        <f t="shared" ref="L85" si="146">F85+H85+I85+J85</f>
        <v>0</v>
      </c>
      <c r="M85" s="1336"/>
      <c r="N85" s="1342"/>
      <c r="O85" s="1336"/>
      <c r="P85" s="1332"/>
      <c r="Q85" s="1382"/>
      <c r="R85" s="1382"/>
      <c r="S85" s="1382"/>
      <c r="T85" s="1382"/>
      <c r="U85" s="1382"/>
      <c r="V85" s="1364"/>
      <c r="W85" s="1364"/>
      <c r="X85" s="1364"/>
      <c r="Y85" s="1364"/>
      <c r="Z85" s="1364"/>
      <c r="AA85" s="1364"/>
      <c r="AB85" s="1383"/>
      <c r="AC85" s="1383"/>
      <c r="AD85" s="1383"/>
      <c r="AE85" s="1384"/>
      <c r="AF85" s="1384"/>
      <c r="AG85" s="1341"/>
      <c r="AH85" s="1336"/>
      <c r="AI85" s="1363">
        <f t="shared" ref="AI85:AI89" si="147">SUM(AB85:AG85)-AA85</f>
        <v>0</v>
      </c>
    </row>
    <row r="86" spans="1:35">
      <c r="A86" s="1331"/>
      <c r="B86" s="1336"/>
      <c r="C86" s="1354"/>
      <c r="D86" s="1333"/>
      <c r="E86" s="1342"/>
      <c r="F86" s="1342"/>
      <c r="G86" s="1336"/>
      <c r="H86" s="1341"/>
      <c r="I86" s="1341"/>
      <c r="J86" s="1341"/>
      <c r="K86" s="1341"/>
      <c r="L86" s="1362"/>
      <c r="M86" s="1336"/>
      <c r="N86" s="1342"/>
      <c r="O86" s="1336"/>
      <c r="P86" s="1332"/>
      <c r="Q86" s="1382"/>
      <c r="R86" s="1382"/>
      <c r="S86" s="1382"/>
      <c r="T86" s="1382"/>
      <c r="U86" s="1382"/>
      <c r="V86" s="1364"/>
      <c r="W86" s="1364"/>
      <c r="X86" s="1364"/>
      <c r="Y86" s="1364"/>
      <c r="Z86" s="1364"/>
      <c r="AA86" s="1364"/>
      <c r="AB86" s="1383"/>
      <c r="AC86" s="1383"/>
      <c r="AD86" s="1383"/>
      <c r="AE86" s="1384"/>
      <c r="AF86" s="1384"/>
      <c r="AG86" s="1341"/>
      <c r="AH86" s="1336"/>
      <c r="AI86" s="1363"/>
    </row>
    <row r="87" spans="1:35">
      <c r="A87" s="1331">
        <v>50010</v>
      </c>
      <c r="B87" s="1336" t="s">
        <v>47</v>
      </c>
      <c r="C87" s="1341">
        <f>+IFERROR(VLOOKUP(A87,'2183 IS 2018'!$D:$AH,31,FALSE),0)</f>
        <v>1666.7199999999998</v>
      </c>
      <c r="D87" s="1354">
        <f>+IFERROR(VLOOKUP(A87,'2184 IS 2018'!$D:$AH,31,FALSE),0)</f>
        <v>0</v>
      </c>
      <c r="E87" s="1354">
        <f>+IFERROR(VLOOKUP(A87,'2185 IS 2018'!$D:$AH,31,FALSE),0)</f>
        <v>0</v>
      </c>
      <c r="F87" s="1342">
        <f t="shared" ref="F87:F89" si="148">SUM(C87:E87)</f>
        <v>1666.7199999999998</v>
      </c>
      <c r="G87" s="1336"/>
      <c r="H87" s="1341"/>
      <c r="I87" s="1341"/>
      <c r="J87" s="1341"/>
      <c r="K87" s="1341"/>
      <c r="L87" s="1362">
        <f t="shared" ref="L87:L89" si="149">F87+H87+I87+J87</f>
        <v>1666.7199999999998</v>
      </c>
      <c r="M87" s="1337"/>
      <c r="N87" s="1359">
        <f t="shared" ref="N87:N89" si="150">C87+H87</f>
        <v>1666.7199999999998</v>
      </c>
      <c r="O87" s="1359">
        <f t="shared" ref="O87:O89" si="151">D87+I87</f>
        <v>0</v>
      </c>
      <c r="P87" s="1359">
        <f t="shared" ref="P87:P89" si="152">E87+J87</f>
        <v>0</v>
      </c>
      <c r="Q87" s="1359">
        <f t="shared" ref="Q87:Q89" si="153">SUM(N87:P87)</f>
        <v>1666.7199999999998</v>
      </c>
      <c r="R87" s="1359"/>
      <c r="S87" s="1359"/>
      <c r="T87" s="1359"/>
      <c r="U87" s="1359"/>
      <c r="V87" s="1681">
        <f t="shared" ref="V87:V89" si="154">+SUM(S87:U87)</f>
        <v>0</v>
      </c>
      <c r="W87" s="1333"/>
      <c r="X87" s="1681">
        <f t="shared" ref="X87:X89" si="155">+S87+N87</f>
        <v>1666.7199999999998</v>
      </c>
      <c r="Y87" s="1681">
        <f t="shared" ref="Y87:Y89" si="156">+T87+O87</f>
        <v>0</v>
      </c>
      <c r="Z87" s="1681">
        <f t="shared" ref="Z87:Z89" si="157">+U87+P87</f>
        <v>0</v>
      </c>
      <c r="AA87" s="1681">
        <f t="shared" ref="AA87:AA89" si="158">+SUM(X87:Z87)</f>
        <v>1666.7199999999998</v>
      </c>
      <c r="AB87" s="1362">
        <f>$X87*'2183-2184-2185 Ratios'!C$58</f>
        <v>1041.1043102115459</v>
      </c>
      <c r="AC87" s="1362">
        <f>$X87*'2183-2184-2185 Ratios'!D$58</f>
        <v>53.040294691942428</v>
      </c>
      <c r="AD87" s="1362">
        <f>$X87*'2183-2184-2185 Ratios'!E$58</f>
        <v>11.735324473695231</v>
      </c>
      <c r="AE87" s="1362">
        <f>$X87*'2183-2184-2185 Ratios'!F$58</f>
        <v>261.9818935218359</v>
      </c>
      <c r="AF87" s="1341">
        <f t="shared" ref="AF87" si="159">+Y87</f>
        <v>0</v>
      </c>
      <c r="AG87" s="1362">
        <f>$X87*'2183-2184-2185 Ratios'!H$58</f>
        <v>298.85817710098024</v>
      </c>
      <c r="AH87" s="1336" t="s">
        <v>901</v>
      </c>
      <c r="AI87" s="1363">
        <f t="shared" si="147"/>
        <v>0</v>
      </c>
    </row>
    <row r="88" spans="1:35">
      <c r="A88" s="1683">
        <v>56010</v>
      </c>
      <c r="B88" s="1336" t="s">
        <v>47</v>
      </c>
      <c r="C88" s="1341">
        <f>+IFERROR(VLOOKUP(A88,'2183 IS 2018'!$D:$AH,31,FALSE),0)</f>
        <v>357072.7</v>
      </c>
      <c r="D88" s="1354">
        <f>IFERROR(VLOOKUP(A88,#REF!,31,FALSE),0)</f>
        <v>0</v>
      </c>
      <c r="E88" s="1354">
        <f>+IFERROR(VLOOKUP(A88,'2185 IS 2018'!$D:$AH,31,FALSE),0)</f>
        <v>0</v>
      </c>
      <c r="F88" s="1342">
        <f t="shared" si="148"/>
        <v>357072.7</v>
      </c>
      <c r="G88" s="1343"/>
      <c r="H88" s="1341"/>
      <c r="I88" s="1341"/>
      <c r="J88" s="1341"/>
      <c r="K88" s="1341"/>
      <c r="L88" s="1362">
        <f t="shared" si="149"/>
        <v>357072.7</v>
      </c>
      <c r="M88" s="1337"/>
      <c r="N88" s="1359">
        <f t="shared" si="150"/>
        <v>357072.7</v>
      </c>
      <c r="O88" s="1359">
        <f t="shared" si="151"/>
        <v>0</v>
      </c>
      <c r="P88" s="1359">
        <f t="shared" si="152"/>
        <v>0</v>
      </c>
      <c r="Q88" s="1359">
        <f t="shared" si="153"/>
        <v>357072.7</v>
      </c>
      <c r="R88" s="1359"/>
      <c r="S88" s="1359">
        <f>+'Pro-forma Adj''s'!B11</f>
        <v>7431.469869230722</v>
      </c>
      <c r="T88" s="1359">
        <f t="shared" ref="T88:U88" si="160">+O88*0.025</f>
        <v>0</v>
      </c>
      <c r="U88" s="1359">
        <f t="shared" si="160"/>
        <v>0</v>
      </c>
      <c r="V88" s="1681">
        <f t="shared" si="154"/>
        <v>7431.469869230722</v>
      </c>
      <c r="W88" s="1369" t="s">
        <v>876</v>
      </c>
      <c r="X88" s="1681">
        <f t="shared" si="155"/>
        <v>364504.16986923071</v>
      </c>
      <c r="Y88" s="1681">
        <f t="shared" si="156"/>
        <v>0</v>
      </c>
      <c r="Z88" s="1681">
        <f t="shared" si="157"/>
        <v>0</v>
      </c>
      <c r="AA88" s="1681">
        <f t="shared" si="158"/>
        <v>364504.16986923071</v>
      </c>
      <c r="AB88" s="1362">
        <f>$X88*'2183-2184-2185 Ratios'!C$58</f>
        <v>227684.8314899549</v>
      </c>
      <c r="AC88" s="1362">
        <f>$X88*'2183-2184-2185 Ratios'!D$58</f>
        <v>11599.673962216713</v>
      </c>
      <c r="AD88" s="1362">
        <f>$X88*'2183-2184-2185 Ratios'!E$58</f>
        <v>2566.4626964519221</v>
      </c>
      <c r="AE88" s="1362">
        <f>$X88*'2183-2184-2185 Ratios'!F$58</f>
        <v>57294.262154978642</v>
      </c>
      <c r="AF88" s="1341">
        <f t="shared" ref="AF88" si="161">+Y88</f>
        <v>0</v>
      </c>
      <c r="AG88" s="1362">
        <f>$X88*'2183-2184-2185 Ratios'!H$58</f>
        <v>65358.939565628505</v>
      </c>
      <c r="AH88" s="1336" t="s">
        <v>901</v>
      </c>
      <c r="AI88" s="1363">
        <f t="shared" si="147"/>
        <v>0</v>
      </c>
    </row>
    <row r="89" spans="1:35">
      <c r="A89" s="1683">
        <v>56065</v>
      </c>
      <c r="B89" s="1336" t="s">
        <v>21</v>
      </c>
      <c r="C89" s="1341">
        <f>+IFERROR(VLOOKUP(A89,'2183 IS 2018'!$D:$AH,31,FALSE),0)</f>
        <v>2187.5600000000009</v>
      </c>
      <c r="D89" s="1354">
        <f>+IFERROR(VLOOKUP(A89,'2184 IS 2018'!$D:$AH,31,FALSE),0)</f>
        <v>0</v>
      </c>
      <c r="E89" s="1354">
        <f>+IFERROR(VLOOKUP(A89,'2185 IS 2018'!$D:$AH,31,FALSE),0)</f>
        <v>0</v>
      </c>
      <c r="F89" s="1342">
        <f t="shared" si="148"/>
        <v>2187.5600000000009</v>
      </c>
      <c r="G89" s="1343"/>
      <c r="H89" s="1341"/>
      <c r="I89" s="1341"/>
      <c r="J89" s="1341"/>
      <c r="K89" s="1341"/>
      <c r="L89" s="1362">
        <f t="shared" si="149"/>
        <v>2187.5600000000009</v>
      </c>
      <c r="M89" s="1337"/>
      <c r="N89" s="1359">
        <f t="shared" si="150"/>
        <v>2187.5600000000009</v>
      </c>
      <c r="O89" s="1359">
        <f t="shared" si="151"/>
        <v>0</v>
      </c>
      <c r="P89" s="1359">
        <f t="shared" si="152"/>
        <v>0</v>
      </c>
      <c r="Q89" s="1359">
        <f t="shared" si="153"/>
        <v>2187.5600000000009</v>
      </c>
      <c r="R89" s="1359"/>
      <c r="S89" s="1359"/>
      <c r="T89" s="1359"/>
      <c r="U89" s="1359"/>
      <c r="V89" s="1681">
        <f t="shared" si="154"/>
        <v>0</v>
      </c>
      <c r="W89" s="1333"/>
      <c r="X89" s="1681">
        <f t="shared" si="155"/>
        <v>2187.5600000000009</v>
      </c>
      <c r="Y89" s="1681">
        <f t="shared" si="156"/>
        <v>0</v>
      </c>
      <c r="Z89" s="1681">
        <f t="shared" si="157"/>
        <v>0</v>
      </c>
      <c r="AA89" s="1681">
        <f t="shared" si="158"/>
        <v>2187.5600000000009</v>
      </c>
      <c r="AB89" s="1362">
        <f>$X89*'2183-2184-2185 Ratios'!C$58</f>
        <v>1366.443160726679</v>
      </c>
      <c r="AC89" s="1362">
        <f>$X89*'2183-2184-2185 Ratios'!D$58</f>
        <v>69.615068551589729</v>
      </c>
      <c r="AD89" s="1362">
        <f>$X89*'2183-2184-2185 Ratios'!E$58</f>
        <v>15.402542962031267</v>
      </c>
      <c r="AE89" s="1362">
        <f>$X89*'2183-2184-2185 Ratios'!F$58</f>
        <v>343.84966340634759</v>
      </c>
      <c r="AF89" s="1341">
        <f t="shared" ref="AF89" si="162">+Y89</f>
        <v>0</v>
      </c>
      <c r="AG89" s="1362">
        <f>$X89*'2183-2184-2185 Ratios'!H$58</f>
        <v>392.24956435335304</v>
      </c>
      <c r="AH89" s="1336" t="s">
        <v>901</v>
      </c>
      <c r="AI89" s="1363">
        <f t="shared" si="147"/>
        <v>0</v>
      </c>
    </row>
    <row r="90" spans="1:35">
      <c r="A90" s="1683"/>
      <c r="B90" s="1336"/>
      <c r="C90" s="1354"/>
      <c r="D90" s="1354"/>
      <c r="E90" s="1354"/>
      <c r="F90" s="1342"/>
      <c r="G90" s="1343"/>
      <c r="H90" s="1341"/>
      <c r="I90" s="1341"/>
      <c r="J90" s="1341"/>
      <c r="K90" s="1341"/>
      <c r="L90" s="1362"/>
      <c r="M90" s="1336"/>
      <c r="N90" s="1359"/>
      <c r="O90" s="1359"/>
      <c r="P90" s="1359"/>
      <c r="Q90" s="1359"/>
      <c r="R90" s="1359"/>
      <c r="S90" s="1359"/>
      <c r="T90" s="1359"/>
      <c r="U90" s="1359"/>
      <c r="V90" s="1364"/>
      <c r="W90" s="1364"/>
      <c r="X90" s="1364"/>
      <c r="Y90" s="1364"/>
      <c r="Z90" s="1364"/>
      <c r="AA90" s="1364"/>
      <c r="AB90" s="1362"/>
      <c r="AC90" s="1362"/>
      <c r="AD90" s="1362"/>
      <c r="AE90" s="1362"/>
      <c r="AF90" s="1362"/>
      <c r="AG90" s="1362"/>
      <c r="AH90" s="1336"/>
      <c r="AI90" s="1363"/>
    </row>
    <row r="91" spans="1:35">
      <c r="A91" s="1372">
        <v>42100</v>
      </c>
      <c r="B91" s="1332" t="s">
        <v>48</v>
      </c>
      <c r="C91" s="1366">
        <f>SUM(C87:C90)</f>
        <v>360926.98</v>
      </c>
      <c r="D91" s="1366">
        <f t="shared" ref="D91:J91" si="163">SUM(D87:D89)</f>
        <v>0</v>
      </c>
      <c r="E91" s="1366">
        <f t="shared" si="163"/>
        <v>0</v>
      </c>
      <c r="F91" s="1366">
        <f t="shared" si="163"/>
        <v>360926.98</v>
      </c>
      <c r="G91" s="1366">
        <f t="shared" si="163"/>
        <v>0</v>
      </c>
      <c r="H91" s="1366">
        <f t="shared" si="163"/>
        <v>0</v>
      </c>
      <c r="I91" s="1366">
        <f t="shared" si="163"/>
        <v>0</v>
      </c>
      <c r="J91" s="1366">
        <f t="shared" si="163"/>
        <v>0</v>
      </c>
      <c r="K91" s="1367"/>
      <c r="L91" s="1366">
        <f>SUM(L87:L89)</f>
        <v>360926.98</v>
      </c>
      <c r="M91" s="1366"/>
      <c r="N91" s="1366">
        <f>SUM(N87:N89)</f>
        <v>360926.98</v>
      </c>
      <c r="O91" s="1366">
        <f>SUM(O87:O89)</f>
        <v>0</v>
      </c>
      <c r="P91" s="1366">
        <f>SUM(P87:P89)</f>
        <v>0</v>
      </c>
      <c r="Q91" s="1366">
        <f>SUM(Q87:Q89)</f>
        <v>360926.98</v>
      </c>
      <c r="R91" s="1366"/>
      <c r="S91" s="1366">
        <f>SUM(S87:S89)</f>
        <v>7431.469869230722</v>
      </c>
      <c r="T91" s="1366">
        <f>SUM(T87:T89)</f>
        <v>0</v>
      </c>
      <c r="U91" s="1366">
        <f>SUM(U87:U89)</f>
        <v>0</v>
      </c>
      <c r="V91" s="1366">
        <f>SUM(V87:V89)</f>
        <v>7431.469869230722</v>
      </c>
      <c r="W91" s="1366"/>
      <c r="X91" s="1366">
        <f t="shared" ref="X91:AI91" si="164">SUM(X87:X89)</f>
        <v>368358.44986923068</v>
      </c>
      <c r="Y91" s="1366">
        <f t="shared" si="164"/>
        <v>0</v>
      </c>
      <c r="Z91" s="1366">
        <f t="shared" si="164"/>
        <v>0</v>
      </c>
      <c r="AA91" s="1366">
        <f t="shared" si="164"/>
        <v>368358.44986923068</v>
      </c>
      <c r="AB91" s="1366">
        <f t="shared" si="164"/>
        <v>230092.37896089314</v>
      </c>
      <c r="AC91" s="1366">
        <f t="shared" si="164"/>
        <v>11722.329325460245</v>
      </c>
      <c r="AD91" s="1366">
        <f t="shared" si="164"/>
        <v>2593.6005638876486</v>
      </c>
      <c r="AE91" s="1366">
        <f t="shared" si="164"/>
        <v>57900.093711906826</v>
      </c>
      <c r="AF91" s="1366">
        <f t="shared" si="164"/>
        <v>0</v>
      </c>
      <c r="AG91" s="1366">
        <f t="shared" si="164"/>
        <v>66050.04730708283</v>
      </c>
      <c r="AH91" s="1366">
        <f t="shared" si="164"/>
        <v>0</v>
      </c>
      <c r="AI91" s="1366">
        <f t="shared" si="164"/>
        <v>0</v>
      </c>
    </row>
    <row r="92" spans="1:35" ht="12" customHeight="1">
      <c r="A92" s="1331"/>
      <c r="B92" s="1336"/>
      <c r="C92" s="1354"/>
      <c r="D92" s="1333"/>
      <c r="E92" s="1342"/>
      <c r="F92" s="1342"/>
      <c r="G92" s="1336"/>
      <c r="H92" s="1341"/>
      <c r="I92" s="1341"/>
      <c r="J92" s="1341"/>
      <c r="K92" s="1341"/>
      <c r="L92" s="1341"/>
      <c r="M92" s="1336"/>
      <c r="N92" s="1342"/>
      <c r="O92" s="1336"/>
      <c r="P92" s="1351"/>
      <c r="Q92" s="1385"/>
      <c r="R92" s="1385"/>
      <c r="S92" s="1385"/>
      <c r="T92" s="1385"/>
      <c r="U92" s="1385"/>
      <c r="V92" s="1364"/>
      <c r="W92" s="1364"/>
      <c r="X92" s="1364"/>
      <c r="Y92" s="1364"/>
      <c r="Z92" s="1364"/>
      <c r="AA92" s="1364"/>
      <c r="AB92" s="1359"/>
      <c r="AC92" s="1359"/>
      <c r="AD92" s="1359"/>
      <c r="AE92" s="1341"/>
      <c r="AF92" s="1341"/>
      <c r="AG92" s="1341"/>
      <c r="AH92" s="1336"/>
      <c r="AI92" s="1363">
        <f t="shared" ref="AI92:AI98" si="165">SUM(AB92:AG92)-AA92</f>
        <v>0</v>
      </c>
    </row>
    <row r="93" spans="1:35" ht="12" customHeight="1">
      <c r="A93" s="1331"/>
      <c r="B93" s="1336"/>
      <c r="C93" s="1354"/>
      <c r="D93" s="1333"/>
      <c r="E93" s="1342"/>
      <c r="F93" s="1342"/>
      <c r="G93" s="1336"/>
      <c r="H93" s="1341"/>
      <c r="I93" s="1341"/>
      <c r="J93" s="1341"/>
      <c r="K93" s="1341"/>
      <c r="L93" s="1341"/>
      <c r="M93" s="1336"/>
      <c r="N93" s="1342"/>
      <c r="O93" s="1336"/>
      <c r="P93" s="1351"/>
      <c r="Q93" s="1385"/>
      <c r="R93" s="1385"/>
      <c r="S93" s="1385"/>
      <c r="T93" s="1385"/>
      <c r="U93" s="1385"/>
      <c r="V93" s="1364"/>
      <c r="W93" s="1364"/>
      <c r="X93" s="1364"/>
      <c r="Y93" s="1364"/>
      <c r="Z93" s="1364"/>
      <c r="AA93" s="1364"/>
      <c r="AB93" s="1359"/>
      <c r="AC93" s="1359"/>
      <c r="AD93" s="1359"/>
      <c r="AE93" s="1341"/>
      <c r="AF93" s="1341"/>
      <c r="AG93" s="1341"/>
      <c r="AH93" s="1336"/>
      <c r="AI93" s="1363"/>
    </row>
    <row r="94" spans="1:35">
      <c r="A94" s="1683">
        <v>50020</v>
      </c>
      <c r="B94" s="1336" t="s">
        <v>24</v>
      </c>
      <c r="C94" s="1341">
        <f>+IFERROR(VLOOKUP(A94,'2183 IS 2018'!$D:$AH,31,FALSE),0)</f>
        <v>3034882.14</v>
      </c>
      <c r="D94" s="1354">
        <f>+IFERROR(VLOOKUP(A94,'2184 IS 2018'!$D:$AH,31,FALSE),0)</f>
        <v>1057342.8999999999</v>
      </c>
      <c r="E94" s="1354">
        <f>+IFERROR(VLOOKUP(A94,'2185 IS 2018'!$D:$AH,31,FALSE),0)</f>
        <v>711066.05999999994</v>
      </c>
      <c r="F94" s="1342">
        <f t="shared" ref="F94:F98" si="166">SUM(C94:E94)</f>
        <v>4803291.0999999996</v>
      </c>
      <c r="G94" s="1343"/>
      <c r="H94" s="1341"/>
      <c r="I94" s="1341"/>
      <c r="J94" s="1341"/>
      <c r="K94" s="1341"/>
      <c r="L94" s="1362">
        <f t="shared" ref="L94:L98" si="167">F94+H94+I94+J94</f>
        <v>4803291.0999999996</v>
      </c>
      <c r="M94" s="1337"/>
      <c r="N94" s="1359">
        <f t="shared" ref="N94:N98" si="168">C94+H94</f>
        <v>3034882.14</v>
      </c>
      <c r="O94" s="1359">
        <f t="shared" ref="O94:O98" si="169">D94+I94</f>
        <v>1057342.8999999999</v>
      </c>
      <c r="P94" s="1359">
        <f t="shared" ref="P94:P98" si="170">E94+J94</f>
        <v>711066.05999999994</v>
      </c>
      <c r="Q94" s="1359">
        <f t="shared" ref="Q94:Q98" si="171">SUM(N94:P94)</f>
        <v>4803291.0999999996</v>
      </c>
      <c r="R94" s="1359"/>
      <c r="S94" s="1359">
        <f>'Pro-forma Adj''s'!B8+'Pro-forma Adj''s'!B88</f>
        <v>213041.92147114419</v>
      </c>
      <c r="T94" s="1359"/>
      <c r="U94" s="1359"/>
      <c r="V94" s="1681">
        <f t="shared" ref="V94:V98" si="172">+SUM(S94:U94)</f>
        <v>213041.92147114419</v>
      </c>
      <c r="W94" s="1369" t="s">
        <v>2713</v>
      </c>
      <c r="X94" s="1681">
        <f t="shared" ref="X94:X98" si="173">+S94+N94</f>
        <v>3247924.0614711442</v>
      </c>
      <c r="Y94" s="1681">
        <f t="shared" ref="Y94:Y98" si="174">+T94+O94</f>
        <v>1057342.8999999999</v>
      </c>
      <c r="Z94" s="1681">
        <f t="shared" ref="Z94:Z98" si="175">+U94+P94</f>
        <v>711066.05999999994</v>
      </c>
      <c r="AA94" s="1681">
        <f t="shared" ref="AA94:AA98" si="176">+SUM(X94:Z94)</f>
        <v>5016333.0214711437</v>
      </c>
      <c r="AB94" s="1362">
        <f>$X94*'2183-2184-2185 Ratios'!C$60</f>
        <v>2472053.5971030071</v>
      </c>
      <c r="AC94" s="1362">
        <f>$X94*'2183-2184-2185 Ratios'!D$60</f>
        <v>125941.70439845491</v>
      </c>
      <c r="AD94" s="1362">
        <f>$X94*'2183-2184-2185 Ratios'!E$60</f>
        <v>27864.980284708003</v>
      </c>
      <c r="AE94" s="1362">
        <f>$X94*'2183-2184-2185 Ratios'!F$60</f>
        <v>622063.77968497365</v>
      </c>
      <c r="AF94" s="1341">
        <f t="shared" ref="AF94:AF98" si="177">+Y94</f>
        <v>1057342.8999999999</v>
      </c>
      <c r="AG94" s="1341">
        <f t="shared" ref="AG94:AG98" si="178">+Z94</f>
        <v>711066.05999999994</v>
      </c>
      <c r="AH94" s="1336" t="s">
        <v>350</v>
      </c>
      <c r="AI94" s="1363">
        <f t="shared" si="165"/>
        <v>0</v>
      </c>
    </row>
    <row r="95" spans="1:35">
      <c r="A95" s="1683">
        <v>50025</v>
      </c>
      <c r="B95" s="1336" t="s">
        <v>49</v>
      </c>
      <c r="C95" s="1341">
        <f>+IFERROR(VLOOKUP(A95,'2183 IS 2018'!$D:$AH,31,FALSE),0)</f>
        <v>1040605.75</v>
      </c>
      <c r="D95" s="1354">
        <f>+IFERROR(VLOOKUP(A95,'2184 IS 2018'!$D:$AH,31,FALSE),0)</f>
        <v>155657.19</v>
      </c>
      <c r="E95" s="1354">
        <f>+IFERROR(VLOOKUP(A95,'2185 IS 2018'!$D:$AH,31,FALSE),0)</f>
        <v>140356.52000000002</v>
      </c>
      <c r="F95" s="1342">
        <f t="shared" si="166"/>
        <v>1336619.46</v>
      </c>
      <c r="G95" s="1343"/>
      <c r="H95" s="1341"/>
      <c r="I95" s="1341"/>
      <c r="J95" s="1341"/>
      <c r="K95" s="1341"/>
      <c r="L95" s="1362">
        <f t="shared" si="167"/>
        <v>1336619.46</v>
      </c>
      <c r="M95" s="1337"/>
      <c r="N95" s="1359">
        <f t="shared" si="168"/>
        <v>1040605.75</v>
      </c>
      <c r="O95" s="1359">
        <f t="shared" si="169"/>
        <v>155657.19</v>
      </c>
      <c r="P95" s="1359">
        <f t="shared" si="170"/>
        <v>140356.52000000002</v>
      </c>
      <c r="Q95" s="1359">
        <f t="shared" si="171"/>
        <v>1336619.46</v>
      </c>
      <c r="R95" s="1359"/>
      <c r="S95" s="1359"/>
      <c r="T95" s="1359"/>
      <c r="U95" s="1359"/>
      <c r="V95" s="1681">
        <f t="shared" si="172"/>
        <v>0</v>
      </c>
      <c r="W95" s="1333"/>
      <c r="X95" s="1681">
        <f t="shared" si="173"/>
        <v>1040605.75</v>
      </c>
      <c r="Y95" s="1681">
        <f t="shared" si="174"/>
        <v>155657.19</v>
      </c>
      <c r="Z95" s="1681">
        <f t="shared" si="175"/>
        <v>140356.52000000002</v>
      </c>
      <c r="AA95" s="1681">
        <f t="shared" si="176"/>
        <v>1336619.46</v>
      </c>
      <c r="AB95" s="1362">
        <f>$X95*'2183-2184-2185 Ratios'!C$60</f>
        <v>792023.80929078476</v>
      </c>
      <c r="AC95" s="1362">
        <f>$X95*'2183-2184-2185 Ratios'!D$60</f>
        <v>40350.592957666297</v>
      </c>
      <c r="AD95" s="1362">
        <f>$X95*'2183-2184-2185 Ratios'!E$60</f>
        <v>8927.6898594636059</v>
      </c>
      <c r="AE95" s="1362">
        <f>$X95*'2183-2184-2185 Ratios'!F$60</f>
        <v>199303.6578920852</v>
      </c>
      <c r="AF95" s="1341">
        <f t="shared" si="177"/>
        <v>155657.19</v>
      </c>
      <c r="AG95" s="1341">
        <f t="shared" si="178"/>
        <v>140356.52000000002</v>
      </c>
      <c r="AH95" s="1336" t="s">
        <v>350</v>
      </c>
      <c r="AI95" s="1363">
        <f t="shared" si="165"/>
        <v>0</v>
      </c>
    </row>
    <row r="96" spans="1:35">
      <c r="A96" s="1684">
        <v>50035</v>
      </c>
      <c r="B96" s="1336" t="s">
        <v>20</v>
      </c>
      <c r="C96" s="1341">
        <f>+IFERROR(VLOOKUP(A96,'2183 IS 2018'!$D:$AH,31,FALSE),0)</f>
        <v>32002.87</v>
      </c>
      <c r="D96" s="1354">
        <f>+IFERROR(VLOOKUP(A96,'2184 IS 2018'!$D:$AH,31,FALSE),0)</f>
        <v>12333.17</v>
      </c>
      <c r="E96" s="1354">
        <f>+IFERROR(VLOOKUP(A96,'2185 IS 2018'!$D:$AH,31,FALSE),0)</f>
        <v>8267.99</v>
      </c>
      <c r="F96" s="1342">
        <f t="shared" si="166"/>
        <v>52604.03</v>
      </c>
      <c r="G96" s="1343"/>
      <c r="H96" s="1341"/>
      <c r="I96" s="1341"/>
      <c r="J96" s="1341"/>
      <c r="K96" s="1341"/>
      <c r="L96" s="1362">
        <f t="shared" si="167"/>
        <v>52604.03</v>
      </c>
      <c r="M96" s="1337"/>
      <c r="N96" s="1359">
        <f t="shared" si="168"/>
        <v>32002.87</v>
      </c>
      <c r="O96" s="1359">
        <f t="shared" si="169"/>
        <v>12333.17</v>
      </c>
      <c r="P96" s="1359">
        <f t="shared" si="170"/>
        <v>8267.99</v>
      </c>
      <c r="Q96" s="1359">
        <f t="shared" si="171"/>
        <v>52604.03</v>
      </c>
      <c r="R96" s="1359"/>
      <c r="S96" s="1359"/>
      <c r="T96" s="1359"/>
      <c r="U96" s="1359"/>
      <c r="V96" s="1681">
        <f t="shared" si="172"/>
        <v>0</v>
      </c>
      <c r="W96" s="1333"/>
      <c r="X96" s="1681">
        <f t="shared" si="173"/>
        <v>32002.87</v>
      </c>
      <c r="Y96" s="1681">
        <f t="shared" si="174"/>
        <v>12333.17</v>
      </c>
      <c r="Z96" s="1681">
        <f t="shared" si="175"/>
        <v>8267.99</v>
      </c>
      <c r="AA96" s="1681">
        <f t="shared" si="176"/>
        <v>52604.03</v>
      </c>
      <c r="AB96" s="1362">
        <f>$X96*'2183-2184-2185 Ratios'!C$60</f>
        <v>24357.961702246768</v>
      </c>
      <c r="AC96" s="1362">
        <f>$X96*'2183-2184-2185 Ratios'!D$60</f>
        <v>1240.9452675493192</v>
      </c>
      <c r="AD96" s="1362">
        <f>$X96*'2183-2184-2185 Ratios'!E$60</f>
        <v>274.56286684244446</v>
      </c>
      <c r="AE96" s="1362">
        <f>$X96*'2183-2184-2185 Ratios'!F$60</f>
        <v>6129.4001633614616</v>
      </c>
      <c r="AF96" s="1341">
        <f t="shared" si="177"/>
        <v>12333.17</v>
      </c>
      <c r="AG96" s="1341">
        <f t="shared" si="178"/>
        <v>8267.99</v>
      </c>
      <c r="AH96" s="1336" t="s">
        <v>350</v>
      </c>
      <c r="AI96" s="1363">
        <f t="shared" si="165"/>
        <v>0</v>
      </c>
    </row>
    <row r="97" spans="1:35">
      <c r="A97" s="1683">
        <v>50065</v>
      </c>
      <c r="B97" s="1336" t="s">
        <v>21</v>
      </c>
      <c r="C97" s="1341">
        <f>+IFERROR(VLOOKUP(A97,'2183 IS 2018'!$D:$AH,31,FALSE),0)</f>
        <v>170070.45</v>
      </c>
      <c r="D97" s="1354">
        <f>+IFERROR(VLOOKUP(A97,'2184 IS 2018'!$D:$AH,31,FALSE),0)</f>
        <v>68589.48000000001</v>
      </c>
      <c r="E97" s="1354">
        <f>+IFERROR(VLOOKUP(A97,'2185 IS 2018'!$D:$AH,31,FALSE),0)</f>
        <v>35415.949999999997</v>
      </c>
      <c r="F97" s="1342">
        <f t="shared" si="166"/>
        <v>274075.88</v>
      </c>
      <c r="G97" s="1343"/>
      <c r="H97" s="1341"/>
      <c r="I97" s="1341"/>
      <c r="J97" s="1341"/>
      <c r="K97" s="1341"/>
      <c r="L97" s="1362">
        <f t="shared" si="167"/>
        <v>274075.88</v>
      </c>
      <c r="M97" s="1337"/>
      <c r="N97" s="1359">
        <f t="shared" si="168"/>
        <v>170070.45</v>
      </c>
      <c r="O97" s="1359">
        <f t="shared" si="169"/>
        <v>68589.48000000001</v>
      </c>
      <c r="P97" s="1359">
        <f t="shared" si="170"/>
        <v>35415.949999999997</v>
      </c>
      <c r="Q97" s="1359">
        <f t="shared" si="171"/>
        <v>274075.88</v>
      </c>
      <c r="R97" s="1359"/>
      <c r="S97" s="1359"/>
      <c r="T97" s="1359"/>
      <c r="U97" s="1359"/>
      <c r="V97" s="1681">
        <f t="shared" si="172"/>
        <v>0</v>
      </c>
      <c r="W97" s="1333"/>
      <c r="X97" s="1681">
        <f t="shared" si="173"/>
        <v>170070.45</v>
      </c>
      <c r="Y97" s="1681">
        <f t="shared" si="174"/>
        <v>68589.48000000001</v>
      </c>
      <c r="Z97" s="1681">
        <f t="shared" si="175"/>
        <v>35415.949999999997</v>
      </c>
      <c r="AA97" s="1681">
        <f t="shared" si="176"/>
        <v>274075.88</v>
      </c>
      <c r="AB97" s="1362">
        <f>$X97*'2183-2184-2185 Ratios'!C$60</f>
        <v>129443.68763751109</v>
      </c>
      <c r="AC97" s="1362">
        <f>$X97*'2183-2184-2185 Ratios'!D$60</f>
        <v>6594.6622936468866</v>
      </c>
      <c r="AD97" s="1362">
        <f>$X97*'2183-2184-2185 Ratios'!E$60</f>
        <v>1459.0888353820958</v>
      </c>
      <c r="AE97" s="1362">
        <f>$X97*'2183-2184-2185 Ratios'!F$60</f>
        <v>32573.011233459918</v>
      </c>
      <c r="AF97" s="1341">
        <f t="shared" si="177"/>
        <v>68589.48000000001</v>
      </c>
      <c r="AG97" s="1341">
        <f t="shared" si="178"/>
        <v>35415.949999999997</v>
      </c>
      <c r="AH97" s="1336" t="s">
        <v>350</v>
      </c>
      <c r="AI97" s="1363">
        <f t="shared" si="165"/>
        <v>0</v>
      </c>
    </row>
    <row r="98" spans="1:35">
      <c r="A98" s="1683">
        <v>50070</v>
      </c>
      <c r="B98" s="1336" t="s">
        <v>22</v>
      </c>
      <c r="C98" s="1341">
        <f>+IFERROR(VLOOKUP(A98,'2183 IS 2018'!$D:$AH,31,FALSE),0)</f>
        <v>110380.34</v>
      </c>
      <c r="D98" s="1354">
        <f>+IFERROR(VLOOKUP(A98,'2184 IS 2018'!$D:$AH,31,FALSE),0)</f>
        <v>51093.91</v>
      </c>
      <c r="E98" s="1354">
        <f>+IFERROR(VLOOKUP(A98,'2185 IS 2018'!$D:$AH,31,FALSE),0)</f>
        <v>28224.48</v>
      </c>
      <c r="F98" s="1342">
        <f t="shared" si="166"/>
        <v>189698.73</v>
      </c>
      <c r="G98" s="1343"/>
      <c r="H98" s="1341"/>
      <c r="I98" s="1341"/>
      <c r="J98" s="1341"/>
      <c r="K98" s="1341"/>
      <c r="L98" s="1362">
        <f t="shared" si="167"/>
        <v>189698.73</v>
      </c>
      <c r="M98" s="1337"/>
      <c r="N98" s="1359">
        <f t="shared" si="168"/>
        <v>110380.34</v>
      </c>
      <c r="O98" s="1359">
        <f t="shared" si="169"/>
        <v>51093.91</v>
      </c>
      <c r="P98" s="1359">
        <f t="shared" si="170"/>
        <v>28224.48</v>
      </c>
      <c r="Q98" s="1359">
        <f t="shared" si="171"/>
        <v>189698.73</v>
      </c>
      <c r="R98" s="1359"/>
      <c r="S98" s="1359">
        <f>+'Pro-forma Adj''s'!B81</f>
        <v>36704.019999999997</v>
      </c>
      <c r="T98" s="1359"/>
      <c r="U98" s="1359"/>
      <c r="V98" s="1681">
        <f t="shared" si="172"/>
        <v>36704.019999999997</v>
      </c>
      <c r="W98" s="1369" t="s">
        <v>900</v>
      </c>
      <c r="X98" s="1681">
        <f t="shared" si="173"/>
        <v>147084.35999999999</v>
      </c>
      <c r="Y98" s="1681">
        <f t="shared" si="174"/>
        <v>51093.91</v>
      </c>
      <c r="Z98" s="1681">
        <f t="shared" si="175"/>
        <v>28224.48</v>
      </c>
      <c r="AA98" s="1681">
        <f t="shared" si="176"/>
        <v>226402.75</v>
      </c>
      <c r="AB98" s="1362">
        <f>$X98*'2183-2184-2185 Ratios'!C$60</f>
        <v>111948.55985977121</v>
      </c>
      <c r="AC98" s="1362">
        <f>$X98*'2183-2184-2185 Ratios'!D$60</f>
        <v>5703.3522453617561</v>
      </c>
      <c r="AD98" s="1362">
        <f>$X98*'2183-2184-2185 Ratios'!E$60</f>
        <v>1261.8838107109193</v>
      </c>
      <c r="AE98" s="1362">
        <f>$X98*'2183-2184-2185 Ratios'!F$60</f>
        <v>28170.564084156078</v>
      </c>
      <c r="AF98" s="1341">
        <f t="shared" si="177"/>
        <v>51093.91</v>
      </c>
      <c r="AG98" s="1341">
        <f t="shared" si="178"/>
        <v>28224.48</v>
      </c>
      <c r="AH98" s="1336" t="s">
        <v>350</v>
      </c>
      <c r="AI98" s="1363">
        <f t="shared" si="165"/>
        <v>0</v>
      </c>
    </row>
    <row r="99" spans="1:35">
      <c r="A99" s="1683"/>
      <c r="B99" s="1336"/>
      <c r="C99" s="1354"/>
      <c r="D99" s="1354"/>
      <c r="E99" s="1354"/>
      <c r="F99" s="1342"/>
      <c r="G99" s="1343"/>
      <c r="H99" s="1341"/>
      <c r="I99" s="1341"/>
      <c r="J99" s="1341"/>
      <c r="K99" s="1341"/>
      <c r="L99" s="1362"/>
      <c r="M99" s="1336"/>
      <c r="N99" s="1359"/>
      <c r="O99" s="1359"/>
      <c r="P99" s="1359"/>
      <c r="Q99" s="1359"/>
      <c r="R99" s="1359"/>
      <c r="S99" s="1359"/>
      <c r="T99" s="1359"/>
      <c r="U99" s="1359"/>
      <c r="V99" s="1364"/>
      <c r="W99" s="1364"/>
      <c r="X99" s="1364"/>
      <c r="Y99" s="1364"/>
      <c r="Z99" s="1364"/>
      <c r="AA99" s="1364"/>
      <c r="AB99" s="1362"/>
      <c r="AC99" s="1362"/>
      <c r="AD99" s="1362"/>
      <c r="AE99" s="1341"/>
      <c r="AF99" s="1341"/>
      <c r="AG99" s="1341"/>
      <c r="AH99" s="1336"/>
      <c r="AI99" s="1363"/>
    </row>
    <row r="100" spans="1:35">
      <c r="A100" s="1372">
        <v>42300</v>
      </c>
      <c r="B100" s="1332" t="s">
        <v>50</v>
      </c>
      <c r="C100" s="1366">
        <f t="shared" ref="C100:J100" si="179">SUM(C94:C99)</f>
        <v>4387941.55</v>
      </c>
      <c r="D100" s="1366">
        <f t="shared" si="179"/>
        <v>1345016.6499999997</v>
      </c>
      <c r="E100" s="1366">
        <f t="shared" si="179"/>
        <v>923330.99999999988</v>
      </c>
      <c r="F100" s="1366">
        <f t="shared" si="179"/>
        <v>6656289.2000000002</v>
      </c>
      <c r="G100" s="1366">
        <f t="shared" si="179"/>
        <v>0</v>
      </c>
      <c r="H100" s="1366">
        <f t="shared" si="179"/>
        <v>0</v>
      </c>
      <c r="I100" s="1366">
        <f t="shared" si="179"/>
        <v>0</v>
      </c>
      <c r="J100" s="1366">
        <f t="shared" si="179"/>
        <v>0</v>
      </c>
      <c r="K100" s="1367"/>
      <c r="L100" s="1366">
        <f>SUM(L94:L99)</f>
        <v>6656289.2000000002</v>
      </c>
      <c r="M100" s="1366"/>
      <c r="N100" s="1366">
        <f>SUM(N94:N99)</f>
        <v>4387941.55</v>
      </c>
      <c r="O100" s="1366">
        <f>SUM(O94:O99)</f>
        <v>1345016.6499999997</v>
      </c>
      <c r="P100" s="1366">
        <f>SUM(P94:P99)</f>
        <v>923330.99999999988</v>
      </c>
      <c r="Q100" s="1366">
        <f>SUM(Q94:Q99)</f>
        <v>6656289.2000000002</v>
      </c>
      <c r="R100" s="1366"/>
      <c r="S100" s="1366">
        <f>SUM(S94:S99)</f>
        <v>249745.94147114418</v>
      </c>
      <c r="T100" s="1366">
        <f>SUM(T94:T99)</f>
        <v>0</v>
      </c>
      <c r="U100" s="1366">
        <f>SUM(U94:U99)</f>
        <v>0</v>
      </c>
      <c r="V100" s="1366">
        <f>SUM(V94:V99)</f>
        <v>249745.94147114418</v>
      </c>
      <c r="W100" s="1366"/>
      <c r="X100" s="1366">
        <f t="shared" ref="X100:AI100" si="180">SUM(X94:X99)</f>
        <v>4637687.4914711444</v>
      </c>
      <c r="Y100" s="1366">
        <f t="shared" si="180"/>
        <v>1345016.6499999997</v>
      </c>
      <c r="Z100" s="1366">
        <f t="shared" si="180"/>
        <v>923330.99999999988</v>
      </c>
      <c r="AA100" s="1366">
        <f t="shared" si="180"/>
        <v>6906035.1414711438</v>
      </c>
      <c r="AB100" s="1366">
        <f t="shared" si="180"/>
        <v>3529827.6155933212</v>
      </c>
      <c r="AC100" s="1366">
        <f t="shared" si="180"/>
        <v>179831.25716267916</v>
      </c>
      <c r="AD100" s="1366">
        <f t="shared" si="180"/>
        <v>39788.205657107072</v>
      </c>
      <c r="AE100" s="1366">
        <f t="shared" si="180"/>
        <v>888240.41305803624</v>
      </c>
      <c r="AF100" s="1366">
        <f t="shared" si="180"/>
        <v>1345016.6499999997</v>
      </c>
      <c r="AG100" s="1366">
        <f t="shared" si="180"/>
        <v>923330.99999999988</v>
      </c>
      <c r="AH100" s="1366">
        <f t="shared" si="180"/>
        <v>0</v>
      </c>
      <c r="AI100" s="1366">
        <f t="shared" si="180"/>
        <v>0</v>
      </c>
    </row>
    <row r="101" spans="1:35">
      <c r="A101" s="1365"/>
      <c r="B101" s="1332"/>
      <c r="C101" s="1368"/>
      <c r="D101" s="1333"/>
      <c r="E101" s="1342"/>
      <c r="F101" s="1342"/>
      <c r="G101" s="1336"/>
      <c r="H101" s="1341"/>
      <c r="I101" s="1341"/>
      <c r="J101" s="1341"/>
      <c r="K101" s="1341"/>
      <c r="L101" s="1341"/>
      <c r="M101" s="1336"/>
      <c r="N101" s="1342"/>
      <c r="O101" s="1336"/>
      <c r="P101" s="1336"/>
      <c r="Q101" s="1345"/>
      <c r="R101" s="1345"/>
      <c r="S101" s="1345"/>
      <c r="T101" s="1345"/>
      <c r="U101" s="1345"/>
      <c r="V101" s="1364"/>
      <c r="W101" s="1364"/>
      <c r="X101" s="1364"/>
      <c r="Y101" s="1364"/>
      <c r="Z101" s="1364"/>
      <c r="AA101" s="1364"/>
      <c r="AB101" s="1383"/>
      <c r="AC101" s="1383"/>
      <c r="AD101" s="1383"/>
      <c r="AE101" s="1369"/>
      <c r="AF101" s="1369"/>
      <c r="AG101" s="1341"/>
      <c r="AH101" s="1336"/>
      <c r="AI101" s="1363">
        <f>SUM(AB101:AG101)-AA101</f>
        <v>0</v>
      </c>
    </row>
    <row r="102" spans="1:35">
      <c r="A102" s="1365"/>
      <c r="B102" s="1332"/>
      <c r="C102" s="1368"/>
      <c r="D102" s="1333"/>
      <c r="E102" s="1342"/>
      <c r="F102" s="1342"/>
      <c r="G102" s="1336"/>
      <c r="H102" s="1341"/>
      <c r="I102" s="1341"/>
      <c r="J102" s="1341"/>
      <c r="K102" s="1341"/>
      <c r="L102" s="1341"/>
      <c r="M102" s="1336"/>
      <c r="N102" s="1342"/>
      <c r="O102" s="1336"/>
      <c r="P102" s="1336"/>
      <c r="Q102" s="1345"/>
      <c r="R102" s="1345"/>
      <c r="S102" s="1345"/>
      <c r="T102" s="1345"/>
      <c r="U102" s="1345"/>
      <c r="V102" s="1364"/>
      <c r="W102" s="1364"/>
      <c r="X102" s="1364"/>
      <c r="Y102" s="1364"/>
      <c r="Z102" s="1364"/>
      <c r="AA102" s="1364"/>
      <c r="AB102" s="1383"/>
      <c r="AC102" s="1383"/>
      <c r="AD102" s="1383"/>
      <c r="AE102" s="1369"/>
      <c r="AF102" s="1369"/>
      <c r="AG102" s="1341"/>
      <c r="AH102" s="1336"/>
      <c r="AI102" s="1363"/>
    </row>
    <row r="103" spans="1:35">
      <c r="A103" s="1360">
        <v>50045</v>
      </c>
      <c r="B103" s="1336" t="s">
        <v>27</v>
      </c>
      <c r="C103" s="1341">
        <f>+IFERROR(VLOOKUP(A103,'2183 IS 2018'!$D:$AH,31,FALSE),0)</f>
        <v>3253.1400000000003</v>
      </c>
      <c r="D103" s="1354">
        <f>+IFERROR(VLOOKUP(A103,'2184 IS 2018'!$D:$AH,31,FALSE),0)</f>
        <v>566.54999999999995</v>
      </c>
      <c r="E103" s="1354">
        <f>+IFERROR(VLOOKUP(A103,'2185 IS 2018'!$D:$AH,31,FALSE),0)</f>
        <v>-508.79</v>
      </c>
      <c r="F103" s="1342">
        <f t="shared" ref="F103" si="181">SUM(C103:E103)</f>
        <v>3310.9000000000005</v>
      </c>
      <c r="G103" s="1343"/>
      <c r="H103" s="1341"/>
      <c r="I103" s="1341"/>
      <c r="J103" s="1341"/>
      <c r="K103" s="1341"/>
      <c r="L103" s="1362">
        <f t="shared" ref="L103" si="182">F103+H103+I103+J103</f>
        <v>3310.9000000000005</v>
      </c>
      <c r="M103" s="1337"/>
      <c r="N103" s="1359">
        <f t="shared" ref="N103" si="183">C103+H103</f>
        <v>3253.1400000000003</v>
      </c>
      <c r="O103" s="1359">
        <f t="shared" ref="O103" si="184">D103+I103</f>
        <v>566.54999999999995</v>
      </c>
      <c r="P103" s="1359">
        <f t="shared" ref="P103" si="185">E103+J103</f>
        <v>-508.79</v>
      </c>
      <c r="Q103" s="1359">
        <f t="shared" ref="Q103" si="186">SUM(N103:P103)</f>
        <v>3310.9000000000005</v>
      </c>
      <c r="R103" s="1359"/>
      <c r="S103" s="1359"/>
      <c r="T103" s="1359"/>
      <c r="U103" s="1359"/>
      <c r="V103" s="1681">
        <f t="shared" ref="V103" si="187">+SUM(S103:U103)</f>
        <v>0</v>
      </c>
      <c r="W103" s="1333"/>
      <c r="X103" s="1681">
        <f t="shared" ref="X103" si="188">+S103+N103</f>
        <v>3253.1400000000003</v>
      </c>
      <c r="Y103" s="1681">
        <f t="shared" ref="Y103" si="189">+T103+O103</f>
        <v>566.54999999999995</v>
      </c>
      <c r="Z103" s="1681">
        <f t="shared" ref="Z103" si="190">+U103+P103</f>
        <v>-508.79</v>
      </c>
      <c r="AA103" s="1681">
        <f t="shared" ref="AA103" si="191">+SUM(X103:Z103)</f>
        <v>3310.9000000000005</v>
      </c>
      <c r="AB103" s="1362">
        <f>$X103*'2183-2184-2185 Ratios'!C$60</f>
        <v>2476.0235420150461</v>
      </c>
      <c r="AC103" s="1362">
        <f>$X103*'2183-2184-2185 Ratios'!D$60</f>
        <v>126.14395795362707</v>
      </c>
      <c r="AD103" s="1362">
        <f>$X103*'2183-2184-2185 Ratios'!E$60</f>
        <v>27.909729491130946</v>
      </c>
      <c r="AE103" s="1362">
        <f>$X103*'2183-2184-2185 Ratios'!F$60</f>
        <v>623.06277054019552</v>
      </c>
      <c r="AF103" s="1341">
        <f>+Y103</f>
        <v>566.54999999999995</v>
      </c>
      <c r="AG103" s="1341">
        <f>+Z103</f>
        <v>-508.79</v>
      </c>
      <c r="AH103" s="1336" t="s">
        <v>350</v>
      </c>
      <c r="AI103" s="1363">
        <f>SUM(AB103:AG103)-AA103</f>
        <v>0</v>
      </c>
    </row>
    <row r="104" spans="1:35">
      <c r="A104" s="1360"/>
      <c r="B104" s="1336"/>
      <c r="C104" s="1354"/>
      <c r="D104" s="1354"/>
      <c r="E104" s="1354"/>
      <c r="F104" s="1342"/>
      <c r="G104" s="1343"/>
      <c r="H104" s="1341"/>
      <c r="I104" s="1341"/>
      <c r="J104" s="1341"/>
      <c r="K104" s="1341"/>
      <c r="L104" s="1362"/>
      <c r="M104" s="1336"/>
      <c r="N104" s="1359"/>
      <c r="O104" s="1359"/>
      <c r="P104" s="1359"/>
      <c r="Q104" s="1359"/>
      <c r="R104" s="1359"/>
      <c r="S104" s="1359"/>
      <c r="T104" s="1359"/>
      <c r="U104" s="1359"/>
      <c r="V104" s="1364"/>
      <c r="W104" s="1364"/>
      <c r="X104" s="1364"/>
      <c r="Y104" s="1364"/>
      <c r="Z104" s="1364"/>
      <c r="AA104" s="1364"/>
      <c r="AB104" s="1362"/>
      <c r="AC104" s="1362"/>
      <c r="AD104" s="1362"/>
      <c r="AE104" s="1341"/>
      <c r="AF104" s="1341"/>
      <c r="AG104" s="1341"/>
      <c r="AH104" s="1336"/>
      <c r="AI104" s="1363"/>
    </row>
    <row r="105" spans="1:35">
      <c r="A105" s="1372">
        <v>42315</v>
      </c>
      <c r="B105" s="1332" t="s">
        <v>27</v>
      </c>
      <c r="C105" s="1366">
        <f>SUM(C103:C104)</f>
        <v>3253.1400000000003</v>
      </c>
      <c r="D105" s="1366">
        <f t="shared" ref="D105:AI105" si="192">SUM(D103:D104)</f>
        <v>566.54999999999995</v>
      </c>
      <c r="E105" s="1366">
        <f t="shared" si="192"/>
        <v>-508.79</v>
      </c>
      <c r="F105" s="1366">
        <f t="shared" si="192"/>
        <v>3310.9000000000005</v>
      </c>
      <c r="G105" s="1366">
        <f t="shared" si="192"/>
        <v>0</v>
      </c>
      <c r="H105" s="1366">
        <f t="shared" si="192"/>
        <v>0</v>
      </c>
      <c r="I105" s="1366">
        <f t="shared" si="192"/>
        <v>0</v>
      </c>
      <c r="J105" s="1366">
        <f t="shared" si="192"/>
        <v>0</v>
      </c>
      <c r="K105" s="1367"/>
      <c r="L105" s="1366">
        <f t="shared" si="192"/>
        <v>3310.9000000000005</v>
      </c>
      <c r="M105" s="1366"/>
      <c r="N105" s="1366">
        <f t="shared" si="192"/>
        <v>3253.1400000000003</v>
      </c>
      <c r="O105" s="1366">
        <f t="shared" si="192"/>
        <v>566.54999999999995</v>
      </c>
      <c r="P105" s="1366">
        <f t="shared" si="192"/>
        <v>-508.79</v>
      </c>
      <c r="Q105" s="1366">
        <f t="shared" si="192"/>
        <v>3310.9000000000005</v>
      </c>
      <c r="R105" s="1366"/>
      <c r="S105" s="1366">
        <f t="shared" si="192"/>
        <v>0</v>
      </c>
      <c r="T105" s="1366">
        <f t="shared" si="192"/>
        <v>0</v>
      </c>
      <c r="U105" s="1366">
        <f t="shared" si="192"/>
        <v>0</v>
      </c>
      <c r="V105" s="1366">
        <f t="shared" si="192"/>
        <v>0</v>
      </c>
      <c r="W105" s="1366"/>
      <c r="X105" s="1366">
        <f t="shared" si="192"/>
        <v>3253.1400000000003</v>
      </c>
      <c r="Y105" s="1366">
        <f t="shared" si="192"/>
        <v>566.54999999999995</v>
      </c>
      <c r="Z105" s="1366">
        <f t="shared" si="192"/>
        <v>-508.79</v>
      </c>
      <c r="AA105" s="1366">
        <f t="shared" si="192"/>
        <v>3310.9000000000005</v>
      </c>
      <c r="AB105" s="1366">
        <f t="shared" si="192"/>
        <v>2476.0235420150461</v>
      </c>
      <c r="AC105" s="1366">
        <f t="shared" si="192"/>
        <v>126.14395795362707</v>
      </c>
      <c r="AD105" s="1366">
        <f t="shared" si="192"/>
        <v>27.909729491130946</v>
      </c>
      <c r="AE105" s="1366">
        <f t="shared" si="192"/>
        <v>623.06277054019552</v>
      </c>
      <c r="AF105" s="1366">
        <f t="shared" si="192"/>
        <v>566.54999999999995</v>
      </c>
      <c r="AG105" s="1366">
        <f t="shared" si="192"/>
        <v>-508.79</v>
      </c>
      <c r="AH105" s="1366">
        <f t="shared" si="192"/>
        <v>0</v>
      </c>
      <c r="AI105" s="1366">
        <f t="shared" si="192"/>
        <v>0</v>
      </c>
    </row>
    <row r="106" spans="1:35">
      <c r="A106" s="1331"/>
      <c r="B106" s="1336"/>
      <c r="C106" s="1354"/>
      <c r="D106" s="1333"/>
      <c r="E106" s="1342"/>
      <c r="F106" s="1342"/>
      <c r="G106" s="1336"/>
      <c r="H106" s="1341"/>
      <c r="I106" s="1341"/>
      <c r="J106" s="1341"/>
      <c r="K106" s="1341"/>
      <c r="L106" s="1341"/>
      <c r="M106" s="1336"/>
      <c r="N106" s="1342"/>
      <c r="O106" s="1336"/>
      <c r="P106" s="1336"/>
      <c r="Q106" s="1343"/>
      <c r="R106" s="1343"/>
      <c r="S106" s="1343"/>
      <c r="T106" s="1343"/>
      <c r="U106" s="1343"/>
      <c r="V106" s="1364"/>
      <c r="W106" s="1364"/>
      <c r="X106" s="1364"/>
      <c r="Y106" s="1364"/>
      <c r="Z106" s="1364"/>
      <c r="AA106" s="1364"/>
      <c r="AB106" s="1341"/>
      <c r="AC106" s="1341"/>
      <c r="AD106" s="1341"/>
      <c r="AE106" s="1341"/>
      <c r="AF106" s="1341"/>
      <c r="AG106" s="1341"/>
      <c r="AH106" s="1336"/>
      <c r="AI106" s="1363">
        <f t="shared" ref="AI106:AI111" si="193">SUM(AB106:AG106)-AA106</f>
        <v>0</v>
      </c>
    </row>
    <row r="107" spans="1:35">
      <c r="A107" s="1331"/>
      <c r="B107" s="1336"/>
      <c r="C107" s="1354"/>
      <c r="D107" s="1333"/>
      <c r="E107" s="1342"/>
      <c r="F107" s="1342"/>
      <c r="G107" s="1336"/>
      <c r="H107" s="1341"/>
      <c r="I107" s="1341"/>
      <c r="J107" s="1341"/>
      <c r="K107" s="1341"/>
      <c r="L107" s="1341"/>
      <c r="M107" s="1336"/>
      <c r="N107" s="1342"/>
      <c r="O107" s="1336"/>
      <c r="P107" s="1336"/>
      <c r="Q107" s="1343"/>
      <c r="R107" s="1343"/>
      <c r="S107" s="1343"/>
      <c r="T107" s="1343"/>
      <c r="U107" s="1343"/>
      <c r="V107" s="1364"/>
      <c r="W107" s="1364"/>
      <c r="X107" s="1364"/>
      <c r="Y107" s="1364"/>
      <c r="Z107" s="1364"/>
      <c r="AA107" s="1364"/>
      <c r="AB107" s="1341"/>
      <c r="AC107" s="1341"/>
      <c r="AD107" s="1341"/>
      <c r="AE107" s="1341"/>
      <c r="AF107" s="1341"/>
      <c r="AG107" s="1341"/>
      <c r="AH107" s="1336"/>
      <c r="AI107" s="1363"/>
    </row>
    <row r="108" spans="1:35">
      <c r="A108" s="1683">
        <v>52142</v>
      </c>
      <c r="B108" s="1336" t="s">
        <v>51</v>
      </c>
      <c r="C108" s="1341">
        <f>+IFERROR(VLOOKUP(A108,'2183 IS 2018'!$D:$AH,31,FALSE),0)</f>
        <v>1292332.29</v>
      </c>
      <c r="D108" s="1354">
        <f>+IFERROR(VLOOKUP(A108,'2184 IS 2018'!$D:$AH,31,FALSE),0)</f>
        <v>106178.02</v>
      </c>
      <c r="E108" s="1354">
        <f>+IFERROR(VLOOKUP(A108,'2185 IS 2018'!$D:$AH,31,FALSE),0)</f>
        <v>203922.9</v>
      </c>
      <c r="F108" s="1342">
        <f t="shared" ref="F108:F111" si="194">SUM(C108:E108)</f>
        <v>1602433.21</v>
      </c>
      <c r="G108" s="1343"/>
      <c r="H108" s="1341"/>
      <c r="I108" s="1341"/>
      <c r="J108" s="1341"/>
      <c r="K108" s="1341"/>
      <c r="L108" s="1362">
        <f t="shared" ref="L108:L111" si="195">F108+H108+I108+J108</f>
        <v>1602433.21</v>
      </c>
      <c r="M108" s="1337"/>
      <c r="N108" s="1359">
        <f t="shared" ref="N108:N111" si="196">C108+H108</f>
        <v>1292332.29</v>
      </c>
      <c r="O108" s="1359">
        <f t="shared" ref="O108:O111" si="197">D108+I108</f>
        <v>106178.02</v>
      </c>
      <c r="P108" s="1359">
        <f t="shared" ref="P108:P111" si="198">E108+J108</f>
        <v>203922.9</v>
      </c>
      <c r="Q108" s="1359">
        <f t="shared" ref="Q108:Q111" si="199">SUM(N108:P108)</f>
        <v>1602433.21</v>
      </c>
      <c r="R108" s="1359"/>
      <c r="S108" s="1359"/>
      <c r="T108" s="1359"/>
      <c r="U108" s="1359"/>
      <c r="V108" s="1681">
        <f t="shared" ref="V108:V111" si="200">+SUM(S108:U108)</f>
        <v>0</v>
      </c>
      <c r="W108" s="1333"/>
      <c r="X108" s="1681">
        <f t="shared" ref="X108:X111" si="201">+S108+N108</f>
        <v>1292332.29</v>
      </c>
      <c r="Y108" s="1681">
        <f t="shared" ref="Y108:Y111" si="202">+T108+O108</f>
        <v>106178.02</v>
      </c>
      <c r="Z108" s="1681">
        <f t="shared" ref="Z108:Z111" si="203">+U108+P108</f>
        <v>203922.9</v>
      </c>
      <c r="AA108" s="1681">
        <f t="shared" ref="AA108:AA111" si="204">+SUM(X108:Z108)</f>
        <v>1602433.21</v>
      </c>
      <c r="AB108" s="1362">
        <f>$X108*'2183-2184-2185 Ratios'!C$60</f>
        <v>983617.42013753357</v>
      </c>
      <c r="AC108" s="1362">
        <f>$X108*'2183-2184-2185 Ratios'!D$60</f>
        <v>50111.556850266068</v>
      </c>
      <c r="AD108" s="1362">
        <f>$X108*'2183-2184-2185 Ratios'!E$60</f>
        <v>11087.332431605708</v>
      </c>
      <c r="AE108" s="1362">
        <f>$X108*'2183-2184-2185 Ratios'!F$60</f>
        <v>247515.98058059457</v>
      </c>
      <c r="AF108" s="1341">
        <f t="shared" ref="AF108:AG110" si="205">+Y108</f>
        <v>106178.02</v>
      </c>
      <c r="AG108" s="1341">
        <f t="shared" si="205"/>
        <v>203922.9</v>
      </c>
      <c r="AH108" s="1336" t="s">
        <v>350</v>
      </c>
      <c r="AI108" s="1363">
        <f t="shared" si="193"/>
        <v>0</v>
      </c>
    </row>
    <row r="109" spans="1:35">
      <c r="A109" s="1683">
        <v>52144</v>
      </c>
      <c r="B109" s="1336" t="s">
        <v>52</v>
      </c>
      <c r="C109" s="1341">
        <f>+IFERROR(VLOOKUP(A109,'2183 IS 2018'!$D:$AH,31,FALSE),0)</f>
        <v>17268.690000000002</v>
      </c>
      <c r="D109" s="1354">
        <f>+IFERROR(VLOOKUP(A109,'2184 IS 2018'!$D:$AH,31,FALSE),0)</f>
        <v>508.36</v>
      </c>
      <c r="E109" s="1354">
        <f>+IFERROR(VLOOKUP(A109,'2185 IS 2018'!$D:$AH,31,FALSE),0)</f>
        <v>0</v>
      </c>
      <c r="F109" s="1342">
        <f t="shared" si="194"/>
        <v>17777.050000000003</v>
      </c>
      <c r="G109" s="1343"/>
      <c r="H109" s="1341"/>
      <c r="I109" s="1341"/>
      <c r="J109" s="1341"/>
      <c r="K109" s="1341"/>
      <c r="L109" s="1362">
        <f t="shared" si="195"/>
        <v>17777.050000000003</v>
      </c>
      <c r="M109" s="1337"/>
      <c r="N109" s="1359">
        <f t="shared" si="196"/>
        <v>17268.690000000002</v>
      </c>
      <c r="O109" s="1359">
        <f t="shared" si="197"/>
        <v>508.36</v>
      </c>
      <c r="P109" s="1359">
        <f t="shared" si="198"/>
        <v>0</v>
      </c>
      <c r="Q109" s="1359">
        <f t="shared" si="199"/>
        <v>17777.050000000003</v>
      </c>
      <c r="R109" s="1359"/>
      <c r="S109" s="1359"/>
      <c r="T109" s="1359"/>
      <c r="U109" s="1359"/>
      <c r="V109" s="1681">
        <f t="shared" si="200"/>
        <v>0</v>
      </c>
      <c r="W109" s="1333"/>
      <c r="X109" s="1681">
        <f t="shared" si="201"/>
        <v>17268.690000000002</v>
      </c>
      <c r="Y109" s="1681">
        <f t="shared" si="202"/>
        <v>508.36</v>
      </c>
      <c r="Z109" s="1681">
        <f t="shared" si="203"/>
        <v>0</v>
      </c>
      <c r="AA109" s="1681">
        <f t="shared" si="204"/>
        <v>17777.050000000003</v>
      </c>
      <c r="AB109" s="1362">
        <f>$X109*'2183-2184-2185 Ratios'!C$60</f>
        <v>13143.511493437052</v>
      </c>
      <c r="AC109" s="1362">
        <f>$X109*'2183-2184-2185 Ratios'!D$60</f>
        <v>669.61179207603118</v>
      </c>
      <c r="AD109" s="1362">
        <f>$X109*'2183-2184-2185 Ratios'!E$60</f>
        <v>148.15361975389874</v>
      </c>
      <c r="AE109" s="1362">
        <f>$X109*'2183-2184-2185 Ratios'!F$60</f>
        <v>3307.4130947330182</v>
      </c>
      <c r="AF109" s="1341">
        <f t="shared" si="205"/>
        <v>508.36</v>
      </c>
      <c r="AG109" s="1341">
        <f t="shared" si="205"/>
        <v>0</v>
      </c>
      <c r="AH109" s="1336" t="s">
        <v>350</v>
      </c>
      <c r="AI109" s="1363">
        <f t="shared" si="193"/>
        <v>0</v>
      </c>
    </row>
    <row r="110" spans="1:35">
      <c r="A110" s="1683">
        <v>52146</v>
      </c>
      <c r="B110" s="1336" t="s">
        <v>53</v>
      </c>
      <c r="C110" s="1341">
        <f>+IFERROR(VLOOKUP(A110,'2183 IS 2018'!$D:$AH,31,FALSE),0)</f>
        <v>89876.01</v>
      </c>
      <c r="D110" s="1354">
        <f>+IFERROR(VLOOKUP(A110,'2184 IS 2018'!$D:$AH,31,FALSE),0)</f>
        <v>7304.32</v>
      </c>
      <c r="E110" s="1354">
        <f>+IFERROR(VLOOKUP(A110,'2185 IS 2018'!$D:$AH,31,FALSE),0)</f>
        <v>0</v>
      </c>
      <c r="F110" s="1342">
        <f t="shared" si="194"/>
        <v>97180.329999999987</v>
      </c>
      <c r="G110" s="1343"/>
      <c r="H110" s="1341"/>
      <c r="I110" s="1341"/>
      <c r="J110" s="1341"/>
      <c r="K110" s="1341"/>
      <c r="L110" s="1362">
        <f t="shared" si="195"/>
        <v>97180.329999999987</v>
      </c>
      <c r="M110" s="1337"/>
      <c r="N110" s="1359">
        <f t="shared" si="196"/>
        <v>89876.01</v>
      </c>
      <c r="O110" s="1359">
        <f t="shared" si="197"/>
        <v>7304.32</v>
      </c>
      <c r="P110" s="1359">
        <f t="shared" si="198"/>
        <v>0</v>
      </c>
      <c r="Q110" s="1359">
        <f t="shared" si="199"/>
        <v>97180.329999999987</v>
      </c>
      <c r="R110" s="1359"/>
      <c r="S110" s="1359"/>
      <c r="T110" s="1359"/>
      <c r="U110" s="1359"/>
      <c r="V110" s="1681">
        <f t="shared" si="200"/>
        <v>0</v>
      </c>
      <c r="W110" s="1333"/>
      <c r="X110" s="1681">
        <f t="shared" si="201"/>
        <v>89876.01</v>
      </c>
      <c r="Y110" s="1681">
        <f t="shared" si="202"/>
        <v>7304.32</v>
      </c>
      <c r="Z110" s="1681">
        <f t="shared" si="203"/>
        <v>0</v>
      </c>
      <c r="AA110" s="1681">
        <f t="shared" si="204"/>
        <v>97180.329999999987</v>
      </c>
      <c r="AB110" s="1362">
        <f>$X110*'2183-2184-2185 Ratios'!C$58</f>
        <v>56140.384345070561</v>
      </c>
      <c r="AC110" s="1362">
        <f>$X110*'2183-2184-2185 Ratios'!D$58</f>
        <v>2860.1385092492828</v>
      </c>
      <c r="AD110" s="1362">
        <f>$X110*'2183-2184-2185 Ratios'!E$58</f>
        <v>632.81423379516502</v>
      </c>
      <c r="AE110" s="1362">
        <f>$X110*'2183-2184-2185 Ratios'!F$58</f>
        <v>14127.080302622793</v>
      </c>
      <c r="AF110" s="1341">
        <f t="shared" si="205"/>
        <v>7304.32</v>
      </c>
      <c r="AG110" s="1362">
        <f>$X110*'2183-2184-2185 Ratios'!H$58</f>
        <v>16115.592609262187</v>
      </c>
      <c r="AH110" s="1336" t="s">
        <v>901</v>
      </c>
      <c r="AI110" s="1363">
        <f t="shared" si="193"/>
        <v>0</v>
      </c>
    </row>
    <row r="111" spans="1:35">
      <c r="A111" s="1683">
        <v>56142</v>
      </c>
      <c r="B111" s="1336" t="s">
        <v>51</v>
      </c>
      <c r="C111" s="1341">
        <f>+IFERROR(VLOOKUP(A111,'2183 IS 2018'!$D:$AH,31,FALSE),0)</f>
        <v>58.02</v>
      </c>
      <c r="D111" s="1354">
        <f>+IFERROR(VLOOKUP(A111,'2184 IS 2018'!$D:$AH,31,FALSE),0)</f>
        <v>0</v>
      </c>
      <c r="E111" s="1354">
        <f>+IFERROR(VLOOKUP(A111,'2185 IS 2018'!$D:$AH,31,FALSE),0)</f>
        <v>0</v>
      </c>
      <c r="F111" s="1342">
        <f t="shared" si="194"/>
        <v>58.02</v>
      </c>
      <c r="G111" s="1343"/>
      <c r="H111" s="1341"/>
      <c r="I111" s="1341"/>
      <c r="J111" s="1341"/>
      <c r="K111" s="1341"/>
      <c r="L111" s="1362">
        <f t="shared" si="195"/>
        <v>58.02</v>
      </c>
      <c r="M111" s="1337"/>
      <c r="N111" s="1359">
        <f t="shared" si="196"/>
        <v>58.02</v>
      </c>
      <c r="O111" s="1359">
        <f t="shared" si="197"/>
        <v>0</v>
      </c>
      <c r="P111" s="1359">
        <f t="shared" si="198"/>
        <v>0</v>
      </c>
      <c r="Q111" s="1359">
        <f t="shared" si="199"/>
        <v>58.02</v>
      </c>
      <c r="R111" s="1359"/>
      <c r="S111" s="1359"/>
      <c r="T111" s="1359"/>
      <c r="U111" s="1359"/>
      <c r="V111" s="1681">
        <f t="shared" si="200"/>
        <v>0</v>
      </c>
      <c r="W111" s="1333"/>
      <c r="X111" s="1681">
        <f t="shared" si="201"/>
        <v>58.02</v>
      </c>
      <c r="Y111" s="1681">
        <f t="shared" si="202"/>
        <v>0</v>
      </c>
      <c r="Z111" s="1681">
        <f t="shared" si="203"/>
        <v>0</v>
      </c>
      <c r="AA111" s="1681">
        <f t="shared" si="204"/>
        <v>58.02</v>
      </c>
      <c r="AB111" s="1362">
        <f>$X111*'2183-2184-2185 Ratios'!C$60</f>
        <v>44.160068705224177</v>
      </c>
      <c r="AC111" s="1362">
        <f>$X111*'2183-2184-2185 Ratios'!D$60</f>
        <v>2.2497871104438918</v>
      </c>
      <c r="AD111" s="1362">
        <f>$X111*'2183-2184-2185 Ratios'!E$60</f>
        <v>0.49777215400364494</v>
      </c>
      <c r="AE111" s="1362">
        <f>$X111*'2183-2184-2185 Ratios'!F$60</f>
        <v>11.112372030328281</v>
      </c>
      <c r="AF111" s="1341">
        <f>+Y111</f>
        <v>0</v>
      </c>
      <c r="AG111" s="1341">
        <f>+Z111</f>
        <v>0</v>
      </c>
      <c r="AH111" s="1336" t="s">
        <v>350</v>
      </c>
      <c r="AI111" s="1363">
        <f t="shared" si="193"/>
        <v>0</v>
      </c>
    </row>
    <row r="112" spans="1:35">
      <c r="A112" s="1683"/>
      <c r="B112" s="1336"/>
      <c r="C112" s="1354"/>
      <c r="D112" s="1354"/>
      <c r="E112" s="1354"/>
      <c r="F112" s="1342"/>
      <c r="G112" s="1343"/>
      <c r="H112" s="1341"/>
      <c r="I112" s="1341"/>
      <c r="J112" s="1341"/>
      <c r="K112" s="1341"/>
      <c r="L112" s="1362"/>
      <c r="M112" s="1336"/>
      <c r="N112" s="1359"/>
      <c r="O112" s="1359"/>
      <c r="P112" s="1359"/>
      <c r="Q112" s="1359"/>
      <c r="R112" s="1359"/>
      <c r="S112" s="1359"/>
      <c r="T112" s="1359"/>
      <c r="U112" s="1359"/>
      <c r="V112" s="1364"/>
      <c r="W112" s="1364"/>
      <c r="X112" s="1364"/>
      <c r="Y112" s="1364"/>
      <c r="Z112" s="1364"/>
      <c r="AA112" s="1364"/>
      <c r="AB112" s="1341"/>
      <c r="AC112" s="1341"/>
      <c r="AD112" s="1341"/>
      <c r="AE112" s="1341"/>
      <c r="AF112" s="1341"/>
      <c r="AG112" s="1341"/>
      <c r="AH112" s="1336"/>
      <c r="AI112" s="1363"/>
    </row>
    <row r="113" spans="1:35">
      <c r="A113" s="1372">
        <v>42400</v>
      </c>
      <c r="B113" s="1332" t="s">
        <v>54</v>
      </c>
      <c r="C113" s="1366">
        <f t="shared" ref="C113:J113" si="206">SUM(C108:C112)</f>
        <v>1399535.01</v>
      </c>
      <c r="D113" s="1366">
        <f t="shared" si="206"/>
        <v>113990.70000000001</v>
      </c>
      <c r="E113" s="1366">
        <f t="shared" si="206"/>
        <v>203922.9</v>
      </c>
      <c r="F113" s="1366">
        <f t="shared" si="206"/>
        <v>1717448.61</v>
      </c>
      <c r="G113" s="1366">
        <f t="shared" si="206"/>
        <v>0</v>
      </c>
      <c r="H113" s="1366">
        <f t="shared" si="206"/>
        <v>0</v>
      </c>
      <c r="I113" s="1366">
        <f t="shared" si="206"/>
        <v>0</v>
      </c>
      <c r="J113" s="1366">
        <f t="shared" si="206"/>
        <v>0</v>
      </c>
      <c r="K113" s="1367"/>
      <c r="L113" s="1366">
        <f>SUM(L108:L112)</f>
        <v>1717448.61</v>
      </c>
      <c r="M113" s="1366"/>
      <c r="N113" s="1366">
        <f>SUM(N108:N112)</f>
        <v>1399535.01</v>
      </c>
      <c r="O113" s="1366">
        <f>SUM(O108:O112)</f>
        <v>113990.70000000001</v>
      </c>
      <c r="P113" s="1366">
        <f>SUM(P108:P112)</f>
        <v>203922.9</v>
      </c>
      <c r="Q113" s="1366">
        <f>SUM(Q108:Q112)</f>
        <v>1717448.61</v>
      </c>
      <c r="R113" s="1366"/>
      <c r="S113" s="1366">
        <f>SUM(S108:S112)</f>
        <v>0</v>
      </c>
      <c r="T113" s="1366">
        <f>SUM(T108:T112)</f>
        <v>0</v>
      </c>
      <c r="U113" s="1366">
        <f>SUM(U108:U112)</f>
        <v>0</v>
      </c>
      <c r="V113" s="1366">
        <f>SUM(V108:V112)</f>
        <v>0</v>
      </c>
      <c r="W113" s="1366"/>
      <c r="X113" s="1366">
        <f t="shared" ref="X113:AI113" si="207">SUM(X108:X112)</f>
        <v>1399535.01</v>
      </c>
      <c r="Y113" s="1366">
        <f t="shared" si="207"/>
        <v>113990.70000000001</v>
      </c>
      <c r="Z113" s="1366">
        <f t="shared" si="207"/>
        <v>203922.9</v>
      </c>
      <c r="AA113" s="1366">
        <f t="shared" si="207"/>
        <v>1717448.61</v>
      </c>
      <c r="AB113" s="1366">
        <f t="shared" si="207"/>
        <v>1052945.4760447463</v>
      </c>
      <c r="AC113" s="1366">
        <f t="shared" si="207"/>
        <v>53643.556938701826</v>
      </c>
      <c r="AD113" s="1366">
        <f t="shared" si="207"/>
        <v>11868.798057308775</v>
      </c>
      <c r="AE113" s="1366">
        <f t="shared" si="207"/>
        <v>264961.58634998073</v>
      </c>
      <c r="AF113" s="1366">
        <f t="shared" si="207"/>
        <v>113990.70000000001</v>
      </c>
      <c r="AG113" s="1366">
        <f t="shared" si="207"/>
        <v>220038.49260926218</v>
      </c>
      <c r="AH113" s="1366">
        <f t="shared" si="207"/>
        <v>0</v>
      </c>
      <c r="AI113" s="1366">
        <f t="shared" si="207"/>
        <v>0</v>
      </c>
    </row>
    <row r="114" spans="1:35">
      <c r="A114" s="1331"/>
      <c r="B114" s="1336"/>
      <c r="C114" s="1354"/>
      <c r="D114" s="1333"/>
      <c r="E114" s="1342"/>
      <c r="F114" s="1342"/>
      <c r="G114" s="1336"/>
      <c r="H114" s="1341"/>
      <c r="I114" s="1341"/>
      <c r="J114" s="1341"/>
      <c r="K114" s="1341"/>
      <c r="L114" s="1341"/>
      <c r="M114" s="1336"/>
      <c r="N114" s="1342"/>
      <c r="O114" s="1336"/>
      <c r="P114" s="1336"/>
      <c r="Q114" s="1343"/>
      <c r="R114" s="1343"/>
      <c r="S114" s="1343"/>
      <c r="T114" s="1343"/>
      <c r="U114" s="1343"/>
      <c r="V114" s="1364"/>
      <c r="W114" s="1364"/>
      <c r="X114" s="1364"/>
      <c r="Y114" s="1364"/>
      <c r="Z114" s="1364"/>
      <c r="AA114" s="1364"/>
      <c r="AB114" s="1341"/>
      <c r="AC114" s="1341"/>
      <c r="AD114" s="1341"/>
      <c r="AE114" s="1341"/>
      <c r="AF114" s="1341"/>
      <c r="AG114" s="1341"/>
      <c r="AH114" s="1336"/>
      <c r="AI114" s="1363">
        <f t="shared" ref="AI114:AI127" si="208">SUM(AB114:AG114)-AA114</f>
        <v>0</v>
      </c>
    </row>
    <row r="115" spans="1:35">
      <c r="A115" s="1331"/>
      <c r="B115" s="1336"/>
      <c r="C115" s="1354"/>
      <c r="D115" s="1333"/>
      <c r="E115" s="1342"/>
      <c r="F115" s="1342"/>
      <c r="G115" s="1336"/>
      <c r="H115" s="1341"/>
      <c r="I115" s="1341"/>
      <c r="J115" s="1341"/>
      <c r="K115" s="1341"/>
      <c r="L115" s="1341"/>
      <c r="M115" s="1336"/>
      <c r="N115" s="1342"/>
      <c r="O115" s="1336"/>
      <c r="P115" s="1336"/>
      <c r="Q115" s="1343"/>
      <c r="R115" s="1343"/>
      <c r="S115" s="1343"/>
      <c r="T115" s="1343"/>
      <c r="U115" s="1343"/>
      <c r="V115" s="1364"/>
      <c r="W115" s="1364"/>
      <c r="X115" s="1364"/>
      <c r="Y115" s="1364"/>
      <c r="Z115" s="1364"/>
      <c r="AA115" s="1364"/>
      <c r="AB115" s="1341"/>
      <c r="AC115" s="1341"/>
      <c r="AD115" s="1341"/>
      <c r="AE115" s="1341"/>
      <c r="AF115" s="1341"/>
      <c r="AG115" s="1341"/>
      <c r="AH115" s="1336"/>
      <c r="AI115" s="1363"/>
    </row>
    <row r="116" spans="1:35">
      <c r="A116" s="1331">
        <v>41121</v>
      </c>
      <c r="B116" s="1336" t="s">
        <v>55</v>
      </c>
      <c r="C116" s="1341">
        <f>+IFERROR(VLOOKUP(A116,'2183 IS 2018'!$D:$AH,31,FALSE),0)</f>
        <v>0</v>
      </c>
      <c r="D116" s="1354">
        <f>+IFERROR(VLOOKUP(A116,'2184 IS 2018'!$D:$AH,31,FALSE),0)</f>
        <v>147602.5</v>
      </c>
      <c r="E116" s="1354">
        <f>+IFERROR(VLOOKUP(A116,'2185 IS 2018'!$D:$AH,31,FALSE),0)</f>
        <v>0</v>
      </c>
      <c r="F116" s="1342">
        <f t="shared" ref="F116:F127" si="209">SUM(C116:E116)</f>
        <v>147602.5</v>
      </c>
      <c r="G116" s="1343"/>
      <c r="H116" s="1341"/>
      <c r="I116" s="1341"/>
      <c r="J116" s="1341"/>
      <c r="K116" s="1341"/>
      <c r="L116" s="1362">
        <f t="shared" ref="L116:L127" si="210">F116+H116+I116+J116</f>
        <v>147602.5</v>
      </c>
      <c r="M116" s="1337"/>
      <c r="N116" s="1359">
        <f t="shared" ref="N116:N127" si="211">C116+H116</f>
        <v>0</v>
      </c>
      <c r="O116" s="1359">
        <f t="shared" ref="O116:O127" si="212">D116+I116</f>
        <v>147602.5</v>
      </c>
      <c r="P116" s="1359">
        <f t="shared" ref="P116:P127" si="213">E116+J116</f>
        <v>0</v>
      </c>
      <c r="Q116" s="1359">
        <f t="shared" ref="Q116:Q127" si="214">SUM(N116:P116)</f>
        <v>147602.5</v>
      </c>
      <c r="R116" s="1359"/>
      <c r="S116" s="1359"/>
      <c r="T116" s="1359"/>
      <c r="U116" s="1359"/>
      <c r="V116" s="1681">
        <f t="shared" ref="V116:V127" si="215">+SUM(S116:U116)</f>
        <v>0</v>
      </c>
      <c r="W116" s="1333"/>
      <c r="X116" s="1681">
        <f t="shared" ref="X116:X127" si="216">+S116+N116</f>
        <v>0</v>
      </c>
      <c r="Y116" s="1681">
        <f t="shared" ref="Y116:Y127" si="217">+T116+O116</f>
        <v>147602.5</v>
      </c>
      <c r="Z116" s="1681">
        <f t="shared" ref="Z116:Z127" si="218">+U116+P116</f>
        <v>0</v>
      </c>
      <c r="AA116" s="1681">
        <f t="shared" ref="AA116:AA127" si="219">+SUM(X116:Z116)</f>
        <v>147602.5</v>
      </c>
      <c r="AB116" s="1341">
        <v>0</v>
      </c>
      <c r="AC116" s="1341">
        <v>0</v>
      </c>
      <c r="AD116" s="1341">
        <v>0</v>
      </c>
      <c r="AE116" s="1341">
        <f>+X116</f>
        <v>0</v>
      </c>
      <c r="AF116" s="1341">
        <f t="shared" ref="AF116:AG117" si="220">+Y116</f>
        <v>147602.5</v>
      </c>
      <c r="AG116" s="1341">
        <f t="shared" si="220"/>
        <v>0</v>
      </c>
      <c r="AH116" s="1336" t="s">
        <v>348</v>
      </c>
      <c r="AI116" s="1363">
        <f t="shared" si="208"/>
        <v>0</v>
      </c>
    </row>
    <row r="117" spans="1:35">
      <c r="A117" s="1331">
        <v>41129</v>
      </c>
      <c r="B117" s="1336" t="s">
        <v>56</v>
      </c>
      <c r="C117" s="1341">
        <f>+IFERROR(VLOOKUP(A117,'2183 IS 2018'!$D:$AH,31,FALSE),0)</f>
        <v>0</v>
      </c>
      <c r="D117" s="1354">
        <f>+IFERROR(VLOOKUP(A117,'2184 IS 2018'!$D:$AH,31,FALSE),0)</f>
        <v>180375</v>
      </c>
      <c r="E117" s="1354">
        <f>+IFERROR(VLOOKUP(A117,'2185 IS 2018'!$D:$AH,31,FALSE),0)</f>
        <v>0</v>
      </c>
      <c r="F117" s="1342">
        <f t="shared" si="209"/>
        <v>180375</v>
      </c>
      <c r="G117" s="1343"/>
      <c r="H117" s="1341"/>
      <c r="I117" s="1341"/>
      <c r="J117" s="1341"/>
      <c r="K117" s="1341"/>
      <c r="L117" s="1362">
        <f t="shared" si="210"/>
        <v>180375</v>
      </c>
      <c r="M117" s="1337"/>
      <c r="N117" s="1359">
        <f t="shared" si="211"/>
        <v>0</v>
      </c>
      <c r="O117" s="1359">
        <f t="shared" si="212"/>
        <v>180375</v>
      </c>
      <c r="P117" s="1359">
        <f t="shared" si="213"/>
        <v>0</v>
      </c>
      <c r="Q117" s="1359">
        <f t="shared" si="214"/>
        <v>180375</v>
      </c>
      <c r="R117" s="1359"/>
      <c r="S117" s="1359"/>
      <c r="T117" s="1359"/>
      <c r="U117" s="1359"/>
      <c r="V117" s="1681">
        <f t="shared" si="215"/>
        <v>0</v>
      </c>
      <c r="W117" s="1333"/>
      <c r="X117" s="1681">
        <f t="shared" si="216"/>
        <v>0</v>
      </c>
      <c r="Y117" s="1681">
        <f t="shared" si="217"/>
        <v>180375</v>
      </c>
      <c r="Z117" s="1681">
        <f t="shared" si="218"/>
        <v>0</v>
      </c>
      <c r="AA117" s="1681">
        <f t="shared" si="219"/>
        <v>180375</v>
      </c>
      <c r="AB117" s="1341">
        <v>0</v>
      </c>
      <c r="AC117" s="1341">
        <v>0</v>
      </c>
      <c r="AD117" s="1341">
        <v>0</v>
      </c>
      <c r="AE117" s="1341">
        <f t="shared" ref="AE117" si="221">+X117</f>
        <v>0</v>
      </c>
      <c r="AF117" s="1341">
        <f t="shared" si="220"/>
        <v>180375</v>
      </c>
      <c r="AG117" s="1341">
        <f t="shared" si="220"/>
        <v>0</v>
      </c>
      <c r="AH117" s="1336" t="s">
        <v>348</v>
      </c>
      <c r="AI117" s="1363">
        <f t="shared" si="208"/>
        <v>0</v>
      </c>
    </row>
    <row r="118" spans="1:35">
      <c r="A118" s="1331">
        <v>44168</v>
      </c>
      <c r="B118" s="1336" t="s">
        <v>57</v>
      </c>
      <c r="C118" s="1341">
        <f>+IFERROR(VLOOKUP(A118,'2183 IS 2018'!$D:$AH,31,FALSE),0)</f>
        <v>394086.77999999997</v>
      </c>
      <c r="D118" s="1354">
        <f>+IFERROR(VLOOKUP(A118,'2184 IS 2018'!$D:$AH,31,FALSE),0)</f>
        <v>-71405.339999999982</v>
      </c>
      <c r="E118" s="1354">
        <f>+IFERROR(VLOOKUP(A118,'2185 IS 2018'!$D:$AH,31,FALSE),0)</f>
        <v>0</v>
      </c>
      <c r="F118" s="1342">
        <f t="shared" si="209"/>
        <v>322681.44</v>
      </c>
      <c r="G118" s="1343"/>
      <c r="H118" s="1341"/>
      <c r="I118" s="1341"/>
      <c r="J118" s="1341"/>
      <c r="K118" s="1341"/>
      <c r="L118" s="1362">
        <f t="shared" si="210"/>
        <v>322681.44</v>
      </c>
      <c r="M118" s="1337"/>
      <c r="N118" s="1359">
        <f t="shared" si="211"/>
        <v>394086.77999999997</v>
      </c>
      <c r="O118" s="1359">
        <f t="shared" si="212"/>
        <v>-71405.339999999982</v>
      </c>
      <c r="P118" s="1359">
        <f t="shared" si="213"/>
        <v>0</v>
      </c>
      <c r="Q118" s="1359">
        <f t="shared" si="214"/>
        <v>322681.44</v>
      </c>
      <c r="R118" s="1359"/>
      <c r="S118" s="1359"/>
      <c r="T118" s="1359"/>
      <c r="U118" s="1359"/>
      <c r="V118" s="1681">
        <f t="shared" si="215"/>
        <v>0</v>
      </c>
      <c r="W118" s="1333"/>
      <c r="X118" s="1681">
        <f t="shared" si="216"/>
        <v>394086.77999999997</v>
      </c>
      <c r="Y118" s="1681">
        <f t="shared" si="217"/>
        <v>-71405.339999999982</v>
      </c>
      <c r="Z118" s="1681">
        <f t="shared" si="218"/>
        <v>0</v>
      </c>
      <c r="AA118" s="1681">
        <f t="shared" si="219"/>
        <v>322681.44</v>
      </c>
      <c r="AB118" s="1341">
        <v>0</v>
      </c>
      <c r="AC118" s="1341">
        <v>0</v>
      </c>
      <c r="AD118" s="1341">
        <v>0</v>
      </c>
      <c r="AE118" s="1341">
        <f>+X118</f>
        <v>394086.77999999997</v>
      </c>
      <c r="AF118" s="1341">
        <f>+Y118</f>
        <v>-71405.339999999982</v>
      </c>
      <c r="AG118" s="1341">
        <f>+Z118</f>
        <v>0</v>
      </c>
      <c r="AH118" s="1336" t="s">
        <v>348</v>
      </c>
      <c r="AI118" s="1363">
        <f t="shared" si="208"/>
        <v>0</v>
      </c>
    </row>
    <row r="119" spans="1:35">
      <c r="A119" s="1331">
        <v>44169</v>
      </c>
      <c r="B119" s="1336" t="s">
        <v>58</v>
      </c>
      <c r="C119" s="1341">
        <f>+IFERROR(VLOOKUP(A119,'2183 IS 2018'!$D:$AH,31,FALSE),0)</f>
        <v>2050.7999999999997</v>
      </c>
      <c r="D119" s="1354">
        <f>+IFERROR(VLOOKUP(A119,'2184 IS 2018'!$D:$AH,31,FALSE),0)</f>
        <v>-19939.789999999997</v>
      </c>
      <c r="E119" s="1354">
        <f>+IFERROR(VLOOKUP(A119,'2185 IS 2018'!$D:$AH,31,FALSE),0)</f>
        <v>0</v>
      </c>
      <c r="F119" s="1342">
        <f t="shared" si="209"/>
        <v>-17888.989999999998</v>
      </c>
      <c r="G119" s="1343"/>
      <c r="H119" s="1341">
        <f>-C119</f>
        <v>-2050.7999999999997</v>
      </c>
      <c r="I119" s="1341"/>
      <c r="J119" s="1341">
        <f>-H119</f>
        <v>2050.7999999999997</v>
      </c>
      <c r="K119" s="1341"/>
      <c r="L119" s="1362">
        <f t="shared" si="210"/>
        <v>-17888.989999999998</v>
      </c>
      <c r="M119" s="1337"/>
      <c r="N119" s="1359">
        <f t="shared" si="211"/>
        <v>0</v>
      </c>
      <c r="O119" s="1359">
        <f t="shared" si="212"/>
        <v>-19939.789999999997</v>
      </c>
      <c r="P119" s="1359">
        <f t="shared" si="213"/>
        <v>2050.7999999999997</v>
      </c>
      <c r="Q119" s="1359">
        <f t="shared" si="214"/>
        <v>-17888.989999999998</v>
      </c>
      <c r="R119" s="1359"/>
      <c r="S119" s="1359"/>
      <c r="T119" s="1359"/>
      <c r="U119" s="1359"/>
      <c r="V119" s="1681">
        <f t="shared" si="215"/>
        <v>0</v>
      </c>
      <c r="W119" s="1333"/>
      <c r="X119" s="1681">
        <f t="shared" si="216"/>
        <v>0</v>
      </c>
      <c r="Y119" s="1681">
        <f t="shared" si="217"/>
        <v>-19939.789999999997</v>
      </c>
      <c r="Z119" s="1681">
        <f t="shared" si="218"/>
        <v>2050.7999999999997</v>
      </c>
      <c r="AA119" s="1681">
        <f t="shared" si="219"/>
        <v>-17888.989999999998</v>
      </c>
      <c r="AB119" s="1341">
        <v>0</v>
      </c>
      <c r="AC119" s="1341">
        <v>0</v>
      </c>
      <c r="AD119" s="1341">
        <v>0</v>
      </c>
      <c r="AE119" s="1341">
        <f>+X119</f>
        <v>0</v>
      </c>
      <c r="AF119" s="1341">
        <f t="shared" ref="AF119" si="222">+Y119</f>
        <v>-19939.789999999997</v>
      </c>
      <c r="AG119" s="1341">
        <f t="shared" ref="AG119" si="223">+Z119</f>
        <v>2050.7999999999997</v>
      </c>
      <c r="AH119" s="1336" t="s">
        <v>348</v>
      </c>
      <c r="AI119" s="1363">
        <f t="shared" si="208"/>
        <v>0</v>
      </c>
    </row>
    <row r="120" spans="1:35">
      <c r="A120" s="1683">
        <v>50086</v>
      </c>
      <c r="B120" s="1336" t="s">
        <v>38</v>
      </c>
      <c r="C120" s="1341">
        <f>+IFERROR(VLOOKUP(A120,'2183 IS 2018'!$D:$AH,31,FALSE),0)</f>
        <v>74919.5</v>
      </c>
      <c r="D120" s="1354">
        <f>+IFERROR(VLOOKUP(A120,'2184 IS 2018'!$D:$AH,31,FALSE),0)</f>
        <v>18549.57</v>
      </c>
      <c r="E120" s="1354">
        <f>+IFERROR(VLOOKUP(A120,'2185 IS 2018'!$D:$AH,31,FALSE),0)</f>
        <v>10123.709999999999</v>
      </c>
      <c r="F120" s="1342">
        <f t="shared" si="209"/>
        <v>103592.78</v>
      </c>
      <c r="G120" s="1343"/>
      <c r="H120" s="1341"/>
      <c r="I120" s="1341"/>
      <c r="J120" s="1341"/>
      <c r="K120" s="1341"/>
      <c r="L120" s="1362">
        <f t="shared" si="210"/>
        <v>103592.78</v>
      </c>
      <c r="M120" s="1337"/>
      <c r="N120" s="1359">
        <f t="shared" si="211"/>
        <v>74919.5</v>
      </c>
      <c r="O120" s="1359">
        <f t="shared" si="212"/>
        <v>18549.57</v>
      </c>
      <c r="P120" s="1359">
        <f t="shared" si="213"/>
        <v>10123.709999999999</v>
      </c>
      <c r="Q120" s="1359">
        <f t="shared" si="214"/>
        <v>103592.78</v>
      </c>
      <c r="R120" s="1359"/>
      <c r="S120" s="1359"/>
      <c r="T120" s="1359"/>
      <c r="U120" s="1359"/>
      <c r="V120" s="1681">
        <f t="shared" si="215"/>
        <v>0</v>
      </c>
      <c r="W120" s="1333"/>
      <c r="X120" s="1681">
        <f t="shared" si="216"/>
        <v>74919.5</v>
      </c>
      <c r="Y120" s="1681">
        <f t="shared" si="217"/>
        <v>18549.57</v>
      </c>
      <c r="Z120" s="1681">
        <f t="shared" si="218"/>
        <v>10123.709999999999</v>
      </c>
      <c r="AA120" s="1681">
        <f t="shared" si="219"/>
        <v>103592.78</v>
      </c>
      <c r="AB120" s="1362">
        <f>$X120*'2183-2184-2185 Ratios'!C$60</f>
        <v>57022.583029318208</v>
      </c>
      <c r="AC120" s="1362">
        <f>$X120*'2183-2184-2185 Ratios'!D$60</f>
        <v>2905.0831682333874</v>
      </c>
      <c r="AD120" s="1362">
        <f>$X120*'2183-2184-2185 Ratios'!E$60</f>
        <v>642.75837455836052</v>
      </c>
      <c r="AE120" s="1362">
        <f>$X120*'2183-2184-2185 Ratios'!F$60</f>
        <v>14349.075427890031</v>
      </c>
      <c r="AF120" s="1341">
        <f t="shared" ref="AF120:AF121" si="224">+Y120</f>
        <v>18549.57</v>
      </c>
      <c r="AG120" s="1341">
        <f t="shared" ref="AG120:AG121" si="225">+Z120</f>
        <v>10123.709999999999</v>
      </c>
      <c r="AH120" s="1336" t="s">
        <v>350</v>
      </c>
      <c r="AI120" s="1363">
        <f t="shared" si="208"/>
        <v>0</v>
      </c>
    </row>
    <row r="121" spans="1:35">
      <c r="A121" s="1683">
        <v>50090</v>
      </c>
      <c r="B121" s="1336" t="s">
        <v>39</v>
      </c>
      <c r="C121" s="1341">
        <f>+IFERROR(VLOOKUP(A121,'2183 IS 2018'!$D:$AH,31,FALSE),0)</f>
        <v>33224.670000000006</v>
      </c>
      <c r="D121" s="1354">
        <f>+IFERROR(VLOOKUP(A121,'2184 IS 2018'!$D:$AH,31,FALSE),0)</f>
        <v>16378.45</v>
      </c>
      <c r="E121" s="1354">
        <f>+IFERROR(VLOOKUP(A121,'2185 IS 2018'!$D:$AH,31,FALSE),0)</f>
        <v>6498.25</v>
      </c>
      <c r="F121" s="1342">
        <f t="shared" si="209"/>
        <v>56101.37000000001</v>
      </c>
      <c r="G121" s="1343"/>
      <c r="H121" s="1341"/>
      <c r="I121" s="1341"/>
      <c r="J121" s="1341"/>
      <c r="K121" s="1341"/>
      <c r="L121" s="1362">
        <f t="shared" si="210"/>
        <v>56101.37000000001</v>
      </c>
      <c r="M121" s="1337"/>
      <c r="N121" s="1359">
        <f t="shared" si="211"/>
        <v>33224.670000000006</v>
      </c>
      <c r="O121" s="1359">
        <f t="shared" si="212"/>
        <v>16378.45</v>
      </c>
      <c r="P121" s="1359">
        <f t="shared" si="213"/>
        <v>6498.25</v>
      </c>
      <c r="Q121" s="1359">
        <f t="shared" si="214"/>
        <v>56101.37000000001</v>
      </c>
      <c r="R121" s="1359"/>
      <c r="S121" s="1359"/>
      <c r="T121" s="1359"/>
      <c r="U121" s="1359"/>
      <c r="V121" s="1681">
        <f t="shared" si="215"/>
        <v>0</v>
      </c>
      <c r="W121" s="1333"/>
      <c r="X121" s="1681">
        <f t="shared" si="216"/>
        <v>33224.670000000006</v>
      </c>
      <c r="Y121" s="1681">
        <f t="shared" si="217"/>
        <v>16378.45</v>
      </c>
      <c r="Z121" s="1681">
        <f t="shared" si="218"/>
        <v>6498.25</v>
      </c>
      <c r="AA121" s="1681">
        <f t="shared" si="219"/>
        <v>56101.37000000001</v>
      </c>
      <c r="AB121" s="1362">
        <f>$X121*'2183-2184-2185 Ratios'!C$60</f>
        <v>25287.895724033104</v>
      </c>
      <c r="AC121" s="1362">
        <f>$X121*'2183-2184-2185 Ratios'!D$60</f>
        <v>1288.3218599578054</v>
      </c>
      <c r="AD121" s="1362">
        <f>$X121*'2183-2184-2185 Ratios'!E$60</f>
        <v>285.04508017856404</v>
      </c>
      <c r="AE121" s="1362">
        <f>$X121*'2183-2184-2185 Ratios'!F$60</f>
        <v>6363.4073358305268</v>
      </c>
      <c r="AF121" s="1341">
        <f t="shared" si="224"/>
        <v>16378.45</v>
      </c>
      <c r="AG121" s="1341">
        <f t="shared" si="225"/>
        <v>6498.25</v>
      </c>
      <c r="AH121" s="1336" t="s">
        <v>350</v>
      </c>
      <c r="AI121" s="1363">
        <f t="shared" si="208"/>
        <v>0</v>
      </c>
    </row>
    <row r="122" spans="1:35">
      <c r="A122" s="1683">
        <v>52185</v>
      </c>
      <c r="B122" s="1336" t="s">
        <v>59</v>
      </c>
      <c r="C122" s="1341">
        <f>+IFERROR(VLOOKUP(A122,'2183 IS 2018'!$D:$AH,31,FALSE),0)</f>
        <v>0</v>
      </c>
      <c r="D122" s="1354">
        <f>+IFERROR(VLOOKUP(A122,'2184 IS 2018'!$D:$AH,31,FALSE),0)</f>
        <v>0</v>
      </c>
      <c r="E122" s="1354">
        <f>+IFERROR(VLOOKUP(A122,'2185 IS 2018'!$D:$AH,31,FALSE),0)</f>
        <v>172.45</v>
      </c>
      <c r="F122" s="1342">
        <f t="shared" si="209"/>
        <v>172.45</v>
      </c>
      <c r="G122" s="1343"/>
      <c r="H122" s="1341"/>
      <c r="I122" s="1341"/>
      <c r="J122" s="1341"/>
      <c r="K122" s="1341"/>
      <c r="L122" s="1362">
        <f t="shared" si="210"/>
        <v>172.45</v>
      </c>
      <c r="M122" s="1337"/>
      <c r="N122" s="1359">
        <f t="shared" si="211"/>
        <v>0</v>
      </c>
      <c r="O122" s="1359">
        <f t="shared" si="212"/>
        <v>0</v>
      </c>
      <c r="P122" s="1359">
        <f t="shared" si="213"/>
        <v>172.45</v>
      </c>
      <c r="Q122" s="1359">
        <f t="shared" si="214"/>
        <v>172.45</v>
      </c>
      <c r="R122" s="1359"/>
      <c r="S122" s="1359"/>
      <c r="T122" s="1359"/>
      <c r="U122" s="1359"/>
      <c r="V122" s="1681">
        <f t="shared" si="215"/>
        <v>0</v>
      </c>
      <c r="W122" s="1333"/>
      <c r="X122" s="1681">
        <f t="shared" si="216"/>
        <v>0</v>
      </c>
      <c r="Y122" s="1681">
        <f t="shared" si="217"/>
        <v>0</v>
      </c>
      <c r="Z122" s="1681">
        <f t="shared" si="218"/>
        <v>172.45</v>
      </c>
      <c r="AA122" s="1681">
        <f t="shared" si="219"/>
        <v>172.45</v>
      </c>
      <c r="AB122" s="1362">
        <f>$X122*'2183-2184-2185 Ratios'!C$60</f>
        <v>0</v>
      </c>
      <c r="AC122" s="1362">
        <f>$X122*'2183-2184-2185 Ratios'!D$60</f>
        <v>0</v>
      </c>
      <c r="AD122" s="1362">
        <f>$X122*'2183-2184-2185 Ratios'!E$60</f>
        <v>0</v>
      </c>
      <c r="AE122" s="1362">
        <f>$X122*'2183-2184-2185 Ratios'!F$60</f>
        <v>0</v>
      </c>
      <c r="AF122" s="1341">
        <f t="shared" ref="AF122" si="226">+Y122</f>
        <v>0</v>
      </c>
      <c r="AG122" s="1341">
        <f t="shared" ref="AG122" si="227">+Z122</f>
        <v>172.45</v>
      </c>
      <c r="AH122" s="1336" t="s">
        <v>350</v>
      </c>
      <c r="AI122" s="1363">
        <f t="shared" si="208"/>
        <v>0</v>
      </c>
    </row>
    <row r="123" spans="1:35">
      <c r="A123" s="1683">
        <v>56200</v>
      </c>
      <c r="B123" s="1336" t="s">
        <v>59</v>
      </c>
      <c r="C123" s="1341">
        <f>+IFERROR(VLOOKUP(A123,'2183 IS 2018'!$D:$AH,31,FALSE),0)</f>
        <v>205.72</v>
      </c>
      <c r="D123" s="1354">
        <f>+IFERROR(VLOOKUP(A123,'2184 IS 2018'!$D:$AH,31,FALSE),0)</f>
        <v>0</v>
      </c>
      <c r="E123" s="1354">
        <f>+IFERROR(VLOOKUP(A123,'2185 IS 2018'!$D:$AH,31,FALSE),0)</f>
        <v>0</v>
      </c>
      <c r="F123" s="1342">
        <f t="shared" si="209"/>
        <v>205.72</v>
      </c>
      <c r="G123" s="1343"/>
      <c r="H123" s="1341"/>
      <c r="I123" s="1341"/>
      <c r="J123" s="1341"/>
      <c r="K123" s="1341"/>
      <c r="L123" s="1362">
        <f t="shared" si="210"/>
        <v>205.72</v>
      </c>
      <c r="M123" s="1337"/>
      <c r="N123" s="1359">
        <f t="shared" si="211"/>
        <v>205.72</v>
      </c>
      <c r="O123" s="1359">
        <f t="shared" si="212"/>
        <v>0</v>
      </c>
      <c r="P123" s="1359">
        <f t="shared" si="213"/>
        <v>0</v>
      </c>
      <c r="Q123" s="1359">
        <f t="shared" si="214"/>
        <v>205.72</v>
      </c>
      <c r="R123" s="1359"/>
      <c r="S123" s="1359"/>
      <c r="T123" s="1359"/>
      <c r="U123" s="1359"/>
      <c r="V123" s="1681">
        <f t="shared" si="215"/>
        <v>0</v>
      </c>
      <c r="W123" s="1333"/>
      <c r="X123" s="1681">
        <f t="shared" si="216"/>
        <v>205.72</v>
      </c>
      <c r="Y123" s="1681">
        <f t="shared" si="217"/>
        <v>0</v>
      </c>
      <c r="Z123" s="1681">
        <f t="shared" si="218"/>
        <v>0</v>
      </c>
      <c r="AA123" s="1681">
        <f t="shared" si="219"/>
        <v>205.72</v>
      </c>
      <c r="AB123" s="1362">
        <f>$X123*'2183-2184-2185 Ratios'!C$60</f>
        <v>156.57720327540017</v>
      </c>
      <c r="AC123" s="1362">
        <f>$X123*'2183-2184-2185 Ratios'!D$60</f>
        <v>7.9770114505432153</v>
      </c>
      <c r="AD123" s="1362">
        <f>$X123*'2183-2184-2185 Ratios'!E$60</f>
        <v>1.7649377373600454</v>
      </c>
      <c r="AE123" s="1362">
        <f>$X123*'2183-2184-2185 Ratios'!F$60</f>
        <v>39.400847536696553</v>
      </c>
      <c r="AF123" s="1341">
        <f t="shared" ref="AF123:AG123" si="228">+Y123</f>
        <v>0</v>
      </c>
      <c r="AG123" s="1341">
        <f t="shared" si="228"/>
        <v>0</v>
      </c>
      <c r="AH123" s="1336" t="s">
        <v>350</v>
      </c>
      <c r="AI123" s="1363">
        <f t="shared" si="208"/>
        <v>0</v>
      </c>
    </row>
    <row r="124" spans="1:35">
      <c r="A124" s="1683">
        <v>57255</v>
      </c>
      <c r="B124" s="1336" t="s">
        <v>63</v>
      </c>
      <c r="C124" s="1341">
        <f>+IFERROR(VLOOKUP(A124,'2183 IS 2018'!$D:$AH,31,FALSE),0)</f>
        <v>14541.869999999999</v>
      </c>
      <c r="D124" s="1354">
        <f>+IFERROR(VLOOKUP(A124,'2184 IS 2018'!$D:$AH,31,FALSE),0)</f>
        <v>47</v>
      </c>
      <c r="E124" s="1354">
        <f>+IFERROR(VLOOKUP(A124,'2185 IS 2018'!$D:$AH,31,FALSE),0)</f>
        <v>473.99</v>
      </c>
      <c r="F124" s="1342">
        <f t="shared" si="209"/>
        <v>15062.859999999999</v>
      </c>
      <c r="G124" s="1343"/>
      <c r="H124" s="1341"/>
      <c r="I124" s="1341"/>
      <c r="J124" s="1341"/>
      <c r="K124" s="1341"/>
      <c r="L124" s="1362">
        <f t="shared" si="210"/>
        <v>15062.859999999999</v>
      </c>
      <c r="M124" s="1337"/>
      <c r="N124" s="1359">
        <f t="shared" si="211"/>
        <v>14541.869999999999</v>
      </c>
      <c r="O124" s="1359">
        <f t="shared" si="212"/>
        <v>47</v>
      </c>
      <c r="P124" s="1359">
        <f t="shared" si="213"/>
        <v>473.99</v>
      </c>
      <c r="Q124" s="1359">
        <f t="shared" si="214"/>
        <v>15062.859999999999</v>
      </c>
      <c r="R124" s="1359"/>
      <c r="S124" s="1359"/>
      <c r="T124" s="1359"/>
      <c r="U124" s="1359"/>
      <c r="V124" s="1681">
        <f t="shared" si="215"/>
        <v>0</v>
      </c>
      <c r="W124" s="1333"/>
      <c r="X124" s="1681">
        <f t="shared" si="216"/>
        <v>14541.869999999999</v>
      </c>
      <c r="Y124" s="1681">
        <f t="shared" si="217"/>
        <v>47</v>
      </c>
      <c r="Z124" s="1681">
        <f t="shared" si="218"/>
        <v>473.99</v>
      </c>
      <c r="AA124" s="1681">
        <f t="shared" si="219"/>
        <v>15062.859999999999</v>
      </c>
      <c r="AB124" s="1362">
        <f>$X124*'2183-2184-2185 Ratios'!C$60</f>
        <v>11068.079598456365</v>
      </c>
      <c r="AC124" s="1362">
        <f>$X124*'2183-2184-2185 Ratios'!D$60</f>
        <v>563.87645101259409</v>
      </c>
      <c r="AD124" s="1362">
        <f>$X124*'2183-2184-2185 Ratios'!E$60</f>
        <v>124.75935803414312</v>
      </c>
      <c r="AE124" s="1362">
        <f>$X124*'2183-2184-2185 Ratios'!F$60</f>
        <v>2785.1545924968959</v>
      </c>
      <c r="AF124" s="1341">
        <f>+Y124</f>
        <v>47</v>
      </c>
      <c r="AG124" s="1341">
        <f>+Z124</f>
        <v>473.99</v>
      </c>
      <c r="AH124" s="1336" t="s">
        <v>350</v>
      </c>
      <c r="AI124" s="1363">
        <f t="shared" si="208"/>
        <v>0</v>
      </c>
    </row>
    <row r="125" spans="1:35">
      <c r="A125" s="1683">
        <v>57324</v>
      </c>
      <c r="B125" s="1336" t="s">
        <v>64</v>
      </c>
      <c r="C125" s="1341">
        <f>+IFERROR(VLOOKUP(A125,'2183 IS 2018'!$D:$AH,31,FALSE),0)</f>
        <v>0</v>
      </c>
      <c r="D125" s="1354">
        <f>+IFERROR(VLOOKUP(A125,'2184 IS 2018'!$D:$AH,31,FALSE),0)</f>
        <v>208</v>
      </c>
      <c r="E125" s="1354">
        <f>+IFERROR(VLOOKUP(A125,'2185 IS 2018'!$D:$AH,31,FALSE),0)</f>
        <v>693</v>
      </c>
      <c r="F125" s="1342">
        <f t="shared" si="209"/>
        <v>901</v>
      </c>
      <c r="G125" s="1343"/>
      <c r="H125" s="1341"/>
      <c r="I125" s="1341"/>
      <c r="J125" s="1341"/>
      <c r="K125" s="1341"/>
      <c r="L125" s="1362">
        <f t="shared" si="210"/>
        <v>901</v>
      </c>
      <c r="M125" s="1337"/>
      <c r="N125" s="1359">
        <f t="shared" si="211"/>
        <v>0</v>
      </c>
      <c r="O125" s="1359">
        <f t="shared" si="212"/>
        <v>208</v>
      </c>
      <c r="P125" s="1359">
        <f t="shared" si="213"/>
        <v>693</v>
      </c>
      <c r="Q125" s="1359">
        <f t="shared" si="214"/>
        <v>901</v>
      </c>
      <c r="R125" s="1359"/>
      <c r="S125" s="1359"/>
      <c r="T125" s="1359"/>
      <c r="U125" s="1359"/>
      <c r="V125" s="1681">
        <f t="shared" si="215"/>
        <v>0</v>
      </c>
      <c r="W125" s="1333"/>
      <c r="X125" s="1681">
        <f t="shared" si="216"/>
        <v>0</v>
      </c>
      <c r="Y125" s="1681">
        <f t="shared" si="217"/>
        <v>208</v>
      </c>
      <c r="Z125" s="1681">
        <f t="shared" si="218"/>
        <v>693</v>
      </c>
      <c r="AA125" s="1681">
        <f t="shared" si="219"/>
        <v>901</v>
      </c>
      <c r="AB125" s="1362">
        <f>$X125*'2183-2184-2185 Ratios'!C$60</f>
        <v>0</v>
      </c>
      <c r="AC125" s="1362">
        <f>$X125*'2183-2184-2185 Ratios'!D$60</f>
        <v>0</v>
      </c>
      <c r="AD125" s="1362">
        <f>$X125*'2183-2184-2185 Ratios'!E$60</f>
        <v>0</v>
      </c>
      <c r="AE125" s="1362">
        <f>$X125*'2183-2184-2185 Ratios'!F$60</f>
        <v>0</v>
      </c>
      <c r="AF125" s="1341">
        <f t="shared" ref="AF125:AF126" si="229">+Y125</f>
        <v>208</v>
      </c>
      <c r="AG125" s="1341">
        <f t="shared" ref="AG125:AG126" si="230">+Z125</f>
        <v>693</v>
      </c>
      <c r="AH125" s="1336" t="s">
        <v>350</v>
      </c>
      <c r="AI125" s="1363">
        <f t="shared" si="208"/>
        <v>0</v>
      </c>
    </row>
    <row r="126" spans="1:35">
      <c r="A126" s="1683">
        <v>57353</v>
      </c>
      <c r="B126" s="1336" t="s">
        <v>65</v>
      </c>
      <c r="C126" s="1341">
        <f>+IFERROR(VLOOKUP(A126,'2183 IS 2018'!$D:$AH,31,FALSE),0)</f>
        <v>0</v>
      </c>
      <c r="D126" s="1354">
        <f>+IFERROR(VLOOKUP(A126,'2184 IS 2018'!$D:$AH,31,FALSE),0)</f>
        <v>333</v>
      </c>
      <c r="E126" s="1354">
        <f>+IFERROR(VLOOKUP(A126,'2185 IS 2018'!$D:$AH,31,FALSE),0)</f>
        <v>0</v>
      </c>
      <c r="F126" s="1342">
        <f t="shared" si="209"/>
        <v>333</v>
      </c>
      <c r="G126" s="1343"/>
      <c r="H126" s="1341"/>
      <c r="I126" s="1341"/>
      <c r="J126" s="1341"/>
      <c r="K126" s="1341"/>
      <c r="L126" s="1362">
        <f t="shared" si="210"/>
        <v>333</v>
      </c>
      <c r="M126" s="1337"/>
      <c r="N126" s="1359">
        <f t="shared" si="211"/>
        <v>0</v>
      </c>
      <c r="O126" s="1359">
        <f t="shared" si="212"/>
        <v>333</v>
      </c>
      <c r="P126" s="1359">
        <f t="shared" si="213"/>
        <v>0</v>
      </c>
      <c r="Q126" s="1359">
        <f t="shared" si="214"/>
        <v>333</v>
      </c>
      <c r="R126" s="1359"/>
      <c r="S126" s="1359"/>
      <c r="T126" s="1359"/>
      <c r="U126" s="1359"/>
      <c r="V126" s="1681">
        <f t="shared" si="215"/>
        <v>0</v>
      </c>
      <c r="W126" s="1333"/>
      <c r="X126" s="1681">
        <f t="shared" si="216"/>
        <v>0</v>
      </c>
      <c r="Y126" s="1681">
        <f t="shared" si="217"/>
        <v>333</v>
      </c>
      <c r="Z126" s="1681">
        <f t="shared" si="218"/>
        <v>0</v>
      </c>
      <c r="AA126" s="1681">
        <f t="shared" si="219"/>
        <v>333</v>
      </c>
      <c r="AB126" s="1362">
        <f>$X126*'2183-2184-2185 Ratios'!C$60</f>
        <v>0</v>
      </c>
      <c r="AC126" s="1362">
        <f>$X126*'2183-2184-2185 Ratios'!D$60</f>
        <v>0</v>
      </c>
      <c r="AD126" s="1362">
        <f>$X126*'2183-2184-2185 Ratios'!E$60</f>
        <v>0</v>
      </c>
      <c r="AE126" s="1362">
        <f>$X126*'2183-2184-2185 Ratios'!F$60</f>
        <v>0</v>
      </c>
      <c r="AF126" s="1341">
        <f t="shared" si="229"/>
        <v>333</v>
      </c>
      <c r="AG126" s="1341">
        <f t="shared" si="230"/>
        <v>0</v>
      </c>
      <c r="AH126" s="1336" t="s">
        <v>350</v>
      </c>
      <c r="AI126" s="1363">
        <f t="shared" si="208"/>
        <v>0</v>
      </c>
    </row>
    <row r="127" spans="1:35">
      <c r="A127" s="1683">
        <v>60205</v>
      </c>
      <c r="B127" s="1336" t="s">
        <v>59</v>
      </c>
      <c r="C127" s="1341">
        <f>+IFERROR(VLOOKUP(A127,'2183 IS 2018'!$D:$AH,31,FALSE),0)</f>
        <v>515.29999999999995</v>
      </c>
      <c r="D127" s="1354">
        <f>+IFERROR(VLOOKUP(A127,'2184 IS 2018'!$D:$AH,31,FALSE),0)</f>
        <v>0</v>
      </c>
      <c r="E127" s="1354">
        <f>+IFERROR(VLOOKUP(A127,'2185 IS 2018'!$D:$AH,31,FALSE),0)</f>
        <v>4835.6000000000004</v>
      </c>
      <c r="F127" s="1342">
        <f t="shared" si="209"/>
        <v>5350.9000000000005</v>
      </c>
      <c r="G127" s="1343"/>
      <c r="H127" s="1341"/>
      <c r="I127" s="1341"/>
      <c r="J127" s="1341"/>
      <c r="K127" s="1341"/>
      <c r="L127" s="1362">
        <f t="shared" si="210"/>
        <v>5350.9000000000005</v>
      </c>
      <c r="M127" s="1337"/>
      <c r="N127" s="1359">
        <f t="shared" si="211"/>
        <v>515.29999999999995</v>
      </c>
      <c r="O127" s="1359">
        <f t="shared" si="212"/>
        <v>0</v>
      </c>
      <c r="P127" s="1359">
        <f t="shared" si="213"/>
        <v>4835.6000000000004</v>
      </c>
      <c r="Q127" s="1359">
        <f t="shared" si="214"/>
        <v>5350.9000000000005</v>
      </c>
      <c r="R127" s="1359"/>
      <c r="S127" s="1359"/>
      <c r="T127" s="1359"/>
      <c r="U127" s="1359"/>
      <c r="V127" s="1681">
        <f t="shared" si="215"/>
        <v>0</v>
      </c>
      <c r="W127" s="1333"/>
      <c r="X127" s="1681">
        <f t="shared" si="216"/>
        <v>515.29999999999995</v>
      </c>
      <c r="Y127" s="1681">
        <f t="shared" si="217"/>
        <v>0</v>
      </c>
      <c r="Z127" s="1681">
        <f t="shared" si="218"/>
        <v>4835.6000000000004</v>
      </c>
      <c r="AA127" s="1681">
        <f t="shared" si="219"/>
        <v>5350.9000000000005</v>
      </c>
      <c r="AB127" s="1341">
        <v>0</v>
      </c>
      <c r="AC127" s="1341">
        <v>0</v>
      </c>
      <c r="AD127" s="1341">
        <v>0</v>
      </c>
      <c r="AE127" s="1341">
        <f t="shared" ref="AE127" si="231">+X127</f>
        <v>515.29999999999995</v>
      </c>
      <c r="AF127" s="1341">
        <f>+Y127</f>
        <v>0</v>
      </c>
      <c r="AG127" s="1341">
        <f>+Z127</f>
        <v>4835.6000000000004</v>
      </c>
      <c r="AH127" s="1336" t="s">
        <v>348</v>
      </c>
      <c r="AI127" s="1363">
        <f t="shared" si="208"/>
        <v>0</v>
      </c>
    </row>
    <row r="128" spans="1:35">
      <c r="A128" s="1683"/>
      <c r="B128" s="1336"/>
      <c r="C128" s="1354"/>
      <c r="D128" s="1354"/>
      <c r="E128" s="1354"/>
      <c r="F128" s="1342"/>
      <c r="G128" s="1343"/>
      <c r="H128" s="1341"/>
      <c r="I128" s="1341"/>
      <c r="J128" s="1341"/>
      <c r="K128" s="1341"/>
      <c r="L128" s="1362"/>
      <c r="M128" s="1336"/>
      <c r="N128" s="1359"/>
      <c r="O128" s="1359"/>
      <c r="P128" s="1359"/>
      <c r="Q128" s="1359"/>
      <c r="R128" s="1359"/>
      <c r="S128" s="1359"/>
      <c r="T128" s="1359"/>
      <c r="U128" s="1359"/>
      <c r="V128" s="1364"/>
      <c r="W128" s="1364"/>
      <c r="X128" s="1364"/>
      <c r="Y128" s="1364"/>
      <c r="Z128" s="1364"/>
      <c r="AA128" s="1364"/>
      <c r="AB128" s="1341"/>
      <c r="AC128" s="1341"/>
      <c r="AD128" s="1341"/>
      <c r="AE128" s="1341"/>
      <c r="AF128" s="1341"/>
      <c r="AG128" s="1341"/>
      <c r="AH128" s="1336"/>
      <c r="AI128" s="1363"/>
    </row>
    <row r="129" spans="1:35">
      <c r="A129" s="1372">
        <v>42800</v>
      </c>
      <c r="B129" s="1332" t="s">
        <v>66</v>
      </c>
      <c r="C129" s="1366">
        <f t="shared" ref="C129:J129" si="232">SUM(C116:C128)</f>
        <v>519544.6399999999</v>
      </c>
      <c r="D129" s="1366">
        <f t="shared" si="232"/>
        <v>272148.39</v>
      </c>
      <c r="E129" s="1366">
        <f t="shared" si="232"/>
        <v>22797</v>
      </c>
      <c r="F129" s="1366">
        <f t="shared" si="232"/>
        <v>814490.02999999991</v>
      </c>
      <c r="G129" s="1366">
        <f t="shared" si="232"/>
        <v>0</v>
      </c>
      <c r="H129" s="1366">
        <f t="shared" si="232"/>
        <v>-2050.7999999999997</v>
      </c>
      <c r="I129" s="1366">
        <f t="shared" si="232"/>
        <v>0</v>
      </c>
      <c r="J129" s="1366">
        <f t="shared" si="232"/>
        <v>2050.7999999999997</v>
      </c>
      <c r="K129" s="1367"/>
      <c r="L129" s="1366">
        <f>SUM(L116:L128)</f>
        <v>814490.02999999991</v>
      </c>
      <c r="M129" s="1366"/>
      <c r="N129" s="1366">
        <f>SUM(N116:N128)</f>
        <v>517493.83999999991</v>
      </c>
      <c r="O129" s="1366">
        <f>SUM(O116:O128)</f>
        <v>272148.39</v>
      </c>
      <c r="P129" s="1366">
        <f>SUM(P116:P128)</f>
        <v>24847.800000000003</v>
      </c>
      <c r="Q129" s="1366">
        <f>SUM(Q116:Q128)</f>
        <v>814490.02999999991</v>
      </c>
      <c r="R129" s="1366"/>
      <c r="S129" s="1366">
        <f>SUM(S116:S128)</f>
        <v>0</v>
      </c>
      <c r="T129" s="1366">
        <f>SUM(T116:T128)</f>
        <v>0</v>
      </c>
      <c r="U129" s="1366">
        <f>SUM(U116:U128)</f>
        <v>0</v>
      </c>
      <c r="V129" s="1366">
        <f>SUM(V116:V128)</f>
        <v>0</v>
      </c>
      <c r="W129" s="1366"/>
      <c r="X129" s="1366">
        <f t="shared" ref="X129:AI129" si="233">SUM(X116:X128)</f>
        <v>517493.83999999991</v>
      </c>
      <c r="Y129" s="1366">
        <f t="shared" si="233"/>
        <v>272148.39</v>
      </c>
      <c r="Z129" s="1366">
        <f t="shared" si="233"/>
        <v>24847.800000000003</v>
      </c>
      <c r="AA129" s="1366">
        <f t="shared" si="233"/>
        <v>814490.02999999991</v>
      </c>
      <c r="AB129" s="1366">
        <f t="shared" si="233"/>
        <v>93535.135555083078</v>
      </c>
      <c r="AC129" s="1366">
        <f t="shared" si="233"/>
        <v>4765.2584906543307</v>
      </c>
      <c r="AD129" s="1366">
        <f t="shared" si="233"/>
        <v>1054.3277505084277</v>
      </c>
      <c r="AE129" s="1366">
        <f t="shared" si="233"/>
        <v>418139.11820375413</v>
      </c>
      <c r="AF129" s="1366">
        <f t="shared" si="233"/>
        <v>272148.39</v>
      </c>
      <c r="AG129" s="1366">
        <f t="shared" si="233"/>
        <v>24847.800000000003</v>
      </c>
      <c r="AH129" s="1366">
        <f t="shared" si="233"/>
        <v>0</v>
      </c>
      <c r="AI129" s="1366">
        <f t="shared" si="233"/>
        <v>0</v>
      </c>
    </row>
    <row r="130" spans="1:35">
      <c r="A130" s="1331"/>
      <c r="B130" s="1336"/>
      <c r="C130" s="1354"/>
      <c r="D130" s="1333"/>
      <c r="E130" s="1342"/>
      <c r="F130" s="1342"/>
      <c r="G130" s="1336"/>
      <c r="H130" s="1341"/>
      <c r="I130" s="1341"/>
      <c r="J130" s="1341"/>
      <c r="K130" s="1341"/>
      <c r="L130" s="1341"/>
      <c r="M130" s="1336"/>
      <c r="N130" s="1342"/>
      <c r="O130" s="1336"/>
      <c r="P130" s="1336"/>
      <c r="Q130" s="1381"/>
      <c r="R130" s="1381"/>
      <c r="S130" s="1381"/>
      <c r="T130" s="1381"/>
      <c r="U130" s="1381"/>
      <c r="V130" s="1364"/>
      <c r="W130" s="1364"/>
      <c r="X130" s="1364"/>
      <c r="Y130" s="1364"/>
      <c r="Z130" s="1364"/>
      <c r="AA130" s="1364"/>
      <c r="AB130" s="1369"/>
      <c r="AC130" s="1369"/>
      <c r="AD130" s="1369"/>
      <c r="AE130" s="1341"/>
      <c r="AF130" s="1341"/>
      <c r="AG130" s="1341"/>
      <c r="AH130" s="1336"/>
      <c r="AI130" s="1363">
        <f t="shared" ref="AI130:AI137" si="234">SUM(AB130:AG130)-AA130</f>
        <v>0</v>
      </c>
    </row>
    <row r="131" spans="1:35">
      <c r="A131" s="1331"/>
      <c r="B131" s="1336"/>
      <c r="C131" s="1354"/>
      <c r="D131" s="1333"/>
      <c r="E131" s="1342"/>
      <c r="F131" s="1342"/>
      <c r="G131" s="1336"/>
      <c r="H131" s="1341"/>
      <c r="I131" s="1341"/>
      <c r="J131" s="1341"/>
      <c r="K131" s="1341"/>
      <c r="L131" s="1341"/>
      <c r="M131" s="1336"/>
      <c r="N131" s="1342"/>
      <c r="O131" s="1336"/>
      <c r="P131" s="1336"/>
      <c r="Q131" s="1381"/>
      <c r="R131" s="1381"/>
      <c r="S131" s="1381"/>
      <c r="T131" s="1381"/>
      <c r="U131" s="1381"/>
      <c r="V131" s="1364"/>
      <c r="W131" s="1364"/>
      <c r="X131" s="1364"/>
      <c r="Y131" s="1364"/>
      <c r="Z131" s="1364"/>
      <c r="AA131" s="1364"/>
      <c r="AB131" s="1369"/>
      <c r="AC131" s="1369"/>
      <c r="AD131" s="1369"/>
      <c r="AE131" s="1341"/>
      <c r="AF131" s="1341"/>
      <c r="AG131" s="1341"/>
      <c r="AH131" s="1336"/>
      <c r="AI131" s="1363"/>
    </row>
    <row r="132" spans="1:35">
      <c r="A132" s="1683">
        <v>40101</v>
      </c>
      <c r="B132" s="1336" t="s">
        <v>67</v>
      </c>
      <c r="C132" s="1341">
        <f>+IFERROR(VLOOKUP(A132,'2183 IS 2018'!$D:$AH,31,FALSE),0)</f>
        <v>11974996</v>
      </c>
      <c r="D132" s="1354">
        <f>+IFERROR(VLOOKUP(A132,'2184 IS 2018'!$D:$AH,31,FALSE),0)</f>
        <v>0</v>
      </c>
      <c r="E132" s="1354">
        <f>+IFERROR(VLOOKUP(A132,'2185 IS 2018'!$D:$AH,31,FALSE),0)</f>
        <v>0</v>
      </c>
      <c r="F132" s="1342">
        <f t="shared" ref="F132:F137" si="235">SUM(C132:E132)</f>
        <v>11974996</v>
      </c>
      <c r="G132" s="1343"/>
      <c r="H132" s="1341">
        <f>-H133-H134</f>
        <v>-3334577.1</v>
      </c>
      <c r="I132" s="1341"/>
      <c r="J132" s="1341"/>
      <c r="K132" s="1341"/>
      <c r="L132" s="1362">
        <f t="shared" ref="L132:L137" si="236">F132+H132+I132+J132</f>
        <v>8640418.9000000004</v>
      </c>
      <c r="M132" s="1337"/>
      <c r="N132" s="1359">
        <f t="shared" ref="N132:N137" si="237">C132+H132</f>
        <v>8640418.9000000004</v>
      </c>
      <c r="O132" s="1359">
        <f t="shared" ref="O132:O137" si="238">D132+I132</f>
        <v>0</v>
      </c>
      <c r="P132" s="1359">
        <f t="shared" ref="P132:P137" si="239">E132+J132</f>
        <v>0</v>
      </c>
      <c r="Q132" s="1359">
        <f t="shared" ref="Q132:Q137" si="240">SUM(N132:P132)</f>
        <v>8640418.9000000004</v>
      </c>
      <c r="R132" s="1359"/>
      <c r="S132" s="1359"/>
      <c r="T132" s="1359"/>
      <c r="U132" s="1359"/>
      <c r="V132" s="1681">
        <f t="shared" ref="V132:V137" si="241">+SUM(S132:U132)</f>
        <v>0</v>
      </c>
      <c r="W132" s="1333"/>
      <c r="X132" s="1681">
        <f t="shared" ref="X132:X137" si="242">+S132+N132</f>
        <v>8640418.9000000004</v>
      </c>
      <c r="Y132" s="1681">
        <f t="shared" ref="Y132:Y137" si="243">+T132+O132</f>
        <v>0</v>
      </c>
      <c r="Z132" s="1681">
        <f t="shared" ref="Z132:Z137" si="244">+U132+P132</f>
        <v>0</v>
      </c>
      <c r="AA132" s="1681">
        <f t="shared" ref="AA132:AA137" si="245">+SUM(X132:Z132)</f>
        <v>8640418.9000000004</v>
      </c>
      <c r="AB132" s="1341">
        <f>+($X132-$AE132)*'2183-2184-2185 Ratios'!C179</f>
        <v>8174725.1696660435</v>
      </c>
      <c r="AC132" s="1341">
        <f>+($X132-$AE132)*'2183-2184-2185 Ratios'!D179</f>
        <v>379870.48051717749</v>
      </c>
      <c r="AD132" s="1341">
        <f>+($X132-$AE132)*'2183-2184-2185 Ratios'!E179</f>
        <v>85823.249816779062</v>
      </c>
      <c r="AE132" s="1341"/>
      <c r="AF132" s="1341">
        <f t="shared" ref="AF132:AG134" si="246">+Y132</f>
        <v>0</v>
      </c>
      <c r="AG132" s="1341">
        <f t="shared" si="246"/>
        <v>0</v>
      </c>
      <c r="AH132" s="1336" t="s">
        <v>348</v>
      </c>
      <c r="AI132" s="1363">
        <f t="shared" si="234"/>
        <v>0</v>
      </c>
    </row>
    <row r="133" spans="1:35">
      <c r="A133" s="1683"/>
      <c r="B133" s="1336" t="s">
        <v>942</v>
      </c>
      <c r="C133" s="1341">
        <v>0</v>
      </c>
      <c r="D133" s="1354"/>
      <c r="E133" s="1354"/>
      <c r="F133" s="1342">
        <f t="shared" si="235"/>
        <v>0</v>
      </c>
      <c r="G133" s="1343"/>
      <c r="H133" s="1341">
        <f>+SUM(AB17:AD17)</f>
        <v>2870563.1</v>
      </c>
      <c r="I133" s="1341"/>
      <c r="J133" s="1341"/>
      <c r="K133" s="1341"/>
      <c r="L133" s="1362">
        <f t="shared" si="236"/>
        <v>2870563.1</v>
      </c>
      <c r="M133" s="1337"/>
      <c r="N133" s="1359">
        <f t="shared" si="237"/>
        <v>2870563.1</v>
      </c>
      <c r="O133" s="1359">
        <f t="shared" si="238"/>
        <v>0</v>
      </c>
      <c r="P133" s="1359">
        <f t="shared" si="239"/>
        <v>0</v>
      </c>
      <c r="Q133" s="1359">
        <f t="shared" si="240"/>
        <v>2870563.1</v>
      </c>
      <c r="R133" s="1359"/>
      <c r="S133" s="1359"/>
      <c r="T133" s="1359"/>
      <c r="U133" s="1359"/>
      <c r="V133" s="1681">
        <f t="shared" si="241"/>
        <v>0</v>
      </c>
      <c r="W133" s="1333"/>
      <c r="X133" s="1681">
        <f t="shared" si="242"/>
        <v>2870563.1</v>
      </c>
      <c r="Y133" s="1681">
        <f t="shared" si="243"/>
        <v>0</v>
      </c>
      <c r="Z133" s="1681">
        <f t="shared" si="244"/>
        <v>0</v>
      </c>
      <c r="AA133" s="1681">
        <f t="shared" si="245"/>
        <v>2870563.1</v>
      </c>
      <c r="AB133" s="1341">
        <f>AB17</f>
        <v>2613258.9700000002</v>
      </c>
      <c r="AC133" s="1341">
        <f>AC17</f>
        <v>242370.78000000003</v>
      </c>
      <c r="AD133" s="1341">
        <f>AD17</f>
        <v>14933.349999999999</v>
      </c>
      <c r="AE133" s="1341"/>
      <c r="AF133" s="1341">
        <f t="shared" si="246"/>
        <v>0</v>
      </c>
      <c r="AG133" s="1341">
        <f t="shared" si="246"/>
        <v>0</v>
      </c>
      <c r="AH133" s="1336" t="s">
        <v>348</v>
      </c>
      <c r="AI133" s="1363">
        <f t="shared" si="234"/>
        <v>0</v>
      </c>
    </row>
    <row r="134" spans="1:35">
      <c r="A134" s="1683"/>
      <c r="B134" s="1336" t="s">
        <v>4</v>
      </c>
      <c r="C134" s="1341">
        <v>0</v>
      </c>
      <c r="D134" s="1354">
        <v>0</v>
      </c>
      <c r="E134" s="1354">
        <v>0</v>
      </c>
      <c r="F134" s="1342">
        <f t="shared" si="235"/>
        <v>0</v>
      </c>
      <c r="G134" s="1343"/>
      <c r="H134" s="1341">
        <f>+'JE Query - 40101'!B78</f>
        <v>464014</v>
      </c>
      <c r="I134" s="1341"/>
      <c r="J134" s="1341"/>
      <c r="K134" s="1341"/>
      <c r="L134" s="1362">
        <f t="shared" ref="L134" si="247">F134+H134+I134+J134</f>
        <v>464014</v>
      </c>
      <c r="M134" s="1337"/>
      <c r="N134" s="1359">
        <f t="shared" ref="N134" si="248">C134+H134</f>
        <v>464014</v>
      </c>
      <c r="O134" s="1359">
        <f t="shared" ref="O134" si="249">D134+I134</f>
        <v>0</v>
      </c>
      <c r="P134" s="1359">
        <f t="shared" ref="P134" si="250">E134+J134</f>
        <v>0</v>
      </c>
      <c r="Q134" s="1359">
        <f t="shared" ref="Q134" si="251">SUM(N134:P134)</f>
        <v>464014</v>
      </c>
      <c r="R134" s="1359"/>
      <c r="S134" s="1359"/>
      <c r="T134" s="1359"/>
      <c r="U134" s="1359"/>
      <c r="V134" s="1681">
        <f t="shared" ref="V134" si="252">+SUM(S134:U134)</f>
        <v>0</v>
      </c>
      <c r="W134" s="1333"/>
      <c r="X134" s="1681">
        <f t="shared" ref="X134" si="253">+S134+N134</f>
        <v>464014</v>
      </c>
      <c r="Y134" s="1681">
        <f t="shared" ref="Y134" si="254">+T134+O134</f>
        <v>0</v>
      </c>
      <c r="Z134" s="1681">
        <f t="shared" ref="Z134" si="255">+U134+P134</f>
        <v>0</v>
      </c>
      <c r="AA134" s="1681">
        <f t="shared" ref="AA134" si="256">+SUM(X134:Z134)</f>
        <v>464014</v>
      </c>
      <c r="AB134" s="1341">
        <f>+'JE Query - 40101'!B80</f>
        <v>420930.09</v>
      </c>
      <c r="AC134" s="1341">
        <f>AC18</f>
        <v>0</v>
      </c>
      <c r="AD134" s="1341">
        <f>AD18</f>
        <v>0</v>
      </c>
      <c r="AE134" s="1341">
        <f>-'JE Query - 40101'!B79</f>
        <v>43083.909999999989</v>
      </c>
      <c r="AF134" s="1341">
        <f t="shared" si="246"/>
        <v>0</v>
      </c>
      <c r="AG134" s="1341">
        <f t="shared" si="246"/>
        <v>0</v>
      </c>
      <c r="AH134" s="1336" t="s">
        <v>348</v>
      </c>
      <c r="AI134" s="1363">
        <f t="shared" ref="AI134" si="257">SUM(AB134:AG134)-AA134</f>
        <v>0</v>
      </c>
    </row>
    <row r="135" spans="1:35">
      <c r="A135" s="1683">
        <v>40109</v>
      </c>
      <c r="B135" s="1336" t="s">
        <v>68</v>
      </c>
      <c r="C135" s="1341">
        <f>+IFERROR(VLOOKUP(A135,'2183 IS 2018'!$D:$AH,31,FALSE),0)</f>
        <v>26005.67</v>
      </c>
      <c r="D135" s="1354">
        <f>+IFERROR(VLOOKUP(A135,'2184 IS 2018'!$D:$AH,31,FALSE),0)</f>
        <v>7846.7999999999993</v>
      </c>
      <c r="E135" s="1354">
        <f>+IFERROR(VLOOKUP(A135,'2185 IS 2018'!$D:$AH,31,FALSE),0)</f>
        <v>0</v>
      </c>
      <c r="F135" s="1342">
        <f t="shared" si="235"/>
        <v>33852.47</v>
      </c>
      <c r="G135" s="1343"/>
      <c r="H135" s="1341"/>
      <c r="I135" s="1341"/>
      <c r="J135" s="1341"/>
      <c r="K135" s="1341"/>
      <c r="L135" s="1362">
        <f t="shared" si="236"/>
        <v>33852.47</v>
      </c>
      <c r="M135" s="1337"/>
      <c r="N135" s="1359">
        <f t="shared" si="237"/>
        <v>26005.67</v>
      </c>
      <c r="O135" s="1359">
        <f t="shared" si="238"/>
        <v>7846.7999999999993</v>
      </c>
      <c r="P135" s="1359">
        <f t="shared" si="239"/>
        <v>0</v>
      </c>
      <c r="Q135" s="1359">
        <f t="shared" si="240"/>
        <v>33852.47</v>
      </c>
      <c r="R135" s="1359"/>
      <c r="S135" s="1359"/>
      <c r="T135" s="1359"/>
      <c r="U135" s="1359"/>
      <c r="V135" s="1681">
        <f t="shared" si="241"/>
        <v>0</v>
      </c>
      <c r="W135" s="1333"/>
      <c r="X135" s="1681">
        <f t="shared" si="242"/>
        <v>26005.67</v>
      </c>
      <c r="Y135" s="1681">
        <f t="shared" si="243"/>
        <v>7846.7999999999993</v>
      </c>
      <c r="Z135" s="1681">
        <f t="shared" si="244"/>
        <v>0</v>
      </c>
      <c r="AA135" s="1681">
        <f t="shared" si="245"/>
        <v>33852.47</v>
      </c>
      <c r="AB135" s="1341">
        <v>0</v>
      </c>
      <c r="AC135" s="1341"/>
      <c r="AD135" s="1341"/>
      <c r="AE135" s="1341">
        <f>+X135</f>
        <v>26005.67</v>
      </c>
      <c r="AF135" s="1341">
        <f t="shared" ref="AF135:AF136" si="258">+Y135</f>
        <v>7846.7999999999993</v>
      </c>
      <c r="AG135" s="1341">
        <f>+Z135</f>
        <v>0</v>
      </c>
      <c r="AH135" s="1336" t="s">
        <v>348</v>
      </c>
      <c r="AI135" s="1363">
        <f t="shared" si="234"/>
        <v>0</v>
      </c>
    </row>
    <row r="136" spans="1:35">
      <c r="A136" s="1683">
        <v>40122</v>
      </c>
      <c r="B136" s="1336" t="s">
        <v>69</v>
      </c>
      <c r="C136" s="1341">
        <f>+IFERROR(VLOOKUP(A136,'2183 IS 2018'!$D:$AH,31,FALSE),0)</f>
        <v>510259.2699999999</v>
      </c>
      <c r="D136" s="1354">
        <f>+IFERROR(VLOOKUP(A136,'2184 IS 2018'!$D:$AH,31,FALSE),0)</f>
        <v>104229.96</v>
      </c>
      <c r="E136" s="1354">
        <f>+IFERROR(VLOOKUP(A136,'2185 IS 2018'!$D:$AH,31,FALSE),0)</f>
        <v>0</v>
      </c>
      <c r="F136" s="1342">
        <f t="shared" si="235"/>
        <v>614489.22999999986</v>
      </c>
      <c r="G136" s="1343"/>
      <c r="H136" s="1341"/>
      <c r="I136" s="1341"/>
      <c r="J136" s="1341"/>
      <c r="K136" s="1341"/>
      <c r="L136" s="1362">
        <f t="shared" si="236"/>
        <v>614489.22999999986</v>
      </c>
      <c r="M136" s="1337"/>
      <c r="N136" s="1359">
        <f t="shared" si="237"/>
        <v>510259.2699999999</v>
      </c>
      <c r="O136" s="1359">
        <f t="shared" si="238"/>
        <v>104229.96</v>
      </c>
      <c r="P136" s="1359">
        <f t="shared" si="239"/>
        <v>0</v>
      </c>
      <c r="Q136" s="1359">
        <f t="shared" si="240"/>
        <v>614489.22999999986</v>
      </c>
      <c r="R136" s="1359"/>
      <c r="S136" s="1359"/>
      <c r="T136" s="1359"/>
      <c r="U136" s="1359"/>
      <c r="V136" s="1681">
        <f t="shared" si="241"/>
        <v>0</v>
      </c>
      <c r="W136" s="1333"/>
      <c r="X136" s="1681">
        <f t="shared" si="242"/>
        <v>510259.2699999999</v>
      </c>
      <c r="Y136" s="1681">
        <f t="shared" si="243"/>
        <v>104229.96</v>
      </c>
      <c r="Z136" s="1681">
        <f t="shared" si="244"/>
        <v>0</v>
      </c>
      <c r="AA136" s="1681">
        <f t="shared" si="245"/>
        <v>614489.22999999986</v>
      </c>
      <c r="AB136" s="1341">
        <v>0</v>
      </c>
      <c r="AC136" s="1341"/>
      <c r="AD136" s="1341"/>
      <c r="AE136" s="1341">
        <f>X136</f>
        <v>510259.2699999999</v>
      </c>
      <c r="AF136" s="1341">
        <f t="shared" si="258"/>
        <v>104229.96</v>
      </c>
      <c r="AG136" s="1341">
        <f>+Z136</f>
        <v>0</v>
      </c>
      <c r="AH136" s="1336" t="s">
        <v>348</v>
      </c>
      <c r="AI136" s="1363">
        <f t="shared" si="234"/>
        <v>0</v>
      </c>
    </row>
    <row r="137" spans="1:35">
      <c r="A137" s="1683">
        <v>40139</v>
      </c>
      <c r="B137" s="1336" t="s">
        <v>70</v>
      </c>
      <c r="C137" s="1341">
        <f>+IFERROR(VLOOKUP(A137,'2183 IS 2018'!$D:$AH,31,FALSE),0)</f>
        <v>0</v>
      </c>
      <c r="D137" s="1354">
        <f>+IFERROR(VLOOKUP(A137,'2184 IS 2018'!$D:$AH,31,FALSE),0)</f>
        <v>1036254.94</v>
      </c>
      <c r="E137" s="1354">
        <f>+IFERROR(VLOOKUP(A137,'2185 IS 2018'!$D:$AH,31,FALSE),0)</f>
        <v>0</v>
      </c>
      <c r="F137" s="1342">
        <f t="shared" si="235"/>
        <v>1036254.94</v>
      </c>
      <c r="G137" s="1343"/>
      <c r="H137" s="1341"/>
      <c r="I137" s="1341"/>
      <c r="J137" s="1341"/>
      <c r="K137" s="1341"/>
      <c r="L137" s="1362">
        <f t="shared" si="236"/>
        <v>1036254.94</v>
      </c>
      <c r="M137" s="1337"/>
      <c r="N137" s="1359">
        <f t="shared" si="237"/>
        <v>0</v>
      </c>
      <c r="O137" s="1359">
        <f t="shared" si="238"/>
        <v>1036254.94</v>
      </c>
      <c r="P137" s="1359">
        <f t="shared" si="239"/>
        <v>0</v>
      </c>
      <c r="Q137" s="1359">
        <f t="shared" si="240"/>
        <v>1036254.94</v>
      </c>
      <c r="R137" s="1359"/>
      <c r="S137" s="1359"/>
      <c r="T137" s="1359"/>
      <c r="U137" s="1359"/>
      <c r="V137" s="1681">
        <f t="shared" si="241"/>
        <v>0</v>
      </c>
      <c r="W137" s="1333"/>
      <c r="X137" s="1681">
        <f t="shared" si="242"/>
        <v>0</v>
      </c>
      <c r="Y137" s="1681">
        <f t="shared" si="243"/>
        <v>1036254.94</v>
      </c>
      <c r="Z137" s="1681">
        <f t="shared" si="244"/>
        <v>0</v>
      </c>
      <c r="AA137" s="1681">
        <f t="shared" si="245"/>
        <v>1036254.94</v>
      </c>
      <c r="AB137" s="1341">
        <f>X137</f>
        <v>0</v>
      </c>
      <c r="AC137" s="1341"/>
      <c r="AD137" s="1341"/>
      <c r="AE137" s="1341">
        <v>0</v>
      </c>
      <c r="AF137" s="1341">
        <f>+Y137</f>
        <v>1036254.94</v>
      </c>
      <c r="AG137" s="1341">
        <f>+Z137</f>
        <v>0</v>
      </c>
      <c r="AH137" s="1336" t="s">
        <v>348</v>
      </c>
      <c r="AI137" s="1363">
        <f t="shared" si="234"/>
        <v>0</v>
      </c>
    </row>
    <row r="138" spans="1:35">
      <c r="A138" s="1683"/>
      <c r="B138" s="1336"/>
      <c r="C138" s="1354"/>
      <c r="D138" s="1354"/>
      <c r="E138" s="1354"/>
      <c r="F138" s="1342"/>
      <c r="G138" s="1343"/>
      <c r="H138" s="1341"/>
      <c r="I138" s="1341"/>
      <c r="J138" s="1341"/>
      <c r="K138" s="1341"/>
      <c r="L138" s="1362"/>
      <c r="M138" s="1336"/>
      <c r="N138" s="1359"/>
      <c r="O138" s="1359"/>
      <c r="P138" s="1359"/>
      <c r="Q138" s="1359"/>
      <c r="R138" s="1359"/>
      <c r="S138" s="1359"/>
      <c r="T138" s="1359"/>
      <c r="U138" s="1359"/>
      <c r="V138" s="1364"/>
      <c r="W138" s="1364"/>
      <c r="X138" s="1364"/>
      <c r="Y138" s="1364"/>
      <c r="Z138" s="1364"/>
      <c r="AA138" s="1364"/>
      <c r="AB138" s="1341"/>
      <c r="AC138" s="1341"/>
      <c r="AD138" s="1341"/>
      <c r="AE138" s="1341"/>
      <c r="AF138" s="1341"/>
      <c r="AG138" s="1341"/>
      <c r="AH138" s="1336"/>
      <c r="AI138" s="1363"/>
    </row>
    <row r="139" spans="1:35">
      <c r="A139" s="1372">
        <v>43600</v>
      </c>
      <c r="B139" s="1332" t="s">
        <v>71</v>
      </c>
      <c r="C139" s="1366">
        <f t="shared" ref="C139:J139" si="259">SUM(C132:C138)</f>
        <v>12511260.939999999</v>
      </c>
      <c r="D139" s="1366">
        <f t="shared" si="259"/>
        <v>1148331.7</v>
      </c>
      <c r="E139" s="1366">
        <f t="shared" si="259"/>
        <v>0</v>
      </c>
      <c r="F139" s="1366">
        <f t="shared" si="259"/>
        <v>13659592.640000001</v>
      </c>
      <c r="G139" s="1366">
        <f t="shared" si="259"/>
        <v>0</v>
      </c>
      <c r="H139" s="1366">
        <f t="shared" si="259"/>
        <v>0</v>
      </c>
      <c r="I139" s="1366">
        <f t="shared" si="259"/>
        <v>0</v>
      </c>
      <c r="J139" s="1366">
        <f t="shared" si="259"/>
        <v>0</v>
      </c>
      <c r="K139" s="1367"/>
      <c r="L139" s="1366">
        <f>SUM(L132:L138)</f>
        <v>13659592.640000001</v>
      </c>
      <c r="M139" s="1366"/>
      <c r="N139" s="1366">
        <f>SUM(N132:N138)</f>
        <v>12511260.939999999</v>
      </c>
      <c r="O139" s="1366">
        <f>SUM(O132:O138)</f>
        <v>1148331.7</v>
      </c>
      <c r="P139" s="1366">
        <f>SUM(P132:P138)</f>
        <v>0</v>
      </c>
      <c r="Q139" s="1366">
        <f>SUM(Q132:Q138)</f>
        <v>13659592.640000001</v>
      </c>
      <c r="R139" s="1366"/>
      <c r="S139" s="1366">
        <f>SUM(S132:S138)</f>
        <v>0</v>
      </c>
      <c r="T139" s="1366">
        <f>SUM(T132:T138)</f>
        <v>0</v>
      </c>
      <c r="U139" s="1366">
        <f>SUM(U132:U138)</f>
        <v>0</v>
      </c>
      <c r="V139" s="1366">
        <f>SUM(V132:V138)</f>
        <v>0</v>
      </c>
      <c r="W139" s="1366"/>
      <c r="X139" s="1366">
        <f t="shared" ref="X139:AI139" si="260">SUM(X132:X138)</f>
        <v>12511260.939999999</v>
      </c>
      <c r="Y139" s="1366">
        <f t="shared" si="260"/>
        <v>1148331.7</v>
      </c>
      <c r="Z139" s="1366">
        <f t="shared" si="260"/>
        <v>0</v>
      </c>
      <c r="AA139" s="1366">
        <f t="shared" si="260"/>
        <v>13659592.640000001</v>
      </c>
      <c r="AB139" s="1366">
        <f t="shared" si="260"/>
        <v>11208914.229666043</v>
      </c>
      <c r="AC139" s="1366">
        <f t="shared" si="260"/>
        <v>622241.26051717752</v>
      </c>
      <c r="AD139" s="1366">
        <f t="shared" si="260"/>
        <v>100756.59981677905</v>
      </c>
      <c r="AE139" s="1366">
        <f t="shared" si="260"/>
        <v>579348.84999999986</v>
      </c>
      <c r="AF139" s="1366">
        <f t="shared" si="260"/>
        <v>1148331.7</v>
      </c>
      <c r="AG139" s="1366">
        <f t="shared" si="260"/>
        <v>0</v>
      </c>
      <c r="AH139" s="1366">
        <f t="shared" si="260"/>
        <v>0</v>
      </c>
      <c r="AI139" s="1366">
        <f t="shared" si="260"/>
        <v>0</v>
      </c>
    </row>
    <row r="140" spans="1:35">
      <c r="A140" s="1372"/>
      <c r="B140" s="1332"/>
      <c r="C140" s="1368"/>
      <c r="D140" s="1333"/>
      <c r="E140" s="1381"/>
      <c r="F140" s="1381"/>
      <c r="G140" s="1381"/>
      <c r="H140" s="1369"/>
      <c r="I140" s="1369"/>
      <c r="J140" s="1369"/>
      <c r="K140" s="1369"/>
      <c r="L140" s="1341"/>
      <c r="M140" s="1336"/>
      <c r="N140" s="1342"/>
      <c r="O140" s="1336"/>
      <c r="P140" s="1336"/>
      <c r="Q140" s="1343"/>
      <c r="R140" s="1343"/>
      <c r="S140" s="1343"/>
      <c r="T140" s="1343"/>
      <c r="U140" s="1343"/>
      <c r="V140" s="1364"/>
      <c r="W140" s="1364"/>
      <c r="X140" s="1364"/>
      <c r="Y140" s="1364"/>
      <c r="Z140" s="1364"/>
      <c r="AA140" s="1364"/>
      <c r="AB140" s="1341"/>
      <c r="AC140" s="1341"/>
      <c r="AD140" s="1341"/>
      <c r="AE140" s="1341"/>
      <c r="AF140" s="1341"/>
      <c r="AG140" s="1341"/>
      <c r="AH140" s="1336"/>
      <c r="AI140" s="1363">
        <f>SUM(AB140:AG140)-AA140</f>
        <v>0</v>
      </c>
    </row>
    <row r="141" spans="1:35">
      <c r="A141" s="1372"/>
      <c r="B141" s="1332"/>
      <c r="C141" s="1368"/>
      <c r="D141" s="1333"/>
      <c r="E141" s="1381"/>
      <c r="F141" s="1381"/>
      <c r="G141" s="1381"/>
      <c r="H141" s="1369"/>
      <c r="I141" s="1369"/>
      <c r="J141" s="1369"/>
      <c r="K141" s="1369"/>
      <c r="L141" s="1341"/>
      <c r="M141" s="1336"/>
      <c r="N141" s="1342"/>
      <c r="O141" s="1336"/>
      <c r="P141" s="1336"/>
      <c r="Q141" s="1343"/>
      <c r="R141" s="1343"/>
      <c r="S141" s="1343"/>
      <c r="T141" s="1343"/>
      <c r="U141" s="1343"/>
      <c r="V141" s="1364"/>
      <c r="W141" s="1364"/>
      <c r="X141" s="1364"/>
      <c r="Y141" s="1364"/>
      <c r="Z141" s="1364"/>
      <c r="AA141" s="1364"/>
      <c r="AB141" s="1341"/>
      <c r="AC141" s="1341"/>
      <c r="AD141" s="1341"/>
      <c r="AE141" s="1341"/>
      <c r="AF141" s="1341"/>
      <c r="AG141" s="1341"/>
      <c r="AH141" s="1336"/>
      <c r="AI141" s="1363"/>
    </row>
    <row r="142" spans="1:35">
      <c r="A142" s="1331">
        <v>40861</v>
      </c>
      <c r="B142" s="1336" t="s">
        <v>72</v>
      </c>
      <c r="C142" s="1341">
        <f>+IFERROR(VLOOKUP(A142,'2183 IS 2018'!$D:$AH,31,FALSE),0)</f>
        <v>122765.85</v>
      </c>
      <c r="D142" s="1354">
        <f>+IFERROR(VLOOKUP(A142,'2184 IS 2018'!$D:$AH,31,FALSE),0)</f>
        <v>0</v>
      </c>
      <c r="E142" s="1354">
        <f>+IFERROR(VLOOKUP(A142,'2185 IS 2018'!$D:$AH,31,FALSE),0)</f>
        <v>0</v>
      </c>
      <c r="F142" s="1342">
        <f t="shared" ref="F142:F143" si="261">SUM(C142:E142)</f>
        <v>122765.85</v>
      </c>
      <c r="G142" s="1343"/>
      <c r="H142" s="1341">
        <f>-C142+'Restating Adj''s'!AA28</f>
        <v>-57989.309699756814</v>
      </c>
      <c r="I142" s="1341"/>
      <c r="J142" s="1341"/>
      <c r="K142" s="1369" t="s">
        <v>2711</v>
      </c>
      <c r="L142" s="1362">
        <f t="shared" ref="L142:L143" si="262">F142+H142+I142+J142</f>
        <v>64776.540300243192</v>
      </c>
      <c r="M142" s="1337"/>
      <c r="N142" s="1359">
        <f t="shared" ref="N142:N143" si="263">C142+H142</f>
        <v>64776.540300243192</v>
      </c>
      <c r="O142" s="1359">
        <f t="shared" ref="O142:O143" si="264">D142+I142</f>
        <v>0</v>
      </c>
      <c r="P142" s="1359">
        <f t="shared" ref="P142:P143" si="265">E142+J142</f>
        <v>0</v>
      </c>
      <c r="Q142" s="1359">
        <f t="shared" ref="Q142:Q143" si="266">SUM(N142:P142)</f>
        <v>64776.540300243192</v>
      </c>
      <c r="R142" s="1359"/>
      <c r="S142" s="1359"/>
      <c r="T142" s="1359"/>
      <c r="U142" s="1359"/>
      <c r="V142" s="1681">
        <f t="shared" ref="V142:V143" si="267">+SUM(S142:U142)</f>
        <v>0</v>
      </c>
      <c r="W142" s="1333"/>
      <c r="X142" s="1681">
        <f t="shared" ref="X142:X143" si="268">+S142+N142</f>
        <v>64776.540300243192</v>
      </c>
      <c r="Y142" s="1681">
        <f t="shared" ref="Y142:Y143" si="269">+T142+O142</f>
        <v>0</v>
      </c>
      <c r="Z142" s="1681">
        <f t="shared" ref="Z142:Z143" si="270">+U142+P142</f>
        <v>0</v>
      </c>
      <c r="AA142" s="1681">
        <f t="shared" ref="AA142:AA143" si="271">+SUM(X142:Z142)</f>
        <v>64776.540300243192</v>
      </c>
      <c r="AB142" s="1362">
        <f>$AA$142*'2183-2184-2185 Ratios'!C31</f>
        <v>61453.370204546984</v>
      </c>
      <c r="AC142" s="1362">
        <f>$AA$142*'2183-2184-2185 Ratios'!D31</f>
        <v>2592.4102288771055</v>
      </c>
      <c r="AD142" s="1362">
        <f>$AA$142*'2183-2184-2185 Ratios'!E31</f>
        <v>730.7598668191074</v>
      </c>
      <c r="AE142" s="1341"/>
      <c r="AF142" s="1341"/>
      <c r="AG142" s="1341"/>
      <c r="AH142" s="1336" t="s">
        <v>2522</v>
      </c>
      <c r="AI142" s="1363">
        <f>SUM(AB142:AG142)-AA142</f>
        <v>0</v>
      </c>
    </row>
    <row r="143" spans="1:35" s="34" customFormat="1">
      <c r="A143" s="1331">
        <v>40869</v>
      </c>
      <c r="B143" s="1336" t="s">
        <v>73</v>
      </c>
      <c r="C143" s="1341">
        <f>+IFERROR(VLOOKUP(A143,'2183 IS 2018'!$D:$AH,31,FALSE),0)</f>
        <v>0</v>
      </c>
      <c r="D143" s="1354">
        <f>+IFERROR(VLOOKUP(A143,'2184 IS 2018'!$D:$AH,31,FALSE),0)</f>
        <v>0</v>
      </c>
      <c r="E143" s="1354">
        <f>+IFERROR(VLOOKUP(A143,'2185 IS 2018'!$D:$AH,31,FALSE),0)</f>
        <v>159813.30000000002</v>
      </c>
      <c r="F143" s="1342">
        <f t="shared" si="261"/>
        <v>159813.30000000002</v>
      </c>
      <c r="G143" s="1343"/>
      <c r="H143" s="1341"/>
      <c r="I143" s="1341"/>
      <c r="J143" s="1341"/>
      <c r="K143" s="1341"/>
      <c r="L143" s="1362">
        <f t="shared" si="262"/>
        <v>159813.30000000002</v>
      </c>
      <c r="M143" s="1337"/>
      <c r="N143" s="1359">
        <f t="shared" si="263"/>
        <v>0</v>
      </c>
      <c r="O143" s="1359">
        <f t="shared" si="264"/>
        <v>0</v>
      </c>
      <c r="P143" s="1359">
        <f t="shared" si="265"/>
        <v>159813.30000000002</v>
      </c>
      <c r="Q143" s="1359">
        <f t="shared" si="266"/>
        <v>159813.30000000002</v>
      </c>
      <c r="R143" s="1359"/>
      <c r="S143" s="1359"/>
      <c r="T143" s="1359"/>
      <c r="U143" s="1359"/>
      <c r="V143" s="1681">
        <f t="shared" si="267"/>
        <v>0</v>
      </c>
      <c r="W143" s="1333"/>
      <c r="X143" s="1681">
        <f t="shared" si="268"/>
        <v>0</v>
      </c>
      <c r="Y143" s="1681">
        <f t="shared" si="269"/>
        <v>0</v>
      </c>
      <c r="Z143" s="1681">
        <f t="shared" si="270"/>
        <v>159813.30000000002</v>
      </c>
      <c r="AA143" s="1681">
        <f t="shared" si="271"/>
        <v>159813.30000000002</v>
      </c>
      <c r="AB143" s="1362">
        <f>+X143</f>
        <v>0</v>
      </c>
      <c r="AC143" s="1362"/>
      <c r="AD143" s="1362"/>
      <c r="AE143" s="1341">
        <f t="shared" ref="AE143:AG143" si="272">+X143</f>
        <v>0</v>
      </c>
      <c r="AF143" s="1341">
        <f t="shared" si="272"/>
        <v>0</v>
      </c>
      <c r="AG143" s="1341">
        <f t="shared" si="272"/>
        <v>159813.30000000002</v>
      </c>
      <c r="AH143" s="1336" t="s">
        <v>348</v>
      </c>
      <c r="AI143" s="1363">
        <f>SUM(AB143:AG143)-AA143</f>
        <v>0</v>
      </c>
    </row>
    <row r="144" spans="1:35">
      <c r="A144" s="1331"/>
      <c r="B144" s="1336"/>
      <c r="C144" s="1354"/>
      <c r="D144" s="1354"/>
      <c r="E144" s="1354"/>
      <c r="F144" s="1342"/>
      <c r="G144" s="1343"/>
      <c r="H144" s="1341"/>
      <c r="I144" s="1341"/>
      <c r="J144" s="1341"/>
      <c r="K144" s="1341"/>
      <c r="L144" s="1362"/>
      <c r="M144" s="1336"/>
      <c r="N144" s="1359"/>
      <c r="O144" s="1359"/>
      <c r="P144" s="1359"/>
      <c r="Q144" s="1359"/>
      <c r="R144" s="1359"/>
      <c r="S144" s="1359"/>
      <c r="T144" s="1359"/>
      <c r="U144" s="1359"/>
      <c r="V144" s="1364"/>
      <c r="W144" s="1364"/>
      <c r="X144" s="1364"/>
      <c r="Y144" s="1364"/>
      <c r="Z144" s="1364"/>
      <c r="AA144" s="1364"/>
      <c r="AB144" s="1362"/>
      <c r="AC144" s="1362"/>
      <c r="AD144" s="1362"/>
      <c r="AE144" s="1362"/>
      <c r="AF144" s="1362"/>
      <c r="AG144" s="1341"/>
      <c r="AH144" s="1336"/>
      <c r="AI144" s="1363"/>
    </row>
    <row r="145" spans="1:35">
      <c r="A145" s="1372">
        <v>43800</v>
      </c>
      <c r="B145" s="1332" t="s">
        <v>72</v>
      </c>
      <c r="C145" s="1366">
        <f>SUM(C142:C144)</f>
        <v>122765.85</v>
      </c>
      <c r="D145" s="1366">
        <f t="shared" ref="D145:AI145" si="273">SUM(D142:D144)</f>
        <v>0</v>
      </c>
      <c r="E145" s="1366">
        <f t="shared" si="273"/>
        <v>159813.30000000002</v>
      </c>
      <c r="F145" s="1366">
        <f t="shared" si="273"/>
        <v>282579.15000000002</v>
      </c>
      <c r="G145" s="1366">
        <f t="shared" si="273"/>
        <v>0</v>
      </c>
      <c r="H145" s="1366">
        <f t="shared" si="273"/>
        <v>-57989.309699756814</v>
      </c>
      <c r="I145" s="1366">
        <f t="shared" si="273"/>
        <v>0</v>
      </c>
      <c r="J145" s="1366">
        <f t="shared" si="273"/>
        <v>0</v>
      </c>
      <c r="K145" s="1367"/>
      <c r="L145" s="1366">
        <f t="shared" si="273"/>
        <v>224589.8403002432</v>
      </c>
      <c r="M145" s="1366"/>
      <c r="N145" s="1366">
        <f t="shared" si="273"/>
        <v>64776.540300243192</v>
      </c>
      <c r="O145" s="1366">
        <f t="shared" si="273"/>
        <v>0</v>
      </c>
      <c r="P145" s="1366">
        <f t="shared" si="273"/>
        <v>159813.30000000002</v>
      </c>
      <c r="Q145" s="1366">
        <f t="shared" si="273"/>
        <v>224589.8403002432</v>
      </c>
      <c r="R145" s="1366"/>
      <c r="S145" s="1366">
        <f t="shared" si="273"/>
        <v>0</v>
      </c>
      <c r="T145" s="1366">
        <f t="shared" si="273"/>
        <v>0</v>
      </c>
      <c r="U145" s="1366">
        <f t="shared" si="273"/>
        <v>0</v>
      </c>
      <c r="V145" s="1366">
        <f t="shared" si="273"/>
        <v>0</v>
      </c>
      <c r="W145" s="1366"/>
      <c r="X145" s="1366">
        <f t="shared" si="273"/>
        <v>64776.540300243192</v>
      </c>
      <c r="Y145" s="1366">
        <f t="shared" si="273"/>
        <v>0</v>
      </c>
      <c r="Z145" s="1366">
        <f t="shared" si="273"/>
        <v>159813.30000000002</v>
      </c>
      <c r="AA145" s="1366">
        <f t="shared" si="273"/>
        <v>224589.8403002432</v>
      </c>
      <c r="AB145" s="1366">
        <f t="shared" si="273"/>
        <v>61453.370204546984</v>
      </c>
      <c r="AC145" s="1366">
        <f t="shared" si="273"/>
        <v>2592.4102288771055</v>
      </c>
      <c r="AD145" s="1366">
        <f t="shared" si="273"/>
        <v>730.7598668191074</v>
      </c>
      <c r="AE145" s="1366">
        <f>SUM(AE142:AE144)</f>
        <v>0</v>
      </c>
      <c r="AF145" s="1366">
        <f t="shared" si="273"/>
        <v>0</v>
      </c>
      <c r="AG145" s="1366">
        <f t="shared" si="273"/>
        <v>159813.30000000002</v>
      </c>
      <c r="AH145" s="1366">
        <f t="shared" si="273"/>
        <v>0</v>
      </c>
      <c r="AI145" s="1366">
        <f t="shared" si="273"/>
        <v>0</v>
      </c>
    </row>
    <row r="146" spans="1:35">
      <c r="A146" s="1372"/>
      <c r="B146" s="1332"/>
      <c r="C146" s="1368"/>
      <c r="D146" s="1333"/>
      <c r="E146" s="1381"/>
      <c r="F146" s="1381"/>
      <c r="G146" s="1381"/>
      <c r="H146" s="1369"/>
      <c r="I146" s="1369"/>
      <c r="J146" s="1369"/>
      <c r="K146" s="1369"/>
      <c r="L146" s="1341"/>
      <c r="M146" s="1336"/>
      <c r="N146" s="1342"/>
      <c r="O146" s="1336"/>
      <c r="P146" s="1336"/>
      <c r="Q146" s="1336"/>
      <c r="R146" s="1336"/>
      <c r="S146" s="1336"/>
      <c r="T146" s="1336"/>
      <c r="U146" s="1336"/>
      <c r="V146" s="1364"/>
      <c r="W146" s="1364"/>
      <c r="X146" s="1364"/>
      <c r="Y146" s="1364"/>
      <c r="Z146" s="1364"/>
      <c r="AA146" s="1364"/>
      <c r="AB146" s="1341"/>
      <c r="AC146" s="1341"/>
      <c r="AD146" s="1341"/>
      <c r="AE146" s="1341"/>
      <c r="AF146" s="1341"/>
      <c r="AG146" s="1341"/>
      <c r="AH146" s="1336"/>
      <c r="AI146" s="1363">
        <f t="shared" ref="AI146:AI157" si="274">SUM(AB146:AG146)-AA146</f>
        <v>0</v>
      </c>
    </row>
    <row r="147" spans="1:35">
      <c r="A147" s="1372"/>
      <c r="B147" s="1332"/>
      <c r="C147" s="1368"/>
      <c r="D147" s="1333"/>
      <c r="E147" s="1381"/>
      <c r="F147" s="1381"/>
      <c r="G147" s="1381"/>
      <c r="H147" s="1369"/>
      <c r="I147" s="1369"/>
      <c r="J147" s="1369"/>
      <c r="K147" s="1369"/>
      <c r="L147" s="1341"/>
      <c r="M147" s="1336"/>
      <c r="N147" s="1342"/>
      <c r="O147" s="1336"/>
      <c r="P147" s="1336"/>
      <c r="Q147" s="1336"/>
      <c r="R147" s="1336"/>
      <c r="S147" s="1336"/>
      <c r="T147" s="1336"/>
      <c r="U147" s="1336"/>
      <c r="V147" s="1364"/>
      <c r="W147" s="1364"/>
      <c r="X147" s="1364"/>
      <c r="Y147" s="1364"/>
      <c r="Z147" s="1364"/>
      <c r="AA147" s="1364"/>
      <c r="AB147" s="1341"/>
      <c r="AC147" s="1341"/>
      <c r="AD147" s="1341"/>
      <c r="AE147" s="1341"/>
      <c r="AF147" s="1341"/>
      <c r="AG147" s="1341"/>
      <c r="AH147" s="1336"/>
      <c r="AI147" s="1363"/>
    </row>
    <row r="148" spans="1:35">
      <c r="A148" s="1331">
        <v>60010</v>
      </c>
      <c r="B148" s="1336" t="s">
        <v>17</v>
      </c>
      <c r="C148" s="1341">
        <f>+IFERROR(VLOOKUP(A148,'2183 IS 2018'!$D:$AH,31,FALSE),0)</f>
        <v>56298.969999999987</v>
      </c>
      <c r="D148" s="1354">
        <f>+IFERROR(VLOOKUP(A148,'2184 IS 2018'!$D:$AH,31,FALSE),0)</f>
        <v>0</v>
      </c>
      <c r="E148" s="1354">
        <f>+IFERROR(VLOOKUP(A148,'2185 IS 2018'!$D:$AH,31,FALSE),0)</f>
        <v>141127.82</v>
      </c>
      <c r="F148" s="1342">
        <f t="shared" ref="F148:F157" si="275">SUM(C148:E148)</f>
        <v>197426.78999999998</v>
      </c>
      <c r="G148" s="1343"/>
      <c r="H148" s="1341"/>
      <c r="I148" s="1341"/>
      <c r="J148" s="1341"/>
      <c r="K148" s="1341"/>
      <c r="L148" s="1362">
        <f t="shared" ref="L148:L157" si="276">F148+H148+I148+J148</f>
        <v>197426.78999999998</v>
      </c>
      <c r="M148" s="1337"/>
      <c r="N148" s="1359">
        <f t="shared" ref="N148:N157" si="277">C148+H148</f>
        <v>56298.969999999987</v>
      </c>
      <c r="O148" s="1359">
        <f t="shared" ref="O148:O157" si="278">D148+I148</f>
        <v>0</v>
      </c>
      <c r="P148" s="1359">
        <f t="shared" ref="P148:P157" si="279">E148+J148</f>
        <v>141127.82</v>
      </c>
      <c r="Q148" s="1359">
        <f t="shared" ref="Q148:Q157" si="280">SUM(N148:P148)</f>
        <v>197426.78999999998</v>
      </c>
      <c r="R148" s="1359"/>
      <c r="S148" s="1359">
        <f>+'Pro-forma Adj''s'!B13</f>
        <v>1601.5172538461484</v>
      </c>
      <c r="T148" s="1359"/>
      <c r="U148" s="1359"/>
      <c r="V148" s="1681">
        <f t="shared" ref="V148:V157" si="281">+SUM(S148:U148)</f>
        <v>1601.5172538461484</v>
      </c>
      <c r="W148" s="1369" t="s">
        <v>876</v>
      </c>
      <c r="X148" s="1681">
        <f t="shared" ref="X148:X157" si="282">+S148+N148</f>
        <v>57900.487253846135</v>
      </c>
      <c r="Y148" s="1681">
        <f t="shared" ref="Y148:Y157" si="283">+T148+O148</f>
        <v>0</v>
      </c>
      <c r="Z148" s="1681">
        <f t="shared" ref="Z148:Z157" si="284">+U148+P148</f>
        <v>141127.82</v>
      </c>
      <c r="AA148" s="1681">
        <f t="shared" ref="AA148:AA157" si="285">+SUM(X148:Z148)</f>
        <v>199028.30725384614</v>
      </c>
      <c r="AB148" s="1341">
        <v>0</v>
      </c>
      <c r="AC148" s="1341">
        <v>0</v>
      </c>
      <c r="AD148" s="1341">
        <v>0</v>
      </c>
      <c r="AE148" s="1341">
        <f t="shared" ref="AE148:AE157" si="286">+X148</f>
        <v>57900.487253846135</v>
      </c>
      <c r="AF148" s="1341">
        <f>+Y148</f>
        <v>0</v>
      </c>
      <c r="AG148" s="1341">
        <f>+Z148</f>
        <v>141127.82</v>
      </c>
      <c r="AH148" s="1336" t="s">
        <v>348</v>
      </c>
      <c r="AI148" s="1363">
        <f t="shared" si="274"/>
        <v>0</v>
      </c>
    </row>
    <row r="149" spans="1:35">
      <c r="A149" s="1331">
        <v>60030</v>
      </c>
      <c r="B149" s="1336" t="s">
        <v>74</v>
      </c>
      <c r="C149" s="1341">
        <f>+IFERROR(VLOOKUP(A149,'2183 IS 2018'!$D:$AH,31,FALSE),0)</f>
        <v>13503.650000000001</v>
      </c>
      <c r="D149" s="1354">
        <f>+IFERROR(VLOOKUP(A149,'2184 IS 2018'!$D:$AH,31,FALSE),0)</f>
        <v>0</v>
      </c>
      <c r="E149" s="1354">
        <f>+IFERROR(VLOOKUP(A149,'2185 IS 2018'!$D:$AH,31,FALSE),0)</f>
        <v>87305.07</v>
      </c>
      <c r="F149" s="1342">
        <f t="shared" si="275"/>
        <v>100808.72</v>
      </c>
      <c r="G149" s="1343"/>
      <c r="H149" s="1341"/>
      <c r="I149" s="1341"/>
      <c r="J149" s="1341"/>
      <c r="K149" s="1341"/>
      <c r="L149" s="1362">
        <f t="shared" si="276"/>
        <v>100808.72</v>
      </c>
      <c r="M149" s="1337"/>
      <c r="N149" s="1359">
        <f t="shared" si="277"/>
        <v>13503.650000000001</v>
      </c>
      <c r="O149" s="1359">
        <f t="shared" si="278"/>
        <v>0</v>
      </c>
      <c r="P149" s="1359">
        <f t="shared" si="279"/>
        <v>87305.07</v>
      </c>
      <c r="Q149" s="1359">
        <f t="shared" si="280"/>
        <v>100808.72</v>
      </c>
      <c r="R149" s="1359"/>
      <c r="S149" s="1359"/>
      <c r="T149" s="1359"/>
      <c r="U149" s="1359"/>
      <c r="V149" s="1681">
        <f t="shared" si="281"/>
        <v>0</v>
      </c>
      <c r="W149" s="1333"/>
      <c r="X149" s="1681">
        <f t="shared" si="282"/>
        <v>13503.650000000001</v>
      </c>
      <c r="Y149" s="1681">
        <f t="shared" si="283"/>
        <v>0</v>
      </c>
      <c r="Z149" s="1681">
        <f t="shared" si="284"/>
        <v>87305.07</v>
      </c>
      <c r="AA149" s="1681">
        <f t="shared" si="285"/>
        <v>100808.72</v>
      </c>
      <c r="AB149" s="1341">
        <v>0</v>
      </c>
      <c r="AC149" s="1341">
        <v>0</v>
      </c>
      <c r="AD149" s="1341">
        <v>0</v>
      </c>
      <c r="AE149" s="1341">
        <f t="shared" si="286"/>
        <v>13503.650000000001</v>
      </c>
      <c r="AF149" s="1341">
        <f t="shared" ref="AF149:AF157" si="287">+Y149</f>
        <v>0</v>
      </c>
      <c r="AG149" s="1341">
        <f t="shared" ref="AG149:AG157" si="288">+Z149</f>
        <v>87305.07</v>
      </c>
      <c r="AH149" s="1336" t="s">
        <v>348</v>
      </c>
      <c r="AI149" s="1363">
        <f t="shared" si="274"/>
        <v>0</v>
      </c>
    </row>
    <row r="150" spans="1:35">
      <c r="A150" s="1331">
        <v>60060</v>
      </c>
      <c r="B150" s="1336" t="s">
        <v>75</v>
      </c>
      <c r="C150" s="1341">
        <f>+IFERROR(VLOOKUP(A150,'2183 IS 2018'!$D:$AH,31,FALSE),0)</f>
        <v>12765.960000000003</v>
      </c>
      <c r="D150" s="1354">
        <f>+IFERROR(VLOOKUP(A150,'2184 IS 2018'!$D:$AH,31,FALSE),0)</f>
        <v>0</v>
      </c>
      <c r="E150" s="1354">
        <f>+IFERROR(VLOOKUP(A150,'2185 IS 2018'!$D:$AH,31,FALSE),0)</f>
        <v>28463.16</v>
      </c>
      <c r="F150" s="1342">
        <f t="shared" si="275"/>
        <v>41229.120000000003</v>
      </c>
      <c r="G150" s="1343"/>
      <c r="H150" s="1341"/>
      <c r="I150" s="1341"/>
      <c r="J150" s="1341"/>
      <c r="K150" s="1341"/>
      <c r="L150" s="1362">
        <f t="shared" si="276"/>
        <v>41229.120000000003</v>
      </c>
      <c r="M150" s="1337"/>
      <c r="N150" s="1359">
        <f t="shared" si="277"/>
        <v>12765.960000000003</v>
      </c>
      <c r="O150" s="1359">
        <f t="shared" si="278"/>
        <v>0</v>
      </c>
      <c r="P150" s="1359">
        <f t="shared" si="279"/>
        <v>28463.16</v>
      </c>
      <c r="Q150" s="1359">
        <f t="shared" si="280"/>
        <v>41229.120000000003</v>
      </c>
      <c r="R150" s="1359"/>
      <c r="S150" s="1359"/>
      <c r="T150" s="1359"/>
      <c r="U150" s="1359"/>
      <c r="V150" s="1681">
        <f t="shared" si="281"/>
        <v>0</v>
      </c>
      <c r="W150" s="1333"/>
      <c r="X150" s="1681">
        <f t="shared" si="282"/>
        <v>12765.960000000003</v>
      </c>
      <c r="Y150" s="1681">
        <f t="shared" si="283"/>
        <v>0</v>
      </c>
      <c r="Z150" s="1681">
        <f t="shared" si="284"/>
        <v>28463.16</v>
      </c>
      <c r="AA150" s="1681">
        <f t="shared" si="285"/>
        <v>41229.120000000003</v>
      </c>
      <c r="AB150" s="1341">
        <v>0</v>
      </c>
      <c r="AC150" s="1341">
        <v>0</v>
      </c>
      <c r="AD150" s="1341">
        <v>0</v>
      </c>
      <c r="AE150" s="1341">
        <f t="shared" si="286"/>
        <v>12765.960000000003</v>
      </c>
      <c r="AF150" s="1341">
        <f t="shared" si="287"/>
        <v>0</v>
      </c>
      <c r="AG150" s="1341">
        <f t="shared" si="288"/>
        <v>28463.16</v>
      </c>
      <c r="AH150" s="1336" t="s">
        <v>348</v>
      </c>
      <c r="AI150" s="1363">
        <f t="shared" si="274"/>
        <v>0</v>
      </c>
    </row>
    <row r="151" spans="1:35">
      <c r="A151" s="1331">
        <v>60065</v>
      </c>
      <c r="B151" s="1336" t="s">
        <v>21</v>
      </c>
      <c r="C151" s="1341">
        <f>+IFERROR(VLOOKUP(A151,'2183 IS 2018'!$D:$AH,31,FALSE),0)</f>
        <v>-4608.7</v>
      </c>
      <c r="D151" s="1354">
        <f>+IFERROR(VLOOKUP(A151,'2184 IS 2018'!$D:$AH,31,FALSE),0)</f>
        <v>0</v>
      </c>
      <c r="E151" s="1354">
        <f>+IFERROR(VLOOKUP(A151,'2185 IS 2018'!$D:$AH,31,FALSE),0)</f>
        <v>-3417.27</v>
      </c>
      <c r="F151" s="1342">
        <f t="shared" si="275"/>
        <v>-8025.9699999999993</v>
      </c>
      <c r="G151" s="1343"/>
      <c r="H151" s="1341"/>
      <c r="I151" s="1341"/>
      <c r="J151" s="1341"/>
      <c r="K151" s="1341"/>
      <c r="L151" s="1362">
        <f t="shared" si="276"/>
        <v>-8025.9699999999993</v>
      </c>
      <c r="M151" s="1337"/>
      <c r="N151" s="1359">
        <f t="shared" si="277"/>
        <v>-4608.7</v>
      </c>
      <c r="O151" s="1359">
        <f t="shared" si="278"/>
        <v>0</v>
      </c>
      <c r="P151" s="1359">
        <f t="shared" si="279"/>
        <v>-3417.27</v>
      </c>
      <c r="Q151" s="1359">
        <f t="shared" si="280"/>
        <v>-8025.9699999999993</v>
      </c>
      <c r="R151" s="1359"/>
      <c r="S151" s="1359"/>
      <c r="T151" s="1359"/>
      <c r="U151" s="1359"/>
      <c r="V151" s="1681">
        <f t="shared" si="281"/>
        <v>0</v>
      </c>
      <c r="W151" s="1333"/>
      <c r="X151" s="1681">
        <f t="shared" si="282"/>
        <v>-4608.7</v>
      </c>
      <c r="Y151" s="1681">
        <f t="shared" si="283"/>
        <v>0</v>
      </c>
      <c r="Z151" s="1681">
        <f t="shared" si="284"/>
        <v>-3417.27</v>
      </c>
      <c r="AA151" s="1681">
        <f t="shared" si="285"/>
        <v>-8025.9699999999993</v>
      </c>
      <c r="AB151" s="1341">
        <v>0</v>
      </c>
      <c r="AC151" s="1341">
        <v>0</v>
      </c>
      <c r="AD151" s="1341">
        <v>0</v>
      </c>
      <c r="AE151" s="1341">
        <f t="shared" si="286"/>
        <v>-4608.7</v>
      </c>
      <c r="AF151" s="1341">
        <f t="shared" si="287"/>
        <v>0</v>
      </c>
      <c r="AG151" s="1341">
        <f t="shared" si="288"/>
        <v>-3417.27</v>
      </c>
      <c r="AH151" s="1336" t="s">
        <v>348</v>
      </c>
      <c r="AI151" s="1363">
        <f t="shared" si="274"/>
        <v>0</v>
      </c>
    </row>
    <row r="152" spans="1:35">
      <c r="A152" s="1331">
        <v>60070</v>
      </c>
      <c r="B152" s="1336" t="s">
        <v>22</v>
      </c>
      <c r="C152" s="1341">
        <f>+IFERROR(VLOOKUP(A152,'2183 IS 2018'!$D:$AH,31,FALSE),0)</f>
        <v>1684.0000000000002</v>
      </c>
      <c r="D152" s="1354">
        <f>+IFERROR(VLOOKUP(A152,'2184 IS 2018'!$D:$AH,31,FALSE),0)</f>
        <v>0</v>
      </c>
      <c r="E152" s="1354">
        <f>+IFERROR(VLOOKUP(A152,'2185 IS 2018'!$D:$AH,31,FALSE),0)</f>
        <v>0</v>
      </c>
      <c r="F152" s="1342">
        <f t="shared" si="275"/>
        <v>1684.0000000000002</v>
      </c>
      <c r="G152" s="1343"/>
      <c r="H152" s="1341"/>
      <c r="I152" s="1341"/>
      <c r="J152" s="1341"/>
      <c r="K152" s="1341"/>
      <c r="L152" s="1362">
        <f t="shared" si="276"/>
        <v>1684.0000000000002</v>
      </c>
      <c r="M152" s="1337"/>
      <c r="N152" s="1359">
        <f t="shared" si="277"/>
        <v>1684.0000000000002</v>
      </c>
      <c r="O152" s="1359">
        <f t="shared" si="278"/>
        <v>0</v>
      </c>
      <c r="P152" s="1359">
        <f t="shared" si="279"/>
        <v>0</v>
      </c>
      <c r="Q152" s="1359">
        <f t="shared" si="280"/>
        <v>1684.0000000000002</v>
      </c>
      <c r="R152" s="1359"/>
      <c r="S152" s="1359"/>
      <c r="T152" s="1359"/>
      <c r="U152" s="1359"/>
      <c r="V152" s="1681">
        <f t="shared" si="281"/>
        <v>0</v>
      </c>
      <c r="W152" s="1333"/>
      <c r="X152" s="1681">
        <f t="shared" si="282"/>
        <v>1684.0000000000002</v>
      </c>
      <c r="Y152" s="1681">
        <f t="shared" si="283"/>
        <v>0</v>
      </c>
      <c r="Z152" s="1681">
        <f t="shared" si="284"/>
        <v>0</v>
      </c>
      <c r="AA152" s="1681">
        <f t="shared" si="285"/>
        <v>1684.0000000000002</v>
      </c>
      <c r="AB152" s="1341">
        <v>0</v>
      </c>
      <c r="AC152" s="1341">
        <v>0</v>
      </c>
      <c r="AD152" s="1341">
        <v>0</v>
      </c>
      <c r="AE152" s="1341">
        <f t="shared" si="286"/>
        <v>1684.0000000000002</v>
      </c>
      <c r="AF152" s="1341">
        <f t="shared" si="287"/>
        <v>0</v>
      </c>
      <c r="AG152" s="1341">
        <f t="shared" si="288"/>
        <v>0</v>
      </c>
      <c r="AH152" s="1336" t="s">
        <v>348</v>
      </c>
      <c r="AI152" s="1363">
        <f t="shared" si="274"/>
        <v>0</v>
      </c>
    </row>
    <row r="153" spans="1:35">
      <c r="A153" s="1683">
        <v>60201</v>
      </c>
      <c r="B153" s="1336" t="s">
        <v>77</v>
      </c>
      <c r="C153" s="1341">
        <f>+IFERROR(VLOOKUP(A153,'2183 IS 2018'!$D:$AH,31,FALSE),0)</f>
        <v>0</v>
      </c>
      <c r="D153" s="1354">
        <f>+IFERROR(VLOOKUP(A153,'2184 IS 2018'!$D:$AH,31,FALSE),0)</f>
        <v>0</v>
      </c>
      <c r="E153" s="1354">
        <f>+IFERROR(VLOOKUP(A153,'2185 IS 2018'!$D:$AH,31,FALSE),0)</f>
        <v>1135.92</v>
      </c>
      <c r="F153" s="1342">
        <f t="shared" si="275"/>
        <v>1135.92</v>
      </c>
      <c r="G153" s="1343"/>
      <c r="H153" s="1341"/>
      <c r="I153" s="1341"/>
      <c r="J153" s="1341"/>
      <c r="K153" s="1341"/>
      <c r="L153" s="1362">
        <f t="shared" si="276"/>
        <v>1135.92</v>
      </c>
      <c r="M153" s="1337"/>
      <c r="N153" s="1359">
        <f t="shared" si="277"/>
        <v>0</v>
      </c>
      <c r="O153" s="1359">
        <f t="shared" si="278"/>
        <v>0</v>
      </c>
      <c r="P153" s="1359">
        <f t="shared" si="279"/>
        <v>1135.92</v>
      </c>
      <c r="Q153" s="1359">
        <f t="shared" si="280"/>
        <v>1135.92</v>
      </c>
      <c r="R153" s="1359"/>
      <c r="S153" s="1359"/>
      <c r="T153" s="1359"/>
      <c r="U153" s="1359"/>
      <c r="V153" s="1681">
        <f t="shared" si="281"/>
        <v>0</v>
      </c>
      <c r="W153" s="1333"/>
      <c r="X153" s="1681">
        <f t="shared" si="282"/>
        <v>0</v>
      </c>
      <c r="Y153" s="1681">
        <f t="shared" si="283"/>
        <v>0</v>
      </c>
      <c r="Z153" s="1681">
        <f t="shared" si="284"/>
        <v>1135.92</v>
      </c>
      <c r="AA153" s="1681">
        <f t="shared" si="285"/>
        <v>1135.92</v>
      </c>
      <c r="AB153" s="1341">
        <v>0</v>
      </c>
      <c r="AC153" s="1341">
        <v>0</v>
      </c>
      <c r="AD153" s="1341">
        <v>0</v>
      </c>
      <c r="AE153" s="1341">
        <f t="shared" si="286"/>
        <v>0</v>
      </c>
      <c r="AF153" s="1341">
        <f t="shared" si="287"/>
        <v>0</v>
      </c>
      <c r="AG153" s="1341">
        <f t="shared" si="288"/>
        <v>1135.92</v>
      </c>
      <c r="AH153" s="1336" t="s">
        <v>348</v>
      </c>
      <c r="AI153" s="1363">
        <f t="shared" si="274"/>
        <v>0</v>
      </c>
    </row>
    <row r="154" spans="1:35">
      <c r="A154" s="1683">
        <v>60203</v>
      </c>
      <c r="B154" s="1336" t="s">
        <v>136</v>
      </c>
      <c r="C154" s="1341">
        <f>+IFERROR(VLOOKUP(A154,'2183 IS 2018'!$D:$AH,31,FALSE),0)</f>
        <v>0</v>
      </c>
      <c r="D154" s="1354">
        <f>+IFERROR(VLOOKUP(A154,'2184 IS 2018'!$D:$AH,31,FALSE),0)</f>
        <v>0</v>
      </c>
      <c r="E154" s="1354">
        <f>+IFERROR(VLOOKUP(A154,'2185 IS 2018'!$D:$AH,31,FALSE),0)</f>
        <v>667.71</v>
      </c>
      <c r="F154" s="1342">
        <f t="shared" si="275"/>
        <v>667.71</v>
      </c>
      <c r="G154" s="1343"/>
      <c r="H154" s="1341"/>
      <c r="I154" s="1341"/>
      <c r="J154" s="1341"/>
      <c r="K154" s="1341"/>
      <c r="L154" s="1362">
        <f t="shared" si="276"/>
        <v>667.71</v>
      </c>
      <c r="M154" s="1337"/>
      <c r="N154" s="1359">
        <f t="shared" si="277"/>
        <v>0</v>
      </c>
      <c r="O154" s="1359">
        <f t="shared" si="278"/>
        <v>0</v>
      </c>
      <c r="P154" s="1359">
        <f t="shared" si="279"/>
        <v>667.71</v>
      </c>
      <c r="Q154" s="1359">
        <f t="shared" si="280"/>
        <v>667.71</v>
      </c>
      <c r="R154" s="1359"/>
      <c r="S154" s="1359"/>
      <c r="T154" s="1359"/>
      <c r="U154" s="1359"/>
      <c r="V154" s="1681">
        <f t="shared" si="281"/>
        <v>0</v>
      </c>
      <c r="W154" s="1333"/>
      <c r="X154" s="1681">
        <f t="shared" si="282"/>
        <v>0</v>
      </c>
      <c r="Y154" s="1681">
        <f t="shared" si="283"/>
        <v>0</v>
      </c>
      <c r="Z154" s="1681">
        <f t="shared" si="284"/>
        <v>667.71</v>
      </c>
      <c r="AA154" s="1681">
        <f t="shared" si="285"/>
        <v>667.71</v>
      </c>
      <c r="AB154" s="1341">
        <v>0</v>
      </c>
      <c r="AC154" s="1341">
        <v>0</v>
      </c>
      <c r="AD154" s="1341">
        <v>0</v>
      </c>
      <c r="AE154" s="1341">
        <f t="shared" si="286"/>
        <v>0</v>
      </c>
      <c r="AF154" s="1341">
        <f t="shared" si="287"/>
        <v>0</v>
      </c>
      <c r="AG154" s="1341">
        <f t="shared" si="288"/>
        <v>667.71</v>
      </c>
      <c r="AH154" s="1336" t="s">
        <v>348</v>
      </c>
      <c r="AI154" s="1363">
        <f t="shared" si="274"/>
        <v>0</v>
      </c>
    </row>
    <row r="155" spans="1:35">
      <c r="A155" s="1683">
        <v>60206</v>
      </c>
      <c r="B155" s="1336" t="s">
        <v>263</v>
      </c>
      <c r="C155" s="1341">
        <f>+IFERROR(VLOOKUP(A155,'2183 IS 2018'!$D:$AH,31,FALSE),0)</f>
        <v>0</v>
      </c>
      <c r="D155" s="1354">
        <f>+IFERROR(VLOOKUP(A155,'2184 IS 2018'!$D:$AH,31,FALSE),0)</f>
        <v>0</v>
      </c>
      <c r="E155" s="1354">
        <f>+IFERROR(VLOOKUP(A155,'2185 IS 2018'!$D:$AH,31,FALSE),0)</f>
        <v>1187.53</v>
      </c>
      <c r="F155" s="1342">
        <f t="shared" si="275"/>
        <v>1187.53</v>
      </c>
      <c r="G155" s="1343"/>
      <c r="H155" s="1341"/>
      <c r="I155" s="1341"/>
      <c r="J155" s="1341"/>
      <c r="K155" s="1341"/>
      <c r="L155" s="1362">
        <f t="shared" si="276"/>
        <v>1187.53</v>
      </c>
      <c r="M155" s="1337"/>
      <c r="N155" s="1359">
        <f t="shared" si="277"/>
        <v>0</v>
      </c>
      <c r="O155" s="1359">
        <f t="shared" si="278"/>
        <v>0</v>
      </c>
      <c r="P155" s="1359">
        <f t="shared" si="279"/>
        <v>1187.53</v>
      </c>
      <c r="Q155" s="1359">
        <f t="shared" si="280"/>
        <v>1187.53</v>
      </c>
      <c r="R155" s="1359"/>
      <c r="S155" s="1359"/>
      <c r="T155" s="1359"/>
      <c r="U155" s="1359"/>
      <c r="V155" s="1681">
        <f t="shared" si="281"/>
        <v>0</v>
      </c>
      <c r="W155" s="1333"/>
      <c r="X155" s="1681">
        <f t="shared" si="282"/>
        <v>0</v>
      </c>
      <c r="Y155" s="1681">
        <f t="shared" si="283"/>
        <v>0</v>
      </c>
      <c r="Z155" s="1681">
        <f t="shared" si="284"/>
        <v>1187.53</v>
      </c>
      <c r="AA155" s="1681">
        <f t="shared" si="285"/>
        <v>1187.53</v>
      </c>
      <c r="AB155" s="1341">
        <v>0</v>
      </c>
      <c r="AC155" s="1341">
        <v>0</v>
      </c>
      <c r="AD155" s="1341">
        <v>0</v>
      </c>
      <c r="AE155" s="1341">
        <f t="shared" si="286"/>
        <v>0</v>
      </c>
      <c r="AF155" s="1341">
        <f t="shared" si="287"/>
        <v>0</v>
      </c>
      <c r="AG155" s="1341">
        <f t="shared" si="288"/>
        <v>1187.53</v>
      </c>
      <c r="AH155" s="1336" t="s">
        <v>348</v>
      </c>
      <c r="AI155" s="1363">
        <f t="shared" si="274"/>
        <v>0</v>
      </c>
    </row>
    <row r="156" spans="1:35">
      <c r="A156" s="1683">
        <v>60207</v>
      </c>
      <c r="B156" s="1336" t="s">
        <v>139</v>
      </c>
      <c r="C156" s="1341">
        <f>+IFERROR(VLOOKUP(A156,'2183 IS 2018'!$D:$AH,31,FALSE),0)</f>
        <v>0</v>
      </c>
      <c r="D156" s="1354">
        <f>+IFERROR(VLOOKUP(A156,'2184 IS 2018'!$D:$AH,31,FALSE),0)</f>
        <v>0</v>
      </c>
      <c r="E156" s="1354">
        <f>+IFERROR(VLOOKUP(A156,'2185 IS 2018'!$D:$AH,31,FALSE),0)</f>
        <v>627.41</v>
      </c>
      <c r="F156" s="1342">
        <f t="shared" si="275"/>
        <v>627.41</v>
      </c>
      <c r="G156" s="1343"/>
      <c r="H156" s="1341"/>
      <c r="I156" s="1341"/>
      <c r="J156" s="1341"/>
      <c r="K156" s="1341"/>
      <c r="L156" s="1362">
        <f t="shared" si="276"/>
        <v>627.41</v>
      </c>
      <c r="M156" s="1337"/>
      <c r="N156" s="1359">
        <f t="shared" si="277"/>
        <v>0</v>
      </c>
      <c r="O156" s="1359">
        <f t="shared" si="278"/>
        <v>0</v>
      </c>
      <c r="P156" s="1359">
        <f t="shared" si="279"/>
        <v>627.41</v>
      </c>
      <c r="Q156" s="1359">
        <f t="shared" si="280"/>
        <v>627.41</v>
      </c>
      <c r="R156" s="1359"/>
      <c r="S156" s="1359"/>
      <c r="T156" s="1359"/>
      <c r="U156" s="1359"/>
      <c r="V156" s="1681">
        <f t="shared" si="281"/>
        <v>0</v>
      </c>
      <c r="W156" s="1333"/>
      <c r="X156" s="1681">
        <f t="shared" si="282"/>
        <v>0</v>
      </c>
      <c r="Y156" s="1681">
        <f t="shared" si="283"/>
        <v>0</v>
      </c>
      <c r="Z156" s="1681">
        <f t="shared" si="284"/>
        <v>627.41</v>
      </c>
      <c r="AA156" s="1681">
        <f t="shared" si="285"/>
        <v>627.41</v>
      </c>
      <c r="AB156" s="1341">
        <v>0</v>
      </c>
      <c r="AC156" s="1341">
        <v>0</v>
      </c>
      <c r="AD156" s="1341">
        <v>0</v>
      </c>
      <c r="AE156" s="1341">
        <f t="shared" si="286"/>
        <v>0</v>
      </c>
      <c r="AF156" s="1341">
        <f t="shared" si="287"/>
        <v>0</v>
      </c>
      <c r="AG156" s="1341">
        <f t="shared" si="288"/>
        <v>627.41</v>
      </c>
      <c r="AH156" s="1336" t="s">
        <v>348</v>
      </c>
      <c r="AI156" s="1363">
        <f t="shared" si="274"/>
        <v>0</v>
      </c>
    </row>
    <row r="157" spans="1:35">
      <c r="A157" s="1683">
        <v>60095</v>
      </c>
      <c r="B157" s="1336" t="s">
        <v>61</v>
      </c>
      <c r="C157" s="1341">
        <f>+IFERROR(VLOOKUP(A157,'2183 IS 2018'!$D:$AH,31,FALSE),0)</f>
        <v>0</v>
      </c>
      <c r="D157" s="1354">
        <f>+IFERROR(VLOOKUP(A157,'2184 IS 2018'!$D:$AH,31,FALSE),0)</f>
        <v>0</v>
      </c>
      <c r="E157" s="1354">
        <f>+IFERROR(VLOOKUP(A157,'2185 IS 2018'!$D:$AH,31,FALSE),0)</f>
        <v>5530.32</v>
      </c>
      <c r="F157" s="1342">
        <f t="shared" si="275"/>
        <v>5530.32</v>
      </c>
      <c r="G157" s="1343"/>
      <c r="H157" s="1341"/>
      <c r="I157" s="1341"/>
      <c r="J157" s="1341"/>
      <c r="K157" s="1341"/>
      <c r="L157" s="1362">
        <f t="shared" si="276"/>
        <v>5530.32</v>
      </c>
      <c r="M157" s="1337"/>
      <c r="N157" s="1359">
        <f t="shared" si="277"/>
        <v>0</v>
      </c>
      <c r="O157" s="1359">
        <f t="shared" si="278"/>
        <v>0</v>
      </c>
      <c r="P157" s="1359">
        <f t="shared" si="279"/>
        <v>5530.32</v>
      </c>
      <c r="Q157" s="1359">
        <f t="shared" si="280"/>
        <v>5530.32</v>
      </c>
      <c r="R157" s="1359"/>
      <c r="S157" s="1359"/>
      <c r="T157" s="1359"/>
      <c r="U157" s="1359"/>
      <c r="V157" s="1681">
        <f t="shared" si="281"/>
        <v>0</v>
      </c>
      <c r="W157" s="1333"/>
      <c r="X157" s="1681">
        <f t="shared" si="282"/>
        <v>0</v>
      </c>
      <c r="Y157" s="1681">
        <f t="shared" si="283"/>
        <v>0</v>
      </c>
      <c r="Z157" s="1681">
        <f t="shared" si="284"/>
        <v>5530.32</v>
      </c>
      <c r="AA157" s="1681">
        <f t="shared" si="285"/>
        <v>5530.32</v>
      </c>
      <c r="AB157" s="1341">
        <v>0</v>
      </c>
      <c r="AC157" s="1341">
        <v>0</v>
      </c>
      <c r="AD157" s="1341">
        <v>0</v>
      </c>
      <c r="AE157" s="1341">
        <f t="shared" si="286"/>
        <v>0</v>
      </c>
      <c r="AF157" s="1341">
        <f t="shared" si="287"/>
        <v>0</v>
      </c>
      <c r="AG157" s="1341">
        <f t="shared" si="288"/>
        <v>5530.32</v>
      </c>
      <c r="AH157" s="1336" t="s">
        <v>348</v>
      </c>
      <c r="AI157" s="1363">
        <f t="shared" si="274"/>
        <v>0</v>
      </c>
    </row>
    <row r="158" spans="1:35">
      <c r="A158" s="1683"/>
      <c r="B158" s="1336"/>
      <c r="C158" s="1354"/>
      <c r="D158" s="1354"/>
      <c r="E158" s="1354"/>
      <c r="F158" s="1342"/>
      <c r="G158" s="1343"/>
      <c r="H158" s="1341"/>
      <c r="I158" s="1341"/>
      <c r="J158" s="1341"/>
      <c r="K158" s="1341"/>
      <c r="L158" s="1362"/>
      <c r="M158" s="1336"/>
      <c r="N158" s="1359"/>
      <c r="O158" s="1359"/>
      <c r="P158" s="1359"/>
      <c r="Q158" s="1359"/>
      <c r="R158" s="1359"/>
      <c r="S158" s="1359"/>
      <c r="T158" s="1359"/>
      <c r="U158" s="1359"/>
      <c r="V158" s="1364"/>
      <c r="W158" s="1364"/>
      <c r="X158" s="1364"/>
      <c r="Y158" s="1364"/>
      <c r="Z158" s="1364"/>
      <c r="AA158" s="1364"/>
      <c r="AB158" s="1341"/>
      <c r="AC158" s="1341"/>
      <c r="AD158" s="1341"/>
      <c r="AE158" s="1341"/>
      <c r="AF158" s="1341"/>
      <c r="AG158" s="1341"/>
      <c r="AH158" s="1336"/>
      <c r="AI158" s="1363"/>
    </row>
    <row r="159" spans="1:35">
      <c r="A159" s="1685">
        <v>44000</v>
      </c>
      <c r="B159" s="1386" t="s">
        <v>78</v>
      </c>
      <c r="C159" s="1366">
        <f t="shared" ref="C159:J159" si="289">SUM(C148:C158)</f>
        <v>79643.88</v>
      </c>
      <c r="D159" s="1366">
        <f t="shared" si="289"/>
        <v>0</v>
      </c>
      <c r="E159" s="1366">
        <f t="shared" si="289"/>
        <v>262627.67000000004</v>
      </c>
      <c r="F159" s="1366">
        <f t="shared" si="289"/>
        <v>342271.55000000005</v>
      </c>
      <c r="G159" s="1366">
        <f t="shared" si="289"/>
        <v>0</v>
      </c>
      <c r="H159" s="1366">
        <f t="shared" si="289"/>
        <v>0</v>
      </c>
      <c r="I159" s="1366">
        <f t="shared" si="289"/>
        <v>0</v>
      </c>
      <c r="J159" s="1366">
        <f t="shared" si="289"/>
        <v>0</v>
      </c>
      <c r="K159" s="1367"/>
      <c r="L159" s="1366">
        <f>SUM(L148:L158)</f>
        <v>342271.55000000005</v>
      </c>
      <c r="M159" s="1366"/>
      <c r="N159" s="1366">
        <f>SUM(N148:N158)</f>
        <v>79643.88</v>
      </c>
      <c r="O159" s="1366">
        <f>SUM(O148:O158)</f>
        <v>0</v>
      </c>
      <c r="P159" s="1366">
        <f>SUM(P148:P158)</f>
        <v>262627.67000000004</v>
      </c>
      <c r="Q159" s="1366">
        <f>SUM(Q148:Q158)</f>
        <v>342271.55000000005</v>
      </c>
      <c r="R159" s="1366"/>
      <c r="S159" s="1366">
        <f>SUM(S148:S158)</f>
        <v>1601.5172538461484</v>
      </c>
      <c r="T159" s="1366">
        <f>SUM(T148:T158)</f>
        <v>0</v>
      </c>
      <c r="U159" s="1366">
        <f>SUM(U148:U158)</f>
        <v>0</v>
      </c>
      <c r="V159" s="1366">
        <f>SUM(V148:V158)</f>
        <v>1601.5172538461484</v>
      </c>
      <c r="W159" s="1366"/>
      <c r="X159" s="1366">
        <f t="shared" ref="X159:AI159" si="290">SUM(X148:X158)</f>
        <v>81245.397253846138</v>
      </c>
      <c r="Y159" s="1366">
        <f t="shared" si="290"/>
        <v>0</v>
      </c>
      <c r="Z159" s="1366">
        <f t="shared" si="290"/>
        <v>262627.67000000004</v>
      </c>
      <c r="AA159" s="1366">
        <f t="shared" si="290"/>
        <v>343873.06725384621</v>
      </c>
      <c r="AB159" s="1366">
        <f t="shared" si="290"/>
        <v>0</v>
      </c>
      <c r="AC159" s="1366">
        <f t="shared" si="290"/>
        <v>0</v>
      </c>
      <c r="AD159" s="1366">
        <f t="shared" si="290"/>
        <v>0</v>
      </c>
      <c r="AE159" s="1366">
        <f t="shared" si="290"/>
        <v>81245.397253846138</v>
      </c>
      <c r="AF159" s="1366">
        <f t="shared" si="290"/>
        <v>0</v>
      </c>
      <c r="AG159" s="1366">
        <f t="shared" si="290"/>
        <v>262627.67000000004</v>
      </c>
      <c r="AH159" s="1366">
        <f t="shared" si="290"/>
        <v>0</v>
      </c>
      <c r="AI159" s="1366">
        <f t="shared" si="290"/>
        <v>0</v>
      </c>
    </row>
    <row r="160" spans="1:35">
      <c r="A160" s="1372"/>
      <c r="B160" s="1332"/>
      <c r="C160" s="1368"/>
      <c r="D160" s="1333"/>
      <c r="E160" s="1381"/>
      <c r="F160" s="1381"/>
      <c r="G160" s="1381"/>
      <c r="H160" s="1369"/>
      <c r="I160" s="1369"/>
      <c r="J160" s="1369"/>
      <c r="K160" s="1369"/>
      <c r="L160" s="1341"/>
      <c r="M160" s="1336"/>
      <c r="N160" s="1342"/>
      <c r="O160" s="1336"/>
      <c r="P160" s="1336"/>
      <c r="Q160" s="1336"/>
      <c r="R160" s="1336"/>
      <c r="S160" s="1336"/>
      <c r="T160" s="1336"/>
      <c r="U160" s="1336"/>
      <c r="V160" s="1364"/>
      <c r="W160" s="1364"/>
      <c r="X160" s="1364"/>
      <c r="Y160" s="1364"/>
      <c r="Z160" s="1364"/>
      <c r="AA160" s="1364"/>
      <c r="AB160" s="1341"/>
      <c r="AC160" s="1341"/>
      <c r="AD160" s="1341"/>
      <c r="AE160" s="1341"/>
      <c r="AF160" s="1341"/>
      <c r="AG160" s="1341"/>
      <c r="AH160" s="1336"/>
      <c r="AI160" s="1363">
        <f>SUM(AB160:AG160)-AA160</f>
        <v>0</v>
      </c>
    </row>
    <row r="161" spans="1:35">
      <c r="A161" s="1372"/>
      <c r="B161" s="1332"/>
      <c r="C161" s="1368"/>
      <c r="D161" s="1333"/>
      <c r="E161" s="1381"/>
      <c r="F161" s="1381"/>
      <c r="G161" s="1381"/>
      <c r="H161" s="1369"/>
      <c r="I161" s="1369"/>
      <c r="J161" s="1369"/>
      <c r="K161" s="1369"/>
      <c r="L161" s="1341"/>
      <c r="M161" s="1336"/>
      <c r="N161" s="1342"/>
      <c r="O161" s="1336"/>
      <c r="P161" s="1336"/>
      <c r="Q161" s="1336"/>
      <c r="R161" s="1336"/>
      <c r="S161" s="1336"/>
      <c r="T161" s="1336"/>
      <c r="U161" s="1336"/>
      <c r="V161" s="1364"/>
      <c r="W161" s="1364"/>
      <c r="X161" s="1364"/>
      <c r="Y161" s="1364"/>
      <c r="Z161" s="1364"/>
      <c r="AA161" s="1364"/>
      <c r="AB161" s="1341"/>
      <c r="AC161" s="1341"/>
      <c r="AD161" s="1341"/>
      <c r="AE161" s="1341"/>
      <c r="AF161" s="1341"/>
      <c r="AG161" s="1341"/>
      <c r="AH161" s="1336"/>
      <c r="AI161" s="1363"/>
    </row>
    <row r="162" spans="1:35">
      <c r="A162" s="1683">
        <v>43002</v>
      </c>
      <c r="B162" s="1336" t="s">
        <v>79</v>
      </c>
      <c r="C162" s="1341">
        <f>+IFERROR(VLOOKUP(A162,'2183 IS 2018'!$D:$AH,31,FALSE),0)</f>
        <v>149664.5</v>
      </c>
      <c r="D162" s="1354">
        <f>+IFERROR(VLOOKUP(A162,'2184 IS 2018'!$D:$AH,31,FALSE),0)</f>
        <v>0</v>
      </c>
      <c r="E162" s="1354">
        <f>+IFERROR(VLOOKUP(A162,'2185 IS 2018'!$D:$AH,31,FALSE),0)</f>
        <v>0</v>
      </c>
      <c r="F162" s="1342">
        <f t="shared" ref="F162" si="291">SUM(C162:E162)</f>
        <v>149664.5</v>
      </c>
      <c r="G162" s="1343"/>
      <c r="H162" s="1341">
        <f>+'Restating Adj''s'!U30</f>
        <v>-7069.7279014999804</v>
      </c>
      <c r="I162" s="1369"/>
      <c r="J162" s="1341"/>
      <c r="K162" s="1369" t="s">
        <v>573</v>
      </c>
      <c r="L162" s="1362">
        <f t="shared" ref="L162" si="292">F162+H162+I162+J162</f>
        <v>142594.77209850002</v>
      </c>
      <c r="M162" s="1337"/>
      <c r="N162" s="1359">
        <f t="shared" ref="N162" si="293">C162+H162</f>
        <v>142594.77209850002</v>
      </c>
      <c r="O162" s="1359">
        <f t="shared" ref="O162" si="294">D162+I162</f>
        <v>0</v>
      </c>
      <c r="P162" s="1359">
        <f t="shared" ref="P162" si="295">E162+J162</f>
        <v>0</v>
      </c>
      <c r="Q162" s="1359">
        <f t="shared" ref="Q162" si="296">SUM(N162:P162)</f>
        <v>142594.77209850002</v>
      </c>
      <c r="R162" s="1359"/>
      <c r="S162" s="1359"/>
      <c r="T162" s="1359"/>
      <c r="U162" s="1359"/>
      <c r="V162" s="1681">
        <f t="shared" ref="V162" si="297">+SUM(S162:U162)</f>
        <v>0</v>
      </c>
      <c r="W162" s="1333"/>
      <c r="X162" s="1681">
        <f t="shared" ref="X162" si="298">+S162+N162</f>
        <v>142594.77209850002</v>
      </c>
      <c r="Y162" s="1681">
        <f t="shared" ref="Y162" si="299">+T162+O162</f>
        <v>0</v>
      </c>
      <c r="Z162" s="1681">
        <f t="shared" ref="Z162" si="300">+U162+P162</f>
        <v>0</v>
      </c>
      <c r="AA162" s="1681">
        <f t="shared" ref="AA162" si="301">+SUM(X162:Z162)</f>
        <v>142594.77209850002</v>
      </c>
      <c r="AB162" s="1341">
        <f>AA162</f>
        <v>142594.77209850002</v>
      </c>
      <c r="AC162" s="1341">
        <v>0</v>
      </c>
      <c r="AD162" s="1341">
        <v>0</v>
      </c>
      <c r="AE162" s="1341">
        <v>0</v>
      </c>
      <c r="AF162" s="1341">
        <f>+Y162</f>
        <v>0</v>
      </c>
      <c r="AG162" s="1341">
        <f>+Z162</f>
        <v>0</v>
      </c>
      <c r="AH162" s="1336" t="s">
        <v>348</v>
      </c>
      <c r="AI162" s="1363">
        <f>SUM(AB162:AG162)-AA162</f>
        <v>0</v>
      </c>
    </row>
    <row r="163" spans="1:35">
      <c r="A163" s="1683"/>
      <c r="B163" s="1336"/>
      <c r="C163" s="1354"/>
      <c r="D163" s="1354"/>
      <c r="E163" s="1354"/>
      <c r="F163" s="1342"/>
      <c r="G163" s="1343"/>
      <c r="H163" s="1341"/>
      <c r="I163" s="1341"/>
      <c r="J163" s="1341"/>
      <c r="K163" s="1341"/>
      <c r="L163" s="1362"/>
      <c r="M163" s="1336"/>
      <c r="N163" s="1359"/>
      <c r="O163" s="1359"/>
      <c r="P163" s="1359"/>
      <c r="Q163" s="1359"/>
      <c r="R163" s="1359"/>
      <c r="S163" s="1359"/>
      <c r="T163" s="1359"/>
      <c r="U163" s="1359"/>
      <c r="V163" s="1364"/>
      <c r="W163" s="1364"/>
      <c r="X163" s="1364"/>
      <c r="Y163" s="1364"/>
      <c r="Z163" s="1364"/>
      <c r="AA163" s="1364"/>
      <c r="AB163" s="1341"/>
      <c r="AC163" s="1341"/>
      <c r="AD163" s="1341"/>
      <c r="AE163" s="1341"/>
      <c r="AF163" s="1341"/>
      <c r="AG163" s="1341"/>
      <c r="AH163" s="1336"/>
      <c r="AI163" s="1363"/>
    </row>
    <row r="164" spans="1:35">
      <c r="A164" s="1685">
        <v>44300</v>
      </c>
      <c r="B164" s="1386" t="s">
        <v>80</v>
      </c>
      <c r="C164" s="1366">
        <f>SUM(C162:C163)</f>
        <v>149664.5</v>
      </c>
      <c r="D164" s="1366">
        <f t="shared" ref="D164:AI164" si="302">SUM(D162:D163)</f>
        <v>0</v>
      </c>
      <c r="E164" s="1366">
        <f t="shared" si="302"/>
        <v>0</v>
      </c>
      <c r="F164" s="1366">
        <f t="shared" si="302"/>
        <v>149664.5</v>
      </c>
      <c r="G164" s="1366">
        <f t="shared" si="302"/>
        <v>0</v>
      </c>
      <c r="H164" s="1366">
        <f t="shared" si="302"/>
        <v>-7069.7279014999804</v>
      </c>
      <c r="I164" s="1366">
        <f t="shared" si="302"/>
        <v>0</v>
      </c>
      <c r="J164" s="1366">
        <f t="shared" si="302"/>
        <v>0</v>
      </c>
      <c r="K164" s="1367"/>
      <c r="L164" s="1366">
        <f t="shared" si="302"/>
        <v>142594.77209850002</v>
      </c>
      <c r="M164" s="1366"/>
      <c r="N164" s="1366">
        <f t="shared" si="302"/>
        <v>142594.77209850002</v>
      </c>
      <c r="O164" s="1366">
        <f t="shared" si="302"/>
        <v>0</v>
      </c>
      <c r="P164" s="1366">
        <f t="shared" si="302"/>
        <v>0</v>
      </c>
      <c r="Q164" s="1366">
        <f t="shared" si="302"/>
        <v>142594.77209850002</v>
      </c>
      <c r="R164" s="1366"/>
      <c r="S164" s="1366">
        <f t="shared" si="302"/>
        <v>0</v>
      </c>
      <c r="T164" s="1366">
        <f t="shared" si="302"/>
        <v>0</v>
      </c>
      <c r="U164" s="1366">
        <f t="shared" si="302"/>
        <v>0</v>
      </c>
      <c r="V164" s="1366">
        <f t="shared" si="302"/>
        <v>0</v>
      </c>
      <c r="W164" s="1366"/>
      <c r="X164" s="1366">
        <f t="shared" si="302"/>
        <v>142594.77209850002</v>
      </c>
      <c r="Y164" s="1366">
        <f t="shared" si="302"/>
        <v>0</v>
      </c>
      <c r="Z164" s="1366">
        <f t="shared" si="302"/>
        <v>0</v>
      </c>
      <c r="AA164" s="1366">
        <f t="shared" si="302"/>
        <v>142594.77209850002</v>
      </c>
      <c r="AB164" s="1366">
        <f t="shared" si="302"/>
        <v>142594.77209850002</v>
      </c>
      <c r="AC164" s="1366">
        <f t="shared" si="302"/>
        <v>0</v>
      </c>
      <c r="AD164" s="1366">
        <f t="shared" si="302"/>
        <v>0</v>
      </c>
      <c r="AE164" s="1366">
        <f>SUM(AE162:AE163)</f>
        <v>0</v>
      </c>
      <c r="AF164" s="1366">
        <f t="shared" si="302"/>
        <v>0</v>
      </c>
      <c r="AG164" s="1366">
        <f t="shared" si="302"/>
        <v>0</v>
      </c>
      <c r="AH164" s="1366">
        <f t="shared" si="302"/>
        <v>0</v>
      </c>
      <c r="AI164" s="1366">
        <f t="shared" si="302"/>
        <v>0</v>
      </c>
    </row>
    <row r="165" spans="1:35">
      <c r="A165" s="1331"/>
      <c r="B165" s="1336"/>
      <c r="C165" s="1354"/>
      <c r="D165" s="1333"/>
      <c r="E165" s="1342"/>
      <c r="F165" s="1342"/>
      <c r="G165" s="1336"/>
      <c r="H165" s="1341"/>
      <c r="I165" s="1341"/>
      <c r="J165" s="1341"/>
      <c r="K165" s="1341"/>
      <c r="L165" s="1341"/>
      <c r="M165" s="1336"/>
      <c r="N165" s="1342"/>
      <c r="O165" s="1336"/>
      <c r="P165" s="1332"/>
      <c r="Q165" s="1333"/>
      <c r="R165" s="1333"/>
      <c r="S165" s="1333"/>
      <c r="T165" s="1333"/>
      <c r="U165" s="1333"/>
      <c r="V165" s="1364"/>
      <c r="W165" s="1364"/>
      <c r="X165" s="1364"/>
      <c r="Y165" s="1364"/>
      <c r="Z165" s="1364"/>
      <c r="AA165" s="1364"/>
      <c r="AB165" s="1383"/>
      <c r="AC165" s="1383"/>
      <c r="AD165" s="1383"/>
      <c r="AE165" s="1341"/>
      <c r="AF165" s="1341"/>
      <c r="AG165" s="1341"/>
      <c r="AH165" s="1336"/>
      <c r="AI165" s="1363">
        <f>SUM(AB165:AG165)-AA165</f>
        <v>0</v>
      </c>
    </row>
    <row r="166" spans="1:35">
      <c r="A166" s="1331"/>
      <c r="B166" s="1336"/>
      <c r="C166" s="1354"/>
      <c r="D166" s="1333"/>
      <c r="E166" s="1342"/>
      <c r="F166" s="1342"/>
      <c r="G166" s="1336"/>
      <c r="H166" s="1341"/>
      <c r="I166" s="1341"/>
      <c r="J166" s="1341"/>
      <c r="K166" s="1341"/>
      <c r="L166" s="1341"/>
      <c r="M166" s="1336"/>
      <c r="N166" s="1342"/>
      <c r="O166" s="1336"/>
      <c r="P166" s="1332"/>
      <c r="Q166" s="1333"/>
      <c r="R166" s="1333"/>
      <c r="S166" s="1333"/>
      <c r="T166" s="1333"/>
      <c r="U166" s="1333"/>
      <c r="V166" s="1364"/>
      <c r="W166" s="1364"/>
      <c r="X166" s="1364"/>
      <c r="Y166" s="1364"/>
      <c r="Z166" s="1364"/>
      <c r="AA166" s="1364"/>
      <c r="AB166" s="1383"/>
      <c r="AC166" s="1383"/>
      <c r="AD166" s="1383"/>
      <c r="AE166" s="1341"/>
      <c r="AF166" s="1341"/>
      <c r="AG166" s="1341"/>
      <c r="AH166" s="1336"/>
      <c r="AI166" s="1363"/>
    </row>
    <row r="167" spans="1:35">
      <c r="A167" s="1331">
        <v>60195</v>
      </c>
      <c r="B167" s="1336" t="s">
        <v>81</v>
      </c>
      <c r="C167" s="1341">
        <f>+IFERROR(VLOOKUP(A167,'2183 IS 2018'!$D:$AH,31,FALSE),0)</f>
        <v>1166.5899999999999</v>
      </c>
      <c r="D167" s="1354">
        <f>+IFERROR(VLOOKUP(A167,'2184 IS 2018'!$D:$AH,31,FALSE),0)</f>
        <v>0</v>
      </c>
      <c r="E167" s="1354">
        <f>+IFERROR(VLOOKUP(A167,'2185 IS 2018'!$D:$AH,31,FALSE),0)</f>
        <v>18529.980000000003</v>
      </c>
      <c r="F167" s="1342">
        <f t="shared" ref="F167:F169" si="303">SUM(C167:E167)</f>
        <v>19696.570000000003</v>
      </c>
      <c r="G167" s="1343"/>
      <c r="H167" s="1341"/>
      <c r="I167" s="1341"/>
      <c r="J167" s="1341"/>
      <c r="K167" s="1341"/>
      <c r="L167" s="1362">
        <f t="shared" ref="L167:L169" si="304">F167+H167+I167+J167</f>
        <v>19696.570000000003</v>
      </c>
      <c r="M167" s="1337"/>
      <c r="N167" s="1359">
        <f t="shared" ref="N167:N169" si="305">C167+H167</f>
        <v>1166.5899999999999</v>
      </c>
      <c r="O167" s="1359">
        <f t="shared" ref="O167:O169" si="306">D167+I167</f>
        <v>0</v>
      </c>
      <c r="P167" s="1359">
        <f t="shared" ref="P167:P169" si="307">E167+J167</f>
        <v>18529.980000000003</v>
      </c>
      <c r="Q167" s="1359">
        <f t="shared" ref="Q167:Q169" si="308">SUM(N167:P167)</f>
        <v>19696.570000000003</v>
      </c>
      <c r="R167" s="1359"/>
      <c r="S167" s="1359"/>
      <c r="T167" s="1359"/>
      <c r="U167" s="1359"/>
      <c r="V167" s="1681">
        <f t="shared" ref="V167:V169" si="309">+SUM(S167:U167)</f>
        <v>0</v>
      </c>
      <c r="W167" s="1333"/>
      <c r="X167" s="1681">
        <f t="shared" ref="X167:X169" si="310">+S167+N167</f>
        <v>1166.5899999999999</v>
      </c>
      <c r="Y167" s="1681">
        <f t="shared" ref="Y167:Y169" si="311">+T167+O167</f>
        <v>0</v>
      </c>
      <c r="Z167" s="1681">
        <f t="shared" ref="Z167:Z169" si="312">+U167+P167</f>
        <v>18529.980000000003</v>
      </c>
      <c r="AA167" s="1681">
        <f t="shared" ref="AA167:AA169" si="313">+SUM(X167:Z167)</f>
        <v>19696.570000000003</v>
      </c>
      <c r="AB167" s="1387">
        <v>0</v>
      </c>
      <c r="AC167" s="1387"/>
      <c r="AD167" s="1387"/>
      <c r="AE167" s="1387">
        <f>X167</f>
        <v>1166.5899999999999</v>
      </c>
      <c r="AF167" s="1387">
        <f>Y167</f>
        <v>0</v>
      </c>
      <c r="AG167" s="1341">
        <f>P167</f>
        <v>18529.980000000003</v>
      </c>
      <c r="AH167" s="1336" t="s">
        <v>348</v>
      </c>
      <c r="AI167" s="1363">
        <f>SUM(AB167:AG167)-AA167</f>
        <v>0</v>
      </c>
    </row>
    <row r="168" spans="1:35">
      <c r="A168" s="1683">
        <v>60225</v>
      </c>
      <c r="B168" s="1336" t="s">
        <v>82</v>
      </c>
      <c r="C168" s="1341">
        <f>+IFERROR(VLOOKUP(A168,'2183 IS 2018'!$D:$AH,31,FALSE),0)</f>
        <v>8287.25</v>
      </c>
      <c r="D168" s="1354">
        <f>+IFERROR(VLOOKUP(A168,'2184 IS 2018'!$D:$AH,31,FALSE),0)</f>
        <v>0</v>
      </c>
      <c r="E168" s="1354">
        <f>+IFERROR(VLOOKUP(A168,'2185 IS 2018'!$D:$AH,31,FALSE),0)</f>
        <v>7325.81</v>
      </c>
      <c r="F168" s="1342">
        <f t="shared" si="303"/>
        <v>15613.060000000001</v>
      </c>
      <c r="G168" s="1343"/>
      <c r="H168" s="1341">
        <f>+'Restating Adj''s'!D49</f>
        <v>-2775</v>
      </c>
      <c r="I168" s="1341"/>
      <c r="J168" s="1341"/>
      <c r="K168" s="1369" t="s">
        <v>572</v>
      </c>
      <c r="L168" s="1362">
        <f t="shared" si="304"/>
        <v>12838.060000000001</v>
      </c>
      <c r="M168" s="1337"/>
      <c r="N168" s="1359">
        <f t="shared" si="305"/>
        <v>5512.25</v>
      </c>
      <c r="O168" s="1359">
        <f t="shared" si="306"/>
        <v>0</v>
      </c>
      <c r="P168" s="1359">
        <f t="shared" si="307"/>
        <v>7325.81</v>
      </c>
      <c r="Q168" s="1359">
        <f t="shared" si="308"/>
        <v>12838.060000000001</v>
      </c>
      <c r="R168" s="1359"/>
      <c r="S168" s="1359"/>
      <c r="T168" s="1359"/>
      <c r="U168" s="1359"/>
      <c r="V168" s="1681">
        <f t="shared" si="309"/>
        <v>0</v>
      </c>
      <c r="W168" s="1333"/>
      <c r="X168" s="1681">
        <f t="shared" si="310"/>
        <v>5512.25</v>
      </c>
      <c r="Y168" s="1681">
        <f t="shared" si="311"/>
        <v>0</v>
      </c>
      <c r="Z168" s="1681">
        <f t="shared" si="312"/>
        <v>7325.81</v>
      </c>
      <c r="AA168" s="1681">
        <f t="shared" si="313"/>
        <v>12838.060000000001</v>
      </c>
      <c r="AB168" s="1341">
        <f>$X168*'2183-2184-2185 Ratios'!C$21</f>
        <v>5098.8866097490209</v>
      </c>
      <c r="AC168" s="1341">
        <f>$X168*'2183-2184-2185 Ratios'!D$21</f>
        <v>195.99074794789959</v>
      </c>
      <c r="AD168" s="1341">
        <f>$X168*'2183-2184-2185 Ratios'!E$21</f>
        <v>51.300594238277974</v>
      </c>
      <c r="AE168" s="1341">
        <f>$X168*'2183-2184-2185 Ratios'!F$21</f>
        <v>166.07204806480203</v>
      </c>
      <c r="AF168" s="1341">
        <f t="shared" ref="AF168" si="314">+Y168</f>
        <v>0</v>
      </c>
      <c r="AG168" s="1341">
        <f t="shared" ref="AG168" si="315">+Z168</f>
        <v>7325.81</v>
      </c>
      <c r="AH168" s="1379" t="s">
        <v>352</v>
      </c>
      <c r="AI168" s="1363">
        <f>SUM(AB168:AG168)-AA168</f>
        <v>0</v>
      </c>
    </row>
    <row r="169" spans="1:35">
      <c r="A169" s="1683">
        <v>70225</v>
      </c>
      <c r="B169" s="1336" t="s">
        <v>83</v>
      </c>
      <c r="C169" s="1341">
        <f>+IFERROR(VLOOKUP(A169,'2183 IS 2018'!$D:$AH,31,FALSE),0)</f>
        <v>212.33</v>
      </c>
      <c r="D169" s="1354">
        <f>+IFERROR(VLOOKUP(A169,'2184 IS 2018'!$D:$AH,31,FALSE),0)</f>
        <v>0</v>
      </c>
      <c r="E169" s="1354">
        <f>+IFERROR(VLOOKUP(A169,'2185 IS 2018'!$D:$AH,31,FALSE),0)</f>
        <v>0</v>
      </c>
      <c r="F169" s="1342">
        <f t="shared" si="303"/>
        <v>212.33</v>
      </c>
      <c r="G169" s="1343"/>
      <c r="H169" s="1341"/>
      <c r="I169" s="1341"/>
      <c r="J169" s="1341"/>
      <c r="K169" s="1341"/>
      <c r="L169" s="1362">
        <f t="shared" si="304"/>
        <v>212.33</v>
      </c>
      <c r="M169" s="1337"/>
      <c r="N169" s="1359">
        <f t="shared" si="305"/>
        <v>212.33</v>
      </c>
      <c r="O169" s="1359">
        <f t="shared" si="306"/>
        <v>0</v>
      </c>
      <c r="P169" s="1359">
        <f t="shared" si="307"/>
        <v>0</v>
      </c>
      <c r="Q169" s="1359">
        <f t="shared" si="308"/>
        <v>212.33</v>
      </c>
      <c r="R169" s="1359"/>
      <c r="S169" s="1359"/>
      <c r="T169" s="1359"/>
      <c r="U169" s="1359"/>
      <c r="V169" s="1681">
        <f t="shared" si="309"/>
        <v>0</v>
      </c>
      <c r="W169" s="1333"/>
      <c r="X169" s="1681">
        <f t="shared" si="310"/>
        <v>212.33</v>
      </c>
      <c r="Y169" s="1681">
        <f t="shared" si="311"/>
        <v>0</v>
      </c>
      <c r="Z169" s="1681">
        <f t="shared" si="312"/>
        <v>0</v>
      </c>
      <c r="AA169" s="1681">
        <f t="shared" si="313"/>
        <v>212.33</v>
      </c>
      <c r="AB169" s="1341">
        <f>X169</f>
        <v>212.33</v>
      </c>
      <c r="AC169" s="1341"/>
      <c r="AD169" s="1341"/>
      <c r="AE169" s="1341">
        <f>+Y169</f>
        <v>0</v>
      </c>
      <c r="AF169" s="1341">
        <f>+Z169</f>
        <v>0</v>
      </c>
      <c r="AG169" s="1341"/>
      <c r="AH169" s="1336" t="s">
        <v>348</v>
      </c>
      <c r="AI169" s="1363">
        <f>SUM(AB169:AG169)-AA169</f>
        <v>0</v>
      </c>
    </row>
    <row r="170" spans="1:35">
      <c r="A170" s="1683"/>
      <c r="B170" s="1336"/>
      <c r="C170" s="1354"/>
      <c r="D170" s="1354"/>
      <c r="E170" s="1354"/>
      <c r="F170" s="1342"/>
      <c r="G170" s="1343"/>
      <c r="H170" s="1341"/>
      <c r="I170" s="1341"/>
      <c r="J170" s="1341"/>
      <c r="K170" s="1341"/>
      <c r="L170" s="1362"/>
      <c r="M170" s="1336"/>
      <c r="N170" s="1359"/>
      <c r="O170" s="1359"/>
      <c r="P170" s="1359"/>
      <c r="Q170" s="1359"/>
      <c r="R170" s="1359"/>
      <c r="S170" s="1359"/>
      <c r="T170" s="1359"/>
      <c r="U170" s="1359"/>
      <c r="V170" s="1364"/>
      <c r="W170" s="1364"/>
      <c r="X170" s="1364"/>
      <c r="Y170" s="1364"/>
      <c r="Z170" s="1364"/>
      <c r="AA170" s="1364"/>
      <c r="AB170" s="1341"/>
      <c r="AC170" s="1341"/>
      <c r="AD170" s="1341"/>
      <c r="AE170" s="1341"/>
      <c r="AF170" s="1341"/>
      <c r="AG170" s="1341"/>
      <c r="AH170" s="1336"/>
      <c r="AI170" s="1363"/>
    </row>
    <row r="171" spans="1:35">
      <c r="A171" s="1685">
        <v>44500</v>
      </c>
      <c r="B171" s="1386" t="s">
        <v>84</v>
      </c>
      <c r="C171" s="1366">
        <f>SUM(C167:C170)</f>
        <v>9666.17</v>
      </c>
      <c r="D171" s="1366">
        <f t="shared" ref="D171:AI171" si="316">SUM(D167:D170)</f>
        <v>0</v>
      </c>
      <c r="E171" s="1366">
        <f t="shared" si="316"/>
        <v>25855.790000000005</v>
      </c>
      <c r="F171" s="1366">
        <f t="shared" si="316"/>
        <v>35521.960000000006</v>
      </c>
      <c r="G171" s="1366">
        <f t="shared" si="316"/>
        <v>0</v>
      </c>
      <c r="H171" s="1366">
        <f t="shared" si="316"/>
        <v>-2775</v>
      </c>
      <c r="I171" s="1366">
        <f t="shared" si="316"/>
        <v>0</v>
      </c>
      <c r="J171" s="1366">
        <f t="shared" si="316"/>
        <v>0</v>
      </c>
      <c r="K171" s="1367"/>
      <c r="L171" s="1366">
        <f t="shared" si="316"/>
        <v>32746.960000000006</v>
      </c>
      <c r="M171" s="1366"/>
      <c r="N171" s="1366">
        <f t="shared" si="316"/>
        <v>6891.17</v>
      </c>
      <c r="O171" s="1366">
        <f t="shared" si="316"/>
        <v>0</v>
      </c>
      <c r="P171" s="1366">
        <f t="shared" si="316"/>
        <v>25855.790000000005</v>
      </c>
      <c r="Q171" s="1366">
        <f t="shared" si="316"/>
        <v>32746.960000000006</v>
      </c>
      <c r="R171" s="1366"/>
      <c r="S171" s="1366">
        <f t="shared" si="316"/>
        <v>0</v>
      </c>
      <c r="T171" s="1366">
        <f t="shared" si="316"/>
        <v>0</v>
      </c>
      <c r="U171" s="1366">
        <f t="shared" si="316"/>
        <v>0</v>
      </c>
      <c r="V171" s="1366">
        <f t="shared" si="316"/>
        <v>0</v>
      </c>
      <c r="W171" s="1366"/>
      <c r="X171" s="1366">
        <f t="shared" si="316"/>
        <v>6891.17</v>
      </c>
      <c r="Y171" s="1366">
        <f t="shared" si="316"/>
        <v>0</v>
      </c>
      <c r="Z171" s="1366">
        <f t="shared" si="316"/>
        <v>25855.790000000005</v>
      </c>
      <c r="AA171" s="1366">
        <f t="shared" si="316"/>
        <v>32746.960000000006</v>
      </c>
      <c r="AB171" s="1366">
        <f t="shared" si="316"/>
        <v>5311.2166097490208</v>
      </c>
      <c r="AC171" s="1366">
        <f t="shared" si="316"/>
        <v>195.99074794789959</v>
      </c>
      <c r="AD171" s="1366">
        <f t="shared" si="316"/>
        <v>51.300594238277974</v>
      </c>
      <c r="AE171" s="1366">
        <f>SUM(AE167:AE170)</f>
        <v>1332.6620480648019</v>
      </c>
      <c r="AF171" s="1366">
        <f t="shared" si="316"/>
        <v>0</v>
      </c>
      <c r="AG171" s="1366">
        <f t="shared" si="316"/>
        <v>25855.790000000005</v>
      </c>
      <c r="AH171" s="1366">
        <f t="shared" si="316"/>
        <v>0</v>
      </c>
      <c r="AI171" s="1366">
        <f t="shared" si="316"/>
        <v>0</v>
      </c>
    </row>
    <row r="172" spans="1:35">
      <c r="A172" s="1331"/>
      <c r="B172" s="1336"/>
      <c r="C172" s="1354"/>
      <c r="D172" s="1333"/>
      <c r="E172" s="1342"/>
      <c r="F172" s="1342"/>
      <c r="G172" s="1336"/>
      <c r="H172" s="1341"/>
      <c r="I172" s="1341"/>
      <c r="J172" s="1341"/>
      <c r="K172" s="1341"/>
      <c r="L172" s="1341"/>
      <c r="M172" s="1336"/>
      <c r="N172" s="1342"/>
      <c r="O172" s="1336"/>
      <c r="P172" s="1336"/>
      <c r="Q172" s="1343"/>
      <c r="R172" s="1343"/>
      <c r="S172" s="1343"/>
      <c r="T172" s="1343"/>
      <c r="U172" s="1343"/>
      <c r="V172" s="1364"/>
      <c r="W172" s="1364"/>
      <c r="X172" s="1364"/>
      <c r="Y172" s="1364"/>
      <c r="Z172" s="1364"/>
      <c r="AA172" s="1364"/>
      <c r="AB172" s="1341"/>
      <c r="AC172" s="1341"/>
      <c r="AD172" s="1341"/>
      <c r="AE172" s="1341"/>
      <c r="AF172" s="1341"/>
      <c r="AG172" s="1341"/>
      <c r="AH172" s="1336"/>
      <c r="AI172" s="1363">
        <f t="shared" ref="AI172:AI176" si="317">SUM(AB172:AG172)-AA172</f>
        <v>0</v>
      </c>
    </row>
    <row r="173" spans="1:35">
      <c r="A173" s="1331"/>
      <c r="B173" s="1336"/>
      <c r="C173" s="1354"/>
      <c r="D173" s="1333"/>
      <c r="E173" s="1342"/>
      <c r="F173" s="1342"/>
      <c r="G173" s="1336"/>
      <c r="H173" s="1341"/>
      <c r="I173" s="1341"/>
      <c r="J173" s="1341"/>
      <c r="K173" s="1341"/>
      <c r="L173" s="1341"/>
      <c r="M173" s="1336"/>
      <c r="N173" s="1342"/>
      <c r="O173" s="1336"/>
      <c r="P173" s="1336"/>
      <c r="Q173" s="1343"/>
      <c r="R173" s="1343"/>
      <c r="S173" s="1343"/>
      <c r="T173" s="1343"/>
      <c r="U173" s="1343"/>
      <c r="V173" s="1364"/>
      <c r="W173" s="1364"/>
      <c r="X173" s="1364"/>
      <c r="Y173" s="1364"/>
      <c r="Z173" s="1364"/>
      <c r="AA173" s="1364"/>
      <c r="AB173" s="1341"/>
      <c r="AC173" s="1341"/>
      <c r="AD173" s="1341"/>
      <c r="AE173" s="1341"/>
      <c r="AF173" s="1341"/>
      <c r="AG173" s="1341"/>
      <c r="AH173" s="1336"/>
      <c r="AI173" s="1363"/>
    </row>
    <row r="174" spans="1:35">
      <c r="A174" s="1683">
        <v>59340</v>
      </c>
      <c r="B174" s="1336" t="s">
        <v>85</v>
      </c>
      <c r="C174" s="1341">
        <f>+IFERROR(VLOOKUP(A174,'2183 IS 2018'!$D:$AH,31,FALSE),0)</f>
        <v>100943.89999999998</v>
      </c>
      <c r="D174" s="1354">
        <f>+IFERROR(VLOOKUP(A174,'2184 IS 2018'!$D:$AH,31,FALSE),0)</f>
        <v>24549.819999999996</v>
      </c>
      <c r="E174" s="1354">
        <f>+IFERROR(VLOOKUP(A174,'2185 IS 2018'!$D:$AH,31,FALSE),0)</f>
        <v>20272.399999999998</v>
      </c>
      <c r="F174" s="1342">
        <f t="shared" ref="F174:F176" si="318">SUM(C174:E174)</f>
        <v>145766.11999999997</v>
      </c>
      <c r="G174" s="1343"/>
      <c r="H174" s="1341"/>
      <c r="I174" s="1341"/>
      <c r="J174" s="1341"/>
      <c r="K174" s="1341"/>
      <c r="L174" s="1362">
        <f t="shared" ref="L174:L176" si="319">F174+H174+I174+J174</f>
        <v>145766.11999999997</v>
      </c>
      <c r="M174" s="1337"/>
      <c r="N174" s="1359">
        <f t="shared" ref="N174:N176" si="320">C174+H174</f>
        <v>100943.89999999998</v>
      </c>
      <c r="O174" s="1359">
        <f t="shared" ref="O174:O176" si="321">D174+I174</f>
        <v>24549.819999999996</v>
      </c>
      <c r="P174" s="1359">
        <f t="shared" ref="P174:P176" si="322">E174+J174</f>
        <v>20272.399999999998</v>
      </c>
      <c r="Q174" s="1359">
        <f t="shared" ref="Q174:Q176" si="323">SUM(N174:P174)</f>
        <v>145766.11999999997</v>
      </c>
      <c r="R174" s="1359"/>
      <c r="S174" s="1359"/>
      <c r="T174" s="1359"/>
      <c r="U174" s="1359"/>
      <c r="V174" s="1681">
        <f t="shared" ref="V174:V176" si="324">+SUM(S174:U174)</f>
        <v>0</v>
      </c>
      <c r="W174" s="1333"/>
      <c r="X174" s="1681">
        <f t="shared" ref="X174:X176" si="325">+S174+N174</f>
        <v>100943.89999999998</v>
      </c>
      <c r="Y174" s="1681">
        <f t="shared" ref="Y174:Y176" si="326">+T174+O174</f>
        <v>24549.819999999996</v>
      </c>
      <c r="Z174" s="1681">
        <f t="shared" ref="Z174:Z176" si="327">+U174+P174</f>
        <v>20272.399999999998</v>
      </c>
      <c r="AA174" s="1681">
        <f t="shared" ref="AA174:AA176" si="328">+SUM(X174:Z174)</f>
        <v>145766.11999999997</v>
      </c>
      <c r="AB174" s="1362">
        <f>$X174*'2183-2184-2185 Ratios'!C$60</f>
        <v>76830.223360449469</v>
      </c>
      <c r="AC174" s="1362">
        <f>$X174*'2183-2184-2185 Ratios'!D$60</f>
        <v>3914.2069130978471</v>
      </c>
      <c r="AD174" s="1362">
        <f>$X174*'2183-2184-2185 Ratios'!E$60</f>
        <v>866.03003337691348</v>
      </c>
      <c r="AE174" s="1362">
        <f>$X174*'2183-2184-2185 Ratios'!F$60</f>
        <v>19333.439693075743</v>
      </c>
      <c r="AF174" s="1341">
        <f t="shared" ref="AF174:AG176" si="329">+Y174</f>
        <v>24549.819999999996</v>
      </c>
      <c r="AG174" s="1341">
        <f t="shared" si="329"/>
        <v>20272.399999999998</v>
      </c>
      <c r="AH174" s="1336" t="s">
        <v>350</v>
      </c>
      <c r="AI174" s="1363">
        <f t="shared" si="317"/>
        <v>0</v>
      </c>
    </row>
    <row r="175" spans="1:35" s="34" customFormat="1">
      <c r="A175" s="1683">
        <v>59341</v>
      </c>
      <c r="B175" s="1336" t="s">
        <v>86</v>
      </c>
      <c r="C175" s="1341">
        <f>+IFERROR(VLOOKUP(A175,'2183 IS 2018'!$D:$AH,31,FALSE),0)</f>
        <v>24756.3</v>
      </c>
      <c r="D175" s="1354">
        <f>+IFERROR(VLOOKUP(A175,'2184 IS 2018'!$D:$AH,31,FALSE),0)</f>
        <v>16870</v>
      </c>
      <c r="E175" s="1354">
        <f>+IFERROR(VLOOKUP(A175,'2185 IS 2018'!$D:$AH,31,FALSE),0)</f>
        <v>16</v>
      </c>
      <c r="F175" s="1342">
        <f t="shared" si="318"/>
        <v>41642.300000000003</v>
      </c>
      <c r="G175" s="1343"/>
      <c r="H175" s="1341"/>
      <c r="I175" s="1341"/>
      <c r="J175" s="1341"/>
      <c r="K175" s="1341"/>
      <c r="L175" s="1362">
        <f t="shared" si="319"/>
        <v>41642.300000000003</v>
      </c>
      <c r="M175" s="1337"/>
      <c r="N175" s="1359">
        <f t="shared" si="320"/>
        <v>24756.3</v>
      </c>
      <c r="O175" s="1359">
        <f t="shared" si="321"/>
        <v>16870</v>
      </c>
      <c r="P175" s="1359">
        <f t="shared" si="322"/>
        <v>16</v>
      </c>
      <c r="Q175" s="1359">
        <f t="shared" si="323"/>
        <v>41642.300000000003</v>
      </c>
      <c r="R175" s="1359"/>
      <c r="S175" s="1359"/>
      <c r="T175" s="1359"/>
      <c r="U175" s="1359"/>
      <c r="V175" s="1681">
        <f t="shared" si="324"/>
        <v>0</v>
      </c>
      <c r="W175" s="1333"/>
      <c r="X175" s="1681">
        <f t="shared" si="325"/>
        <v>24756.3</v>
      </c>
      <c r="Y175" s="1681">
        <f t="shared" si="326"/>
        <v>16870</v>
      </c>
      <c r="Z175" s="1681">
        <f t="shared" si="327"/>
        <v>16</v>
      </c>
      <c r="AA175" s="1681">
        <f t="shared" si="328"/>
        <v>41642.300000000003</v>
      </c>
      <c r="AB175" s="1362">
        <f>X175-AE175</f>
        <v>22506.3</v>
      </c>
      <c r="AC175" s="1362">
        <v>0</v>
      </c>
      <c r="AD175" s="1362">
        <v>0</v>
      </c>
      <c r="AE175" s="1362">
        <f>'JE Query 59341'!G88</f>
        <v>2250</v>
      </c>
      <c r="AF175" s="1341">
        <f t="shared" si="329"/>
        <v>16870</v>
      </c>
      <c r="AG175" s="1341">
        <f t="shared" si="329"/>
        <v>16</v>
      </c>
      <c r="AH175" s="1336" t="s">
        <v>348</v>
      </c>
      <c r="AI175" s="1363">
        <f t="shared" si="317"/>
        <v>0</v>
      </c>
    </row>
    <row r="176" spans="1:35">
      <c r="A176" s="1683">
        <v>59342</v>
      </c>
      <c r="B176" s="1336" t="s">
        <v>87</v>
      </c>
      <c r="C176" s="1341">
        <f>+IFERROR(VLOOKUP(A176,'2183 IS 2018'!$D:$AH,31,FALSE),0)</f>
        <v>37555.629999999997</v>
      </c>
      <c r="D176" s="1354">
        <f>+IFERROR(VLOOKUP(A176,'2184 IS 2018'!$D:$AH,31,FALSE),0)</f>
        <v>0</v>
      </c>
      <c r="E176" s="1354">
        <f>+IFERROR(VLOOKUP(A176,'2185 IS 2018'!$D:$AH,31,FALSE),0)</f>
        <v>372.62</v>
      </c>
      <c r="F176" s="1342">
        <f t="shared" si="318"/>
        <v>37928.25</v>
      </c>
      <c r="G176" s="1343"/>
      <c r="H176" s="1341"/>
      <c r="I176" s="1341"/>
      <c r="J176" s="1341"/>
      <c r="K176" s="1341"/>
      <c r="L176" s="1362">
        <f t="shared" si="319"/>
        <v>37928.25</v>
      </c>
      <c r="M176" s="1337"/>
      <c r="N176" s="1359">
        <f t="shared" si="320"/>
        <v>37555.629999999997</v>
      </c>
      <c r="O176" s="1359">
        <f t="shared" si="321"/>
        <v>0</v>
      </c>
      <c r="P176" s="1359">
        <f t="shared" si="322"/>
        <v>372.62</v>
      </c>
      <c r="Q176" s="1359">
        <f t="shared" si="323"/>
        <v>37928.25</v>
      </c>
      <c r="R176" s="1359"/>
      <c r="S176" s="1359"/>
      <c r="T176" s="1359"/>
      <c r="U176" s="1359"/>
      <c r="V176" s="1681">
        <f t="shared" si="324"/>
        <v>0</v>
      </c>
      <c r="W176" s="1333"/>
      <c r="X176" s="1681">
        <f t="shared" si="325"/>
        <v>37555.629999999997</v>
      </c>
      <c r="Y176" s="1681">
        <f t="shared" si="326"/>
        <v>0</v>
      </c>
      <c r="Z176" s="1681">
        <f t="shared" si="327"/>
        <v>372.62</v>
      </c>
      <c r="AA176" s="1681">
        <f t="shared" si="328"/>
        <v>37928.25</v>
      </c>
      <c r="AB176" s="1362">
        <f>+X176-AE176</f>
        <v>28814.909999999996</v>
      </c>
      <c r="AC176" s="1362"/>
      <c r="AD176" s="1362"/>
      <c r="AE176" s="1362">
        <f>+SUM('JE Query - 59342'!D26:D27)</f>
        <v>8740.7199999999993</v>
      </c>
      <c r="AF176" s="1341">
        <f t="shared" si="329"/>
        <v>0</v>
      </c>
      <c r="AG176" s="1341">
        <f t="shared" si="329"/>
        <v>372.62</v>
      </c>
      <c r="AH176" s="1336" t="s">
        <v>348</v>
      </c>
      <c r="AI176" s="1363">
        <f t="shared" si="317"/>
        <v>0</v>
      </c>
    </row>
    <row r="177" spans="1:35">
      <c r="A177" s="1683"/>
      <c r="B177" s="1336"/>
      <c r="C177" s="1354"/>
      <c r="D177" s="1354"/>
      <c r="E177" s="1354"/>
      <c r="F177" s="1342"/>
      <c r="G177" s="1343"/>
      <c r="H177" s="1341"/>
      <c r="I177" s="1341"/>
      <c r="J177" s="1341"/>
      <c r="K177" s="1341"/>
      <c r="L177" s="1362"/>
      <c r="M177" s="1336"/>
      <c r="N177" s="1359"/>
      <c r="O177" s="1359"/>
      <c r="P177" s="1359"/>
      <c r="Q177" s="1359"/>
      <c r="R177" s="1359"/>
      <c r="S177" s="1359"/>
      <c r="T177" s="1359"/>
      <c r="U177" s="1359"/>
      <c r="V177" s="1364"/>
      <c r="W177" s="1364"/>
      <c r="X177" s="1364"/>
      <c r="Y177" s="1364"/>
      <c r="Z177" s="1364"/>
      <c r="AA177" s="1364"/>
      <c r="AB177" s="1341"/>
      <c r="AC177" s="1341"/>
      <c r="AD177" s="1341"/>
      <c r="AE177" s="1341"/>
      <c r="AF177" s="1341"/>
      <c r="AG177" s="1341"/>
      <c r="AH177" s="1336"/>
      <c r="AI177" s="1363"/>
    </row>
    <row r="178" spans="1:35">
      <c r="A178" s="1685">
        <v>45300</v>
      </c>
      <c r="B178" s="1386" t="s">
        <v>88</v>
      </c>
      <c r="C178" s="1366">
        <f t="shared" ref="C178:J178" si="330">SUM(C174:C177)</f>
        <v>163255.82999999999</v>
      </c>
      <c r="D178" s="1366">
        <f t="shared" si="330"/>
        <v>41419.819999999992</v>
      </c>
      <c r="E178" s="1366">
        <f t="shared" si="330"/>
        <v>20661.019999999997</v>
      </c>
      <c r="F178" s="1366">
        <f t="shared" si="330"/>
        <v>225336.66999999998</v>
      </c>
      <c r="G178" s="1366">
        <f t="shared" si="330"/>
        <v>0</v>
      </c>
      <c r="H178" s="1366">
        <f t="shared" si="330"/>
        <v>0</v>
      </c>
      <c r="I178" s="1366">
        <f t="shared" si="330"/>
        <v>0</v>
      </c>
      <c r="J178" s="1366">
        <f t="shared" si="330"/>
        <v>0</v>
      </c>
      <c r="K178" s="1367"/>
      <c r="L178" s="1366">
        <f>SUM(L174:L177)</f>
        <v>225336.66999999998</v>
      </c>
      <c r="M178" s="1366"/>
      <c r="N178" s="1366">
        <f>SUM(N174:N177)</f>
        <v>163255.82999999999</v>
      </c>
      <c r="O178" s="1366">
        <f>SUM(O174:O177)</f>
        <v>41419.819999999992</v>
      </c>
      <c r="P178" s="1366">
        <f>SUM(P174:P177)</f>
        <v>20661.019999999997</v>
      </c>
      <c r="Q178" s="1366">
        <f>SUM(Q174:Q177)</f>
        <v>225336.66999999998</v>
      </c>
      <c r="R178" s="1366"/>
      <c r="S178" s="1366">
        <f>SUM(S174:S177)</f>
        <v>0</v>
      </c>
      <c r="T178" s="1366">
        <f>SUM(T174:T177)</f>
        <v>0</v>
      </c>
      <c r="U178" s="1366">
        <f>SUM(U174:U177)</f>
        <v>0</v>
      </c>
      <c r="V178" s="1366">
        <f>SUM(V174:V177)</f>
        <v>0</v>
      </c>
      <c r="W178" s="1366"/>
      <c r="X178" s="1366">
        <f t="shared" ref="X178:AI178" si="331">SUM(X174:X177)</f>
        <v>163255.82999999999</v>
      </c>
      <c r="Y178" s="1366">
        <f t="shared" si="331"/>
        <v>41419.819999999992</v>
      </c>
      <c r="Z178" s="1366">
        <f t="shared" si="331"/>
        <v>20661.019999999997</v>
      </c>
      <c r="AA178" s="1366">
        <f t="shared" si="331"/>
        <v>225336.66999999998</v>
      </c>
      <c r="AB178" s="1366">
        <f t="shared" si="331"/>
        <v>128151.43336044948</v>
      </c>
      <c r="AC178" s="1366">
        <f t="shared" si="331"/>
        <v>3914.2069130978471</v>
      </c>
      <c r="AD178" s="1366">
        <f t="shared" si="331"/>
        <v>866.03003337691348</v>
      </c>
      <c r="AE178" s="1366">
        <f t="shared" si="331"/>
        <v>30324.159693075744</v>
      </c>
      <c r="AF178" s="1366">
        <f t="shared" si="331"/>
        <v>41419.819999999992</v>
      </c>
      <c r="AG178" s="1366">
        <f t="shared" si="331"/>
        <v>20661.019999999997</v>
      </c>
      <c r="AH178" s="1366">
        <f t="shared" si="331"/>
        <v>0</v>
      </c>
      <c r="AI178" s="1366">
        <f t="shared" si="331"/>
        <v>0</v>
      </c>
    </row>
    <row r="179" spans="1:35">
      <c r="A179" s="1683"/>
      <c r="B179" s="1336"/>
      <c r="C179" s="1354"/>
      <c r="D179" s="1333"/>
      <c r="E179" s="1342"/>
      <c r="F179" s="1342"/>
      <c r="G179" s="1336"/>
      <c r="H179" s="1341"/>
      <c r="I179" s="1341"/>
      <c r="J179" s="1341"/>
      <c r="K179" s="1341"/>
      <c r="L179" s="1341"/>
      <c r="M179" s="1336"/>
      <c r="N179" s="1342"/>
      <c r="O179" s="1336"/>
      <c r="P179" s="1336"/>
      <c r="Q179" s="1343"/>
      <c r="R179" s="1343"/>
      <c r="S179" s="1343"/>
      <c r="T179" s="1343"/>
      <c r="U179" s="1343"/>
      <c r="V179" s="1364"/>
      <c r="W179" s="1364"/>
      <c r="X179" s="1364"/>
      <c r="Y179" s="1364"/>
      <c r="Z179" s="1364"/>
      <c r="AA179" s="1364"/>
      <c r="AB179" s="1341"/>
      <c r="AC179" s="1341"/>
      <c r="AD179" s="1341"/>
      <c r="AE179" s="1341"/>
      <c r="AF179" s="1341"/>
      <c r="AG179" s="1341"/>
      <c r="AH179" s="1336"/>
      <c r="AI179" s="1363">
        <f>SUM(AB179:AG179)-AA179</f>
        <v>0</v>
      </c>
    </row>
    <row r="180" spans="1:35">
      <c r="A180" s="1683"/>
      <c r="B180" s="1336"/>
      <c r="C180" s="1354"/>
      <c r="D180" s="1333"/>
      <c r="E180" s="1342"/>
      <c r="F180" s="1342"/>
      <c r="G180" s="1336"/>
      <c r="H180" s="1341"/>
      <c r="I180" s="1341"/>
      <c r="J180" s="1341"/>
      <c r="K180" s="1341"/>
      <c r="L180" s="1341"/>
      <c r="M180" s="1336"/>
      <c r="N180" s="1342"/>
      <c r="O180" s="1336"/>
      <c r="P180" s="1336"/>
      <c r="Q180" s="1343"/>
      <c r="R180" s="1343"/>
      <c r="S180" s="1343"/>
      <c r="T180" s="1343"/>
      <c r="U180" s="1343"/>
      <c r="V180" s="1364"/>
      <c r="W180" s="1364"/>
      <c r="X180" s="1364"/>
      <c r="Y180" s="1364"/>
      <c r="Z180" s="1364"/>
      <c r="AA180" s="1364"/>
      <c r="AB180" s="1341"/>
      <c r="AC180" s="1341"/>
      <c r="AD180" s="1341"/>
      <c r="AE180" s="1341"/>
      <c r="AF180" s="1341"/>
      <c r="AG180" s="1341"/>
      <c r="AH180" s="1336"/>
      <c r="AI180" s="1363"/>
    </row>
    <row r="181" spans="1:35">
      <c r="A181" s="1683">
        <v>59343</v>
      </c>
      <c r="B181" s="1336" t="s">
        <v>89</v>
      </c>
      <c r="C181" s="1341">
        <f>+IFERROR(VLOOKUP(A181,'2183 IS 2018'!$D:$AH,31,FALSE),0)</f>
        <v>-3961.8399999999997</v>
      </c>
      <c r="D181" s="1354">
        <f>+IFERROR(VLOOKUP(A181,'2184 IS 2018'!$D:$AH,31,FALSE),0)</f>
        <v>0</v>
      </c>
      <c r="E181" s="1354">
        <f>+IFERROR(VLOOKUP(A181,'2185 IS 2018'!$D:$AH,31,FALSE),0)</f>
        <v>10420</v>
      </c>
      <c r="F181" s="1342">
        <f t="shared" ref="F181:F184" si="332">SUM(C181:E181)</f>
        <v>6458.16</v>
      </c>
      <c r="G181" s="1343"/>
      <c r="H181" s="1341"/>
      <c r="I181" s="1341"/>
      <c r="J181" s="1341"/>
      <c r="K181" s="1341"/>
      <c r="L181" s="1362">
        <f t="shared" ref="L181:L184" si="333">F181+H181+I181+J181</f>
        <v>6458.16</v>
      </c>
      <c r="M181" s="1337"/>
      <c r="N181" s="1359">
        <f t="shared" ref="N181:N184" si="334">C181+H181</f>
        <v>-3961.8399999999997</v>
      </c>
      <c r="O181" s="1359">
        <f t="shared" ref="O181:O184" si="335">D181+I181</f>
        <v>0</v>
      </c>
      <c r="P181" s="1359">
        <f t="shared" ref="P181:P184" si="336">E181+J181</f>
        <v>10420</v>
      </c>
      <c r="Q181" s="1359">
        <f t="shared" ref="Q181:Q184" si="337">SUM(N181:P181)</f>
        <v>6458.16</v>
      </c>
      <c r="R181" s="1359"/>
      <c r="S181" s="1359"/>
      <c r="T181" s="1359"/>
      <c r="U181" s="1359"/>
      <c r="V181" s="1681">
        <f t="shared" ref="V181:V184" si="338">+SUM(S181:U181)</f>
        <v>0</v>
      </c>
      <c r="W181" s="1333"/>
      <c r="X181" s="1681">
        <f t="shared" ref="X181:X184" si="339">+S181+N181</f>
        <v>-3961.8399999999997</v>
      </c>
      <c r="Y181" s="1681">
        <f t="shared" ref="Y181:Y184" si="340">+T181+O181</f>
        <v>0</v>
      </c>
      <c r="Z181" s="1681">
        <f t="shared" ref="Z181:Z184" si="341">+U181+P181</f>
        <v>10420</v>
      </c>
      <c r="AA181" s="1681">
        <f t="shared" ref="AA181:AA184" si="342">+SUM(X181:Z181)</f>
        <v>6458.16</v>
      </c>
      <c r="AB181" s="1362">
        <f>$X181*'2183-2184-2185 Ratios'!C$60</f>
        <v>-3015.4278972613811</v>
      </c>
      <c r="AC181" s="1362">
        <f>$X181*'2183-2184-2185 Ratios'!D$60</f>
        <v>-153.62455301001424</v>
      </c>
      <c r="AD181" s="1362">
        <f>$X181*'2183-2184-2185 Ratios'!E$60</f>
        <v>-33.989893668007589</v>
      </c>
      <c r="AE181" s="1362">
        <f>$X181*'2183-2184-2185 Ratios'!F$60</f>
        <v>-758.79765606059618</v>
      </c>
      <c r="AF181" s="1341">
        <f t="shared" ref="AF181:AF184" si="343">+Y181</f>
        <v>0</v>
      </c>
      <c r="AG181" s="1341">
        <f t="shared" ref="AG181:AG184" si="344">+Z181</f>
        <v>10420</v>
      </c>
      <c r="AH181" s="1336" t="s">
        <v>350</v>
      </c>
      <c r="AI181" s="1363">
        <f>SUM(AB181:AG181)-AA181</f>
        <v>0</v>
      </c>
    </row>
    <row r="182" spans="1:35">
      <c r="A182" s="1683">
        <v>59344</v>
      </c>
      <c r="B182" s="1336" t="s">
        <v>90</v>
      </c>
      <c r="C182" s="1341">
        <f>+IFERROR(VLOOKUP(A182,'2183 IS 2018'!$D:$AH,31,FALSE),0)</f>
        <v>12292.13</v>
      </c>
      <c r="D182" s="1354">
        <f>+IFERROR(VLOOKUP(A182,'2184 IS 2018'!$D:$AH,31,FALSE),0)</f>
        <v>0</v>
      </c>
      <c r="E182" s="1354">
        <f>+IFERROR(VLOOKUP(A182,'2185 IS 2018'!$D:$AH,31,FALSE),0)</f>
        <v>3220.3400000000038</v>
      </c>
      <c r="F182" s="1342">
        <f t="shared" si="332"/>
        <v>15512.470000000003</v>
      </c>
      <c r="G182" s="1343"/>
      <c r="H182" s="1341"/>
      <c r="I182" s="1341"/>
      <c r="J182" s="1341"/>
      <c r="K182" s="1341"/>
      <c r="L182" s="1362">
        <f t="shared" si="333"/>
        <v>15512.470000000003</v>
      </c>
      <c r="M182" s="1337"/>
      <c r="N182" s="1359">
        <f t="shared" si="334"/>
        <v>12292.13</v>
      </c>
      <c r="O182" s="1359">
        <f t="shared" si="335"/>
        <v>0</v>
      </c>
      <c r="P182" s="1359">
        <f t="shared" si="336"/>
        <v>3220.3400000000038</v>
      </c>
      <c r="Q182" s="1359">
        <f t="shared" si="337"/>
        <v>15512.470000000003</v>
      </c>
      <c r="R182" s="1359"/>
      <c r="S182" s="1359"/>
      <c r="T182" s="1359"/>
      <c r="U182" s="1359"/>
      <c r="V182" s="1681">
        <f t="shared" si="338"/>
        <v>0</v>
      </c>
      <c r="W182" s="1333"/>
      <c r="X182" s="1681">
        <f t="shared" si="339"/>
        <v>12292.13</v>
      </c>
      <c r="Y182" s="1681">
        <f t="shared" si="340"/>
        <v>0</v>
      </c>
      <c r="Z182" s="1681">
        <f t="shared" si="341"/>
        <v>3220.3400000000038</v>
      </c>
      <c r="AA182" s="1681">
        <f t="shared" si="342"/>
        <v>15512.470000000003</v>
      </c>
      <c r="AB182" s="1362">
        <f>$X182*'2183-2184-2185 Ratios'!C$60</f>
        <v>9355.7618981997111</v>
      </c>
      <c r="AC182" s="1362">
        <f>$X182*'2183-2184-2185 Ratios'!D$60</f>
        <v>476.64039355223491</v>
      </c>
      <c r="AD182" s="1362">
        <f>$X182*'2183-2184-2185 Ratios'!E$60</f>
        <v>105.45811836250988</v>
      </c>
      <c r="AE182" s="1362">
        <f>$X182*'2183-2184-2185 Ratios'!F$60</f>
        <v>2354.2695898855422</v>
      </c>
      <c r="AF182" s="1341">
        <f t="shared" si="343"/>
        <v>0</v>
      </c>
      <c r="AG182" s="1341">
        <f t="shared" si="344"/>
        <v>3220.3400000000038</v>
      </c>
      <c r="AH182" s="1336" t="s">
        <v>350</v>
      </c>
      <c r="AI182" s="1363">
        <f>SUM(AB182:AG182)-AA182</f>
        <v>0</v>
      </c>
    </row>
    <row r="183" spans="1:35">
      <c r="A183" s="1683">
        <v>59500</v>
      </c>
      <c r="B183" s="1336" t="s">
        <v>91</v>
      </c>
      <c r="C183" s="1341">
        <f>+IFERROR(VLOOKUP(A183,'2183 IS 2018'!$D:$AH,31,FALSE),0)</f>
        <v>31434.9</v>
      </c>
      <c r="D183" s="1354">
        <f>+IFERROR(VLOOKUP(A183,'2184 IS 2018'!$D:$AH,31,FALSE),0)</f>
        <v>3092.3799999999997</v>
      </c>
      <c r="E183" s="1354">
        <f>+IFERROR(VLOOKUP(A183,'2185 IS 2018'!$D:$AH,31,FALSE),0)</f>
        <v>17619.599999999999</v>
      </c>
      <c r="F183" s="1342">
        <f t="shared" si="332"/>
        <v>52146.879999999997</v>
      </c>
      <c r="G183" s="1343"/>
      <c r="H183" s="1341"/>
      <c r="I183" s="1341"/>
      <c r="J183" s="1341"/>
      <c r="K183" s="1341"/>
      <c r="L183" s="1362">
        <f t="shared" si="333"/>
        <v>52146.879999999997</v>
      </c>
      <c r="M183" s="1337"/>
      <c r="N183" s="1359">
        <f t="shared" si="334"/>
        <v>31434.9</v>
      </c>
      <c r="O183" s="1359">
        <f t="shared" si="335"/>
        <v>3092.3799999999997</v>
      </c>
      <c r="P183" s="1359">
        <f t="shared" si="336"/>
        <v>17619.599999999999</v>
      </c>
      <c r="Q183" s="1359">
        <f t="shared" si="337"/>
        <v>52146.879999999997</v>
      </c>
      <c r="R183" s="1359"/>
      <c r="S183" s="1359"/>
      <c r="T183" s="1359"/>
      <c r="U183" s="1359"/>
      <c r="V183" s="1681">
        <f t="shared" si="338"/>
        <v>0</v>
      </c>
      <c r="W183" s="1333"/>
      <c r="X183" s="1681">
        <f t="shared" si="339"/>
        <v>31434.9</v>
      </c>
      <c r="Y183" s="1681">
        <f t="shared" si="340"/>
        <v>3092.3799999999997</v>
      </c>
      <c r="Z183" s="1681">
        <f t="shared" si="341"/>
        <v>17619.599999999999</v>
      </c>
      <c r="AA183" s="1681">
        <f t="shared" si="342"/>
        <v>52146.879999999997</v>
      </c>
      <c r="AB183" s="1362">
        <f>$X183*'2183-2184-2185 Ratios'!C$60</f>
        <v>23925.669488828877</v>
      </c>
      <c r="AC183" s="1362">
        <f>$X183*'2183-2184-2185 Ratios'!D$60</f>
        <v>1218.9216276817078</v>
      </c>
      <c r="AD183" s="1362">
        <f>$X183*'2183-2184-2185 Ratios'!E$60</f>
        <v>269.69007038761077</v>
      </c>
      <c r="AE183" s="1362">
        <f>$X183*'2183-2184-2185 Ratios'!F$60</f>
        <v>6020.6188131018007</v>
      </c>
      <c r="AF183" s="1341">
        <f t="shared" si="343"/>
        <v>3092.3799999999997</v>
      </c>
      <c r="AG183" s="1341">
        <f t="shared" si="344"/>
        <v>17619.599999999999</v>
      </c>
      <c r="AH183" s="1336" t="s">
        <v>350</v>
      </c>
      <c r="AI183" s="1363">
        <f>SUM(AB183:AG183)-AA183</f>
        <v>0</v>
      </c>
    </row>
    <row r="184" spans="1:35">
      <c r="A184" s="1331">
        <v>57370</v>
      </c>
      <c r="B184" s="1336" t="s">
        <v>92</v>
      </c>
      <c r="C184" s="1341">
        <f>+IFERROR(VLOOKUP(A184,'2183 IS 2018'!$D:$AH,31,FALSE),0)</f>
        <v>937.37999999999988</v>
      </c>
      <c r="D184" s="1354">
        <f>+IFERROR(VLOOKUP(A184,'2184 IS 2018'!$D:$AH,31,FALSE),0)</f>
        <v>247.92</v>
      </c>
      <c r="E184" s="1354">
        <f>+IFERROR(VLOOKUP(A184,'2185 IS 2018'!$D:$AH,31,FALSE),0)</f>
        <v>154.76</v>
      </c>
      <c r="F184" s="1342">
        <f t="shared" si="332"/>
        <v>1340.06</v>
      </c>
      <c r="G184" s="1343"/>
      <c r="H184" s="1341"/>
      <c r="I184" s="1341"/>
      <c r="J184" s="1341"/>
      <c r="K184" s="1341"/>
      <c r="L184" s="1362">
        <f t="shared" si="333"/>
        <v>1340.06</v>
      </c>
      <c r="M184" s="1337"/>
      <c r="N184" s="1359">
        <f t="shared" si="334"/>
        <v>937.37999999999988</v>
      </c>
      <c r="O184" s="1359">
        <f t="shared" si="335"/>
        <v>247.92</v>
      </c>
      <c r="P184" s="1359">
        <f t="shared" si="336"/>
        <v>154.76</v>
      </c>
      <c r="Q184" s="1359">
        <f t="shared" si="337"/>
        <v>1340.06</v>
      </c>
      <c r="R184" s="1359"/>
      <c r="S184" s="1359"/>
      <c r="T184" s="1359"/>
      <c r="U184" s="1359"/>
      <c r="V184" s="1681">
        <f t="shared" si="338"/>
        <v>0</v>
      </c>
      <c r="W184" s="1333"/>
      <c r="X184" s="1681">
        <f t="shared" si="339"/>
        <v>937.37999999999988</v>
      </c>
      <c r="Y184" s="1681">
        <f t="shared" si="340"/>
        <v>247.92</v>
      </c>
      <c r="Z184" s="1681">
        <f t="shared" si="341"/>
        <v>154.76</v>
      </c>
      <c r="AA184" s="1681">
        <f t="shared" si="342"/>
        <v>1340.06</v>
      </c>
      <c r="AB184" s="1362">
        <f>$X184*'2183-2184-2185 Ratios'!C$60</f>
        <v>713.45682872980058</v>
      </c>
      <c r="AC184" s="1362">
        <f>$X184*'2183-2184-2185 Ratios'!D$60</f>
        <v>36.347904887761025</v>
      </c>
      <c r="AD184" s="1362">
        <f>$X184*'2183-2184-2185 Ratios'!E$60</f>
        <v>8.0420831044456502</v>
      </c>
      <c r="AE184" s="1362">
        <f>$X184*'2183-2184-2185 Ratios'!F$60</f>
        <v>179.53318327799246</v>
      </c>
      <c r="AF184" s="1341">
        <f t="shared" si="343"/>
        <v>247.92</v>
      </c>
      <c r="AG184" s="1341">
        <f t="shared" si="344"/>
        <v>154.76</v>
      </c>
      <c r="AH184" s="1336" t="s">
        <v>350</v>
      </c>
      <c r="AI184" s="1363">
        <f>SUM(AB184:AG184)-AA184</f>
        <v>0</v>
      </c>
    </row>
    <row r="185" spans="1:35">
      <c r="A185" s="1331"/>
      <c r="B185" s="1336"/>
      <c r="C185" s="1354"/>
      <c r="D185" s="1354"/>
      <c r="E185" s="1354"/>
      <c r="F185" s="1342"/>
      <c r="G185" s="1343"/>
      <c r="H185" s="1341"/>
      <c r="I185" s="1341"/>
      <c r="J185" s="1341"/>
      <c r="K185" s="1341"/>
      <c r="L185" s="1362"/>
      <c r="M185" s="1336"/>
      <c r="N185" s="1359"/>
      <c r="O185" s="1359"/>
      <c r="P185" s="1359"/>
      <c r="Q185" s="1359"/>
      <c r="R185" s="1359"/>
      <c r="S185" s="1359"/>
      <c r="T185" s="1359"/>
      <c r="U185" s="1359"/>
      <c r="V185" s="1364"/>
      <c r="W185" s="1364"/>
      <c r="X185" s="1364"/>
      <c r="Y185" s="1364"/>
      <c r="Z185" s="1364"/>
      <c r="AA185" s="1364"/>
      <c r="AB185" s="1362"/>
      <c r="AC185" s="1362"/>
      <c r="AD185" s="1362"/>
      <c r="AE185" s="1341"/>
      <c r="AF185" s="1341"/>
      <c r="AG185" s="1341"/>
      <c r="AH185" s="1336"/>
      <c r="AI185" s="1363"/>
    </row>
    <row r="186" spans="1:35">
      <c r="A186" s="1685">
        <v>45400</v>
      </c>
      <c r="B186" s="1386" t="s">
        <v>93</v>
      </c>
      <c r="C186" s="1366">
        <f>SUM(C181:C185)</f>
        <v>40702.57</v>
      </c>
      <c r="D186" s="1366">
        <f t="shared" ref="D186:AI186" si="345">SUM(D181:D185)</f>
        <v>3340.2999999999997</v>
      </c>
      <c r="E186" s="1366">
        <f t="shared" si="345"/>
        <v>31414.7</v>
      </c>
      <c r="F186" s="1366">
        <f t="shared" si="345"/>
        <v>75457.570000000007</v>
      </c>
      <c r="G186" s="1366">
        <f t="shared" si="345"/>
        <v>0</v>
      </c>
      <c r="H186" s="1366">
        <f t="shared" si="345"/>
        <v>0</v>
      </c>
      <c r="I186" s="1366">
        <f t="shared" si="345"/>
        <v>0</v>
      </c>
      <c r="J186" s="1366">
        <f t="shared" si="345"/>
        <v>0</v>
      </c>
      <c r="K186" s="1367"/>
      <c r="L186" s="1366">
        <f t="shared" si="345"/>
        <v>75457.570000000007</v>
      </c>
      <c r="M186" s="1366"/>
      <c r="N186" s="1366">
        <f t="shared" si="345"/>
        <v>40702.57</v>
      </c>
      <c r="O186" s="1366">
        <f t="shared" si="345"/>
        <v>3340.2999999999997</v>
      </c>
      <c r="P186" s="1366">
        <f t="shared" si="345"/>
        <v>31414.7</v>
      </c>
      <c r="Q186" s="1366">
        <f t="shared" si="345"/>
        <v>75457.570000000007</v>
      </c>
      <c r="R186" s="1366"/>
      <c r="S186" s="1366">
        <f t="shared" si="345"/>
        <v>0</v>
      </c>
      <c r="T186" s="1366">
        <f t="shared" si="345"/>
        <v>0</v>
      </c>
      <c r="U186" s="1366">
        <f t="shared" si="345"/>
        <v>0</v>
      </c>
      <c r="V186" s="1366">
        <f t="shared" si="345"/>
        <v>0</v>
      </c>
      <c r="W186" s="1366"/>
      <c r="X186" s="1366">
        <f t="shared" si="345"/>
        <v>40702.57</v>
      </c>
      <c r="Y186" s="1366">
        <f t="shared" si="345"/>
        <v>3340.2999999999997</v>
      </c>
      <c r="Z186" s="1366">
        <f t="shared" si="345"/>
        <v>31414.7</v>
      </c>
      <c r="AA186" s="1366">
        <f t="shared" si="345"/>
        <v>75457.570000000007</v>
      </c>
      <c r="AB186" s="1366">
        <f t="shared" si="345"/>
        <v>30979.460318497007</v>
      </c>
      <c r="AC186" s="1366">
        <f t="shared" si="345"/>
        <v>1578.2853731116895</v>
      </c>
      <c r="AD186" s="1366">
        <f t="shared" si="345"/>
        <v>349.20037818655868</v>
      </c>
      <c r="AE186" s="1366">
        <f>SUM(AE181:AE185)</f>
        <v>7795.6239302047388</v>
      </c>
      <c r="AF186" s="1366">
        <f t="shared" si="345"/>
        <v>3340.2999999999997</v>
      </c>
      <c r="AG186" s="1366">
        <f t="shared" si="345"/>
        <v>31414.7</v>
      </c>
      <c r="AH186" s="1366">
        <f t="shared" si="345"/>
        <v>0</v>
      </c>
      <c r="AI186" s="1366">
        <f t="shared" si="345"/>
        <v>0</v>
      </c>
    </row>
    <row r="187" spans="1:35">
      <c r="A187" s="1331"/>
      <c r="B187" s="1336"/>
      <c r="C187" s="1354"/>
      <c r="D187" s="1333"/>
      <c r="E187" s="1342"/>
      <c r="F187" s="1342"/>
      <c r="G187" s="1336"/>
      <c r="H187" s="1341"/>
      <c r="I187" s="1341"/>
      <c r="J187" s="1341"/>
      <c r="K187" s="1341"/>
      <c r="L187" s="1341"/>
      <c r="M187" s="1336"/>
      <c r="N187" s="1342"/>
      <c r="O187" s="1336"/>
      <c r="P187" s="1336"/>
      <c r="Q187" s="1343"/>
      <c r="R187" s="1343"/>
      <c r="S187" s="1343"/>
      <c r="T187" s="1343"/>
      <c r="U187" s="1343"/>
      <c r="V187" s="1364"/>
      <c r="W187" s="1364"/>
      <c r="X187" s="1364"/>
      <c r="Y187" s="1364"/>
      <c r="Z187" s="1364"/>
      <c r="AA187" s="1364"/>
      <c r="AB187" s="1341"/>
      <c r="AC187" s="1341"/>
      <c r="AD187" s="1341"/>
      <c r="AE187" s="1341"/>
      <c r="AF187" s="1341"/>
      <c r="AG187" s="1341"/>
      <c r="AH187" s="1336"/>
      <c r="AI187" s="1363">
        <f t="shared" ref="AI187:AI196" si="346">SUM(AB187:AG187)-AA187</f>
        <v>0</v>
      </c>
    </row>
    <row r="188" spans="1:35">
      <c r="A188" s="1331"/>
      <c r="B188" s="1336"/>
      <c r="C188" s="1354"/>
      <c r="D188" s="1333"/>
      <c r="E188" s="1342"/>
      <c r="F188" s="1342"/>
      <c r="G188" s="1336"/>
      <c r="H188" s="1341"/>
      <c r="I188" s="1341"/>
      <c r="J188" s="1341"/>
      <c r="K188" s="1341"/>
      <c r="L188" s="1341"/>
      <c r="M188" s="1336"/>
      <c r="N188" s="1342"/>
      <c r="O188" s="1336"/>
      <c r="P188" s="1336"/>
      <c r="Q188" s="1343"/>
      <c r="R188" s="1343"/>
      <c r="S188" s="1343"/>
      <c r="T188" s="1343"/>
      <c r="U188" s="1343"/>
      <c r="V188" s="1364"/>
      <c r="W188" s="1364"/>
      <c r="X188" s="1364"/>
      <c r="Y188" s="1364"/>
      <c r="Z188" s="1364"/>
      <c r="AA188" s="1364"/>
      <c r="AB188" s="1341"/>
      <c r="AC188" s="1341"/>
      <c r="AD188" s="1341"/>
      <c r="AE188" s="1341"/>
      <c r="AF188" s="1341"/>
      <c r="AG188" s="1341"/>
      <c r="AH188" s="1336"/>
      <c r="AI188" s="1363"/>
    </row>
    <row r="189" spans="1:35">
      <c r="A189" s="1683">
        <v>70010</v>
      </c>
      <c r="B189" s="1336" t="s">
        <v>17</v>
      </c>
      <c r="C189" s="1341">
        <f>+IFERROR(VLOOKUP(A189,'2183 IS 2018'!$D:$AH,31,FALSE),0)</f>
        <v>688164.41999999993</v>
      </c>
      <c r="D189" s="1354">
        <f>+IFERROR(VLOOKUP(A189,'2184 IS 2018'!$D:$AH,31,FALSE),0)</f>
        <v>111650.47</v>
      </c>
      <c r="E189" s="1354">
        <f>+IFERROR(VLOOKUP(A189,'2185 IS 2018'!$D:$AH,31,FALSE),0)</f>
        <v>20421.95</v>
      </c>
      <c r="F189" s="1342">
        <f t="shared" ref="F189:F196" si="347">SUM(C189:E189)</f>
        <v>820236.83999999985</v>
      </c>
      <c r="G189" s="1343"/>
      <c r="H189" s="1341">
        <f>+'Restating Adj''s'!B105</f>
        <v>28916.560523027612</v>
      </c>
      <c r="I189" s="1341">
        <f>+'Restating Adj''s'!C105</f>
        <v>5711.0201345621226</v>
      </c>
      <c r="J189" s="1341">
        <f>+'Restating Adj''s'!D105</f>
        <v>3546.5532358430019</v>
      </c>
      <c r="K189" s="1369" t="s">
        <v>576</v>
      </c>
      <c r="L189" s="1362">
        <f t="shared" ref="L189:L196" si="348">F189+H189+I189+J189</f>
        <v>858410.97389343253</v>
      </c>
      <c r="M189" s="1337"/>
      <c r="N189" s="1359">
        <f t="shared" ref="N189:N196" si="349">C189+H189</f>
        <v>717080.98052302748</v>
      </c>
      <c r="O189" s="1359">
        <f t="shared" ref="O189:O196" si="350">D189+I189</f>
        <v>117361.49013456212</v>
      </c>
      <c r="P189" s="1359">
        <f t="shared" ref="P189:P196" si="351">E189+J189</f>
        <v>23968.503235843003</v>
      </c>
      <c r="Q189" s="1359">
        <f t="shared" ref="Q189:Q196" si="352">SUM(N189:P189)</f>
        <v>858410.97389343265</v>
      </c>
      <c r="R189" s="1359"/>
      <c r="S189" s="1359">
        <f>+'Pro-forma Adj''s'!B12</f>
        <v>24250.65530987793</v>
      </c>
      <c r="T189" s="1359"/>
      <c r="U189" s="1359"/>
      <c r="V189" s="1681">
        <f t="shared" ref="V189:V196" si="353">+SUM(S189:U189)</f>
        <v>24250.65530987793</v>
      </c>
      <c r="W189" s="1369" t="s">
        <v>876</v>
      </c>
      <c r="X189" s="1681">
        <f t="shared" ref="X189:X196" si="354">+S189+N189</f>
        <v>741331.63583290542</v>
      </c>
      <c r="Y189" s="1681">
        <f t="shared" ref="Y189:Y196" si="355">+T189+O189</f>
        <v>117361.49013456212</v>
      </c>
      <c r="Z189" s="1681">
        <f t="shared" ref="Z189:Z196" si="356">+U189+P189</f>
        <v>23968.503235843003</v>
      </c>
      <c r="AA189" s="1681">
        <f t="shared" ref="AA189:AA196" si="357">+SUM(X189:Z189)</f>
        <v>882661.62920331059</v>
      </c>
      <c r="AB189" s="1341">
        <f>$X189*'2183-2184-2185 Ratios'!C$21</f>
        <v>685739.20836894901</v>
      </c>
      <c r="AC189" s="1341">
        <f>$X189*'2183-2184-2185 Ratios'!D$21</f>
        <v>26358.409321843355</v>
      </c>
      <c r="AD189" s="1341">
        <f>$X189*'2183-2184-2185 Ratios'!E$21</f>
        <v>6899.3157868135031</v>
      </c>
      <c r="AE189" s="1341">
        <f>$X189*'2183-2184-2185 Ratios'!F$21</f>
        <v>22334.702355299665</v>
      </c>
      <c r="AF189" s="1341">
        <f t="shared" ref="AF189:AF196" si="358">+Y189</f>
        <v>117361.49013456212</v>
      </c>
      <c r="AG189" s="1341">
        <f t="shared" ref="AG189:AG196" si="359">+Z189</f>
        <v>23968.503235843003</v>
      </c>
      <c r="AH189" s="1379" t="s">
        <v>352</v>
      </c>
      <c r="AI189" s="1363">
        <f t="shared" si="346"/>
        <v>0</v>
      </c>
    </row>
    <row r="190" spans="1:35">
      <c r="A190" s="1683">
        <v>70020</v>
      </c>
      <c r="B190" s="1336" t="s">
        <v>24</v>
      </c>
      <c r="C190" s="1341">
        <f>+IFERROR(VLOOKUP(A190,'2183 IS 2018'!$D:$AH,31,FALSE),0)</f>
        <v>560957.7300000001</v>
      </c>
      <c r="D190" s="1354">
        <f>+IFERROR(VLOOKUP(A190,'2184 IS 2018'!$D:$AH,31,FALSE),0)</f>
        <v>38733.320000000007</v>
      </c>
      <c r="E190" s="1354">
        <f>+IFERROR(VLOOKUP(A190,'2185 IS 2018'!$D:$AH,31,FALSE),0)</f>
        <v>105276.01999999999</v>
      </c>
      <c r="F190" s="1342">
        <f t="shared" si="347"/>
        <v>704967.07000000007</v>
      </c>
      <c r="G190" s="1343"/>
      <c r="H190" s="1341"/>
      <c r="I190" s="1341"/>
      <c r="J190" s="1341"/>
      <c r="K190" s="1341"/>
      <c r="L190" s="1362">
        <f t="shared" si="348"/>
        <v>704967.07000000007</v>
      </c>
      <c r="M190" s="1337"/>
      <c r="N190" s="1359">
        <f t="shared" si="349"/>
        <v>560957.7300000001</v>
      </c>
      <c r="O190" s="1359">
        <f t="shared" si="350"/>
        <v>38733.320000000007</v>
      </c>
      <c r="P190" s="1359">
        <f t="shared" si="351"/>
        <v>105276.01999999999</v>
      </c>
      <c r="Q190" s="1359">
        <f t="shared" si="352"/>
        <v>704967.07000000007</v>
      </c>
      <c r="R190" s="1359"/>
      <c r="S190" s="1359"/>
      <c r="T190" s="1359"/>
      <c r="U190" s="1359"/>
      <c r="V190" s="1681">
        <f t="shared" si="353"/>
        <v>0</v>
      </c>
      <c r="W190" s="1333"/>
      <c r="X190" s="1681">
        <f t="shared" si="354"/>
        <v>560957.7300000001</v>
      </c>
      <c r="Y190" s="1681">
        <f t="shared" si="355"/>
        <v>38733.320000000007</v>
      </c>
      <c r="Z190" s="1681">
        <f t="shared" si="356"/>
        <v>105276.01999999999</v>
      </c>
      <c r="AA190" s="1681">
        <f t="shared" si="357"/>
        <v>704967.07000000007</v>
      </c>
      <c r="AB190" s="1341">
        <f>$X190*'2183-2184-2185 Ratios'!C$21</f>
        <v>518891.53397110204</v>
      </c>
      <c r="AC190" s="1341">
        <f>$X190*'2183-2184-2185 Ratios'!D$21</f>
        <v>19945.126775791359</v>
      </c>
      <c r="AD190" s="1341">
        <f>$X190*'2183-2184-2185 Ratios'!E$21</f>
        <v>5220.6385580399101</v>
      </c>
      <c r="AE190" s="1341">
        <f>$X190*'2183-2184-2185 Ratios'!F$21</f>
        <v>16900.430695066854</v>
      </c>
      <c r="AF190" s="1341">
        <f t="shared" si="358"/>
        <v>38733.320000000007</v>
      </c>
      <c r="AG190" s="1341">
        <f t="shared" si="359"/>
        <v>105276.01999999999</v>
      </c>
      <c r="AH190" s="1379" t="s">
        <v>352</v>
      </c>
      <c r="AI190" s="1363">
        <f t="shared" si="346"/>
        <v>0</v>
      </c>
    </row>
    <row r="191" spans="1:35">
      <c r="A191" s="1683">
        <v>70025</v>
      </c>
      <c r="B191" s="1336" t="s">
        <v>49</v>
      </c>
      <c r="C191" s="1341">
        <f>+IFERROR(VLOOKUP(A191,'2183 IS 2018'!$D:$AH,31,FALSE),0)</f>
        <v>61052.280000000006</v>
      </c>
      <c r="D191" s="1354">
        <f>+IFERROR(VLOOKUP(A191,'2184 IS 2018'!$D:$AH,31,FALSE),0)</f>
        <v>1042.96</v>
      </c>
      <c r="E191" s="1354">
        <f>+IFERROR(VLOOKUP(A191,'2185 IS 2018'!$D:$AH,31,FALSE),0)</f>
        <v>13865.46</v>
      </c>
      <c r="F191" s="1342">
        <f t="shared" si="347"/>
        <v>75960.700000000012</v>
      </c>
      <c r="G191" s="1343"/>
      <c r="H191" s="1341"/>
      <c r="I191" s="1341"/>
      <c r="J191" s="1341"/>
      <c r="K191" s="1341"/>
      <c r="L191" s="1362">
        <f t="shared" si="348"/>
        <v>75960.700000000012</v>
      </c>
      <c r="M191" s="1337"/>
      <c r="N191" s="1359">
        <f t="shared" si="349"/>
        <v>61052.280000000006</v>
      </c>
      <c r="O191" s="1359">
        <f t="shared" si="350"/>
        <v>1042.96</v>
      </c>
      <c r="P191" s="1359">
        <f t="shared" si="351"/>
        <v>13865.46</v>
      </c>
      <c r="Q191" s="1359">
        <f t="shared" si="352"/>
        <v>75960.700000000012</v>
      </c>
      <c r="R191" s="1359"/>
      <c r="S191" s="1359"/>
      <c r="T191" s="1359"/>
      <c r="U191" s="1359"/>
      <c r="V191" s="1681">
        <f t="shared" si="353"/>
        <v>0</v>
      </c>
      <c r="W191" s="1333"/>
      <c r="X191" s="1681">
        <f t="shared" si="354"/>
        <v>61052.280000000006</v>
      </c>
      <c r="Y191" s="1681">
        <f t="shared" si="355"/>
        <v>1042.96</v>
      </c>
      <c r="Z191" s="1681">
        <f t="shared" si="356"/>
        <v>13865.46</v>
      </c>
      <c r="AA191" s="1681">
        <f t="shared" si="357"/>
        <v>75960.700000000012</v>
      </c>
      <c r="AB191" s="1341">
        <f>$X191*'2183-2184-2185 Ratios'!C$21</f>
        <v>56473.972150509864</v>
      </c>
      <c r="AC191" s="1341">
        <f>$X191*'2183-2184-2185 Ratios'!D$21</f>
        <v>2170.7437110299047</v>
      </c>
      <c r="AD191" s="1341">
        <f>$X191*'2183-2184-2185 Ratios'!E$21</f>
        <v>568.19234316326981</v>
      </c>
      <c r="AE191" s="1341">
        <f>$X191*'2183-2184-2185 Ratios'!F$21</f>
        <v>1839.3717952969755</v>
      </c>
      <c r="AF191" s="1341">
        <f t="shared" si="358"/>
        <v>1042.96</v>
      </c>
      <c r="AG191" s="1341">
        <f t="shared" si="359"/>
        <v>13865.46</v>
      </c>
      <c r="AH191" s="1379" t="s">
        <v>352</v>
      </c>
      <c r="AI191" s="1363">
        <f t="shared" si="346"/>
        <v>0</v>
      </c>
    </row>
    <row r="192" spans="1:35">
      <c r="A192" s="1683">
        <v>70035</v>
      </c>
      <c r="B192" s="1336" t="s">
        <v>26</v>
      </c>
      <c r="C192" s="1341">
        <f>+IFERROR(VLOOKUP(A192,'2183 IS 2018'!$D:$AH,31,FALSE),0)</f>
        <v>500</v>
      </c>
      <c r="D192" s="1354">
        <f>+IFERROR(VLOOKUP(A192,'2184 IS 2018'!$D:$AH,31,FALSE),0)</f>
        <v>0</v>
      </c>
      <c r="E192" s="1354">
        <f>+IFERROR(VLOOKUP(A192,'2185 IS 2018'!$D:$AH,31,FALSE),0)</f>
        <v>0</v>
      </c>
      <c r="F192" s="1342">
        <f t="shared" si="347"/>
        <v>500</v>
      </c>
      <c r="G192" s="1343"/>
      <c r="H192" s="1341"/>
      <c r="I192" s="1341"/>
      <c r="J192" s="1341"/>
      <c r="K192" s="1341"/>
      <c r="L192" s="1362">
        <f t="shared" si="348"/>
        <v>500</v>
      </c>
      <c r="M192" s="1337"/>
      <c r="N192" s="1359">
        <f t="shared" si="349"/>
        <v>500</v>
      </c>
      <c r="O192" s="1359">
        <f t="shared" si="350"/>
        <v>0</v>
      </c>
      <c r="P192" s="1359">
        <f t="shared" si="351"/>
        <v>0</v>
      </c>
      <c r="Q192" s="1359">
        <f t="shared" si="352"/>
        <v>500</v>
      </c>
      <c r="R192" s="1359"/>
      <c r="S192" s="1359"/>
      <c r="T192" s="1359"/>
      <c r="U192" s="1359"/>
      <c r="V192" s="1681">
        <f t="shared" si="353"/>
        <v>0</v>
      </c>
      <c r="W192" s="1333"/>
      <c r="X192" s="1681">
        <f t="shared" si="354"/>
        <v>500</v>
      </c>
      <c r="Y192" s="1681">
        <f t="shared" si="355"/>
        <v>0</v>
      </c>
      <c r="Z192" s="1681">
        <f t="shared" si="356"/>
        <v>0</v>
      </c>
      <c r="AA192" s="1681">
        <f t="shared" si="357"/>
        <v>500</v>
      </c>
      <c r="AB192" s="1341">
        <f>$X192*'2183-2184-2185 Ratios'!C$21</f>
        <v>462.50502152016156</v>
      </c>
      <c r="AC192" s="1341">
        <f>$X192*'2183-2184-2185 Ratios'!D$21</f>
        <v>17.777744836309999</v>
      </c>
      <c r="AD192" s="1341">
        <f>$X192*'2183-2184-2185 Ratios'!E$21</f>
        <v>4.6533261588532788</v>
      </c>
      <c r="AE192" s="1341">
        <f>$X192*'2183-2184-2185 Ratios'!F$21</f>
        <v>15.063907484675227</v>
      </c>
      <c r="AF192" s="1341">
        <f t="shared" si="358"/>
        <v>0</v>
      </c>
      <c r="AG192" s="1341">
        <f t="shared" si="359"/>
        <v>0</v>
      </c>
      <c r="AH192" s="1379" t="s">
        <v>352</v>
      </c>
      <c r="AI192" s="1363">
        <f t="shared" si="346"/>
        <v>0</v>
      </c>
    </row>
    <row r="193" spans="1:35">
      <c r="A193" s="1683">
        <v>70036</v>
      </c>
      <c r="B193" s="1336" t="s">
        <v>95</v>
      </c>
      <c r="C193" s="1341">
        <f>+IFERROR(VLOOKUP(A193,'2183 IS 2018'!$D:$AH,31,FALSE),0)</f>
        <v>13731.35</v>
      </c>
      <c r="D193" s="1354">
        <f>+IFERROR(VLOOKUP(A193,'2184 IS 2018'!$D:$AH,31,FALSE),0)</f>
        <v>42.66</v>
      </c>
      <c r="E193" s="1354">
        <f>+IFERROR(VLOOKUP(A193,'2185 IS 2018'!$D:$AH,31,FALSE),0)</f>
        <v>1366.34</v>
      </c>
      <c r="F193" s="1342">
        <f t="shared" si="347"/>
        <v>15140.35</v>
      </c>
      <c r="G193" s="1343"/>
      <c r="H193" s="1341"/>
      <c r="I193" s="1341"/>
      <c r="J193" s="1341"/>
      <c r="K193" s="1341"/>
      <c r="L193" s="1362">
        <f t="shared" si="348"/>
        <v>15140.35</v>
      </c>
      <c r="M193" s="1337"/>
      <c r="N193" s="1359">
        <f t="shared" si="349"/>
        <v>13731.35</v>
      </c>
      <c r="O193" s="1359">
        <f t="shared" si="350"/>
        <v>42.66</v>
      </c>
      <c r="P193" s="1359">
        <f t="shared" si="351"/>
        <v>1366.34</v>
      </c>
      <c r="Q193" s="1359">
        <f t="shared" si="352"/>
        <v>15140.35</v>
      </c>
      <c r="R193" s="1359"/>
      <c r="S193" s="1359"/>
      <c r="T193" s="1359"/>
      <c r="U193" s="1359"/>
      <c r="V193" s="1681">
        <f t="shared" si="353"/>
        <v>0</v>
      </c>
      <c r="W193" s="1333"/>
      <c r="X193" s="1681">
        <f t="shared" si="354"/>
        <v>13731.35</v>
      </c>
      <c r="Y193" s="1681">
        <f t="shared" si="355"/>
        <v>42.66</v>
      </c>
      <c r="Z193" s="1681">
        <f t="shared" si="356"/>
        <v>1366.34</v>
      </c>
      <c r="AA193" s="1681">
        <f t="shared" si="357"/>
        <v>15140.35</v>
      </c>
      <c r="AB193" s="1341">
        <f>$X193*'2183-2184-2185 Ratios'!C$21</f>
        <v>12701.636654501741</v>
      </c>
      <c r="AC193" s="1341">
        <f>$X193*'2183-2184-2185 Ratios'!D$21</f>
        <v>488.2248731161306</v>
      </c>
      <c r="AD193" s="1341">
        <f>$X193*'2183-2184-2185 Ratios'!E$21</f>
        <v>127.79290030273994</v>
      </c>
      <c r="AE193" s="1341">
        <f>$X193*'2183-2184-2185 Ratios'!F$21</f>
        <v>413.69557207939033</v>
      </c>
      <c r="AF193" s="1341">
        <f t="shared" si="358"/>
        <v>42.66</v>
      </c>
      <c r="AG193" s="1341">
        <f t="shared" si="359"/>
        <v>1366.34</v>
      </c>
      <c r="AH193" s="1379" t="s">
        <v>352</v>
      </c>
      <c r="AI193" s="1363">
        <f t="shared" si="346"/>
        <v>0</v>
      </c>
    </row>
    <row r="194" spans="1:35">
      <c r="A194" s="1683">
        <v>70045</v>
      </c>
      <c r="B194" s="1336" t="s">
        <v>27</v>
      </c>
      <c r="C194" s="1341">
        <f>+IFERROR(VLOOKUP(A194,'2183 IS 2018'!$D:$AH,31,FALSE),0)</f>
        <v>6026.92</v>
      </c>
      <c r="D194" s="1354">
        <f>+IFERROR(VLOOKUP(A194,'2184 IS 2018'!$D:$AH,31,FALSE),0)</f>
        <v>0</v>
      </c>
      <c r="E194" s="1354">
        <f>+IFERROR(VLOOKUP(A194,'2185 IS 2018'!$D:$AH,31,FALSE),0)</f>
        <v>5737.8099999999995</v>
      </c>
      <c r="F194" s="1342">
        <f t="shared" si="347"/>
        <v>11764.73</v>
      </c>
      <c r="G194" s="1343"/>
      <c r="H194" s="1341"/>
      <c r="I194" s="1341"/>
      <c r="J194" s="1341"/>
      <c r="K194" s="1341"/>
      <c r="L194" s="1362">
        <f t="shared" si="348"/>
        <v>11764.73</v>
      </c>
      <c r="M194" s="1337"/>
      <c r="N194" s="1359">
        <f t="shared" si="349"/>
        <v>6026.92</v>
      </c>
      <c r="O194" s="1359">
        <f t="shared" si="350"/>
        <v>0</v>
      </c>
      <c r="P194" s="1359">
        <f t="shared" si="351"/>
        <v>5737.8099999999995</v>
      </c>
      <c r="Q194" s="1359">
        <f t="shared" si="352"/>
        <v>11764.73</v>
      </c>
      <c r="R194" s="1359"/>
      <c r="S194" s="1359"/>
      <c r="T194" s="1359"/>
      <c r="U194" s="1359"/>
      <c r="V194" s="1681">
        <f t="shared" si="353"/>
        <v>0</v>
      </c>
      <c r="W194" s="1333"/>
      <c r="X194" s="1681">
        <f t="shared" si="354"/>
        <v>6026.92</v>
      </c>
      <c r="Y194" s="1681">
        <f t="shared" si="355"/>
        <v>0</v>
      </c>
      <c r="Z194" s="1681">
        <f t="shared" si="356"/>
        <v>5737.8099999999995</v>
      </c>
      <c r="AA194" s="1681">
        <f t="shared" si="357"/>
        <v>11764.73</v>
      </c>
      <c r="AB194" s="1341">
        <f>$X194*'2183-2184-2185 Ratios'!C$21</f>
        <v>5574.9615286005837</v>
      </c>
      <c r="AC194" s="1341">
        <f>$X194*'2183-2184-2185 Ratios'!D$21</f>
        <v>214.29009181770692</v>
      </c>
      <c r="AD194" s="1341">
        <f>$X194*'2183-2184-2185 Ratios'!E$21</f>
        <v>56.090448986632005</v>
      </c>
      <c r="AE194" s="1341">
        <f>$X194*'2183-2184-2185 Ratios'!F$21</f>
        <v>181.57793059507765</v>
      </c>
      <c r="AF194" s="1341">
        <f t="shared" si="358"/>
        <v>0</v>
      </c>
      <c r="AG194" s="1341">
        <f t="shared" si="359"/>
        <v>5737.8099999999995</v>
      </c>
      <c r="AH194" s="1379" t="s">
        <v>352</v>
      </c>
      <c r="AI194" s="1363">
        <f t="shared" si="346"/>
        <v>0</v>
      </c>
    </row>
    <row r="195" spans="1:35">
      <c r="A195" s="1683">
        <v>70065</v>
      </c>
      <c r="B195" s="1336" t="s">
        <v>96</v>
      </c>
      <c r="C195" s="1341">
        <f>+IFERROR(VLOOKUP(A195,'2183 IS 2018'!$D:$AH,31,FALSE),0)</f>
        <v>11581.47</v>
      </c>
      <c r="D195" s="1354">
        <f>+IFERROR(VLOOKUP(A195,'2184 IS 2018'!$D:$AH,31,FALSE),0)</f>
        <v>-827.59000000000015</v>
      </c>
      <c r="E195" s="1354">
        <f>+IFERROR(VLOOKUP(A195,'2185 IS 2018'!$D:$AH,31,FALSE),0)</f>
        <v>4359.22</v>
      </c>
      <c r="F195" s="1342">
        <f t="shared" si="347"/>
        <v>15113.099999999999</v>
      </c>
      <c r="G195" s="1343"/>
      <c r="H195" s="1341"/>
      <c r="I195" s="1341"/>
      <c r="J195" s="1341"/>
      <c r="K195" s="1341"/>
      <c r="L195" s="1362">
        <f t="shared" si="348"/>
        <v>15113.099999999999</v>
      </c>
      <c r="M195" s="1337"/>
      <c r="N195" s="1359">
        <f t="shared" si="349"/>
        <v>11581.47</v>
      </c>
      <c r="O195" s="1359">
        <f t="shared" si="350"/>
        <v>-827.59000000000015</v>
      </c>
      <c r="P195" s="1359">
        <f t="shared" si="351"/>
        <v>4359.22</v>
      </c>
      <c r="Q195" s="1359">
        <f t="shared" si="352"/>
        <v>15113.099999999999</v>
      </c>
      <c r="R195" s="1359"/>
      <c r="S195" s="1359"/>
      <c r="T195" s="1359"/>
      <c r="U195" s="1359"/>
      <c r="V195" s="1681">
        <f t="shared" si="353"/>
        <v>0</v>
      </c>
      <c r="W195" s="1333"/>
      <c r="X195" s="1681">
        <f t="shared" si="354"/>
        <v>11581.47</v>
      </c>
      <c r="Y195" s="1681">
        <f t="shared" si="355"/>
        <v>-827.59000000000015</v>
      </c>
      <c r="Z195" s="1681">
        <f t="shared" si="356"/>
        <v>4359.22</v>
      </c>
      <c r="AA195" s="1681">
        <f t="shared" si="357"/>
        <v>15113.099999999999</v>
      </c>
      <c r="AB195" s="1341">
        <f>$X195*'2183-2184-2185 Ratios'!C$21</f>
        <v>10712.97606317021</v>
      </c>
      <c r="AC195" s="1341">
        <f>$X195*'2183-2184-2185 Ratios'!D$21</f>
        <v>411.78483697875828</v>
      </c>
      <c r="AD195" s="1341">
        <f>$X195*'2183-2184-2185 Ratios'!E$21</f>
        <v>107.78471461794896</v>
      </c>
      <c r="AE195" s="1341">
        <f>$X195*'2183-2184-2185 Ratios'!F$21</f>
        <v>348.92438523308317</v>
      </c>
      <c r="AF195" s="1341">
        <f t="shared" si="358"/>
        <v>-827.59000000000015</v>
      </c>
      <c r="AG195" s="1341">
        <f t="shared" si="359"/>
        <v>4359.22</v>
      </c>
      <c r="AH195" s="1379" t="s">
        <v>352</v>
      </c>
      <c r="AI195" s="1363">
        <f t="shared" si="346"/>
        <v>0</v>
      </c>
    </row>
    <row r="196" spans="1:35">
      <c r="A196" s="1331">
        <v>70070</v>
      </c>
      <c r="B196" s="1336" t="s">
        <v>97</v>
      </c>
      <c r="C196" s="1341">
        <f>+IFERROR(VLOOKUP(A196,'2183 IS 2018'!$D:$AH,31,FALSE),0)</f>
        <v>24657.500000000004</v>
      </c>
      <c r="D196" s="1354">
        <f>+IFERROR(VLOOKUP(A196,'2184 IS 2018'!$D:$AH,31,FALSE),0)</f>
        <v>908.08</v>
      </c>
      <c r="E196" s="1354">
        <f>+IFERROR(VLOOKUP(A196,'2185 IS 2018'!$D:$AH,31,FALSE),0)</f>
        <v>4893.2299999999996</v>
      </c>
      <c r="F196" s="1342">
        <f t="shared" si="347"/>
        <v>30458.810000000005</v>
      </c>
      <c r="G196" s="1343"/>
      <c r="H196" s="1341"/>
      <c r="I196" s="1341"/>
      <c r="J196" s="1341"/>
      <c r="K196" s="1341"/>
      <c r="L196" s="1362">
        <f t="shared" si="348"/>
        <v>30458.810000000005</v>
      </c>
      <c r="M196" s="1337"/>
      <c r="N196" s="1359">
        <f t="shared" si="349"/>
        <v>24657.500000000004</v>
      </c>
      <c r="O196" s="1359">
        <f t="shared" si="350"/>
        <v>908.08</v>
      </c>
      <c r="P196" s="1359">
        <f t="shared" si="351"/>
        <v>4893.2299999999996</v>
      </c>
      <c r="Q196" s="1359">
        <f t="shared" si="352"/>
        <v>30458.810000000005</v>
      </c>
      <c r="R196" s="1359"/>
      <c r="S196" s="1359"/>
      <c r="T196" s="1359"/>
      <c r="U196" s="1359"/>
      <c r="V196" s="1681">
        <f t="shared" si="353"/>
        <v>0</v>
      </c>
      <c r="W196" s="1333"/>
      <c r="X196" s="1681">
        <f t="shared" si="354"/>
        <v>24657.500000000004</v>
      </c>
      <c r="Y196" s="1681">
        <f t="shared" si="355"/>
        <v>908.08</v>
      </c>
      <c r="Z196" s="1681">
        <f t="shared" si="356"/>
        <v>4893.2299999999996</v>
      </c>
      <c r="AA196" s="1681">
        <f t="shared" si="357"/>
        <v>30458.810000000005</v>
      </c>
      <c r="AB196" s="1341">
        <f>$X196*'2183-2184-2185 Ratios'!C$21</f>
        <v>22808.435136266769</v>
      </c>
      <c r="AC196" s="1341">
        <f>$X196*'2183-2184-2185 Ratios'!D$21</f>
        <v>876.70948660262775</v>
      </c>
      <c r="AD196" s="1341">
        <f>$X196*'2183-2184-2185 Ratios'!E$21</f>
        <v>229.47877952384948</v>
      </c>
      <c r="AE196" s="1341">
        <f>$X196*'2183-2184-2185 Ratios'!F$21</f>
        <v>742.87659760675888</v>
      </c>
      <c r="AF196" s="1341">
        <f t="shared" si="358"/>
        <v>908.08</v>
      </c>
      <c r="AG196" s="1341">
        <f t="shared" si="359"/>
        <v>4893.2299999999996</v>
      </c>
      <c r="AH196" s="1379" t="s">
        <v>352</v>
      </c>
      <c r="AI196" s="1363">
        <f t="shared" si="346"/>
        <v>0</v>
      </c>
    </row>
    <row r="197" spans="1:35">
      <c r="A197" s="1331"/>
      <c r="B197" s="1336"/>
      <c r="C197" s="1354"/>
      <c r="D197" s="1354"/>
      <c r="E197" s="1354"/>
      <c r="F197" s="1342"/>
      <c r="G197" s="1343"/>
      <c r="H197" s="1341"/>
      <c r="I197" s="1341"/>
      <c r="J197" s="1341"/>
      <c r="K197" s="1341"/>
      <c r="L197" s="1362"/>
      <c r="M197" s="1336"/>
      <c r="N197" s="1359"/>
      <c r="O197" s="1359"/>
      <c r="P197" s="1359"/>
      <c r="Q197" s="1359"/>
      <c r="R197" s="1359"/>
      <c r="S197" s="1359"/>
      <c r="T197" s="1359"/>
      <c r="U197" s="1359"/>
      <c r="V197" s="1364"/>
      <c r="W197" s="1364"/>
      <c r="X197" s="1364"/>
      <c r="Y197" s="1364"/>
      <c r="Z197" s="1364"/>
      <c r="AA197" s="1364"/>
      <c r="AB197" s="1362"/>
      <c r="AC197" s="1362"/>
      <c r="AD197" s="1362"/>
      <c r="AE197" s="1341"/>
      <c r="AF197" s="1341"/>
      <c r="AG197" s="1341"/>
      <c r="AH197" s="1336"/>
      <c r="AI197" s="1363"/>
    </row>
    <row r="198" spans="1:35">
      <c r="A198" s="1685">
        <v>46130</v>
      </c>
      <c r="B198" s="1386" t="s">
        <v>98</v>
      </c>
      <c r="C198" s="1366">
        <f t="shared" ref="C198:J198" si="360">SUM(C189:C197)</f>
        <v>1366671.67</v>
      </c>
      <c r="D198" s="1366">
        <f t="shared" si="360"/>
        <v>151549.9</v>
      </c>
      <c r="E198" s="1366">
        <f t="shared" si="360"/>
        <v>155920.03</v>
      </c>
      <c r="F198" s="1366">
        <f t="shared" si="360"/>
        <v>1674141.6</v>
      </c>
      <c r="G198" s="1366">
        <f t="shared" si="360"/>
        <v>0</v>
      </c>
      <c r="H198" s="1366">
        <f t="shared" si="360"/>
        <v>28916.560523027612</v>
      </c>
      <c r="I198" s="1366">
        <f t="shared" si="360"/>
        <v>5711.0201345621226</v>
      </c>
      <c r="J198" s="1366">
        <f t="shared" si="360"/>
        <v>3546.5532358430019</v>
      </c>
      <c r="K198" s="1367"/>
      <c r="L198" s="1366">
        <f>SUM(L189:L197)</f>
        <v>1712315.7338934329</v>
      </c>
      <c r="M198" s="1366"/>
      <c r="N198" s="1366">
        <f>SUM(N189:N197)</f>
        <v>1395588.2305230275</v>
      </c>
      <c r="O198" s="1366">
        <f>SUM(O189:O197)</f>
        <v>157260.92013456213</v>
      </c>
      <c r="P198" s="1366">
        <f>SUM(P189:P197)</f>
        <v>159466.58323584299</v>
      </c>
      <c r="Q198" s="1366">
        <f>SUM(Q189:Q197)</f>
        <v>1712315.7338934329</v>
      </c>
      <c r="R198" s="1366"/>
      <c r="S198" s="1366">
        <f>SUM(S189:S197)</f>
        <v>24250.65530987793</v>
      </c>
      <c r="T198" s="1366">
        <f>SUM(T189:T197)</f>
        <v>0</v>
      </c>
      <c r="U198" s="1366">
        <f>SUM(U189:U197)</f>
        <v>0</v>
      </c>
      <c r="V198" s="1366">
        <f>SUM(V189:V197)</f>
        <v>24250.65530987793</v>
      </c>
      <c r="W198" s="1366"/>
      <c r="X198" s="1366">
        <f t="shared" ref="X198:AI198" si="361">SUM(X189:X197)</f>
        <v>1419838.8858329055</v>
      </c>
      <c r="Y198" s="1366">
        <f t="shared" si="361"/>
        <v>157260.92013456213</v>
      </c>
      <c r="Z198" s="1366">
        <f t="shared" si="361"/>
        <v>159466.58323584299</v>
      </c>
      <c r="AA198" s="1366">
        <f t="shared" si="361"/>
        <v>1736566.3892033107</v>
      </c>
      <c r="AB198" s="1366">
        <f t="shared" si="361"/>
        <v>1313365.2288946207</v>
      </c>
      <c r="AC198" s="1366">
        <f t="shared" si="361"/>
        <v>50483.06684201616</v>
      </c>
      <c r="AD198" s="1366">
        <f t="shared" si="361"/>
        <v>13213.946857606707</v>
      </c>
      <c r="AE198" s="1366">
        <f t="shared" si="361"/>
        <v>42776.643238662487</v>
      </c>
      <c r="AF198" s="1366">
        <f t="shared" si="361"/>
        <v>157260.92013456213</v>
      </c>
      <c r="AG198" s="1366">
        <f t="shared" si="361"/>
        <v>159466.58323584299</v>
      </c>
      <c r="AH198" s="1366">
        <f t="shared" si="361"/>
        <v>0</v>
      </c>
      <c r="AI198" s="1366">
        <f t="shared" si="361"/>
        <v>0</v>
      </c>
    </row>
    <row r="199" spans="1:35">
      <c r="A199" s="1331"/>
      <c r="B199" s="1336"/>
      <c r="C199" s="1354"/>
      <c r="D199" s="1333"/>
      <c r="E199" s="1342"/>
      <c r="F199" s="1342"/>
      <c r="G199" s="1336"/>
      <c r="H199" s="1341"/>
      <c r="I199" s="1341"/>
      <c r="J199" s="1341"/>
      <c r="K199" s="1341"/>
      <c r="L199" s="1341"/>
      <c r="M199" s="1336"/>
      <c r="N199" s="1342"/>
      <c r="O199" s="1336"/>
      <c r="P199" s="1336"/>
      <c r="Q199" s="1336"/>
      <c r="R199" s="1336"/>
      <c r="S199" s="1336"/>
      <c r="T199" s="1336"/>
      <c r="U199" s="1336"/>
      <c r="V199" s="1364"/>
      <c r="W199" s="1364"/>
      <c r="X199" s="1364"/>
      <c r="Y199" s="1364"/>
      <c r="Z199" s="1364"/>
      <c r="AA199" s="1364"/>
      <c r="AB199" s="1341"/>
      <c r="AC199" s="1341"/>
      <c r="AD199" s="1341"/>
      <c r="AE199" s="1341"/>
      <c r="AF199" s="1341"/>
      <c r="AG199" s="1341"/>
      <c r="AH199" s="1336"/>
      <c r="AI199" s="1363">
        <f>SUM(AB199:AG199)-AA199</f>
        <v>0</v>
      </c>
    </row>
    <row r="200" spans="1:35">
      <c r="A200" s="1331"/>
      <c r="B200" s="1336"/>
      <c r="C200" s="1354"/>
      <c r="D200" s="1333"/>
      <c r="E200" s="1342"/>
      <c r="F200" s="1342"/>
      <c r="G200" s="1336"/>
      <c r="H200" s="1341"/>
      <c r="I200" s="1341"/>
      <c r="J200" s="1341"/>
      <c r="K200" s="1341"/>
      <c r="L200" s="1341"/>
      <c r="M200" s="1336"/>
      <c r="N200" s="1342"/>
      <c r="O200" s="1336"/>
      <c r="P200" s="1336"/>
      <c r="Q200" s="1336"/>
      <c r="R200" s="1336"/>
      <c r="S200" s="1336"/>
      <c r="T200" s="1336"/>
      <c r="U200" s="1336"/>
      <c r="V200" s="1364"/>
      <c r="W200" s="1364"/>
      <c r="X200" s="1364"/>
      <c r="Y200" s="1364"/>
      <c r="Z200" s="1364"/>
      <c r="AA200" s="1364"/>
      <c r="AB200" s="1341"/>
      <c r="AC200" s="1341"/>
      <c r="AD200" s="1341"/>
      <c r="AE200" s="1341"/>
      <c r="AF200" s="1341"/>
      <c r="AG200" s="1341"/>
      <c r="AH200" s="1336"/>
      <c r="AI200" s="1363"/>
    </row>
    <row r="201" spans="1:35">
      <c r="A201" s="1331">
        <v>70149</v>
      </c>
      <c r="B201" s="1336" t="s">
        <v>99</v>
      </c>
      <c r="C201" s="1341">
        <f>+IFERROR(VLOOKUP(A201,'2183 IS 2018'!$D:$AH,31,FALSE),0)</f>
        <v>807565.70000000007</v>
      </c>
      <c r="D201" s="1354">
        <f>+IFERROR(VLOOKUP(A201,'2184 IS 2018'!$D:$AH,31,FALSE),0)</f>
        <v>188065.86000000002</v>
      </c>
      <c r="E201" s="1354">
        <f>+IFERROR(VLOOKUP(A201,'2185 IS 2018'!$D:$AH,31,FALSE),0)</f>
        <v>133188.23000000001</v>
      </c>
      <c r="F201" s="1342">
        <f t="shared" ref="F201" si="362">SUM(C201:E201)</f>
        <v>1128819.79</v>
      </c>
      <c r="G201" s="1343"/>
      <c r="H201" s="1341">
        <f>'Restating Adj''s'!B38</f>
        <v>-235146.20576135989</v>
      </c>
      <c r="I201" s="1341">
        <f>'Restating Adj''s'!C38</f>
        <v>-76969.045789080716</v>
      </c>
      <c r="J201" s="1341">
        <f>'Restating Adj''s'!D38</f>
        <v>-59702.535734757766</v>
      </c>
      <c r="K201" s="1369" t="s">
        <v>571</v>
      </c>
      <c r="L201" s="1362">
        <f t="shared" ref="L201" si="363">F201+H201+I201+J201</f>
        <v>757002.0027148017</v>
      </c>
      <c r="M201" s="1337"/>
      <c r="N201" s="1359">
        <f t="shared" ref="N201" si="364">C201+H201</f>
        <v>572419.49423864018</v>
      </c>
      <c r="O201" s="1359">
        <f t="shared" ref="O201" si="365">D201+I201</f>
        <v>111096.8142109193</v>
      </c>
      <c r="P201" s="1359">
        <f t="shared" ref="P201" si="366">E201+J201</f>
        <v>73485.694265242244</v>
      </c>
      <c r="Q201" s="1359">
        <f t="shared" ref="Q201" si="367">SUM(N201:P201)</f>
        <v>757002.0027148017</v>
      </c>
      <c r="R201" s="1359"/>
      <c r="S201" s="1359"/>
      <c r="T201" s="1359"/>
      <c r="U201" s="1359"/>
      <c r="V201" s="1681">
        <f t="shared" ref="V201" si="368">+SUM(S201:U201)</f>
        <v>0</v>
      </c>
      <c r="W201" s="1333"/>
      <c r="X201" s="1681">
        <f t="shared" ref="X201" si="369">+S201+N201</f>
        <v>572419.49423864018</v>
      </c>
      <c r="Y201" s="1681">
        <f t="shared" ref="Y201" si="370">+T201+O201</f>
        <v>111096.8142109193</v>
      </c>
      <c r="Z201" s="1681">
        <f t="shared" ref="Z201" si="371">+U201+P201</f>
        <v>73485.694265242244</v>
      </c>
      <c r="AA201" s="1681">
        <f t="shared" ref="AA201" si="372">+SUM(X201:Z201)</f>
        <v>757002.0027148017</v>
      </c>
      <c r="AB201" s="1341">
        <f>+$X201*AB$25</f>
        <v>468248.10392593977</v>
      </c>
      <c r="AC201" s="1341">
        <f>+$X201*AC$25</f>
        <v>24497.859968851779</v>
      </c>
      <c r="AD201" s="1341">
        <f>+$X201*AD$25</f>
        <v>5509.5680504482389</v>
      </c>
      <c r="AE201" s="1341">
        <f>+$X201*AE$25</f>
        <v>74163.962293400517</v>
      </c>
      <c r="AF201" s="1341">
        <f>+Y201</f>
        <v>111096.8142109193</v>
      </c>
      <c r="AG201" s="1341">
        <f>+Z201</f>
        <v>73485.694265242244</v>
      </c>
      <c r="AH201" s="1336" t="s">
        <v>1801</v>
      </c>
      <c r="AI201" s="1363">
        <f>SUM(AB201:AG201)-AA201</f>
        <v>0</v>
      </c>
    </row>
    <row r="202" spans="1:35">
      <c r="A202" s="1331"/>
      <c r="B202" s="1336"/>
      <c r="C202" s="1354"/>
      <c r="D202" s="1354"/>
      <c r="E202" s="1354"/>
      <c r="F202" s="1342"/>
      <c r="G202" s="1343"/>
      <c r="H202" s="1341"/>
      <c r="I202" s="1341"/>
      <c r="J202" s="1341"/>
      <c r="K202" s="1341"/>
      <c r="L202" s="1362"/>
      <c r="M202" s="1336"/>
      <c r="N202" s="1359"/>
      <c r="O202" s="1359"/>
      <c r="P202" s="1359"/>
      <c r="Q202" s="1359"/>
      <c r="R202" s="1359"/>
      <c r="S202" s="1359"/>
      <c r="T202" s="1359"/>
      <c r="U202" s="1359"/>
      <c r="V202" s="1364"/>
      <c r="W202" s="1364"/>
      <c r="X202" s="1364"/>
      <c r="Y202" s="1364"/>
      <c r="Z202" s="1364"/>
      <c r="AA202" s="1364"/>
      <c r="AB202" s="1341"/>
      <c r="AC202" s="1341"/>
      <c r="AD202" s="1341"/>
      <c r="AE202" s="1341"/>
      <c r="AF202" s="1341"/>
      <c r="AG202" s="1341"/>
      <c r="AH202" s="1336"/>
      <c r="AI202" s="1363"/>
    </row>
    <row r="203" spans="1:35">
      <c r="A203" s="1685">
        <v>46100</v>
      </c>
      <c r="B203" s="1386" t="s">
        <v>100</v>
      </c>
      <c r="C203" s="1366">
        <f>SUM(C201:C202)</f>
        <v>807565.70000000007</v>
      </c>
      <c r="D203" s="1366">
        <f t="shared" ref="D203:AI203" si="373">SUM(D201:D202)</f>
        <v>188065.86000000002</v>
      </c>
      <c r="E203" s="1366">
        <f t="shared" si="373"/>
        <v>133188.23000000001</v>
      </c>
      <c r="F203" s="1366">
        <f t="shared" si="373"/>
        <v>1128819.79</v>
      </c>
      <c r="G203" s="1366">
        <f t="shared" si="373"/>
        <v>0</v>
      </c>
      <c r="H203" s="1366">
        <f t="shared" si="373"/>
        <v>-235146.20576135989</v>
      </c>
      <c r="I203" s="1366">
        <f t="shared" si="373"/>
        <v>-76969.045789080716</v>
      </c>
      <c r="J203" s="1366">
        <f t="shared" si="373"/>
        <v>-59702.535734757766</v>
      </c>
      <c r="K203" s="1367"/>
      <c r="L203" s="1366">
        <f t="shared" si="373"/>
        <v>757002.0027148017</v>
      </c>
      <c r="M203" s="1366"/>
      <c r="N203" s="1366">
        <f t="shared" si="373"/>
        <v>572419.49423864018</v>
      </c>
      <c r="O203" s="1366">
        <f t="shared" si="373"/>
        <v>111096.8142109193</v>
      </c>
      <c r="P203" s="1366">
        <f t="shared" si="373"/>
        <v>73485.694265242244</v>
      </c>
      <c r="Q203" s="1366">
        <f t="shared" si="373"/>
        <v>757002.0027148017</v>
      </c>
      <c r="R203" s="1366"/>
      <c r="S203" s="1366">
        <f t="shared" si="373"/>
        <v>0</v>
      </c>
      <c r="T203" s="1366">
        <f t="shared" si="373"/>
        <v>0</v>
      </c>
      <c r="U203" s="1366">
        <f t="shared" si="373"/>
        <v>0</v>
      </c>
      <c r="V203" s="1366">
        <f t="shared" si="373"/>
        <v>0</v>
      </c>
      <c r="W203" s="1366"/>
      <c r="X203" s="1366">
        <f t="shared" si="373"/>
        <v>572419.49423864018</v>
      </c>
      <c r="Y203" s="1366">
        <f t="shared" si="373"/>
        <v>111096.8142109193</v>
      </c>
      <c r="Z203" s="1366">
        <f t="shared" si="373"/>
        <v>73485.694265242244</v>
      </c>
      <c r="AA203" s="1366">
        <f t="shared" si="373"/>
        <v>757002.0027148017</v>
      </c>
      <c r="AB203" s="1366">
        <f t="shared" si="373"/>
        <v>468248.10392593977</v>
      </c>
      <c r="AC203" s="1366">
        <f t="shared" si="373"/>
        <v>24497.859968851779</v>
      </c>
      <c r="AD203" s="1366">
        <f t="shared" si="373"/>
        <v>5509.5680504482389</v>
      </c>
      <c r="AE203" s="1366">
        <f>SUM(AE201:AE202)</f>
        <v>74163.962293400517</v>
      </c>
      <c r="AF203" s="1366">
        <f t="shared" si="373"/>
        <v>111096.8142109193</v>
      </c>
      <c r="AG203" s="1366">
        <f t="shared" si="373"/>
        <v>73485.694265242244</v>
      </c>
      <c r="AH203" s="1366">
        <f t="shared" si="373"/>
        <v>0</v>
      </c>
      <c r="AI203" s="1366">
        <f t="shared" si="373"/>
        <v>0</v>
      </c>
    </row>
    <row r="204" spans="1:35">
      <c r="A204" s="1331"/>
      <c r="B204" s="1336"/>
      <c r="C204" s="1354"/>
      <c r="D204" s="1333"/>
      <c r="E204" s="1342"/>
      <c r="F204" s="1342"/>
      <c r="G204" s="1336"/>
      <c r="H204" s="1341"/>
      <c r="I204" s="1341"/>
      <c r="J204" s="1341"/>
      <c r="K204" s="1341"/>
      <c r="L204" s="1341"/>
      <c r="M204" s="1336"/>
      <c r="N204" s="1342"/>
      <c r="O204" s="1336"/>
      <c r="P204" s="1336"/>
      <c r="Q204" s="1336"/>
      <c r="R204" s="1336"/>
      <c r="S204" s="1336"/>
      <c r="T204" s="1336"/>
      <c r="U204" s="1336"/>
      <c r="V204" s="1364"/>
      <c r="W204" s="1364"/>
      <c r="X204" s="1364"/>
      <c r="Y204" s="1364"/>
      <c r="Z204" s="1364"/>
      <c r="AA204" s="1364"/>
      <c r="AB204" s="1341"/>
      <c r="AC204" s="1341"/>
      <c r="AD204" s="1341"/>
      <c r="AE204" s="1341"/>
      <c r="AF204" s="1341"/>
      <c r="AG204" s="1341"/>
      <c r="AH204" s="1336"/>
      <c r="AI204" s="1363">
        <f t="shared" ref="AI204:AI218" si="374">SUM(AB204:AG204)-AA204</f>
        <v>0</v>
      </c>
    </row>
    <row r="205" spans="1:35" ht="10.5" customHeight="1">
      <c r="A205" s="1331"/>
      <c r="B205" s="1336"/>
      <c r="C205" s="1354"/>
      <c r="D205" s="1333"/>
      <c r="E205" s="1342"/>
      <c r="F205" s="1342"/>
      <c r="G205" s="1336"/>
      <c r="H205" s="1341"/>
      <c r="I205" s="1341"/>
      <c r="J205" s="1341"/>
      <c r="K205" s="1341"/>
      <c r="L205" s="1341"/>
      <c r="M205" s="1336"/>
      <c r="N205" s="1342"/>
      <c r="O205" s="1336"/>
      <c r="P205" s="1336"/>
      <c r="Q205" s="1336"/>
      <c r="R205" s="1336"/>
      <c r="S205" s="1336"/>
      <c r="T205" s="1336"/>
      <c r="U205" s="1336"/>
      <c r="V205" s="1364"/>
      <c r="W205" s="1364"/>
      <c r="X205" s="1364"/>
      <c r="Y205" s="1364"/>
      <c r="Z205" s="1364"/>
      <c r="AA205" s="1364"/>
      <c r="AB205" s="1341"/>
      <c r="AC205" s="1341"/>
      <c r="AD205" s="1341"/>
      <c r="AE205" s="1341"/>
      <c r="AF205" s="1341"/>
      <c r="AG205" s="1341"/>
      <c r="AH205" s="1336"/>
      <c r="AI205" s="1363"/>
    </row>
    <row r="206" spans="1:35">
      <c r="A206" s="1331">
        <v>52181</v>
      </c>
      <c r="B206" s="1336" t="s">
        <v>45</v>
      </c>
      <c r="C206" s="1341">
        <f>+IFERROR(VLOOKUP(A206,'2183 IS 2018'!$D:$AH,31,FALSE),0)</f>
        <v>0</v>
      </c>
      <c r="D206" s="1354">
        <f>+IFERROR(VLOOKUP(A206,'2184 IS 2018'!$D:$AH,31,FALSE),0)</f>
        <v>0</v>
      </c>
      <c r="E206" s="1354">
        <f>+IFERROR(VLOOKUP(A206,'2185 IS 2018'!$D:$AH,31,FALSE),0)</f>
        <v>1255.68</v>
      </c>
      <c r="F206" s="1342">
        <f t="shared" ref="F206:F218" si="375">SUM(C206:E206)</f>
        <v>1255.68</v>
      </c>
      <c r="G206" s="1343"/>
      <c r="H206" s="1341"/>
      <c r="I206" s="1341"/>
      <c r="J206" s="1341"/>
      <c r="K206" s="1341"/>
      <c r="L206" s="1362">
        <f t="shared" ref="L206:L218" si="376">F206+H206+I206+J206</f>
        <v>1255.68</v>
      </c>
      <c r="M206" s="1337"/>
      <c r="N206" s="1359">
        <f t="shared" ref="N206:N218" si="377">C206+H206</f>
        <v>0</v>
      </c>
      <c r="O206" s="1359">
        <f t="shared" ref="O206:O218" si="378">D206+I206</f>
        <v>0</v>
      </c>
      <c r="P206" s="1359">
        <f t="shared" ref="P206:P218" si="379">E206+J206</f>
        <v>1255.68</v>
      </c>
      <c r="Q206" s="1359">
        <f t="shared" ref="Q206:Q218" si="380">SUM(N206:P206)</f>
        <v>1255.68</v>
      </c>
      <c r="R206" s="1359"/>
      <c r="S206" s="1359"/>
      <c r="T206" s="1359"/>
      <c r="U206" s="1359"/>
      <c r="V206" s="1681">
        <f t="shared" ref="V206:V218" si="381">+SUM(S206:U206)</f>
        <v>0</v>
      </c>
      <c r="W206" s="1333"/>
      <c r="X206" s="1681">
        <f t="shared" ref="X206:X218" si="382">+S206+N206</f>
        <v>0</v>
      </c>
      <c r="Y206" s="1681">
        <f t="shared" ref="Y206:Y218" si="383">+T206+O206</f>
        <v>0</v>
      </c>
      <c r="Z206" s="1681">
        <f t="shared" ref="Z206:Z218" si="384">+U206+P206</f>
        <v>1255.68</v>
      </c>
      <c r="AA206" s="1681">
        <f t="shared" ref="AA206:AA218" si="385">+SUM(X206:Z206)</f>
        <v>1255.68</v>
      </c>
      <c r="AB206" s="1362">
        <f>$X206*'2183-2184-2185 Ratios'!C$60</f>
        <v>0</v>
      </c>
      <c r="AC206" s="1362">
        <f>$X206*'2183-2184-2185 Ratios'!D$60</f>
        <v>0</v>
      </c>
      <c r="AD206" s="1362">
        <f>$X206*'2183-2184-2185 Ratios'!E$60</f>
        <v>0</v>
      </c>
      <c r="AE206" s="1362">
        <f>$X206*'2183-2184-2185 Ratios'!F$60</f>
        <v>0</v>
      </c>
      <c r="AF206" s="1341">
        <f t="shared" ref="AF206:AG208" si="386">+Y206</f>
        <v>0</v>
      </c>
      <c r="AG206" s="1341">
        <f t="shared" si="386"/>
        <v>1255.68</v>
      </c>
      <c r="AH206" s="1336" t="s">
        <v>350</v>
      </c>
      <c r="AI206" s="1363">
        <f t="shared" si="374"/>
        <v>0</v>
      </c>
    </row>
    <row r="207" spans="1:35">
      <c r="A207" s="1331">
        <v>52200</v>
      </c>
      <c r="B207" s="1336" t="s">
        <v>101</v>
      </c>
      <c r="C207" s="1341">
        <f>+IFERROR(VLOOKUP(A207,'2183 IS 2018'!$D:$AH,31,FALSE),0)</f>
        <v>74.459999999999994</v>
      </c>
      <c r="D207" s="1354">
        <f>+IFERROR(VLOOKUP(A207,'2184 IS 2018'!$D:$AH,31,FALSE),0)</f>
        <v>0</v>
      </c>
      <c r="E207" s="1354">
        <f>+IFERROR(VLOOKUP(A207,'2185 IS 2018'!$D:$AH,31,FALSE),0)</f>
        <v>0</v>
      </c>
      <c r="F207" s="1342">
        <f t="shared" si="375"/>
        <v>74.459999999999994</v>
      </c>
      <c r="G207" s="1343"/>
      <c r="H207" s="1341"/>
      <c r="I207" s="1341"/>
      <c r="J207" s="1341"/>
      <c r="K207" s="1341"/>
      <c r="L207" s="1362">
        <f t="shared" si="376"/>
        <v>74.459999999999994</v>
      </c>
      <c r="M207" s="1337"/>
      <c r="N207" s="1359">
        <f t="shared" si="377"/>
        <v>74.459999999999994</v>
      </c>
      <c r="O207" s="1359">
        <f t="shared" si="378"/>
        <v>0</v>
      </c>
      <c r="P207" s="1359">
        <f t="shared" si="379"/>
        <v>0</v>
      </c>
      <c r="Q207" s="1359">
        <f t="shared" si="380"/>
        <v>74.459999999999994</v>
      </c>
      <c r="R207" s="1359"/>
      <c r="S207" s="1359"/>
      <c r="T207" s="1359"/>
      <c r="U207" s="1359"/>
      <c r="V207" s="1681">
        <f t="shared" si="381"/>
        <v>0</v>
      </c>
      <c r="W207" s="1333"/>
      <c r="X207" s="1681">
        <f t="shared" si="382"/>
        <v>74.459999999999994</v>
      </c>
      <c r="Y207" s="1681">
        <f t="shared" si="383"/>
        <v>0</v>
      </c>
      <c r="Z207" s="1681">
        <f t="shared" si="384"/>
        <v>0</v>
      </c>
      <c r="AA207" s="1681">
        <f t="shared" si="385"/>
        <v>74.459999999999994</v>
      </c>
      <c r="AB207" s="1362">
        <f>$X207*'2183-2184-2185 Ratios'!C$60</f>
        <v>56.672849289744775</v>
      </c>
      <c r="AC207" s="1362">
        <f>$X207*'2183-2184-2185 Ratios'!D$60</f>
        <v>2.88726556779821</v>
      </c>
      <c r="AD207" s="1362">
        <f>$X207*'2183-2184-2185 Ratios'!E$60</f>
        <v>0.63881617695814197</v>
      </c>
      <c r="AE207" s="1362">
        <f>$X207*'2183-2184-2185 Ratios'!F$60</f>
        <v>14.261068965498858</v>
      </c>
      <c r="AF207" s="1341">
        <f t="shared" si="386"/>
        <v>0</v>
      </c>
      <c r="AG207" s="1341">
        <f t="shared" si="386"/>
        <v>0</v>
      </c>
      <c r="AH207" s="1336" t="s">
        <v>350</v>
      </c>
      <c r="AI207" s="1363">
        <f t="shared" si="374"/>
        <v>0</v>
      </c>
    </row>
    <row r="208" spans="1:35">
      <c r="A208" s="1331">
        <v>57175</v>
      </c>
      <c r="B208" s="1336" t="s">
        <v>102</v>
      </c>
      <c r="C208" s="1341">
        <f>+IFERROR(VLOOKUP(A208,'2183 IS 2018'!$D:$AH,31,FALSE),0)</f>
        <v>5561.65</v>
      </c>
      <c r="D208" s="1354">
        <f>+IFERROR(VLOOKUP(A208,'2184 IS 2018'!$D:$AH,31,FALSE),0)</f>
        <v>16014.350000000002</v>
      </c>
      <c r="E208" s="1354">
        <f>+IFERROR(VLOOKUP(A208,'2185 IS 2018'!$D:$AH,31,FALSE),0)</f>
        <v>0</v>
      </c>
      <c r="F208" s="1342">
        <f t="shared" si="375"/>
        <v>21576</v>
      </c>
      <c r="G208" s="1343"/>
      <c r="H208" s="1341"/>
      <c r="I208" s="1341"/>
      <c r="J208" s="1341"/>
      <c r="K208" s="1341"/>
      <c r="L208" s="1362">
        <f t="shared" si="376"/>
        <v>21576</v>
      </c>
      <c r="M208" s="1337"/>
      <c r="N208" s="1359">
        <f t="shared" si="377"/>
        <v>5561.65</v>
      </c>
      <c r="O208" s="1359">
        <f t="shared" si="378"/>
        <v>16014.350000000002</v>
      </c>
      <c r="P208" s="1359">
        <f t="shared" si="379"/>
        <v>0</v>
      </c>
      <c r="Q208" s="1359">
        <f t="shared" si="380"/>
        <v>21576</v>
      </c>
      <c r="R208" s="1359"/>
      <c r="S208" s="1359"/>
      <c r="T208" s="1359"/>
      <c r="U208" s="1359"/>
      <c r="V208" s="1681">
        <f t="shared" si="381"/>
        <v>0</v>
      </c>
      <c r="W208" s="1333"/>
      <c r="X208" s="1681">
        <f t="shared" si="382"/>
        <v>5561.65</v>
      </c>
      <c r="Y208" s="1681">
        <f t="shared" si="383"/>
        <v>16014.350000000002</v>
      </c>
      <c r="Z208" s="1681">
        <f t="shared" si="384"/>
        <v>0</v>
      </c>
      <c r="AA208" s="1681">
        <f t="shared" si="385"/>
        <v>21576</v>
      </c>
      <c r="AB208" s="1362">
        <f>$X208*'2183-2184-2185 Ratios'!C$60</f>
        <v>4233.0721495072394</v>
      </c>
      <c r="AC208" s="1362">
        <f>$X208*'2183-2184-2185 Ratios'!D$60</f>
        <v>215.65888457084228</v>
      </c>
      <c r="AD208" s="1362">
        <f>$X208*'2183-2184-2185 Ratios'!E$60</f>
        <v>47.715175806866107</v>
      </c>
      <c r="AE208" s="1362">
        <f>$X208*'2183-2184-2185 Ratios'!F$60</f>
        <v>1065.2037901150513</v>
      </c>
      <c r="AF208" s="1341">
        <f t="shared" si="386"/>
        <v>16014.350000000002</v>
      </c>
      <c r="AG208" s="1341">
        <f t="shared" si="386"/>
        <v>0</v>
      </c>
      <c r="AH208" s="1336" t="s">
        <v>350</v>
      </c>
      <c r="AI208" s="1363">
        <f t="shared" si="374"/>
        <v>0</v>
      </c>
    </row>
    <row r="209" spans="1:35">
      <c r="A209" s="1331">
        <v>57345</v>
      </c>
      <c r="B209" s="1336" t="s">
        <v>103</v>
      </c>
      <c r="C209" s="1341">
        <f>+IFERROR(VLOOKUP(A209,'2183 IS 2018'!$D:$AH,31,FALSE),0)</f>
        <v>0</v>
      </c>
      <c r="D209" s="1354">
        <f>+IFERROR(VLOOKUP(A209,'2184 IS 2018'!$D:$AH,31,FALSE),0)</f>
        <v>3900</v>
      </c>
      <c r="E209" s="1354">
        <f>+IFERROR(VLOOKUP(A209,'2185 IS 2018'!$D:$AH,31,FALSE),0)</f>
        <v>0</v>
      </c>
      <c r="F209" s="1342">
        <f t="shared" si="375"/>
        <v>3900</v>
      </c>
      <c r="G209" s="1343"/>
      <c r="H209" s="1341"/>
      <c r="I209" s="1341"/>
      <c r="J209" s="1341"/>
      <c r="K209" s="1341"/>
      <c r="L209" s="1362">
        <f t="shared" si="376"/>
        <v>3900</v>
      </c>
      <c r="M209" s="1337"/>
      <c r="N209" s="1359">
        <f t="shared" si="377"/>
        <v>0</v>
      </c>
      <c r="O209" s="1359">
        <f t="shared" si="378"/>
        <v>3900</v>
      </c>
      <c r="P209" s="1359">
        <f t="shared" si="379"/>
        <v>0</v>
      </c>
      <c r="Q209" s="1359">
        <f t="shared" si="380"/>
        <v>3900</v>
      </c>
      <c r="R209" s="1359"/>
      <c r="S209" s="1359"/>
      <c r="T209" s="1359"/>
      <c r="U209" s="1359"/>
      <c r="V209" s="1681">
        <f t="shared" si="381"/>
        <v>0</v>
      </c>
      <c r="W209" s="1333"/>
      <c r="X209" s="1681">
        <f t="shared" si="382"/>
        <v>0</v>
      </c>
      <c r="Y209" s="1681">
        <f t="shared" si="383"/>
        <v>3900</v>
      </c>
      <c r="Z209" s="1681">
        <f t="shared" si="384"/>
        <v>0</v>
      </c>
      <c r="AA209" s="1681">
        <f t="shared" si="385"/>
        <v>3900</v>
      </c>
      <c r="AB209" s="1362">
        <f>$X209*'2183-2184-2185 Ratios'!C$60</f>
        <v>0</v>
      </c>
      <c r="AC209" s="1362">
        <f>$X209*'2183-2184-2185 Ratios'!D$60</f>
        <v>0</v>
      </c>
      <c r="AD209" s="1362">
        <f>$X209*'2183-2184-2185 Ratios'!E$60</f>
        <v>0</v>
      </c>
      <c r="AE209" s="1362">
        <f>$X209*'2183-2184-2185 Ratios'!F$60</f>
        <v>0</v>
      </c>
      <c r="AF209" s="1341">
        <f>+Y209</f>
        <v>3900</v>
      </c>
      <c r="AG209" s="1341">
        <f>+Z209</f>
        <v>0</v>
      </c>
      <c r="AH209" s="1336" t="s">
        <v>350</v>
      </c>
      <c r="AI209" s="1363">
        <f t="shared" si="374"/>
        <v>0</v>
      </c>
    </row>
    <row r="210" spans="1:35">
      <c r="A210" s="1331">
        <v>70185</v>
      </c>
      <c r="B210" s="1336" t="s">
        <v>76</v>
      </c>
      <c r="C210" s="1341">
        <f>+IFERROR(VLOOKUP(A210,'2183 IS 2018'!$D:$AH,31,FALSE),0)</f>
        <v>10557.460000000001</v>
      </c>
      <c r="D210" s="1354">
        <f>+IFERROR(VLOOKUP(A210,'2184 IS 2018'!$D:$AH,31,FALSE),0)</f>
        <v>805.16000000000008</v>
      </c>
      <c r="E210" s="1354">
        <f>+IFERROR(VLOOKUP(A210,'2185 IS 2018'!$D:$AH,31,FALSE),0)</f>
        <v>72.84</v>
      </c>
      <c r="F210" s="1342">
        <f t="shared" si="375"/>
        <v>11435.460000000001</v>
      </c>
      <c r="G210" s="1343"/>
      <c r="H210" s="1341"/>
      <c r="I210" s="1341"/>
      <c r="J210" s="1341"/>
      <c r="K210" s="1341"/>
      <c r="L210" s="1362">
        <f t="shared" si="376"/>
        <v>11435.460000000001</v>
      </c>
      <c r="M210" s="1337"/>
      <c r="N210" s="1359">
        <f t="shared" si="377"/>
        <v>10557.460000000001</v>
      </c>
      <c r="O210" s="1359">
        <f t="shared" si="378"/>
        <v>805.16000000000008</v>
      </c>
      <c r="P210" s="1359">
        <f t="shared" si="379"/>
        <v>72.84</v>
      </c>
      <c r="Q210" s="1359">
        <f t="shared" si="380"/>
        <v>11435.460000000001</v>
      </c>
      <c r="R210" s="1359"/>
      <c r="S210" s="1359"/>
      <c r="T210" s="1359"/>
      <c r="U210" s="1359"/>
      <c r="V210" s="1681">
        <f t="shared" si="381"/>
        <v>0</v>
      </c>
      <c r="W210" s="1333"/>
      <c r="X210" s="1681">
        <f t="shared" si="382"/>
        <v>10557.460000000001</v>
      </c>
      <c r="Y210" s="1681">
        <f t="shared" si="383"/>
        <v>805.16000000000008</v>
      </c>
      <c r="Z210" s="1681">
        <f t="shared" si="384"/>
        <v>72.84</v>
      </c>
      <c r="AA210" s="1681">
        <f t="shared" si="385"/>
        <v>11435.460000000001</v>
      </c>
      <c r="AB210" s="1362">
        <f>($X210+$Z210)*'2183-2184-2185 Ratios'!C$35</f>
        <v>9606.5372251362751</v>
      </c>
      <c r="AC210" s="1362">
        <f>($X210+$Z210)*'2183-2184-2185 Ratios'!D$35</f>
        <v>369.25559637743623</v>
      </c>
      <c r="AD210" s="1362">
        <f>($X210+$Z210)*'2183-2184-2185 Ratios'!E$35</f>
        <v>96.652682426661514</v>
      </c>
      <c r="AE210" s="1362">
        <f>($X210+$Z210)*'2183-2184-2185 Ratios'!F$35</f>
        <v>312.88738775614189</v>
      </c>
      <c r="AF210" s="1362">
        <f>+Y210</f>
        <v>805.16000000000008</v>
      </c>
      <c r="AG210" s="1362">
        <f>($X210+$Z210)*'2183-2184-2185 Ratios'!H$35</f>
        <v>244.96710830348596</v>
      </c>
      <c r="AH210" s="1336" t="s">
        <v>912</v>
      </c>
      <c r="AI210" s="1363">
        <f t="shared" si="374"/>
        <v>0</v>
      </c>
    </row>
    <row r="211" spans="1:35">
      <c r="A211" s="1683">
        <v>70210</v>
      </c>
      <c r="B211" s="1336" t="s">
        <v>101</v>
      </c>
      <c r="C211" s="1341">
        <f>+IFERROR(VLOOKUP(A211,'2183 IS 2018'!$D:$AH,31,FALSE),0)</f>
        <v>100214.1</v>
      </c>
      <c r="D211" s="1354">
        <f>+IFERROR(VLOOKUP(A211,'2184 IS 2018'!$D:$AH,31,FALSE),0)</f>
        <v>4361.51</v>
      </c>
      <c r="E211" s="1354">
        <f>+IFERROR(VLOOKUP(A211,'2185 IS 2018'!$D:$AH,31,FALSE),0)</f>
        <v>2859.6399999999994</v>
      </c>
      <c r="F211" s="1342">
        <f t="shared" si="375"/>
        <v>107435.25</v>
      </c>
      <c r="G211" s="1343"/>
      <c r="H211" s="1341"/>
      <c r="I211" s="1341"/>
      <c r="J211" s="1341"/>
      <c r="K211" s="1341"/>
      <c r="L211" s="1362">
        <f t="shared" si="376"/>
        <v>107435.25</v>
      </c>
      <c r="M211" s="1337"/>
      <c r="N211" s="1359">
        <f t="shared" si="377"/>
        <v>100214.1</v>
      </c>
      <c r="O211" s="1359">
        <f t="shared" si="378"/>
        <v>4361.51</v>
      </c>
      <c r="P211" s="1359">
        <f t="shared" si="379"/>
        <v>2859.6399999999994</v>
      </c>
      <c r="Q211" s="1359">
        <f t="shared" si="380"/>
        <v>107435.25</v>
      </c>
      <c r="R211" s="1359"/>
      <c r="S211" s="1359"/>
      <c r="T211" s="1359"/>
      <c r="U211" s="1359"/>
      <c r="V211" s="1681">
        <f t="shared" si="381"/>
        <v>0</v>
      </c>
      <c r="W211" s="1333"/>
      <c r="X211" s="1681">
        <f t="shared" si="382"/>
        <v>100214.1</v>
      </c>
      <c r="Y211" s="1681">
        <f t="shared" si="383"/>
        <v>4361.51</v>
      </c>
      <c r="Z211" s="1681">
        <f t="shared" si="384"/>
        <v>2859.6399999999994</v>
      </c>
      <c r="AA211" s="1681">
        <f t="shared" si="385"/>
        <v>107435.25</v>
      </c>
      <c r="AB211" s="1362">
        <f>($X211+$Z211)*'2183-2184-2185 Ratios'!C$35</f>
        <v>93147.109700010144</v>
      </c>
      <c r="AC211" s="1362">
        <f>($X211+$Z211)*'2183-2184-2185 Ratios'!D$35</f>
        <v>3580.3839340896116</v>
      </c>
      <c r="AD211" s="1362">
        <f>($X211+$Z211)*'2183-2184-2185 Ratios'!E$35</f>
        <v>937.16578636052395</v>
      </c>
      <c r="AE211" s="1362">
        <f>($X211+$Z211)*'2183-2184-2185 Ratios'!F$35</f>
        <v>3033.8253158288808</v>
      </c>
      <c r="AF211" s="1362">
        <f>+Y211</f>
        <v>4361.51</v>
      </c>
      <c r="AG211" s="1362">
        <f>($X211+$Z211)*'2183-2184-2185 Ratios'!H$35</f>
        <v>2375.2552637108406</v>
      </c>
      <c r="AH211" s="1336" t="s">
        <v>912</v>
      </c>
      <c r="AI211" s="1363">
        <f t="shared" si="374"/>
        <v>0</v>
      </c>
    </row>
    <row r="212" spans="1:35">
      <c r="A212" s="1683"/>
      <c r="B212" s="1336" t="s">
        <v>104</v>
      </c>
      <c r="C212" s="1341">
        <f>+IFERROR(VLOOKUP(A212,'2183 IS 2018'!$D:$AH,31,FALSE),0)</f>
        <v>0</v>
      </c>
      <c r="D212" s="1354">
        <f>+IFERROR(VLOOKUP(A212,'2184 IS 2018'!$D:$AH,31,FALSE),0)</f>
        <v>0</v>
      </c>
      <c r="E212" s="1354">
        <f>+IFERROR(VLOOKUP(A212,'2185 IS 2018'!$D:$AH,31,FALSE),0)</f>
        <v>0</v>
      </c>
      <c r="F212" s="1342">
        <f t="shared" si="375"/>
        <v>0</v>
      </c>
      <c r="G212" s="1343"/>
      <c r="H212" s="1341"/>
      <c r="I212" s="1341"/>
      <c r="J212" s="1341"/>
      <c r="K212" s="1341"/>
      <c r="L212" s="1362">
        <f t="shared" si="376"/>
        <v>0</v>
      </c>
      <c r="M212" s="1337"/>
      <c r="N212" s="1359">
        <f t="shared" si="377"/>
        <v>0</v>
      </c>
      <c r="O212" s="1359">
        <f t="shared" si="378"/>
        <v>0</v>
      </c>
      <c r="P212" s="1359">
        <f t="shared" si="379"/>
        <v>0</v>
      </c>
      <c r="Q212" s="1359">
        <f t="shared" si="380"/>
        <v>0</v>
      </c>
      <c r="R212" s="1359"/>
      <c r="S212" s="1359">
        <f>'Pro-forma Adj''s'!B36</f>
        <v>8253.9966666666678</v>
      </c>
      <c r="T212" s="1359"/>
      <c r="U212" s="1359"/>
      <c r="V212" s="1681">
        <f t="shared" si="381"/>
        <v>8253.9966666666678</v>
      </c>
      <c r="W212" s="1369" t="s">
        <v>884</v>
      </c>
      <c r="X212" s="1681">
        <f t="shared" si="382"/>
        <v>8253.9966666666678</v>
      </c>
      <c r="Y212" s="1681">
        <f t="shared" si="383"/>
        <v>0</v>
      </c>
      <c r="Z212" s="1681">
        <f t="shared" si="384"/>
        <v>0</v>
      </c>
      <c r="AA212" s="1681">
        <f t="shared" si="385"/>
        <v>8253.9966666666678</v>
      </c>
      <c r="AB212" s="1341">
        <f>+X212</f>
        <v>8253.9966666666678</v>
      </c>
      <c r="AC212" s="1341">
        <v>0</v>
      </c>
      <c r="AD212" s="1341">
        <v>0</v>
      </c>
      <c r="AE212" s="1341">
        <v>0</v>
      </c>
      <c r="AF212" s="1341">
        <v>0</v>
      </c>
      <c r="AG212" s="1341">
        <v>0</v>
      </c>
      <c r="AH212" s="1336" t="s">
        <v>348</v>
      </c>
      <c r="AI212" s="1363">
        <f t="shared" si="374"/>
        <v>0</v>
      </c>
    </row>
    <row r="213" spans="1:35">
      <c r="A213" s="1683">
        <v>70214</v>
      </c>
      <c r="B213" s="1336" t="s">
        <v>105</v>
      </c>
      <c r="C213" s="1341">
        <f>+IFERROR(VLOOKUP(A213,'2183 IS 2018'!$D:$AH,31,FALSE),0)</f>
        <v>163433.34</v>
      </c>
      <c r="D213" s="1354">
        <f>+IFERROR(VLOOKUP(A213,'2184 IS 2018'!$D:$AH,31,FALSE),0)</f>
        <v>0</v>
      </c>
      <c r="E213" s="1354">
        <f>+IFERROR(VLOOKUP(A213,'2185 IS 2018'!$D:$AH,31,FALSE),0)</f>
        <v>11197.91</v>
      </c>
      <c r="F213" s="1342">
        <f t="shared" si="375"/>
        <v>174631.25</v>
      </c>
      <c r="G213" s="1343"/>
      <c r="H213" s="1341"/>
      <c r="I213" s="1341"/>
      <c r="J213" s="1341"/>
      <c r="K213" s="1341"/>
      <c r="L213" s="1362">
        <f t="shared" si="376"/>
        <v>174631.25</v>
      </c>
      <c r="M213" s="1337"/>
      <c r="N213" s="1359">
        <f t="shared" si="377"/>
        <v>163433.34</v>
      </c>
      <c r="O213" s="1359">
        <f t="shared" si="378"/>
        <v>0</v>
      </c>
      <c r="P213" s="1359">
        <f t="shared" si="379"/>
        <v>11197.91</v>
      </c>
      <c r="Q213" s="1359">
        <f t="shared" si="380"/>
        <v>174631.25</v>
      </c>
      <c r="R213" s="1359"/>
      <c r="S213" s="1359"/>
      <c r="T213" s="1359"/>
      <c r="U213" s="1359"/>
      <c r="V213" s="1681">
        <f t="shared" si="381"/>
        <v>0</v>
      </c>
      <c r="W213" s="1333"/>
      <c r="X213" s="1681">
        <f t="shared" si="382"/>
        <v>163433.34</v>
      </c>
      <c r="Y213" s="1681">
        <f t="shared" si="383"/>
        <v>0</v>
      </c>
      <c r="Z213" s="1681">
        <f t="shared" si="384"/>
        <v>11197.91</v>
      </c>
      <c r="AA213" s="1681">
        <f t="shared" si="385"/>
        <v>174631.25</v>
      </c>
      <c r="AB213" s="1341">
        <f>$X213*'2183-2184-2185 Ratios'!C$21</f>
        <v>151177.48086762376</v>
      </c>
      <c r="AC213" s="1341">
        <f>$X213*'2183-2184-2185 Ratios'!D$21</f>
        <v>5810.9524325317925</v>
      </c>
      <c r="AD213" s="1341">
        <f>$X213*'2183-2184-2185 Ratios'!E$21</f>
        <v>1521.0172725015238</v>
      </c>
      <c r="AE213" s="1341">
        <f>$X213*'2183-2184-2185 Ratios'!F$21</f>
        <v>4923.8894273429423</v>
      </c>
      <c r="AF213" s="1341">
        <f t="shared" ref="AF213" si="387">+Y213</f>
        <v>0</v>
      </c>
      <c r="AG213" s="1341">
        <f t="shared" ref="AG213" si="388">+Z213</f>
        <v>11197.91</v>
      </c>
      <c r="AH213" s="1379" t="s">
        <v>352</v>
      </c>
      <c r="AI213" s="1363">
        <f t="shared" si="374"/>
        <v>0</v>
      </c>
    </row>
    <row r="214" spans="1:35">
      <c r="A214" s="1683">
        <v>70215</v>
      </c>
      <c r="B214" s="1336" t="s">
        <v>106</v>
      </c>
      <c r="C214" s="1341">
        <f>+IFERROR(VLOOKUP(A214,'2183 IS 2018'!$D:$AH,31,FALSE),0)</f>
        <v>0.66</v>
      </c>
      <c r="D214" s="1354">
        <f>+IFERROR(VLOOKUP(A214,'2184 IS 2018'!$D:$AH,31,FALSE),0)</f>
        <v>0</v>
      </c>
      <c r="E214" s="1354">
        <f>+IFERROR(VLOOKUP(A214,'2185 IS 2018'!$D:$AH,31,FALSE),0)</f>
        <v>0</v>
      </c>
      <c r="F214" s="1342">
        <f t="shared" si="375"/>
        <v>0.66</v>
      </c>
      <c r="G214" s="1343"/>
      <c r="H214" s="1341"/>
      <c r="I214" s="1341"/>
      <c r="J214" s="1341"/>
      <c r="K214" s="1341"/>
      <c r="L214" s="1362">
        <f t="shared" si="376"/>
        <v>0.66</v>
      </c>
      <c r="M214" s="1337"/>
      <c r="N214" s="1359">
        <f t="shared" si="377"/>
        <v>0.66</v>
      </c>
      <c r="O214" s="1359">
        <f t="shared" si="378"/>
        <v>0</v>
      </c>
      <c r="P214" s="1359">
        <f t="shared" si="379"/>
        <v>0</v>
      </c>
      <c r="Q214" s="1359">
        <f t="shared" si="380"/>
        <v>0.66</v>
      </c>
      <c r="R214" s="1359"/>
      <c r="S214" s="1359"/>
      <c r="T214" s="1359"/>
      <c r="U214" s="1359"/>
      <c r="V214" s="1681">
        <f t="shared" si="381"/>
        <v>0</v>
      </c>
      <c r="W214" s="1333"/>
      <c r="X214" s="1681">
        <f t="shared" si="382"/>
        <v>0.66</v>
      </c>
      <c r="Y214" s="1681">
        <f t="shared" si="383"/>
        <v>0</v>
      </c>
      <c r="Z214" s="1681">
        <f t="shared" si="384"/>
        <v>0</v>
      </c>
      <c r="AA214" s="1681">
        <f t="shared" si="385"/>
        <v>0.66</v>
      </c>
      <c r="AB214" s="1341">
        <f>$X214*'2183-2184-2185 Ratios'!C$21</f>
        <v>0.61050662840661329</v>
      </c>
      <c r="AC214" s="1341">
        <f>$X214*'2183-2184-2185 Ratios'!D$21</f>
        <v>2.3466623183929201E-2</v>
      </c>
      <c r="AD214" s="1341">
        <f>$X214*'2183-2184-2185 Ratios'!E$21</f>
        <v>6.142390529686328E-3</v>
      </c>
      <c r="AE214" s="1341">
        <f>$X214*'2183-2184-2185 Ratios'!F$21</f>
        <v>1.9884357879771299E-2</v>
      </c>
      <c r="AF214" s="1341">
        <f t="shared" ref="AF214" si="389">+Y214</f>
        <v>0</v>
      </c>
      <c r="AG214" s="1341">
        <f t="shared" ref="AG214" si="390">+Z214</f>
        <v>0</v>
      </c>
      <c r="AH214" s="1379" t="s">
        <v>352</v>
      </c>
      <c r="AI214" s="1363">
        <f t="shared" si="374"/>
        <v>0</v>
      </c>
    </row>
    <row r="215" spans="1:35">
      <c r="A215" s="1331">
        <v>70300</v>
      </c>
      <c r="B215" s="1336" t="s">
        <v>107</v>
      </c>
      <c r="C215" s="1341">
        <f>+IFERROR(VLOOKUP(A215,'2183 IS 2018'!$D:$AH,31,FALSE),0)</f>
        <v>167770.52000000002</v>
      </c>
      <c r="D215" s="1354">
        <f>+IFERROR(VLOOKUP(A215,'2184 IS 2018'!$D:$AH,31,FALSE),0)</f>
        <v>0</v>
      </c>
      <c r="E215" s="1354">
        <f>+IFERROR(VLOOKUP(A215,'2185 IS 2018'!$D:$AH,31,FALSE),0)</f>
        <v>17065.240000000005</v>
      </c>
      <c r="F215" s="1342">
        <f t="shared" si="375"/>
        <v>184835.76</v>
      </c>
      <c r="G215" s="1343"/>
      <c r="H215" s="1341"/>
      <c r="I215" s="1341"/>
      <c r="J215" s="1341"/>
      <c r="K215" s="1341"/>
      <c r="L215" s="1362">
        <f t="shared" si="376"/>
        <v>184835.76</v>
      </c>
      <c r="M215" s="1337"/>
      <c r="N215" s="1359">
        <f t="shared" si="377"/>
        <v>167770.52000000002</v>
      </c>
      <c r="O215" s="1359">
        <f t="shared" si="378"/>
        <v>0</v>
      </c>
      <c r="P215" s="1359">
        <f t="shared" si="379"/>
        <v>17065.240000000005</v>
      </c>
      <c r="Q215" s="1359">
        <f t="shared" si="380"/>
        <v>184835.76</v>
      </c>
      <c r="R215" s="1359"/>
      <c r="S215" s="1359"/>
      <c r="T215" s="1359"/>
      <c r="U215" s="1359"/>
      <c r="V215" s="1681">
        <f t="shared" si="381"/>
        <v>0</v>
      </c>
      <c r="W215" s="1333"/>
      <c r="X215" s="1681">
        <f t="shared" si="382"/>
        <v>167770.52000000002</v>
      </c>
      <c r="Y215" s="1681">
        <f t="shared" si="383"/>
        <v>0</v>
      </c>
      <c r="Z215" s="1681">
        <f t="shared" si="384"/>
        <v>17065.240000000005</v>
      </c>
      <c r="AA215" s="1681">
        <f t="shared" si="385"/>
        <v>184835.76</v>
      </c>
      <c r="AB215" s="1341">
        <f>$X215*'2183-2184-2185 Ratios'!C$21</f>
        <v>155189.4159260974</v>
      </c>
      <c r="AC215" s="1341">
        <f>$X215*'2183-2184-2185 Ratios'!D$21</f>
        <v>5965.1629912300878</v>
      </c>
      <c r="AD215" s="1341">
        <f>$X215*'2183-2184-2185 Ratios'!E$21</f>
        <v>1561.3818988008345</v>
      </c>
      <c r="AE215" s="1341">
        <f>$X215*'2183-2184-2185 Ratios'!F$21</f>
        <v>5054.55918387171</v>
      </c>
      <c r="AF215" s="1341">
        <f t="shared" ref="AF215:AF216" si="391">+Y215</f>
        <v>0</v>
      </c>
      <c r="AG215" s="1341">
        <f t="shared" ref="AG215:AG216" si="392">+Z215</f>
        <v>17065.240000000005</v>
      </c>
      <c r="AH215" s="1379" t="s">
        <v>352</v>
      </c>
      <c r="AI215" s="1363">
        <f t="shared" si="374"/>
        <v>0</v>
      </c>
    </row>
    <row r="216" spans="1:35">
      <c r="A216" s="1331">
        <v>70302</v>
      </c>
      <c r="B216" s="1336" t="s">
        <v>109</v>
      </c>
      <c r="C216" s="1341">
        <f>+IFERROR(VLOOKUP(A216,'2183 IS 2018'!$D:$AH,31,FALSE),0)</f>
        <v>3155.0800000000004</v>
      </c>
      <c r="D216" s="1354">
        <f>+IFERROR(VLOOKUP(A216,'2184 IS 2018'!$D:$AH,31,FALSE),0)</f>
        <v>0</v>
      </c>
      <c r="E216" s="1354">
        <f>+IFERROR(VLOOKUP(A216,'2185 IS 2018'!$D:$AH,31,FALSE),0)</f>
        <v>0</v>
      </c>
      <c r="F216" s="1342">
        <f t="shared" si="375"/>
        <v>3155.0800000000004</v>
      </c>
      <c r="G216" s="1343"/>
      <c r="H216" s="1341"/>
      <c r="I216" s="1341"/>
      <c r="J216" s="1341"/>
      <c r="K216" s="1341"/>
      <c r="L216" s="1362">
        <f t="shared" si="376"/>
        <v>3155.0800000000004</v>
      </c>
      <c r="M216" s="1337"/>
      <c r="N216" s="1359">
        <f t="shared" si="377"/>
        <v>3155.0800000000004</v>
      </c>
      <c r="O216" s="1359">
        <f t="shared" si="378"/>
        <v>0</v>
      </c>
      <c r="P216" s="1359">
        <f t="shared" si="379"/>
        <v>0</v>
      </c>
      <c r="Q216" s="1359">
        <f t="shared" si="380"/>
        <v>3155.0800000000004</v>
      </c>
      <c r="R216" s="1359"/>
      <c r="S216" s="1359"/>
      <c r="T216" s="1359"/>
      <c r="U216" s="1359"/>
      <c r="V216" s="1681">
        <f t="shared" si="381"/>
        <v>0</v>
      </c>
      <c r="W216" s="1333"/>
      <c r="X216" s="1681">
        <f t="shared" si="382"/>
        <v>3155.0800000000004</v>
      </c>
      <c r="Y216" s="1681">
        <f t="shared" si="383"/>
        <v>0</v>
      </c>
      <c r="Z216" s="1681">
        <f t="shared" si="384"/>
        <v>0</v>
      </c>
      <c r="AA216" s="1681">
        <f t="shared" si="385"/>
        <v>3155.0800000000004</v>
      </c>
      <c r="AB216" s="1341">
        <f>$X216*'2183-2184-2185 Ratios'!C$21</f>
        <v>2918.480686595663</v>
      </c>
      <c r="AC216" s="1341">
        <f>$X216*'2183-2184-2185 Ratios'!D$21</f>
        <v>112.18041435628992</v>
      </c>
      <c r="AD216" s="1341">
        <f>$X216*'2183-2184-2185 Ratios'!E$21</f>
        <v>29.363232594549608</v>
      </c>
      <c r="AE216" s="1341">
        <f>$X216*'2183-2184-2185 Ratios'!F$21</f>
        <v>95.055666453498233</v>
      </c>
      <c r="AF216" s="1341">
        <f t="shared" si="391"/>
        <v>0</v>
      </c>
      <c r="AG216" s="1341">
        <f t="shared" si="392"/>
        <v>0</v>
      </c>
      <c r="AH216" s="1379" t="s">
        <v>352</v>
      </c>
      <c r="AI216" s="1363">
        <f t="shared" si="374"/>
        <v>0</v>
      </c>
    </row>
    <row r="217" spans="1:35">
      <c r="A217" s="1331">
        <v>70320</v>
      </c>
      <c r="B217" s="1336" t="s">
        <v>110</v>
      </c>
      <c r="C217" s="1341">
        <f>+IFERROR(VLOOKUP(A217,'2183 IS 2018'!$D:$AH,31,FALSE),0)</f>
        <v>76372.41</v>
      </c>
      <c r="D217" s="1354">
        <f>+IFERROR(VLOOKUP(A217,'2184 IS 2018'!$D:$AH,31,FALSE),0)</f>
        <v>0</v>
      </c>
      <c r="E217" s="1354">
        <f>+IFERROR(VLOOKUP(A217,'2185 IS 2018'!$D:$AH,31,FALSE),0)</f>
        <v>145.54999999999998</v>
      </c>
      <c r="F217" s="1342">
        <f t="shared" si="375"/>
        <v>76517.960000000006</v>
      </c>
      <c r="G217" s="1343"/>
      <c r="H217" s="1341"/>
      <c r="I217" s="1341"/>
      <c r="J217" s="1341"/>
      <c r="K217" s="1341"/>
      <c r="L217" s="1362">
        <f t="shared" si="376"/>
        <v>76517.960000000006</v>
      </c>
      <c r="M217" s="1337"/>
      <c r="N217" s="1359">
        <f t="shared" si="377"/>
        <v>76372.41</v>
      </c>
      <c r="O217" s="1359">
        <f t="shared" si="378"/>
        <v>0</v>
      </c>
      <c r="P217" s="1359">
        <f t="shared" si="379"/>
        <v>145.54999999999998</v>
      </c>
      <c r="Q217" s="1359">
        <f t="shared" si="380"/>
        <v>76517.960000000006</v>
      </c>
      <c r="R217" s="1359"/>
      <c r="S217" s="1359"/>
      <c r="T217" s="1359"/>
      <c r="U217" s="1359"/>
      <c r="V217" s="1681">
        <f t="shared" si="381"/>
        <v>0</v>
      </c>
      <c r="W217" s="1333"/>
      <c r="X217" s="1681">
        <f t="shared" si="382"/>
        <v>76372.41</v>
      </c>
      <c r="Y217" s="1681">
        <f t="shared" si="383"/>
        <v>0</v>
      </c>
      <c r="Z217" s="1681">
        <f t="shared" si="384"/>
        <v>145.54999999999998</v>
      </c>
      <c r="AA217" s="1681">
        <f t="shared" si="385"/>
        <v>76517.960000000006</v>
      </c>
      <c r="AB217" s="1341">
        <f>$X217*'2183-2184-2185 Ratios'!C$21</f>
        <v>70645.246261193199</v>
      </c>
      <c r="AC217" s="1341">
        <f>$X217*'2183-2184-2185 Ratios'!D$21</f>
        <v>2715.4584350281002</v>
      </c>
      <c r="AD217" s="1341">
        <f>$X217*'2183-2184-2185 Ratios'!E$21</f>
        <v>710.77146653533555</v>
      </c>
      <c r="AE217" s="1341">
        <f>$X217*'2183-2184-2185 Ratios'!F$21</f>
        <v>2300.9338372433704</v>
      </c>
      <c r="AF217" s="1341">
        <f>+Y217</f>
        <v>0</v>
      </c>
      <c r="AG217" s="1341">
        <f>+Z217</f>
        <v>145.54999999999998</v>
      </c>
      <c r="AH217" s="1379" t="s">
        <v>352</v>
      </c>
      <c r="AI217" s="1363">
        <f t="shared" si="374"/>
        <v>0</v>
      </c>
    </row>
    <row r="218" spans="1:35">
      <c r="A218" s="1331">
        <v>70345</v>
      </c>
      <c r="B218" s="1336" t="s">
        <v>103</v>
      </c>
      <c r="C218" s="1341">
        <f>+IFERROR(VLOOKUP(A218,'2183 IS 2018'!$D:$AH,31,FALSE),0)</f>
        <v>9549.27</v>
      </c>
      <c r="D218" s="1354">
        <f>+IFERROR(VLOOKUP(A218,'2184 IS 2018'!$D:$AH,31,FALSE),0)</f>
        <v>0</v>
      </c>
      <c r="E218" s="1354">
        <f>+IFERROR(VLOOKUP(A218,'2185 IS 2018'!$D:$AH,31,FALSE),0)</f>
        <v>0</v>
      </c>
      <c r="F218" s="1342">
        <f t="shared" si="375"/>
        <v>9549.27</v>
      </c>
      <c r="G218" s="1343"/>
      <c r="H218" s="1341"/>
      <c r="I218" s="1341"/>
      <c r="J218" s="1341"/>
      <c r="K218" s="1341"/>
      <c r="L218" s="1362">
        <f t="shared" si="376"/>
        <v>9549.27</v>
      </c>
      <c r="M218" s="1337"/>
      <c r="N218" s="1359">
        <f t="shared" si="377"/>
        <v>9549.27</v>
      </c>
      <c r="O218" s="1359">
        <f t="shared" si="378"/>
        <v>0</v>
      </c>
      <c r="P218" s="1359">
        <f t="shared" si="379"/>
        <v>0</v>
      </c>
      <c r="Q218" s="1359">
        <f t="shared" si="380"/>
        <v>9549.27</v>
      </c>
      <c r="R218" s="1359"/>
      <c r="S218" s="1359"/>
      <c r="T218" s="1359"/>
      <c r="U218" s="1359"/>
      <c r="V218" s="1681">
        <f t="shared" si="381"/>
        <v>0</v>
      </c>
      <c r="W218" s="1333"/>
      <c r="X218" s="1681">
        <f t="shared" si="382"/>
        <v>9549.27</v>
      </c>
      <c r="Y218" s="1681">
        <f t="shared" si="383"/>
        <v>0</v>
      </c>
      <c r="Z218" s="1681">
        <f t="shared" si="384"/>
        <v>0</v>
      </c>
      <c r="AA218" s="1681">
        <f t="shared" si="385"/>
        <v>9549.27</v>
      </c>
      <c r="AB218" s="1362">
        <f>($X218+$Z218)*'2183-2184-2185 Ratios'!C$35</f>
        <v>8629.6170124904347</v>
      </c>
      <c r="AC218" s="1362">
        <f>($X218+$Z218)*'2183-2184-2185 Ratios'!D$35</f>
        <v>331.7047862072717</v>
      </c>
      <c r="AD218" s="1362">
        <f>($X218+$Z218)*'2183-2184-2185 Ratios'!E$35</f>
        <v>86.823754806209223</v>
      </c>
      <c r="AE218" s="1362">
        <f>($X218+$Z218)*'2183-2184-2185 Ratios'!F$35</f>
        <v>281.06884521397262</v>
      </c>
      <c r="AF218" s="1362">
        <f>+Y218</f>
        <v>0</v>
      </c>
      <c r="AG218" s="1362">
        <f>($X218+$Z218)*'2183-2184-2185 Ratios'!H$35</f>
        <v>220.05560128211144</v>
      </c>
      <c r="AH218" s="1336" t="s">
        <v>912</v>
      </c>
      <c r="AI218" s="1363">
        <f t="shared" si="374"/>
        <v>0</v>
      </c>
    </row>
    <row r="219" spans="1:35">
      <c r="A219" s="1331"/>
      <c r="B219" s="1336"/>
      <c r="C219" s="1354"/>
      <c r="D219" s="1354"/>
      <c r="E219" s="1354"/>
      <c r="F219" s="1342"/>
      <c r="G219" s="1343"/>
      <c r="H219" s="1341"/>
      <c r="I219" s="1341"/>
      <c r="J219" s="1341"/>
      <c r="K219" s="1341"/>
      <c r="L219" s="1362"/>
      <c r="M219" s="1336"/>
      <c r="N219" s="1359"/>
      <c r="O219" s="1359"/>
      <c r="P219" s="1359"/>
      <c r="Q219" s="1359"/>
      <c r="R219" s="1359"/>
      <c r="S219" s="1359"/>
      <c r="T219" s="1359"/>
      <c r="U219" s="1359"/>
      <c r="V219" s="1364"/>
      <c r="W219" s="1364"/>
      <c r="X219" s="1364"/>
      <c r="Y219" s="1364"/>
      <c r="Z219" s="1364"/>
      <c r="AA219" s="1364"/>
      <c r="AB219" s="1362"/>
      <c r="AC219" s="1362"/>
      <c r="AD219" s="1362"/>
      <c r="AE219" s="1362"/>
      <c r="AF219" s="1362"/>
      <c r="AG219" s="1362"/>
      <c r="AH219" s="1336"/>
      <c r="AI219" s="1363"/>
    </row>
    <row r="220" spans="1:35">
      <c r="A220" s="1685">
        <v>46200</v>
      </c>
      <c r="B220" s="1386" t="s">
        <v>111</v>
      </c>
      <c r="C220" s="1366">
        <f t="shared" ref="C220:J220" si="393">SUM(C206:C219)</f>
        <v>536688.95000000007</v>
      </c>
      <c r="D220" s="1366">
        <f t="shared" si="393"/>
        <v>25081.020000000004</v>
      </c>
      <c r="E220" s="1366">
        <f t="shared" si="393"/>
        <v>32596.860000000004</v>
      </c>
      <c r="F220" s="1366">
        <f t="shared" si="393"/>
        <v>594366.82999999996</v>
      </c>
      <c r="G220" s="1366">
        <f t="shared" si="393"/>
        <v>0</v>
      </c>
      <c r="H220" s="1366">
        <f>SUM(H206:H219)</f>
        <v>0</v>
      </c>
      <c r="I220" s="1366">
        <f t="shared" si="393"/>
        <v>0</v>
      </c>
      <c r="J220" s="1366">
        <f t="shared" si="393"/>
        <v>0</v>
      </c>
      <c r="K220" s="1367"/>
      <c r="L220" s="1366">
        <f>SUM(L206:L219)</f>
        <v>594366.82999999996</v>
      </c>
      <c r="M220" s="1366"/>
      <c r="N220" s="1366">
        <f>SUM(N206:N219)</f>
        <v>536688.95000000007</v>
      </c>
      <c r="O220" s="1366">
        <f>SUM(O206:O219)</f>
        <v>25081.020000000004</v>
      </c>
      <c r="P220" s="1366">
        <f>SUM(P206:P219)</f>
        <v>32596.860000000004</v>
      </c>
      <c r="Q220" s="1366">
        <f>SUM(Q206:Q219)</f>
        <v>594366.82999999996</v>
      </c>
      <c r="R220" s="1366"/>
      <c r="S220" s="1366">
        <f>SUM(S206:S219)</f>
        <v>8253.9966666666678</v>
      </c>
      <c r="T220" s="1366">
        <f>SUM(T206:T219)</f>
        <v>0</v>
      </c>
      <c r="U220" s="1366">
        <f>SUM(U206:U219)</f>
        <v>0</v>
      </c>
      <c r="V220" s="1366">
        <f>SUM(V206:V219)</f>
        <v>8253.9966666666678</v>
      </c>
      <c r="W220" s="1366"/>
      <c r="X220" s="1366">
        <f t="shared" ref="X220:AI220" si="394">SUM(X206:X219)</f>
        <v>544942.94666666677</v>
      </c>
      <c r="Y220" s="1366">
        <f t="shared" si="394"/>
        <v>25081.020000000004</v>
      </c>
      <c r="Z220" s="1366">
        <f t="shared" si="394"/>
        <v>32596.860000000004</v>
      </c>
      <c r="AA220" s="1366">
        <f t="shared" si="394"/>
        <v>602620.82666666666</v>
      </c>
      <c r="AB220" s="1366">
        <f t="shared" si="394"/>
        <v>503858.23985123896</v>
      </c>
      <c r="AC220" s="1366">
        <f t="shared" si="394"/>
        <v>19103.668206582413</v>
      </c>
      <c r="AD220" s="1366">
        <f t="shared" si="394"/>
        <v>4991.5362283999921</v>
      </c>
      <c r="AE220" s="1366">
        <f t="shared" si="394"/>
        <v>17081.704407148947</v>
      </c>
      <c r="AF220" s="1366">
        <f t="shared" si="394"/>
        <v>25081.020000000004</v>
      </c>
      <c r="AG220" s="1366">
        <f t="shared" si="394"/>
        <v>32504.657973296442</v>
      </c>
      <c r="AH220" s="1366">
        <f t="shared" si="394"/>
        <v>0</v>
      </c>
      <c r="AI220" s="1366">
        <f t="shared" si="394"/>
        <v>0</v>
      </c>
    </row>
    <row r="221" spans="1:35">
      <c r="A221" s="1331"/>
      <c r="B221" s="1336"/>
      <c r="C221" s="1354"/>
      <c r="D221" s="1333"/>
      <c r="E221" s="1342"/>
      <c r="F221" s="1342"/>
      <c r="G221" s="1336"/>
      <c r="H221" s="1341"/>
      <c r="I221" s="1341"/>
      <c r="J221" s="1341"/>
      <c r="K221" s="1341"/>
      <c r="L221" s="1341"/>
      <c r="M221" s="1336"/>
      <c r="N221" s="1342"/>
      <c r="O221" s="1336"/>
      <c r="P221" s="1336"/>
      <c r="Q221" s="1336"/>
      <c r="R221" s="1336"/>
      <c r="S221" s="1336"/>
      <c r="T221" s="1336"/>
      <c r="U221" s="1336"/>
      <c r="V221" s="1364"/>
      <c r="W221" s="1364"/>
      <c r="X221" s="1364"/>
      <c r="Y221" s="1364"/>
      <c r="Z221" s="1364"/>
      <c r="AA221" s="1364"/>
      <c r="AB221" s="1341"/>
      <c r="AC221" s="1341"/>
      <c r="AD221" s="1341"/>
      <c r="AE221" s="1341"/>
      <c r="AF221" s="1341"/>
      <c r="AG221" s="1341"/>
      <c r="AH221" s="1336"/>
      <c r="AI221" s="1363">
        <f>SUM(AB221:AG221)-AA221</f>
        <v>0</v>
      </c>
    </row>
    <row r="222" spans="1:35">
      <c r="A222" s="1331"/>
      <c r="B222" s="1336"/>
      <c r="C222" s="1354"/>
      <c r="D222" s="1333"/>
      <c r="E222" s="1342"/>
      <c r="F222" s="1342"/>
      <c r="G222" s="1336"/>
      <c r="H222" s="1341"/>
      <c r="I222" s="1341"/>
      <c r="J222" s="1341"/>
      <c r="K222" s="1341"/>
      <c r="L222" s="1341"/>
      <c r="M222" s="1336"/>
      <c r="N222" s="1342"/>
      <c r="O222" s="1336"/>
      <c r="P222" s="1336"/>
      <c r="Q222" s="1336"/>
      <c r="R222" s="1336"/>
      <c r="S222" s="1336"/>
      <c r="T222" s="1336"/>
      <c r="U222" s="1336"/>
      <c r="V222" s="1364"/>
      <c r="W222" s="1364"/>
      <c r="X222" s="1364"/>
      <c r="Y222" s="1364"/>
      <c r="Z222" s="1364"/>
      <c r="AA222" s="1364"/>
      <c r="AB222" s="1341"/>
      <c r="AC222" s="1341"/>
      <c r="AD222" s="1341"/>
      <c r="AE222" s="1341"/>
      <c r="AF222" s="1341"/>
      <c r="AG222" s="1341"/>
      <c r="AH222" s="1336"/>
      <c r="AI222" s="1363"/>
    </row>
    <row r="223" spans="1:35">
      <c r="A223" s="1331">
        <v>70235</v>
      </c>
      <c r="B223" s="1336" t="s">
        <v>112</v>
      </c>
      <c r="C223" s="1341">
        <f>+IFERROR(VLOOKUP(A223,'2183 IS 2018'!$D:$AH,31,FALSE),0)</f>
        <v>14665.36</v>
      </c>
      <c r="D223" s="1354">
        <f>+IFERROR(VLOOKUP(A223,'2184 IS 2018'!$D:$AH,31,FALSE),0)</f>
        <v>1844.49</v>
      </c>
      <c r="E223" s="1354">
        <f>+IFERROR(VLOOKUP(A223,'2185 IS 2018'!$D:$AH,31,FALSE),0)</f>
        <v>0</v>
      </c>
      <c r="F223" s="1342">
        <f t="shared" ref="F223" si="395">SUM(C223:E223)</f>
        <v>16509.850000000002</v>
      </c>
      <c r="G223" s="1343"/>
      <c r="H223" s="1341"/>
      <c r="I223" s="1341"/>
      <c r="J223" s="1341"/>
      <c r="K223" s="1341"/>
      <c r="L223" s="1362">
        <f t="shared" ref="L223" si="396">F223+H223+I223+J223</f>
        <v>16509.850000000002</v>
      </c>
      <c r="M223" s="1337"/>
      <c r="N223" s="1359">
        <f t="shared" ref="N223" si="397">C223+H223</f>
        <v>14665.36</v>
      </c>
      <c r="O223" s="1359">
        <f t="shared" ref="O223" si="398">D223+I223</f>
        <v>1844.49</v>
      </c>
      <c r="P223" s="1359">
        <f t="shared" ref="P223" si="399">E223+J223</f>
        <v>0</v>
      </c>
      <c r="Q223" s="1359">
        <f t="shared" ref="Q223" si="400">SUM(N223:P223)</f>
        <v>16509.850000000002</v>
      </c>
      <c r="R223" s="1359"/>
      <c r="S223" s="1359"/>
      <c r="T223" s="1359"/>
      <c r="U223" s="1359"/>
      <c r="V223" s="1681">
        <f t="shared" ref="V223" si="401">+SUM(S223:U223)</f>
        <v>0</v>
      </c>
      <c r="W223" s="1333"/>
      <c r="X223" s="1681">
        <f t="shared" ref="X223" si="402">+S223+N223</f>
        <v>14665.36</v>
      </c>
      <c r="Y223" s="1681">
        <f t="shared" ref="Y223" si="403">+T223+O223</f>
        <v>1844.49</v>
      </c>
      <c r="Z223" s="1681">
        <f t="shared" ref="Z223" si="404">+U223+P223</f>
        <v>0</v>
      </c>
      <c r="AA223" s="1681">
        <f t="shared" ref="AA223" si="405">+SUM(X223:Z223)</f>
        <v>16509.850000000002</v>
      </c>
      <c r="AB223" s="1341">
        <f>$X223*'2183-2184-2185 Ratios'!C$62</f>
        <v>13806.353747104191</v>
      </c>
      <c r="AC223" s="1341">
        <f>$X223*'2183-2184-2185 Ratios'!D$62</f>
        <v>703.38107736660174</v>
      </c>
      <c r="AD223" s="1341">
        <f>$X223*'2183-2184-2185 Ratios'!E$62</f>
        <v>155.62517552920687</v>
      </c>
      <c r="AE223" s="1341">
        <f>$X223*'2183-2184-2185 Ratios'!F$62</f>
        <v>0</v>
      </c>
      <c r="AF223" s="1341">
        <f>+Y223</f>
        <v>1844.49</v>
      </c>
      <c r="AG223" s="1341">
        <f>+Z223</f>
        <v>0</v>
      </c>
      <c r="AH223" s="1336" t="s">
        <v>350</v>
      </c>
      <c r="AI223" s="1363">
        <f>SUM(AB223:AG223)-AA223</f>
        <v>0</v>
      </c>
    </row>
    <row r="224" spans="1:35">
      <c r="A224" s="1331"/>
      <c r="B224" s="1336"/>
      <c r="C224" s="1354"/>
      <c r="D224" s="1354"/>
      <c r="E224" s="1354"/>
      <c r="F224" s="1342"/>
      <c r="G224" s="1343"/>
      <c r="H224" s="1341"/>
      <c r="I224" s="1341"/>
      <c r="J224" s="1341"/>
      <c r="K224" s="1341"/>
      <c r="L224" s="1362"/>
      <c r="M224" s="1336"/>
      <c r="N224" s="1359"/>
      <c r="O224" s="1359"/>
      <c r="P224" s="1359"/>
      <c r="Q224" s="1359"/>
      <c r="R224" s="1359"/>
      <c r="S224" s="1359"/>
      <c r="T224" s="1359"/>
      <c r="U224" s="1359"/>
      <c r="V224" s="1364"/>
      <c r="W224" s="1364"/>
      <c r="X224" s="1364"/>
      <c r="Y224" s="1364"/>
      <c r="Z224" s="1364"/>
      <c r="AA224" s="1364"/>
      <c r="AB224" s="1341"/>
      <c r="AC224" s="1341"/>
      <c r="AD224" s="1341"/>
      <c r="AE224" s="1341"/>
      <c r="AF224" s="1341"/>
      <c r="AG224" s="1341"/>
      <c r="AH224" s="1336"/>
      <c r="AI224" s="1363"/>
    </row>
    <row r="225" spans="1:35">
      <c r="A225" s="1685">
        <v>46300</v>
      </c>
      <c r="B225" s="1386" t="s">
        <v>113</v>
      </c>
      <c r="C225" s="1366">
        <f>SUM(C223:C224)</f>
        <v>14665.36</v>
      </c>
      <c r="D225" s="1366">
        <f t="shared" ref="D225:AI225" si="406">SUM(D223:D224)</f>
        <v>1844.49</v>
      </c>
      <c r="E225" s="1366">
        <f t="shared" si="406"/>
        <v>0</v>
      </c>
      <c r="F225" s="1366">
        <f t="shared" si="406"/>
        <v>16509.850000000002</v>
      </c>
      <c r="G225" s="1366">
        <f t="shared" si="406"/>
        <v>0</v>
      </c>
      <c r="H225" s="1366">
        <f t="shared" si="406"/>
        <v>0</v>
      </c>
      <c r="I225" s="1366">
        <f t="shared" si="406"/>
        <v>0</v>
      </c>
      <c r="J225" s="1366">
        <f t="shared" si="406"/>
        <v>0</v>
      </c>
      <c r="K225" s="1367"/>
      <c r="L225" s="1366">
        <f t="shared" si="406"/>
        <v>16509.850000000002</v>
      </c>
      <c r="M225" s="1366"/>
      <c r="N225" s="1366">
        <f t="shared" si="406"/>
        <v>14665.36</v>
      </c>
      <c r="O225" s="1366">
        <f t="shared" si="406"/>
        <v>1844.49</v>
      </c>
      <c r="P225" s="1366">
        <f t="shared" si="406"/>
        <v>0</v>
      </c>
      <c r="Q225" s="1366">
        <f t="shared" si="406"/>
        <v>16509.850000000002</v>
      </c>
      <c r="R225" s="1366"/>
      <c r="S225" s="1366">
        <f t="shared" si="406"/>
        <v>0</v>
      </c>
      <c r="T225" s="1366">
        <f t="shared" si="406"/>
        <v>0</v>
      </c>
      <c r="U225" s="1366">
        <f t="shared" si="406"/>
        <v>0</v>
      </c>
      <c r="V225" s="1366">
        <f t="shared" si="406"/>
        <v>0</v>
      </c>
      <c r="W225" s="1366"/>
      <c r="X225" s="1366">
        <f t="shared" si="406"/>
        <v>14665.36</v>
      </c>
      <c r="Y225" s="1366">
        <f t="shared" si="406"/>
        <v>1844.49</v>
      </c>
      <c r="Z225" s="1366">
        <f t="shared" si="406"/>
        <v>0</v>
      </c>
      <c r="AA225" s="1366">
        <f t="shared" si="406"/>
        <v>16509.850000000002</v>
      </c>
      <c r="AB225" s="1366">
        <f t="shared" si="406"/>
        <v>13806.353747104191</v>
      </c>
      <c r="AC225" s="1366">
        <f t="shared" si="406"/>
        <v>703.38107736660174</v>
      </c>
      <c r="AD225" s="1366">
        <f t="shared" si="406"/>
        <v>155.62517552920687</v>
      </c>
      <c r="AE225" s="1366">
        <f t="shared" si="406"/>
        <v>0</v>
      </c>
      <c r="AF225" s="1366">
        <f t="shared" si="406"/>
        <v>1844.49</v>
      </c>
      <c r="AG225" s="1366">
        <f t="shared" si="406"/>
        <v>0</v>
      </c>
      <c r="AH225" s="1366">
        <f t="shared" si="406"/>
        <v>0</v>
      </c>
      <c r="AI225" s="1366">
        <f t="shared" si="406"/>
        <v>0</v>
      </c>
    </row>
    <row r="226" spans="1:35">
      <c r="A226" s="1331"/>
      <c r="B226" s="1336"/>
      <c r="C226" s="1354"/>
      <c r="D226" s="1333"/>
      <c r="E226" s="1342"/>
      <c r="F226" s="1342"/>
      <c r="G226" s="1336"/>
      <c r="H226" s="1341"/>
      <c r="I226" s="1341"/>
      <c r="J226" s="1341"/>
      <c r="K226" s="1341"/>
      <c r="L226" s="1341"/>
      <c r="M226" s="1336"/>
      <c r="N226" s="1342"/>
      <c r="O226" s="1336"/>
      <c r="P226" s="1336"/>
      <c r="Q226" s="1336"/>
      <c r="R226" s="1336"/>
      <c r="S226" s="1336"/>
      <c r="T226" s="1336"/>
      <c r="U226" s="1336"/>
      <c r="V226" s="1364"/>
      <c r="W226" s="1364"/>
      <c r="X226" s="1364"/>
      <c r="Y226" s="1364"/>
      <c r="Z226" s="1364"/>
      <c r="AA226" s="1364"/>
      <c r="AB226" s="1341"/>
      <c r="AC226" s="1341"/>
      <c r="AD226" s="1341"/>
      <c r="AE226" s="1341"/>
      <c r="AF226" s="1341"/>
      <c r="AG226" s="1341"/>
      <c r="AH226" s="1336"/>
      <c r="AI226" s="1363">
        <f>SUM(AB226:AG226)-AA226</f>
        <v>0</v>
      </c>
    </row>
    <row r="227" spans="1:35">
      <c r="A227" s="1331"/>
      <c r="B227" s="1336"/>
      <c r="C227" s="1354"/>
      <c r="D227" s="1333"/>
      <c r="E227" s="1342"/>
      <c r="F227" s="1342"/>
      <c r="G227" s="1336"/>
      <c r="H227" s="1341"/>
      <c r="I227" s="1341"/>
      <c r="J227" s="1341"/>
      <c r="K227" s="1341"/>
      <c r="L227" s="1341"/>
      <c r="M227" s="1336"/>
      <c r="N227" s="1342"/>
      <c r="O227" s="1336"/>
      <c r="P227" s="1336"/>
      <c r="Q227" s="1336"/>
      <c r="R227" s="1336"/>
      <c r="S227" s="1336"/>
      <c r="T227" s="1336"/>
      <c r="U227" s="1336"/>
      <c r="V227" s="1364"/>
      <c r="W227" s="1364"/>
      <c r="X227" s="1364"/>
      <c r="Y227" s="1364"/>
      <c r="Z227" s="1364"/>
      <c r="AA227" s="1364"/>
      <c r="AB227" s="1341"/>
      <c r="AC227" s="1341"/>
      <c r="AD227" s="1341"/>
      <c r="AE227" s="1341"/>
      <c r="AF227" s="1341"/>
      <c r="AG227" s="1341"/>
      <c r="AH227" s="1336"/>
      <c r="AI227" s="1363"/>
    </row>
    <row r="228" spans="1:35">
      <c r="A228" s="1331">
        <v>57150</v>
      </c>
      <c r="B228" s="1336" t="s">
        <v>44</v>
      </c>
      <c r="C228" s="1341">
        <f>+IFERROR(VLOOKUP(A228,'2183 IS 2018'!$D:$AH,31,FALSE),0)</f>
        <v>0</v>
      </c>
      <c r="D228" s="1354">
        <f>+IFERROR(VLOOKUP(A228,'2184 IS 2018'!$D:$AH,31,FALSE),0)</f>
        <v>112083.83</v>
      </c>
      <c r="E228" s="1354">
        <f>+IFERROR(VLOOKUP(A228,'2185 IS 2018'!$D:$AH,31,FALSE),0)</f>
        <v>0</v>
      </c>
      <c r="F228" s="1342">
        <f t="shared" ref="F228:F229" si="407">SUM(C228:E228)</f>
        <v>112083.83</v>
      </c>
      <c r="G228" s="1343"/>
      <c r="H228" s="1341"/>
      <c r="I228" s="1341"/>
      <c r="J228" s="1341"/>
      <c r="K228" s="1341"/>
      <c r="L228" s="1362">
        <f t="shared" ref="L228:L229" si="408">F228+H228+I228+J228</f>
        <v>112083.83</v>
      </c>
      <c r="M228" s="1337"/>
      <c r="N228" s="1359">
        <f t="shared" ref="N228:N229" si="409">C228+H228</f>
        <v>0</v>
      </c>
      <c r="O228" s="1359">
        <f t="shared" ref="O228:O229" si="410">D228+I228</f>
        <v>112083.83</v>
      </c>
      <c r="P228" s="1359">
        <f t="shared" ref="P228:P229" si="411">E228+J228</f>
        <v>0</v>
      </c>
      <c r="Q228" s="1359">
        <f t="shared" ref="Q228:Q229" si="412">SUM(N228:P228)</f>
        <v>112083.83</v>
      </c>
      <c r="R228" s="1359"/>
      <c r="S228" s="1359"/>
      <c r="T228" s="1359"/>
      <c r="U228" s="1359"/>
      <c r="V228" s="1681">
        <f t="shared" ref="V228:V229" si="413">+SUM(S228:U228)</f>
        <v>0</v>
      </c>
      <c r="W228" s="1333"/>
      <c r="X228" s="1681">
        <f t="shared" ref="X228:X229" si="414">+S228+N228</f>
        <v>0</v>
      </c>
      <c r="Y228" s="1681">
        <f t="shared" ref="Y228:Y229" si="415">+T228+O228</f>
        <v>112083.83</v>
      </c>
      <c r="Z228" s="1681">
        <f t="shared" ref="Z228:Z229" si="416">+U228+P228</f>
        <v>0</v>
      </c>
      <c r="AA228" s="1681">
        <f t="shared" ref="AA228:AA229" si="417">+SUM(X228:Z228)</f>
        <v>112083.83</v>
      </c>
      <c r="AB228" s="1362">
        <f>$X228*'2183-2184-2185 Ratios'!C$60</f>
        <v>0</v>
      </c>
      <c r="AC228" s="1362">
        <f>$X228*'2183-2184-2185 Ratios'!D$60</f>
        <v>0</v>
      </c>
      <c r="AD228" s="1362">
        <f>$X228*'2183-2184-2185 Ratios'!E$60</f>
        <v>0</v>
      </c>
      <c r="AE228" s="1362">
        <f>$X228*'2183-2184-2185 Ratios'!F$60</f>
        <v>0</v>
      </c>
      <c r="AF228" s="1341">
        <f t="shared" ref="AF228" si="418">+Y228</f>
        <v>112083.83</v>
      </c>
      <c r="AG228" s="1341">
        <f t="shared" ref="AG228" si="419">+Z228</f>
        <v>0</v>
      </c>
      <c r="AH228" s="1336" t="s">
        <v>350</v>
      </c>
      <c r="AI228" s="1363">
        <f>SUM(AB228:AG228)-AA228</f>
        <v>0</v>
      </c>
    </row>
    <row r="229" spans="1:35">
      <c r="A229" s="1331">
        <v>70150</v>
      </c>
      <c r="B229" s="1336" t="s">
        <v>44</v>
      </c>
      <c r="C229" s="1341">
        <f>+IFERROR(VLOOKUP(A229,'2183 IS 2018'!$D:$AH,31,FALSE),0)</f>
        <v>35143.490000000005</v>
      </c>
      <c r="D229" s="1354">
        <f>+IFERROR(VLOOKUP(A229,'2184 IS 2018'!$D:$AH,31,FALSE),0)</f>
        <v>1987.1100000000001</v>
      </c>
      <c r="E229" s="1354">
        <f>+IFERROR(VLOOKUP(A229,'2185 IS 2018'!$D:$AH,31,FALSE),0)</f>
        <v>0</v>
      </c>
      <c r="F229" s="1342">
        <f t="shared" si="407"/>
        <v>37130.600000000006</v>
      </c>
      <c r="G229" s="1343"/>
      <c r="H229" s="1341"/>
      <c r="I229" s="1341"/>
      <c r="J229" s="1341"/>
      <c r="K229" s="1341"/>
      <c r="L229" s="1362">
        <f t="shared" si="408"/>
        <v>37130.600000000006</v>
      </c>
      <c r="M229" s="1337"/>
      <c r="N229" s="1359">
        <f t="shared" si="409"/>
        <v>35143.490000000005</v>
      </c>
      <c r="O229" s="1359">
        <f t="shared" si="410"/>
        <v>1987.1100000000001</v>
      </c>
      <c r="P229" s="1359">
        <f t="shared" si="411"/>
        <v>0</v>
      </c>
      <c r="Q229" s="1359">
        <f t="shared" si="412"/>
        <v>37130.600000000006</v>
      </c>
      <c r="R229" s="1359"/>
      <c r="S229" s="1359"/>
      <c r="T229" s="1359"/>
      <c r="U229" s="1359"/>
      <c r="V229" s="1681">
        <f t="shared" si="413"/>
        <v>0</v>
      </c>
      <c r="W229" s="1333"/>
      <c r="X229" s="1681">
        <f t="shared" si="414"/>
        <v>35143.490000000005</v>
      </c>
      <c r="Y229" s="1681">
        <f t="shared" si="415"/>
        <v>1987.1100000000001</v>
      </c>
      <c r="Z229" s="1681">
        <f t="shared" si="416"/>
        <v>0</v>
      </c>
      <c r="AA229" s="1681">
        <f t="shared" si="417"/>
        <v>37130.600000000006</v>
      </c>
      <c r="AB229" s="1362">
        <f>($X229+$Z229)*'2183-2184-2185 Ratios'!C$35</f>
        <v>31758.957405360568</v>
      </c>
      <c r="AC229" s="1362">
        <f>($X229+$Z229)*'2183-2184-2185 Ratios'!D$35</f>
        <v>1220.7492129793577</v>
      </c>
      <c r="AD229" s="1362">
        <f>($X229+$Z229)*'2183-2184-2185 Ratios'!E$35</f>
        <v>319.53120592406185</v>
      </c>
      <c r="AE229" s="1362">
        <f>($X229+$Z229)*'2183-2184-2185 Ratios'!F$35</f>
        <v>1034.3974095495043</v>
      </c>
      <c r="AF229" s="1362">
        <f>+Y229</f>
        <v>1987.1100000000001</v>
      </c>
      <c r="AG229" s="1362">
        <f>($X229+$Z229)*'2183-2184-2185 Ratios'!H$35</f>
        <v>809.85476618651182</v>
      </c>
      <c r="AH229" s="1336" t="s">
        <v>912</v>
      </c>
      <c r="AI229" s="1363">
        <f>SUM(AB229:AG229)-AA229</f>
        <v>0</v>
      </c>
    </row>
    <row r="230" spans="1:35">
      <c r="A230" s="1331"/>
      <c r="B230" s="1336"/>
      <c r="C230" s="1354"/>
      <c r="D230" s="1354"/>
      <c r="E230" s="1354"/>
      <c r="F230" s="1342"/>
      <c r="G230" s="1343"/>
      <c r="H230" s="1341"/>
      <c r="I230" s="1341"/>
      <c r="J230" s="1341"/>
      <c r="K230" s="1341"/>
      <c r="L230" s="1362"/>
      <c r="M230" s="1336"/>
      <c r="N230" s="1359"/>
      <c r="O230" s="1359"/>
      <c r="P230" s="1359"/>
      <c r="Q230" s="1359"/>
      <c r="R230" s="1359"/>
      <c r="S230" s="1359"/>
      <c r="T230" s="1359"/>
      <c r="U230" s="1359"/>
      <c r="V230" s="1364"/>
      <c r="W230" s="1364"/>
      <c r="X230" s="1364"/>
      <c r="Y230" s="1364"/>
      <c r="Z230" s="1364"/>
      <c r="AA230" s="1364"/>
      <c r="AB230" s="1362"/>
      <c r="AC230" s="1362"/>
      <c r="AD230" s="1362"/>
      <c r="AE230" s="1341"/>
      <c r="AF230" s="1341"/>
      <c r="AG230" s="1341"/>
      <c r="AH230" s="1336"/>
      <c r="AI230" s="1363"/>
    </row>
    <row r="231" spans="1:35">
      <c r="A231" s="1685">
        <v>46400</v>
      </c>
      <c r="B231" s="1386" t="s">
        <v>44</v>
      </c>
      <c r="C231" s="1366">
        <f t="shared" ref="C231:J231" si="420">SUM(C228:C230)</f>
        <v>35143.490000000005</v>
      </c>
      <c r="D231" s="1366">
        <f t="shared" si="420"/>
        <v>114070.94</v>
      </c>
      <c r="E231" s="1366">
        <f t="shared" si="420"/>
        <v>0</v>
      </c>
      <c r="F231" s="1366">
        <f t="shared" si="420"/>
        <v>149214.43</v>
      </c>
      <c r="G231" s="1366">
        <f t="shared" si="420"/>
        <v>0</v>
      </c>
      <c r="H231" s="1366">
        <f t="shared" si="420"/>
        <v>0</v>
      </c>
      <c r="I231" s="1366">
        <f t="shared" si="420"/>
        <v>0</v>
      </c>
      <c r="J231" s="1366">
        <f t="shared" si="420"/>
        <v>0</v>
      </c>
      <c r="K231" s="1367"/>
      <c r="L231" s="1366">
        <f>SUM(L228:L230)</f>
        <v>149214.43</v>
      </c>
      <c r="M231" s="1366"/>
      <c r="N231" s="1366">
        <f>SUM(N228:N230)</f>
        <v>35143.490000000005</v>
      </c>
      <c r="O231" s="1366">
        <f>SUM(O228:O230)</f>
        <v>114070.94</v>
      </c>
      <c r="P231" s="1366">
        <f>SUM(P228:P230)</f>
        <v>0</v>
      </c>
      <c r="Q231" s="1366">
        <f>SUM(Q228:Q230)</f>
        <v>149214.43</v>
      </c>
      <c r="R231" s="1366"/>
      <c r="S231" s="1366">
        <f>SUM(S228:S230)</f>
        <v>0</v>
      </c>
      <c r="T231" s="1366">
        <f>SUM(T228:T230)</f>
        <v>0</v>
      </c>
      <c r="U231" s="1366">
        <f>SUM(U228:U230)</f>
        <v>0</v>
      </c>
      <c r="V231" s="1366">
        <f>SUM(V228:V230)</f>
        <v>0</v>
      </c>
      <c r="W231" s="1366"/>
      <c r="X231" s="1366">
        <f t="shared" ref="X231:AI231" si="421">SUM(X228:X230)</f>
        <v>35143.490000000005</v>
      </c>
      <c r="Y231" s="1366">
        <f t="shared" si="421"/>
        <v>114070.94</v>
      </c>
      <c r="Z231" s="1366">
        <f t="shared" si="421"/>
        <v>0</v>
      </c>
      <c r="AA231" s="1366">
        <f t="shared" si="421"/>
        <v>149214.43</v>
      </c>
      <c r="AB231" s="1366">
        <f t="shared" si="421"/>
        <v>31758.957405360568</v>
      </c>
      <c r="AC231" s="1366">
        <f t="shared" si="421"/>
        <v>1220.7492129793577</v>
      </c>
      <c r="AD231" s="1366">
        <f t="shared" si="421"/>
        <v>319.53120592406185</v>
      </c>
      <c r="AE231" s="1366">
        <f t="shared" si="421"/>
        <v>1034.3974095495043</v>
      </c>
      <c r="AF231" s="1366">
        <f t="shared" si="421"/>
        <v>114070.94</v>
      </c>
      <c r="AG231" s="1366">
        <f t="shared" si="421"/>
        <v>809.85476618651182</v>
      </c>
      <c r="AH231" s="1366">
        <f t="shared" si="421"/>
        <v>0</v>
      </c>
      <c r="AI231" s="1366">
        <f t="shared" si="421"/>
        <v>0</v>
      </c>
    </row>
    <row r="232" spans="1:35">
      <c r="A232" s="1331"/>
      <c r="B232" s="1336"/>
      <c r="C232" s="1354"/>
      <c r="D232" s="1333"/>
      <c r="E232" s="1342"/>
      <c r="F232" s="1342"/>
      <c r="G232" s="1336"/>
      <c r="H232" s="1341"/>
      <c r="I232" s="1341"/>
      <c r="J232" s="1341"/>
      <c r="K232" s="1341"/>
      <c r="L232" s="1341"/>
      <c r="M232" s="1336"/>
      <c r="N232" s="1342"/>
      <c r="O232" s="1336"/>
      <c r="P232" s="1336"/>
      <c r="Q232" s="1336"/>
      <c r="R232" s="1336"/>
      <c r="S232" s="1336"/>
      <c r="T232" s="1336"/>
      <c r="U232" s="1336"/>
      <c r="V232" s="1364"/>
      <c r="W232" s="1364"/>
      <c r="X232" s="1364"/>
      <c r="Y232" s="1364"/>
      <c r="Z232" s="1364"/>
      <c r="AA232" s="1364"/>
      <c r="AB232" s="1341"/>
      <c r="AC232" s="1341"/>
      <c r="AD232" s="1341"/>
      <c r="AE232" s="1341"/>
      <c r="AF232" s="1341"/>
      <c r="AG232" s="1341"/>
      <c r="AH232" s="1336"/>
      <c r="AI232" s="1363">
        <f t="shared" ref="AI232:AI237" si="422">SUM(AB232:AG232)-AA232</f>
        <v>0</v>
      </c>
    </row>
    <row r="233" spans="1:35">
      <c r="A233" s="1331"/>
      <c r="B233" s="1336"/>
      <c r="C233" s="1354"/>
      <c r="D233" s="1333"/>
      <c r="E233" s="1342"/>
      <c r="F233" s="1342"/>
      <c r="G233" s="1336"/>
      <c r="H233" s="1341"/>
      <c r="I233" s="1341"/>
      <c r="J233" s="1341"/>
      <c r="K233" s="1341"/>
      <c r="L233" s="1341"/>
      <c r="M233" s="1336"/>
      <c r="N233" s="1342"/>
      <c r="O233" s="1336"/>
      <c r="P233" s="1336"/>
      <c r="Q233" s="1336"/>
      <c r="R233" s="1336"/>
      <c r="S233" s="1336"/>
      <c r="T233" s="1336"/>
      <c r="U233" s="1336"/>
      <c r="V233" s="1364"/>
      <c r="W233" s="1364"/>
      <c r="X233" s="1364"/>
      <c r="Y233" s="1364"/>
      <c r="Z233" s="1364"/>
      <c r="AA233" s="1364"/>
      <c r="AB233" s="1341"/>
      <c r="AC233" s="1341"/>
      <c r="AD233" s="1341"/>
      <c r="AE233" s="1341"/>
      <c r="AF233" s="1341"/>
      <c r="AG233" s="1341"/>
      <c r="AH233" s="1336"/>
      <c r="AI233" s="1363"/>
    </row>
    <row r="234" spans="1:35">
      <c r="A234" s="1331">
        <v>52165</v>
      </c>
      <c r="B234" s="1336" t="s">
        <v>114</v>
      </c>
      <c r="C234" s="1341">
        <f>+IFERROR(VLOOKUP(A234,'2183 IS 2018'!$D:$AH,31,FALSE),0)</f>
        <v>5543.8400000000011</v>
      </c>
      <c r="D234" s="1354">
        <f>+IFERROR(VLOOKUP(A234,'2184 IS 2018'!$D:$AH,31,FALSE),0)</f>
        <v>1622.61</v>
      </c>
      <c r="E234" s="1354">
        <f>+IFERROR(VLOOKUP(A234,'2185 IS 2018'!$D:$AH,31,FALSE),0)</f>
        <v>5581.6399999999976</v>
      </c>
      <c r="F234" s="1342">
        <f t="shared" ref="F234:F237" si="423">SUM(C234:E234)</f>
        <v>12748.089999999998</v>
      </c>
      <c r="G234" s="1343"/>
      <c r="H234" s="1341"/>
      <c r="I234" s="1341"/>
      <c r="J234" s="1341"/>
      <c r="K234" s="1341"/>
      <c r="L234" s="1362">
        <f t="shared" ref="L234:L237" si="424">F234+H234+I234+J234</f>
        <v>12748.089999999998</v>
      </c>
      <c r="M234" s="1337"/>
      <c r="N234" s="1359">
        <f t="shared" ref="N234:N237" si="425">C234+H234</f>
        <v>5543.8400000000011</v>
      </c>
      <c r="O234" s="1359">
        <f t="shared" ref="O234:O237" si="426">D234+I234</f>
        <v>1622.61</v>
      </c>
      <c r="P234" s="1359">
        <f t="shared" ref="P234:P237" si="427">E234+J234</f>
        <v>5581.6399999999976</v>
      </c>
      <c r="Q234" s="1359">
        <f t="shared" ref="Q234:Q237" si="428">SUM(N234:P234)</f>
        <v>12748.089999999998</v>
      </c>
      <c r="R234" s="1359"/>
      <c r="S234" s="1359"/>
      <c r="T234" s="1359"/>
      <c r="U234" s="1359"/>
      <c r="V234" s="1681">
        <f t="shared" ref="V234:V237" si="429">+SUM(S234:U234)</f>
        <v>0</v>
      </c>
      <c r="W234" s="1333"/>
      <c r="X234" s="1681">
        <f t="shared" ref="X234:X237" si="430">+S234+N234</f>
        <v>5543.8400000000011</v>
      </c>
      <c r="Y234" s="1681">
        <f t="shared" ref="Y234:Y237" si="431">+T234+O234</f>
        <v>1622.61</v>
      </c>
      <c r="Z234" s="1681">
        <f t="shared" ref="Z234:Z237" si="432">+U234+P234</f>
        <v>5581.6399999999976</v>
      </c>
      <c r="AA234" s="1681">
        <f t="shared" ref="AA234:AA237" si="433">+SUM(X234:Z234)</f>
        <v>12748.089999999998</v>
      </c>
      <c r="AB234" s="1362">
        <f>$X234*'2183-2184-2185 Ratios'!C$60</f>
        <v>4219.5166372073427</v>
      </c>
      <c r="AC234" s="1362">
        <f>$X234*'2183-2184-2185 Ratios'!D$60</f>
        <v>214.96828290870849</v>
      </c>
      <c r="AD234" s="1362">
        <f>$X234*'2183-2184-2185 Ratios'!E$60</f>
        <v>47.562378115332081</v>
      </c>
      <c r="AE234" s="1362">
        <f>$X234*'2183-2184-2185 Ratios'!F$60</f>
        <v>1061.7927017686168</v>
      </c>
      <c r="AF234" s="1341">
        <f t="shared" ref="AF234" si="434">+Y234</f>
        <v>1622.61</v>
      </c>
      <c r="AG234" s="1341">
        <f t="shared" ref="AG234" si="435">+Z234</f>
        <v>5581.6399999999976</v>
      </c>
      <c r="AH234" s="1336" t="s">
        <v>350</v>
      </c>
      <c r="AI234" s="1363">
        <f t="shared" si="422"/>
        <v>0</v>
      </c>
    </row>
    <row r="235" spans="1:35">
      <c r="A235" s="1331">
        <v>57165</v>
      </c>
      <c r="B235" s="1336" t="s">
        <v>114</v>
      </c>
      <c r="C235" s="1341">
        <f>+IFERROR(VLOOKUP(A235,'2183 IS 2018'!$D:$AH,31,FALSE),0)</f>
        <v>24760.400000000001</v>
      </c>
      <c r="D235" s="1354">
        <f>+IFERROR(VLOOKUP(A235,'2184 IS 2018'!$D:$AH,31,FALSE),0)</f>
        <v>0</v>
      </c>
      <c r="E235" s="1354">
        <f>+IFERROR(VLOOKUP(A235,'2185 IS 2018'!$D:$AH,31,FALSE),0)</f>
        <v>0</v>
      </c>
      <c r="F235" s="1342">
        <f t="shared" si="423"/>
        <v>24760.400000000001</v>
      </c>
      <c r="G235" s="1343"/>
      <c r="H235" s="1341"/>
      <c r="I235" s="1341"/>
      <c r="J235" s="1341"/>
      <c r="K235" s="1341"/>
      <c r="L235" s="1362">
        <f t="shared" si="424"/>
        <v>24760.400000000001</v>
      </c>
      <c r="M235" s="1337"/>
      <c r="N235" s="1359">
        <f t="shared" si="425"/>
        <v>24760.400000000001</v>
      </c>
      <c r="O235" s="1359">
        <f t="shared" si="426"/>
        <v>0</v>
      </c>
      <c r="P235" s="1359">
        <f t="shared" si="427"/>
        <v>0</v>
      </c>
      <c r="Q235" s="1359">
        <f t="shared" si="428"/>
        <v>24760.400000000001</v>
      </c>
      <c r="R235" s="1359"/>
      <c r="S235" s="1359"/>
      <c r="T235" s="1359"/>
      <c r="U235" s="1359"/>
      <c r="V235" s="1681">
        <f t="shared" si="429"/>
        <v>0</v>
      </c>
      <c r="W235" s="1333"/>
      <c r="X235" s="1681">
        <f t="shared" si="430"/>
        <v>24760.400000000001</v>
      </c>
      <c r="Y235" s="1681">
        <f t="shared" si="431"/>
        <v>0</v>
      </c>
      <c r="Z235" s="1681">
        <f t="shared" si="432"/>
        <v>0</v>
      </c>
      <c r="AA235" s="1681">
        <f t="shared" si="433"/>
        <v>24760.400000000001</v>
      </c>
      <c r="AB235" s="1362">
        <f>$X235*'2183-2184-2185 Ratios'!C$58</f>
        <v>15466.400572718852</v>
      </c>
      <c r="AC235" s="1362">
        <f>$X235*'2183-2184-2185 Ratios'!D$58</f>
        <v>787.9541330819643</v>
      </c>
      <c r="AD235" s="1362">
        <f>$X235*'2183-2184-2185 Ratios'!E$58</f>
        <v>174.33721806811189</v>
      </c>
      <c r="AE235" s="1362">
        <f>$X235*'2183-2184-2185 Ratios'!F$58</f>
        <v>3891.9413436918421</v>
      </c>
      <c r="AF235" s="1341">
        <f>+Y235+Z235</f>
        <v>0</v>
      </c>
      <c r="AG235" s="1362">
        <f>$X235*'2183-2184-2185 Ratios'!H$58</f>
        <v>4439.7667324392287</v>
      </c>
      <c r="AH235" s="1336" t="s">
        <v>903</v>
      </c>
      <c r="AI235" s="1363">
        <f t="shared" si="422"/>
        <v>0</v>
      </c>
    </row>
    <row r="236" spans="1:35">
      <c r="A236" s="1331">
        <v>70165</v>
      </c>
      <c r="B236" s="1336" t="s">
        <v>114</v>
      </c>
      <c r="C236" s="1341">
        <f>+IFERROR(VLOOKUP(A236,'2183 IS 2018'!$D:$AH,31,FALSE),0)</f>
        <v>29588.93</v>
      </c>
      <c r="D236" s="1354">
        <f>+IFERROR(VLOOKUP(A236,'2184 IS 2018'!$D:$AH,31,FALSE),0)</f>
        <v>5581.63</v>
      </c>
      <c r="E236" s="1354">
        <f>+IFERROR(VLOOKUP(A236,'2185 IS 2018'!$D:$AH,31,FALSE),0)</f>
        <v>0</v>
      </c>
      <c r="F236" s="1342">
        <f t="shared" si="423"/>
        <v>35170.559999999998</v>
      </c>
      <c r="G236" s="1343"/>
      <c r="H236" s="1341"/>
      <c r="I236" s="1341"/>
      <c r="J236" s="1341"/>
      <c r="K236" s="1341"/>
      <c r="L236" s="1362">
        <f t="shared" si="424"/>
        <v>35170.559999999998</v>
      </c>
      <c r="M236" s="1337"/>
      <c r="N236" s="1359">
        <f t="shared" si="425"/>
        <v>29588.93</v>
      </c>
      <c r="O236" s="1359">
        <f t="shared" si="426"/>
        <v>5581.63</v>
      </c>
      <c r="P236" s="1359">
        <f t="shared" si="427"/>
        <v>0</v>
      </c>
      <c r="Q236" s="1359">
        <f t="shared" si="428"/>
        <v>35170.559999999998</v>
      </c>
      <c r="R236" s="1359"/>
      <c r="S236" s="1359"/>
      <c r="T236" s="1359"/>
      <c r="U236" s="1359"/>
      <c r="V236" s="1681">
        <f t="shared" si="429"/>
        <v>0</v>
      </c>
      <c r="W236" s="1333"/>
      <c r="X236" s="1681">
        <f t="shared" si="430"/>
        <v>29588.93</v>
      </c>
      <c r="Y236" s="1681">
        <f t="shared" si="431"/>
        <v>5581.63</v>
      </c>
      <c r="Z236" s="1681">
        <f t="shared" si="432"/>
        <v>0</v>
      </c>
      <c r="AA236" s="1681">
        <f t="shared" si="433"/>
        <v>35170.559999999998</v>
      </c>
      <c r="AB236" s="1362">
        <f>($X236+$Z236)*'2183-2184-2185 Ratios'!C$35</f>
        <v>26739.335437095047</v>
      </c>
      <c r="AC236" s="1362">
        <f>($X236+$Z236)*'2183-2184-2185 Ratios'!D$35</f>
        <v>1027.8052353480346</v>
      </c>
      <c r="AD236" s="1362">
        <f>($X236+$Z236)*'2183-2184-2185 Ratios'!E$35</f>
        <v>269.02810406429899</v>
      </c>
      <c r="AE236" s="1362">
        <f>($X236+$Z236)*'2183-2184-2185 Ratios'!F$35</f>
        <v>870.90703124082472</v>
      </c>
      <c r="AF236" s="1362">
        <f>+Y236</f>
        <v>5581.63</v>
      </c>
      <c r="AG236" s="1362">
        <f>($X236+$Z236)*'2183-2184-2185 Ratios'!H$35</f>
        <v>681.85419225179567</v>
      </c>
      <c r="AH236" s="1336" t="s">
        <v>912</v>
      </c>
      <c r="AI236" s="1363">
        <f t="shared" si="422"/>
        <v>0</v>
      </c>
    </row>
    <row r="237" spans="1:35">
      <c r="A237" s="1331">
        <v>70167</v>
      </c>
      <c r="B237" s="1336" t="s">
        <v>115</v>
      </c>
      <c r="C237" s="1341">
        <f>+IFERROR(VLOOKUP(A237,'2183 IS 2018'!$D:$AH,31,FALSE),0)</f>
        <v>10539.88</v>
      </c>
      <c r="D237" s="1354">
        <f>+IFERROR(VLOOKUP(A237,'2184 IS 2018'!$D:$AH,31,FALSE),0)</f>
        <v>1904.0200000000002</v>
      </c>
      <c r="E237" s="1354">
        <f>+IFERROR(VLOOKUP(A237,'2185 IS 2018'!$D:$AH,31,FALSE),0)</f>
        <v>12331.249999999998</v>
      </c>
      <c r="F237" s="1342">
        <f t="shared" si="423"/>
        <v>24775.149999999998</v>
      </c>
      <c r="G237" s="1343"/>
      <c r="H237" s="1369"/>
      <c r="I237" s="1369"/>
      <c r="J237" s="1369"/>
      <c r="K237" s="1369"/>
      <c r="L237" s="1362">
        <f t="shared" si="424"/>
        <v>24775.149999999998</v>
      </c>
      <c r="M237" s="1337"/>
      <c r="N237" s="1359">
        <f t="shared" si="425"/>
        <v>10539.88</v>
      </c>
      <c r="O237" s="1359">
        <f t="shared" si="426"/>
        <v>1904.0200000000002</v>
      </c>
      <c r="P237" s="1359">
        <f t="shared" si="427"/>
        <v>12331.249999999998</v>
      </c>
      <c r="Q237" s="1359">
        <f t="shared" si="428"/>
        <v>24775.149999999998</v>
      </c>
      <c r="R237" s="1359"/>
      <c r="S237" s="1359"/>
      <c r="T237" s="1359"/>
      <c r="U237" s="1359"/>
      <c r="V237" s="1681">
        <f t="shared" si="429"/>
        <v>0</v>
      </c>
      <c r="W237" s="1333"/>
      <c r="X237" s="1681">
        <f t="shared" si="430"/>
        <v>10539.88</v>
      </c>
      <c r="Y237" s="1681">
        <f t="shared" si="431"/>
        <v>1904.0200000000002</v>
      </c>
      <c r="Z237" s="1681">
        <f t="shared" si="432"/>
        <v>12331.249999999998</v>
      </c>
      <c r="AA237" s="1681">
        <f t="shared" si="433"/>
        <v>24775.149999999998</v>
      </c>
      <c r="AB237" s="1362">
        <f>($X237+$Z237)*'2183-2184-2185 Ratios'!C$35</f>
        <v>20668.500580974287</v>
      </c>
      <c r="AC237" s="1362">
        <f>($X237+$Z237)*'2183-2184-2185 Ratios'!D$35</f>
        <v>794.45478942041814</v>
      </c>
      <c r="AD237" s="1362">
        <f>($X237+$Z237)*'2183-2184-2185 Ratios'!E$35</f>
        <v>207.94860583698394</v>
      </c>
      <c r="AE237" s="1362">
        <f>($X237+$Z237)*'2183-2184-2185 Ratios'!F$35</f>
        <v>673.17837885394852</v>
      </c>
      <c r="AF237" s="1362">
        <f>+Y237</f>
        <v>1904.0200000000002</v>
      </c>
      <c r="AG237" s="1362">
        <f>($X237+$Z237)*'2183-2184-2185 Ratios'!H$35</f>
        <v>527.04764491435856</v>
      </c>
      <c r="AH237" s="1336" t="s">
        <v>912</v>
      </c>
      <c r="AI237" s="1363">
        <f t="shared" si="422"/>
        <v>0</v>
      </c>
    </row>
    <row r="238" spans="1:35">
      <c r="A238" s="1331"/>
      <c r="B238" s="1336"/>
      <c r="C238" s="1354"/>
      <c r="D238" s="1354"/>
      <c r="E238" s="1354"/>
      <c r="F238" s="1342"/>
      <c r="G238" s="1343"/>
      <c r="H238" s="1369"/>
      <c r="I238" s="1369"/>
      <c r="J238" s="1369"/>
      <c r="K238" s="1369"/>
      <c r="L238" s="1362"/>
      <c r="M238" s="1368"/>
      <c r="N238" s="1359"/>
      <c r="O238" s="1359"/>
      <c r="P238" s="1359"/>
      <c r="Q238" s="1359"/>
      <c r="R238" s="1359"/>
      <c r="S238" s="1359"/>
      <c r="T238" s="1359"/>
      <c r="U238" s="1359"/>
      <c r="V238" s="1364"/>
      <c r="W238" s="1364"/>
      <c r="X238" s="1364"/>
      <c r="Y238" s="1364"/>
      <c r="Z238" s="1364"/>
      <c r="AA238" s="1364"/>
      <c r="AB238" s="1362"/>
      <c r="AC238" s="1362"/>
      <c r="AD238" s="1362"/>
      <c r="AE238" s="1362"/>
      <c r="AF238" s="1362"/>
      <c r="AG238" s="1362"/>
      <c r="AH238" s="1336"/>
      <c r="AI238" s="1363"/>
    </row>
    <row r="239" spans="1:35">
      <c r="A239" s="1685">
        <v>46410</v>
      </c>
      <c r="B239" s="1386" t="s">
        <v>114</v>
      </c>
      <c r="C239" s="1366">
        <f t="shared" ref="C239:J239" si="436">SUM(C234:C238)</f>
        <v>70433.05</v>
      </c>
      <c r="D239" s="1366">
        <f t="shared" si="436"/>
        <v>9108.26</v>
      </c>
      <c r="E239" s="1366">
        <f t="shared" si="436"/>
        <v>17912.889999999996</v>
      </c>
      <c r="F239" s="1366">
        <f t="shared" si="436"/>
        <v>97454.199999999983</v>
      </c>
      <c r="G239" s="1366">
        <f t="shared" si="436"/>
        <v>0</v>
      </c>
      <c r="H239" s="1366">
        <f t="shared" si="436"/>
        <v>0</v>
      </c>
      <c r="I239" s="1366">
        <f t="shared" si="436"/>
        <v>0</v>
      </c>
      <c r="J239" s="1366">
        <f t="shared" si="436"/>
        <v>0</v>
      </c>
      <c r="K239" s="1367"/>
      <c r="L239" s="1366">
        <f>SUM(L234:L238)</f>
        <v>97454.199999999983</v>
      </c>
      <c r="M239" s="1366"/>
      <c r="N239" s="1366">
        <f>SUM(N234:N238)</f>
        <v>70433.05</v>
      </c>
      <c r="O239" s="1366">
        <f>SUM(O234:O238)</f>
        <v>9108.26</v>
      </c>
      <c r="P239" s="1366">
        <f>SUM(P234:P238)</f>
        <v>17912.889999999996</v>
      </c>
      <c r="Q239" s="1366">
        <f>SUM(Q234:Q238)</f>
        <v>97454.199999999983</v>
      </c>
      <c r="R239" s="1366"/>
      <c r="S239" s="1366">
        <f>SUM(S234:S238)</f>
        <v>0</v>
      </c>
      <c r="T239" s="1366">
        <f>SUM(T234:T238)</f>
        <v>0</v>
      </c>
      <c r="U239" s="1366">
        <f>SUM(U234:U238)</f>
        <v>0</v>
      </c>
      <c r="V239" s="1366">
        <f>SUM(V234:V238)</f>
        <v>0</v>
      </c>
      <c r="W239" s="1366"/>
      <c r="X239" s="1366">
        <f t="shared" ref="X239:AI239" si="437">SUM(X234:X238)</f>
        <v>70433.05</v>
      </c>
      <c r="Y239" s="1366">
        <f t="shared" si="437"/>
        <v>9108.26</v>
      </c>
      <c r="Z239" s="1366">
        <f t="shared" si="437"/>
        <v>17912.889999999996</v>
      </c>
      <c r="AA239" s="1366">
        <f t="shared" si="437"/>
        <v>97454.199999999983</v>
      </c>
      <c r="AB239" s="1366">
        <f t="shared" si="437"/>
        <v>67093.753227995534</v>
      </c>
      <c r="AC239" s="1366">
        <f t="shared" si="437"/>
        <v>2825.1824407591257</v>
      </c>
      <c r="AD239" s="1366">
        <f t="shared" si="437"/>
        <v>698.87630608472693</v>
      </c>
      <c r="AE239" s="1366">
        <f t="shared" si="437"/>
        <v>6497.8194555552327</v>
      </c>
      <c r="AF239" s="1366">
        <f t="shared" si="437"/>
        <v>9108.26</v>
      </c>
      <c r="AG239" s="1366">
        <f t="shared" si="437"/>
        <v>11230.308569605382</v>
      </c>
      <c r="AH239" s="1366">
        <f t="shared" si="437"/>
        <v>0</v>
      </c>
      <c r="AI239" s="1366">
        <f t="shared" si="437"/>
        <v>0</v>
      </c>
    </row>
    <row r="240" spans="1:35">
      <c r="A240" s="1331"/>
      <c r="B240" s="1336"/>
      <c r="C240" s="1354"/>
      <c r="D240" s="1333"/>
      <c r="E240" s="1342"/>
      <c r="F240" s="1342"/>
      <c r="G240" s="1336"/>
      <c r="H240" s="1341"/>
      <c r="I240" s="1341"/>
      <c r="J240" s="1341"/>
      <c r="K240" s="1341"/>
      <c r="L240" s="1341"/>
      <c r="M240" s="1336"/>
      <c r="N240" s="1342"/>
      <c r="O240" s="1336"/>
      <c r="P240" s="1336"/>
      <c r="Q240" s="1336"/>
      <c r="R240" s="1336"/>
      <c r="S240" s="1336"/>
      <c r="T240" s="1336"/>
      <c r="U240" s="1336"/>
      <c r="V240" s="1364"/>
      <c r="W240" s="1364"/>
      <c r="X240" s="1364"/>
      <c r="Y240" s="1364"/>
      <c r="Z240" s="1364"/>
      <c r="AA240" s="1364"/>
      <c r="AB240" s="1341"/>
      <c r="AC240" s="1341"/>
      <c r="AD240" s="1341"/>
      <c r="AE240" s="1341"/>
      <c r="AF240" s="1341"/>
      <c r="AG240" s="1341"/>
      <c r="AH240" s="1336"/>
      <c r="AI240" s="1363">
        <f t="shared" ref="AI240:AI247" si="438">SUM(AB240:AG240)-AA240</f>
        <v>0</v>
      </c>
    </row>
    <row r="241" spans="1:35">
      <c r="A241" s="1331"/>
      <c r="B241" s="1336"/>
      <c r="C241" s="1354"/>
      <c r="D241" s="1333"/>
      <c r="E241" s="1342"/>
      <c r="F241" s="1342"/>
      <c r="G241" s="1336"/>
      <c r="H241" s="1341"/>
      <c r="I241" s="1341"/>
      <c r="J241" s="1341"/>
      <c r="K241" s="1341"/>
      <c r="L241" s="1341"/>
      <c r="M241" s="1336"/>
      <c r="N241" s="1342"/>
      <c r="O241" s="1336"/>
      <c r="P241" s="1336"/>
      <c r="Q241" s="1336"/>
      <c r="R241" s="1336"/>
      <c r="S241" s="1336"/>
      <c r="T241" s="1336"/>
      <c r="U241" s="1336"/>
      <c r="V241" s="1364"/>
      <c r="W241" s="1364"/>
      <c r="X241" s="1364"/>
      <c r="Y241" s="1364"/>
      <c r="Z241" s="1364"/>
      <c r="AA241" s="1364"/>
      <c r="AB241" s="1341"/>
      <c r="AC241" s="1341"/>
      <c r="AD241" s="1341"/>
      <c r="AE241" s="1341"/>
      <c r="AF241" s="1341"/>
      <c r="AG241" s="1341"/>
      <c r="AH241" s="1336"/>
      <c r="AI241" s="1363"/>
    </row>
    <row r="242" spans="1:35">
      <c r="A242" s="1331">
        <v>50060</v>
      </c>
      <c r="B242" s="1336" t="s">
        <v>75</v>
      </c>
      <c r="C242" s="1341">
        <f>+IFERROR(VLOOKUP(A242,'2183 IS 2018'!$D:$AH,31,FALSE),0)</f>
        <v>277016.84000000003</v>
      </c>
      <c r="D242" s="1354">
        <f>+IFERROR(VLOOKUP(A242,'2184 IS 2018'!$D:$AH,31,FALSE),0)</f>
        <v>320848.01</v>
      </c>
      <c r="E242" s="1354">
        <f>+IFERROR(VLOOKUP(A242,'2185 IS 2018'!$D:$AH,31,FALSE),0)</f>
        <v>182490.82000000004</v>
      </c>
      <c r="F242" s="1342">
        <f t="shared" ref="F242:F247" si="439">SUM(C242:E242)</f>
        <v>780355.67000000016</v>
      </c>
      <c r="G242" s="1343"/>
      <c r="H242" s="1341"/>
      <c r="I242" s="1341"/>
      <c r="J242" s="1341"/>
      <c r="K242" s="1341"/>
      <c r="L242" s="1362">
        <f t="shared" ref="L242:L247" si="440">F242+H242+I242+J242</f>
        <v>780355.67000000016</v>
      </c>
      <c r="M242" s="1337"/>
      <c r="N242" s="1359">
        <f t="shared" ref="N242:N247" si="441">C242+H242</f>
        <v>277016.84000000003</v>
      </c>
      <c r="O242" s="1359">
        <f t="shared" ref="O242:O247" si="442">D242+I242</f>
        <v>320848.01</v>
      </c>
      <c r="P242" s="1359">
        <f t="shared" ref="P242:P247" si="443">E242+J242</f>
        <v>182490.82000000004</v>
      </c>
      <c r="Q242" s="1359">
        <f t="shared" ref="Q242:Q247" si="444">SUM(N242:P242)</f>
        <v>780355.67000000016</v>
      </c>
      <c r="R242" s="1359"/>
      <c r="S242" s="1359">
        <f>+'Pro-forma Adj''s'!D63</f>
        <v>8029.4736231884099</v>
      </c>
      <c r="T242" s="1359"/>
      <c r="U242" s="1359"/>
      <c r="V242" s="1681">
        <f t="shared" ref="V242:V247" si="445">+SUM(S242:U242)</f>
        <v>8029.4736231884099</v>
      </c>
      <c r="W242" s="1369" t="s">
        <v>896</v>
      </c>
      <c r="X242" s="1681">
        <f t="shared" ref="X242:X247" si="446">+S242+N242</f>
        <v>285046.31362318841</v>
      </c>
      <c r="Y242" s="1681">
        <f t="shared" ref="Y242:Y247" si="447">+T242+O242</f>
        <v>320848.01</v>
      </c>
      <c r="Z242" s="1681">
        <f t="shared" ref="Z242:Z247" si="448">+U242+P242</f>
        <v>182490.82000000004</v>
      </c>
      <c r="AA242" s="1681">
        <f t="shared" ref="AA242:AA247" si="449">+SUM(X242:Z242)</f>
        <v>788385.14362318849</v>
      </c>
      <c r="AB242" s="1362">
        <f>$X242*'2183-2184-2185 Ratios'!C$60</f>
        <v>216953.89165409995</v>
      </c>
      <c r="AC242" s="1362">
        <f>$X242*'2183-2184-2185 Ratios'!D$60</f>
        <v>11052.973496535615</v>
      </c>
      <c r="AD242" s="1362">
        <f>$X242*'2183-2184-2185 Ratios'!E$60</f>
        <v>2445.5035767496211</v>
      </c>
      <c r="AE242" s="1362">
        <f>$X242*'2183-2184-2185 Ratios'!F$60</f>
        <v>54593.944895803208</v>
      </c>
      <c r="AF242" s="1341">
        <f t="shared" ref="AF242:AG245" si="450">+Y242</f>
        <v>320848.01</v>
      </c>
      <c r="AG242" s="1341">
        <f t="shared" si="450"/>
        <v>182490.82000000004</v>
      </c>
      <c r="AH242" s="1336" t="s">
        <v>350</v>
      </c>
      <c r="AI242" s="1363">
        <f t="shared" si="438"/>
        <v>0</v>
      </c>
    </row>
    <row r="243" spans="1:35">
      <c r="A243" s="1331">
        <v>50116</v>
      </c>
      <c r="B243" s="1336" t="s">
        <v>116</v>
      </c>
      <c r="C243" s="1341">
        <f>+IFERROR(VLOOKUP(A243,'2183 IS 2018'!$D:$AH,31,FALSE),0)</f>
        <v>661716.01</v>
      </c>
      <c r="D243" s="1354">
        <f>+IFERROR(VLOOKUP(A243,'2184 IS 2018'!$D:$AH,31,FALSE),0)</f>
        <v>0</v>
      </c>
      <c r="E243" s="1354">
        <f>+IFERROR(VLOOKUP(A243,'2185 IS 2018'!$D:$AH,31,FALSE),0)</f>
        <v>0</v>
      </c>
      <c r="F243" s="1342">
        <f t="shared" si="439"/>
        <v>661716.01</v>
      </c>
      <c r="G243" s="1343"/>
      <c r="H243" s="1341"/>
      <c r="I243" s="1341"/>
      <c r="J243" s="1341"/>
      <c r="K243" s="1341"/>
      <c r="L243" s="1362">
        <f t="shared" si="440"/>
        <v>661716.01</v>
      </c>
      <c r="M243" s="1337"/>
      <c r="N243" s="1359">
        <f t="shared" si="441"/>
        <v>661716.01</v>
      </c>
      <c r="O243" s="1359">
        <f t="shared" si="442"/>
        <v>0</v>
      </c>
      <c r="P243" s="1359">
        <f t="shared" si="443"/>
        <v>0</v>
      </c>
      <c r="Q243" s="1359">
        <f t="shared" si="444"/>
        <v>661716.01</v>
      </c>
      <c r="R243" s="1359"/>
      <c r="S243" s="1359">
        <f>+'Pro-forma Adj''s'!D64+'Pro-forma Adj''s'!B90</f>
        <v>16332</v>
      </c>
      <c r="T243" s="1359"/>
      <c r="U243" s="1359"/>
      <c r="V243" s="1681">
        <f t="shared" si="445"/>
        <v>16332</v>
      </c>
      <c r="W243" s="1369" t="s">
        <v>2712</v>
      </c>
      <c r="X243" s="1681">
        <f t="shared" si="446"/>
        <v>678048.01</v>
      </c>
      <c r="Y243" s="1681">
        <f t="shared" si="447"/>
        <v>0</v>
      </c>
      <c r="Z243" s="1681">
        <f t="shared" si="448"/>
        <v>0</v>
      </c>
      <c r="AA243" s="1681">
        <f t="shared" si="449"/>
        <v>678048.01</v>
      </c>
      <c r="AB243" s="1341">
        <f>$X243*'2183-2184-2185 Ratios'!C$62</f>
        <v>638332.14347142109</v>
      </c>
      <c r="AC243" s="1341">
        <f>$X243*'2183-2184-2185 Ratios'!D$62</f>
        <v>32520.58863744772</v>
      </c>
      <c r="AD243" s="1341">
        <f>$X243*'2183-2184-2185 Ratios'!E$62</f>
        <v>7195.2778911311707</v>
      </c>
      <c r="AE243" s="1341">
        <f>$X243*'2183-2184-2185 Ratios'!F$62</f>
        <v>0</v>
      </c>
      <c r="AF243" s="1341">
        <f t="shared" si="450"/>
        <v>0</v>
      </c>
      <c r="AG243" s="1341">
        <f t="shared" si="450"/>
        <v>0</v>
      </c>
      <c r="AH243" s="1379" t="s">
        <v>944</v>
      </c>
      <c r="AI243" s="1363">
        <f t="shared" si="438"/>
        <v>0</v>
      </c>
    </row>
    <row r="244" spans="1:35">
      <c r="A244" s="1331">
        <v>52060</v>
      </c>
      <c r="B244" s="1336" t="s">
        <v>75</v>
      </c>
      <c r="C244" s="1341">
        <f>+IFERROR(VLOOKUP(A244,'2183 IS 2018'!$D:$AH,31,FALSE),0)</f>
        <v>164070.86000000002</v>
      </c>
      <c r="D244" s="1354">
        <f>+IFERROR(VLOOKUP(A244,'2184 IS 2018'!$D:$AH,31,FALSE),0)</f>
        <v>25201.98</v>
      </c>
      <c r="E244" s="1354">
        <f>+IFERROR(VLOOKUP(A244,'2185 IS 2018'!$D:$AH,31,FALSE),0)</f>
        <v>13925.870000000003</v>
      </c>
      <c r="F244" s="1342">
        <f t="shared" si="439"/>
        <v>203198.71000000002</v>
      </c>
      <c r="G244" s="1343"/>
      <c r="H244" s="1341">
        <f>+$F244*'2183-2184-2185 Ratios'!$C$147-'Consolidated IS '!C244</f>
        <v>-1008.0523977366975</v>
      </c>
      <c r="I244" s="1341">
        <f>+$F244*'2183-2184-2185 Ratios'!$D$147-'Consolidated IS '!D244</f>
        <v>-6509.6166971178827</v>
      </c>
      <c r="J244" s="1341">
        <f>+$F244*'2183-2184-2185 Ratios'!$E$147-'Consolidated IS '!E244</f>
        <v>7517.6690948545656</v>
      </c>
      <c r="K244" s="1341" t="s">
        <v>1803</v>
      </c>
      <c r="L244" s="1362">
        <f t="shared" si="440"/>
        <v>203198.71</v>
      </c>
      <c r="M244" s="1337"/>
      <c r="N244" s="1359">
        <f t="shared" si="441"/>
        <v>163062.80760226332</v>
      </c>
      <c r="O244" s="1359">
        <f t="shared" si="442"/>
        <v>18692.363302882117</v>
      </c>
      <c r="P244" s="1359">
        <f t="shared" si="443"/>
        <v>21443.539094854568</v>
      </c>
      <c r="Q244" s="1359">
        <f t="shared" si="444"/>
        <v>203198.71000000002</v>
      </c>
      <c r="R244" s="1359"/>
      <c r="S244" s="1359">
        <f>+'Pro-forma Adj''s'!D65</f>
        <v>4726.4581913699531</v>
      </c>
      <c r="T244" s="1359"/>
      <c r="U244" s="1359"/>
      <c r="V244" s="1681">
        <f t="shared" si="445"/>
        <v>4726.4581913699531</v>
      </c>
      <c r="W244" s="1369" t="s">
        <v>896</v>
      </c>
      <c r="X244" s="1681">
        <f t="shared" si="446"/>
        <v>167789.26579363327</v>
      </c>
      <c r="Y244" s="1681">
        <f t="shared" si="447"/>
        <v>18692.363302882117</v>
      </c>
      <c r="Z244" s="1681">
        <f t="shared" si="448"/>
        <v>21443.539094854568</v>
      </c>
      <c r="AA244" s="1681">
        <f t="shared" si="449"/>
        <v>207925.16819136997</v>
      </c>
      <c r="AB244" s="1362">
        <f>$X244*'2183-2184-2185 Ratios'!C$60</f>
        <v>127707.43718452199</v>
      </c>
      <c r="AC244" s="1362">
        <f>$X244*'2183-2184-2185 Ratios'!D$60</f>
        <v>6506.2069536945928</v>
      </c>
      <c r="AD244" s="1362">
        <f>$X244*'2183-2184-2185 Ratios'!E$60</f>
        <v>1439.5178257977755</v>
      </c>
      <c r="AE244" s="1362">
        <f>$X244*'2183-2184-2185 Ratios'!F$60</f>
        <v>32136.103829618893</v>
      </c>
      <c r="AF244" s="1341">
        <f t="shared" si="450"/>
        <v>18692.363302882117</v>
      </c>
      <c r="AG244" s="1341">
        <f t="shared" si="450"/>
        <v>21443.539094854568</v>
      </c>
      <c r="AH244" s="1336" t="s">
        <v>350</v>
      </c>
      <c r="AI244" s="1363">
        <f t="shared" si="438"/>
        <v>0</v>
      </c>
    </row>
    <row r="245" spans="1:35">
      <c r="A245" s="1331">
        <v>55060</v>
      </c>
      <c r="B245" s="1336" t="s">
        <v>75</v>
      </c>
      <c r="C245" s="1341">
        <f>+IFERROR(VLOOKUP(A245,'2183 IS 2018'!$D:$AH,31,FALSE),0)</f>
        <v>2099.9</v>
      </c>
      <c r="D245" s="1354">
        <f>+IFERROR(VLOOKUP(A245,'2184 IS 2018'!$D:$AH,31,FALSE),0)</f>
        <v>0</v>
      </c>
      <c r="E245" s="1354">
        <f>+IFERROR(VLOOKUP(A245,'2185 IS 2018'!$D:$AH,31,FALSE),0)</f>
        <v>0</v>
      </c>
      <c r="F245" s="1342">
        <f t="shared" si="439"/>
        <v>2099.9</v>
      </c>
      <c r="G245" s="1343"/>
      <c r="H245" s="1341"/>
      <c r="I245" s="1341"/>
      <c r="J245" s="1341"/>
      <c r="K245" s="1341"/>
      <c r="L245" s="1362">
        <f t="shared" si="440"/>
        <v>2099.9</v>
      </c>
      <c r="M245" s="1337"/>
      <c r="N245" s="1359">
        <f t="shared" si="441"/>
        <v>2099.9</v>
      </c>
      <c r="O245" s="1359">
        <f t="shared" si="442"/>
        <v>0</v>
      </c>
      <c r="P245" s="1359">
        <f t="shared" si="443"/>
        <v>0</v>
      </c>
      <c r="Q245" s="1359">
        <f t="shared" si="444"/>
        <v>2099.9</v>
      </c>
      <c r="R245" s="1359"/>
      <c r="S245" s="1359">
        <f>+'Pro-forma Adj''s'!D67</f>
        <v>60.866666666666688</v>
      </c>
      <c r="T245" s="1359"/>
      <c r="U245" s="1359"/>
      <c r="V245" s="1681">
        <f t="shared" si="445"/>
        <v>60.866666666666688</v>
      </c>
      <c r="W245" s="1369" t="s">
        <v>896</v>
      </c>
      <c r="X245" s="1681">
        <f t="shared" si="446"/>
        <v>2160.7666666666669</v>
      </c>
      <c r="Y245" s="1681">
        <f t="shared" si="447"/>
        <v>0</v>
      </c>
      <c r="Z245" s="1681">
        <f t="shared" si="448"/>
        <v>0</v>
      </c>
      <c r="AA245" s="1681">
        <f t="shared" si="449"/>
        <v>2160.7666666666669</v>
      </c>
      <c r="AB245" s="1362">
        <f>+$X245*'2183-2184-2185 Ratios'!C$37</f>
        <v>1134.1617935723018</v>
      </c>
      <c r="AC245" s="1362">
        <f>+$X245*'2183-2184-2185 Ratios'!D$37</f>
        <v>32.77271377979141</v>
      </c>
      <c r="AD245" s="1362">
        <f>+$X245*'2183-2184-2185 Ratios'!E$37</f>
        <v>9.5487660248943627</v>
      </c>
      <c r="AE245" s="1362">
        <f>+$X245*'2183-2184-2185 Ratios'!F$37</f>
        <v>984.28339328967934</v>
      </c>
      <c r="AF245" s="1362">
        <f t="shared" si="450"/>
        <v>0</v>
      </c>
      <c r="AG245" s="1362">
        <f t="shared" si="450"/>
        <v>0</v>
      </c>
      <c r="AH245" s="1336" t="s">
        <v>950</v>
      </c>
      <c r="AI245" s="1363">
        <f t="shared" si="438"/>
        <v>0</v>
      </c>
    </row>
    <row r="246" spans="1:35">
      <c r="A246" s="1331">
        <v>56060</v>
      </c>
      <c r="B246" s="1336" t="s">
        <v>75</v>
      </c>
      <c r="C246" s="1341">
        <f>+IFERROR(VLOOKUP(A246,'2183 IS 2018'!$D:$AH,31,FALSE),0)</f>
        <v>61466.87</v>
      </c>
      <c r="D246" s="1354">
        <f>+IFERROR(VLOOKUP(A246,'2184 IS 2018'!$D:$AH,31,FALSE),0)</f>
        <v>0</v>
      </c>
      <c r="E246" s="1354">
        <f>+IFERROR(VLOOKUP(A246,'2185 IS 2018'!$D:$AH,31,FALSE),0)</f>
        <v>0</v>
      </c>
      <c r="F246" s="1342">
        <f t="shared" si="439"/>
        <v>61466.87</v>
      </c>
      <c r="G246" s="1343"/>
      <c r="H246" s="1341"/>
      <c r="I246" s="1341"/>
      <c r="J246" s="1341"/>
      <c r="K246" s="1341"/>
      <c r="L246" s="1362">
        <f t="shared" si="440"/>
        <v>61466.87</v>
      </c>
      <c r="M246" s="1337"/>
      <c r="N246" s="1359">
        <f t="shared" si="441"/>
        <v>61466.87</v>
      </c>
      <c r="O246" s="1359">
        <f t="shared" si="442"/>
        <v>0</v>
      </c>
      <c r="P246" s="1359">
        <f t="shared" si="443"/>
        <v>0</v>
      </c>
      <c r="Q246" s="1359">
        <f t="shared" si="444"/>
        <v>61466.87</v>
      </c>
      <c r="R246" s="1359"/>
      <c r="S246" s="1359">
        <f>+'Pro-forma Adj''s'!D69</f>
        <v>1781.6484057971022</v>
      </c>
      <c r="T246" s="1359"/>
      <c r="U246" s="1359"/>
      <c r="V246" s="1681">
        <f t="shared" si="445"/>
        <v>1781.6484057971022</v>
      </c>
      <c r="W246" s="1369" t="s">
        <v>896</v>
      </c>
      <c r="X246" s="1681">
        <f t="shared" si="446"/>
        <v>63248.518405797106</v>
      </c>
      <c r="Y246" s="1681">
        <f t="shared" si="447"/>
        <v>0</v>
      </c>
      <c r="Z246" s="1681">
        <f t="shared" si="448"/>
        <v>0</v>
      </c>
      <c r="AA246" s="1681">
        <f t="shared" si="449"/>
        <v>63248.518405797106</v>
      </c>
      <c r="AB246" s="1362">
        <f t="shared" ref="AB246:AG246" si="451">+$AA246*(AB$91/SUM($AB$91:$AG$91))</f>
        <v>39507.718829059275</v>
      </c>
      <c r="AC246" s="1362">
        <f t="shared" si="451"/>
        <v>2012.7676244793504</v>
      </c>
      <c r="AD246" s="1362">
        <f t="shared" si="451"/>
        <v>445.33088099531659</v>
      </c>
      <c r="AE246" s="1362">
        <f t="shared" si="451"/>
        <v>9941.6618354621151</v>
      </c>
      <c r="AF246" s="1362">
        <f t="shared" si="451"/>
        <v>0</v>
      </c>
      <c r="AG246" s="1362">
        <f t="shared" si="451"/>
        <v>11341.039235801045</v>
      </c>
      <c r="AH246" s="1336" t="s">
        <v>945</v>
      </c>
      <c r="AI246" s="1363">
        <f t="shared" si="438"/>
        <v>0</v>
      </c>
    </row>
    <row r="247" spans="1:35">
      <c r="A247" s="1331">
        <v>70060</v>
      </c>
      <c r="B247" s="1336" t="s">
        <v>75</v>
      </c>
      <c r="C247" s="1341">
        <f>+IFERROR(VLOOKUP(A247,'2183 IS 2018'!$D:$AH,31,FALSE),0)</f>
        <v>311514.41000000003</v>
      </c>
      <c r="D247" s="1354">
        <f>+IFERROR(VLOOKUP(A247,'2184 IS 2018'!$D:$AH,31,FALSE),0)</f>
        <v>24657.42</v>
      </c>
      <c r="E247" s="1354">
        <f>+IFERROR(VLOOKUP(A247,'2185 IS 2018'!$D:$AH,31,FALSE),0)</f>
        <v>36375.19</v>
      </c>
      <c r="F247" s="1342">
        <f t="shared" si="439"/>
        <v>372547.02</v>
      </c>
      <c r="G247" s="1343"/>
      <c r="H247" s="1341"/>
      <c r="I247" s="1341"/>
      <c r="J247" s="1341"/>
      <c r="K247" s="1341"/>
      <c r="L247" s="1362">
        <f t="shared" si="440"/>
        <v>372547.02</v>
      </c>
      <c r="M247" s="1337"/>
      <c r="N247" s="1359">
        <f t="shared" si="441"/>
        <v>311514.41000000003</v>
      </c>
      <c r="O247" s="1359">
        <f t="shared" si="442"/>
        <v>24657.42</v>
      </c>
      <c r="P247" s="1359">
        <f t="shared" si="443"/>
        <v>36375.19</v>
      </c>
      <c r="Q247" s="1359">
        <f t="shared" si="444"/>
        <v>372547.02</v>
      </c>
      <c r="R247" s="1359"/>
      <c r="S247" s="1359">
        <f>+'Pro-forma Adj''s'!D70</f>
        <v>9029.4031884058022</v>
      </c>
      <c r="T247" s="1359"/>
      <c r="U247" s="1359"/>
      <c r="V247" s="1681">
        <f t="shared" si="445"/>
        <v>9029.4031884058022</v>
      </c>
      <c r="W247" s="1369" t="s">
        <v>896</v>
      </c>
      <c r="X247" s="1681">
        <f t="shared" si="446"/>
        <v>320543.81318840582</v>
      </c>
      <c r="Y247" s="1681">
        <f t="shared" si="447"/>
        <v>24657.42</v>
      </c>
      <c r="Z247" s="1681">
        <f t="shared" si="448"/>
        <v>36375.19</v>
      </c>
      <c r="AA247" s="1681">
        <f t="shared" si="449"/>
        <v>381576.42318840581</v>
      </c>
      <c r="AB247" s="1341">
        <f>$X247*'2183-2184-2185 Ratios'!C$21</f>
        <v>296506.24643371656</v>
      </c>
      <c r="AC247" s="1341">
        <f>$X247*'2183-2184-2185 Ratios'!D$21</f>
        <v>11397.092239442596</v>
      </c>
      <c r="AD247" s="1341">
        <f>$X247*'2183-2184-2185 Ratios'!E$21</f>
        <v>2983.1898219363748</v>
      </c>
      <c r="AE247" s="1341">
        <f>$X247*'2183-2184-2185 Ratios'!F$21</f>
        <v>9657.2846933103283</v>
      </c>
      <c r="AF247" s="1341">
        <f>+Y247</f>
        <v>24657.42</v>
      </c>
      <c r="AG247" s="1341">
        <f>+Z247</f>
        <v>36375.19</v>
      </c>
      <c r="AH247" s="1379" t="s">
        <v>352</v>
      </c>
      <c r="AI247" s="1363">
        <f t="shared" si="438"/>
        <v>0</v>
      </c>
    </row>
    <row r="248" spans="1:35">
      <c r="A248" s="1331"/>
      <c r="B248" s="1336"/>
      <c r="C248" s="1354"/>
      <c r="D248" s="1354"/>
      <c r="E248" s="1354"/>
      <c r="F248" s="1342"/>
      <c r="G248" s="1343"/>
      <c r="H248" s="1341"/>
      <c r="I248" s="1341"/>
      <c r="J248" s="1341"/>
      <c r="K248" s="1341"/>
      <c r="L248" s="1362"/>
      <c r="M248" s="1336"/>
      <c r="N248" s="1359"/>
      <c r="O248" s="1359"/>
      <c r="P248" s="1359"/>
      <c r="Q248" s="1359"/>
      <c r="R248" s="1359"/>
      <c r="S248" s="1359"/>
      <c r="T248" s="1359"/>
      <c r="U248" s="1359"/>
      <c r="V248" s="1364"/>
      <c r="W248" s="1364"/>
      <c r="X248" s="1364"/>
      <c r="Y248" s="1364"/>
      <c r="Z248" s="1364"/>
      <c r="AA248" s="1364"/>
      <c r="AB248" s="1341"/>
      <c r="AC248" s="1341"/>
      <c r="AD248" s="1341"/>
      <c r="AE248" s="1341"/>
      <c r="AF248" s="1341"/>
      <c r="AG248" s="1341"/>
      <c r="AH248" s="1379"/>
      <c r="AI248" s="1363"/>
    </row>
    <row r="249" spans="1:35">
      <c r="A249" s="1685">
        <v>46500</v>
      </c>
      <c r="B249" s="1386" t="s">
        <v>117</v>
      </c>
      <c r="C249" s="1366">
        <f t="shared" ref="C249:J249" si="452">SUM(C242:C248)</f>
        <v>1477884.8900000001</v>
      </c>
      <c r="D249" s="1366">
        <f t="shared" si="452"/>
        <v>370707.41</v>
      </c>
      <c r="E249" s="1366">
        <f t="shared" si="452"/>
        <v>232791.88000000003</v>
      </c>
      <c r="F249" s="1366">
        <f t="shared" si="452"/>
        <v>2081384.1800000002</v>
      </c>
      <c r="G249" s="1366">
        <f t="shared" si="452"/>
        <v>0</v>
      </c>
      <c r="H249" s="1366">
        <f t="shared" si="452"/>
        <v>-1008.0523977366975</v>
      </c>
      <c r="I249" s="1366">
        <f t="shared" si="452"/>
        <v>-6509.6166971178827</v>
      </c>
      <c r="J249" s="1366">
        <f t="shared" si="452"/>
        <v>7517.6690948545656</v>
      </c>
      <c r="K249" s="1367"/>
      <c r="L249" s="1366">
        <f>SUM(L242:L248)</f>
        <v>2081384.1800000002</v>
      </c>
      <c r="M249" s="1366"/>
      <c r="N249" s="1366">
        <f>SUM(N242:N248)</f>
        <v>1476876.8376022633</v>
      </c>
      <c r="O249" s="1366">
        <f>SUM(O242:O248)</f>
        <v>364197.79330288211</v>
      </c>
      <c r="P249" s="1366">
        <f>SUM(P242:P248)</f>
        <v>240309.54909485462</v>
      </c>
      <c r="Q249" s="1366">
        <f>SUM(Q242:Q248)</f>
        <v>2081384.1800000002</v>
      </c>
      <c r="R249" s="1366"/>
      <c r="S249" s="1366">
        <f>SUM(S242:S248)</f>
        <v>39959.85007542793</v>
      </c>
      <c r="T249" s="1366">
        <f>SUM(T242:T248)</f>
        <v>0</v>
      </c>
      <c r="U249" s="1366">
        <f>SUM(U242:U248)</f>
        <v>0</v>
      </c>
      <c r="V249" s="1366">
        <f>SUM(V242:V248)</f>
        <v>39959.85007542793</v>
      </c>
      <c r="W249" s="1366"/>
      <c r="X249" s="1366">
        <f t="shared" ref="X249:AI249" si="453">SUM(X242:X248)</f>
        <v>1516836.6876776912</v>
      </c>
      <c r="Y249" s="1366">
        <f t="shared" si="453"/>
        <v>364197.79330288211</v>
      </c>
      <c r="Z249" s="1366">
        <f t="shared" si="453"/>
        <v>240309.54909485462</v>
      </c>
      <c r="AA249" s="1366">
        <f t="shared" si="453"/>
        <v>2121344.0300754281</v>
      </c>
      <c r="AB249" s="1366">
        <f t="shared" si="453"/>
        <v>1320141.5993663911</v>
      </c>
      <c r="AC249" s="1366">
        <f t="shared" si="453"/>
        <v>63522.401665379657</v>
      </c>
      <c r="AD249" s="1366">
        <f t="shared" si="453"/>
        <v>14518.368762635153</v>
      </c>
      <c r="AE249" s="1366">
        <f t="shared" si="453"/>
        <v>107313.27864748421</v>
      </c>
      <c r="AF249" s="1366">
        <f t="shared" si="453"/>
        <v>364197.79330288211</v>
      </c>
      <c r="AG249" s="1366">
        <f t="shared" si="453"/>
        <v>251650.58833065568</v>
      </c>
      <c r="AH249" s="1366">
        <f t="shared" si="453"/>
        <v>0</v>
      </c>
      <c r="AI249" s="1366">
        <f t="shared" si="453"/>
        <v>0</v>
      </c>
    </row>
    <row r="250" spans="1:35">
      <c r="A250" s="1331"/>
      <c r="B250" s="1336"/>
      <c r="C250" s="1354"/>
      <c r="D250" s="1333"/>
      <c r="E250" s="1342"/>
      <c r="F250" s="1342"/>
      <c r="G250" s="1336"/>
      <c r="H250" s="1341"/>
      <c r="I250" s="1341"/>
      <c r="J250" s="1341"/>
      <c r="K250" s="1341"/>
      <c r="L250" s="1341"/>
      <c r="M250" s="1336"/>
      <c r="N250" s="1342"/>
      <c r="O250" s="1336"/>
      <c r="P250" s="1336"/>
      <c r="Q250" s="1336"/>
      <c r="R250" s="1336"/>
      <c r="S250" s="1336"/>
      <c r="T250" s="1336"/>
      <c r="U250" s="1336"/>
      <c r="V250" s="1364"/>
      <c r="W250" s="1364"/>
      <c r="X250" s="1364"/>
      <c r="Y250" s="1364"/>
      <c r="Z250" s="1364"/>
      <c r="AA250" s="1364"/>
      <c r="AB250" s="1341"/>
      <c r="AC250" s="1341"/>
      <c r="AD250" s="1341"/>
      <c r="AE250" s="1341"/>
      <c r="AF250" s="1341"/>
      <c r="AG250" s="1341"/>
      <c r="AH250" s="1336"/>
      <c r="AI250" s="1363">
        <f t="shared" ref="AI250:AI258" si="454">SUM(AB250:AG250)-AA250</f>
        <v>0</v>
      </c>
    </row>
    <row r="251" spans="1:35">
      <c r="A251" s="1331"/>
      <c r="B251" s="1336"/>
      <c r="C251" s="1354"/>
      <c r="D251" s="1333"/>
      <c r="E251" s="1342"/>
      <c r="F251" s="1342"/>
      <c r="G251" s="1336"/>
      <c r="H251" s="1341"/>
      <c r="I251" s="1341"/>
      <c r="J251" s="1341"/>
      <c r="K251" s="1341"/>
      <c r="L251" s="1341"/>
      <c r="M251" s="1336"/>
      <c r="N251" s="1342"/>
      <c r="O251" s="1336"/>
      <c r="P251" s="1336"/>
      <c r="Q251" s="1336"/>
      <c r="R251" s="1336"/>
      <c r="S251" s="1336"/>
      <c r="T251" s="1336"/>
      <c r="U251" s="1336"/>
      <c r="V251" s="1364"/>
      <c r="W251" s="1364"/>
      <c r="X251" s="1364"/>
      <c r="Y251" s="1364"/>
      <c r="Z251" s="1364"/>
      <c r="AA251" s="1364"/>
      <c r="AB251" s="1341"/>
      <c r="AC251" s="1341"/>
      <c r="AD251" s="1341"/>
      <c r="AE251" s="1341"/>
      <c r="AF251" s="1341"/>
      <c r="AG251" s="1341"/>
      <c r="AH251" s="1336"/>
      <c r="AI251" s="1363"/>
    </row>
    <row r="252" spans="1:35">
      <c r="A252" s="1331">
        <v>50115</v>
      </c>
      <c r="B252" s="1336" t="s">
        <v>118</v>
      </c>
      <c r="C252" s="1341">
        <f>+IFERROR(VLOOKUP(A252,'2183 IS 2018'!$D:$AH,31,FALSE),0)</f>
        <v>25671.23</v>
      </c>
      <c r="D252" s="1354">
        <f>+IFERROR(VLOOKUP(A252,'2184 IS 2018'!$D:$AH,31,FALSE),0)</f>
        <v>30193.83</v>
      </c>
      <c r="E252" s="1354">
        <f>+IFERROR(VLOOKUP(A252,'2185 IS 2018'!$D:$AH,31,FALSE),0)</f>
        <v>19004.100000000002</v>
      </c>
      <c r="F252" s="1342">
        <f t="shared" ref="F252:F258" si="455">SUM(C252:E252)</f>
        <v>74869.16</v>
      </c>
      <c r="G252" s="1343"/>
      <c r="H252" s="1341"/>
      <c r="I252" s="1341"/>
      <c r="J252" s="1341"/>
      <c r="K252" s="1341"/>
      <c r="L252" s="1362">
        <f t="shared" ref="L252:L258" si="456">F252+H252+I252+J252</f>
        <v>74869.16</v>
      </c>
      <c r="M252" s="1337"/>
      <c r="N252" s="1359">
        <f t="shared" ref="N252:N258" si="457">C252+H252</f>
        <v>25671.23</v>
      </c>
      <c r="O252" s="1359">
        <f t="shared" ref="O252:O258" si="458">D252+I252</f>
        <v>30193.83</v>
      </c>
      <c r="P252" s="1359">
        <f t="shared" ref="P252:P258" si="459">E252+J252</f>
        <v>19004.100000000002</v>
      </c>
      <c r="Q252" s="1359">
        <f t="shared" ref="Q252:Q258" si="460">SUM(N252:P252)</f>
        <v>74869.16</v>
      </c>
      <c r="R252" s="1359"/>
      <c r="S252" s="1359">
        <f>+'Pro-forma Adj''s'!D46</f>
        <v>11409.435555555558</v>
      </c>
      <c r="T252" s="1359"/>
      <c r="U252" s="1359"/>
      <c r="V252" s="1681">
        <f t="shared" ref="V252:V258" si="461">+SUM(S252:U252)</f>
        <v>11409.435555555558</v>
      </c>
      <c r="W252" s="1369" t="s">
        <v>896</v>
      </c>
      <c r="X252" s="1681">
        <f t="shared" ref="X252:X258" si="462">+S252+N252</f>
        <v>37080.665555555555</v>
      </c>
      <c r="Y252" s="1681">
        <f t="shared" ref="Y252:Y258" si="463">+T252+O252</f>
        <v>30193.83</v>
      </c>
      <c r="Z252" s="1681">
        <f t="shared" ref="Z252:Z258" si="464">+U252+P252</f>
        <v>19004.100000000002</v>
      </c>
      <c r="AA252" s="1681">
        <f t="shared" ref="AA252:AA258" si="465">+SUM(X252:Z252)</f>
        <v>86278.59555555557</v>
      </c>
      <c r="AB252" s="1362">
        <f>$X252*'2183-2184-2185 Ratios'!C$60</f>
        <v>28222.76350514948</v>
      </c>
      <c r="AC252" s="1362">
        <f>$X252*'2183-2184-2185 Ratios'!D$60</f>
        <v>1437.842182240084</v>
      </c>
      <c r="AD252" s="1362">
        <f>$X252*'2183-2184-2185 Ratios'!E$60</f>
        <v>318.12690047358933</v>
      </c>
      <c r="AE252" s="1362">
        <f>$X252*'2183-2184-2185 Ratios'!F$60</f>
        <v>7101.9329676923962</v>
      </c>
      <c r="AF252" s="1341">
        <f t="shared" ref="AF252:AG255" si="466">+Y252</f>
        <v>30193.83</v>
      </c>
      <c r="AG252" s="1341">
        <f t="shared" si="466"/>
        <v>19004.100000000002</v>
      </c>
      <c r="AH252" s="1336" t="s">
        <v>350</v>
      </c>
      <c r="AI252" s="1363">
        <f t="shared" si="454"/>
        <v>0</v>
      </c>
    </row>
    <row r="253" spans="1:35">
      <c r="A253" s="1331">
        <v>50117</v>
      </c>
      <c r="B253" s="1336" t="s">
        <v>119</v>
      </c>
      <c r="C253" s="1341">
        <f>+IFERROR(VLOOKUP(A253,'2183 IS 2018'!$D:$AH,31,FALSE),0)</f>
        <v>266436.46000000002</v>
      </c>
      <c r="D253" s="1354">
        <f>+IFERROR(VLOOKUP(A253,'2184 IS 2018'!$D:$AH,31,FALSE),0)</f>
        <v>0</v>
      </c>
      <c r="E253" s="1354">
        <f>+IFERROR(VLOOKUP(A253,'2185 IS 2018'!$D:$AH,31,FALSE),0)</f>
        <v>0</v>
      </c>
      <c r="F253" s="1342">
        <f t="shared" si="455"/>
        <v>266436.46000000002</v>
      </c>
      <c r="G253" s="1343"/>
      <c r="H253" s="1341"/>
      <c r="I253" s="1341"/>
      <c r="J253" s="1341"/>
      <c r="K253" s="1341"/>
      <c r="L253" s="1362">
        <f t="shared" si="456"/>
        <v>266436.46000000002</v>
      </c>
      <c r="M253" s="1337"/>
      <c r="N253" s="1359">
        <f t="shared" si="457"/>
        <v>266436.46000000002</v>
      </c>
      <c r="O253" s="1359">
        <f t="shared" si="458"/>
        <v>0</v>
      </c>
      <c r="P253" s="1359">
        <f t="shared" si="459"/>
        <v>0</v>
      </c>
      <c r="Q253" s="1359">
        <f t="shared" si="460"/>
        <v>266436.46000000002</v>
      </c>
      <c r="R253" s="1359"/>
      <c r="S253" s="1359">
        <f>+'Pro-forma Adj''s'!D47+'Pro-forma Adj''s'!B91</f>
        <v>11486.627000150002</v>
      </c>
      <c r="T253" s="1359"/>
      <c r="U253" s="1359"/>
      <c r="V253" s="1681">
        <f t="shared" si="461"/>
        <v>11486.627000150002</v>
      </c>
      <c r="W253" s="1369" t="s">
        <v>2714</v>
      </c>
      <c r="X253" s="1681">
        <f t="shared" si="462"/>
        <v>277923.08700015</v>
      </c>
      <c r="Y253" s="1681">
        <f t="shared" si="463"/>
        <v>0</v>
      </c>
      <c r="Z253" s="1681">
        <f t="shared" si="464"/>
        <v>0</v>
      </c>
      <c r="AA253" s="1681">
        <f t="shared" si="465"/>
        <v>277923.08700015</v>
      </c>
      <c r="AB253" s="1341">
        <f>$X253*'2183-2184-2185 Ratios'!C$62</f>
        <v>261644.0683086733</v>
      </c>
      <c r="AC253" s="1341">
        <f>$X253*'2183-2184-2185 Ratios'!D$62</f>
        <v>13329.767585604259</v>
      </c>
      <c r="AD253" s="1341">
        <f>$X253*'2183-2184-2185 Ratios'!E$62</f>
        <v>2949.2511058724353</v>
      </c>
      <c r="AE253" s="1341">
        <f>$X253*'2183-2184-2185 Ratios'!F$62</f>
        <v>0</v>
      </c>
      <c r="AF253" s="1341">
        <f t="shared" si="466"/>
        <v>0</v>
      </c>
      <c r="AG253" s="1341">
        <f t="shared" si="466"/>
        <v>0</v>
      </c>
      <c r="AH253" s="1379" t="s">
        <v>944</v>
      </c>
      <c r="AI253" s="1363">
        <f t="shared" si="454"/>
        <v>0</v>
      </c>
    </row>
    <row r="254" spans="1:35">
      <c r="A254" s="1331">
        <v>52115</v>
      </c>
      <c r="B254" s="1336" t="s">
        <v>118</v>
      </c>
      <c r="C254" s="1341">
        <f>+IFERROR(VLOOKUP(A254,'2183 IS 2018'!$D:$AH,31,FALSE),0)</f>
        <v>18921.77</v>
      </c>
      <c r="D254" s="1354">
        <f>+IFERROR(VLOOKUP(A254,'2184 IS 2018'!$D:$AH,31,FALSE),0)</f>
        <v>2577.4300000000003</v>
      </c>
      <c r="E254" s="1354">
        <f>+IFERROR(VLOOKUP(A254,'2185 IS 2018'!$D:$AH,31,FALSE),0)</f>
        <v>1577.4999999999998</v>
      </c>
      <c r="F254" s="1342">
        <f t="shared" si="455"/>
        <v>23076.7</v>
      </c>
      <c r="G254" s="1343"/>
      <c r="H254" s="1341">
        <f>+$F254*'2183-2184-2185 Ratios'!$C$147-'Consolidated IS '!C254</f>
        <v>-403.19036829294055</v>
      </c>
      <c r="I254" s="1341">
        <f>+$F254*'2183-2184-2185 Ratios'!$D$147-'Consolidated IS '!D254</f>
        <v>-454.59142375303645</v>
      </c>
      <c r="J254" s="1341">
        <f>+$F254*'2183-2184-2185 Ratios'!$E$147-'Consolidated IS '!E254</f>
        <v>857.78179204597541</v>
      </c>
      <c r="K254" s="1341" t="s">
        <v>1803</v>
      </c>
      <c r="L254" s="1362">
        <f t="shared" si="456"/>
        <v>23076.699999999997</v>
      </c>
      <c r="M254" s="1337"/>
      <c r="N254" s="1359">
        <f t="shared" si="457"/>
        <v>18518.57963170706</v>
      </c>
      <c r="O254" s="1359">
        <f t="shared" si="458"/>
        <v>2122.8385762469638</v>
      </c>
      <c r="P254" s="1359">
        <f t="shared" si="459"/>
        <v>2435.2817920459752</v>
      </c>
      <c r="Q254" s="1359">
        <f t="shared" si="460"/>
        <v>23076.699999999997</v>
      </c>
      <c r="R254" s="1359"/>
      <c r="S254" s="1359">
        <f>+'Pro-forma Adj''s'!D48</f>
        <v>8409.6755555555574</v>
      </c>
      <c r="T254" s="1359"/>
      <c r="U254" s="1359"/>
      <c r="V254" s="1681">
        <f t="shared" si="461"/>
        <v>8409.6755555555574</v>
      </c>
      <c r="W254" s="1369" t="s">
        <v>896</v>
      </c>
      <c r="X254" s="1681">
        <f t="shared" si="462"/>
        <v>26928.255187262617</v>
      </c>
      <c r="Y254" s="1681">
        <f t="shared" si="463"/>
        <v>2122.8385762469638</v>
      </c>
      <c r="Z254" s="1681">
        <f t="shared" si="464"/>
        <v>2435.2817920459752</v>
      </c>
      <c r="AA254" s="1681">
        <f t="shared" si="465"/>
        <v>31486.375555555554</v>
      </c>
      <c r="AB254" s="1362">
        <f>$X254*'2183-2184-2185 Ratios'!C$60</f>
        <v>20495.58082008491</v>
      </c>
      <c r="AC254" s="1362">
        <f>$X254*'2183-2184-2185 Ratios'!D$60</f>
        <v>1044.1716895389054</v>
      </c>
      <c r="AD254" s="1362">
        <f>$X254*'2183-2184-2185 Ratios'!E$60</f>
        <v>231.02612182219127</v>
      </c>
      <c r="AE254" s="1362">
        <f>$X254*'2183-2184-2185 Ratios'!F$60</f>
        <v>5157.4765558166073</v>
      </c>
      <c r="AF254" s="1341">
        <f t="shared" si="466"/>
        <v>2122.8385762469638</v>
      </c>
      <c r="AG254" s="1341">
        <f t="shared" si="466"/>
        <v>2435.2817920459752</v>
      </c>
      <c r="AH254" s="1336" t="s">
        <v>350</v>
      </c>
      <c r="AI254" s="1363">
        <f t="shared" si="454"/>
        <v>0</v>
      </c>
    </row>
    <row r="255" spans="1:35">
      <c r="A255" s="1331">
        <v>55115</v>
      </c>
      <c r="B255" s="1336" t="s">
        <v>120</v>
      </c>
      <c r="C255" s="1341">
        <f>+IFERROR(VLOOKUP(A255,'2183 IS 2018'!$D:$AH,31,FALSE),0)</f>
        <v>127.17</v>
      </c>
      <c r="D255" s="1354">
        <f>+IFERROR(VLOOKUP(A255,'2184 IS 2018'!$D:$AH,31,FALSE),0)</f>
        <v>0</v>
      </c>
      <c r="E255" s="1354">
        <f>+IFERROR(VLOOKUP(A255,'2185 IS 2018'!$D:$AH,31,FALSE),0)</f>
        <v>0</v>
      </c>
      <c r="F255" s="1342">
        <f t="shared" si="455"/>
        <v>127.17</v>
      </c>
      <c r="G255" s="1343"/>
      <c r="H255" s="1341"/>
      <c r="I255" s="1341"/>
      <c r="J255" s="1341"/>
      <c r="K255" s="1341"/>
      <c r="L255" s="1362">
        <f t="shared" si="456"/>
        <v>127.17</v>
      </c>
      <c r="M255" s="1337"/>
      <c r="N255" s="1359">
        <f t="shared" si="457"/>
        <v>127.17</v>
      </c>
      <c r="O255" s="1359">
        <f t="shared" si="458"/>
        <v>0</v>
      </c>
      <c r="P255" s="1359">
        <f t="shared" si="459"/>
        <v>0</v>
      </c>
      <c r="Q255" s="1359">
        <f t="shared" si="460"/>
        <v>127.17</v>
      </c>
      <c r="R255" s="1359"/>
      <c r="S255" s="1359">
        <f>+'Pro-forma Adj''s'!D49</f>
        <v>56.52000000000001</v>
      </c>
      <c r="T255" s="1359"/>
      <c r="U255" s="1359"/>
      <c r="V255" s="1681">
        <f t="shared" si="461"/>
        <v>56.52000000000001</v>
      </c>
      <c r="W255" s="1369" t="s">
        <v>896</v>
      </c>
      <c r="X255" s="1681">
        <f t="shared" si="462"/>
        <v>183.69</v>
      </c>
      <c r="Y255" s="1681">
        <f t="shared" si="463"/>
        <v>0</v>
      </c>
      <c r="Z255" s="1681">
        <f t="shared" si="464"/>
        <v>0</v>
      </c>
      <c r="AA255" s="1681">
        <f t="shared" si="465"/>
        <v>183.69</v>
      </c>
      <c r="AB255" s="1362">
        <f>+$X255*'2183-2184-2185 Ratios'!C$37</f>
        <v>96.416787187246541</v>
      </c>
      <c r="AC255" s="1362">
        <f>+$X255*'2183-2184-2185 Ratios'!D$37</f>
        <v>2.7860573226523995</v>
      </c>
      <c r="AD255" s="1362">
        <f>+$X255*'2183-2184-2185 Ratios'!E$37</f>
        <v>0.81175485450203411</v>
      </c>
      <c r="AE255" s="1362">
        <f>+$X255*'2183-2184-2185 Ratios'!F$37</f>
        <v>83.675400635599019</v>
      </c>
      <c r="AF255" s="1362">
        <f t="shared" si="466"/>
        <v>0</v>
      </c>
      <c r="AG255" s="1362">
        <f t="shared" si="466"/>
        <v>0</v>
      </c>
      <c r="AH255" s="1336" t="s">
        <v>950</v>
      </c>
      <c r="AI255" s="1363">
        <f t="shared" si="454"/>
        <v>0</v>
      </c>
    </row>
    <row r="256" spans="1:35">
      <c r="A256" s="1331">
        <v>56115</v>
      </c>
      <c r="B256" s="1336" t="s">
        <v>118</v>
      </c>
      <c r="C256" s="1341">
        <f>+IFERROR(VLOOKUP(A256,'2183 IS 2018'!$D:$AH,31,FALSE),0)</f>
        <v>11754.96</v>
      </c>
      <c r="D256" s="1354">
        <f>+IFERROR(VLOOKUP(A256,'2184 IS 2018'!$D:$AH,31,FALSE),0)</f>
        <v>0</v>
      </c>
      <c r="E256" s="1354">
        <f>+IFERROR(VLOOKUP(A256,'2185 IS 2018'!$D:$AH,31,FALSE),0)</f>
        <v>0</v>
      </c>
      <c r="F256" s="1342">
        <f t="shared" si="455"/>
        <v>11754.96</v>
      </c>
      <c r="G256" s="1343"/>
      <c r="H256" s="1341"/>
      <c r="I256" s="1341"/>
      <c r="J256" s="1341"/>
      <c r="K256" s="1341"/>
      <c r="L256" s="1362">
        <f t="shared" si="456"/>
        <v>11754.96</v>
      </c>
      <c r="M256" s="1337"/>
      <c r="N256" s="1359">
        <f t="shared" si="457"/>
        <v>11754.96</v>
      </c>
      <c r="O256" s="1359">
        <f t="shared" si="458"/>
        <v>0</v>
      </c>
      <c r="P256" s="1359">
        <f t="shared" si="459"/>
        <v>0</v>
      </c>
      <c r="Q256" s="1359">
        <f t="shared" si="460"/>
        <v>11754.96</v>
      </c>
      <c r="R256" s="1359"/>
      <c r="S256" s="1359">
        <f>+'Pro-forma Adj''s'!D50</f>
        <v>5224.4266666666672</v>
      </c>
      <c r="T256" s="1359"/>
      <c r="U256" s="1359"/>
      <c r="V256" s="1681">
        <f t="shared" si="461"/>
        <v>5224.4266666666672</v>
      </c>
      <c r="W256" s="1369" t="s">
        <v>896</v>
      </c>
      <c r="X256" s="1681">
        <f t="shared" si="462"/>
        <v>16979.386666666665</v>
      </c>
      <c r="Y256" s="1681">
        <f t="shared" si="463"/>
        <v>0</v>
      </c>
      <c r="Z256" s="1681">
        <f t="shared" si="464"/>
        <v>0</v>
      </c>
      <c r="AA256" s="1681">
        <f t="shared" si="465"/>
        <v>16979.386666666665</v>
      </c>
      <c r="AB256" s="1362">
        <f t="shared" ref="AB256:AG256" si="467">+$AA256*(AB$91/SUM($AB$91:$AG$91))</f>
        <v>10606.048192506913</v>
      </c>
      <c r="AC256" s="1362">
        <f t="shared" si="467"/>
        <v>540.33771268625674</v>
      </c>
      <c r="AD256" s="1362">
        <f t="shared" si="467"/>
        <v>119.55134149567283</v>
      </c>
      <c r="AE256" s="1362">
        <f t="shared" si="467"/>
        <v>2668.8897173926916</v>
      </c>
      <c r="AF256" s="1362">
        <f t="shared" si="467"/>
        <v>0</v>
      </c>
      <c r="AG256" s="1362">
        <f t="shared" si="467"/>
        <v>3044.5597025851303</v>
      </c>
      <c r="AH256" s="1336" t="s">
        <v>945</v>
      </c>
      <c r="AI256" s="1363">
        <f t="shared" si="454"/>
        <v>0</v>
      </c>
    </row>
    <row r="257" spans="1:35">
      <c r="A257" s="1331">
        <v>60116</v>
      </c>
      <c r="B257" s="1336" t="s">
        <v>118</v>
      </c>
      <c r="C257" s="1341">
        <f>+IFERROR(VLOOKUP(A257,'2183 IS 2018'!$D:$AH,31,FALSE),0)</f>
        <v>2214.0200000000004</v>
      </c>
      <c r="D257" s="1354">
        <f>+IFERROR(VLOOKUP(A257,'2184 IS 2018'!$D:$AH,31,FALSE),0)</f>
        <v>0</v>
      </c>
      <c r="E257" s="1354">
        <f>+IFERROR(VLOOKUP(A257,'2185 IS 2018'!$D:$AH,31,FALSE),0)</f>
        <v>8660.0700000000015</v>
      </c>
      <c r="F257" s="1342">
        <f t="shared" si="455"/>
        <v>10874.090000000002</v>
      </c>
      <c r="G257" s="1343"/>
      <c r="H257" s="1341"/>
      <c r="I257" s="1341"/>
      <c r="J257" s="1341"/>
      <c r="K257" s="1341"/>
      <c r="L257" s="1362">
        <f t="shared" si="456"/>
        <v>10874.090000000002</v>
      </c>
      <c r="M257" s="1337"/>
      <c r="N257" s="1359">
        <f t="shared" si="457"/>
        <v>2214.0200000000004</v>
      </c>
      <c r="O257" s="1359">
        <f t="shared" si="458"/>
        <v>0</v>
      </c>
      <c r="P257" s="1359">
        <f t="shared" si="459"/>
        <v>8660.0700000000015</v>
      </c>
      <c r="Q257" s="1359">
        <f t="shared" si="460"/>
        <v>10874.090000000002</v>
      </c>
      <c r="R257" s="1359"/>
      <c r="S257" s="1359">
        <f>+'Pro-forma Adj''s'!D51</f>
        <v>984.00888888888926</v>
      </c>
      <c r="T257" s="1359"/>
      <c r="U257" s="1359"/>
      <c r="V257" s="1681">
        <f t="shared" si="461"/>
        <v>984.00888888888926</v>
      </c>
      <c r="W257" s="1369" t="s">
        <v>896</v>
      </c>
      <c r="X257" s="1681">
        <f t="shared" si="462"/>
        <v>3198.0288888888899</v>
      </c>
      <c r="Y257" s="1681">
        <f t="shared" si="463"/>
        <v>0</v>
      </c>
      <c r="Z257" s="1681">
        <f t="shared" si="464"/>
        <v>8660.0700000000015</v>
      </c>
      <c r="AA257" s="1681">
        <f t="shared" si="465"/>
        <v>11858.098888888891</v>
      </c>
      <c r="AB257" s="1341">
        <v>0</v>
      </c>
      <c r="AC257" s="1341"/>
      <c r="AD257" s="1341"/>
      <c r="AE257" s="1341">
        <f>X257</f>
        <v>3198.0288888888899</v>
      </c>
      <c r="AF257" s="1341"/>
      <c r="AG257" s="1341">
        <f>E257</f>
        <v>8660.0700000000015</v>
      </c>
      <c r="AH257" s="1336" t="s">
        <v>348</v>
      </c>
      <c r="AI257" s="1363">
        <f t="shared" si="454"/>
        <v>0</v>
      </c>
    </row>
    <row r="258" spans="1:35">
      <c r="A258" s="1331">
        <v>70116</v>
      </c>
      <c r="B258" s="1336" t="s">
        <v>118</v>
      </c>
      <c r="C258" s="1341">
        <f>+IFERROR(VLOOKUP(A258,'2183 IS 2018'!$D:$AH,31,FALSE),0)</f>
        <v>25072.300000000003</v>
      </c>
      <c r="D258" s="1354">
        <f>+IFERROR(VLOOKUP(A258,'2184 IS 2018'!$D:$AH,31,FALSE),0)</f>
        <v>4604.66</v>
      </c>
      <c r="E258" s="1354">
        <f>+IFERROR(VLOOKUP(A258,'2185 IS 2018'!$D:$AH,31,FALSE),0)</f>
        <v>4950.74</v>
      </c>
      <c r="F258" s="1342">
        <f t="shared" si="455"/>
        <v>34627.700000000004</v>
      </c>
      <c r="G258" s="1343"/>
      <c r="H258" s="1341"/>
      <c r="I258" s="1341"/>
      <c r="J258" s="1341"/>
      <c r="K258" s="1341"/>
      <c r="L258" s="1362">
        <f t="shared" si="456"/>
        <v>34627.700000000004</v>
      </c>
      <c r="M258" s="1337"/>
      <c r="N258" s="1359">
        <f t="shared" si="457"/>
        <v>25072.300000000003</v>
      </c>
      <c r="O258" s="1359">
        <f t="shared" si="458"/>
        <v>4604.66</v>
      </c>
      <c r="P258" s="1359">
        <f t="shared" si="459"/>
        <v>4950.74</v>
      </c>
      <c r="Q258" s="1359">
        <f t="shared" si="460"/>
        <v>34627.700000000004</v>
      </c>
      <c r="R258" s="1359"/>
      <c r="S258" s="1359">
        <f>+'Pro-forma Adj''s'!D52</f>
        <v>11143.244444444448</v>
      </c>
      <c r="T258" s="1359"/>
      <c r="U258" s="1359"/>
      <c r="V258" s="1681">
        <f t="shared" si="461"/>
        <v>11143.244444444448</v>
      </c>
      <c r="W258" s="1369" t="s">
        <v>896</v>
      </c>
      <c r="X258" s="1681">
        <f t="shared" si="462"/>
        <v>36215.544444444451</v>
      </c>
      <c r="Y258" s="1681">
        <f t="shared" si="463"/>
        <v>4604.66</v>
      </c>
      <c r="Z258" s="1681">
        <f t="shared" si="464"/>
        <v>4950.74</v>
      </c>
      <c r="AA258" s="1681">
        <f t="shared" si="465"/>
        <v>45770.944444444445</v>
      </c>
      <c r="AB258" s="1341">
        <f>$X258*'2183-2184-2185 Ratios'!C$21</f>
        <v>33499.742325284293</v>
      </c>
      <c r="AC258" s="1341">
        <f>$X258*'2183-2184-2185 Ratios'!D$21</f>
        <v>1287.6614164827552</v>
      </c>
      <c r="AD258" s="1341">
        <f>$X258*'2183-2184-2185 Ratios'!E$21</f>
        <v>337.0454806408938</v>
      </c>
      <c r="AE258" s="1341">
        <f>$X258*'2183-2184-2185 Ratios'!F$21</f>
        <v>1091.0952220365102</v>
      </c>
      <c r="AF258" s="1341">
        <f>+Y258</f>
        <v>4604.66</v>
      </c>
      <c r="AG258" s="1341">
        <f>+Z258</f>
        <v>4950.74</v>
      </c>
      <c r="AH258" s="1379" t="s">
        <v>352</v>
      </c>
      <c r="AI258" s="1363">
        <f t="shared" si="454"/>
        <v>0</v>
      </c>
    </row>
    <row r="259" spans="1:35">
      <c r="A259" s="1331"/>
      <c r="B259" s="1336"/>
      <c r="C259" s="1354"/>
      <c r="D259" s="1354"/>
      <c r="E259" s="1354"/>
      <c r="F259" s="1342"/>
      <c r="G259" s="1343"/>
      <c r="H259" s="1341"/>
      <c r="I259" s="1341"/>
      <c r="J259" s="1341"/>
      <c r="K259" s="1341"/>
      <c r="L259" s="1362"/>
      <c r="M259" s="1336"/>
      <c r="N259" s="1359"/>
      <c r="O259" s="1359"/>
      <c r="P259" s="1359"/>
      <c r="Q259" s="1359"/>
      <c r="R259" s="1359"/>
      <c r="S259" s="1359"/>
      <c r="T259" s="1359"/>
      <c r="U259" s="1359"/>
      <c r="V259" s="1364"/>
      <c r="W259" s="1364"/>
      <c r="X259" s="1364"/>
      <c r="Y259" s="1364"/>
      <c r="Z259" s="1364"/>
      <c r="AA259" s="1364"/>
      <c r="AB259" s="1341"/>
      <c r="AC259" s="1341"/>
      <c r="AD259" s="1341"/>
      <c r="AE259" s="1341"/>
      <c r="AF259" s="1341"/>
      <c r="AG259" s="1341"/>
      <c r="AH259" s="1379"/>
      <c r="AI259" s="1363"/>
    </row>
    <row r="260" spans="1:35">
      <c r="A260" s="1685">
        <v>46510</v>
      </c>
      <c r="B260" s="1386" t="s">
        <v>118</v>
      </c>
      <c r="C260" s="1366">
        <f t="shared" ref="C260:J260" si="468">SUM(C252:C259)</f>
        <v>350197.91000000003</v>
      </c>
      <c r="D260" s="1366">
        <f t="shared" si="468"/>
        <v>37375.919999999998</v>
      </c>
      <c r="E260" s="1366">
        <f t="shared" si="468"/>
        <v>34192.410000000003</v>
      </c>
      <c r="F260" s="1366">
        <f t="shared" si="468"/>
        <v>421766.24000000005</v>
      </c>
      <c r="G260" s="1366">
        <f t="shared" si="468"/>
        <v>0</v>
      </c>
      <c r="H260" s="1366">
        <f t="shared" si="468"/>
        <v>-403.19036829294055</v>
      </c>
      <c r="I260" s="1366">
        <f t="shared" si="468"/>
        <v>-454.59142375303645</v>
      </c>
      <c r="J260" s="1366">
        <f t="shared" si="468"/>
        <v>857.78179204597541</v>
      </c>
      <c r="K260" s="1367"/>
      <c r="L260" s="1366">
        <f>SUM(L252:L259)</f>
        <v>421766.24000000005</v>
      </c>
      <c r="M260" s="1366"/>
      <c r="N260" s="1366">
        <f>SUM(N252:N259)</f>
        <v>349794.71963170706</v>
      </c>
      <c r="O260" s="1366">
        <f>SUM(O252:O259)</f>
        <v>36921.32857624696</v>
      </c>
      <c r="P260" s="1366">
        <f>SUM(P252:P259)</f>
        <v>35050.191792045975</v>
      </c>
      <c r="Q260" s="1366">
        <f>SUM(Q252:Q259)</f>
        <v>421766.24000000005</v>
      </c>
      <c r="R260" s="1366"/>
      <c r="S260" s="1366">
        <f>SUM(S252:S259)</f>
        <v>48713.938111261123</v>
      </c>
      <c r="T260" s="1366">
        <f>SUM(T252:T259)</f>
        <v>0</v>
      </c>
      <c r="U260" s="1366">
        <f>SUM(U252:U259)</f>
        <v>0</v>
      </c>
      <c r="V260" s="1366">
        <f>SUM(V252:V259)</f>
        <v>48713.938111261123</v>
      </c>
      <c r="W260" s="1366"/>
      <c r="X260" s="1366">
        <f t="shared" ref="X260:AI260" si="469">SUM(X252:X259)</f>
        <v>398508.65774296818</v>
      </c>
      <c r="Y260" s="1366">
        <f t="shared" si="469"/>
        <v>36921.32857624696</v>
      </c>
      <c r="Z260" s="1366">
        <f t="shared" si="469"/>
        <v>35050.191792045975</v>
      </c>
      <c r="AA260" s="1366">
        <f t="shared" si="469"/>
        <v>470480.17811126111</v>
      </c>
      <c r="AB260" s="1366">
        <f t="shared" si="469"/>
        <v>354564.61993888608</v>
      </c>
      <c r="AC260" s="1366">
        <f t="shared" si="469"/>
        <v>17642.56664387491</v>
      </c>
      <c r="AD260" s="1366">
        <f t="shared" si="469"/>
        <v>3955.8127051592842</v>
      </c>
      <c r="AE260" s="1366">
        <f t="shared" si="469"/>
        <v>19301.098752462694</v>
      </c>
      <c r="AF260" s="1366">
        <f t="shared" si="469"/>
        <v>36921.32857624696</v>
      </c>
      <c r="AG260" s="1366">
        <f t="shared" si="469"/>
        <v>38094.751494631106</v>
      </c>
      <c r="AH260" s="1366">
        <f t="shared" si="469"/>
        <v>0</v>
      </c>
      <c r="AI260" s="1366">
        <f t="shared" si="469"/>
        <v>0</v>
      </c>
    </row>
    <row r="261" spans="1:35">
      <c r="A261" s="1331"/>
      <c r="B261" s="1336"/>
      <c r="C261" s="1354"/>
      <c r="D261" s="1333"/>
      <c r="E261" s="1342"/>
      <c r="F261" s="1342"/>
      <c r="G261" s="1336"/>
      <c r="H261" s="1341"/>
      <c r="I261" s="1341"/>
      <c r="J261" s="1341"/>
      <c r="K261" s="1341"/>
      <c r="L261" s="1341"/>
      <c r="M261" s="1336"/>
      <c r="N261" s="1342"/>
      <c r="O261" s="1336"/>
      <c r="P261" s="1336"/>
      <c r="Q261" s="1336"/>
      <c r="R261" s="1336"/>
      <c r="S261" s="1336"/>
      <c r="T261" s="1336"/>
      <c r="U261" s="1336"/>
      <c r="V261" s="1364"/>
      <c r="W261" s="1364"/>
      <c r="X261" s="1364"/>
      <c r="Y261" s="1364"/>
      <c r="Z261" s="1364"/>
      <c r="AA261" s="1364"/>
      <c r="AB261" s="1341"/>
      <c r="AC261" s="1341"/>
      <c r="AD261" s="1341"/>
      <c r="AE261" s="1341"/>
      <c r="AF261" s="1341"/>
      <c r="AG261" s="1341"/>
      <c r="AH261" s="1336"/>
      <c r="AI261" s="1363">
        <f>SUM(AB261:AG261)-AA261</f>
        <v>0</v>
      </c>
    </row>
    <row r="262" spans="1:35">
      <c r="A262" s="1331"/>
      <c r="B262" s="1336"/>
      <c r="C262" s="1354"/>
      <c r="D262" s="1333"/>
      <c r="E262" s="1342"/>
      <c r="F262" s="1342"/>
      <c r="G262" s="1336"/>
      <c r="H262" s="1341"/>
      <c r="I262" s="1341"/>
      <c r="J262" s="1341"/>
      <c r="K262" s="1341"/>
      <c r="L262" s="1341"/>
      <c r="M262" s="1336"/>
      <c r="N262" s="1342"/>
      <c r="O262" s="1336"/>
      <c r="P262" s="1336"/>
      <c r="Q262" s="1336"/>
      <c r="R262" s="1336"/>
      <c r="S262" s="1336"/>
      <c r="T262" s="1336"/>
      <c r="U262" s="1336"/>
      <c r="V262" s="1364"/>
      <c r="W262" s="1364"/>
      <c r="X262" s="1364"/>
      <c r="Y262" s="1364"/>
      <c r="Z262" s="1364"/>
      <c r="AA262" s="1364"/>
      <c r="AB262" s="1341"/>
      <c r="AC262" s="1341"/>
      <c r="AD262" s="1341"/>
      <c r="AE262" s="1341"/>
      <c r="AF262" s="1341"/>
      <c r="AG262" s="1341"/>
      <c r="AH262" s="1336"/>
      <c r="AI262" s="1363"/>
    </row>
    <row r="263" spans="1:35">
      <c r="A263" s="1331">
        <v>70310</v>
      </c>
      <c r="B263" s="1336" t="s">
        <v>121</v>
      </c>
      <c r="C263" s="1341">
        <f>+IFERROR(VLOOKUP(A263,'2183 IS 2018'!$D:$AH,31,FALSE),0)</f>
        <v>47553.27</v>
      </c>
      <c r="D263" s="1354">
        <f>+IFERROR(VLOOKUP(A263,'2184 IS 2018'!$D:$AH,31,FALSE),0)</f>
        <v>35.039999999999964</v>
      </c>
      <c r="E263" s="1354">
        <f>+IFERROR(VLOOKUP(A263,'2185 IS 2018'!$D:$AH,31,FALSE),0)</f>
        <v>-2863.1700000000005</v>
      </c>
      <c r="F263" s="1342">
        <f t="shared" ref="F263" si="470">SUM(C263:E263)</f>
        <v>44725.14</v>
      </c>
      <c r="G263" s="1343"/>
      <c r="H263" s="1341">
        <f>+'Restating Adj''s'!B99</f>
        <v>-3970.0300000000061</v>
      </c>
      <c r="I263" s="1341"/>
      <c r="J263" s="1341"/>
      <c r="K263" s="1369" t="s">
        <v>577</v>
      </c>
      <c r="L263" s="1362">
        <f t="shared" ref="L263" si="471">F263+H263+I263+J263</f>
        <v>40755.109999999993</v>
      </c>
      <c r="M263" s="1337"/>
      <c r="N263" s="1359">
        <f t="shared" ref="N263" si="472">C263+H263</f>
        <v>43583.239999999991</v>
      </c>
      <c r="O263" s="1359">
        <f t="shared" ref="O263" si="473">D263+I263</f>
        <v>35.039999999999964</v>
      </c>
      <c r="P263" s="1359">
        <f t="shared" ref="P263" si="474">E263+J263</f>
        <v>-2863.1700000000005</v>
      </c>
      <c r="Q263" s="1359">
        <f t="shared" ref="Q263" si="475">SUM(N263:P263)</f>
        <v>40755.109999999993</v>
      </c>
      <c r="R263" s="1359"/>
      <c r="S263" s="1359"/>
      <c r="T263" s="1359"/>
      <c r="U263" s="1359"/>
      <c r="V263" s="1681">
        <f t="shared" ref="V263" si="476">+SUM(S263:U263)</f>
        <v>0</v>
      </c>
      <c r="W263" s="1333"/>
      <c r="X263" s="1681">
        <f t="shared" ref="X263" si="477">+S263+N263</f>
        <v>43583.239999999991</v>
      </c>
      <c r="Y263" s="1681">
        <f t="shared" ref="Y263" si="478">+T263+O263</f>
        <v>35.039999999999964</v>
      </c>
      <c r="Z263" s="1681">
        <f t="shared" ref="Z263" si="479">+U263+P263</f>
        <v>-2863.1700000000005</v>
      </c>
      <c r="AA263" s="1681">
        <f t="shared" ref="AA263" si="480">+SUM(X263:Z263)</f>
        <v>40755.109999999993</v>
      </c>
      <c r="AB263" s="1341">
        <f>$X$263*(AB24/$X$24)</f>
        <v>35651.772342402466</v>
      </c>
      <c r="AC263" s="1341">
        <f>$X$263*(AC24/$X$24)</f>
        <v>1865.2336638691399</v>
      </c>
      <c r="AD263" s="1341">
        <f>$X$263*(AD24/$X$24)</f>
        <v>419.49100101561208</v>
      </c>
      <c r="AE263" s="1341">
        <f>$X$263*(AE24/$X$24)</f>
        <v>5646.7429927127587</v>
      </c>
      <c r="AF263" s="1341">
        <f>+Y263</f>
        <v>35.039999999999964</v>
      </c>
      <c r="AG263" s="1341">
        <f>+Z263</f>
        <v>-2863.1700000000005</v>
      </c>
      <c r="AH263" s="1379" t="s">
        <v>943</v>
      </c>
      <c r="AI263" s="1363">
        <f>SUM(AB263:AG263)-AA263</f>
        <v>0</v>
      </c>
    </row>
    <row r="264" spans="1:35">
      <c r="A264" s="1331"/>
      <c r="B264" s="1336"/>
      <c r="C264" s="1354"/>
      <c r="D264" s="1354"/>
      <c r="E264" s="1354"/>
      <c r="F264" s="1342"/>
      <c r="G264" s="1343"/>
      <c r="H264" s="1341"/>
      <c r="I264" s="1341"/>
      <c r="J264" s="1341"/>
      <c r="K264" s="1341"/>
      <c r="L264" s="1362"/>
      <c r="M264" s="1336"/>
      <c r="N264" s="1359"/>
      <c r="O264" s="1359"/>
      <c r="P264" s="1359"/>
      <c r="Q264" s="1359"/>
      <c r="R264" s="1359"/>
      <c r="S264" s="1359"/>
      <c r="T264" s="1359"/>
      <c r="U264" s="1359"/>
      <c r="V264" s="1364"/>
      <c r="W264" s="1364"/>
      <c r="X264" s="1364"/>
      <c r="Y264" s="1364"/>
      <c r="Z264" s="1364"/>
      <c r="AA264" s="1364"/>
      <c r="AB264" s="1341"/>
      <c r="AC264" s="1341"/>
      <c r="AD264" s="1341"/>
      <c r="AE264" s="1341"/>
      <c r="AF264" s="1341"/>
      <c r="AG264" s="1341"/>
      <c r="AH264" s="1379"/>
      <c r="AI264" s="1363"/>
    </row>
    <row r="265" spans="1:35">
      <c r="A265" s="1685">
        <v>46700</v>
      </c>
      <c r="B265" s="1386" t="s">
        <v>122</v>
      </c>
      <c r="C265" s="1366">
        <f>SUM(C263:C264)</f>
        <v>47553.27</v>
      </c>
      <c r="D265" s="1366">
        <f t="shared" ref="D265:AI265" si="481">SUM(D263:D264)</f>
        <v>35.039999999999964</v>
      </c>
      <c r="E265" s="1366">
        <f t="shared" si="481"/>
        <v>-2863.1700000000005</v>
      </c>
      <c r="F265" s="1366">
        <f t="shared" si="481"/>
        <v>44725.14</v>
      </c>
      <c r="G265" s="1366">
        <f t="shared" si="481"/>
        <v>0</v>
      </c>
      <c r="H265" s="1366">
        <f t="shared" si="481"/>
        <v>-3970.0300000000061</v>
      </c>
      <c r="I265" s="1366">
        <f t="shared" si="481"/>
        <v>0</v>
      </c>
      <c r="J265" s="1366">
        <f t="shared" si="481"/>
        <v>0</v>
      </c>
      <c r="K265" s="1367"/>
      <c r="L265" s="1366">
        <f t="shared" si="481"/>
        <v>40755.109999999993</v>
      </c>
      <c r="M265" s="1366"/>
      <c r="N265" s="1366">
        <f t="shared" si="481"/>
        <v>43583.239999999991</v>
      </c>
      <c r="O265" s="1366">
        <f t="shared" si="481"/>
        <v>35.039999999999964</v>
      </c>
      <c r="P265" s="1366">
        <f t="shared" si="481"/>
        <v>-2863.1700000000005</v>
      </c>
      <c r="Q265" s="1366">
        <f t="shared" si="481"/>
        <v>40755.109999999993</v>
      </c>
      <c r="R265" s="1366"/>
      <c r="S265" s="1366">
        <f t="shared" si="481"/>
        <v>0</v>
      </c>
      <c r="T265" s="1366">
        <f t="shared" si="481"/>
        <v>0</v>
      </c>
      <c r="U265" s="1366">
        <f t="shared" si="481"/>
        <v>0</v>
      </c>
      <c r="V265" s="1366">
        <f t="shared" si="481"/>
        <v>0</v>
      </c>
      <c r="W265" s="1366"/>
      <c r="X265" s="1366">
        <f t="shared" si="481"/>
        <v>43583.239999999991</v>
      </c>
      <c r="Y265" s="1366">
        <f t="shared" si="481"/>
        <v>35.039999999999964</v>
      </c>
      <c r="Z265" s="1366">
        <f t="shared" si="481"/>
        <v>-2863.1700000000005</v>
      </c>
      <c r="AA265" s="1366">
        <f t="shared" si="481"/>
        <v>40755.109999999993</v>
      </c>
      <c r="AB265" s="1366">
        <f t="shared" si="481"/>
        <v>35651.772342402466</v>
      </c>
      <c r="AC265" s="1366">
        <f t="shared" si="481"/>
        <v>1865.2336638691399</v>
      </c>
      <c r="AD265" s="1366">
        <f t="shared" si="481"/>
        <v>419.49100101561208</v>
      </c>
      <c r="AE265" s="1366">
        <f>SUM(AE263:AE264)</f>
        <v>5646.7429927127587</v>
      </c>
      <c r="AF265" s="1366">
        <f t="shared" si="481"/>
        <v>35.039999999999964</v>
      </c>
      <c r="AG265" s="1366">
        <f t="shared" si="481"/>
        <v>-2863.1700000000005</v>
      </c>
      <c r="AH265" s="1366">
        <f t="shared" si="481"/>
        <v>0</v>
      </c>
      <c r="AI265" s="1366">
        <f t="shared" si="481"/>
        <v>0</v>
      </c>
    </row>
    <row r="266" spans="1:35">
      <c r="A266" s="1331"/>
      <c r="B266" s="1336"/>
      <c r="C266" s="1354"/>
      <c r="D266" s="1333"/>
      <c r="E266" s="1342"/>
      <c r="F266" s="1342"/>
      <c r="G266" s="1336"/>
      <c r="H266" s="1341"/>
      <c r="I266" s="1341"/>
      <c r="J266" s="1341"/>
      <c r="K266" s="1341"/>
      <c r="L266" s="1341"/>
      <c r="M266" s="1336"/>
      <c r="N266" s="1342"/>
      <c r="O266" s="1336"/>
      <c r="P266" s="1336"/>
      <c r="Q266" s="1336"/>
      <c r="R266" s="1336"/>
      <c r="S266" s="1336"/>
      <c r="T266" s="1336"/>
      <c r="U266" s="1336"/>
      <c r="V266" s="1364"/>
      <c r="W266" s="1364"/>
      <c r="X266" s="1364"/>
      <c r="Y266" s="1364"/>
      <c r="Z266" s="1364"/>
      <c r="AA266" s="1364"/>
      <c r="AB266" s="1341"/>
      <c r="AC266" s="1341"/>
      <c r="AD266" s="1341"/>
      <c r="AE266" s="1341"/>
      <c r="AF266" s="1341"/>
      <c r="AG266" s="1341"/>
      <c r="AH266" s="1336"/>
      <c r="AI266" s="1363">
        <f>SUM(AB266:AG266)-AA266</f>
        <v>0</v>
      </c>
    </row>
    <row r="267" spans="1:35">
      <c r="A267" s="1331"/>
      <c r="B267" s="1336"/>
      <c r="C267" s="1354"/>
      <c r="D267" s="1333"/>
      <c r="E267" s="1342"/>
      <c r="F267" s="1342"/>
      <c r="G267" s="1336"/>
      <c r="H267" s="1341"/>
      <c r="I267" s="1341"/>
      <c r="J267" s="1341"/>
      <c r="K267" s="1341"/>
      <c r="L267" s="1341"/>
      <c r="M267" s="1336"/>
      <c r="N267" s="1342"/>
      <c r="O267" s="1336"/>
      <c r="P267" s="1336"/>
      <c r="Q267" s="1336"/>
      <c r="R267" s="1336"/>
      <c r="S267" s="1336"/>
      <c r="T267" s="1336"/>
      <c r="U267" s="1336"/>
      <c r="V267" s="1364"/>
      <c r="W267" s="1364"/>
      <c r="X267" s="1364"/>
      <c r="Y267" s="1364"/>
      <c r="Z267" s="1364"/>
      <c r="AA267" s="1364"/>
      <c r="AB267" s="1341"/>
      <c r="AC267" s="1341"/>
      <c r="AD267" s="1341"/>
      <c r="AE267" s="1341"/>
      <c r="AF267" s="1341"/>
      <c r="AG267" s="1341"/>
      <c r="AH267" s="1336"/>
      <c r="AI267" s="1363"/>
    </row>
    <row r="268" spans="1:35">
      <c r="A268" s="1331">
        <v>57252</v>
      </c>
      <c r="B268" s="1336" t="s">
        <v>123</v>
      </c>
      <c r="C268" s="1341">
        <f>+IFERROR(VLOOKUP(A268,'2183 IS 2018'!$D:$AH,31,FALSE),0)</f>
        <v>0</v>
      </c>
      <c r="D268" s="1354">
        <f>+IFERROR(VLOOKUP(A268,'2184 IS 2018'!$D:$AH,31,FALSE),0)</f>
        <v>0</v>
      </c>
      <c r="E268" s="1354">
        <f>+IFERROR(VLOOKUP(A268,'2185 IS 2018'!$D:$AH,31,FALSE),0)</f>
        <v>4313</v>
      </c>
      <c r="F268" s="1342">
        <f t="shared" ref="F268:F290" si="482">SUM(C268:E268)</f>
        <v>4313</v>
      </c>
      <c r="G268" s="1343"/>
      <c r="H268" s="1341"/>
      <c r="I268" s="1341"/>
      <c r="J268" s="1341"/>
      <c r="K268" s="1341"/>
      <c r="L268" s="1362">
        <f t="shared" ref="L268:L290" si="483">F268+H268+I268+J268</f>
        <v>4313</v>
      </c>
      <c r="M268" s="1337"/>
      <c r="N268" s="1359">
        <f t="shared" ref="N268:N290" si="484">C268+H268</f>
        <v>0</v>
      </c>
      <c r="O268" s="1359">
        <f t="shared" ref="O268:O290" si="485">D268+I268</f>
        <v>0</v>
      </c>
      <c r="P268" s="1359">
        <f t="shared" ref="P268:P290" si="486">E268+J268</f>
        <v>4313</v>
      </c>
      <c r="Q268" s="1359">
        <f t="shared" ref="Q268:Q290" si="487">SUM(N268:P268)</f>
        <v>4313</v>
      </c>
      <c r="R268" s="1359"/>
      <c r="S268" s="1359"/>
      <c r="T268" s="1359"/>
      <c r="U268" s="1359"/>
      <c r="V268" s="1681">
        <f t="shared" ref="V268:V290" si="488">+SUM(S268:U268)</f>
        <v>0</v>
      </c>
      <c r="W268" s="1333"/>
      <c r="X268" s="1681">
        <f t="shared" ref="X268:X290" si="489">+S268+N268</f>
        <v>0</v>
      </c>
      <c r="Y268" s="1681">
        <f t="shared" ref="Y268:Y290" si="490">+T268+O268</f>
        <v>0</v>
      </c>
      <c r="Z268" s="1681">
        <f t="shared" ref="Z268:Z290" si="491">+U268+P268</f>
        <v>4313</v>
      </c>
      <c r="AA268" s="1681">
        <f t="shared" ref="AA268:AA290" si="492">+SUM(X268:Z268)</f>
        <v>4313</v>
      </c>
      <c r="AB268" s="1341">
        <f>+W268</f>
        <v>0</v>
      </c>
      <c r="AC268" s="1341"/>
      <c r="AD268" s="1341"/>
      <c r="AE268" s="1341">
        <f>+X268</f>
        <v>0</v>
      </c>
      <c r="AF268" s="1341">
        <f>+Y268</f>
        <v>0</v>
      </c>
      <c r="AG268" s="1341">
        <f>+Z268</f>
        <v>4313</v>
      </c>
      <c r="AH268" s="1336" t="s">
        <v>348</v>
      </c>
      <c r="AI268" s="1363">
        <f>SUM(AB268:AG268)-AA268</f>
        <v>0</v>
      </c>
    </row>
    <row r="269" spans="1:35">
      <c r="A269" s="1331">
        <v>70037</v>
      </c>
      <c r="B269" s="1336" t="s">
        <v>124</v>
      </c>
      <c r="C269" s="1341">
        <f>+IFERROR(VLOOKUP(A269,'2183 IS 2018'!$D:$AH,31,FALSE),0)</f>
        <v>6379.19</v>
      </c>
      <c r="D269" s="1354">
        <f>+IFERROR(VLOOKUP(A269,'2184 IS 2018'!$D:$AH,31,FALSE),0)</f>
        <v>0</v>
      </c>
      <c r="E269" s="1354">
        <f>+IFERROR(VLOOKUP(A269,'2185 IS 2018'!$D:$AH,31,FALSE),0)</f>
        <v>0</v>
      </c>
      <c r="F269" s="1342">
        <f t="shared" si="482"/>
        <v>6379.19</v>
      </c>
      <c r="G269" s="1343"/>
      <c r="H269" s="1341"/>
      <c r="I269" s="1341"/>
      <c r="J269" s="1341"/>
      <c r="K269" s="1341"/>
      <c r="L269" s="1362">
        <f t="shared" si="483"/>
        <v>6379.19</v>
      </c>
      <c r="M269" s="1337"/>
      <c r="N269" s="1359">
        <f t="shared" si="484"/>
        <v>6379.19</v>
      </c>
      <c r="O269" s="1359">
        <f t="shared" si="485"/>
        <v>0</v>
      </c>
      <c r="P269" s="1359">
        <f t="shared" si="486"/>
        <v>0</v>
      </c>
      <c r="Q269" s="1359">
        <f t="shared" si="487"/>
        <v>6379.19</v>
      </c>
      <c r="R269" s="1359"/>
      <c r="S269" s="1359"/>
      <c r="T269" s="1359"/>
      <c r="U269" s="1359"/>
      <c r="V269" s="1681">
        <f t="shared" si="488"/>
        <v>0</v>
      </c>
      <c r="W269" s="1333"/>
      <c r="X269" s="1681">
        <f t="shared" si="489"/>
        <v>6379.19</v>
      </c>
      <c r="Y269" s="1681">
        <f t="shared" si="490"/>
        <v>0</v>
      </c>
      <c r="Z269" s="1681">
        <f t="shared" si="491"/>
        <v>0</v>
      </c>
      <c r="AA269" s="1681">
        <f t="shared" si="492"/>
        <v>6379.19</v>
      </c>
      <c r="AB269" s="1362">
        <f>$X269*'2183-2184-2185 Ratios'!C$60</f>
        <v>4855.3165922729922</v>
      </c>
      <c r="AC269" s="1362">
        <f>$X269*'2183-2184-2185 Ratios'!D$60</f>
        <v>247.35986620256062</v>
      </c>
      <c r="AD269" s="1362">
        <f>$X269*'2183-2184-2185 Ratios'!E$60</f>
        <v>54.729113186806472</v>
      </c>
      <c r="AE269" s="1362">
        <f>$X269*'2183-2184-2185 Ratios'!F$60</f>
        <v>1221.7844283376398</v>
      </c>
      <c r="AF269" s="1341">
        <f t="shared" ref="AF269" si="493">+Y269</f>
        <v>0</v>
      </c>
      <c r="AG269" s="1341">
        <f t="shared" ref="AG269" si="494">+Z269</f>
        <v>0</v>
      </c>
      <c r="AH269" s="1336" t="s">
        <v>350</v>
      </c>
      <c r="AI269" s="1363">
        <f t="shared" ref="AI269:AI290" si="495">SUM(AB269:AG269)-AA269</f>
        <v>0</v>
      </c>
    </row>
    <row r="270" spans="1:35">
      <c r="A270" s="1331">
        <v>70086</v>
      </c>
      <c r="B270" s="1336" t="s">
        <v>125</v>
      </c>
      <c r="C270" s="1341">
        <f>+IFERROR(VLOOKUP(A270,'2183 IS 2018'!$D:$AH,31,FALSE),0)</f>
        <v>12929.77</v>
      </c>
      <c r="D270" s="1354">
        <f>+IFERROR(VLOOKUP(A270,'2184 IS 2018'!$D:$AH,31,FALSE),0)</f>
        <v>188.72</v>
      </c>
      <c r="E270" s="1354">
        <f>+IFERROR(VLOOKUP(A270,'2185 IS 2018'!$D:$AH,31,FALSE),0)</f>
        <v>0</v>
      </c>
      <c r="F270" s="1342">
        <f t="shared" si="482"/>
        <v>13118.49</v>
      </c>
      <c r="G270" s="1343"/>
      <c r="H270" s="1341"/>
      <c r="I270" s="1341"/>
      <c r="J270" s="1341"/>
      <c r="K270" s="1341"/>
      <c r="L270" s="1362">
        <f t="shared" si="483"/>
        <v>13118.49</v>
      </c>
      <c r="M270" s="1337"/>
      <c r="N270" s="1359">
        <f t="shared" si="484"/>
        <v>12929.77</v>
      </c>
      <c r="O270" s="1359">
        <f t="shared" si="485"/>
        <v>188.72</v>
      </c>
      <c r="P270" s="1359">
        <f t="shared" si="486"/>
        <v>0</v>
      </c>
      <c r="Q270" s="1359">
        <f t="shared" si="487"/>
        <v>13118.49</v>
      </c>
      <c r="R270" s="1359"/>
      <c r="S270" s="1359"/>
      <c r="T270" s="1359"/>
      <c r="U270" s="1359"/>
      <c r="V270" s="1681">
        <f t="shared" si="488"/>
        <v>0</v>
      </c>
      <c r="W270" s="1333"/>
      <c r="X270" s="1681">
        <f t="shared" si="489"/>
        <v>12929.77</v>
      </c>
      <c r="Y270" s="1681">
        <f t="shared" si="490"/>
        <v>188.72</v>
      </c>
      <c r="Z270" s="1681">
        <f t="shared" si="491"/>
        <v>0</v>
      </c>
      <c r="AA270" s="1681">
        <f t="shared" si="492"/>
        <v>13118.49</v>
      </c>
      <c r="AB270" s="1362">
        <f>($X270+$Z270)*'2183-2184-2185 Ratios'!C$35</f>
        <v>11684.554228709469</v>
      </c>
      <c r="AC270" s="1362">
        <f>($X270+$Z270)*'2183-2184-2185 Ratios'!D$35</f>
        <v>449.13030980998496</v>
      </c>
      <c r="AD270" s="1362">
        <f>($X270+$Z270)*'2183-2184-2185 Ratios'!E$35</f>
        <v>117.55989517321008</v>
      </c>
      <c r="AE270" s="1362">
        <f>($X270+$Z270)*'2183-2184-2185 Ratios'!F$35</f>
        <v>380.56893592727681</v>
      </c>
      <c r="AF270" s="1362">
        <f>+Y270</f>
        <v>188.72</v>
      </c>
      <c r="AG270" s="1362">
        <f>($X270+$Z270)*'2183-2184-2185 Ratios'!H$35</f>
        <v>297.95663038006109</v>
      </c>
      <c r="AH270" s="1336" t="s">
        <v>912</v>
      </c>
      <c r="AI270" s="1363">
        <f t="shared" si="495"/>
        <v>0</v>
      </c>
    </row>
    <row r="271" spans="1:35">
      <c r="A271" s="1683">
        <v>70090</v>
      </c>
      <c r="B271" s="1336" t="s">
        <v>126</v>
      </c>
      <c r="C271" s="1341">
        <f>+IFERROR(VLOOKUP(A271,'2183 IS 2018'!$D:$AH,31,FALSE),0)</f>
        <v>1443.54</v>
      </c>
      <c r="D271" s="1354">
        <f>+IFERROR(VLOOKUP(A271,'2184 IS 2018'!$D:$AH,31,FALSE),0)</f>
        <v>142.35999999999999</v>
      </c>
      <c r="E271" s="1354">
        <f>+IFERROR(VLOOKUP(A271,'2185 IS 2018'!$D:$AH,31,FALSE),0)</f>
        <v>98.46</v>
      </c>
      <c r="F271" s="1342">
        <f t="shared" si="482"/>
        <v>1684.36</v>
      </c>
      <c r="G271" s="1343"/>
      <c r="H271" s="1341"/>
      <c r="I271" s="1341"/>
      <c r="J271" s="1341"/>
      <c r="K271" s="1341"/>
      <c r="L271" s="1362">
        <f t="shared" si="483"/>
        <v>1684.36</v>
      </c>
      <c r="M271" s="1337"/>
      <c r="N271" s="1359">
        <f t="shared" si="484"/>
        <v>1443.54</v>
      </c>
      <c r="O271" s="1359">
        <f t="shared" si="485"/>
        <v>142.35999999999999</v>
      </c>
      <c r="P271" s="1359">
        <f t="shared" si="486"/>
        <v>98.46</v>
      </c>
      <c r="Q271" s="1359">
        <f t="shared" si="487"/>
        <v>1684.36</v>
      </c>
      <c r="R271" s="1359"/>
      <c r="S271" s="1359"/>
      <c r="T271" s="1359"/>
      <c r="U271" s="1359"/>
      <c r="V271" s="1681">
        <f t="shared" si="488"/>
        <v>0</v>
      </c>
      <c r="W271" s="1333"/>
      <c r="X271" s="1681">
        <f t="shared" si="489"/>
        <v>1443.54</v>
      </c>
      <c r="Y271" s="1681">
        <f t="shared" si="490"/>
        <v>142.35999999999999</v>
      </c>
      <c r="Z271" s="1681">
        <f t="shared" si="491"/>
        <v>98.46</v>
      </c>
      <c r="AA271" s="1681">
        <f t="shared" si="492"/>
        <v>1684.36</v>
      </c>
      <c r="AB271" s="1362">
        <f>($X271+$Z271)*'2183-2184-2185 Ratios'!C$35</f>
        <v>1393.4959879928258</v>
      </c>
      <c r="AC271" s="1362">
        <f>($X271+$Z271)*'2183-2184-2185 Ratios'!D$35</f>
        <v>53.563128944056757</v>
      </c>
      <c r="AD271" s="1362">
        <f>($X271+$Z271)*'2183-2184-2185 Ratios'!E$35</f>
        <v>14.020153363678546</v>
      </c>
      <c r="AE271" s="1362">
        <f>($X271+$Z271)*'2183-2184-2185 Ratios'!F$35</f>
        <v>45.386522668219222</v>
      </c>
      <c r="AF271" s="1362">
        <f>+Y271</f>
        <v>142.35999999999999</v>
      </c>
      <c r="AG271" s="1362">
        <f>($X271+$Z271)*'2183-2184-2185 Ratios'!H$35</f>
        <v>35.534207031219751</v>
      </c>
      <c r="AH271" s="1336" t="s">
        <v>912</v>
      </c>
      <c r="AI271" s="1363">
        <f t="shared" si="495"/>
        <v>0</v>
      </c>
    </row>
    <row r="272" spans="1:35">
      <c r="A272" s="1683">
        <v>70095</v>
      </c>
      <c r="B272" s="1336" t="s">
        <v>61</v>
      </c>
      <c r="C272" s="1341">
        <f>+IFERROR(VLOOKUP(A272,'2183 IS 2018'!$D:$AH,31,FALSE),0)</f>
        <v>93381.04</v>
      </c>
      <c r="D272" s="1354">
        <f>+IFERROR(VLOOKUP(A272,'2184 IS 2018'!$D:$AH,31,FALSE),0)</f>
        <v>8065.420000000001</v>
      </c>
      <c r="E272" s="1354">
        <f>+IFERROR(VLOOKUP(A272,'2185 IS 2018'!$D:$AH,31,FALSE),0)</f>
        <v>9380.8900000000012</v>
      </c>
      <c r="F272" s="1342">
        <f t="shared" si="482"/>
        <v>110827.34999999999</v>
      </c>
      <c r="G272" s="1343"/>
      <c r="H272" s="1341">
        <f>+'Restating Adj''s'!D50</f>
        <v>-29000.02</v>
      </c>
      <c r="I272" s="1341"/>
      <c r="J272" s="1341"/>
      <c r="K272" s="1369" t="s">
        <v>572</v>
      </c>
      <c r="L272" s="1362">
        <f t="shared" si="483"/>
        <v>81827.329999999987</v>
      </c>
      <c r="M272" s="1337"/>
      <c r="N272" s="1359">
        <f t="shared" si="484"/>
        <v>64381.01999999999</v>
      </c>
      <c r="O272" s="1359">
        <f t="shared" si="485"/>
        <v>8065.420000000001</v>
      </c>
      <c r="P272" s="1359">
        <f t="shared" si="486"/>
        <v>9380.8900000000012</v>
      </c>
      <c r="Q272" s="1359">
        <f t="shared" si="487"/>
        <v>81827.329999999987</v>
      </c>
      <c r="R272" s="1359"/>
      <c r="S272" s="1359"/>
      <c r="T272" s="1359"/>
      <c r="U272" s="1359"/>
      <c r="V272" s="1681">
        <f t="shared" si="488"/>
        <v>0</v>
      </c>
      <c r="W272" s="1333"/>
      <c r="X272" s="1681">
        <f t="shared" si="489"/>
        <v>64381.01999999999</v>
      </c>
      <c r="Y272" s="1681">
        <f t="shared" si="490"/>
        <v>8065.420000000001</v>
      </c>
      <c r="Z272" s="1681">
        <f t="shared" si="491"/>
        <v>9380.8900000000012</v>
      </c>
      <c r="AA272" s="1681">
        <f t="shared" si="492"/>
        <v>81827.329999999987</v>
      </c>
      <c r="AB272" s="1362">
        <f>$X272*'2183-2184-2185 Ratios'!C$60</f>
        <v>49001.555782702708</v>
      </c>
      <c r="AC272" s="1362">
        <f>$X272*'2183-2184-2185 Ratios'!D$60</f>
        <v>2496.44241560204</v>
      </c>
      <c r="AD272" s="1362">
        <f>$X272*'2183-2184-2185 Ratios'!E$60</f>
        <v>552.34538094367008</v>
      </c>
      <c r="AE272" s="1362">
        <f>$X272*'2183-2184-2185 Ratios'!F$60</f>
        <v>12330.676420751561</v>
      </c>
      <c r="AF272" s="1341">
        <f t="shared" ref="AF272" si="496">+Y272</f>
        <v>8065.420000000001</v>
      </c>
      <c r="AG272" s="1341">
        <f t="shared" ref="AG272" si="497">+Z272</f>
        <v>9380.8900000000012</v>
      </c>
      <c r="AH272" s="1336" t="s">
        <v>350</v>
      </c>
      <c r="AI272" s="1363">
        <f t="shared" si="495"/>
        <v>0</v>
      </c>
    </row>
    <row r="273" spans="1:36">
      <c r="A273" s="1683">
        <v>70110</v>
      </c>
      <c r="B273" s="1336" t="s">
        <v>128</v>
      </c>
      <c r="C273" s="1341">
        <f>+IFERROR(VLOOKUP(A273,'2183 IS 2018'!$D:$AH,31,FALSE),0)</f>
        <v>1533</v>
      </c>
      <c r="D273" s="1354">
        <f>+IFERROR(VLOOKUP(A273,'2184 IS 2018'!$D:$AH,31,FALSE),0)</f>
        <v>0</v>
      </c>
      <c r="E273" s="1354">
        <f>+IFERROR(VLOOKUP(A273,'2185 IS 2018'!$D:$AH,31,FALSE),0)</f>
        <v>0</v>
      </c>
      <c r="F273" s="1342">
        <f t="shared" si="482"/>
        <v>1533</v>
      </c>
      <c r="G273" s="1343"/>
      <c r="H273" s="1341">
        <f>+'Restating Adj''s'!D51</f>
        <v>-1533</v>
      </c>
      <c r="I273" s="1341"/>
      <c r="J273" s="1341"/>
      <c r="K273" s="1369" t="s">
        <v>572</v>
      </c>
      <c r="L273" s="1362">
        <f t="shared" si="483"/>
        <v>0</v>
      </c>
      <c r="M273" s="1337"/>
      <c r="N273" s="1359">
        <f t="shared" si="484"/>
        <v>0</v>
      </c>
      <c r="O273" s="1359">
        <f t="shared" si="485"/>
        <v>0</v>
      </c>
      <c r="P273" s="1359">
        <f t="shared" si="486"/>
        <v>0</v>
      </c>
      <c r="Q273" s="1359">
        <f t="shared" si="487"/>
        <v>0</v>
      </c>
      <c r="R273" s="1359"/>
      <c r="S273" s="1359"/>
      <c r="T273" s="1359"/>
      <c r="U273" s="1359"/>
      <c r="V273" s="1681">
        <f t="shared" si="488"/>
        <v>0</v>
      </c>
      <c r="W273" s="1333"/>
      <c r="X273" s="1681">
        <f t="shared" si="489"/>
        <v>0</v>
      </c>
      <c r="Y273" s="1681">
        <f t="shared" si="490"/>
        <v>0</v>
      </c>
      <c r="Z273" s="1681">
        <f t="shared" si="491"/>
        <v>0</v>
      </c>
      <c r="AA273" s="1681">
        <f t="shared" si="492"/>
        <v>0</v>
      </c>
      <c r="AB273" s="1362">
        <f>$X273*'2183-2184-2185 Ratios'!C$60</f>
        <v>0</v>
      </c>
      <c r="AC273" s="1362">
        <f>$X273*'2183-2184-2185 Ratios'!D$60</f>
        <v>0</v>
      </c>
      <c r="AD273" s="1362">
        <f>$X273*'2183-2184-2185 Ratios'!E$60</f>
        <v>0</v>
      </c>
      <c r="AE273" s="1362">
        <f>$X273*'2183-2184-2185 Ratios'!F$60</f>
        <v>0</v>
      </c>
      <c r="AF273" s="1341">
        <f t="shared" ref="AF273:AF274" si="498">+Y273</f>
        <v>0</v>
      </c>
      <c r="AG273" s="1341">
        <f t="shared" ref="AG273:AG274" si="499">+Z273</f>
        <v>0</v>
      </c>
      <c r="AH273" s="1336" t="s">
        <v>350</v>
      </c>
      <c r="AI273" s="1363">
        <f t="shared" si="495"/>
        <v>0</v>
      </c>
    </row>
    <row r="274" spans="1:36">
      <c r="A274" s="1683">
        <v>70112</v>
      </c>
      <c r="B274" s="1336" t="s">
        <v>129</v>
      </c>
      <c r="C274" s="1341">
        <f>+IFERROR(VLOOKUP(A274,'2183 IS 2018'!$D:$AH,31,FALSE),0)</f>
        <v>450</v>
      </c>
      <c r="D274" s="1354">
        <f>+IFERROR(VLOOKUP(A274,'2184 IS 2018'!$D:$AH,31,FALSE),0)</f>
        <v>0</v>
      </c>
      <c r="E274" s="1354">
        <f>+IFERROR(VLOOKUP(A274,'2185 IS 2018'!$D:$AH,31,FALSE),0)</f>
        <v>0</v>
      </c>
      <c r="F274" s="1342">
        <f t="shared" si="482"/>
        <v>450</v>
      </c>
      <c r="G274" s="1343"/>
      <c r="H274" s="1341">
        <f>+'Restating Adj''s'!D52</f>
        <v>-450</v>
      </c>
      <c r="I274" s="1341"/>
      <c r="J274" s="1341"/>
      <c r="K274" s="1369" t="s">
        <v>572</v>
      </c>
      <c r="L274" s="1362">
        <f t="shared" si="483"/>
        <v>0</v>
      </c>
      <c r="M274" s="1337"/>
      <c r="N274" s="1359">
        <f t="shared" si="484"/>
        <v>0</v>
      </c>
      <c r="O274" s="1359">
        <f t="shared" si="485"/>
        <v>0</v>
      </c>
      <c r="P274" s="1359">
        <f t="shared" si="486"/>
        <v>0</v>
      </c>
      <c r="Q274" s="1359">
        <f t="shared" si="487"/>
        <v>0</v>
      </c>
      <c r="R274" s="1359"/>
      <c r="S274" s="1359"/>
      <c r="T274" s="1359"/>
      <c r="U274" s="1359"/>
      <c r="V274" s="1681">
        <f t="shared" si="488"/>
        <v>0</v>
      </c>
      <c r="W274" s="1333"/>
      <c r="X274" s="1681">
        <f t="shared" si="489"/>
        <v>0</v>
      </c>
      <c r="Y274" s="1681">
        <f t="shared" si="490"/>
        <v>0</v>
      </c>
      <c r="Z274" s="1681">
        <f t="shared" si="491"/>
        <v>0</v>
      </c>
      <c r="AA274" s="1681">
        <f t="shared" si="492"/>
        <v>0</v>
      </c>
      <c r="AB274" s="1362">
        <f>$X274*'2183-2184-2185 Ratios'!C$60</f>
        <v>0</v>
      </c>
      <c r="AC274" s="1362">
        <f>$X274*'2183-2184-2185 Ratios'!D$60</f>
        <v>0</v>
      </c>
      <c r="AD274" s="1362">
        <f>$X274*'2183-2184-2185 Ratios'!E$60</f>
        <v>0</v>
      </c>
      <c r="AE274" s="1362">
        <f>$X274*'2183-2184-2185 Ratios'!F$60</f>
        <v>0</v>
      </c>
      <c r="AF274" s="1341">
        <f t="shared" si="498"/>
        <v>0</v>
      </c>
      <c r="AG274" s="1341">
        <f t="shared" si="499"/>
        <v>0</v>
      </c>
      <c r="AH274" s="1336" t="s">
        <v>350</v>
      </c>
      <c r="AI274" s="1363">
        <f t="shared" si="495"/>
        <v>0</v>
      </c>
    </row>
    <row r="275" spans="1:36">
      <c r="A275" s="1331">
        <v>70148</v>
      </c>
      <c r="B275" s="1336" t="s">
        <v>130</v>
      </c>
      <c r="C275" s="1341">
        <f>+IFERROR(VLOOKUP(A275,'2183 IS 2018'!$D:$AH,31,FALSE),0)</f>
        <v>114984.61000000002</v>
      </c>
      <c r="D275" s="1354">
        <f>+IFERROR(VLOOKUP(A275,'2184 IS 2018'!$D:$AH,31,FALSE),0)</f>
        <v>1.74</v>
      </c>
      <c r="E275" s="1354">
        <f>+IFERROR(VLOOKUP(A275,'2185 IS 2018'!$D:$AH,31,FALSE),0)</f>
        <v>7250.51</v>
      </c>
      <c r="F275" s="1342">
        <f t="shared" si="482"/>
        <v>122236.86000000002</v>
      </c>
      <c r="G275" s="1343"/>
      <c r="H275" s="1341">
        <f>+'Restating Adj''s'!S56</f>
        <v>-12267.581541391744</v>
      </c>
      <c r="I275" s="1341"/>
      <c r="J275" s="1341"/>
      <c r="K275" s="1369" t="s">
        <v>571</v>
      </c>
      <c r="L275" s="1362">
        <f t="shared" si="483"/>
        <v>109969.27845860827</v>
      </c>
      <c r="M275" s="1337"/>
      <c r="N275" s="1359">
        <f t="shared" si="484"/>
        <v>102717.02845860827</v>
      </c>
      <c r="O275" s="1359">
        <f t="shared" si="485"/>
        <v>1.74</v>
      </c>
      <c r="P275" s="1359">
        <f t="shared" si="486"/>
        <v>7250.51</v>
      </c>
      <c r="Q275" s="1359">
        <f t="shared" si="487"/>
        <v>109969.27845860827</v>
      </c>
      <c r="R275" s="1359"/>
      <c r="S275" s="1359"/>
      <c r="T275" s="1359"/>
      <c r="U275" s="1359"/>
      <c r="V275" s="1681">
        <f t="shared" si="488"/>
        <v>0</v>
      </c>
      <c r="W275" s="1333"/>
      <c r="X275" s="1681">
        <f t="shared" si="489"/>
        <v>102717.02845860827</v>
      </c>
      <c r="Y275" s="1681">
        <f t="shared" si="490"/>
        <v>1.74</v>
      </c>
      <c r="Z275" s="1681">
        <f t="shared" si="491"/>
        <v>7250.51</v>
      </c>
      <c r="AA275" s="1681">
        <f t="shared" si="492"/>
        <v>109969.27845860827</v>
      </c>
      <c r="AB275" s="1341">
        <f>$X275*'2183-2184-2185 Ratios'!C$21</f>
        <v>95014.282915471325</v>
      </c>
      <c r="AC275" s="1341">
        <f>$X275*'2183-2184-2185 Ratios'!D$21</f>
        <v>3652.1542445622608</v>
      </c>
      <c r="AD275" s="1341">
        <f>$X275*'2183-2184-2185 Ratios'!E$21</f>
        <v>955.95167097223714</v>
      </c>
      <c r="AE275" s="1341">
        <f>$X275*'2183-2184-2185 Ratios'!F$21</f>
        <v>3094.6396276024548</v>
      </c>
      <c r="AF275" s="1341">
        <f>+Y275</f>
        <v>1.74</v>
      </c>
      <c r="AG275" s="1341">
        <f>+Z275</f>
        <v>7250.51</v>
      </c>
      <c r="AH275" s="1379" t="s">
        <v>352</v>
      </c>
      <c r="AI275" s="1363">
        <f t="shared" si="495"/>
        <v>0</v>
      </c>
      <c r="AJ275" s="34"/>
    </row>
    <row r="276" spans="1:36">
      <c r="A276" s="1331">
        <v>70175</v>
      </c>
      <c r="B276" s="1336" t="s">
        <v>131</v>
      </c>
      <c r="C276" s="1341">
        <f>+IFERROR(VLOOKUP(A276,'2183 IS 2018'!$D:$AH,31,FALSE),0)</f>
        <v>13956.509999999998</v>
      </c>
      <c r="D276" s="1354">
        <f>+IFERROR(VLOOKUP(A276,'2184 IS 2018'!$D:$AH,31,FALSE),0)</f>
        <v>0</v>
      </c>
      <c r="E276" s="1354">
        <f>+IFERROR(VLOOKUP(A276,'2185 IS 2018'!$D:$AH,31,FALSE),0)</f>
        <v>0</v>
      </c>
      <c r="F276" s="1342">
        <f t="shared" si="482"/>
        <v>13956.509999999998</v>
      </c>
      <c r="G276" s="1343"/>
      <c r="H276" s="1341"/>
      <c r="I276" s="1341"/>
      <c r="J276" s="1341"/>
      <c r="K276" s="1341"/>
      <c r="L276" s="1362">
        <f t="shared" si="483"/>
        <v>13956.509999999998</v>
      </c>
      <c r="M276" s="1337"/>
      <c r="N276" s="1359">
        <f t="shared" si="484"/>
        <v>13956.509999999998</v>
      </c>
      <c r="O276" s="1359">
        <f t="shared" si="485"/>
        <v>0</v>
      </c>
      <c r="P276" s="1359">
        <f t="shared" si="486"/>
        <v>0</v>
      </c>
      <c r="Q276" s="1359">
        <f t="shared" si="487"/>
        <v>13956.509999999998</v>
      </c>
      <c r="R276" s="1359"/>
      <c r="S276" s="1359"/>
      <c r="T276" s="1359"/>
      <c r="U276" s="1359"/>
      <c r="V276" s="1681">
        <f t="shared" si="488"/>
        <v>0</v>
      </c>
      <c r="W276" s="1333"/>
      <c r="X276" s="1681">
        <f t="shared" si="489"/>
        <v>13956.509999999998</v>
      </c>
      <c r="Y276" s="1681">
        <f t="shared" si="490"/>
        <v>0</v>
      </c>
      <c r="Z276" s="1681">
        <f t="shared" si="491"/>
        <v>0</v>
      </c>
      <c r="AA276" s="1681">
        <f t="shared" si="492"/>
        <v>13956.509999999998</v>
      </c>
      <c r="AB276" s="1362">
        <f>$X276*'2183-2184-2185 Ratios'!C$60</f>
        <v>10622.55154231555</v>
      </c>
      <c r="AC276" s="1362">
        <f>$X276*'2183-2184-2185 Ratios'!D$60</f>
        <v>541.1784954288396</v>
      </c>
      <c r="AD276" s="1362">
        <f>$X276*'2183-2184-2185 Ratios'!E$60</f>
        <v>119.73736720223043</v>
      </c>
      <c r="AE276" s="1362">
        <f>$X276*'2183-2184-2185 Ratios'!F$60</f>
        <v>2673.0425950533772</v>
      </c>
      <c r="AF276" s="1341">
        <f t="shared" ref="AF276" si="500">+Y276</f>
        <v>0</v>
      </c>
      <c r="AG276" s="1341">
        <f t="shared" ref="AG276" si="501">+Z276</f>
        <v>0</v>
      </c>
      <c r="AH276" s="1336" t="s">
        <v>350</v>
      </c>
      <c r="AI276" s="1363">
        <f t="shared" si="495"/>
        <v>0</v>
      </c>
    </row>
    <row r="277" spans="1:36">
      <c r="A277" s="1331">
        <v>70190</v>
      </c>
      <c r="B277" s="1336" t="s">
        <v>132</v>
      </c>
      <c r="C277" s="1341">
        <f>+IFERROR(VLOOKUP(A277,'2183 IS 2018'!$D:$AH,31,FALSE),0)</f>
        <v>580</v>
      </c>
      <c r="D277" s="1354">
        <f>+IFERROR(VLOOKUP(A277,'2184 IS 2018'!$D:$AH,31,FALSE),0)</f>
        <v>0</v>
      </c>
      <c r="E277" s="1354">
        <f>+IFERROR(VLOOKUP(A277,'2185 IS 2018'!$D:$AH,31,FALSE),0)</f>
        <v>0</v>
      </c>
      <c r="F277" s="1342">
        <f t="shared" si="482"/>
        <v>580</v>
      </c>
      <c r="G277" s="1343"/>
      <c r="H277" s="1341"/>
      <c r="I277" s="1341"/>
      <c r="J277" s="1341"/>
      <c r="K277" s="1341"/>
      <c r="L277" s="1362">
        <f t="shared" si="483"/>
        <v>580</v>
      </c>
      <c r="M277" s="1337"/>
      <c r="N277" s="1359">
        <f t="shared" si="484"/>
        <v>580</v>
      </c>
      <c r="O277" s="1359">
        <f t="shared" si="485"/>
        <v>0</v>
      </c>
      <c r="P277" s="1359">
        <f t="shared" si="486"/>
        <v>0</v>
      </c>
      <c r="Q277" s="1359">
        <f t="shared" si="487"/>
        <v>580</v>
      </c>
      <c r="R277" s="1359"/>
      <c r="S277" s="1359"/>
      <c r="T277" s="1359"/>
      <c r="U277" s="1359"/>
      <c r="V277" s="1681">
        <f t="shared" si="488"/>
        <v>0</v>
      </c>
      <c r="W277" s="1333"/>
      <c r="X277" s="1681">
        <f t="shared" si="489"/>
        <v>580</v>
      </c>
      <c r="Y277" s="1681">
        <f t="shared" si="490"/>
        <v>0</v>
      </c>
      <c r="Z277" s="1681">
        <f t="shared" si="491"/>
        <v>0</v>
      </c>
      <c r="AA277" s="1681">
        <f t="shared" si="492"/>
        <v>580</v>
      </c>
      <c r="AB277" s="1362">
        <v>0</v>
      </c>
      <c r="AC277" s="1362"/>
      <c r="AD277" s="1362"/>
      <c r="AE277" s="1362">
        <f>+X277</f>
        <v>580</v>
      </c>
      <c r="AF277" s="1362">
        <f>+Y277</f>
        <v>0</v>
      </c>
      <c r="AG277" s="1362">
        <f>+Z277</f>
        <v>0</v>
      </c>
      <c r="AH277" s="1336" t="s">
        <v>348</v>
      </c>
      <c r="AI277" s="1363">
        <f t="shared" si="495"/>
        <v>0</v>
      </c>
    </row>
    <row r="278" spans="1:36">
      <c r="A278" s="1331">
        <v>70195</v>
      </c>
      <c r="B278" s="1336" t="s">
        <v>133</v>
      </c>
      <c r="C278" s="1341">
        <f>+IFERROR(VLOOKUP(A278,'2183 IS 2018'!$D:$AH,31,FALSE),0)</f>
        <v>16160.020000000002</v>
      </c>
      <c r="D278" s="1354">
        <f>+IFERROR(VLOOKUP(A278,'2184 IS 2018'!$D:$AH,31,FALSE),0)</f>
        <v>0</v>
      </c>
      <c r="E278" s="1354">
        <f>+IFERROR(VLOOKUP(A278,'2185 IS 2018'!$D:$AH,31,FALSE),0)</f>
        <v>620.26</v>
      </c>
      <c r="F278" s="1342">
        <f t="shared" si="482"/>
        <v>16780.280000000002</v>
      </c>
      <c r="G278" s="1343"/>
      <c r="H278" s="1341">
        <f>+'Restating Adj''s'!D53</f>
        <v>-4215.2860000000001</v>
      </c>
      <c r="I278" s="1341"/>
      <c r="J278" s="1341"/>
      <c r="K278" s="1369" t="s">
        <v>572</v>
      </c>
      <c r="L278" s="1362">
        <f t="shared" si="483"/>
        <v>12564.994000000002</v>
      </c>
      <c r="M278" s="1337"/>
      <c r="N278" s="1359">
        <f t="shared" si="484"/>
        <v>11944.734000000002</v>
      </c>
      <c r="O278" s="1359">
        <f t="shared" si="485"/>
        <v>0</v>
      </c>
      <c r="P278" s="1359">
        <f t="shared" si="486"/>
        <v>620.26</v>
      </c>
      <c r="Q278" s="1359">
        <f t="shared" si="487"/>
        <v>12564.994000000002</v>
      </c>
      <c r="R278" s="1359"/>
      <c r="S278" s="1359"/>
      <c r="T278" s="1359"/>
      <c r="U278" s="1359"/>
      <c r="V278" s="1681">
        <f t="shared" si="488"/>
        <v>0</v>
      </c>
      <c r="W278" s="1333"/>
      <c r="X278" s="1681">
        <f t="shared" si="489"/>
        <v>11944.734000000002</v>
      </c>
      <c r="Y278" s="1681">
        <f t="shared" si="490"/>
        <v>0</v>
      </c>
      <c r="Z278" s="1681">
        <f t="shared" si="491"/>
        <v>620.26</v>
      </c>
      <c r="AA278" s="1681">
        <f t="shared" si="492"/>
        <v>12564.994000000002</v>
      </c>
      <c r="AB278" s="1341">
        <f>$X278*'2183-2184-2185 Ratios'!C$21</f>
        <v>11048.998911445213</v>
      </c>
      <c r="AC278" s="1341">
        <f>$X278*'2183-2184-2185 Ratios'!D$21</f>
        <v>424.70086637919303</v>
      </c>
      <c r="AD278" s="1341">
        <f>$X278*'2183-2184-2185 Ratios'!E$21</f>
        <v>111.16548636548833</v>
      </c>
      <c r="AE278" s="1341">
        <f>$X278*'2183-2184-2185 Ratios'!F$21</f>
        <v>359.8687358101094</v>
      </c>
      <c r="AF278" s="1341">
        <f>+Y278</f>
        <v>0</v>
      </c>
      <c r="AG278" s="1341">
        <f>+Z278</f>
        <v>620.26</v>
      </c>
      <c r="AH278" s="1379" t="s">
        <v>352</v>
      </c>
      <c r="AI278" s="1363">
        <f t="shared" si="495"/>
        <v>0</v>
      </c>
    </row>
    <row r="279" spans="1:36">
      <c r="A279" s="1683">
        <v>70200</v>
      </c>
      <c r="B279" s="1336" t="s">
        <v>59</v>
      </c>
      <c r="C279" s="1341">
        <f>+IFERROR(VLOOKUP(A279,'2183 IS 2018'!$D:$AH,31,FALSE),0)</f>
        <v>1154.32</v>
      </c>
      <c r="D279" s="1354">
        <f>+IFERROR(VLOOKUP(A279,'2184 IS 2018'!$D:$AH,31,FALSE),0)</f>
        <v>25</v>
      </c>
      <c r="E279" s="1354">
        <f>+IFERROR(VLOOKUP(A279,'2185 IS 2018'!$D:$AH,31,FALSE),0)</f>
        <v>0</v>
      </c>
      <c r="F279" s="1342">
        <f t="shared" si="482"/>
        <v>1179.32</v>
      </c>
      <c r="G279" s="1343"/>
      <c r="H279" s="1341"/>
      <c r="I279" s="1341"/>
      <c r="J279" s="1341"/>
      <c r="K279" s="1341"/>
      <c r="L279" s="1362">
        <f t="shared" si="483"/>
        <v>1179.32</v>
      </c>
      <c r="M279" s="1337"/>
      <c r="N279" s="1359">
        <f t="shared" si="484"/>
        <v>1154.32</v>
      </c>
      <c r="O279" s="1359">
        <f t="shared" si="485"/>
        <v>25</v>
      </c>
      <c r="P279" s="1359">
        <f t="shared" si="486"/>
        <v>0</v>
      </c>
      <c r="Q279" s="1359">
        <f t="shared" si="487"/>
        <v>1179.32</v>
      </c>
      <c r="R279" s="1359"/>
      <c r="S279" s="1359"/>
      <c r="T279" s="1359"/>
      <c r="U279" s="1359"/>
      <c r="V279" s="1681">
        <f t="shared" si="488"/>
        <v>0</v>
      </c>
      <c r="W279" s="1333"/>
      <c r="X279" s="1681">
        <f t="shared" si="489"/>
        <v>1154.32</v>
      </c>
      <c r="Y279" s="1681">
        <f t="shared" si="490"/>
        <v>25</v>
      </c>
      <c r="Z279" s="1681">
        <f t="shared" si="491"/>
        <v>0</v>
      </c>
      <c r="AA279" s="1681">
        <f t="shared" si="492"/>
        <v>1179.32</v>
      </c>
      <c r="AB279" s="1362">
        <f>($X279+$Z279)*'2183-2184-2185 Ratios'!C$35</f>
        <v>1043.1519383008292</v>
      </c>
      <c r="AC279" s="1362">
        <f>($X279+$Z279)*'2183-2184-2185 Ratios'!D$35</f>
        <v>40.096621921338262</v>
      </c>
      <c r="AD279" s="1362">
        <f>($X279+$Z279)*'2183-2184-2185 Ratios'!E$35</f>
        <v>10.495294053671477</v>
      </c>
      <c r="AE279" s="1362">
        <f>($X279+$Z279)*'2183-2184-2185 Ratios'!F$35</f>
        <v>33.975726878326078</v>
      </c>
      <c r="AF279" s="1362">
        <f t="shared" ref="AF279:AF284" si="502">+Y279</f>
        <v>25</v>
      </c>
      <c r="AG279" s="1362">
        <f>($X279+$Z279)*'2183-2184-2185 Ratios'!H$35</f>
        <v>26.600418845835005</v>
      </c>
      <c r="AH279" s="1336" t="s">
        <v>912</v>
      </c>
      <c r="AI279" s="1363">
        <f t="shared" si="495"/>
        <v>0</v>
      </c>
    </row>
    <row r="280" spans="1:36">
      <c r="A280" s="1683">
        <v>70201</v>
      </c>
      <c r="B280" s="1336" t="s">
        <v>77</v>
      </c>
      <c r="C280" s="1341">
        <f>+IFERROR(VLOOKUP(A280,'2183 IS 2018'!$D:$AH,31,FALSE),0)</f>
        <v>365.43</v>
      </c>
      <c r="D280" s="1354">
        <f>+IFERROR(VLOOKUP(A280,'2184 IS 2018'!$D:$AH,31,FALSE),0)</f>
        <v>0</v>
      </c>
      <c r="E280" s="1354">
        <f>+IFERROR(VLOOKUP(A280,'2185 IS 2018'!$D:$AH,31,FALSE),0)</f>
        <v>77.53</v>
      </c>
      <c r="F280" s="1342">
        <f t="shared" si="482"/>
        <v>442.96000000000004</v>
      </c>
      <c r="G280" s="1343"/>
      <c r="H280" s="1341"/>
      <c r="I280" s="1341"/>
      <c r="J280" s="1341"/>
      <c r="K280" s="1341"/>
      <c r="L280" s="1362">
        <f t="shared" si="483"/>
        <v>442.96000000000004</v>
      </c>
      <c r="M280" s="1337"/>
      <c r="N280" s="1359">
        <f t="shared" si="484"/>
        <v>365.43</v>
      </c>
      <c r="O280" s="1359">
        <f t="shared" si="485"/>
        <v>0</v>
      </c>
      <c r="P280" s="1359">
        <f t="shared" si="486"/>
        <v>77.53</v>
      </c>
      <c r="Q280" s="1359">
        <f t="shared" si="487"/>
        <v>442.96000000000004</v>
      </c>
      <c r="R280" s="1359"/>
      <c r="S280" s="1359"/>
      <c r="T280" s="1359"/>
      <c r="U280" s="1359"/>
      <c r="V280" s="1681">
        <f t="shared" si="488"/>
        <v>0</v>
      </c>
      <c r="W280" s="1333"/>
      <c r="X280" s="1681">
        <f t="shared" si="489"/>
        <v>365.43</v>
      </c>
      <c r="Y280" s="1681">
        <f t="shared" si="490"/>
        <v>0</v>
      </c>
      <c r="Z280" s="1681">
        <f t="shared" si="491"/>
        <v>77.53</v>
      </c>
      <c r="AA280" s="1681">
        <f t="shared" si="492"/>
        <v>442.96000000000004</v>
      </c>
      <c r="AB280" s="1362">
        <f>($X280+$Z280)*'2183-2184-2185 Ratios'!C$35</f>
        <v>400.30024827581201</v>
      </c>
      <c r="AC280" s="1362">
        <f>($X280+$Z280)*'2183-2184-2185 Ratios'!D$35</f>
        <v>15.386720880064452</v>
      </c>
      <c r="AD280" s="1362">
        <f>($X280+$Z280)*'2183-2184-2185 Ratios'!E$35</f>
        <v>4.0274754435635858</v>
      </c>
      <c r="AE280" s="1362">
        <f>($X280+$Z280)*'2183-2184-2185 Ratios'!F$35</f>
        <v>13.037882024068994</v>
      </c>
      <c r="AF280" s="1362">
        <f t="shared" si="502"/>
        <v>0</v>
      </c>
      <c r="AG280" s="1362">
        <f>($X280+$Z280)*'2183-2184-2185 Ratios'!H$35</f>
        <v>10.207673376490987</v>
      </c>
      <c r="AH280" s="1336" t="s">
        <v>912</v>
      </c>
      <c r="AI280" s="1363">
        <f t="shared" si="495"/>
        <v>0</v>
      </c>
    </row>
    <row r="281" spans="1:36">
      <c r="A281" s="1683">
        <v>70202</v>
      </c>
      <c r="B281" s="1336" t="s">
        <v>135</v>
      </c>
      <c r="C281" s="1341">
        <f>+IFERROR(VLOOKUP(A281,'2183 IS 2018'!$D:$AH,31,FALSE),0)</f>
        <v>7890.0099999999993</v>
      </c>
      <c r="D281" s="1354">
        <f>+IFERROR(VLOOKUP(A281,'2184 IS 2018'!$D:$AH,31,FALSE),0)</f>
        <v>669.69999999999993</v>
      </c>
      <c r="E281" s="1354">
        <f>+IFERROR(VLOOKUP(A281,'2185 IS 2018'!$D:$AH,31,FALSE),0)</f>
        <v>259.33999999999997</v>
      </c>
      <c r="F281" s="1342">
        <f t="shared" si="482"/>
        <v>8819.0499999999993</v>
      </c>
      <c r="G281" s="1343"/>
      <c r="H281" s="1341"/>
      <c r="I281" s="1341"/>
      <c r="J281" s="1341"/>
      <c r="K281" s="1341"/>
      <c r="L281" s="1362">
        <f t="shared" si="483"/>
        <v>8819.0499999999993</v>
      </c>
      <c r="M281" s="1337"/>
      <c r="N281" s="1359">
        <f t="shared" si="484"/>
        <v>7890.0099999999993</v>
      </c>
      <c r="O281" s="1359">
        <f t="shared" si="485"/>
        <v>669.69999999999993</v>
      </c>
      <c r="P281" s="1359">
        <f t="shared" si="486"/>
        <v>259.33999999999997</v>
      </c>
      <c r="Q281" s="1359">
        <f t="shared" si="487"/>
        <v>8819.0499999999993</v>
      </c>
      <c r="R281" s="1359"/>
      <c r="S281" s="1359"/>
      <c r="T281" s="1359"/>
      <c r="U281" s="1359"/>
      <c r="V281" s="1681">
        <f t="shared" si="488"/>
        <v>0</v>
      </c>
      <c r="W281" s="1333"/>
      <c r="X281" s="1681">
        <f t="shared" si="489"/>
        <v>7890.0099999999993</v>
      </c>
      <c r="Y281" s="1681">
        <f t="shared" si="490"/>
        <v>669.69999999999993</v>
      </c>
      <c r="Z281" s="1681">
        <f t="shared" si="491"/>
        <v>259.33999999999997</v>
      </c>
      <c r="AA281" s="1681">
        <f t="shared" si="492"/>
        <v>8819.0499999999993</v>
      </c>
      <c r="AB281" s="1362">
        <f>($X281+$Z281)*'2183-2184-2185 Ratios'!C$35</f>
        <v>7364.5178532745358</v>
      </c>
      <c r="AC281" s="1362">
        <f>($X281+$Z281)*'2183-2184-2185 Ratios'!D$35</f>
        <v>283.07696813245718</v>
      </c>
      <c r="AD281" s="1362">
        <f>($X281+$Z281)*'2183-2184-2185 Ratios'!E$35</f>
        <v>74.095419464522536</v>
      </c>
      <c r="AE281" s="1362">
        <f>($X281+$Z281)*'2183-2184-2185 Ratios'!F$35</f>
        <v>239.86424027642821</v>
      </c>
      <c r="AF281" s="1362">
        <f t="shared" si="502"/>
        <v>669.69999999999993</v>
      </c>
      <c r="AG281" s="1362">
        <f>($X281+$Z281)*'2183-2184-2185 Ratios'!H$35</f>
        <v>187.7955188520562</v>
      </c>
      <c r="AH281" s="1336" t="s">
        <v>912</v>
      </c>
      <c r="AI281" s="1363">
        <f t="shared" si="495"/>
        <v>0</v>
      </c>
    </row>
    <row r="282" spans="1:36">
      <c r="A282" s="1683">
        <v>70203</v>
      </c>
      <c r="B282" s="1336" t="s">
        <v>136</v>
      </c>
      <c r="C282" s="1341">
        <f>+IFERROR(VLOOKUP(A282,'2183 IS 2018'!$D:$AH,31,FALSE),0)</f>
        <v>673.19</v>
      </c>
      <c r="D282" s="1354">
        <f>+IFERROR(VLOOKUP(A282,'2184 IS 2018'!$D:$AH,31,FALSE),0)</f>
        <v>0</v>
      </c>
      <c r="E282" s="1354">
        <f>+IFERROR(VLOOKUP(A282,'2185 IS 2018'!$D:$AH,31,FALSE),0)</f>
        <v>10667.61</v>
      </c>
      <c r="F282" s="1342">
        <f t="shared" si="482"/>
        <v>11340.800000000001</v>
      </c>
      <c r="G282" s="1343"/>
      <c r="H282" s="1341"/>
      <c r="I282" s="1341"/>
      <c r="J282" s="1341"/>
      <c r="K282" s="1341"/>
      <c r="L282" s="1362">
        <f t="shared" si="483"/>
        <v>11340.800000000001</v>
      </c>
      <c r="M282" s="1337"/>
      <c r="N282" s="1359">
        <f t="shared" si="484"/>
        <v>673.19</v>
      </c>
      <c r="O282" s="1359">
        <f t="shared" si="485"/>
        <v>0</v>
      </c>
      <c r="P282" s="1359">
        <f t="shared" si="486"/>
        <v>10667.61</v>
      </c>
      <c r="Q282" s="1359">
        <f t="shared" si="487"/>
        <v>11340.800000000001</v>
      </c>
      <c r="R282" s="1359"/>
      <c r="S282" s="1359"/>
      <c r="T282" s="1359"/>
      <c r="U282" s="1359"/>
      <c r="V282" s="1681">
        <f t="shared" si="488"/>
        <v>0</v>
      </c>
      <c r="W282" s="1333"/>
      <c r="X282" s="1681">
        <f t="shared" si="489"/>
        <v>673.19</v>
      </c>
      <c r="Y282" s="1681">
        <f t="shared" si="490"/>
        <v>0</v>
      </c>
      <c r="Z282" s="1681">
        <f t="shared" si="491"/>
        <v>10667.61</v>
      </c>
      <c r="AA282" s="1681">
        <f t="shared" si="492"/>
        <v>11340.800000000001</v>
      </c>
      <c r="AB282" s="1362">
        <f>($X282+$Z282)*'2183-2184-2185 Ratios'!C$35</f>
        <v>10248.611738410531</v>
      </c>
      <c r="AC282" s="1362">
        <f>($X282+$Z282)*'2183-2184-2185 Ratios'!D$35</f>
        <v>393.9356243377166</v>
      </c>
      <c r="AD282" s="1362">
        <f>($X282+$Z282)*'2183-2184-2185 Ratios'!E$35</f>
        <v>103.11268175538629</v>
      </c>
      <c r="AE282" s="1362">
        <f>($X282+$Z282)*'2183-2184-2185 Ratios'!F$35</f>
        <v>333.79991976377471</v>
      </c>
      <c r="AF282" s="1362">
        <f t="shared" si="502"/>
        <v>0</v>
      </c>
      <c r="AG282" s="1362">
        <f>($X282+$Z282)*'2183-2184-2185 Ratios'!H$35</f>
        <v>261.34003573259207</v>
      </c>
      <c r="AH282" s="1336" t="s">
        <v>912</v>
      </c>
      <c r="AI282" s="1363">
        <f t="shared" si="495"/>
        <v>0</v>
      </c>
    </row>
    <row r="283" spans="1:36">
      <c r="A283" s="1683">
        <v>70205</v>
      </c>
      <c r="B283" s="1336" t="s">
        <v>137</v>
      </c>
      <c r="C283" s="1341">
        <f>+IFERROR(VLOOKUP(A283,'2183 IS 2018'!$D:$AH,31,FALSE),0)</f>
        <v>3083.3500000000004</v>
      </c>
      <c r="D283" s="1354">
        <f>+IFERROR(VLOOKUP(A283,'2184 IS 2018'!$D:$AH,31,FALSE),0)</f>
        <v>4.3600000000000003</v>
      </c>
      <c r="E283" s="1354">
        <f>+IFERROR(VLOOKUP(A283,'2185 IS 2018'!$D:$AH,31,FALSE),0)</f>
        <v>35.53</v>
      </c>
      <c r="F283" s="1342">
        <f t="shared" si="482"/>
        <v>3123.2400000000007</v>
      </c>
      <c r="G283" s="1343"/>
      <c r="H283" s="1341"/>
      <c r="I283" s="1341"/>
      <c r="J283" s="1341"/>
      <c r="K283" s="1341"/>
      <c r="L283" s="1362">
        <f t="shared" si="483"/>
        <v>3123.2400000000007</v>
      </c>
      <c r="M283" s="1337"/>
      <c r="N283" s="1359">
        <f t="shared" si="484"/>
        <v>3083.3500000000004</v>
      </c>
      <c r="O283" s="1359">
        <f t="shared" si="485"/>
        <v>4.3600000000000003</v>
      </c>
      <c r="P283" s="1359">
        <f t="shared" si="486"/>
        <v>35.53</v>
      </c>
      <c r="Q283" s="1359">
        <f t="shared" si="487"/>
        <v>3123.2400000000007</v>
      </c>
      <c r="R283" s="1359"/>
      <c r="S283" s="1359"/>
      <c r="T283" s="1359"/>
      <c r="U283" s="1359"/>
      <c r="V283" s="1681">
        <f t="shared" si="488"/>
        <v>0</v>
      </c>
      <c r="W283" s="1333"/>
      <c r="X283" s="1681">
        <f t="shared" si="489"/>
        <v>3083.3500000000004</v>
      </c>
      <c r="Y283" s="1681">
        <f t="shared" si="490"/>
        <v>4.3600000000000003</v>
      </c>
      <c r="Z283" s="1681">
        <f t="shared" si="491"/>
        <v>35.53</v>
      </c>
      <c r="AA283" s="1681">
        <f t="shared" si="492"/>
        <v>3123.2400000000007</v>
      </c>
      <c r="AB283" s="1362">
        <f>($X283+$Z283)*'2183-2184-2185 Ratios'!C$35</f>
        <v>2818.5128190862938</v>
      </c>
      <c r="AC283" s="1362">
        <f>($X283+$Z283)*'2183-2184-2185 Ratios'!D$35</f>
        <v>108.33785447538247</v>
      </c>
      <c r="AD283" s="1362">
        <f>($X283+$Z283)*'2183-2184-2185 Ratios'!E$35</f>
        <v>28.357442232756</v>
      </c>
      <c r="AE283" s="1362">
        <f>($X283+$Z283)*'2183-2184-2185 Ratios'!F$35</f>
        <v>91.799687301851876</v>
      </c>
      <c r="AF283" s="1362">
        <f t="shared" si="502"/>
        <v>4.3600000000000003</v>
      </c>
      <c r="AG283" s="1362">
        <f>($X283+$Z283)*'2183-2184-2185 Ratios'!H$35</f>
        <v>71.872196903716386</v>
      </c>
      <c r="AH283" s="1336" t="s">
        <v>912</v>
      </c>
      <c r="AI283" s="1363">
        <f t="shared" si="495"/>
        <v>0</v>
      </c>
    </row>
    <row r="284" spans="1:36">
      <c r="A284" s="1683">
        <v>70206</v>
      </c>
      <c r="B284" s="1336" t="s">
        <v>138</v>
      </c>
      <c r="C284" s="1341">
        <f>+IFERROR(VLOOKUP(A284,'2183 IS 2018'!$D:$AH,31,FALSE),0)</f>
        <v>934.28</v>
      </c>
      <c r="D284" s="1354">
        <f>+IFERROR(VLOOKUP(A284,'2184 IS 2018'!$D:$AH,31,FALSE),0)</f>
        <v>0</v>
      </c>
      <c r="E284" s="1354">
        <f>+IFERROR(VLOOKUP(A284,'2185 IS 2018'!$D:$AH,31,FALSE),0)</f>
        <v>0</v>
      </c>
      <c r="F284" s="1342">
        <f t="shared" si="482"/>
        <v>934.28</v>
      </c>
      <c r="G284" s="1343"/>
      <c r="H284" s="1341"/>
      <c r="I284" s="1341"/>
      <c r="J284" s="1341"/>
      <c r="K284" s="1341"/>
      <c r="L284" s="1362">
        <f t="shared" si="483"/>
        <v>934.28</v>
      </c>
      <c r="M284" s="1337"/>
      <c r="N284" s="1359">
        <f t="shared" si="484"/>
        <v>934.28</v>
      </c>
      <c r="O284" s="1359">
        <f t="shared" si="485"/>
        <v>0</v>
      </c>
      <c r="P284" s="1359">
        <f t="shared" si="486"/>
        <v>0</v>
      </c>
      <c r="Q284" s="1359">
        <f t="shared" si="487"/>
        <v>934.28</v>
      </c>
      <c r="R284" s="1359"/>
      <c r="S284" s="1359"/>
      <c r="T284" s="1359"/>
      <c r="U284" s="1359"/>
      <c r="V284" s="1681">
        <f t="shared" si="488"/>
        <v>0</v>
      </c>
      <c r="W284" s="1333"/>
      <c r="X284" s="1681">
        <f t="shared" si="489"/>
        <v>934.28</v>
      </c>
      <c r="Y284" s="1681">
        <f t="shared" si="490"/>
        <v>0</v>
      </c>
      <c r="Z284" s="1681">
        <f t="shared" si="491"/>
        <v>0</v>
      </c>
      <c r="AA284" s="1681">
        <f t="shared" si="492"/>
        <v>934.28</v>
      </c>
      <c r="AB284" s="1362">
        <f>($X284+$Z284)*'2183-2184-2185 Ratios'!C$35</f>
        <v>844.30313337350015</v>
      </c>
      <c r="AC284" s="1362">
        <f>($X284+$Z284)*'2183-2184-2185 Ratios'!D$35</f>
        <v>32.453281523899705</v>
      </c>
      <c r="AD284" s="1362">
        <f>($X284+$Z284)*'2183-2184-2185 Ratios'!E$35</f>
        <v>8.4946490821125753</v>
      </c>
      <c r="AE284" s="1362">
        <f>($X284+$Z284)*'2183-2184-2185 Ratios'!F$35</f>
        <v>27.499170167615986</v>
      </c>
      <c r="AF284" s="1362">
        <f t="shared" si="502"/>
        <v>0</v>
      </c>
      <c r="AG284" s="1362">
        <f>($X284+$Z284)*'2183-2184-2185 Ratios'!H$35</f>
        <v>21.529765852871588</v>
      </c>
      <c r="AH284" s="1336" t="s">
        <v>912</v>
      </c>
      <c r="AI284" s="1363">
        <f t="shared" si="495"/>
        <v>0</v>
      </c>
    </row>
    <row r="285" spans="1:36">
      <c r="A285" s="1683">
        <v>70231</v>
      </c>
      <c r="B285" s="1336" t="s">
        <v>141</v>
      </c>
      <c r="C285" s="1341">
        <f>+IFERROR(VLOOKUP(A285,'2183 IS 2018'!$D:$AH,31,FALSE),0)</f>
        <v>-12.98</v>
      </c>
      <c r="D285" s="1354">
        <f>+IFERROR(VLOOKUP(A285,'2184 IS 2018'!$D:$AH,31,FALSE),0)</f>
        <v>0</v>
      </c>
      <c r="E285" s="1354">
        <f>+IFERROR(VLOOKUP(A285,'2185 IS 2018'!$D:$AH,31,FALSE),0)</f>
        <v>0</v>
      </c>
      <c r="F285" s="1342">
        <f t="shared" si="482"/>
        <v>-12.98</v>
      </c>
      <c r="G285" s="1343"/>
      <c r="H285" s="1341"/>
      <c r="I285" s="1341"/>
      <c r="J285" s="1341"/>
      <c r="K285" s="1341"/>
      <c r="L285" s="1362">
        <f t="shared" si="483"/>
        <v>-12.98</v>
      </c>
      <c r="M285" s="1337"/>
      <c r="N285" s="1359">
        <f t="shared" si="484"/>
        <v>-12.98</v>
      </c>
      <c r="O285" s="1359">
        <f t="shared" si="485"/>
        <v>0</v>
      </c>
      <c r="P285" s="1359">
        <f t="shared" si="486"/>
        <v>0</v>
      </c>
      <c r="Q285" s="1359">
        <f t="shared" si="487"/>
        <v>-12.98</v>
      </c>
      <c r="R285" s="1359"/>
      <c r="S285" s="1359"/>
      <c r="T285" s="1359"/>
      <c r="U285" s="1359"/>
      <c r="V285" s="1681">
        <f t="shared" si="488"/>
        <v>0</v>
      </c>
      <c r="W285" s="1333"/>
      <c r="X285" s="1681">
        <f t="shared" si="489"/>
        <v>-12.98</v>
      </c>
      <c r="Y285" s="1681">
        <f t="shared" si="490"/>
        <v>0</v>
      </c>
      <c r="Z285" s="1681">
        <f t="shared" si="491"/>
        <v>0</v>
      </c>
      <c r="AA285" s="1681">
        <f t="shared" si="492"/>
        <v>-12.98</v>
      </c>
      <c r="AB285" s="1341">
        <f>$X285*'2183-2184-2185 Ratios'!C$21</f>
        <v>-12.006630358663394</v>
      </c>
      <c r="AC285" s="1341">
        <f>$X285*'2183-2184-2185 Ratios'!D$21</f>
        <v>-0.46151025595060757</v>
      </c>
      <c r="AD285" s="1341">
        <f>$X285*'2183-2184-2185 Ratios'!E$21</f>
        <v>-0.12080034708383112</v>
      </c>
      <c r="AE285" s="1341">
        <f>$X285*'2183-2184-2185 Ratios'!F$21</f>
        <v>-0.39105903830216887</v>
      </c>
      <c r="AF285" s="1341">
        <f t="shared" ref="AF285" si="503">+Y285</f>
        <v>0</v>
      </c>
      <c r="AG285" s="1341">
        <f t="shared" ref="AG285" si="504">+Z285</f>
        <v>0</v>
      </c>
      <c r="AH285" s="1379" t="s">
        <v>352</v>
      </c>
      <c r="AI285" s="1363">
        <f t="shared" si="495"/>
        <v>0</v>
      </c>
    </row>
    <row r="286" spans="1:36">
      <c r="A286" s="1683">
        <v>70255</v>
      </c>
      <c r="B286" s="1336" t="s">
        <v>143</v>
      </c>
      <c r="C286" s="1341">
        <f>+IFERROR(VLOOKUP(A286,'2183 IS 2018'!$D:$AH,31,FALSE),0)</f>
        <v>5347.12</v>
      </c>
      <c r="D286" s="1354">
        <f>+IFERROR(VLOOKUP(A286,'2184 IS 2018'!$D:$AH,31,FALSE),0)</f>
        <v>0.01</v>
      </c>
      <c r="E286" s="1354">
        <f>+IFERROR(VLOOKUP(A286,'2185 IS 2018'!$D:$AH,31,FALSE),0)</f>
        <v>74.81</v>
      </c>
      <c r="F286" s="1342">
        <f t="shared" si="482"/>
        <v>5421.9400000000005</v>
      </c>
      <c r="G286" s="1343"/>
      <c r="H286" s="1341"/>
      <c r="I286" s="1341"/>
      <c r="J286" s="1341"/>
      <c r="K286" s="1369"/>
      <c r="L286" s="1362">
        <f t="shared" si="483"/>
        <v>5421.9400000000005</v>
      </c>
      <c r="M286" s="1337"/>
      <c r="N286" s="1359">
        <f t="shared" si="484"/>
        <v>5347.12</v>
      </c>
      <c r="O286" s="1359">
        <f t="shared" si="485"/>
        <v>0.01</v>
      </c>
      <c r="P286" s="1359">
        <f t="shared" si="486"/>
        <v>74.81</v>
      </c>
      <c r="Q286" s="1359">
        <f t="shared" si="487"/>
        <v>5421.9400000000005</v>
      </c>
      <c r="R286" s="1359"/>
      <c r="S286" s="1359"/>
      <c r="T286" s="1359"/>
      <c r="U286" s="1359"/>
      <c r="V286" s="1681">
        <f t="shared" si="488"/>
        <v>0</v>
      </c>
      <c r="W286" s="1333"/>
      <c r="X286" s="1681">
        <f t="shared" si="489"/>
        <v>5347.12</v>
      </c>
      <c r="Y286" s="1681">
        <f t="shared" si="490"/>
        <v>0.01</v>
      </c>
      <c r="Z286" s="1681">
        <f t="shared" si="491"/>
        <v>74.81</v>
      </c>
      <c r="AA286" s="1681">
        <f t="shared" si="492"/>
        <v>5421.9400000000005</v>
      </c>
      <c r="AB286" s="1341">
        <f>+X286</f>
        <v>5347.12</v>
      </c>
      <c r="AC286" s="1341"/>
      <c r="AD286" s="1341"/>
      <c r="AE286" s="1341">
        <v>0</v>
      </c>
      <c r="AF286" s="1341">
        <f t="shared" ref="AF286:AG287" si="505">+Y286</f>
        <v>0.01</v>
      </c>
      <c r="AG286" s="1341">
        <f t="shared" si="505"/>
        <v>74.81</v>
      </c>
      <c r="AH286" s="1336" t="s">
        <v>348</v>
      </c>
      <c r="AI286" s="1363">
        <f t="shared" si="495"/>
        <v>0</v>
      </c>
    </row>
    <row r="287" spans="1:36">
      <c r="A287" s="1683">
        <v>70330</v>
      </c>
      <c r="B287" s="1336" t="s">
        <v>1908</v>
      </c>
      <c r="C287" s="1341">
        <f>+IFERROR(VLOOKUP(A287,'2183 IS 2018'!$D:$AH,31,FALSE),0)</f>
        <v>8180.23</v>
      </c>
      <c r="D287" s="1354">
        <f>+IFERROR(VLOOKUP(A287,'2184 IS 2018'!$D:$AH,31,FALSE),0)</f>
        <v>2230.9700000000003</v>
      </c>
      <c r="E287" s="1354">
        <f>+IFERROR(VLOOKUP(A287,'2185 IS 2018'!$D:$AH,31,FALSE),0)</f>
        <v>1735.1999999999998</v>
      </c>
      <c r="F287" s="1342">
        <f t="shared" si="482"/>
        <v>12146.400000000001</v>
      </c>
      <c r="G287" s="1343"/>
      <c r="H287" s="1341"/>
      <c r="I287" s="1341"/>
      <c r="J287" s="1341"/>
      <c r="K287" s="1341"/>
      <c r="L287" s="1362">
        <f t="shared" si="483"/>
        <v>12146.400000000001</v>
      </c>
      <c r="M287" s="1337"/>
      <c r="N287" s="1359">
        <f t="shared" si="484"/>
        <v>8180.23</v>
      </c>
      <c r="O287" s="1359">
        <f t="shared" si="485"/>
        <v>2230.9700000000003</v>
      </c>
      <c r="P287" s="1359">
        <f t="shared" si="486"/>
        <v>1735.1999999999998</v>
      </c>
      <c r="Q287" s="1359">
        <f t="shared" si="487"/>
        <v>12146.400000000001</v>
      </c>
      <c r="R287" s="1359"/>
      <c r="S287" s="1359"/>
      <c r="T287" s="1359"/>
      <c r="U287" s="1359"/>
      <c r="V287" s="1681">
        <f t="shared" si="488"/>
        <v>0</v>
      </c>
      <c r="W287" s="1333"/>
      <c r="X287" s="1681">
        <f t="shared" si="489"/>
        <v>8180.23</v>
      </c>
      <c r="Y287" s="1681">
        <f t="shared" si="490"/>
        <v>2230.9700000000003</v>
      </c>
      <c r="Z287" s="1681">
        <f t="shared" si="491"/>
        <v>1735.1999999999998</v>
      </c>
      <c r="AA287" s="1681">
        <f t="shared" si="492"/>
        <v>12146.400000000001</v>
      </c>
      <c r="AB287" s="1362">
        <f>$X287*'2183-2184-2185 Ratios'!C$60</f>
        <v>6226.1206277927604</v>
      </c>
      <c r="AC287" s="1362">
        <f>$X287*'2183-2184-2185 Ratios'!D$60</f>
        <v>317.19710469607782</v>
      </c>
      <c r="AD287" s="1362">
        <f>$X287*'2183-2184-2185 Ratios'!E$60</f>
        <v>70.18081191563661</v>
      </c>
      <c r="AE287" s="1362">
        <f>$X287*'2183-2184-2185 Ratios'!F$60</f>
        <v>1566.731455595524</v>
      </c>
      <c r="AF287" s="1341">
        <f t="shared" si="505"/>
        <v>2230.9700000000003</v>
      </c>
      <c r="AG287" s="1341">
        <f t="shared" si="505"/>
        <v>1735.1999999999998</v>
      </c>
      <c r="AH287" s="1336" t="s">
        <v>350</v>
      </c>
      <c r="AI287" s="1363">
        <f t="shared" si="495"/>
        <v>0</v>
      </c>
    </row>
    <row r="288" spans="1:36">
      <c r="A288" s="1683">
        <v>70335</v>
      </c>
      <c r="B288" s="1336" t="s">
        <v>43</v>
      </c>
      <c r="C288" s="1341">
        <f>+IFERROR(VLOOKUP(A288,'2183 IS 2018'!$D:$AH,31,FALSE),0)</f>
        <v>327.29000000000002</v>
      </c>
      <c r="D288" s="1354">
        <f>+IFERROR(VLOOKUP(A288,'2184 IS 2018'!$D:$AH,31,FALSE),0)</f>
        <v>0.62</v>
      </c>
      <c r="E288" s="1354">
        <f>+IFERROR(VLOOKUP(A288,'2185 IS 2018'!$D:$AH,31,FALSE),0)</f>
        <v>0.01</v>
      </c>
      <c r="F288" s="1342">
        <f t="shared" si="482"/>
        <v>327.92</v>
      </c>
      <c r="G288" s="1343"/>
      <c r="H288" s="1341"/>
      <c r="I288" s="1341"/>
      <c r="J288" s="1341"/>
      <c r="K288" s="1341"/>
      <c r="L288" s="1362">
        <f t="shared" si="483"/>
        <v>327.92</v>
      </c>
      <c r="M288" s="1337"/>
      <c r="N288" s="1359">
        <f t="shared" si="484"/>
        <v>327.29000000000002</v>
      </c>
      <c r="O288" s="1359">
        <f t="shared" si="485"/>
        <v>0.62</v>
      </c>
      <c r="P288" s="1359">
        <f t="shared" si="486"/>
        <v>0.01</v>
      </c>
      <c r="Q288" s="1359">
        <f t="shared" si="487"/>
        <v>327.92</v>
      </c>
      <c r="R288" s="1359"/>
      <c r="S288" s="1359"/>
      <c r="T288" s="1359"/>
      <c r="U288" s="1359"/>
      <c r="V288" s="1681">
        <f t="shared" si="488"/>
        <v>0</v>
      </c>
      <c r="W288" s="1333"/>
      <c r="X288" s="1681">
        <f t="shared" si="489"/>
        <v>327.29000000000002</v>
      </c>
      <c r="Y288" s="1681">
        <f t="shared" si="490"/>
        <v>0.62</v>
      </c>
      <c r="Z288" s="1681">
        <f t="shared" si="491"/>
        <v>0.01</v>
      </c>
      <c r="AA288" s="1681">
        <f t="shared" si="492"/>
        <v>327.92</v>
      </c>
      <c r="AB288" s="1341">
        <f>$X288*'2183-2184-2185 Ratios'!C$21</f>
        <v>302.74653698666737</v>
      </c>
      <c r="AC288" s="1341">
        <f>$X288*'2183-2184-2185 Ratios'!D$21</f>
        <v>11.6369562149518</v>
      </c>
      <c r="AD288" s="1341">
        <f>$X288*'2183-2184-2185 Ratios'!E$21</f>
        <v>3.0459742370621794</v>
      </c>
      <c r="AE288" s="1341">
        <f>$X288*'2183-2184-2185 Ratios'!F$21</f>
        <v>9.8605325613187098</v>
      </c>
      <c r="AF288" s="1341">
        <f>+Y288</f>
        <v>0.62</v>
      </c>
      <c r="AG288" s="1341">
        <f>+Z288</f>
        <v>0.01</v>
      </c>
      <c r="AH288" s="1379" t="s">
        <v>352</v>
      </c>
      <c r="AI288" s="1363">
        <f t="shared" si="495"/>
        <v>0</v>
      </c>
    </row>
    <row r="289" spans="1:35">
      <c r="A289" s="1683">
        <v>70336</v>
      </c>
      <c r="B289" s="1336" t="s">
        <v>145</v>
      </c>
      <c r="C289" s="1341">
        <f>+IFERROR(VLOOKUP(A289,'2183 IS 2018'!$D:$AH,31,FALSE),0)</f>
        <v>-0.2</v>
      </c>
      <c r="D289" s="1354">
        <f>+IFERROR(VLOOKUP(A289,'2184 IS 2018'!$D:$AH,31,FALSE),0)</f>
        <v>0</v>
      </c>
      <c r="E289" s="1354">
        <f>+IFERROR(VLOOKUP(A289,'2185 IS 2018'!$D:$AH,31,FALSE),0)</f>
        <v>0</v>
      </c>
      <c r="F289" s="1342">
        <f t="shared" si="482"/>
        <v>-0.2</v>
      </c>
      <c r="G289" s="1343"/>
      <c r="H289" s="1341"/>
      <c r="I289" s="1341"/>
      <c r="J289" s="1341"/>
      <c r="K289" s="1341"/>
      <c r="L289" s="1362">
        <f t="shared" si="483"/>
        <v>-0.2</v>
      </c>
      <c r="M289" s="1337"/>
      <c r="N289" s="1359">
        <f t="shared" si="484"/>
        <v>-0.2</v>
      </c>
      <c r="O289" s="1359">
        <f t="shared" si="485"/>
        <v>0</v>
      </c>
      <c r="P289" s="1359">
        <f t="shared" si="486"/>
        <v>0</v>
      </c>
      <c r="Q289" s="1359">
        <f t="shared" si="487"/>
        <v>-0.2</v>
      </c>
      <c r="R289" s="1359"/>
      <c r="S289" s="1359"/>
      <c r="T289" s="1359"/>
      <c r="U289" s="1359"/>
      <c r="V289" s="1681">
        <f t="shared" si="488"/>
        <v>0</v>
      </c>
      <c r="W289" s="1333"/>
      <c r="X289" s="1681">
        <f t="shared" si="489"/>
        <v>-0.2</v>
      </c>
      <c r="Y289" s="1681">
        <f t="shared" si="490"/>
        <v>0</v>
      </c>
      <c r="Z289" s="1681">
        <f t="shared" si="491"/>
        <v>0</v>
      </c>
      <c r="AA289" s="1681">
        <f t="shared" si="492"/>
        <v>-0.2</v>
      </c>
      <c r="AB289" s="1362">
        <f>$X289*'2183-2184-2185 Ratios'!C$60</f>
        <v>-0.15222360808419227</v>
      </c>
      <c r="AC289" s="1362">
        <f>$X289*'2183-2184-2185 Ratios'!D$60</f>
        <v>-7.7552123765732214E-3</v>
      </c>
      <c r="AD289" s="1362">
        <f>$X289*'2183-2184-2185 Ratios'!E$60</f>
        <v>-1.7158640262104272E-3</v>
      </c>
      <c r="AE289" s="1362">
        <f>$X289*'2183-2184-2185 Ratios'!F$60</f>
        <v>-3.8305315513024067E-2</v>
      </c>
      <c r="AF289" s="1341">
        <f t="shared" ref="AF289" si="506">+Y289</f>
        <v>0</v>
      </c>
      <c r="AG289" s="1341">
        <f t="shared" ref="AG289" si="507">+Z289</f>
        <v>0</v>
      </c>
      <c r="AH289" s="1336" t="s">
        <v>350</v>
      </c>
      <c r="AI289" s="1363">
        <f t="shared" si="495"/>
        <v>0</v>
      </c>
    </row>
    <row r="290" spans="1:35">
      <c r="A290" s="1683">
        <v>70357</v>
      </c>
      <c r="B290" s="1336" t="s">
        <v>146</v>
      </c>
      <c r="C290" s="1341">
        <f>+IFERROR(VLOOKUP(A290,'2183 IS 2018'!$D:$AH,31,FALSE),0)</f>
        <v>0</v>
      </c>
      <c r="D290" s="1354">
        <f>+IFERROR(VLOOKUP(A290,'2184 IS 2018'!$D:$AH,31,FALSE),0)</f>
        <v>0</v>
      </c>
      <c r="E290" s="1354">
        <f>+IFERROR(VLOOKUP(A290,'2185 IS 2018'!$D:$AH,31,FALSE),0)</f>
        <v>135</v>
      </c>
      <c r="F290" s="1342">
        <f t="shared" si="482"/>
        <v>135</v>
      </c>
      <c r="G290" s="1343"/>
      <c r="H290" s="1341"/>
      <c r="I290" s="1341"/>
      <c r="J290" s="1341"/>
      <c r="K290" s="1341"/>
      <c r="L290" s="1362">
        <f t="shared" si="483"/>
        <v>135</v>
      </c>
      <c r="M290" s="1337"/>
      <c r="N290" s="1359">
        <f t="shared" si="484"/>
        <v>0</v>
      </c>
      <c r="O290" s="1359">
        <f t="shared" si="485"/>
        <v>0</v>
      </c>
      <c r="P290" s="1359">
        <f t="shared" si="486"/>
        <v>135</v>
      </c>
      <c r="Q290" s="1359">
        <f t="shared" si="487"/>
        <v>135</v>
      </c>
      <c r="R290" s="1359"/>
      <c r="S290" s="1359"/>
      <c r="T290" s="1359"/>
      <c r="U290" s="1359"/>
      <c r="V290" s="1681">
        <f t="shared" si="488"/>
        <v>0</v>
      </c>
      <c r="W290" s="1333"/>
      <c r="X290" s="1681">
        <f t="shared" si="489"/>
        <v>0</v>
      </c>
      <c r="Y290" s="1681">
        <f t="shared" si="490"/>
        <v>0</v>
      </c>
      <c r="Z290" s="1681">
        <f t="shared" si="491"/>
        <v>135</v>
      </c>
      <c r="AA290" s="1681">
        <f t="shared" si="492"/>
        <v>135</v>
      </c>
      <c r="AB290" s="1341">
        <f>+X290</f>
        <v>0</v>
      </c>
      <c r="AC290" s="1341">
        <v>0</v>
      </c>
      <c r="AD290" s="1341">
        <v>0</v>
      </c>
      <c r="AE290" s="1341">
        <v>0</v>
      </c>
      <c r="AF290" s="1341">
        <f>+Y290</f>
        <v>0</v>
      </c>
      <c r="AG290" s="1341">
        <f>+Z290</f>
        <v>135</v>
      </c>
      <c r="AH290" s="1336" t="s">
        <v>348</v>
      </c>
      <c r="AI290" s="1363">
        <f t="shared" si="495"/>
        <v>0</v>
      </c>
    </row>
    <row r="291" spans="1:35">
      <c r="A291" s="1683"/>
      <c r="B291" s="1336"/>
      <c r="C291" s="1354"/>
      <c r="D291" s="1354"/>
      <c r="E291" s="1354"/>
      <c r="F291" s="1342"/>
      <c r="G291" s="1343"/>
      <c r="H291" s="1341"/>
      <c r="I291" s="1341"/>
      <c r="J291" s="1341"/>
      <c r="K291" s="1341"/>
      <c r="L291" s="1362"/>
      <c r="M291" s="1336"/>
      <c r="N291" s="1359"/>
      <c r="O291" s="1359"/>
      <c r="P291" s="1359"/>
      <c r="Q291" s="1359"/>
      <c r="R291" s="1359"/>
      <c r="S291" s="1359"/>
      <c r="T291" s="1359"/>
      <c r="U291" s="1359"/>
      <c r="V291" s="1364"/>
      <c r="W291" s="1364"/>
      <c r="X291" s="1364"/>
      <c r="Y291" s="1364"/>
      <c r="Z291" s="1364"/>
      <c r="AA291" s="1364"/>
      <c r="AB291" s="1341"/>
      <c r="AC291" s="1341"/>
      <c r="AD291" s="1341"/>
      <c r="AE291" s="1341"/>
      <c r="AF291" s="1341"/>
      <c r="AG291" s="1341"/>
      <c r="AH291" s="1336"/>
      <c r="AI291" s="1363"/>
    </row>
    <row r="292" spans="1:35">
      <c r="A292" s="1685">
        <v>46900</v>
      </c>
      <c r="B292" s="1386" t="s">
        <v>148</v>
      </c>
      <c r="C292" s="1366">
        <f t="shared" ref="C292:J292" si="508">SUM(C268:C291)</f>
        <v>289739.71999999997</v>
      </c>
      <c r="D292" s="1366">
        <f t="shared" si="508"/>
        <v>11328.900000000003</v>
      </c>
      <c r="E292" s="1366">
        <f t="shared" si="508"/>
        <v>34648.149999999994</v>
      </c>
      <c r="F292" s="1366">
        <f t="shared" si="508"/>
        <v>335716.77000000008</v>
      </c>
      <c r="G292" s="1366">
        <f t="shared" si="508"/>
        <v>0</v>
      </c>
      <c r="H292" s="1366">
        <f t="shared" si="508"/>
        <v>-47465.887541391749</v>
      </c>
      <c r="I292" s="1366">
        <f t="shared" si="508"/>
        <v>0</v>
      </c>
      <c r="J292" s="1366">
        <f t="shared" si="508"/>
        <v>0</v>
      </c>
      <c r="K292" s="1367"/>
      <c r="L292" s="1366">
        <f>SUM(L268:L291)</f>
        <v>288250.88245860831</v>
      </c>
      <c r="M292" s="1366"/>
      <c r="N292" s="1366">
        <f>SUM(N268:N291)</f>
        <v>242273.83245860829</v>
      </c>
      <c r="O292" s="1366">
        <f>SUM(O268:O291)</f>
        <v>11328.900000000003</v>
      </c>
      <c r="P292" s="1366">
        <f>SUM(P268:P291)</f>
        <v>34648.149999999994</v>
      </c>
      <c r="Q292" s="1366">
        <f>SUM(Q268:Q291)</f>
        <v>288250.88245860831</v>
      </c>
      <c r="R292" s="1366"/>
      <c r="S292" s="1366">
        <f>SUM(S268:S291)</f>
        <v>0</v>
      </c>
      <c r="T292" s="1366">
        <f>SUM(T268:T291)</f>
        <v>0</v>
      </c>
      <c r="U292" s="1366">
        <f>SUM(U268:U291)</f>
        <v>0</v>
      </c>
      <c r="V292" s="1366">
        <f>SUM(V268:V291)</f>
        <v>0</v>
      </c>
      <c r="W292" s="1366"/>
      <c r="X292" s="1366">
        <f t="shared" ref="X292:AI292" si="509">SUM(X268:X291)</f>
        <v>242273.83245860829</v>
      </c>
      <c r="Y292" s="1366">
        <f t="shared" si="509"/>
        <v>11328.900000000003</v>
      </c>
      <c r="Z292" s="1366">
        <f t="shared" si="509"/>
        <v>34648.149999999994</v>
      </c>
      <c r="AA292" s="1366">
        <f t="shared" si="509"/>
        <v>288250.88245860831</v>
      </c>
      <c r="AB292" s="1366">
        <f t="shared" si="509"/>
        <v>218203.98200244427</v>
      </c>
      <c r="AC292" s="1366">
        <f t="shared" si="509"/>
        <v>9066.1811936424965</v>
      </c>
      <c r="AD292" s="1366">
        <f t="shared" si="509"/>
        <v>2227.1962991809223</v>
      </c>
      <c r="AE292" s="1366">
        <f t="shared" si="509"/>
        <v>23002.106516365726</v>
      </c>
      <c r="AF292" s="1366">
        <f t="shared" si="509"/>
        <v>11328.900000000003</v>
      </c>
      <c r="AG292" s="1366">
        <f t="shared" si="509"/>
        <v>24422.516446974845</v>
      </c>
      <c r="AH292" s="1366">
        <f t="shared" si="509"/>
        <v>0</v>
      </c>
      <c r="AI292" s="1366">
        <f t="shared" si="509"/>
        <v>0</v>
      </c>
    </row>
    <row r="293" spans="1:35">
      <c r="A293" s="1331"/>
      <c r="B293" s="1336"/>
      <c r="C293" s="1354"/>
      <c r="D293" s="1333"/>
      <c r="E293" s="1342"/>
      <c r="F293" s="1342"/>
      <c r="G293" s="1336"/>
      <c r="H293" s="1341"/>
      <c r="I293" s="1341"/>
      <c r="J293" s="1341"/>
      <c r="K293" s="1341"/>
      <c r="L293" s="1341"/>
      <c r="M293" s="1336"/>
      <c r="N293" s="1342"/>
      <c r="O293" s="1336"/>
      <c r="P293" s="1336"/>
      <c r="Q293" s="1336"/>
      <c r="R293" s="1336"/>
      <c r="S293" s="1336"/>
      <c r="T293" s="1336"/>
      <c r="U293" s="1336"/>
      <c r="V293" s="1364"/>
      <c r="W293" s="1364"/>
      <c r="X293" s="1364"/>
      <c r="Y293" s="1364"/>
      <c r="Z293" s="1364"/>
      <c r="AA293" s="1364"/>
      <c r="AB293" s="1341"/>
      <c r="AC293" s="1341"/>
      <c r="AD293" s="1341"/>
      <c r="AE293" s="1341"/>
      <c r="AF293" s="1341"/>
      <c r="AG293" s="1341"/>
      <c r="AH293" s="1336"/>
      <c r="AI293" s="1363">
        <f t="shared" ref="AI293:AI300" si="510">SUM(AB293:AG293)-AA293</f>
        <v>0</v>
      </c>
    </row>
    <row r="294" spans="1:35">
      <c r="A294" s="1331"/>
      <c r="B294" s="1336"/>
      <c r="C294" s="1354"/>
      <c r="D294" s="1333"/>
      <c r="E294" s="1342"/>
      <c r="F294" s="1342"/>
      <c r="G294" s="1336"/>
      <c r="H294" s="1341"/>
      <c r="I294" s="1341"/>
      <c r="J294" s="1341"/>
      <c r="K294" s="1341"/>
      <c r="L294" s="1341"/>
      <c r="M294" s="1336"/>
      <c r="N294" s="1342"/>
      <c r="O294" s="1336"/>
      <c r="P294" s="1336"/>
      <c r="Q294" s="1336"/>
      <c r="R294" s="1336"/>
      <c r="S294" s="1336"/>
      <c r="T294" s="1336"/>
      <c r="U294" s="1336"/>
      <c r="V294" s="1364"/>
      <c r="W294" s="1364"/>
      <c r="X294" s="1364"/>
      <c r="Y294" s="1364"/>
      <c r="Z294" s="1364"/>
      <c r="AA294" s="1364"/>
      <c r="AB294" s="1341"/>
      <c r="AC294" s="1341"/>
      <c r="AD294" s="1341"/>
      <c r="AE294" s="1341"/>
      <c r="AF294" s="1341"/>
      <c r="AG294" s="1341"/>
      <c r="AH294" s="1336"/>
      <c r="AI294" s="1363"/>
    </row>
    <row r="295" spans="1:35">
      <c r="A295" s="1331">
        <v>51260</v>
      </c>
      <c r="B295" s="1336" t="s">
        <v>149</v>
      </c>
      <c r="C295" s="1341">
        <f>+IFERROR(VLOOKUP(A295,'2183 IS 2018'!$D:$AH,31,FALSE),0)</f>
        <v>1088045.23</v>
      </c>
      <c r="D295" s="1354">
        <f>+IFERROR(VLOOKUP(A295,'2184 IS 2018'!$D:$AH,31,FALSE),0)</f>
        <v>112376.77000000002</v>
      </c>
      <c r="E295" s="1354">
        <f>+IFERROR(VLOOKUP(A295,'2185 IS 2018'!$D:$AH,31,FALSE),0)</f>
        <v>257796.47999999998</v>
      </c>
      <c r="F295" s="1342">
        <f t="shared" ref="F295:F304" si="511">SUM(C295:E295)</f>
        <v>1458218.48</v>
      </c>
      <c r="G295" s="1343"/>
      <c r="H295" s="1341">
        <f>+'Restating Adj''s'!V44</f>
        <v>799534.72365555563</v>
      </c>
      <c r="I295" s="1341"/>
      <c r="J295" s="1341"/>
      <c r="K295" s="1369" t="s">
        <v>574</v>
      </c>
      <c r="L295" s="1362">
        <f t="shared" ref="L295:L304" si="512">F295+H295+I295+J295</f>
        <v>2257753.2036555558</v>
      </c>
      <c r="M295" s="1337"/>
      <c r="N295" s="1359">
        <f t="shared" ref="N295:N304" si="513">C295+H295</f>
        <v>1887579.9536555556</v>
      </c>
      <c r="O295" s="1359">
        <f t="shared" ref="O295:O304" si="514">D295+I295</f>
        <v>112376.77000000002</v>
      </c>
      <c r="P295" s="1359">
        <f t="shared" ref="P295:P304" si="515">E295+J295</f>
        <v>257796.47999999998</v>
      </c>
      <c r="Q295" s="1359">
        <f t="shared" ref="Q295:Q304" si="516">SUM(N295:P295)</f>
        <v>2257753.2036555558</v>
      </c>
      <c r="R295" s="1359"/>
      <c r="S295" s="1359"/>
      <c r="T295" s="1359"/>
      <c r="U295" s="1359"/>
      <c r="V295" s="1681">
        <f t="shared" ref="V295:V304" si="517">+SUM(S295:U295)</f>
        <v>0</v>
      </c>
      <c r="W295" s="1333"/>
      <c r="X295" s="1681">
        <f t="shared" ref="X295:X304" si="518">+S295+N295</f>
        <v>1887579.9536555556</v>
      </c>
      <c r="Y295" s="1681">
        <f t="shared" ref="Y295:Y304" si="519">+T295+O295</f>
        <v>112376.77000000002</v>
      </c>
      <c r="Z295" s="1681">
        <f t="shared" ref="Z295:Z304" si="520">+U295+P295</f>
        <v>257796.47999999998</v>
      </c>
      <c r="AA295" s="1681">
        <f t="shared" ref="AA295:AA304" si="521">+SUM(X295:Z295)</f>
        <v>2257753.2036555558</v>
      </c>
      <c r="AB295" s="1341">
        <f>+'2183-2184-2185 Ratios'!C80</f>
        <v>1591883.3548872806</v>
      </c>
      <c r="AC295" s="1341">
        <f>+'2183-2184-2185 Ratios'!D80</f>
        <v>86574.427361363472</v>
      </c>
      <c r="AD295" s="1341">
        <f>+'2183-2184-2185 Ratios'!E80</f>
        <v>18879.105832446312</v>
      </c>
      <c r="AE295" s="1341">
        <f>+'2183-2184-2185 Ratios'!F80</f>
        <v>190243.06557446509</v>
      </c>
      <c r="AF295" s="1341">
        <f>+Y295</f>
        <v>112376.77000000002</v>
      </c>
      <c r="AG295" s="1341">
        <f>P295</f>
        <v>257796.47999999998</v>
      </c>
      <c r="AH295" s="1336" t="s">
        <v>929</v>
      </c>
      <c r="AI295" s="1363">
        <f t="shared" si="510"/>
        <v>0</v>
      </c>
    </row>
    <row r="296" spans="1:35">
      <c r="A296" s="1331">
        <v>54260</v>
      </c>
      <c r="B296" s="1336" t="s">
        <v>150</v>
      </c>
      <c r="C296" s="1341">
        <f>+IFERROR(VLOOKUP(A296,'2183 IS 2018'!$D:$AH,31,FALSE),0)</f>
        <v>470654.28</v>
      </c>
      <c r="D296" s="1354">
        <f>+IFERROR(VLOOKUP(A296,'2184 IS 2018'!$D:$AH,31,FALSE),0)</f>
        <v>0</v>
      </c>
      <c r="E296" s="1354">
        <f>+IFERROR(VLOOKUP(A296,'2185 IS 2018'!$D:$AH,31,FALSE),0)</f>
        <v>46147.96</v>
      </c>
      <c r="F296" s="1342">
        <f t="shared" si="511"/>
        <v>516802.24000000005</v>
      </c>
      <c r="G296" s="1343"/>
      <c r="H296" s="1341">
        <f>+'Restating Adj''s'!V45</f>
        <v>89692.0875291673</v>
      </c>
      <c r="I296" s="1341"/>
      <c r="J296" s="1341"/>
      <c r="K296" s="1369" t="s">
        <v>574</v>
      </c>
      <c r="L296" s="1362">
        <f t="shared" si="512"/>
        <v>606494.32752916729</v>
      </c>
      <c r="M296" s="1337"/>
      <c r="N296" s="1359">
        <f t="shared" si="513"/>
        <v>560346.36752916733</v>
      </c>
      <c r="O296" s="1359">
        <f t="shared" si="514"/>
        <v>0</v>
      </c>
      <c r="P296" s="1359">
        <f t="shared" si="515"/>
        <v>46147.96</v>
      </c>
      <c r="Q296" s="1359">
        <f t="shared" si="516"/>
        <v>606494.32752916729</v>
      </c>
      <c r="R296" s="1359"/>
      <c r="S296" s="1359"/>
      <c r="T296" s="1359"/>
      <c r="U296" s="1359"/>
      <c r="V296" s="1681">
        <f t="shared" si="517"/>
        <v>0</v>
      </c>
      <c r="W296" s="1333"/>
      <c r="X296" s="1681">
        <f t="shared" si="518"/>
        <v>560346.36752916733</v>
      </c>
      <c r="Y296" s="1681">
        <f t="shared" si="519"/>
        <v>0</v>
      </c>
      <c r="Z296" s="1681">
        <f t="shared" si="520"/>
        <v>46147.96</v>
      </c>
      <c r="AA296" s="1681">
        <f t="shared" si="521"/>
        <v>606494.32752916729</v>
      </c>
      <c r="AB296" s="1341">
        <f>+'2183-2184-2185 Ratios'!C87</f>
        <v>496834.22709048731</v>
      </c>
      <c r="AC296" s="1341">
        <f>+'2183-2184-2185 Ratios'!D87</f>
        <v>19676.454019357061</v>
      </c>
      <c r="AD296" s="1341">
        <f>+'2183-2184-2185 Ratios'!E87</f>
        <v>5222.0771628731436</v>
      </c>
      <c r="AE296" s="1341">
        <f>+'2183-2184-2185 Ratios'!F87</f>
        <v>38613.609256449832</v>
      </c>
      <c r="AF296" s="1341">
        <f t="shared" ref="AF296:AF304" si="522">+Y296</f>
        <v>0</v>
      </c>
      <c r="AG296" s="1341">
        <f t="shared" ref="AG296:AG304" si="523">P296</f>
        <v>46147.96</v>
      </c>
      <c r="AH296" s="1336" t="s">
        <v>929</v>
      </c>
      <c r="AI296" s="1363">
        <f t="shared" si="510"/>
        <v>0</v>
      </c>
    </row>
    <row r="297" spans="1:35">
      <c r="A297" s="1331"/>
      <c r="B297" s="1336" t="s">
        <v>151</v>
      </c>
      <c r="C297" s="1341">
        <f>+IFERROR(VLOOKUP(A292,'2183 IS 2018'!$D:$AH,31,FALSE),0)</f>
        <v>0</v>
      </c>
      <c r="D297" s="1354">
        <f>+IFERROR(VLOOKUP(A297,'2184 IS 2018'!$D:$AH,31,FALSE),0)</f>
        <v>0</v>
      </c>
      <c r="E297" s="1354">
        <f>+IFERROR(VLOOKUP(A297,'2185 IS 2018'!$D:$AH,31,FALSE),0)</f>
        <v>0</v>
      </c>
      <c r="F297" s="1342">
        <f t="shared" si="511"/>
        <v>0</v>
      </c>
      <c r="G297" s="1343"/>
      <c r="H297" s="1341">
        <f>+'Restating Adj''s'!V46</f>
        <v>22408.812114145428</v>
      </c>
      <c r="I297" s="1341"/>
      <c r="J297" s="1341"/>
      <c r="K297" s="1369" t="s">
        <v>574</v>
      </c>
      <c r="L297" s="1362">
        <f t="shared" si="512"/>
        <v>22408.812114145428</v>
      </c>
      <c r="M297" s="1337"/>
      <c r="N297" s="1359">
        <f t="shared" si="513"/>
        <v>22408.812114145428</v>
      </c>
      <c r="O297" s="1359">
        <f t="shared" si="514"/>
        <v>0</v>
      </c>
      <c r="P297" s="1359">
        <f t="shared" si="515"/>
        <v>0</v>
      </c>
      <c r="Q297" s="1359">
        <f t="shared" si="516"/>
        <v>22408.812114145428</v>
      </c>
      <c r="R297" s="1359"/>
      <c r="S297" s="1359"/>
      <c r="T297" s="1359"/>
      <c r="U297" s="1359"/>
      <c r="V297" s="1681">
        <f t="shared" si="517"/>
        <v>0</v>
      </c>
      <c r="W297" s="1333"/>
      <c r="X297" s="1681">
        <f t="shared" si="518"/>
        <v>22408.812114145428</v>
      </c>
      <c r="Y297" s="1681">
        <f t="shared" si="519"/>
        <v>0</v>
      </c>
      <c r="Z297" s="1681">
        <f t="shared" si="520"/>
        <v>0</v>
      </c>
      <c r="AA297" s="1681">
        <f t="shared" si="521"/>
        <v>22408.812114145428</v>
      </c>
      <c r="AB297" s="1341">
        <f>+'2183-2184-2185 Ratios'!C89</f>
        <v>17055.751164479869</v>
      </c>
      <c r="AC297" s="1341">
        <f>+'2183-2184-2185 Ratios'!D89</f>
        <v>868.92548525962275</v>
      </c>
      <c r="AD297" s="1341">
        <f>+'2183-2184-2185 Ratios'!E89</f>
        <v>192.25237288385284</v>
      </c>
      <c r="AE297" s="1341">
        <f>+'2183-2184-2185 Ratios'!F89</f>
        <v>4291.8830915220815</v>
      </c>
      <c r="AF297" s="1341">
        <f t="shared" si="522"/>
        <v>0</v>
      </c>
      <c r="AG297" s="1341">
        <f t="shared" si="523"/>
        <v>0</v>
      </c>
      <c r="AH297" s="1336" t="s">
        <v>929</v>
      </c>
      <c r="AI297" s="1363">
        <f t="shared" si="510"/>
        <v>0</v>
      </c>
    </row>
    <row r="298" spans="1:35">
      <c r="A298" s="1331">
        <v>57260</v>
      </c>
      <c r="B298" s="1336" t="s">
        <v>152</v>
      </c>
      <c r="C298" s="1341">
        <f>+IFERROR(VLOOKUP(A298,'2183 IS 2018'!$D:$AH,31,FALSE),0)</f>
        <v>177519.85</v>
      </c>
      <c r="D298" s="1354">
        <f>+IFERROR(VLOOKUP(A298,'2184 IS 2018'!$D:$AH,31,FALSE),0)</f>
        <v>0</v>
      </c>
      <c r="E298" s="1354">
        <f>+IFERROR(VLOOKUP(A298,'2185 IS 2018'!$D:$AH,31,FALSE),0)</f>
        <v>300</v>
      </c>
      <c r="F298" s="1342">
        <f t="shared" si="511"/>
        <v>177819.85</v>
      </c>
      <c r="G298" s="1343"/>
      <c r="H298" s="1341">
        <f>+'Restating Adj''s'!V47</f>
        <v>-152540.79740011191</v>
      </c>
      <c r="I298" s="1341"/>
      <c r="J298" s="1341"/>
      <c r="K298" s="1369" t="s">
        <v>574</v>
      </c>
      <c r="L298" s="1362">
        <f t="shared" si="512"/>
        <v>25279.052599888091</v>
      </c>
      <c r="M298" s="1337"/>
      <c r="N298" s="1359">
        <f t="shared" si="513"/>
        <v>24979.052599888091</v>
      </c>
      <c r="O298" s="1359">
        <f t="shared" si="514"/>
        <v>0</v>
      </c>
      <c r="P298" s="1359">
        <f t="shared" si="515"/>
        <v>300</v>
      </c>
      <c r="Q298" s="1359">
        <f t="shared" si="516"/>
        <v>25279.052599888091</v>
      </c>
      <c r="R298" s="1359"/>
      <c r="S298" s="1359"/>
      <c r="T298" s="1359"/>
      <c r="U298" s="1359"/>
      <c r="V298" s="1681">
        <f t="shared" si="517"/>
        <v>0</v>
      </c>
      <c r="W298" s="1333"/>
      <c r="X298" s="1681">
        <f t="shared" si="518"/>
        <v>24979.052599888091</v>
      </c>
      <c r="Y298" s="1681">
        <f t="shared" si="519"/>
        <v>0</v>
      </c>
      <c r="Z298" s="1681">
        <f t="shared" si="520"/>
        <v>300</v>
      </c>
      <c r="AA298" s="1681">
        <f t="shared" si="521"/>
        <v>25279.052599888091</v>
      </c>
      <c r="AB298" s="1341">
        <f>+'2183-2184-2185 Ratios'!C90</f>
        <v>19012.007566398941</v>
      </c>
      <c r="AC298" s="1341">
        <f>+'2183-2184-2185 Ratios'!D90</f>
        <v>968.589289388628</v>
      </c>
      <c r="AD298" s="1341">
        <f>+'2183-2184-2185 Ratios'!E90</f>
        <v>214.30328882483008</v>
      </c>
      <c r="AE298" s="1341">
        <f>+'2183-2184-2185 Ratios'!F90</f>
        <v>4784.1524552756855</v>
      </c>
      <c r="AF298" s="1341">
        <f t="shared" si="522"/>
        <v>0</v>
      </c>
      <c r="AG298" s="1341">
        <f t="shared" si="523"/>
        <v>300</v>
      </c>
      <c r="AH298" s="1336" t="s">
        <v>929</v>
      </c>
      <c r="AI298" s="1363">
        <f t="shared" si="510"/>
        <v>0</v>
      </c>
    </row>
    <row r="299" spans="1:35">
      <c r="A299" s="1331">
        <v>70260</v>
      </c>
      <c r="B299" s="1336" t="s">
        <v>153</v>
      </c>
      <c r="C299" s="1341">
        <f>+IFERROR(VLOOKUP(A299,'2183 IS 2018'!$D:$AH,31,FALSE),0)</f>
        <v>3253.25</v>
      </c>
      <c r="D299" s="1354">
        <f>+IFERROR(VLOOKUP(A299,'2184 IS 2018'!$D:$AH,31,FALSE),0)</f>
        <v>11966.189999999999</v>
      </c>
      <c r="E299" s="1354">
        <f>+IFERROR(VLOOKUP(A299,'2185 IS 2018'!$D:$AH,31,FALSE),0)</f>
        <v>1134.3500000000001</v>
      </c>
      <c r="F299" s="1342">
        <f t="shared" si="511"/>
        <v>16353.789999999999</v>
      </c>
      <c r="G299" s="1343"/>
      <c r="H299" s="1341">
        <f>+'Restating Adj''s'!V48</f>
        <v>-1463.0167423993776</v>
      </c>
      <c r="I299" s="1341"/>
      <c r="J299" s="1341"/>
      <c r="K299" s="1369" t="s">
        <v>574</v>
      </c>
      <c r="L299" s="1362">
        <f t="shared" si="512"/>
        <v>14890.773257600622</v>
      </c>
      <c r="M299" s="1337"/>
      <c r="N299" s="1359">
        <f t="shared" si="513"/>
        <v>1790.2332576006224</v>
      </c>
      <c r="O299" s="1359">
        <f t="shared" si="514"/>
        <v>11966.189999999999</v>
      </c>
      <c r="P299" s="1359">
        <f t="shared" si="515"/>
        <v>1134.3500000000001</v>
      </c>
      <c r="Q299" s="1359">
        <f t="shared" si="516"/>
        <v>14890.773257600622</v>
      </c>
      <c r="R299" s="1359"/>
      <c r="S299" s="1359"/>
      <c r="T299" s="1359"/>
      <c r="U299" s="1359"/>
      <c r="V299" s="1681">
        <f t="shared" si="517"/>
        <v>0</v>
      </c>
      <c r="W299" s="1333"/>
      <c r="X299" s="1681">
        <f t="shared" si="518"/>
        <v>1790.2332576006224</v>
      </c>
      <c r="Y299" s="1681">
        <f t="shared" si="519"/>
        <v>11966.189999999999</v>
      </c>
      <c r="Z299" s="1681">
        <f t="shared" si="520"/>
        <v>1134.3500000000001</v>
      </c>
      <c r="AA299" s="1681">
        <f t="shared" si="521"/>
        <v>14890.773257600622</v>
      </c>
      <c r="AB299" s="1341">
        <f>+'2183-2184-2185 Ratios'!C91</f>
        <v>1655.9837426653694</v>
      </c>
      <c r="AC299" s="1341">
        <f>+'2183-2184-2185 Ratios'!D91</f>
        <v>63.652620102199784</v>
      </c>
      <c r="AD299" s="1341">
        <f>+'2183-2184-2185 Ratios'!E91</f>
        <v>16.66107849608419</v>
      </c>
      <c r="AE299" s="1341">
        <f>+'2183-2184-2185 Ratios'!F91</f>
        <v>53.935816336969062</v>
      </c>
      <c r="AF299" s="1341">
        <f t="shared" si="522"/>
        <v>11966.189999999999</v>
      </c>
      <c r="AG299" s="1341">
        <f t="shared" si="523"/>
        <v>1134.3500000000001</v>
      </c>
      <c r="AH299" s="1336" t="s">
        <v>929</v>
      </c>
      <c r="AI299" s="1363">
        <f t="shared" si="510"/>
        <v>0</v>
      </c>
    </row>
    <row r="300" spans="1:35">
      <c r="A300" s="1331"/>
      <c r="B300" s="1336" t="s">
        <v>353</v>
      </c>
      <c r="C300" s="1341">
        <f>+IFERROR(VLOOKUP(A300,'2183 IS 2018'!$D:$AH,31,FALSE),0)</f>
        <v>0</v>
      </c>
      <c r="D300" s="1354">
        <f>+IFERROR(VLOOKUP(A300,'2184 IS 2018'!$D:$AH,31,FALSE),0)</f>
        <v>0</v>
      </c>
      <c r="E300" s="1354">
        <f>+IFERROR(VLOOKUP(A300,'2185 IS 2018'!$D:$AH,31,FALSE),0)</f>
        <v>0</v>
      </c>
      <c r="F300" s="1342">
        <f t="shared" si="511"/>
        <v>0</v>
      </c>
      <c r="G300" s="1343"/>
      <c r="H300" s="1341"/>
      <c r="I300" s="1341"/>
      <c r="J300" s="1341"/>
      <c r="K300" s="1341"/>
      <c r="L300" s="1362">
        <f t="shared" si="512"/>
        <v>0</v>
      </c>
      <c r="M300" s="1337"/>
      <c r="N300" s="1359">
        <f t="shared" si="513"/>
        <v>0</v>
      </c>
      <c r="O300" s="1359">
        <f t="shared" si="514"/>
        <v>0</v>
      </c>
      <c r="P300" s="1359">
        <f t="shared" si="515"/>
        <v>0</v>
      </c>
      <c r="Q300" s="1359">
        <f t="shared" si="516"/>
        <v>0</v>
      </c>
      <c r="R300" s="1359"/>
      <c r="S300" s="1359"/>
      <c r="T300" s="1359"/>
      <c r="U300" s="1359"/>
      <c r="V300" s="1681">
        <f t="shared" si="517"/>
        <v>0</v>
      </c>
      <c r="W300" s="1333"/>
      <c r="X300" s="1681">
        <f t="shared" si="518"/>
        <v>0</v>
      </c>
      <c r="Y300" s="1681">
        <f t="shared" si="519"/>
        <v>0</v>
      </c>
      <c r="Z300" s="1681">
        <f t="shared" si="520"/>
        <v>0</v>
      </c>
      <c r="AA300" s="1681">
        <f t="shared" si="521"/>
        <v>0</v>
      </c>
      <c r="AB300" s="1341">
        <v>0</v>
      </c>
      <c r="AC300" s="1341">
        <v>0</v>
      </c>
      <c r="AD300" s="1341">
        <v>0</v>
      </c>
      <c r="AE300" s="1341">
        <v>0</v>
      </c>
      <c r="AF300" s="1341">
        <f t="shared" si="522"/>
        <v>0</v>
      </c>
      <c r="AG300" s="1341">
        <f t="shared" si="523"/>
        <v>0</v>
      </c>
      <c r="AH300" s="1336" t="s">
        <v>929</v>
      </c>
      <c r="AI300" s="1363">
        <f t="shared" si="510"/>
        <v>0</v>
      </c>
    </row>
    <row r="301" spans="1:35">
      <c r="A301" s="1331"/>
      <c r="B301" s="1336" t="s">
        <v>154</v>
      </c>
      <c r="C301" s="1341">
        <f>+IFERROR(VLOOKUP(A301,'2183 IS 2018'!$D:$AH,31,FALSE),0)</f>
        <v>0</v>
      </c>
      <c r="D301" s="1354">
        <f>+IFERROR(VLOOKUP(A301,'2184 IS 2018'!$D:$AH,31,FALSE),0)</f>
        <v>0</v>
      </c>
      <c r="E301" s="1354">
        <f>+IFERROR(VLOOKUP(A301,'2185 IS 2018'!$D:$AH,31,FALSE),0)</f>
        <v>0</v>
      </c>
      <c r="F301" s="1342">
        <f t="shared" si="511"/>
        <v>0</v>
      </c>
      <c r="G301" s="1343"/>
      <c r="H301" s="1341">
        <f>+'Restating Adj''s'!V50</f>
        <v>58605.341282051282</v>
      </c>
      <c r="I301" s="1341"/>
      <c r="J301" s="1341"/>
      <c r="K301" s="1369" t="s">
        <v>574</v>
      </c>
      <c r="L301" s="1362">
        <f t="shared" si="512"/>
        <v>58605.341282051282</v>
      </c>
      <c r="M301" s="1337"/>
      <c r="N301" s="1359">
        <f t="shared" si="513"/>
        <v>58605.341282051282</v>
      </c>
      <c r="O301" s="1359">
        <f t="shared" si="514"/>
        <v>0</v>
      </c>
      <c r="P301" s="1359">
        <f t="shared" si="515"/>
        <v>0</v>
      </c>
      <c r="Q301" s="1359">
        <f t="shared" si="516"/>
        <v>58605.341282051282</v>
      </c>
      <c r="R301" s="1359"/>
      <c r="S301" s="1359"/>
      <c r="T301" s="1359"/>
      <c r="U301" s="1359"/>
      <c r="V301" s="1681">
        <f t="shared" si="517"/>
        <v>0</v>
      </c>
      <c r="W301" s="1333"/>
      <c r="X301" s="1681">
        <f t="shared" si="518"/>
        <v>58605.341282051282</v>
      </c>
      <c r="Y301" s="1681">
        <f t="shared" si="519"/>
        <v>0</v>
      </c>
      <c r="Z301" s="1681">
        <f t="shared" si="520"/>
        <v>0</v>
      </c>
      <c r="AA301" s="1681">
        <f t="shared" si="521"/>
        <v>58605.341282051282</v>
      </c>
      <c r="AB301" s="1362">
        <f>+'2183-2184-2185 Ratios'!C96+'2183-2184-2185 Ratios'!C97</f>
        <v>35102.127860124943</v>
      </c>
      <c r="AC301" s="1362">
        <f>+'2183-2184-2185 Ratios'!D96+'2183-2184-2185 Ratios'!D97</f>
        <v>1349.2538313589457</v>
      </c>
      <c r="AD301" s="1362">
        <f>+'2183-2184-2185 Ratios'!E96+'2183-2184-2185 Ratios'!E97</f>
        <v>353.16730025127191</v>
      </c>
      <c r="AE301" s="1362">
        <f>+'2183-2184-2185 Ratios'!F96+'2183-2184-2185 Ratios'!F97</f>
        <v>21205.437255415702</v>
      </c>
      <c r="AF301" s="1362">
        <f>+'2183-2184-2185 Ratios'!G96+'2183-2184-2185 Ratios'!G97</f>
        <v>0</v>
      </c>
      <c r="AG301" s="1362">
        <f>+'2183-2184-2185 Ratios'!H96+'2183-2184-2185 Ratios'!H97</f>
        <v>595.35503490042151</v>
      </c>
      <c r="AH301" s="1336" t="s">
        <v>929</v>
      </c>
      <c r="AI301" s="1363">
        <f>SUM(AB301:AG301)-AA301</f>
        <v>0</v>
      </c>
    </row>
    <row r="302" spans="1:35">
      <c r="A302" s="1331"/>
      <c r="B302" s="1336" t="s">
        <v>155</v>
      </c>
      <c r="C302" s="1341">
        <f>+IFERROR(VLOOKUP(A302,'2183 IS 2018'!$D:$AH,31,FALSE),0)</f>
        <v>0</v>
      </c>
      <c r="D302" s="1354">
        <f>+IFERROR(VLOOKUP(A302,'2184 IS 2018'!$D:$AH,31,FALSE),0)</f>
        <v>0</v>
      </c>
      <c r="E302" s="1354">
        <f>+IFERROR(VLOOKUP(A302,'2185 IS 2018'!$D:$AH,31,FALSE),0)</f>
        <v>0</v>
      </c>
      <c r="F302" s="1342">
        <f t="shared" si="511"/>
        <v>0</v>
      </c>
      <c r="G302" s="1343"/>
      <c r="H302" s="1341">
        <f>+'Restating Adj''s'!V49</f>
        <v>67750.238386653262</v>
      </c>
      <c r="I302" s="1341"/>
      <c r="J302" s="1341"/>
      <c r="K302" s="1369" t="s">
        <v>574</v>
      </c>
      <c r="L302" s="1362">
        <f t="shared" si="512"/>
        <v>67750.238386653262</v>
      </c>
      <c r="M302" s="1337"/>
      <c r="N302" s="1359">
        <f t="shared" si="513"/>
        <v>67750.238386653262</v>
      </c>
      <c r="O302" s="1359">
        <f t="shared" si="514"/>
        <v>0</v>
      </c>
      <c r="P302" s="1359">
        <f t="shared" si="515"/>
        <v>0</v>
      </c>
      <c r="Q302" s="1359">
        <f t="shared" si="516"/>
        <v>67750.238386653262</v>
      </c>
      <c r="R302" s="1359"/>
      <c r="S302" s="1359"/>
      <c r="T302" s="1359"/>
      <c r="U302" s="1359"/>
      <c r="V302" s="1681">
        <f t="shared" si="517"/>
        <v>0</v>
      </c>
      <c r="W302" s="1333"/>
      <c r="X302" s="1681">
        <f t="shared" si="518"/>
        <v>67750.238386653262</v>
      </c>
      <c r="Y302" s="1681">
        <f t="shared" si="519"/>
        <v>0</v>
      </c>
      <c r="Z302" s="1681">
        <f t="shared" si="520"/>
        <v>0</v>
      </c>
      <c r="AA302" s="1681">
        <f t="shared" si="521"/>
        <v>67750.238386653262</v>
      </c>
      <c r="AB302" s="1362">
        <f>+'2183-2184-2185 Ratios'!C95</f>
        <v>62669.65092603027</v>
      </c>
      <c r="AC302" s="1362">
        <f>+'2183-2184-2185 Ratios'!D95</f>
        <v>2408.8929012741928</v>
      </c>
      <c r="AD302" s="1362">
        <f>+'2183-2184-2185 Ratios'!E95</f>
        <v>630.52791310631835</v>
      </c>
      <c r="AE302" s="1362">
        <f>+'2183-2184-2185 Ratios'!F95</f>
        <v>2041.1666462424739</v>
      </c>
      <c r="AF302" s="1362">
        <f>+'2183-2184-2185 Ratios'!G95</f>
        <v>0</v>
      </c>
      <c r="AG302" s="1362">
        <f>+'2183-2184-2185 Ratios'!H95</f>
        <v>1598.0787671929036</v>
      </c>
      <c r="AH302" s="1336" t="s">
        <v>929</v>
      </c>
      <c r="AI302" s="1363">
        <f>SUM(AB302:AG302)-AA302</f>
        <v>1598.0787671928992</v>
      </c>
    </row>
    <row r="303" spans="1:35">
      <c r="A303" s="1331">
        <v>70264</v>
      </c>
      <c r="B303" s="1336" t="s">
        <v>156</v>
      </c>
      <c r="C303" s="1341">
        <f>+IFERROR(VLOOKUP(A303,'2183 IS 2018'!$D:$AH,31,FALSE),0)</f>
        <v>50527.73</v>
      </c>
      <c r="D303" s="1354">
        <f>+IFERROR(VLOOKUP(A303,'2184 IS 2018'!$D:$AH,31,FALSE),0)</f>
        <v>0</v>
      </c>
      <c r="E303" s="1354">
        <f>+IFERROR(VLOOKUP(A303,'2185 IS 2018'!$D:$AH,31,FALSE),0)</f>
        <v>233699.26</v>
      </c>
      <c r="F303" s="1342">
        <f t="shared" si="511"/>
        <v>284226.99</v>
      </c>
      <c r="G303" s="1343"/>
      <c r="H303" s="1341">
        <f>+'Restating Adj''s'!V58</f>
        <v>-50527.73</v>
      </c>
      <c r="I303" s="1341"/>
      <c r="J303" s="1341"/>
      <c r="K303" s="1369" t="s">
        <v>574</v>
      </c>
      <c r="L303" s="1362">
        <f t="shared" si="512"/>
        <v>233699.25999999998</v>
      </c>
      <c r="M303" s="1337"/>
      <c r="N303" s="1359">
        <f t="shared" si="513"/>
        <v>0</v>
      </c>
      <c r="O303" s="1359">
        <f t="shared" si="514"/>
        <v>0</v>
      </c>
      <c r="P303" s="1359">
        <f t="shared" si="515"/>
        <v>233699.26</v>
      </c>
      <c r="Q303" s="1359">
        <f t="shared" si="516"/>
        <v>233699.26</v>
      </c>
      <c r="R303" s="1359"/>
      <c r="S303" s="1359"/>
      <c r="T303" s="1359"/>
      <c r="U303" s="1359"/>
      <c r="V303" s="1681">
        <f t="shared" si="517"/>
        <v>0</v>
      </c>
      <c r="W303" s="1333"/>
      <c r="X303" s="1681">
        <f t="shared" si="518"/>
        <v>0</v>
      </c>
      <c r="Y303" s="1681">
        <f t="shared" si="519"/>
        <v>0</v>
      </c>
      <c r="Z303" s="1681">
        <f t="shared" si="520"/>
        <v>233699.26</v>
      </c>
      <c r="AA303" s="1681">
        <f t="shared" si="521"/>
        <v>233699.26</v>
      </c>
      <c r="AB303" s="1362">
        <f>$X303*'2183-2184-2185 Ratios'!C$60</f>
        <v>0</v>
      </c>
      <c r="AC303" s="1362">
        <f>$X303*'2183-2184-2185 Ratios'!D$60</f>
        <v>0</v>
      </c>
      <c r="AD303" s="1362">
        <f>$X303*'2183-2184-2185 Ratios'!E$60</f>
        <v>0</v>
      </c>
      <c r="AE303" s="1362">
        <f>$X303*'2183-2184-2185 Ratios'!F$60</f>
        <v>0</v>
      </c>
      <c r="AF303" s="1341">
        <f t="shared" si="522"/>
        <v>0</v>
      </c>
      <c r="AG303" s="1341">
        <f t="shared" si="523"/>
        <v>233699.26</v>
      </c>
      <c r="AH303" s="1336" t="s">
        <v>929</v>
      </c>
      <c r="AI303" s="1363">
        <f>SUM(AB303:AG303)-AA303</f>
        <v>0</v>
      </c>
    </row>
    <row r="304" spans="1:35">
      <c r="A304" s="1331">
        <v>91010</v>
      </c>
      <c r="B304" s="1336" t="s">
        <v>157</v>
      </c>
      <c r="C304" s="1341">
        <f>+IFERROR(VLOOKUP(A304,'2183 IS 2018'!$D:$AH,31,FALSE),0)</f>
        <v>-7610.42</v>
      </c>
      <c r="D304" s="1354">
        <f>+IFERROR(VLOOKUP(A304,'2184 IS 2018'!$D:$AH,31,FALSE),0)</f>
        <v>0</v>
      </c>
      <c r="E304" s="1354">
        <f>+IFERROR(VLOOKUP(A304,'2185 IS 2018'!$D:$AH,31,FALSE),0)</f>
        <v>-4547.2</v>
      </c>
      <c r="F304" s="1342">
        <f t="shared" si="511"/>
        <v>-12157.619999999999</v>
      </c>
      <c r="G304" s="1343"/>
      <c r="H304" s="1341"/>
      <c r="I304" s="1341"/>
      <c r="J304" s="1341"/>
      <c r="K304" s="1341"/>
      <c r="L304" s="1362">
        <f t="shared" si="512"/>
        <v>-12157.619999999999</v>
      </c>
      <c r="M304" s="1337"/>
      <c r="N304" s="1359">
        <f t="shared" si="513"/>
        <v>-7610.42</v>
      </c>
      <c r="O304" s="1359">
        <f t="shared" si="514"/>
        <v>0</v>
      </c>
      <c r="P304" s="1359">
        <f t="shared" si="515"/>
        <v>-4547.2</v>
      </c>
      <c r="Q304" s="1359">
        <f t="shared" si="516"/>
        <v>-12157.619999999999</v>
      </c>
      <c r="R304" s="1359"/>
      <c r="S304" s="1359"/>
      <c r="T304" s="1359"/>
      <c r="U304" s="1359"/>
      <c r="V304" s="1681">
        <f t="shared" si="517"/>
        <v>0</v>
      </c>
      <c r="W304" s="1333"/>
      <c r="X304" s="1681">
        <f t="shared" si="518"/>
        <v>-7610.42</v>
      </c>
      <c r="Y304" s="1681">
        <f t="shared" si="519"/>
        <v>0</v>
      </c>
      <c r="Z304" s="1681">
        <f t="shared" si="520"/>
        <v>-4547.2</v>
      </c>
      <c r="AA304" s="1681">
        <f t="shared" si="521"/>
        <v>-12157.619999999999</v>
      </c>
      <c r="AB304" s="1362">
        <f>$X304*'2183-2184-2185 Ratios'!C$60</f>
        <v>-5792.4279571804927</v>
      </c>
      <c r="AC304" s="1362">
        <f>$X304*'2183-2184-2185 Ratios'!D$60</f>
        <v>-295.1021168746019</v>
      </c>
      <c r="AD304" s="1362">
        <f>$X304*'2183-2184-2185 Ratios'!E$60</f>
        <v>-65.292229511761789</v>
      </c>
      <c r="AE304" s="1362">
        <f>$X304*'2183-2184-2185 Ratios'!F$60</f>
        <v>-1457.597696433143</v>
      </c>
      <c r="AF304" s="1341">
        <f t="shared" si="522"/>
        <v>0</v>
      </c>
      <c r="AG304" s="1341">
        <f t="shared" si="523"/>
        <v>-4547.2</v>
      </c>
      <c r="AH304" s="1336" t="s">
        <v>929</v>
      </c>
      <c r="AI304" s="1363">
        <f>SUM(AB304:AG304)-AA304</f>
        <v>0</v>
      </c>
    </row>
    <row r="305" spans="1:36">
      <c r="A305" s="1331"/>
      <c r="B305" s="1336"/>
      <c r="C305" s="1354"/>
      <c r="D305" s="1354"/>
      <c r="E305" s="1354"/>
      <c r="F305" s="1342"/>
      <c r="G305" s="1343"/>
      <c r="H305" s="1341"/>
      <c r="I305" s="1341"/>
      <c r="J305" s="1341"/>
      <c r="K305" s="1341"/>
      <c r="L305" s="1362"/>
      <c r="M305" s="1336"/>
      <c r="N305" s="1359"/>
      <c r="O305" s="1359"/>
      <c r="P305" s="1359"/>
      <c r="Q305" s="1359"/>
      <c r="R305" s="1359"/>
      <c r="S305" s="1359"/>
      <c r="T305" s="1359"/>
      <c r="U305" s="1359"/>
      <c r="V305" s="1364"/>
      <c r="W305" s="1364"/>
      <c r="X305" s="1364"/>
      <c r="Y305" s="1364"/>
      <c r="Z305" s="1364"/>
      <c r="AA305" s="1364"/>
      <c r="AB305" s="1341"/>
      <c r="AC305" s="1341"/>
      <c r="AD305" s="1341"/>
      <c r="AE305" s="1341"/>
      <c r="AF305" s="1341"/>
      <c r="AG305" s="1341"/>
      <c r="AH305" s="1336"/>
      <c r="AI305" s="1363"/>
    </row>
    <row r="306" spans="1:36">
      <c r="A306" s="1685"/>
      <c r="B306" s="1386" t="s">
        <v>13</v>
      </c>
      <c r="C306" s="1366">
        <f>SUM(C295:C305)</f>
        <v>1782389.9200000002</v>
      </c>
      <c r="D306" s="1366">
        <f t="shared" ref="D306:AI306" si="524">SUM(D295:D305)</f>
        <v>124342.96000000002</v>
      </c>
      <c r="E306" s="1366">
        <f t="shared" si="524"/>
        <v>534530.85000000009</v>
      </c>
      <c r="F306" s="1366">
        <f t="shared" si="524"/>
        <v>2441263.7299999995</v>
      </c>
      <c r="G306" s="1366">
        <f t="shared" si="524"/>
        <v>0</v>
      </c>
      <c r="H306" s="1366">
        <f t="shared" si="524"/>
        <v>833459.65882506152</v>
      </c>
      <c r="I306" s="1366">
        <f t="shared" si="524"/>
        <v>0</v>
      </c>
      <c r="J306" s="1366">
        <f t="shared" si="524"/>
        <v>0</v>
      </c>
      <c r="K306" s="1367"/>
      <c r="L306" s="1366">
        <f t="shared" si="524"/>
        <v>3274723.3888250617</v>
      </c>
      <c r="M306" s="1366"/>
      <c r="N306" s="1366">
        <f t="shared" si="524"/>
        <v>2615849.5788250617</v>
      </c>
      <c r="O306" s="1366">
        <f t="shared" si="524"/>
        <v>124342.96000000002</v>
      </c>
      <c r="P306" s="1366">
        <f t="shared" si="524"/>
        <v>534530.85000000009</v>
      </c>
      <c r="Q306" s="1366">
        <f t="shared" si="524"/>
        <v>3274723.3888250617</v>
      </c>
      <c r="R306" s="1366"/>
      <c r="S306" s="1366">
        <f t="shared" si="524"/>
        <v>0</v>
      </c>
      <c r="T306" s="1366">
        <f t="shared" si="524"/>
        <v>0</v>
      </c>
      <c r="U306" s="1366">
        <f t="shared" si="524"/>
        <v>0</v>
      </c>
      <c r="V306" s="1366">
        <f t="shared" si="524"/>
        <v>0</v>
      </c>
      <c r="W306" s="1366"/>
      <c r="X306" s="1366">
        <f t="shared" si="524"/>
        <v>2615849.5788250617</v>
      </c>
      <c r="Y306" s="1366">
        <f t="shared" si="524"/>
        <v>124342.96000000002</v>
      </c>
      <c r="Z306" s="1366">
        <f t="shared" si="524"/>
        <v>534530.85000000009</v>
      </c>
      <c r="AA306" s="1366">
        <f t="shared" si="524"/>
        <v>3274723.3888250617</v>
      </c>
      <c r="AB306" s="1366">
        <f t="shared" si="524"/>
        <v>2218420.6752802869</v>
      </c>
      <c r="AC306" s="1366">
        <f t="shared" si="524"/>
        <v>111615.09339122951</v>
      </c>
      <c r="AD306" s="1366">
        <f t="shared" si="524"/>
        <v>25442.802719370051</v>
      </c>
      <c r="AE306" s="1366">
        <f t="shared" si="524"/>
        <v>259775.65239927467</v>
      </c>
      <c r="AF306" s="1366">
        <f t="shared" si="524"/>
        <v>124342.96000000002</v>
      </c>
      <c r="AG306" s="1366">
        <f t="shared" si="524"/>
        <v>536724.28380209336</v>
      </c>
      <c r="AH306" s="1366">
        <f t="shared" si="524"/>
        <v>0</v>
      </c>
      <c r="AI306" s="1366">
        <f t="shared" si="524"/>
        <v>1598.0787671928992</v>
      </c>
      <c r="AJ306" s="53">
        <f t="shared" ref="AJ306" si="525">SUM(AJ295:AJ304)</f>
        <v>0</v>
      </c>
    </row>
    <row r="307" spans="1:36">
      <c r="A307" s="1331"/>
      <c r="B307" s="1336"/>
      <c r="C307" s="1354"/>
      <c r="D307" s="1333"/>
      <c r="E307" s="1342"/>
      <c r="F307" s="1342"/>
      <c r="G307" s="1336"/>
      <c r="H307" s="1341">
        <f>+H306-'Restating Adj''s'!E81</f>
        <v>0</v>
      </c>
      <c r="I307" s="1341"/>
      <c r="J307" s="1341"/>
      <c r="K307" s="1341"/>
      <c r="L307" s="1341"/>
      <c r="M307" s="1336"/>
      <c r="N307" s="1342"/>
      <c r="O307" s="1388"/>
      <c r="P307" s="1388"/>
      <c r="Q307" s="1388">
        <f>Q306-L306</f>
        <v>0</v>
      </c>
      <c r="R307" s="1388"/>
      <c r="S307" s="1388"/>
      <c r="T307" s="1388"/>
      <c r="U307" s="1388"/>
      <c r="V307" s="1364"/>
      <c r="W307" s="1364"/>
      <c r="X307" s="1364"/>
      <c r="Y307" s="1364"/>
      <c r="Z307" s="1364"/>
      <c r="AA307" s="1364"/>
      <c r="AB307" s="1341"/>
      <c r="AC307" s="1341"/>
      <c r="AD307" s="1341"/>
      <c r="AE307" s="1341"/>
      <c r="AF307" s="1341"/>
      <c r="AG307" s="1341"/>
      <c r="AH307" s="1336"/>
      <c r="AI307" s="1363"/>
    </row>
    <row r="308" spans="1:36">
      <c r="A308" s="1331"/>
      <c r="B308" s="1336"/>
      <c r="C308" s="1354"/>
      <c r="D308" s="1333"/>
      <c r="E308" s="1342"/>
      <c r="F308" s="1342"/>
      <c r="G308" s="1336"/>
      <c r="H308" s="1341"/>
      <c r="I308" s="1341"/>
      <c r="J308" s="1341"/>
      <c r="K308" s="1341"/>
      <c r="L308" s="1341"/>
      <c r="M308" s="1336"/>
      <c r="N308" s="1342"/>
      <c r="O308" s="1388"/>
      <c r="P308" s="1388"/>
      <c r="Q308" s="1388"/>
      <c r="R308" s="1388"/>
      <c r="S308" s="1388"/>
      <c r="T308" s="1388"/>
      <c r="U308" s="1388"/>
      <c r="V308" s="1364"/>
      <c r="W308" s="1364"/>
      <c r="X308" s="1364"/>
      <c r="Y308" s="1364"/>
      <c r="Z308" s="1364"/>
      <c r="AA308" s="1364"/>
      <c r="AB308" s="1341"/>
      <c r="AC308" s="1341"/>
      <c r="AD308" s="1341"/>
      <c r="AE308" s="1341"/>
      <c r="AF308" s="1341"/>
      <c r="AG308" s="1341"/>
      <c r="AH308" s="1336"/>
      <c r="AI308" s="1363"/>
    </row>
    <row r="309" spans="1:36">
      <c r="A309" s="1331">
        <v>41201</v>
      </c>
      <c r="B309" s="1336" t="s">
        <v>158</v>
      </c>
      <c r="C309" s="1341">
        <f>+IFERROR(VLOOKUP(A309,'2183 IS 2018'!$D:$AH,31,FALSE),0)</f>
        <v>11590.5</v>
      </c>
      <c r="D309" s="1354">
        <f>+IFERROR(VLOOKUP(A309,'2184 IS 2018'!$D:$AH,31,FALSE),0)</f>
        <v>0</v>
      </c>
      <c r="E309" s="1354">
        <f>+IFERROR(VLOOKUP(A309,'2185 IS 2018'!$D:$AH,31,FALSE),0)</f>
        <v>0</v>
      </c>
      <c r="F309" s="1342">
        <f t="shared" ref="F309:F310" si="526">SUM(C309:E309)</f>
        <v>11590.5</v>
      </c>
      <c r="G309" s="1343"/>
      <c r="H309" s="1341"/>
      <c r="I309" s="1341"/>
      <c r="J309" s="1341"/>
      <c r="K309" s="1341"/>
      <c r="L309" s="1362">
        <f t="shared" ref="L309:L310" si="527">F309+H309+I309+J309</f>
        <v>11590.5</v>
      </c>
      <c r="M309" s="1337"/>
      <c r="N309" s="1359">
        <f t="shared" ref="N309:N310" si="528">C309+H309</f>
        <v>11590.5</v>
      </c>
      <c r="O309" s="1359">
        <f t="shared" ref="O309:O310" si="529">D309+I309</f>
        <v>0</v>
      </c>
      <c r="P309" s="1359">
        <f t="shared" ref="P309:P310" si="530">E309+J309</f>
        <v>0</v>
      </c>
      <c r="Q309" s="1359">
        <f t="shared" ref="Q309:Q310" si="531">SUM(N309:P309)</f>
        <v>11590.5</v>
      </c>
      <c r="R309" s="1359"/>
      <c r="S309" s="1359"/>
      <c r="T309" s="1359"/>
      <c r="U309" s="1359"/>
      <c r="V309" s="1681">
        <f t="shared" ref="V309:V310" si="532">+SUM(S309:U309)</f>
        <v>0</v>
      </c>
      <c r="W309" s="1333"/>
      <c r="X309" s="1681">
        <f t="shared" ref="X309:X310" si="533">+S309+N309</f>
        <v>11590.5</v>
      </c>
      <c r="Y309" s="1681">
        <f t="shared" ref="Y309:Y310" si="534">+T309+O309</f>
        <v>0</v>
      </c>
      <c r="Z309" s="1681">
        <f t="shared" ref="Z309:Z310" si="535">+U309+P309</f>
        <v>0</v>
      </c>
      <c r="AA309" s="1681">
        <f t="shared" ref="AA309:AA310" si="536">+SUM(X309:Z309)</f>
        <v>11590.5</v>
      </c>
      <c r="AB309" s="1341">
        <v>0</v>
      </c>
      <c r="AC309" s="1341">
        <v>0</v>
      </c>
      <c r="AD309" s="1341">
        <v>0</v>
      </c>
      <c r="AE309" s="1341">
        <f t="shared" ref="AE309:AE310" si="537">+X309</f>
        <v>11590.5</v>
      </c>
      <c r="AF309" s="1341">
        <f>+Y309</f>
        <v>0</v>
      </c>
      <c r="AG309" s="1341">
        <f>+Z309</f>
        <v>0</v>
      </c>
      <c r="AH309" s="1336" t="s">
        <v>348</v>
      </c>
      <c r="AI309" s="1363">
        <f>SUM(AB309:AG309)-AA309</f>
        <v>0</v>
      </c>
    </row>
    <row r="310" spans="1:36">
      <c r="A310" s="1331">
        <v>57280</v>
      </c>
      <c r="B310" s="1336" t="s">
        <v>159</v>
      </c>
      <c r="C310" s="1341">
        <f>+IFERROR(VLOOKUP(A310,'2183 IS 2018'!$D:$AH,31,FALSE),0)</f>
        <v>0</v>
      </c>
      <c r="D310" s="1354">
        <f>+IFERROR(VLOOKUP(A310,'2184 IS 2018'!$D:$AH,31,FALSE),0)</f>
        <v>0</v>
      </c>
      <c r="E310" s="1354">
        <f>+IFERROR(VLOOKUP(A310,'2185 IS 2018'!$D:$AH,31,FALSE),0)</f>
        <v>1600</v>
      </c>
      <c r="F310" s="1342">
        <f t="shared" si="526"/>
        <v>1600</v>
      </c>
      <c r="G310" s="1343"/>
      <c r="H310" s="1341"/>
      <c r="I310" s="1341"/>
      <c r="J310" s="1341"/>
      <c r="K310" s="1341"/>
      <c r="L310" s="1362">
        <f t="shared" si="527"/>
        <v>1600</v>
      </c>
      <c r="M310" s="1337"/>
      <c r="N310" s="1359">
        <f t="shared" si="528"/>
        <v>0</v>
      </c>
      <c r="O310" s="1359">
        <f t="shared" si="529"/>
        <v>0</v>
      </c>
      <c r="P310" s="1359">
        <f t="shared" si="530"/>
        <v>1600</v>
      </c>
      <c r="Q310" s="1359">
        <f t="shared" si="531"/>
        <v>1600</v>
      </c>
      <c r="R310" s="1359"/>
      <c r="S310" s="1359"/>
      <c r="T310" s="1359"/>
      <c r="U310" s="1359"/>
      <c r="V310" s="1681">
        <f t="shared" si="532"/>
        <v>0</v>
      </c>
      <c r="W310" s="1333"/>
      <c r="X310" s="1681">
        <f t="shared" si="533"/>
        <v>0</v>
      </c>
      <c r="Y310" s="1681">
        <f t="shared" si="534"/>
        <v>0</v>
      </c>
      <c r="Z310" s="1681">
        <f t="shared" si="535"/>
        <v>1600</v>
      </c>
      <c r="AA310" s="1681">
        <f t="shared" si="536"/>
        <v>1600</v>
      </c>
      <c r="AB310" s="1341">
        <v>0</v>
      </c>
      <c r="AC310" s="1341">
        <v>0</v>
      </c>
      <c r="AD310" s="1341">
        <v>0</v>
      </c>
      <c r="AE310" s="1341">
        <f t="shared" si="537"/>
        <v>0</v>
      </c>
      <c r="AF310" s="1341">
        <f>+Y310</f>
        <v>0</v>
      </c>
      <c r="AG310" s="1341">
        <f>+Z310</f>
        <v>1600</v>
      </c>
      <c r="AH310" s="1336" t="s">
        <v>348</v>
      </c>
      <c r="AI310" s="1363">
        <f>SUM(AB310:AG310)-AA310</f>
        <v>0</v>
      </c>
    </row>
    <row r="311" spans="1:36">
      <c r="A311" s="1331"/>
      <c r="B311" s="1336"/>
      <c r="C311" s="1354"/>
      <c r="D311" s="1354"/>
      <c r="E311" s="1354"/>
      <c r="F311" s="1342"/>
      <c r="G311" s="1343"/>
      <c r="H311" s="1341"/>
      <c r="I311" s="1341"/>
      <c r="J311" s="1341"/>
      <c r="K311" s="1341"/>
      <c r="L311" s="1362"/>
      <c r="M311" s="1336"/>
      <c r="N311" s="1359"/>
      <c r="O311" s="1359"/>
      <c r="P311" s="1359"/>
      <c r="Q311" s="1359"/>
      <c r="R311" s="1359"/>
      <c r="S311" s="1359"/>
      <c r="T311" s="1359"/>
      <c r="U311" s="1359"/>
      <c r="V311" s="1364"/>
      <c r="W311" s="1364"/>
      <c r="X311" s="1364"/>
      <c r="Y311" s="1364"/>
      <c r="Z311" s="1364"/>
      <c r="AA311" s="1364"/>
      <c r="AB311" s="1341"/>
      <c r="AC311" s="1341"/>
      <c r="AD311" s="1341"/>
      <c r="AE311" s="1341"/>
      <c r="AF311" s="1341"/>
      <c r="AG311" s="1341"/>
      <c r="AH311" s="1336"/>
      <c r="AI311" s="1363"/>
    </row>
    <row r="312" spans="1:36">
      <c r="A312" s="1685">
        <v>52000</v>
      </c>
      <c r="B312" s="1386" t="s">
        <v>160</v>
      </c>
      <c r="C312" s="1366">
        <f>SUM(C309:C311)</f>
        <v>11590.5</v>
      </c>
      <c r="D312" s="1366">
        <f t="shared" ref="D312:AI312" si="538">SUM(D309:D311)</f>
        <v>0</v>
      </c>
      <c r="E312" s="1366">
        <f t="shared" si="538"/>
        <v>1600</v>
      </c>
      <c r="F312" s="1366">
        <f t="shared" si="538"/>
        <v>13190.5</v>
      </c>
      <c r="G312" s="1366">
        <f t="shared" si="538"/>
        <v>0</v>
      </c>
      <c r="H312" s="1366">
        <f t="shared" si="538"/>
        <v>0</v>
      </c>
      <c r="I312" s="1366">
        <f t="shared" si="538"/>
        <v>0</v>
      </c>
      <c r="J312" s="1366">
        <f t="shared" si="538"/>
        <v>0</v>
      </c>
      <c r="K312" s="1367"/>
      <c r="L312" s="1366">
        <f t="shared" si="538"/>
        <v>13190.5</v>
      </c>
      <c r="M312" s="1366"/>
      <c r="N312" s="1366">
        <f t="shared" si="538"/>
        <v>11590.5</v>
      </c>
      <c r="O312" s="1366">
        <f t="shared" si="538"/>
        <v>0</v>
      </c>
      <c r="P312" s="1366">
        <f t="shared" si="538"/>
        <v>1600</v>
      </c>
      <c r="Q312" s="1366">
        <f t="shared" si="538"/>
        <v>13190.5</v>
      </c>
      <c r="R312" s="1366"/>
      <c r="S312" s="1366">
        <f t="shared" si="538"/>
        <v>0</v>
      </c>
      <c r="T312" s="1366">
        <f t="shared" si="538"/>
        <v>0</v>
      </c>
      <c r="U312" s="1366">
        <f t="shared" si="538"/>
        <v>0</v>
      </c>
      <c r="V312" s="1366">
        <f t="shared" si="538"/>
        <v>0</v>
      </c>
      <c r="W312" s="1366"/>
      <c r="X312" s="1366">
        <f t="shared" si="538"/>
        <v>11590.5</v>
      </c>
      <c r="Y312" s="1366">
        <f t="shared" si="538"/>
        <v>0</v>
      </c>
      <c r="Z312" s="1366">
        <f t="shared" si="538"/>
        <v>1600</v>
      </c>
      <c r="AA312" s="1366">
        <f t="shared" si="538"/>
        <v>13190.5</v>
      </c>
      <c r="AB312" s="1366">
        <f t="shared" si="538"/>
        <v>0</v>
      </c>
      <c r="AC312" s="1366">
        <f t="shared" si="538"/>
        <v>0</v>
      </c>
      <c r="AD312" s="1366">
        <f t="shared" si="538"/>
        <v>0</v>
      </c>
      <c r="AE312" s="1366">
        <f t="shared" si="538"/>
        <v>11590.5</v>
      </c>
      <c r="AF312" s="1366">
        <f t="shared" si="538"/>
        <v>0</v>
      </c>
      <c r="AG312" s="1366">
        <f t="shared" si="538"/>
        <v>1600</v>
      </c>
      <c r="AH312" s="1366">
        <f t="shared" si="538"/>
        <v>0</v>
      </c>
      <c r="AI312" s="1366">
        <f t="shared" si="538"/>
        <v>0</v>
      </c>
    </row>
    <row r="313" spans="1:36">
      <c r="A313" s="1331"/>
      <c r="B313" s="1336"/>
      <c r="C313" s="1354"/>
      <c r="D313" s="1333"/>
      <c r="E313" s="1342"/>
      <c r="F313" s="1342"/>
      <c r="G313" s="1336"/>
      <c r="H313" s="1341"/>
      <c r="I313" s="1341"/>
      <c r="J313" s="1341"/>
      <c r="K313" s="1341"/>
      <c r="L313" s="1341"/>
      <c r="M313" s="1336"/>
      <c r="N313" s="1342"/>
      <c r="O313" s="1336"/>
      <c r="P313" s="1336"/>
      <c r="Q313" s="1336"/>
      <c r="R313" s="1336"/>
      <c r="S313" s="1336"/>
      <c r="T313" s="1336"/>
      <c r="U313" s="1336"/>
      <c r="V313" s="1364"/>
      <c r="W313" s="1364"/>
      <c r="X313" s="1364"/>
      <c r="Y313" s="1364"/>
      <c r="Z313" s="1364"/>
      <c r="AA313" s="1364"/>
      <c r="AB313" s="1341"/>
      <c r="AC313" s="1341"/>
      <c r="AD313" s="1341"/>
      <c r="AE313" s="1341"/>
      <c r="AF313" s="1341"/>
      <c r="AG313" s="1341"/>
      <c r="AH313" s="1336"/>
      <c r="AI313" s="1363">
        <f>SUM(AB313:AG313)-AA313</f>
        <v>0</v>
      </c>
    </row>
    <row r="314" spans="1:36">
      <c r="A314" s="1331"/>
      <c r="B314" s="1336"/>
      <c r="C314" s="1354"/>
      <c r="D314" s="1333"/>
      <c r="E314" s="1342"/>
      <c r="F314" s="1342"/>
      <c r="G314" s="1336"/>
      <c r="H314" s="1341"/>
      <c r="I314" s="1341"/>
      <c r="J314" s="1341"/>
      <c r="K314" s="1341"/>
      <c r="L314" s="1341"/>
      <c r="M314" s="1336"/>
      <c r="N314" s="1342"/>
      <c r="O314" s="1336"/>
      <c r="P314" s="1336"/>
      <c r="Q314" s="1336"/>
      <c r="R314" s="1336"/>
      <c r="S314" s="1336"/>
      <c r="T314" s="1336"/>
      <c r="U314" s="1336"/>
      <c r="V314" s="1364"/>
      <c r="W314" s="1364"/>
      <c r="X314" s="1364"/>
      <c r="Y314" s="1364"/>
      <c r="Z314" s="1364"/>
      <c r="AA314" s="1364"/>
      <c r="AB314" s="1341"/>
      <c r="AC314" s="1341"/>
      <c r="AD314" s="1341"/>
      <c r="AE314" s="1341"/>
      <c r="AF314" s="1341"/>
      <c r="AG314" s="1341"/>
      <c r="AH314" s="1336"/>
      <c r="AI314" s="1363"/>
    </row>
    <row r="315" spans="1:36">
      <c r="A315" s="1331">
        <v>43001</v>
      </c>
      <c r="B315" s="1336" t="s">
        <v>161</v>
      </c>
      <c r="C315" s="1341">
        <f>+IFERROR(VLOOKUP(A315,'2183 IS 2018'!$D:$AH,31,FALSE),0)</f>
        <v>526306.94000000006</v>
      </c>
      <c r="D315" s="1354">
        <f>+IFERROR(VLOOKUP(A315,'2184 IS 2018'!$D:$AH,31,FALSE),0)</f>
        <v>92903.3</v>
      </c>
      <c r="E315" s="1354">
        <f>+IFERROR(VLOOKUP(A315,'2185 IS 2018'!$D:$AH,31,FALSE),0)</f>
        <v>63736.29</v>
      </c>
      <c r="F315" s="1342">
        <f>SUM(C315:E315)</f>
        <v>682946.53000000014</v>
      </c>
      <c r="G315" s="1343"/>
      <c r="H315" s="1341">
        <v>0</v>
      </c>
      <c r="I315" s="1341"/>
      <c r="J315" s="1341"/>
      <c r="K315" s="1341"/>
      <c r="L315" s="1362">
        <f t="shared" ref="L315" si="539">F315+H315+I315+J315</f>
        <v>682946.53000000014</v>
      </c>
      <c r="M315" s="1337"/>
      <c r="N315" s="1359">
        <f t="shared" ref="N315" si="540">C315+H315</f>
        <v>526306.94000000006</v>
      </c>
      <c r="O315" s="1359">
        <f t="shared" ref="O315" si="541">D315+I315</f>
        <v>92903.3</v>
      </c>
      <c r="P315" s="1359">
        <f t="shared" ref="P315" si="542">E315+J315</f>
        <v>63736.29</v>
      </c>
      <c r="Q315" s="1359">
        <f t="shared" ref="Q315" si="543">SUM(N315:P315)</f>
        <v>682946.53000000014</v>
      </c>
      <c r="R315" s="1359"/>
      <c r="S315" s="1359"/>
      <c r="T315" s="1359"/>
      <c r="U315" s="1359"/>
      <c r="V315" s="1681">
        <f t="shared" ref="V315" si="544">+SUM(S315:U315)</f>
        <v>0</v>
      </c>
      <c r="W315" s="1333"/>
      <c r="X315" s="1681">
        <f t="shared" ref="X315" si="545">+S315+N315</f>
        <v>526306.94000000006</v>
      </c>
      <c r="Y315" s="1681">
        <f t="shared" ref="Y315" si="546">+T315+O315</f>
        <v>92903.3</v>
      </c>
      <c r="Z315" s="1681">
        <f t="shared" ref="Z315" si="547">+U315+P315</f>
        <v>63736.29</v>
      </c>
      <c r="AA315" s="1681">
        <f t="shared" ref="AA315" si="548">+SUM(X315:Z315)</f>
        <v>682946.53000000014</v>
      </c>
      <c r="AB315" s="1389">
        <f>$X315*(AB$24/(SUM($AB$24:$AE$24)))</f>
        <v>430527.31295577128</v>
      </c>
      <c r="AC315" s="1389">
        <f>$X315*(AC$24/(SUM($AB$24:$AE$24)))</f>
        <v>22524.379142439993</v>
      </c>
      <c r="AD315" s="1389">
        <f>$X315*(AD$24/(SUM($AB$24:$AE$24)))</f>
        <v>5065.7322654778263</v>
      </c>
      <c r="AE315" s="1389">
        <f>$X315*(AE$24/(SUM($AB$24:$AE$24)))</f>
        <v>68189.515636311044</v>
      </c>
      <c r="AF315" s="1362">
        <f>+Y315</f>
        <v>92903.3</v>
      </c>
      <c r="AG315" s="1362">
        <f>+Z315</f>
        <v>63736.29</v>
      </c>
      <c r="AH315" s="1336" t="s">
        <v>913</v>
      </c>
      <c r="AI315" s="1363">
        <f>SUM(AB315:AG315)-AA315</f>
        <v>0</v>
      </c>
    </row>
    <row r="316" spans="1:36">
      <c r="A316" s="1331"/>
      <c r="B316" s="1336"/>
      <c r="C316" s="1354"/>
      <c r="D316" s="1354"/>
      <c r="E316" s="1354"/>
      <c r="F316" s="1342"/>
      <c r="G316" s="1343"/>
      <c r="H316" s="1341"/>
      <c r="I316" s="1341"/>
      <c r="J316" s="1341"/>
      <c r="K316" s="1341"/>
      <c r="L316" s="1362"/>
      <c r="M316" s="1336"/>
      <c r="N316" s="1359"/>
      <c r="O316" s="1359"/>
      <c r="P316" s="1359"/>
      <c r="Q316" s="1359"/>
      <c r="R316" s="1359"/>
      <c r="S316" s="1359"/>
      <c r="T316" s="1359"/>
      <c r="U316" s="1359"/>
      <c r="V316" s="1364"/>
      <c r="W316" s="1364"/>
      <c r="X316" s="1364"/>
      <c r="Y316" s="1364"/>
      <c r="Z316" s="1364"/>
      <c r="AA316" s="1364"/>
      <c r="AB316" s="1341"/>
      <c r="AC316" s="1341"/>
      <c r="AD316" s="1341"/>
      <c r="AE316" s="1341"/>
      <c r="AF316" s="1341"/>
      <c r="AG316" s="1341"/>
      <c r="AH316" s="1343"/>
      <c r="AI316" s="1363"/>
    </row>
    <row r="317" spans="1:36">
      <c r="A317" s="1685">
        <v>52030</v>
      </c>
      <c r="B317" s="1386" t="s">
        <v>162</v>
      </c>
      <c r="C317" s="1366">
        <f>SUM(C315:C316)</f>
        <v>526306.94000000006</v>
      </c>
      <c r="D317" s="1366">
        <f t="shared" ref="D317:AI317" si="549">SUM(D315:D316)</f>
        <v>92903.3</v>
      </c>
      <c r="E317" s="1366">
        <f t="shared" si="549"/>
        <v>63736.29</v>
      </c>
      <c r="F317" s="1366">
        <f t="shared" si="549"/>
        <v>682946.53000000014</v>
      </c>
      <c r="G317" s="1366">
        <f t="shared" si="549"/>
        <v>0</v>
      </c>
      <c r="H317" s="1366">
        <f t="shared" si="549"/>
        <v>0</v>
      </c>
      <c r="I317" s="1366">
        <f t="shared" si="549"/>
        <v>0</v>
      </c>
      <c r="J317" s="1366">
        <f t="shared" si="549"/>
        <v>0</v>
      </c>
      <c r="K317" s="1367"/>
      <c r="L317" s="1366">
        <f t="shared" si="549"/>
        <v>682946.53000000014</v>
      </c>
      <c r="M317" s="1366"/>
      <c r="N317" s="1366">
        <f t="shared" si="549"/>
        <v>526306.94000000006</v>
      </c>
      <c r="O317" s="1366">
        <f t="shared" si="549"/>
        <v>92903.3</v>
      </c>
      <c r="P317" s="1366">
        <f t="shared" si="549"/>
        <v>63736.29</v>
      </c>
      <c r="Q317" s="1366">
        <f t="shared" si="549"/>
        <v>682946.53000000014</v>
      </c>
      <c r="R317" s="1366"/>
      <c r="S317" s="1366">
        <f t="shared" si="549"/>
        <v>0</v>
      </c>
      <c r="T317" s="1366">
        <f t="shared" si="549"/>
        <v>0</v>
      </c>
      <c r="U317" s="1366">
        <f t="shared" si="549"/>
        <v>0</v>
      </c>
      <c r="V317" s="1366">
        <f t="shared" si="549"/>
        <v>0</v>
      </c>
      <c r="W317" s="1366"/>
      <c r="X317" s="1366">
        <f t="shared" si="549"/>
        <v>526306.94000000006</v>
      </c>
      <c r="Y317" s="1366">
        <f t="shared" si="549"/>
        <v>92903.3</v>
      </c>
      <c r="Z317" s="1366">
        <f t="shared" si="549"/>
        <v>63736.29</v>
      </c>
      <c r="AA317" s="1366">
        <f t="shared" si="549"/>
        <v>682946.53000000014</v>
      </c>
      <c r="AB317" s="1366">
        <f t="shared" si="549"/>
        <v>430527.31295577128</v>
      </c>
      <c r="AC317" s="1366">
        <f t="shared" si="549"/>
        <v>22524.379142439993</v>
      </c>
      <c r="AD317" s="1366">
        <f t="shared" si="549"/>
        <v>5065.7322654778263</v>
      </c>
      <c r="AE317" s="1366">
        <f t="shared" si="549"/>
        <v>68189.515636311044</v>
      </c>
      <c r="AF317" s="1366">
        <f t="shared" si="549"/>
        <v>92903.3</v>
      </c>
      <c r="AG317" s="1366">
        <f t="shared" si="549"/>
        <v>63736.29</v>
      </c>
      <c r="AH317" s="1366">
        <f t="shared" si="549"/>
        <v>0</v>
      </c>
      <c r="AI317" s="1366">
        <f t="shared" si="549"/>
        <v>0</v>
      </c>
    </row>
    <row r="318" spans="1:36">
      <c r="A318" s="1331"/>
      <c r="B318" s="1336"/>
      <c r="C318" s="1354"/>
      <c r="D318" s="1333"/>
      <c r="E318" s="1342"/>
      <c r="F318" s="1342"/>
      <c r="G318" s="1336"/>
      <c r="H318" s="1341"/>
      <c r="I318" s="1341"/>
      <c r="J318" s="1341"/>
      <c r="K318" s="1341"/>
      <c r="L318" s="1341"/>
      <c r="M318" s="1336"/>
      <c r="N318" s="1342"/>
      <c r="O318" s="1336"/>
      <c r="P318" s="1336"/>
      <c r="Q318" s="1336"/>
      <c r="R318" s="1336"/>
      <c r="S318" s="1336"/>
      <c r="T318" s="1336"/>
      <c r="U318" s="1336"/>
      <c r="V318" s="1364"/>
      <c r="W318" s="1364"/>
      <c r="X318" s="1364"/>
      <c r="Y318" s="1364"/>
      <c r="Z318" s="1364"/>
      <c r="AA318" s="1364"/>
      <c r="AB318" s="1341"/>
      <c r="AC318" s="1341"/>
      <c r="AD318" s="1341"/>
      <c r="AE318" s="1341"/>
      <c r="AF318" s="1341"/>
      <c r="AG318" s="1341"/>
      <c r="AH318" s="1336"/>
      <c r="AI318" s="1363">
        <f>SUM(AB318:AG318)-AA318</f>
        <v>0</v>
      </c>
    </row>
    <row r="319" spans="1:36">
      <c r="A319" s="1331"/>
      <c r="B319" s="1336"/>
      <c r="C319" s="1354"/>
      <c r="D319" s="1333"/>
      <c r="E319" s="1342"/>
      <c r="F319" s="1342"/>
      <c r="G319" s="1336"/>
      <c r="H319" s="1341"/>
      <c r="I319" s="1341"/>
      <c r="J319" s="1341"/>
      <c r="K319" s="1341"/>
      <c r="L319" s="1341"/>
      <c r="M319" s="1336"/>
      <c r="N319" s="1342"/>
      <c r="O319" s="1336"/>
      <c r="P319" s="1336"/>
      <c r="Q319" s="1336"/>
      <c r="R319" s="1336"/>
      <c r="S319" s="1336"/>
      <c r="T319" s="1336"/>
      <c r="U319" s="1336"/>
      <c r="V319" s="1364"/>
      <c r="W319" s="1364"/>
      <c r="X319" s="1364"/>
      <c r="Y319" s="1364"/>
      <c r="Z319" s="1364"/>
      <c r="AA319" s="1364"/>
      <c r="AB319" s="1341"/>
      <c r="AC319" s="1341"/>
      <c r="AD319" s="1341"/>
      <c r="AE319" s="1341"/>
      <c r="AF319" s="1341"/>
      <c r="AG319" s="1341"/>
      <c r="AH319" s="1336"/>
      <c r="AI319" s="1363"/>
    </row>
    <row r="320" spans="1:36">
      <c r="A320" s="1331">
        <v>51295</v>
      </c>
      <c r="B320" s="1336" t="s">
        <v>163</v>
      </c>
      <c r="C320" s="1341">
        <f>+IFERROR(VLOOKUP(A320,'2183 IS 2018'!$D:$AH,31,FALSE),0)</f>
        <v>85388.140000000014</v>
      </c>
      <c r="D320" s="1354">
        <f>+IFERROR(VLOOKUP(A320,'2184 IS 2018'!$D:$AH,31,FALSE),0)</f>
        <v>48696.310000000005</v>
      </c>
      <c r="E320" s="1354">
        <f>+IFERROR(VLOOKUP(A320,'2185 IS 2018'!$D:$AH,31,FALSE),0)</f>
        <v>8724.4199999999983</v>
      </c>
      <c r="F320" s="1342">
        <f t="shared" ref="F320:F321" si="550">SUM(C320:E320)</f>
        <v>142808.87</v>
      </c>
      <c r="G320" s="1343"/>
      <c r="H320" s="1341"/>
      <c r="I320" s="1341"/>
      <c r="J320" s="1341"/>
      <c r="K320" s="1341"/>
      <c r="L320" s="1362">
        <f t="shared" ref="L320:L321" si="551">F320+H320+I320+J320</f>
        <v>142808.87</v>
      </c>
      <c r="M320" s="1337"/>
      <c r="N320" s="1359">
        <f t="shared" ref="N320:N321" si="552">C320+H320</f>
        <v>85388.140000000014</v>
      </c>
      <c r="O320" s="1359">
        <f t="shared" ref="O320:O321" si="553">D320+I320</f>
        <v>48696.310000000005</v>
      </c>
      <c r="P320" s="1359">
        <f t="shared" ref="P320:P321" si="554">E320+J320</f>
        <v>8724.4199999999983</v>
      </c>
      <c r="Q320" s="1359">
        <f t="shared" ref="Q320:Q321" si="555">SUM(N320:P320)</f>
        <v>142808.87</v>
      </c>
      <c r="R320" s="1359"/>
      <c r="S320" s="1359"/>
      <c r="T320" s="1359"/>
      <c r="U320" s="1359"/>
      <c r="V320" s="1681">
        <f t="shared" ref="V320:V321" si="556">+SUM(S320:U320)</f>
        <v>0</v>
      </c>
      <c r="W320" s="1333"/>
      <c r="X320" s="1681">
        <f t="shared" ref="X320:X321" si="557">+S320+N320</f>
        <v>85388.140000000014</v>
      </c>
      <c r="Y320" s="1681">
        <f t="shared" ref="Y320:Y321" si="558">+T320+O320</f>
        <v>48696.310000000005</v>
      </c>
      <c r="Z320" s="1681">
        <f t="shared" ref="Z320:Z321" si="559">+U320+P320</f>
        <v>8724.4199999999983</v>
      </c>
      <c r="AA320" s="1681">
        <f t="shared" ref="AA320:AA321" si="560">+SUM(X320:Z320)</f>
        <v>142808.87</v>
      </c>
      <c r="AB320" s="1362">
        <f>$X320*'2183-2184-2185 Ratios'!C$60</f>
        <v>64990.453791990716</v>
      </c>
      <c r="AC320" s="1362">
        <f>$X320*'2183-2184-2185 Ratios'!D$60</f>
        <v>3311.0158007028353</v>
      </c>
      <c r="AD320" s="1362">
        <f>$X320*'2183-2184-2185 Ratios'!E$60</f>
        <v>732.57218845509828</v>
      </c>
      <c r="AE320" s="1362">
        <f>$X320*'2183-2184-2185 Ratios'!F$60</f>
        <v>16354.098218851355</v>
      </c>
      <c r="AF320" s="1341">
        <f>+Y320</f>
        <v>48696.310000000005</v>
      </c>
      <c r="AG320" s="1341">
        <f>+Z320</f>
        <v>8724.4199999999983</v>
      </c>
      <c r="AH320" s="1336" t="s">
        <v>350</v>
      </c>
      <c r="AI320" s="1363">
        <f>SUM(AB320:AG320)-AA320</f>
        <v>0</v>
      </c>
    </row>
    <row r="321" spans="1:36">
      <c r="A321" s="1331">
        <v>57357</v>
      </c>
      <c r="B321" s="1336" t="s">
        <v>146</v>
      </c>
      <c r="C321" s="1341">
        <f>+IFERROR(VLOOKUP(A321,'2183 IS 2018'!$D:$AH,31,FALSE),0)</f>
        <v>81.909999999999968</v>
      </c>
      <c r="D321" s="1354">
        <f>+IFERROR(VLOOKUP(A321,'2184 IS 2018'!$D:$AH,31,FALSE),0)</f>
        <v>3083.59</v>
      </c>
      <c r="E321" s="1354">
        <f>+IFERROR(VLOOKUP(A321,'2185 IS 2018'!$D:$AH,31,FALSE),0)</f>
        <v>2940.8900000000003</v>
      </c>
      <c r="F321" s="1342">
        <f t="shared" si="550"/>
        <v>6106.39</v>
      </c>
      <c r="G321" s="1343"/>
      <c r="H321" s="1341"/>
      <c r="I321" s="1341"/>
      <c r="J321" s="1341"/>
      <c r="K321" s="1341"/>
      <c r="L321" s="1362">
        <f t="shared" si="551"/>
        <v>6106.39</v>
      </c>
      <c r="M321" s="1337"/>
      <c r="N321" s="1359">
        <f t="shared" si="552"/>
        <v>81.909999999999968</v>
      </c>
      <c r="O321" s="1359">
        <f t="shared" si="553"/>
        <v>3083.59</v>
      </c>
      <c r="P321" s="1359">
        <f t="shared" si="554"/>
        <v>2940.8900000000003</v>
      </c>
      <c r="Q321" s="1359">
        <f t="shared" si="555"/>
        <v>6106.39</v>
      </c>
      <c r="R321" s="1359"/>
      <c r="S321" s="1359"/>
      <c r="T321" s="1359"/>
      <c r="U321" s="1359"/>
      <c r="V321" s="1681">
        <f t="shared" si="556"/>
        <v>0</v>
      </c>
      <c r="W321" s="1333"/>
      <c r="X321" s="1681">
        <f t="shared" si="557"/>
        <v>81.909999999999968</v>
      </c>
      <c r="Y321" s="1681">
        <f t="shared" si="558"/>
        <v>3083.59</v>
      </c>
      <c r="Z321" s="1681">
        <f t="shared" si="559"/>
        <v>2940.8900000000003</v>
      </c>
      <c r="AA321" s="1681">
        <f t="shared" si="560"/>
        <v>6106.39</v>
      </c>
      <c r="AB321" s="1362">
        <f>$X321*'2183-2184-2185 Ratios'!C$60</f>
        <v>62.343178690880919</v>
      </c>
      <c r="AC321" s="1362">
        <f>$X321*'2183-2184-2185 Ratios'!D$60</f>
        <v>3.1761472288255614</v>
      </c>
      <c r="AD321" s="1362">
        <f>$X321*'2183-2184-2185 Ratios'!E$60</f>
        <v>0.70273211193448015</v>
      </c>
      <c r="AE321" s="1362">
        <f>$X321*'2183-2184-2185 Ratios'!F$60</f>
        <v>15.687941968358999</v>
      </c>
      <c r="AF321" s="1341">
        <f>+Y321</f>
        <v>3083.59</v>
      </c>
      <c r="AG321" s="1341">
        <f>+Z321</f>
        <v>2940.8900000000003</v>
      </c>
      <c r="AH321" s="1336" t="s">
        <v>350</v>
      </c>
      <c r="AI321" s="1363">
        <f>SUM(AB321:AG321)-AA321</f>
        <v>0</v>
      </c>
    </row>
    <row r="322" spans="1:36">
      <c r="A322" s="1331"/>
      <c r="B322" s="1336"/>
      <c r="C322" s="1354"/>
      <c r="D322" s="1354"/>
      <c r="E322" s="1354"/>
      <c r="F322" s="1342"/>
      <c r="G322" s="1343"/>
      <c r="H322" s="1341"/>
      <c r="I322" s="1341"/>
      <c r="J322" s="1341"/>
      <c r="K322" s="1341"/>
      <c r="L322" s="1362"/>
      <c r="M322" s="1336"/>
      <c r="N322" s="1359"/>
      <c r="O322" s="1359"/>
      <c r="P322" s="1359"/>
      <c r="Q322" s="1359"/>
      <c r="R322" s="1359"/>
      <c r="S322" s="1359"/>
      <c r="T322" s="1359"/>
      <c r="U322" s="1359"/>
      <c r="V322" s="1364"/>
      <c r="W322" s="1364"/>
      <c r="X322" s="1364"/>
      <c r="Y322" s="1364"/>
      <c r="Z322" s="1364"/>
      <c r="AA322" s="1364"/>
      <c r="AB322" s="1341"/>
      <c r="AC322" s="1341"/>
      <c r="AD322" s="1341"/>
      <c r="AE322" s="1341"/>
      <c r="AF322" s="1341"/>
      <c r="AG322" s="1341"/>
      <c r="AH322" s="1336"/>
      <c r="AI322" s="1363"/>
    </row>
    <row r="323" spans="1:36">
      <c r="A323" s="1685">
        <v>52200</v>
      </c>
      <c r="B323" s="1386" t="s">
        <v>164</v>
      </c>
      <c r="C323" s="1366">
        <f>SUM(C320:C322)</f>
        <v>85470.050000000017</v>
      </c>
      <c r="D323" s="1366">
        <f t="shared" ref="D323:AI323" si="561">SUM(D320:D322)</f>
        <v>51779.900000000009</v>
      </c>
      <c r="E323" s="1366">
        <f t="shared" si="561"/>
        <v>11665.309999999998</v>
      </c>
      <c r="F323" s="1366">
        <f t="shared" si="561"/>
        <v>148915.26</v>
      </c>
      <c r="G323" s="1366">
        <f t="shared" si="561"/>
        <v>0</v>
      </c>
      <c r="H323" s="1366">
        <f t="shared" si="561"/>
        <v>0</v>
      </c>
      <c r="I323" s="1366">
        <f t="shared" si="561"/>
        <v>0</v>
      </c>
      <c r="J323" s="1366">
        <f t="shared" si="561"/>
        <v>0</v>
      </c>
      <c r="K323" s="1367"/>
      <c r="L323" s="1366">
        <f t="shared" si="561"/>
        <v>148915.26</v>
      </c>
      <c r="M323" s="1366"/>
      <c r="N323" s="1366">
        <f t="shared" si="561"/>
        <v>85470.050000000017</v>
      </c>
      <c r="O323" s="1366">
        <f t="shared" si="561"/>
        <v>51779.900000000009</v>
      </c>
      <c r="P323" s="1366">
        <f t="shared" si="561"/>
        <v>11665.309999999998</v>
      </c>
      <c r="Q323" s="1366">
        <f t="shared" si="561"/>
        <v>148915.26</v>
      </c>
      <c r="R323" s="1366"/>
      <c r="S323" s="1366">
        <f t="shared" si="561"/>
        <v>0</v>
      </c>
      <c r="T323" s="1366">
        <f t="shared" si="561"/>
        <v>0</v>
      </c>
      <c r="U323" s="1366">
        <f t="shared" si="561"/>
        <v>0</v>
      </c>
      <c r="V323" s="1366">
        <f t="shared" si="561"/>
        <v>0</v>
      </c>
      <c r="W323" s="1366"/>
      <c r="X323" s="1366">
        <f t="shared" si="561"/>
        <v>85470.050000000017</v>
      </c>
      <c r="Y323" s="1366">
        <f t="shared" si="561"/>
        <v>51779.900000000009</v>
      </c>
      <c r="Z323" s="1366">
        <f t="shared" si="561"/>
        <v>11665.309999999998</v>
      </c>
      <c r="AA323" s="1366">
        <f t="shared" si="561"/>
        <v>148915.26</v>
      </c>
      <c r="AB323" s="1366">
        <f t="shared" si="561"/>
        <v>65052.7969706816</v>
      </c>
      <c r="AC323" s="1366">
        <f t="shared" si="561"/>
        <v>3314.1919479316607</v>
      </c>
      <c r="AD323" s="1366">
        <f t="shared" si="561"/>
        <v>733.27492056703272</v>
      </c>
      <c r="AE323" s="1366">
        <f t="shared" si="561"/>
        <v>16369.786160819714</v>
      </c>
      <c r="AF323" s="1366">
        <f t="shared" si="561"/>
        <v>51779.900000000009</v>
      </c>
      <c r="AG323" s="1366">
        <f t="shared" si="561"/>
        <v>11665.309999999998</v>
      </c>
      <c r="AH323" s="1366">
        <f t="shared" si="561"/>
        <v>0</v>
      </c>
      <c r="AI323" s="1366">
        <f t="shared" si="561"/>
        <v>0</v>
      </c>
    </row>
    <row r="324" spans="1:36">
      <c r="A324" s="1331"/>
      <c r="B324" s="1336"/>
      <c r="C324" s="1354"/>
      <c r="D324" s="1333"/>
      <c r="E324" s="1342"/>
      <c r="F324" s="1342"/>
      <c r="G324" s="1336"/>
      <c r="H324" s="1341"/>
      <c r="I324" s="1341"/>
      <c r="J324" s="1341"/>
      <c r="K324" s="1341"/>
      <c r="L324" s="1341"/>
      <c r="M324" s="1336"/>
      <c r="N324" s="1342"/>
      <c r="O324" s="1336"/>
      <c r="P324" s="1336"/>
      <c r="Q324" s="1336"/>
      <c r="R324" s="1336"/>
      <c r="S324" s="1336"/>
      <c r="T324" s="1336"/>
      <c r="U324" s="1336"/>
      <c r="V324" s="1364"/>
      <c r="W324" s="1364"/>
      <c r="X324" s="1364"/>
      <c r="Y324" s="1364"/>
      <c r="Z324" s="1364"/>
      <c r="AA324" s="1364"/>
      <c r="AB324" s="1341"/>
      <c r="AC324" s="1341"/>
      <c r="AD324" s="1341"/>
      <c r="AE324" s="1341"/>
      <c r="AF324" s="1341"/>
      <c r="AG324" s="1341"/>
      <c r="AH324" s="1336"/>
      <c r="AI324" s="1363">
        <f>SUM(AB324:AG324)-AA324</f>
        <v>0</v>
      </c>
    </row>
    <row r="325" spans="1:36">
      <c r="A325" s="1331"/>
      <c r="B325" s="1336"/>
      <c r="C325" s="1354"/>
      <c r="D325" s="1333"/>
      <c r="E325" s="1342"/>
      <c r="F325" s="1342"/>
      <c r="G325" s="1336"/>
      <c r="H325" s="1341"/>
      <c r="I325" s="1341"/>
      <c r="J325" s="1341"/>
      <c r="K325" s="1341"/>
      <c r="L325" s="1341"/>
      <c r="M325" s="1336"/>
      <c r="N325" s="1342"/>
      <c r="O325" s="1336"/>
      <c r="P325" s="1336"/>
      <c r="Q325" s="1336"/>
      <c r="R325" s="1336"/>
      <c r="S325" s="1336"/>
      <c r="T325" s="1336"/>
      <c r="U325" s="1336"/>
      <c r="V325" s="1364"/>
      <c r="W325" s="1364"/>
      <c r="X325" s="1364"/>
      <c r="Y325" s="1364"/>
      <c r="Z325" s="1364"/>
      <c r="AA325" s="1364"/>
      <c r="AB325" s="1341"/>
      <c r="AC325" s="1341"/>
      <c r="AD325" s="1341"/>
      <c r="AE325" s="1341"/>
      <c r="AF325" s="1341"/>
      <c r="AG325" s="1341"/>
      <c r="AH325" s="1336"/>
      <c r="AI325" s="1363"/>
    </row>
    <row r="326" spans="1:36">
      <c r="A326" s="1331">
        <v>57275</v>
      </c>
      <c r="B326" s="1336" t="s">
        <v>165</v>
      </c>
      <c r="C326" s="1341">
        <f>+IFERROR(VLOOKUP(A326,'2183 IS 2018'!$D:$AH,31,FALSE),0)</f>
        <v>99737.95</v>
      </c>
      <c r="D326" s="1354">
        <f>+IFERROR(VLOOKUP(A326,'2184 IS 2018'!$D:$AH,31,FALSE),0)</f>
        <v>0</v>
      </c>
      <c r="E326" s="1354">
        <f>+IFERROR(VLOOKUP(A326,'2185 IS 2018'!$D:$AH,31,FALSE),0)</f>
        <v>0</v>
      </c>
      <c r="F326" s="1342">
        <f>SUM(C326:E326)</f>
        <v>99737.95</v>
      </c>
      <c r="G326" s="1343"/>
      <c r="H326" s="1341"/>
      <c r="I326" s="1341"/>
      <c r="J326" s="1341"/>
      <c r="K326" s="1341"/>
      <c r="L326" s="1362">
        <f t="shared" ref="L326" si="562">F326+H326+I326+J326</f>
        <v>99737.95</v>
      </c>
      <c r="M326" s="1337"/>
      <c r="N326" s="1359">
        <f t="shared" ref="N326" si="563">C326+H326</f>
        <v>99737.95</v>
      </c>
      <c r="O326" s="1359">
        <f t="shared" ref="O326" si="564">D326+I326</f>
        <v>0</v>
      </c>
      <c r="P326" s="1359">
        <f t="shared" ref="P326" si="565">E326+J326</f>
        <v>0</v>
      </c>
      <c r="Q326" s="1359">
        <f t="shared" ref="Q326" si="566">SUM(N326:P326)</f>
        <v>99737.95</v>
      </c>
      <c r="R326" s="1359"/>
      <c r="S326" s="1359"/>
      <c r="T326" s="1359"/>
      <c r="U326" s="1359"/>
      <c r="V326" s="1681">
        <f t="shared" ref="V326" si="567">+SUM(S326:U326)</f>
        <v>0</v>
      </c>
      <c r="W326" s="1333"/>
      <c r="X326" s="1681">
        <f t="shared" ref="X326" si="568">+S326+N326</f>
        <v>99737.95</v>
      </c>
      <c r="Y326" s="1681">
        <f t="shared" ref="Y326" si="569">+T326+O326</f>
        <v>0</v>
      </c>
      <c r="Z326" s="1681">
        <f t="shared" ref="Z326" si="570">+U326+P326</f>
        <v>0</v>
      </c>
      <c r="AA326" s="1681">
        <f t="shared" ref="AA326" si="571">+SUM(X326:Z326)</f>
        <v>99737.95</v>
      </c>
      <c r="AB326" s="1341">
        <f>+$AA326*'2183-2184-2185 Ratios'!C$35</f>
        <v>90132.576637891732</v>
      </c>
      <c r="AC326" s="1341">
        <f>+$AA326*'2183-2184-2185 Ratios'!D$35</f>
        <v>3464.5114633371504</v>
      </c>
      <c r="AD326" s="1341">
        <f>+$AA326*'2183-2184-2185 Ratios'!E$35</f>
        <v>906.83615770356846</v>
      </c>
      <c r="AE326" s="1341">
        <f>+$AA326*'2183-2184-2185 Ratios'!F$35</f>
        <v>2935.6411988046143</v>
      </c>
      <c r="AF326" s="1341">
        <f>+$AA326*'2183-2184-2185 Ratios'!G$35</f>
        <v>0</v>
      </c>
      <c r="AG326" s="1341">
        <f>+$AA326*'2183-2184-2185 Ratios'!H$35</f>
        <v>2298.3845422629338</v>
      </c>
      <c r="AH326" s="1379" t="s">
        <v>930</v>
      </c>
      <c r="AI326" s="1363">
        <f>SUM(AB326:AG326)-AA326</f>
        <v>0</v>
      </c>
    </row>
    <row r="327" spans="1:36">
      <c r="A327" s="1331"/>
      <c r="B327" s="1336"/>
      <c r="C327" s="1354"/>
      <c r="D327" s="1354"/>
      <c r="E327" s="1354"/>
      <c r="F327" s="1342"/>
      <c r="G327" s="1343"/>
      <c r="H327" s="1341"/>
      <c r="I327" s="1341"/>
      <c r="J327" s="1341"/>
      <c r="K327" s="1341"/>
      <c r="L327" s="1362"/>
      <c r="M327" s="1336"/>
      <c r="N327" s="1359"/>
      <c r="O327" s="1359"/>
      <c r="P327" s="1359"/>
      <c r="Q327" s="1359"/>
      <c r="R327" s="1359"/>
      <c r="S327" s="1359"/>
      <c r="T327" s="1359"/>
      <c r="U327" s="1359"/>
      <c r="V327" s="1364"/>
      <c r="W327" s="1364"/>
      <c r="X327" s="1364"/>
      <c r="Y327" s="1364"/>
      <c r="Z327" s="1364"/>
      <c r="AA327" s="1364"/>
      <c r="AB327" s="1341"/>
      <c r="AC327" s="1341"/>
      <c r="AD327" s="1341"/>
      <c r="AE327" s="1341"/>
      <c r="AF327" s="1341"/>
      <c r="AG327" s="1341"/>
      <c r="AH327" s="1336"/>
      <c r="AI327" s="1363"/>
    </row>
    <row r="328" spans="1:36">
      <c r="A328" s="1685">
        <v>52300</v>
      </c>
      <c r="B328" s="1386" t="s">
        <v>165</v>
      </c>
      <c r="C328" s="1366">
        <f t="shared" ref="C328:J328" si="572">SUM(C326:C327)</f>
        <v>99737.95</v>
      </c>
      <c r="D328" s="1366">
        <f t="shared" si="572"/>
        <v>0</v>
      </c>
      <c r="E328" s="1366">
        <f t="shared" si="572"/>
        <v>0</v>
      </c>
      <c r="F328" s="1366">
        <f t="shared" si="572"/>
        <v>99737.95</v>
      </c>
      <c r="G328" s="1366">
        <f t="shared" si="572"/>
        <v>0</v>
      </c>
      <c r="H328" s="1366">
        <f t="shared" si="572"/>
        <v>0</v>
      </c>
      <c r="I328" s="1366">
        <f t="shared" si="572"/>
        <v>0</v>
      </c>
      <c r="J328" s="1366">
        <f t="shared" si="572"/>
        <v>0</v>
      </c>
      <c r="K328" s="1367"/>
      <c r="L328" s="1366">
        <f>SUM(L326:L327)</f>
        <v>99737.95</v>
      </c>
      <c r="M328" s="1366"/>
      <c r="N328" s="1366">
        <f>SUM(N326:N327)</f>
        <v>99737.95</v>
      </c>
      <c r="O328" s="1366">
        <f>SUM(O326:O327)</f>
        <v>0</v>
      </c>
      <c r="P328" s="1366">
        <f>SUM(P326:P327)</f>
        <v>0</v>
      </c>
      <c r="Q328" s="1366">
        <f>SUM(Q326:Q327)</f>
        <v>99737.95</v>
      </c>
      <c r="R328" s="1366"/>
      <c r="S328" s="1366">
        <f>SUM(S326:S327)</f>
        <v>0</v>
      </c>
      <c r="T328" s="1366">
        <f>SUM(T326:T327)</f>
        <v>0</v>
      </c>
      <c r="U328" s="1366">
        <f>SUM(U326:U327)</f>
        <v>0</v>
      </c>
      <c r="V328" s="1366">
        <f>SUM(V326:V327)</f>
        <v>0</v>
      </c>
      <c r="W328" s="1366"/>
      <c r="X328" s="1366">
        <f t="shared" ref="X328:AI328" si="573">SUM(X326:X327)</f>
        <v>99737.95</v>
      </c>
      <c r="Y328" s="1366">
        <f t="shared" si="573"/>
        <v>0</v>
      </c>
      <c r="Z328" s="1366">
        <f t="shared" si="573"/>
        <v>0</v>
      </c>
      <c r="AA328" s="1366">
        <f t="shared" si="573"/>
        <v>99737.95</v>
      </c>
      <c r="AB328" s="1366">
        <f t="shared" si="573"/>
        <v>90132.576637891732</v>
      </c>
      <c r="AC328" s="1366">
        <f t="shared" si="573"/>
        <v>3464.5114633371504</v>
      </c>
      <c r="AD328" s="1366">
        <f t="shared" si="573"/>
        <v>906.83615770356846</v>
      </c>
      <c r="AE328" s="1366">
        <f t="shared" si="573"/>
        <v>2935.6411988046143</v>
      </c>
      <c r="AF328" s="1366">
        <f t="shared" si="573"/>
        <v>0</v>
      </c>
      <c r="AG328" s="1366">
        <f t="shared" si="573"/>
        <v>2298.3845422629338</v>
      </c>
      <c r="AH328" s="1366">
        <f t="shared" si="573"/>
        <v>0</v>
      </c>
      <c r="AI328" s="1366">
        <f t="shared" si="573"/>
        <v>0</v>
      </c>
      <c r="AJ328" s="53">
        <f>SUM(AJ326:AJ326)</f>
        <v>0</v>
      </c>
    </row>
    <row r="329" spans="1:36">
      <c r="A329" s="1331"/>
      <c r="B329" s="1336"/>
      <c r="C329" s="1354"/>
      <c r="D329" s="1333"/>
      <c r="E329" s="1342"/>
      <c r="F329" s="1342"/>
      <c r="G329" s="1336"/>
      <c r="H329" s="1341"/>
      <c r="I329" s="1341"/>
      <c r="J329" s="1341"/>
      <c r="K329" s="1341"/>
      <c r="L329" s="1341"/>
      <c r="M329" s="1336"/>
      <c r="N329" s="1342"/>
      <c r="O329" s="1336"/>
      <c r="P329" s="1336"/>
      <c r="Q329" s="1336"/>
      <c r="R329" s="1336"/>
      <c r="S329" s="1336"/>
      <c r="T329" s="1336"/>
      <c r="U329" s="1336"/>
      <c r="V329" s="1364"/>
      <c r="W329" s="1364"/>
      <c r="X329" s="1364"/>
      <c r="Y329" s="1364"/>
      <c r="Z329" s="1364"/>
      <c r="AA329" s="1364"/>
      <c r="AB329" s="1341"/>
      <c r="AC329" s="1341"/>
      <c r="AD329" s="1341"/>
      <c r="AE329" s="1341"/>
      <c r="AF329" s="1341"/>
      <c r="AG329" s="1341"/>
      <c r="AH329" s="1336"/>
      <c r="AI329" s="1363">
        <f t="shared" ref="AI329:AI336" si="574">SUM(AB329:AG329)-AA329</f>
        <v>0</v>
      </c>
    </row>
    <row r="330" spans="1:36">
      <c r="A330" s="1331"/>
      <c r="B330" s="1336"/>
      <c r="C330" s="1354"/>
      <c r="D330" s="1333"/>
      <c r="E330" s="1342"/>
      <c r="F330" s="1342"/>
      <c r="G330" s="1336"/>
      <c r="H330" s="1341"/>
      <c r="I330" s="1341"/>
      <c r="J330" s="1341"/>
      <c r="K330" s="1341"/>
      <c r="L330" s="1341"/>
      <c r="M330" s="1336"/>
      <c r="N330" s="1342"/>
      <c r="O330" s="1336"/>
      <c r="P330" s="1336"/>
      <c r="Q330" s="1336"/>
      <c r="R330" s="1336"/>
      <c r="S330" s="1336"/>
      <c r="T330" s="1336"/>
      <c r="U330" s="1336"/>
      <c r="V330" s="1364"/>
      <c r="W330" s="1364"/>
      <c r="X330" s="1364"/>
      <c r="Y330" s="1364"/>
      <c r="Z330" s="1364"/>
      <c r="AA330" s="1364"/>
      <c r="AB330" s="1341"/>
      <c r="AC330" s="1341"/>
      <c r="AD330" s="1341"/>
      <c r="AE330" s="1341"/>
      <c r="AF330" s="1341"/>
      <c r="AG330" s="1341"/>
      <c r="AH330" s="1336"/>
      <c r="AI330" s="1363"/>
    </row>
    <row r="331" spans="1:36">
      <c r="A331" s="1331">
        <v>50050</v>
      </c>
      <c r="B331" s="1336" t="s">
        <v>166</v>
      </c>
      <c r="C331" s="1341">
        <f>+IFERROR(VLOOKUP(A331,'2183 IS 2018'!$D:$AH,31,FALSE),0)</f>
        <v>354424.87000000005</v>
      </c>
      <c r="D331" s="1354">
        <f>+IFERROR(VLOOKUP(A331,'2184 IS 2018'!$D:$AH,31,FALSE),0)</f>
        <v>107146.46</v>
      </c>
      <c r="E331" s="1354">
        <f>+IFERROR(VLOOKUP(A331,'2185 IS 2018'!$D:$AH,31,FALSE),0)</f>
        <v>73172.83</v>
      </c>
      <c r="F331" s="1342">
        <f t="shared" ref="F331:F336" si="575">SUM(C331:E331)</f>
        <v>534744.16</v>
      </c>
      <c r="G331" s="1343"/>
      <c r="H331" s="1341"/>
      <c r="I331" s="1341"/>
      <c r="J331" s="1341"/>
      <c r="K331" s="1341"/>
      <c r="L331" s="1362">
        <f t="shared" ref="L331:L336" si="576">F331+H331+I331+J331</f>
        <v>534744.16</v>
      </c>
      <c r="M331" s="1337"/>
      <c r="N331" s="1359">
        <f t="shared" ref="N331:N336" si="577">C331+H331</f>
        <v>354424.87000000005</v>
      </c>
      <c r="O331" s="1359">
        <f t="shared" ref="O331:O336" si="578">D331+I331</f>
        <v>107146.46</v>
      </c>
      <c r="P331" s="1359">
        <f t="shared" ref="P331:P336" si="579">E331+J331</f>
        <v>73172.83</v>
      </c>
      <c r="Q331" s="1359">
        <f t="shared" ref="Q331:Q336" si="580">SUM(N331:P331)</f>
        <v>534744.16</v>
      </c>
      <c r="R331" s="1359"/>
      <c r="S331" s="1359">
        <f>+'Pro-forma Adj''s'!B89+'Pro-forma Adj''s'!B18</f>
        <v>16297.706992542528</v>
      </c>
      <c r="T331" s="1359"/>
      <c r="U331" s="1359"/>
      <c r="V331" s="1681">
        <f t="shared" ref="V331:V336" si="581">+SUM(S331:U331)</f>
        <v>16297.706992542528</v>
      </c>
      <c r="W331" s="1369" t="s">
        <v>2713</v>
      </c>
      <c r="X331" s="1681">
        <f t="shared" ref="X331:X336" si="582">+S331+N331</f>
        <v>370722.5769925426</v>
      </c>
      <c r="Y331" s="1681">
        <f t="shared" ref="Y331:Y336" si="583">+T331+O331</f>
        <v>107146.46</v>
      </c>
      <c r="Z331" s="1681">
        <f t="shared" ref="Z331:Z336" si="584">+U331+P331</f>
        <v>73172.83</v>
      </c>
      <c r="AA331" s="1681">
        <f t="shared" ref="AA331:AA336" si="585">+SUM(X331:Z331)</f>
        <v>551041.86699254264</v>
      </c>
      <c r="AB331" s="1362">
        <f>$X331*'2183-2184-2185 Ratios'!C$60</f>
        <v>282163.64134037297</v>
      </c>
      <c r="AC331" s="1362">
        <f>$X331*'2183-2184-2185 Ratios'!D$60</f>
        <v>14375.161586838427</v>
      </c>
      <c r="AD331" s="1362">
        <f>$X331*'2183-2184-2185 Ratios'!E$60</f>
        <v>3180.5476678276459</v>
      </c>
      <c r="AE331" s="1362">
        <f>$X331*'2183-2184-2185 Ratios'!F$60</f>
        <v>71003.226397503502</v>
      </c>
      <c r="AF331" s="1341">
        <f>+Y331</f>
        <v>107146.46</v>
      </c>
      <c r="AG331" s="1341">
        <f>+Z331</f>
        <v>73172.83</v>
      </c>
      <c r="AH331" s="1336" t="s">
        <v>350</v>
      </c>
      <c r="AI331" s="1363">
        <f t="shared" si="574"/>
        <v>0</v>
      </c>
    </row>
    <row r="332" spans="1:36">
      <c r="A332" s="1331">
        <v>52050</v>
      </c>
      <c r="B332" s="1336" t="s">
        <v>166</v>
      </c>
      <c r="C332" s="1341">
        <f>+IFERROR(VLOOKUP(A332,'2183 IS 2018'!$D:$AH,31,FALSE),0)</f>
        <v>64548.420000000006</v>
      </c>
      <c r="D332" s="1354">
        <f>+IFERROR(VLOOKUP(A332,'2184 IS 2018'!$D:$AH,31,FALSE),0)</f>
        <v>10144.24</v>
      </c>
      <c r="E332" s="1354">
        <f>+IFERROR(VLOOKUP(A332,'2185 IS 2018'!$D:$AH,31,FALSE),0)</f>
        <v>4409.5199999999995</v>
      </c>
      <c r="F332" s="1342">
        <f t="shared" si="575"/>
        <v>79102.180000000008</v>
      </c>
      <c r="G332" s="1343"/>
      <c r="H332" s="1341">
        <f>+$F332*'2183-2184-2185 Ratios'!$C$147-'Consolidated IS '!C332</f>
        <v>-1070.5388743786752</v>
      </c>
      <c r="I332" s="1341">
        <f>+$F332*'2183-2184-2185 Ratios'!$D$147-'Consolidated IS '!D332</f>
        <v>-2867.5860950122378</v>
      </c>
      <c r="J332" s="1341">
        <f>+$F332*'2183-2184-2185 Ratios'!$E$147-'Consolidated IS '!E332</f>
        <v>3938.1249693909149</v>
      </c>
      <c r="K332" s="1341" t="s">
        <v>1803</v>
      </c>
      <c r="L332" s="1362">
        <f t="shared" si="576"/>
        <v>79102.180000000008</v>
      </c>
      <c r="M332" s="1337"/>
      <c r="N332" s="1359">
        <f t="shared" si="577"/>
        <v>63477.88112562133</v>
      </c>
      <c r="O332" s="1359">
        <f t="shared" si="578"/>
        <v>7276.653904987762</v>
      </c>
      <c r="P332" s="1359">
        <f t="shared" si="579"/>
        <v>8347.6449693909144</v>
      </c>
      <c r="Q332" s="1359">
        <f t="shared" si="580"/>
        <v>79102.180000000008</v>
      </c>
      <c r="R332" s="1359"/>
      <c r="S332" s="1359">
        <f>+'Pro-forma Adj''s'!B19</f>
        <v>1452.6122190907204</v>
      </c>
      <c r="T332" s="1359"/>
      <c r="U332" s="1359"/>
      <c r="V332" s="1681">
        <f t="shared" si="581"/>
        <v>1452.6122190907204</v>
      </c>
      <c r="W332" s="1369" t="s">
        <v>876</v>
      </c>
      <c r="X332" s="1681">
        <f t="shared" si="582"/>
        <v>64930.493344712049</v>
      </c>
      <c r="Y332" s="1681">
        <f t="shared" si="583"/>
        <v>7276.653904987762</v>
      </c>
      <c r="Z332" s="1681">
        <f t="shared" si="584"/>
        <v>8347.6449693909144</v>
      </c>
      <c r="AA332" s="1681">
        <f t="shared" si="585"/>
        <v>80554.792219090727</v>
      </c>
      <c r="AB332" s="1362">
        <f>$X332*'2183-2184-2185 Ratios'!C$60</f>
        <v>49419.769858093503</v>
      </c>
      <c r="AC332" s="1362">
        <f>$X332*'2183-2184-2185 Ratios'!D$60</f>
        <v>2517.7488280195803</v>
      </c>
      <c r="AD332" s="1362">
        <f>$X332*'2183-2184-2185 Ratios'!E$60</f>
        <v>557.05948867143479</v>
      </c>
      <c r="AE332" s="1362">
        <f>$X332*'2183-2184-2185 Ratios'!F$60</f>
        <v>12435.915169927521</v>
      </c>
      <c r="AF332" s="1341">
        <f>+Y332</f>
        <v>7276.653904987762</v>
      </c>
      <c r="AG332" s="1341">
        <f>+Z332</f>
        <v>8347.6449693909144</v>
      </c>
      <c r="AH332" s="1336" t="s">
        <v>350</v>
      </c>
      <c r="AI332" s="1363">
        <f t="shared" si="574"/>
        <v>0</v>
      </c>
    </row>
    <row r="333" spans="1:36">
      <c r="A333" s="1331">
        <v>55050</v>
      </c>
      <c r="B333" s="1336" t="s">
        <v>166</v>
      </c>
      <c r="C333" s="1341">
        <f>+IFERROR(VLOOKUP(A333,'2183 IS 2018'!$D:$AH,31,FALSE),0)</f>
        <v>369.72</v>
      </c>
      <c r="D333" s="1354">
        <f>+IFERROR(VLOOKUP(A333,'2184 IS 2018'!$D:$AH,31,FALSE),0)</f>
        <v>0</v>
      </c>
      <c r="E333" s="1354">
        <f>+IFERROR(VLOOKUP(A333,'2185 IS 2018'!$D:$AH,31,FALSE),0)</f>
        <v>0</v>
      </c>
      <c r="F333" s="1342">
        <f t="shared" si="575"/>
        <v>369.72</v>
      </c>
      <c r="G333" s="1343"/>
      <c r="H333" s="1341"/>
      <c r="I333" s="1341"/>
      <c r="J333" s="1341"/>
      <c r="K333" s="1341"/>
      <c r="L333" s="1362">
        <f t="shared" si="576"/>
        <v>369.72</v>
      </c>
      <c r="M333" s="1337"/>
      <c r="N333" s="1359">
        <f t="shared" si="577"/>
        <v>369.72</v>
      </c>
      <c r="O333" s="1359">
        <f t="shared" si="578"/>
        <v>0</v>
      </c>
      <c r="P333" s="1359">
        <f t="shared" si="579"/>
        <v>0</v>
      </c>
      <c r="Q333" s="1359">
        <f t="shared" si="580"/>
        <v>369.72</v>
      </c>
      <c r="R333" s="1359"/>
      <c r="S333" s="1359">
        <f>+'Pro-forma Adj''s'!B20</f>
        <v>55.499726568656165</v>
      </c>
      <c r="T333" s="1359"/>
      <c r="U333" s="1359"/>
      <c r="V333" s="1681">
        <f t="shared" si="581"/>
        <v>55.499726568656165</v>
      </c>
      <c r="W333" s="1369" t="s">
        <v>876</v>
      </c>
      <c r="X333" s="1681">
        <f t="shared" si="582"/>
        <v>425.2197265686562</v>
      </c>
      <c r="Y333" s="1681">
        <f t="shared" si="583"/>
        <v>0</v>
      </c>
      <c r="Z333" s="1681">
        <f t="shared" si="584"/>
        <v>0</v>
      </c>
      <c r="AA333" s="1681">
        <f t="shared" si="585"/>
        <v>425.2197265686562</v>
      </c>
      <c r="AB333" s="1362">
        <f>+$X333*'2183-2184-2185 Ratios'!C$37</f>
        <v>223.19298755723932</v>
      </c>
      <c r="AC333" s="1362">
        <f>+$X333*'2183-2184-2185 Ratios'!D$37</f>
        <v>6.4493795685277142</v>
      </c>
      <c r="AD333" s="1362">
        <f>+$X333*'2183-2184-2185 Ratios'!E$37</f>
        <v>1.8791125116889011</v>
      </c>
      <c r="AE333" s="1362">
        <f>+$X333*'2183-2184-2185 Ratios'!F$37</f>
        <v>193.69824693120026</v>
      </c>
      <c r="AF333" s="1362">
        <f t="shared" ref="AF333" si="586">+Y333</f>
        <v>0</v>
      </c>
      <c r="AG333" s="1362">
        <f t="shared" ref="AG333" si="587">+Z333</f>
        <v>0</v>
      </c>
      <c r="AH333" s="1336" t="s">
        <v>950</v>
      </c>
      <c r="AI333" s="1363">
        <f t="shared" si="574"/>
        <v>0</v>
      </c>
    </row>
    <row r="334" spans="1:36">
      <c r="A334" s="1331">
        <v>56050</v>
      </c>
      <c r="B334" s="1336" t="s">
        <v>166</v>
      </c>
      <c r="C334" s="1341">
        <f>+IFERROR(VLOOKUP(A334,'2183 IS 2018'!$D:$AH,31,FALSE),0)</f>
        <v>27623.06</v>
      </c>
      <c r="D334" s="1354">
        <f>+IFERROR(VLOOKUP(A334,'2184 IS 2018'!$D:$AH,31,FALSE),0)</f>
        <v>0</v>
      </c>
      <c r="E334" s="1354">
        <f>+IFERROR(VLOOKUP(A334,'2185 IS 2018'!$D:$AH,31,FALSE),0)</f>
        <v>0</v>
      </c>
      <c r="F334" s="1342">
        <f t="shared" si="575"/>
        <v>27623.06</v>
      </c>
      <c r="G334" s="1343"/>
      <c r="H334" s="1341"/>
      <c r="I334" s="1341"/>
      <c r="J334" s="1341"/>
      <c r="K334" s="1341"/>
      <c r="L334" s="1362">
        <f t="shared" si="576"/>
        <v>27623.06</v>
      </c>
      <c r="M334" s="1337"/>
      <c r="N334" s="1359">
        <f t="shared" si="577"/>
        <v>27623.06</v>
      </c>
      <c r="O334" s="1359">
        <f t="shared" si="578"/>
        <v>0</v>
      </c>
      <c r="P334" s="1359">
        <f t="shared" si="579"/>
        <v>0</v>
      </c>
      <c r="Q334" s="1359">
        <f t="shared" si="580"/>
        <v>27623.06</v>
      </c>
      <c r="R334" s="1359"/>
      <c r="S334" s="1359">
        <f>+'Pro-forma Adj''s'!B21</f>
        <v>568.50744499615018</v>
      </c>
      <c r="T334" s="1359"/>
      <c r="U334" s="1359"/>
      <c r="V334" s="1681">
        <f t="shared" si="581"/>
        <v>568.50744499615018</v>
      </c>
      <c r="W334" s="1369" t="s">
        <v>876</v>
      </c>
      <c r="X334" s="1681">
        <f t="shared" si="582"/>
        <v>28191.567444996152</v>
      </c>
      <c r="Y334" s="1681">
        <f t="shared" si="583"/>
        <v>0</v>
      </c>
      <c r="Z334" s="1681">
        <f t="shared" si="584"/>
        <v>0</v>
      </c>
      <c r="AA334" s="1681">
        <f t="shared" si="585"/>
        <v>28191.567444996152</v>
      </c>
      <c r="AB334" s="1362">
        <f t="shared" ref="AB334:AG334" si="588">+$AA334*(AB$91/SUM($AB$91:$AG$91))</f>
        <v>17609.653918237615</v>
      </c>
      <c r="AC334" s="1362">
        <f t="shared" si="588"/>
        <v>897.14471843522972</v>
      </c>
      <c r="AD334" s="1362">
        <f t="shared" si="588"/>
        <v>198.49596296264104</v>
      </c>
      <c r="AE334" s="1362">
        <f t="shared" si="588"/>
        <v>4431.266331830564</v>
      </c>
      <c r="AF334" s="1362">
        <f t="shared" si="588"/>
        <v>0</v>
      </c>
      <c r="AG334" s="1362">
        <f t="shared" si="588"/>
        <v>5055.0065135301002</v>
      </c>
      <c r="AH334" s="1336" t="s">
        <v>916</v>
      </c>
      <c r="AI334" s="1363">
        <f t="shared" si="574"/>
        <v>0</v>
      </c>
    </row>
    <row r="335" spans="1:36">
      <c r="A335" s="1331">
        <v>60050</v>
      </c>
      <c r="B335" s="1336" t="s">
        <v>166</v>
      </c>
      <c r="C335" s="1341">
        <f>+IFERROR(VLOOKUP(A335,'2183 IS 2018'!$D:$AH,31,FALSE),0)</f>
        <v>4670.9799999999996</v>
      </c>
      <c r="D335" s="1354">
        <f>+IFERROR(VLOOKUP(A335,'2184 IS 2018'!$D:$AH,31,FALSE),0)</f>
        <v>0</v>
      </c>
      <c r="E335" s="1354">
        <f>+IFERROR(VLOOKUP(A335,'2185 IS 2018'!$D:$AH,31,FALSE),0)</f>
        <v>20190.079999999998</v>
      </c>
      <c r="F335" s="1342">
        <f t="shared" si="575"/>
        <v>24861.059999999998</v>
      </c>
      <c r="G335" s="1343"/>
      <c r="H335" s="1341"/>
      <c r="I335" s="1341"/>
      <c r="J335" s="1341"/>
      <c r="K335" s="1341"/>
      <c r="L335" s="1362">
        <f t="shared" si="576"/>
        <v>24861.059999999998</v>
      </c>
      <c r="M335" s="1337"/>
      <c r="N335" s="1359">
        <f t="shared" si="577"/>
        <v>4670.9799999999996</v>
      </c>
      <c r="O335" s="1359">
        <f t="shared" si="578"/>
        <v>0</v>
      </c>
      <c r="P335" s="1359">
        <f t="shared" si="579"/>
        <v>20190.079999999998</v>
      </c>
      <c r="Q335" s="1359">
        <f t="shared" si="580"/>
        <v>24861.059999999998</v>
      </c>
      <c r="R335" s="1359"/>
      <c r="S335" s="1359">
        <f>+'Pro-forma Adj''s'!B23</f>
        <v>122.51606991923035</v>
      </c>
      <c r="T335" s="1359"/>
      <c r="U335" s="1359"/>
      <c r="V335" s="1681">
        <f t="shared" si="581"/>
        <v>122.51606991923035</v>
      </c>
      <c r="W335" s="1369" t="s">
        <v>876</v>
      </c>
      <c r="X335" s="1681">
        <f t="shared" si="582"/>
        <v>4793.4960699192297</v>
      </c>
      <c r="Y335" s="1681">
        <f t="shared" si="583"/>
        <v>0</v>
      </c>
      <c r="Z335" s="1681">
        <f t="shared" si="584"/>
        <v>20190.079999999998</v>
      </c>
      <c r="AA335" s="1681">
        <f t="shared" si="585"/>
        <v>24983.576069919229</v>
      </c>
      <c r="AB335" s="1341">
        <v>0</v>
      </c>
      <c r="AC335" s="1341">
        <v>0</v>
      </c>
      <c r="AD335" s="1341">
        <v>0</v>
      </c>
      <c r="AE335" s="1341">
        <f t="shared" ref="AE335" si="589">+X335</f>
        <v>4793.4960699192297</v>
      </c>
      <c r="AF335" s="1341">
        <f>+Y335</f>
        <v>0</v>
      </c>
      <c r="AG335" s="1341">
        <f>+Z335</f>
        <v>20190.079999999998</v>
      </c>
      <c r="AH335" s="1336" t="s">
        <v>348</v>
      </c>
      <c r="AI335" s="1363">
        <f t="shared" si="574"/>
        <v>0</v>
      </c>
    </row>
    <row r="336" spans="1:36">
      <c r="A336" s="1331">
        <v>70050</v>
      </c>
      <c r="B336" s="1336" t="s">
        <v>166</v>
      </c>
      <c r="C336" s="1341">
        <f>+IFERROR(VLOOKUP(A336,'2183 IS 2018'!$D:$AH,31,FALSE),0)</f>
        <v>86959.29</v>
      </c>
      <c r="D336" s="1354">
        <f>+IFERROR(VLOOKUP(A336,'2184 IS 2018'!$D:$AH,31,FALSE),0)</f>
        <v>10916.170000000002</v>
      </c>
      <c r="E336" s="1354">
        <f>+IFERROR(VLOOKUP(A336,'2185 IS 2018'!$D:$AH,31,FALSE),0)</f>
        <v>11506.199999999999</v>
      </c>
      <c r="F336" s="1342">
        <f t="shared" si="575"/>
        <v>109381.65999999999</v>
      </c>
      <c r="G336" s="1343"/>
      <c r="H336" s="1341">
        <f>+'Restating Adj''s'!B106</f>
        <v>2212.116880011612</v>
      </c>
      <c r="I336" s="1341">
        <f>+'Restating Adj''s'!C106</f>
        <v>436.89304029400239</v>
      </c>
      <c r="J336" s="1341">
        <f>+'Restating Adj''s'!D106</f>
        <v>271.31132254198963</v>
      </c>
      <c r="K336" s="1369" t="s">
        <v>576</v>
      </c>
      <c r="L336" s="1362">
        <f t="shared" si="576"/>
        <v>112301.9812428476</v>
      </c>
      <c r="M336" s="1337"/>
      <c r="N336" s="1359">
        <f t="shared" si="577"/>
        <v>89171.406880011607</v>
      </c>
      <c r="O336" s="1359">
        <f t="shared" si="578"/>
        <v>11353.063040294004</v>
      </c>
      <c r="P336" s="1359">
        <f t="shared" si="579"/>
        <v>11777.511322541988</v>
      </c>
      <c r="Q336" s="1359">
        <f t="shared" si="580"/>
        <v>112301.9812428476</v>
      </c>
      <c r="R336" s="1359"/>
      <c r="S336" s="1359">
        <f>+'Pro-forma Adj''s'!B22</f>
        <v>1855.1751312056615</v>
      </c>
      <c r="T336" s="1359"/>
      <c r="U336" s="1359"/>
      <c r="V336" s="1681">
        <f t="shared" si="581"/>
        <v>1855.1751312056615</v>
      </c>
      <c r="W336" s="1369" t="s">
        <v>876</v>
      </c>
      <c r="X336" s="1681">
        <f t="shared" si="582"/>
        <v>91026.582011217266</v>
      </c>
      <c r="Y336" s="1681">
        <f t="shared" si="583"/>
        <v>11353.063040294004</v>
      </c>
      <c r="Z336" s="1681">
        <f t="shared" si="584"/>
        <v>11777.511322541988</v>
      </c>
      <c r="AA336" s="1681">
        <f t="shared" si="585"/>
        <v>114157.15637405326</v>
      </c>
      <c r="AB336" s="1362">
        <f>$X336*'2183-2184-2185 Ratios'!C$60</f>
        <v>69281.973726595606</v>
      </c>
      <c r="AC336" s="1362">
        <f>$X336*'2183-2184-2185 Ratios'!D$60</f>
        <v>3529.6523770527474</v>
      </c>
      <c r="AD336" s="1362">
        <f>$X336*'2183-2184-2185 Ratios'!E$60</f>
        <v>780.94618750970449</v>
      </c>
      <c r="AE336" s="1362">
        <f>$X336*'2183-2184-2185 Ratios'!F$60</f>
        <v>17434.009720059188</v>
      </c>
      <c r="AF336" s="1341">
        <f>+Y336</f>
        <v>11353.063040294004</v>
      </c>
      <c r="AG336" s="1341">
        <f>+Z336</f>
        <v>11777.511322541988</v>
      </c>
      <c r="AH336" s="1336" t="s">
        <v>350</v>
      </c>
      <c r="AI336" s="1363">
        <f t="shared" si="574"/>
        <v>0</v>
      </c>
    </row>
    <row r="337" spans="1:36">
      <c r="A337" s="1331"/>
      <c r="B337" s="1336"/>
      <c r="C337" s="1354"/>
      <c r="D337" s="1354"/>
      <c r="E337" s="1354"/>
      <c r="F337" s="1342"/>
      <c r="G337" s="1343"/>
      <c r="H337" s="1341"/>
      <c r="I337" s="1341"/>
      <c r="J337" s="1341"/>
      <c r="K337" s="1341"/>
      <c r="L337" s="1362"/>
      <c r="M337" s="1336"/>
      <c r="N337" s="1359"/>
      <c r="O337" s="1359"/>
      <c r="P337" s="1359"/>
      <c r="Q337" s="1359"/>
      <c r="R337" s="1359"/>
      <c r="S337" s="1359"/>
      <c r="T337" s="1359"/>
      <c r="U337" s="1359"/>
      <c r="V337" s="1364"/>
      <c r="W337" s="1364"/>
      <c r="X337" s="1364"/>
      <c r="Y337" s="1364"/>
      <c r="Z337" s="1364"/>
      <c r="AA337" s="1364"/>
      <c r="AB337" s="1362"/>
      <c r="AC337" s="1362"/>
      <c r="AD337" s="1362"/>
      <c r="AE337" s="1341"/>
      <c r="AF337" s="1341"/>
      <c r="AG337" s="1341"/>
      <c r="AH337" s="1336"/>
      <c r="AI337" s="1363"/>
    </row>
    <row r="338" spans="1:36">
      <c r="A338" s="1685">
        <v>52400</v>
      </c>
      <c r="B338" s="1386" t="s">
        <v>166</v>
      </c>
      <c r="C338" s="1366">
        <f>SUM(C331:C337)</f>
        <v>538596.34</v>
      </c>
      <c r="D338" s="1366">
        <f t="shared" ref="D338:AI338" si="590">SUM(D331:D337)</f>
        <v>128206.87000000001</v>
      </c>
      <c r="E338" s="1366">
        <f t="shared" si="590"/>
        <v>109278.63</v>
      </c>
      <c r="F338" s="1366">
        <f t="shared" si="590"/>
        <v>776081.8400000002</v>
      </c>
      <c r="G338" s="1366">
        <f t="shared" si="590"/>
        <v>0</v>
      </c>
      <c r="H338" s="1366">
        <f t="shared" si="590"/>
        <v>1141.5780056329368</v>
      </c>
      <c r="I338" s="1366">
        <f t="shared" si="590"/>
        <v>-2430.6930547182355</v>
      </c>
      <c r="J338" s="1366">
        <f t="shared" si="590"/>
        <v>4209.4362919329042</v>
      </c>
      <c r="K338" s="1367"/>
      <c r="L338" s="1366">
        <f t="shared" si="590"/>
        <v>779002.1612428478</v>
      </c>
      <c r="M338" s="1366"/>
      <c r="N338" s="1366">
        <f t="shared" si="590"/>
        <v>539737.91800563294</v>
      </c>
      <c r="O338" s="1366">
        <f t="shared" si="590"/>
        <v>125776.17694528177</v>
      </c>
      <c r="P338" s="1366">
        <f t="shared" si="590"/>
        <v>113488.0662919329</v>
      </c>
      <c r="Q338" s="1366">
        <f t="shared" si="590"/>
        <v>779002.1612428478</v>
      </c>
      <c r="R338" s="1366"/>
      <c r="S338" s="1366">
        <f>SUM(S331:S337)</f>
        <v>20352.017584322948</v>
      </c>
      <c r="T338" s="1366">
        <f t="shared" si="590"/>
        <v>0</v>
      </c>
      <c r="U338" s="1366">
        <f t="shared" si="590"/>
        <v>0</v>
      </c>
      <c r="V338" s="1366">
        <f t="shared" si="590"/>
        <v>20352.017584322948</v>
      </c>
      <c r="W338" s="1366"/>
      <c r="X338" s="1366">
        <f t="shared" si="590"/>
        <v>560089.935589956</v>
      </c>
      <c r="Y338" s="1366">
        <f t="shared" si="590"/>
        <v>125776.17694528177</v>
      </c>
      <c r="Z338" s="1366">
        <f t="shared" si="590"/>
        <v>113488.0662919329</v>
      </c>
      <c r="AA338" s="1366">
        <f t="shared" si="590"/>
        <v>799354.17882717075</v>
      </c>
      <c r="AB338" s="1366">
        <f t="shared" si="590"/>
        <v>418698.231830857</v>
      </c>
      <c r="AC338" s="1366">
        <f t="shared" si="590"/>
        <v>21326.156889914513</v>
      </c>
      <c r="AD338" s="1366">
        <f t="shared" si="590"/>
        <v>4718.9284194831152</v>
      </c>
      <c r="AE338" s="1366">
        <f t="shared" si="590"/>
        <v>110291.6119361712</v>
      </c>
      <c r="AF338" s="1366">
        <f t="shared" si="590"/>
        <v>125776.17694528177</v>
      </c>
      <c r="AG338" s="1366">
        <f t="shared" si="590"/>
        <v>118543.072805463</v>
      </c>
      <c r="AH338" s="1366">
        <f t="shared" si="590"/>
        <v>0</v>
      </c>
      <c r="AI338" s="1366">
        <f t="shared" si="590"/>
        <v>0</v>
      </c>
    </row>
    <row r="339" spans="1:36">
      <c r="A339" s="1331"/>
      <c r="B339" s="1336"/>
      <c r="C339" s="1354"/>
      <c r="D339" s="1333"/>
      <c r="E339" s="1342"/>
      <c r="F339" s="1342"/>
      <c r="G339" s="1336"/>
      <c r="H339" s="1341"/>
      <c r="I339" s="1341"/>
      <c r="J339" s="1341"/>
      <c r="K339" s="1341"/>
      <c r="L339" s="1341"/>
      <c r="M339" s="1336"/>
      <c r="N339" s="1342"/>
      <c r="O339" s="1336"/>
      <c r="P339" s="1336"/>
      <c r="Q339" s="1336"/>
      <c r="R339" s="1336"/>
      <c r="S339" s="1336"/>
      <c r="T339" s="1336"/>
      <c r="U339" s="1336"/>
      <c r="V339" s="1364"/>
      <c r="W339" s="1364"/>
      <c r="X339" s="1364"/>
      <c r="Y339" s="1364"/>
      <c r="Z339" s="1364"/>
      <c r="AA339" s="1364"/>
      <c r="AB339" s="1341"/>
      <c r="AC339" s="1341"/>
      <c r="AD339" s="1341"/>
      <c r="AE339" s="1341"/>
      <c r="AF339" s="1341"/>
      <c r="AG339" s="1341"/>
      <c r="AH339" s="1336"/>
      <c r="AI339" s="1363">
        <f>SUM(AB339:AG339)-AA339</f>
        <v>0</v>
      </c>
    </row>
    <row r="340" spans="1:36">
      <c r="A340" s="1331"/>
      <c r="B340" s="1336"/>
      <c r="C340" s="1354"/>
      <c r="D340" s="1333"/>
      <c r="E340" s="1342"/>
      <c r="F340" s="1342"/>
      <c r="G340" s="1336"/>
      <c r="H340" s="1341"/>
      <c r="I340" s="1341"/>
      <c r="J340" s="1341"/>
      <c r="K340" s="1341"/>
      <c r="L340" s="1341"/>
      <c r="M340" s="1336"/>
      <c r="N340" s="1342"/>
      <c r="O340" s="1336"/>
      <c r="P340" s="1336"/>
      <c r="Q340" s="1336"/>
      <c r="R340" s="1336"/>
      <c r="S340" s="1336"/>
      <c r="T340" s="1336"/>
      <c r="U340" s="1336"/>
      <c r="V340" s="1364"/>
      <c r="W340" s="1364"/>
      <c r="X340" s="1364"/>
      <c r="Y340" s="1364"/>
      <c r="Z340" s="1364"/>
      <c r="AA340" s="1364"/>
      <c r="AB340" s="1341"/>
      <c r="AC340" s="1341"/>
      <c r="AD340" s="1341"/>
      <c r="AE340" s="1341"/>
      <c r="AF340" s="1341"/>
      <c r="AG340" s="1341"/>
      <c r="AH340" s="1336"/>
      <c r="AI340" s="1363"/>
    </row>
    <row r="341" spans="1:36">
      <c r="A341" s="1331">
        <v>57170</v>
      </c>
      <c r="B341" s="1336" t="s">
        <v>167</v>
      </c>
      <c r="C341" s="1341">
        <f>+IFERROR(VLOOKUP(A341,'2183 IS 2018'!$D:$AH,31,FALSE),0)</f>
        <v>4526.32</v>
      </c>
      <c r="D341" s="1354">
        <f>+IFERROR(VLOOKUP(A341,'2184 IS 2018'!$D:$AH,31,FALSE),0)</f>
        <v>1500.76</v>
      </c>
      <c r="E341" s="1354">
        <f>+IFERROR(VLOOKUP(A341,'2185 IS 2018'!$D:$AH,31,FALSE),0)</f>
        <v>0</v>
      </c>
      <c r="F341" s="1342">
        <f>SUM(C341:E341)</f>
        <v>6027.08</v>
      </c>
      <c r="G341" s="1343"/>
      <c r="H341" s="1341"/>
      <c r="I341" s="1341"/>
      <c r="J341" s="1341"/>
      <c r="K341" s="1341"/>
      <c r="L341" s="1362">
        <f t="shared" ref="L341" si="591">F341+H341+I341+J341</f>
        <v>6027.08</v>
      </c>
      <c r="M341" s="1337"/>
      <c r="N341" s="1359">
        <f t="shared" ref="N341" si="592">C341+H341</f>
        <v>4526.32</v>
      </c>
      <c r="O341" s="1359">
        <f t="shared" ref="O341" si="593">D341+I341</f>
        <v>1500.76</v>
      </c>
      <c r="P341" s="1359">
        <f t="shared" ref="P341" si="594">E341+J341</f>
        <v>0</v>
      </c>
      <c r="Q341" s="1359">
        <f t="shared" ref="Q341" si="595">SUM(N341:P341)</f>
        <v>6027.08</v>
      </c>
      <c r="R341" s="1359"/>
      <c r="S341" s="1359"/>
      <c r="T341" s="1359"/>
      <c r="U341" s="1359"/>
      <c r="V341" s="1681">
        <f t="shared" ref="V341" si="596">+SUM(S341:U341)</f>
        <v>0</v>
      </c>
      <c r="W341" s="1333"/>
      <c r="X341" s="1681">
        <f t="shared" ref="X341" si="597">+S341+N341</f>
        <v>4526.32</v>
      </c>
      <c r="Y341" s="1681">
        <f t="shared" ref="Y341" si="598">+T341+O341</f>
        <v>1500.76</v>
      </c>
      <c r="Z341" s="1681">
        <f t="shared" ref="Z341" si="599">+U341+P341</f>
        <v>0</v>
      </c>
      <c r="AA341" s="1681">
        <f t="shared" ref="AA341" si="600">+SUM(X341:Z341)</f>
        <v>6027.08</v>
      </c>
      <c r="AB341" s="1341">
        <f>+X341</f>
        <v>4526.32</v>
      </c>
      <c r="AC341" s="1341"/>
      <c r="AD341" s="1341"/>
      <c r="AE341" s="1341">
        <v>0</v>
      </c>
      <c r="AF341" s="1341">
        <f>+Y341</f>
        <v>1500.76</v>
      </c>
      <c r="AG341" s="1341">
        <f>+Z341</f>
        <v>0</v>
      </c>
      <c r="AH341" s="1336" t="s">
        <v>348</v>
      </c>
      <c r="AI341" s="1363">
        <f>SUM(AB341:AG341)-AA341</f>
        <v>0</v>
      </c>
    </row>
    <row r="342" spans="1:36">
      <c r="A342" s="1331"/>
      <c r="B342" s="1336"/>
      <c r="C342" s="1354"/>
      <c r="D342" s="1354"/>
      <c r="E342" s="1354"/>
      <c r="F342" s="1342"/>
      <c r="G342" s="1343"/>
      <c r="H342" s="1341"/>
      <c r="I342" s="1341"/>
      <c r="J342" s="1341"/>
      <c r="K342" s="1341"/>
      <c r="L342" s="1362"/>
      <c r="M342" s="1336"/>
      <c r="N342" s="1359"/>
      <c r="O342" s="1359"/>
      <c r="P342" s="1359"/>
      <c r="Q342" s="1359"/>
      <c r="R342" s="1359"/>
      <c r="S342" s="1359"/>
      <c r="T342" s="1359"/>
      <c r="U342" s="1359"/>
      <c r="V342" s="1364"/>
      <c r="W342" s="1364"/>
      <c r="X342" s="1364"/>
      <c r="Y342" s="1364"/>
      <c r="Z342" s="1364"/>
      <c r="AA342" s="1364"/>
      <c r="AB342" s="1341"/>
      <c r="AC342" s="1341"/>
      <c r="AD342" s="1341"/>
      <c r="AE342" s="1341"/>
      <c r="AF342" s="1341"/>
      <c r="AG342" s="1341"/>
      <c r="AH342" s="1336"/>
      <c r="AI342" s="1363"/>
    </row>
    <row r="343" spans="1:36">
      <c r="A343" s="1685">
        <v>53200</v>
      </c>
      <c r="B343" s="1386" t="s">
        <v>168</v>
      </c>
      <c r="C343" s="1366">
        <f t="shared" ref="C343:J343" si="601">SUM(C341:C342)</f>
        <v>4526.32</v>
      </c>
      <c r="D343" s="1366">
        <f t="shared" si="601"/>
        <v>1500.76</v>
      </c>
      <c r="E343" s="1366">
        <f t="shared" si="601"/>
        <v>0</v>
      </c>
      <c r="F343" s="1366">
        <f t="shared" si="601"/>
        <v>6027.08</v>
      </c>
      <c r="G343" s="1366">
        <f t="shared" si="601"/>
        <v>0</v>
      </c>
      <c r="H343" s="1366">
        <f t="shared" si="601"/>
        <v>0</v>
      </c>
      <c r="I343" s="1366">
        <f t="shared" si="601"/>
        <v>0</v>
      </c>
      <c r="J343" s="1366">
        <f t="shared" si="601"/>
        <v>0</v>
      </c>
      <c r="K343" s="1367"/>
      <c r="L343" s="1366">
        <f>SUM(L341:L342)</f>
        <v>6027.08</v>
      </c>
      <c r="M343" s="1366"/>
      <c r="N343" s="1366">
        <f>SUM(N341:N342)</f>
        <v>4526.32</v>
      </c>
      <c r="O343" s="1366">
        <f>SUM(O341:O342)</f>
        <v>1500.76</v>
      </c>
      <c r="P343" s="1366">
        <f>SUM(P341:P342)</f>
        <v>0</v>
      </c>
      <c r="Q343" s="1366">
        <f>SUM(Q341:Q342)</f>
        <v>6027.08</v>
      </c>
      <c r="R343" s="1366"/>
      <c r="S343" s="1366">
        <f>SUM(S341:S342)</f>
        <v>0</v>
      </c>
      <c r="T343" s="1366">
        <f>SUM(T341:T342)</f>
        <v>0</v>
      </c>
      <c r="U343" s="1366">
        <f>SUM(U341:U342)</f>
        <v>0</v>
      </c>
      <c r="V343" s="1366">
        <f>SUM(V341:V342)</f>
        <v>0</v>
      </c>
      <c r="W343" s="1366"/>
      <c r="X343" s="1366">
        <f t="shared" ref="X343:AI343" si="602">SUM(X341:X342)</f>
        <v>4526.32</v>
      </c>
      <c r="Y343" s="1366">
        <f t="shared" si="602"/>
        <v>1500.76</v>
      </c>
      <c r="Z343" s="1366">
        <f t="shared" si="602"/>
        <v>0</v>
      </c>
      <c r="AA343" s="1366">
        <f t="shared" si="602"/>
        <v>6027.08</v>
      </c>
      <c r="AB343" s="1366">
        <f t="shared" si="602"/>
        <v>4526.32</v>
      </c>
      <c r="AC343" s="1366">
        <f t="shared" si="602"/>
        <v>0</v>
      </c>
      <c r="AD343" s="1366">
        <f t="shared" si="602"/>
        <v>0</v>
      </c>
      <c r="AE343" s="1366">
        <f t="shared" si="602"/>
        <v>0</v>
      </c>
      <c r="AF343" s="1366">
        <f t="shared" si="602"/>
        <v>1500.76</v>
      </c>
      <c r="AG343" s="1366">
        <f t="shared" si="602"/>
        <v>0</v>
      </c>
      <c r="AH343" s="1366">
        <f t="shared" si="602"/>
        <v>0</v>
      </c>
      <c r="AI343" s="1366">
        <f t="shared" si="602"/>
        <v>0</v>
      </c>
    </row>
    <row r="344" spans="1:36">
      <c r="A344" s="1372"/>
      <c r="B344" s="1332"/>
      <c r="C344" s="1368"/>
      <c r="D344" s="1333"/>
      <c r="E344" s="1381"/>
      <c r="F344" s="1381"/>
      <c r="G344" s="1381"/>
      <c r="H344" s="1369"/>
      <c r="I344" s="1369"/>
      <c r="J344" s="1341"/>
      <c r="K344" s="1341"/>
      <c r="L344" s="1341"/>
      <c r="M344" s="1336"/>
      <c r="N344" s="1359">
        <f>C344+H344</f>
        <v>0</v>
      </c>
      <c r="O344" s="1359">
        <f>D344+I344</f>
        <v>0</v>
      </c>
      <c r="P344" s="1359">
        <f>E344+J344</f>
        <v>0</v>
      </c>
      <c r="Q344" s="1336"/>
      <c r="R344" s="1336"/>
      <c r="S344" s="1336"/>
      <c r="T344" s="1336"/>
      <c r="U344" s="1336"/>
      <c r="V344" s="1364"/>
      <c r="W344" s="1364"/>
      <c r="X344" s="1364"/>
      <c r="Y344" s="1364"/>
      <c r="Z344" s="1364"/>
      <c r="AA344" s="1364"/>
      <c r="AB344" s="1341"/>
      <c r="AC344" s="1341"/>
      <c r="AD344" s="1341"/>
      <c r="AE344" s="1341"/>
      <c r="AF344" s="1341"/>
      <c r="AG344" s="1341"/>
      <c r="AH344" s="1336"/>
      <c r="AI344" s="1363">
        <f>SUM(AB344:AG344)-AA344</f>
        <v>0</v>
      </c>
    </row>
    <row r="345" spans="1:36">
      <c r="A345" s="1372"/>
      <c r="B345" s="1332"/>
      <c r="C345" s="1368"/>
      <c r="D345" s="1333"/>
      <c r="E345" s="1381"/>
      <c r="F345" s="1381"/>
      <c r="G345" s="1381"/>
      <c r="H345" s="1369"/>
      <c r="I345" s="1369"/>
      <c r="J345" s="1341"/>
      <c r="K345" s="1341"/>
      <c r="L345" s="1341"/>
      <c r="M345" s="1336"/>
      <c r="N345" s="1359"/>
      <c r="O345" s="1359"/>
      <c r="P345" s="1359"/>
      <c r="Q345" s="1336"/>
      <c r="R345" s="1336"/>
      <c r="S345" s="1336"/>
      <c r="T345" s="1336"/>
      <c r="U345" s="1336"/>
      <c r="V345" s="1364"/>
      <c r="W345" s="1364"/>
      <c r="X345" s="1364"/>
      <c r="Y345" s="1364"/>
      <c r="Z345" s="1364"/>
      <c r="AA345" s="1364"/>
      <c r="AB345" s="1341"/>
      <c r="AC345" s="1341"/>
      <c r="AD345" s="1341"/>
      <c r="AE345" s="1341"/>
      <c r="AF345" s="1341"/>
      <c r="AG345" s="1341"/>
      <c r="AH345" s="1336"/>
      <c r="AI345" s="1363"/>
    </row>
    <row r="346" spans="1:36">
      <c r="A346" s="1331">
        <v>70269</v>
      </c>
      <c r="B346" s="1336" t="s">
        <v>169</v>
      </c>
      <c r="C346" s="1341">
        <f>+IFERROR(VLOOKUP(A346,'2183 IS 2018'!$D:$AH,31,FALSE),0)</f>
        <v>0</v>
      </c>
      <c r="D346" s="1354">
        <f>+IFERROR(VLOOKUP(A346,'2184 IS 2018'!$D:$AH,31,FALSE),0)</f>
        <v>250450.13</v>
      </c>
      <c r="E346" s="1354">
        <f>+IFERROR(VLOOKUP(A346,'2185 IS 2018'!$D:$AH,31,FALSE),0)</f>
        <v>0</v>
      </c>
      <c r="F346" s="1342">
        <f>SUM(C346:E346)</f>
        <v>250450.13</v>
      </c>
      <c r="G346" s="1343"/>
      <c r="H346" s="1341"/>
      <c r="I346" s="1341"/>
      <c r="J346" s="1341"/>
      <c r="K346" s="1341"/>
      <c r="L346" s="1362">
        <f t="shared" ref="L346" si="603">F346+H346+I346+J346</f>
        <v>250450.13</v>
      </c>
      <c r="M346" s="1337"/>
      <c r="N346" s="1359">
        <f t="shared" ref="N346" si="604">C346+H346</f>
        <v>0</v>
      </c>
      <c r="O346" s="1359">
        <f t="shared" ref="O346" si="605">D346+I346</f>
        <v>250450.13</v>
      </c>
      <c r="P346" s="1359">
        <f t="shared" ref="P346" si="606">E346+J346</f>
        <v>0</v>
      </c>
      <c r="Q346" s="1359">
        <f t="shared" ref="Q346" si="607">SUM(N346:P346)</f>
        <v>250450.13</v>
      </c>
      <c r="R346" s="1359"/>
      <c r="S346" s="1359"/>
      <c r="T346" s="1359"/>
      <c r="U346" s="1359"/>
      <c r="V346" s="1681">
        <f t="shared" ref="V346" si="608">+SUM(S346:U346)</f>
        <v>0</v>
      </c>
      <c r="W346" s="1333"/>
      <c r="X346" s="1681">
        <f t="shared" ref="X346" si="609">+S346+N346</f>
        <v>0</v>
      </c>
      <c r="Y346" s="1681">
        <f t="shared" ref="Y346" si="610">+T346+O346</f>
        <v>250450.13</v>
      </c>
      <c r="Z346" s="1681">
        <f t="shared" ref="Z346" si="611">+U346+P346</f>
        <v>0</v>
      </c>
      <c r="AA346" s="1681">
        <f t="shared" ref="AA346" si="612">+SUM(X346:Z346)</f>
        <v>250450.13</v>
      </c>
      <c r="AB346" s="1341"/>
      <c r="AC346" s="1341"/>
      <c r="AD346" s="1341"/>
      <c r="AE346" s="1341"/>
      <c r="AF346" s="1341">
        <f>+AA346</f>
        <v>250450.13</v>
      </c>
      <c r="AG346" s="1341"/>
      <c r="AH346" s="1336" t="s">
        <v>348</v>
      </c>
      <c r="AI346" s="1363">
        <f>SUM(AB346:AG346)-AA346</f>
        <v>0</v>
      </c>
    </row>
    <row r="347" spans="1:36">
      <c r="A347" s="1331"/>
      <c r="B347" s="1336"/>
      <c r="C347" s="1354"/>
      <c r="D347" s="1354"/>
      <c r="E347" s="1354"/>
      <c r="F347" s="1342"/>
      <c r="G347" s="1343"/>
      <c r="H347" s="1341"/>
      <c r="I347" s="1341"/>
      <c r="J347" s="1341"/>
      <c r="K347" s="1341"/>
      <c r="L347" s="1362"/>
      <c r="M347" s="1336"/>
      <c r="N347" s="1359"/>
      <c r="O347" s="1359"/>
      <c r="P347" s="1359"/>
      <c r="Q347" s="1359"/>
      <c r="R347" s="1359"/>
      <c r="S347" s="1359"/>
      <c r="T347" s="1359"/>
      <c r="U347" s="1359"/>
      <c r="V347" s="1364"/>
      <c r="W347" s="1364"/>
      <c r="X347" s="1364"/>
      <c r="Y347" s="1364"/>
      <c r="Z347" s="1364"/>
      <c r="AA347" s="1364"/>
      <c r="AB347" s="1341"/>
      <c r="AC347" s="1341"/>
      <c r="AD347" s="1341"/>
      <c r="AE347" s="1341"/>
      <c r="AF347" s="1341"/>
      <c r="AG347" s="1341"/>
      <c r="AH347" s="1336"/>
      <c r="AI347" s="1363"/>
    </row>
    <row r="348" spans="1:36">
      <c r="A348" s="1685"/>
      <c r="B348" s="1386" t="s">
        <v>170</v>
      </c>
      <c r="C348" s="1366">
        <f>+SUM(C346:C347)</f>
        <v>0</v>
      </c>
      <c r="D348" s="1366">
        <f t="shared" ref="D348:AI348" si="613">+SUM(D346:D347)</f>
        <v>250450.13</v>
      </c>
      <c r="E348" s="1366">
        <f t="shared" si="613"/>
        <v>0</v>
      </c>
      <c r="F348" s="1366">
        <f t="shared" si="613"/>
        <v>250450.13</v>
      </c>
      <c r="G348" s="1366">
        <f t="shared" si="613"/>
        <v>0</v>
      </c>
      <c r="H348" s="1366">
        <f t="shared" si="613"/>
        <v>0</v>
      </c>
      <c r="I348" s="1366">
        <f t="shared" si="613"/>
        <v>0</v>
      </c>
      <c r="J348" s="1366">
        <f t="shared" si="613"/>
        <v>0</v>
      </c>
      <c r="K348" s="1367"/>
      <c r="L348" s="1366">
        <f t="shared" si="613"/>
        <v>250450.13</v>
      </c>
      <c r="M348" s="1366"/>
      <c r="N348" s="1366">
        <f t="shared" si="613"/>
        <v>0</v>
      </c>
      <c r="O348" s="1366">
        <f t="shared" si="613"/>
        <v>250450.13</v>
      </c>
      <c r="P348" s="1366">
        <f t="shared" si="613"/>
        <v>0</v>
      </c>
      <c r="Q348" s="1366">
        <f t="shared" si="613"/>
        <v>250450.13</v>
      </c>
      <c r="R348" s="1366"/>
      <c r="S348" s="1366">
        <f t="shared" si="613"/>
        <v>0</v>
      </c>
      <c r="T348" s="1366">
        <f t="shared" si="613"/>
        <v>0</v>
      </c>
      <c r="U348" s="1366">
        <f t="shared" si="613"/>
        <v>0</v>
      </c>
      <c r="V348" s="1366">
        <f t="shared" si="613"/>
        <v>0</v>
      </c>
      <c r="W348" s="1366"/>
      <c r="X348" s="1366">
        <f t="shared" si="613"/>
        <v>0</v>
      </c>
      <c r="Y348" s="1366">
        <f t="shared" si="613"/>
        <v>250450.13</v>
      </c>
      <c r="Z348" s="1366">
        <f t="shared" si="613"/>
        <v>0</v>
      </c>
      <c r="AA348" s="1366">
        <f t="shared" si="613"/>
        <v>250450.13</v>
      </c>
      <c r="AB348" s="1366">
        <f t="shared" si="613"/>
        <v>0</v>
      </c>
      <c r="AC348" s="1366">
        <f t="shared" si="613"/>
        <v>0</v>
      </c>
      <c r="AD348" s="1366">
        <f t="shared" si="613"/>
        <v>0</v>
      </c>
      <c r="AE348" s="1366">
        <f t="shared" si="613"/>
        <v>0</v>
      </c>
      <c r="AF348" s="1366">
        <f t="shared" si="613"/>
        <v>250450.13</v>
      </c>
      <c r="AG348" s="1366">
        <f t="shared" si="613"/>
        <v>0</v>
      </c>
      <c r="AH348" s="1366">
        <f t="shared" si="613"/>
        <v>0</v>
      </c>
      <c r="AI348" s="1366">
        <f t="shared" si="613"/>
        <v>0</v>
      </c>
    </row>
    <row r="349" spans="1:36">
      <c r="A349" s="1372"/>
      <c r="B349" s="1332"/>
      <c r="C349" s="1368"/>
      <c r="D349" s="1333"/>
      <c r="E349" s="1381"/>
      <c r="F349" s="1381"/>
      <c r="G349" s="1381"/>
      <c r="H349" s="1369"/>
      <c r="I349" s="1369"/>
      <c r="J349" s="1369"/>
      <c r="K349" s="1369"/>
      <c r="L349" s="1341"/>
      <c r="M349" s="1336"/>
      <c r="N349" s="1342"/>
      <c r="O349" s="1336"/>
      <c r="P349" s="1336"/>
      <c r="Q349" s="1336"/>
      <c r="R349" s="1336"/>
      <c r="S349" s="1336"/>
      <c r="T349" s="1336"/>
      <c r="U349" s="1336"/>
      <c r="V349" s="1364"/>
      <c r="W349" s="1364"/>
      <c r="X349" s="1364"/>
      <c r="Y349" s="1364"/>
      <c r="Z349" s="1364"/>
      <c r="AA349" s="1364"/>
      <c r="AB349" s="1341"/>
      <c r="AC349" s="1341"/>
      <c r="AD349" s="1341"/>
      <c r="AE349" s="1341"/>
      <c r="AF349" s="1341"/>
      <c r="AG349" s="1341"/>
      <c r="AH349" s="1336"/>
      <c r="AI349" s="1363">
        <f>SUM(AB349:AG349)-AA349</f>
        <v>0</v>
      </c>
    </row>
    <row r="350" spans="1:36">
      <c r="A350" s="1372"/>
      <c r="B350" s="1332"/>
      <c r="C350" s="1368"/>
      <c r="D350" s="1333"/>
      <c r="E350" s="1381"/>
      <c r="F350" s="1381"/>
      <c r="G350" s="1381"/>
      <c r="H350" s="1369"/>
      <c r="I350" s="1369"/>
      <c r="J350" s="1369"/>
      <c r="K350" s="1369"/>
      <c r="L350" s="1341"/>
      <c r="M350" s="1336"/>
      <c r="N350" s="1342"/>
      <c r="O350" s="1336"/>
      <c r="P350" s="1336"/>
      <c r="Q350" s="1336"/>
      <c r="R350" s="1336"/>
      <c r="S350" s="1336"/>
      <c r="T350" s="1336"/>
      <c r="U350" s="1336"/>
      <c r="V350" s="1364"/>
      <c r="W350" s="1364"/>
      <c r="X350" s="1364"/>
      <c r="Y350" s="1364"/>
      <c r="Z350" s="1364"/>
      <c r="AA350" s="1364"/>
      <c r="AB350" s="1341"/>
      <c r="AC350" s="1341"/>
      <c r="AD350" s="1341"/>
      <c r="AE350" s="1341"/>
      <c r="AF350" s="1341"/>
      <c r="AG350" s="1341"/>
      <c r="AH350" s="1336"/>
      <c r="AI350" s="1363"/>
    </row>
    <row r="351" spans="1:36">
      <c r="A351" s="1372">
        <v>91000</v>
      </c>
      <c r="B351" s="1332" t="s">
        <v>171</v>
      </c>
      <c r="C351" s="1341">
        <f>+IFERROR(VLOOKUP(A351,'2183 IS 2018'!$D:$AH,31,FALSE),0)</f>
        <v>0</v>
      </c>
      <c r="D351" s="1354">
        <f>+IFERROR(VLOOKUP(A351,'2184 IS 2018'!$D:$AH,31,FALSE),0)</f>
        <v>0</v>
      </c>
      <c r="E351" s="1354">
        <f>+IFERROR(VLOOKUP(A351,'2185 IS 2018'!$D:$AH,31,FALSE),0)</f>
        <v>0</v>
      </c>
      <c r="F351" s="1342">
        <f>SUM(C351:E351)</f>
        <v>0</v>
      </c>
      <c r="G351" s="1381"/>
      <c r="H351" s="1390"/>
      <c r="I351" s="1390"/>
      <c r="J351" s="1390"/>
      <c r="K351" s="1390"/>
      <c r="L351" s="1362">
        <f t="shared" ref="L351" si="614">F351+H351+I351+J351</f>
        <v>0</v>
      </c>
      <c r="M351" s="1337"/>
      <c r="N351" s="1359">
        <f t="shared" ref="N351" si="615">C351+H351</f>
        <v>0</v>
      </c>
      <c r="O351" s="1359">
        <f t="shared" ref="O351" si="616">D351+I351</f>
        <v>0</v>
      </c>
      <c r="P351" s="1359">
        <f t="shared" ref="P351" si="617">E351+J351</f>
        <v>0</v>
      </c>
      <c r="Q351" s="1359">
        <f t="shared" ref="Q351" si="618">SUM(N351:P351)</f>
        <v>0</v>
      </c>
      <c r="R351" s="1391"/>
      <c r="S351" s="1391"/>
      <c r="T351" s="1391"/>
      <c r="U351" s="1391"/>
      <c r="V351" s="1681">
        <f t="shared" ref="V351" si="619">+SUM(S351:U351)</f>
        <v>0</v>
      </c>
      <c r="W351" s="1333"/>
      <c r="X351" s="1681">
        <f t="shared" ref="X351" si="620">+S351+N351</f>
        <v>0</v>
      </c>
      <c r="Y351" s="1681">
        <f t="shared" ref="Y351" si="621">+T351+O351</f>
        <v>0</v>
      </c>
      <c r="Z351" s="1681">
        <f t="shared" ref="Z351" si="622">+U351+P351</f>
        <v>0</v>
      </c>
      <c r="AA351" s="1681">
        <f t="shared" ref="AA351" si="623">+SUM(X351:Z351)</f>
        <v>0</v>
      </c>
      <c r="AB351" s="1390">
        <f>X351+P351+AA351+X351</f>
        <v>0</v>
      </c>
      <c r="AC351" s="1390"/>
      <c r="AD351" s="1390"/>
      <c r="AE351" s="1390">
        <f>Y351+AA351+V351+AB351</f>
        <v>0</v>
      </c>
      <c r="AF351" s="1390">
        <f>Z351+R351+W351+AE351</f>
        <v>0</v>
      </c>
      <c r="AG351" s="1390"/>
      <c r="AH351" s="1391"/>
      <c r="AI351" s="1363">
        <f>SUM(AB351:AG351)-AA351</f>
        <v>0</v>
      </c>
      <c r="AJ351" s="60"/>
    </row>
    <row r="352" spans="1:36">
      <c r="A352" s="1331"/>
      <c r="B352" s="1336"/>
      <c r="C352" s="1343"/>
      <c r="D352" s="1333"/>
      <c r="E352" s="1342"/>
      <c r="F352" s="1342"/>
      <c r="G352" s="1336"/>
      <c r="H352" s="1390"/>
      <c r="I352" s="1390"/>
      <c r="J352" s="1390"/>
      <c r="K352" s="1390"/>
      <c r="L352" s="1390"/>
      <c r="M352" s="1391"/>
      <c r="N352" s="1391"/>
      <c r="O352" s="1391"/>
      <c r="P352" s="1391"/>
      <c r="Q352" s="1391"/>
      <c r="R352" s="1391"/>
      <c r="S352" s="1391"/>
      <c r="T352" s="1391"/>
      <c r="U352" s="1391"/>
      <c r="V352" s="1364"/>
      <c r="W352" s="1364"/>
      <c r="X352" s="1364"/>
      <c r="Y352" s="1364"/>
      <c r="Z352" s="1364"/>
      <c r="AA352" s="1364"/>
      <c r="AB352" s="1390"/>
      <c r="AC352" s="1390"/>
      <c r="AD352" s="1390"/>
      <c r="AE352" s="1390"/>
      <c r="AF352" s="1390"/>
      <c r="AG352" s="1390"/>
      <c r="AH352" s="1391"/>
      <c r="AI352" s="1363">
        <f>SUM(AB352:AG352)-AA352</f>
        <v>0</v>
      </c>
      <c r="AJ352" s="60"/>
    </row>
    <row r="353" spans="1:35">
      <c r="A353" s="1331"/>
      <c r="B353" s="1332" t="s">
        <v>13</v>
      </c>
      <c r="C353" s="1392">
        <f t="shared" ref="C353:J353" si="624">C32+C42+C58+C64+C70+C75+C84+C91+C100+C105+C113+C129+C139+C145+C164+C171+C178+C186+C198+C203+C220+C225+C231+C239+C249+C260+C265+C292+C306+C312+C317+C323+C328+C338+C343+C348+C49+C159+C351</f>
        <v>30418271.330000006</v>
      </c>
      <c r="D353" s="1392">
        <f t="shared" si="624"/>
        <v>4873597.2699999996</v>
      </c>
      <c r="E353" s="1392">
        <f t="shared" si="624"/>
        <v>3173741.62</v>
      </c>
      <c r="F353" s="1392">
        <f t="shared" si="624"/>
        <v>38465610.219999999</v>
      </c>
      <c r="G353" s="1392">
        <f t="shared" si="624"/>
        <v>0</v>
      </c>
      <c r="H353" s="1346">
        <f t="shared" si="624"/>
        <v>440927.31914868526</v>
      </c>
      <c r="I353" s="1346">
        <f t="shared" si="624"/>
        <v>-107547.33460723008</v>
      </c>
      <c r="J353" s="1346">
        <f t="shared" si="624"/>
        <v>50086.386992039639</v>
      </c>
      <c r="K353" s="1347"/>
      <c r="L353" s="1346">
        <f>L32+L42+L58+L64+L70+L75+L84+L91+L100+L105+L113+L129+L139+L145+L164+L171+L178+L186+L198+L203+L220+L225+L231+L239+L249+L260+L265+L292+L306+L312+L317+L323+L328+L338+L343+L348+L49+L159+L351</f>
        <v>38849076.59153349</v>
      </c>
      <c r="M353" s="1392"/>
      <c r="N353" s="1392">
        <f>N32+N42+N58+N64+N70+N75+N84+N91+N100+N105+N113+N129+N139+N145+N164+N171+N178+N186+N198+N203+N220+N225+N231+N239+N249+N260+N265+N292+N306+N312+N317+N323+N328+N338+N343+N348+N49+N159+N351</f>
        <v>30859198.649148684</v>
      </c>
      <c r="O353" s="1392">
        <f>O32+O42+O58+O64+O70+O75+O84+O91+O100+O105+O113+O129+O139+O145+O164+O171+O178+O186+O198+O203+O220+O225+O231+O239+O249+O260+O265+O292+O306+O312+O317+O323+O328+O338+O343+O348+O49+O159+O351</f>
        <v>4766049.9353927691</v>
      </c>
      <c r="P353" s="1392">
        <f>P32+P42+P58+P64+P70+P75+P84+P91+P100+P105+P113+P129+P139+P145+P164+P171+P178+P186+P198+P203+P220+P225+P231+P239+P249+P260+P265+P292+P306+P312+P317+P323+P328+P338+P343+P348+P49+P159+P351</f>
        <v>3223828.0069920402</v>
      </c>
      <c r="Q353" s="1392">
        <f>Q32+Q42+Q58+Q64+Q70+Q75+Q84+Q91+Q100+Q105+Q113+Q129+Q139+Q145+Q164+Q171+Q178+Q186+Q198+Q203+Q220+Q225+Q231+Q239+Q249+Q260+Q265+Q292+Q306+Q312+Q317+Q323+Q328+Q338+Q343+Q348+Q49+Q159+Q351</f>
        <v>38849076.59153349</v>
      </c>
      <c r="R353" s="1392"/>
      <c r="S353" s="1392">
        <f>S32+S42+S58+S64+S70+S75+S84+S91+S100+S105+S113+S129+S139+S145+S164+S171+S178+S186+S198+S203+S220+S225+S231+S239+S249+S260+S265+S292+S306+S312+S317+S323+S328+S338+S343+S348+S49+S159+S351</f>
        <v>420023.26798438386</v>
      </c>
      <c r="T353" s="1392">
        <f>T32+T42+T58+T64+T70+T75+T84+T91+T100+T105+T113+T129+T139+T145+T164+T171+T178+T186+T198+T203+T220+T225+T231+T239+T249+T260+T265+T292+T306+T312+T317+T323+T328+T338+T343+T348+T49+T159+T351</f>
        <v>0</v>
      </c>
      <c r="U353" s="1392">
        <f>U32+U42+U58+U64+U70+U75+U84+U91+U100+U105+U113+U129+U139+U145+U164+U171+U178+U186+U198+U203+U220+U225+U231+U239+U249+U260+U265+U292+U306+U312+U317+U323+U328+U338+U343+U348+U49+U159+U351</f>
        <v>0</v>
      </c>
      <c r="V353" s="1392">
        <f>V32+V42+V58+V64+V70+V75+V84+V91+V100+V105+V113+V129+V139+V145+V164+V171+V178+V186+V198+V203+V220+V225+V231+V239+V249+V260+V265+V292+V306+V312+V317+V323+V328+V338+V343+V348+V49+V159+V351</f>
        <v>420023.26798438386</v>
      </c>
      <c r="W353" s="1392"/>
      <c r="X353" s="1392">
        <f t="shared" ref="X353:AI353" si="625">X32+X42+X58+X64+X70+X75+X84+X91+X100+X105+X113+X129+X139+X145+X164+X171+X178+X186+X198+X203+X220+X225+X231+X239+X249+X260+X265+X292+X306+X312+X317+X323+X328+X338+X343+X348+X49+X159+X351</f>
        <v>31279221.917133067</v>
      </c>
      <c r="Y353" s="1392">
        <f t="shared" si="625"/>
        <v>4766049.9353927691</v>
      </c>
      <c r="Z353" s="1392">
        <f t="shared" si="625"/>
        <v>3223828.0069920402</v>
      </c>
      <c r="AA353" s="1392">
        <f t="shared" si="625"/>
        <v>39269099.85951788</v>
      </c>
      <c r="AB353" s="1392">
        <f t="shared" si="625"/>
        <v>26126932.512643237</v>
      </c>
      <c r="AC353" s="1392">
        <f t="shared" si="625"/>
        <v>1329618.3507538766</v>
      </c>
      <c r="AD353" s="1392">
        <f t="shared" si="625"/>
        <v>263913.86635743704</v>
      </c>
      <c r="AE353" s="1392">
        <f t="shared" si="625"/>
        <v>3467264.0529429833</v>
      </c>
      <c r="AF353" s="1392">
        <f t="shared" si="625"/>
        <v>4766049.9353927691</v>
      </c>
      <c r="AG353" s="1392">
        <f t="shared" si="625"/>
        <v>3316919.2201947677</v>
      </c>
      <c r="AH353" s="1392">
        <f t="shared" si="625"/>
        <v>0</v>
      </c>
      <c r="AI353" s="1392">
        <f t="shared" si="625"/>
        <v>1598.0787671928992</v>
      </c>
    </row>
    <row r="354" spans="1:35">
      <c r="A354" s="1331"/>
      <c r="B354" s="1332"/>
      <c r="C354" s="1381"/>
      <c r="D354" s="1381"/>
      <c r="E354" s="1381"/>
      <c r="F354" s="1381"/>
      <c r="G354" s="1336"/>
      <c r="H354" s="1341"/>
      <c r="I354" s="1341"/>
      <c r="J354" s="1341"/>
      <c r="K354" s="1341"/>
      <c r="L354" s="1341"/>
      <c r="M354" s="1336"/>
      <c r="N354" s="1342"/>
      <c r="O354" s="1336"/>
      <c r="P354" s="1336"/>
      <c r="Q354" s="1336"/>
      <c r="R354" s="1336"/>
      <c r="S354" s="1336"/>
      <c r="T354" s="1336"/>
      <c r="U354" s="1336"/>
      <c r="V354" s="1364"/>
      <c r="W354" s="1364"/>
      <c r="X354" s="1364"/>
      <c r="Y354" s="1364"/>
      <c r="Z354" s="1364"/>
      <c r="AA354" s="1364"/>
      <c r="AB354" s="1341"/>
      <c r="AC354" s="1341"/>
      <c r="AD354" s="1341"/>
      <c r="AE354" s="1341"/>
      <c r="AF354" s="1341"/>
      <c r="AG354" s="1341"/>
      <c r="AH354" s="1336"/>
      <c r="AI354" s="1353"/>
    </row>
    <row r="355" spans="1:35">
      <c r="A355" s="1331"/>
      <c r="B355" s="1332" t="s">
        <v>173</v>
      </c>
      <c r="C355" s="1368">
        <f>C24-C353</f>
        <v>3786034.5599999949</v>
      </c>
      <c r="D355" s="1368">
        <f>D24-D353</f>
        <v>1764872.3400000008</v>
      </c>
      <c r="E355" s="1368">
        <f>E24-E353</f>
        <v>1217316.3199999994</v>
      </c>
      <c r="F355" s="1368">
        <f>F24-F353</f>
        <v>6768223.2200000063</v>
      </c>
      <c r="G355" s="1343"/>
      <c r="H355" s="1341"/>
      <c r="I355" s="1341"/>
      <c r="J355" s="1341"/>
      <c r="K355" s="1341"/>
      <c r="L355" s="1341"/>
      <c r="M355" s="1336"/>
      <c r="N355" s="1342"/>
      <c r="O355" s="1336"/>
      <c r="P355" s="1336"/>
      <c r="Q355" s="1336"/>
      <c r="R355" s="1336"/>
      <c r="S355" s="1336"/>
      <c r="T355" s="1336"/>
      <c r="U355" s="1336"/>
      <c r="V355" s="1364"/>
      <c r="W355" s="1364"/>
      <c r="X355" s="1364"/>
      <c r="Y355" s="1364"/>
      <c r="Z355" s="1364"/>
      <c r="AA355" s="1364"/>
      <c r="AB355" s="1368">
        <f t="shared" ref="AB355:AG355" si="626">AB24-AB353</f>
        <v>1663643.172531426</v>
      </c>
      <c r="AC355" s="1368">
        <f t="shared" si="626"/>
        <v>124332.29182441323</v>
      </c>
      <c r="AD355" s="1368">
        <f t="shared" si="626"/>
        <v>63079.594192312914</v>
      </c>
      <c r="AE355" s="1368">
        <f t="shared" si="626"/>
        <v>934375.14206200792</v>
      </c>
      <c r="AF355" s="1368">
        <f t="shared" si="626"/>
        <v>1872419.6746072313</v>
      </c>
      <c r="AG355" s="1368">
        <f t="shared" si="626"/>
        <v>1074138.7198052318</v>
      </c>
      <c r="AH355" s="1336"/>
      <c r="AI355" s="1353"/>
    </row>
    <row r="356" spans="1:35">
      <c r="E356" s="57"/>
      <c r="F356" s="57"/>
      <c r="G356" s="59"/>
      <c r="V356" s="52"/>
      <c r="W356" s="52"/>
      <c r="X356" s="52"/>
      <c r="Y356" s="52"/>
      <c r="Z356" s="52"/>
      <c r="AA356" s="52"/>
    </row>
    <row r="357" spans="1:35">
      <c r="C357" s="33">
        <f>+C355-'2183 IS 2018'!AH337</f>
        <v>-8.3819031715393066E-9</v>
      </c>
      <c r="D357" s="33">
        <f>+D355-'2184 IS 2018'!AH275</f>
        <v>0</v>
      </c>
      <c r="E357" s="33">
        <f>+E355-'2185 IS 2018'!AH275</f>
        <v>0</v>
      </c>
      <c r="F357" s="57"/>
      <c r="G357" s="59"/>
      <c r="V357" s="52"/>
      <c r="W357" s="52"/>
      <c r="X357" s="52"/>
      <c r="Y357" s="52"/>
      <c r="Z357" s="52"/>
      <c r="AA357" s="52"/>
    </row>
    <row r="358" spans="1:35">
      <c r="G358" s="59"/>
      <c r="V358" s="77"/>
      <c r="W358" s="77"/>
      <c r="X358" s="77"/>
      <c r="Y358" s="77"/>
      <c r="Z358" s="77"/>
      <c r="AA358" s="77"/>
    </row>
    <row r="359" spans="1:35">
      <c r="C359" s="55"/>
      <c r="F359" s="59"/>
      <c r="V359" s="77"/>
      <c r="W359" s="77"/>
      <c r="X359" s="77"/>
      <c r="Y359" s="77"/>
      <c r="Z359" s="77"/>
      <c r="AA359" s="77"/>
    </row>
    <row r="360" spans="1:35">
      <c r="C360" s="67"/>
      <c r="G360" s="59"/>
      <c r="V360" s="77"/>
      <c r="W360" s="77"/>
      <c r="X360" s="77"/>
      <c r="Y360" s="77"/>
      <c r="Z360" s="77"/>
      <c r="AA360" s="77"/>
      <c r="AB360" s="66"/>
      <c r="AC360" s="66"/>
      <c r="AD360" s="66"/>
      <c r="AE360" s="66"/>
      <c r="AF360" s="66"/>
      <c r="AG360" s="66"/>
    </row>
    <row r="361" spans="1:35" s="57" customFormat="1">
      <c r="A361" s="54"/>
      <c r="B361" s="53"/>
      <c r="C361" s="67"/>
      <c r="D361" s="56"/>
      <c r="E361" s="53"/>
      <c r="F361" s="53"/>
      <c r="G361" s="53"/>
      <c r="H361" s="58"/>
      <c r="I361" s="58"/>
      <c r="J361" s="58"/>
      <c r="K361" s="58"/>
      <c r="L361" s="58"/>
      <c r="M361" s="53"/>
      <c r="O361" s="53"/>
      <c r="P361" s="53"/>
      <c r="Q361" s="53"/>
      <c r="R361" s="53"/>
      <c r="S361" s="53"/>
      <c r="T361" s="53"/>
      <c r="U361" s="53"/>
      <c r="V361" s="52"/>
      <c r="W361" s="52"/>
      <c r="X361" s="52"/>
      <c r="Y361" s="52"/>
      <c r="Z361" s="52"/>
      <c r="AA361" s="52"/>
      <c r="AB361" s="58"/>
      <c r="AC361" s="58"/>
      <c r="AD361" s="58"/>
      <c r="AE361" s="58"/>
      <c r="AF361" s="58"/>
      <c r="AG361" s="58"/>
      <c r="AI361" s="78"/>
    </row>
    <row r="362" spans="1:35">
      <c r="G362" s="55"/>
      <c r="V362" s="52"/>
      <c r="W362" s="52"/>
      <c r="X362" s="52"/>
      <c r="Y362" s="52"/>
      <c r="Z362" s="52"/>
      <c r="AA362" s="52"/>
      <c r="AB362" s="37"/>
      <c r="AC362" s="37"/>
      <c r="AD362" s="37"/>
      <c r="AE362" s="37"/>
      <c r="AF362" s="37"/>
    </row>
    <row r="363" spans="1:35">
      <c r="V363" s="52"/>
      <c r="W363" s="52"/>
      <c r="X363" s="52"/>
      <c r="Y363" s="52"/>
      <c r="Z363" s="52"/>
      <c r="AA363" s="52"/>
      <c r="AB363" s="37"/>
      <c r="AC363" s="37"/>
      <c r="AD363" s="37"/>
      <c r="AE363" s="950"/>
      <c r="AF363" s="950"/>
    </row>
    <row r="364" spans="1:35">
      <c r="V364" s="52"/>
      <c r="W364" s="52"/>
      <c r="X364" s="52"/>
      <c r="Y364" s="52"/>
      <c r="Z364" s="52"/>
      <c r="AA364" s="52"/>
    </row>
    <row r="365" spans="1:35">
      <c r="V365" s="52"/>
      <c r="W365" s="52"/>
      <c r="X365" s="52"/>
      <c r="Y365" s="52"/>
      <c r="Z365" s="52"/>
      <c r="AA365" s="52"/>
    </row>
    <row r="366" spans="1:35">
      <c r="V366" s="52"/>
      <c r="W366" s="52"/>
      <c r="X366" s="52"/>
      <c r="Y366" s="52"/>
      <c r="Z366" s="52"/>
      <c r="AA366" s="52"/>
    </row>
    <row r="367" spans="1:35">
      <c r="V367" s="52"/>
      <c r="W367" s="52"/>
      <c r="X367" s="52"/>
      <c r="Y367" s="52"/>
      <c r="Z367" s="52"/>
      <c r="AA367" s="52"/>
    </row>
    <row r="368" spans="1:35">
      <c r="V368" s="52"/>
      <c r="W368" s="52"/>
      <c r="X368" s="52"/>
      <c r="Y368" s="52"/>
      <c r="Z368" s="52"/>
      <c r="AA368" s="52"/>
    </row>
    <row r="369" spans="22:27">
      <c r="V369" s="52"/>
      <c r="W369" s="52"/>
      <c r="X369" s="52"/>
      <c r="Y369" s="52"/>
      <c r="Z369" s="52"/>
      <c r="AA369" s="52"/>
    </row>
    <row r="370" spans="22:27">
      <c r="V370" s="52"/>
      <c r="W370" s="52"/>
      <c r="X370" s="52"/>
      <c r="Y370" s="52"/>
      <c r="Z370" s="52"/>
      <c r="AA370" s="52"/>
    </row>
    <row r="371" spans="22:27">
      <c r="V371" s="52"/>
      <c r="W371" s="52"/>
      <c r="X371" s="52"/>
      <c r="Y371" s="52"/>
      <c r="Z371" s="52"/>
      <c r="AA371" s="52"/>
    </row>
    <row r="372" spans="22:27">
      <c r="V372" s="52"/>
      <c r="W372" s="52"/>
      <c r="X372" s="52"/>
      <c r="Y372" s="52"/>
      <c r="Z372" s="52"/>
      <c r="AA372" s="52"/>
    </row>
    <row r="373" spans="22:27">
      <c r="V373" s="52"/>
      <c r="W373" s="52"/>
      <c r="X373" s="52"/>
      <c r="Y373" s="52"/>
      <c r="Z373" s="52"/>
      <c r="AA373" s="52"/>
    </row>
    <row r="374" spans="22:27">
      <c r="V374" s="52"/>
      <c r="W374" s="52"/>
      <c r="X374" s="52"/>
      <c r="Y374" s="52"/>
      <c r="Z374" s="52"/>
      <c r="AA374" s="52"/>
    </row>
    <row r="375" spans="22:27">
      <c r="V375" s="52"/>
      <c r="W375" s="52"/>
      <c r="X375" s="52"/>
      <c r="Y375" s="52"/>
      <c r="Z375" s="52"/>
      <c r="AA375" s="52"/>
    </row>
    <row r="376" spans="22:27">
      <c r="V376" s="52"/>
      <c r="W376" s="52"/>
      <c r="X376" s="52"/>
      <c r="Y376" s="52"/>
      <c r="Z376" s="52"/>
      <c r="AA376" s="52"/>
    </row>
    <row r="377" spans="22:27">
      <c r="V377" s="52"/>
      <c r="W377" s="52"/>
      <c r="X377" s="52"/>
      <c r="Y377" s="52"/>
      <c r="Z377" s="52"/>
      <c r="AA377" s="52"/>
    </row>
    <row r="378" spans="22:27">
      <c r="V378" s="52"/>
      <c r="W378" s="52"/>
      <c r="X378" s="52"/>
      <c r="Y378" s="52"/>
      <c r="Z378" s="52"/>
      <c r="AA378" s="52"/>
    </row>
    <row r="379" spans="22:27">
      <c r="V379" s="52"/>
      <c r="W379" s="52"/>
      <c r="X379" s="52"/>
      <c r="Y379" s="52"/>
      <c r="Z379" s="52"/>
      <c r="AA379" s="52"/>
    </row>
    <row r="380" spans="22:27">
      <c r="V380" s="52"/>
      <c r="W380" s="52"/>
      <c r="X380" s="52"/>
      <c r="Y380" s="52"/>
      <c r="Z380" s="52"/>
      <c r="AA380" s="52"/>
    </row>
    <row r="381" spans="22:27">
      <c r="V381" s="52"/>
      <c r="W381" s="52"/>
      <c r="X381" s="52"/>
      <c r="Y381" s="52"/>
      <c r="Z381" s="52"/>
      <c r="AA381" s="52"/>
    </row>
    <row r="382" spans="22:27">
      <c r="V382" s="52"/>
      <c r="W382" s="52"/>
      <c r="X382" s="52"/>
      <c r="Y382" s="52"/>
      <c r="Z382" s="52"/>
      <c r="AA382" s="52"/>
    </row>
    <row r="383" spans="22:27">
      <c r="V383" s="52"/>
      <c r="W383" s="52"/>
      <c r="X383" s="52"/>
      <c r="Y383" s="52"/>
      <c r="Z383" s="52"/>
      <c r="AA383" s="52"/>
    </row>
    <row r="384" spans="22:27">
      <c r="V384" s="52"/>
      <c r="W384" s="52"/>
      <c r="X384" s="52"/>
      <c r="Y384" s="52"/>
      <c r="Z384" s="52"/>
      <c r="AA384" s="52"/>
    </row>
    <row r="385" spans="22:27">
      <c r="V385" s="52"/>
      <c r="W385" s="52"/>
      <c r="X385" s="52"/>
      <c r="Y385" s="52"/>
      <c r="Z385" s="52"/>
      <c r="AA385" s="52"/>
    </row>
    <row r="386" spans="22:27">
      <c r="V386" s="52"/>
      <c r="W386" s="52"/>
      <c r="X386" s="52"/>
      <c r="Y386" s="52"/>
      <c r="Z386" s="52"/>
      <c r="AA386" s="52"/>
    </row>
    <row r="387" spans="22:27">
      <c r="V387" s="52"/>
      <c r="W387" s="52"/>
      <c r="X387" s="52"/>
      <c r="Y387" s="52"/>
      <c r="Z387" s="52"/>
      <c r="AA387" s="52"/>
    </row>
    <row r="388" spans="22:27">
      <c r="V388" s="52"/>
      <c r="W388" s="52"/>
      <c r="X388" s="52"/>
      <c r="Y388" s="52"/>
      <c r="Z388" s="52"/>
      <c r="AA388" s="52"/>
    </row>
    <row r="389" spans="22:27">
      <c r="V389" s="52"/>
      <c r="W389" s="52"/>
      <c r="X389" s="52"/>
      <c r="Y389" s="52"/>
      <c r="Z389" s="52"/>
      <c r="AA389" s="52"/>
    </row>
    <row r="390" spans="22:27">
      <c r="V390" s="52"/>
      <c r="W390" s="52"/>
      <c r="X390" s="52"/>
      <c r="Y390" s="52"/>
      <c r="Z390" s="52"/>
      <c r="AA390" s="52"/>
    </row>
    <row r="391" spans="22:27">
      <c r="V391" s="52"/>
      <c r="W391" s="52"/>
      <c r="X391" s="52"/>
      <c r="Y391" s="52"/>
      <c r="Z391" s="52"/>
      <c r="AA391" s="52"/>
    </row>
    <row r="392" spans="22:27">
      <c r="V392" s="52"/>
      <c r="W392" s="52"/>
      <c r="X392" s="52"/>
      <c r="Y392" s="52"/>
      <c r="Z392" s="52"/>
      <c r="AA392" s="52"/>
    </row>
    <row r="393" spans="22:27">
      <c r="V393" s="52"/>
      <c r="W393" s="52"/>
      <c r="X393" s="52"/>
      <c r="Y393" s="52"/>
      <c r="Z393" s="52"/>
      <c r="AA393" s="52"/>
    </row>
    <row r="394" spans="22:27">
      <c r="V394" s="52"/>
      <c r="W394" s="52"/>
      <c r="X394" s="52"/>
      <c r="Y394" s="52"/>
      <c r="Z394" s="52"/>
      <c r="AA394" s="52"/>
    </row>
    <row r="395" spans="22:27">
      <c r="V395" s="52"/>
      <c r="W395" s="52"/>
      <c r="X395" s="52"/>
      <c r="Y395" s="52"/>
      <c r="Z395" s="52"/>
      <c r="AA395" s="52"/>
    </row>
    <row r="396" spans="22:27">
      <c r="V396" s="52"/>
      <c r="W396" s="52"/>
      <c r="X396" s="52"/>
      <c r="Y396" s="52"/>
      <c r="Z396" s="52"/>
      <c r="AA396" s="52"/>
    </row>
    <row r="397" spans="22:27">
      <c r="V397" s="52"/>
      <c r="W397" s="52"/>
      <c r="X397" s="52"/>
      <c r="Y397" s="52"/>
      <c r="Z397" s="52"/>
      <c r="AA397" s="52"/>
    </row>
    <row r="398" spans="22:27">
      <c r="V398" s="52"/>
      <c r="W398" s="52"/>
      <c r="X398" s="52"/>
      <c r="Y398" s="52"/>
      <c r="Z398" s="52"/>
      <c r="AA398" s="52"/>
    </row>
    <row r="399" spans="22:27">
      <c r="V399" s="52"/>
      <c r="W399" s="52"/>
      <c r="X399" s="52"/>
      <c r="Y399" s="52"/>
      <c r="Z399" s="52"/>
      <c r="AA399" s="52"/>
    </row>
    <row r="400" spans="22:27">
      <c r="V400" s="52"/>
      <c r="W400" s="52"/>
      <c r="X400" s="52"/>
      <c r="Y400" s="52"/>
      <c r="Z400" s="52"/>
      <c r="AA400" s="52"/>
    </row>
    <row r="401" spans="22:27">
      <c r="V401" s="52"/>
      <c r="W401" s="52"/>
      <c r="X401" s="52"/>
      <c r="Y401" s="52"/>
      <c r="Z401" s="52"/>
      <c r="AA401" s="52"/>
    </row>
    <row r="402" spans="22:27">
      <c r="V402" s="52"/>
      <c r="W402" s="52"/>
      <c r="X402" s="52"/>
      <c r="Y402" s="52"/>
      <c r="Z402" s="52"/>
      <c r="AA402" s="52"/>
    </row>
    <row r="403" spans="22:27">
      <c r="V403" s="52"/>
      <c r="W403" s="52"/>
      <c r="X403" s="52"/>
      <c r="Y403" s="52"/>
      <c r="Z403" s="52"/>
      <c r="AA403" s="52"/>
    </row>
    <row r="404" spans="22:27">
      <c r="V404" s="52"/>
      <c r="W404" s="52"/>
      <c r="X404" s="52"/>
      <c r="Y404" s="52"/>
      <c r="Z404" s="52"/>
      <c r="AA404" s="52"/>
    </row>
    <row r="405" spans="22:27">
      <c r="V405" s="52"/>
      <c r="W405" s="52"/>
      <c r="X405" s="52"/>
      <c r="Y405" s="52"/>
      <c r="Z405" s="52"/>
      <c r="AA405" s="52"/>
    </row>
    <row r="406" spans="22:27">
      <c r="V406" s="52"/>
      <c r="W406" s="52"/>
      <c r="X406" s="52"/>
      <c r="Y406" s="52"/>
      <c r="Z406" s="52"/>
      <c r="AA406" s="52"/>
    </row>
    <row r="407" spans="22:27">
      <c r="V407" s="52"/>
      <c r="W407" s="52"/>
      <c r="X407" s="52"/>
      <c r="Y407" s="52"/>
      <c r="Z407" s="52"/>
      <c r="AA407" s="52"/>
    </row>
    <row r="408" spans="22:27">
      <c r="V408" s="52"/>
      <c r="W408" s="52"/>
      <c r="X408" s="52"/>
      <c r="Y408" s="52"/>
      <c r="Z408" s="52"/>
      <c r="AA408" s="52"/>
    </row>
    <row r="409" spans="22:27">
      <c r="V409" s="52"/>
      <c r="W409" s="52"/>
      <c r="X409" s="52"/>
      <c r="Y409" s="52"/>
      <c r="Z409" s="52"/>
      <c r="AA409" s="52"/>
    </row>
    <row r="410" spans="22:27">
      <c r="V410" s="52"/>
      <c r="W410" s="52"/>
      <c r="X410" s="52"/>
      <c r="Y410" s="52"/>
      <c r="Z410" s="52"/>
      <c r="AA410" s="52"/>
    </row>
    <row r="411" spans="22:27">
      <c r="V411" s="52"/>
      <c r="W411" s="52"/>
      <c r="X411" s="52"/>
      <c r="Y411" s="52"/>
      <c r="Z411" s="52"/>
      <c r="AA411" s="52"/>
    </row>
    <row r="412" spans="22:27">
      <c r="V412" s="52"/>
      <c r="W412" s="52"/>
      <c r="X412" s="52"/>
      <c r="Y412" s="52"/>
      <c r="Z412" s="52"/>
      <c r="AA412" s="52"/>
    </row>
    <row r="413" spans="22:27">
      <c r="V413" s="52"/>
      <c r="W413" s="52"/>
      <c r="X413" s="52"/>
      <c r="Y413" s="52"/>
      <c r="Z413" s="52"/>
      <c r="AA413" s="52"/>
    </row>
    <row r="414" spans="22:27">
      <c r="V414" s="52"/>
      <c r="W414" s="52"/>
      <c r="X414" s="52"/>
      <c r="Y414" s="52"/>
      <c r="Z414" s="52"/>
      <c r="AA414" s="52"/>
    </row>
    <row r="415" spans="22:27">
      <c r="V415" s="52"/>
      <c r="W415" s="52"/>
      <c r="X415" s="52"/>
      <c r="Y415" s="52"/>
      <c r="Z415" s="52"/>
      <c r="AA415" s="52"/>
    </row>
    <row r="416" spans="22:27">
      <c r="V416" s="52"/>
      <c r="W416" s="52"/>
      <c r="X416" s="52"/>
      <c r="Y416" s="52"/>
      <c r="Z416" s="52"/>
      <c r="AA416" s="52"/>
    </row>
    <row r="417" spans="22:27">
      <c r="V417" s="52"/>
      <c r="W417" s="52"/>
      <c r="X417" s="52"/>
      <c r="Y417" s="52"/>
      <c r="Z417" s="52"/>
      <c r="AA417" s="52"/>
    </row>
    <row r="418" spans="22:27">
      <c r="V418" s="52"/>
      <c r="W418" s="52"/>
      <c r="X418" s="52"/>
      <c r="Y418" s="52"/>
      <c r="Z418" s="52"/>
      <c r="AA418" s="52"/>
    </row>
    <row r="419" spans="22:27">
      <c r="V419" s="52"/>
      <c r="W419" s="52"/>
      <c r="X419" s="52"/>
      <c r="Y419" s="52"/>
      <c r="Z419" s="52"/>
      <c r="AA419" s="52"/>
    </row>
    <row r="420" spans="22:27">
      <c r="V420" s="52"/>
      <c r="W420" s="52"/>
      <c r="X420" s="52"/>
      <c r="Y420" s="52"/>
      <c r="Z420" s="52"/>
      <c r="AA420" s="52"/>
    </row>
    <row r="421" spans="22:27">
      <c r="V421" s="52"/>
      <c r="W421" s="52"/>
      <c r="X421" s="52"/>
      <c r="Y421" s="52"/>
      <c r="Z421" s="52"/>
      <c r="AA421" s="52"/>
    </row>
    <row r="422" spans="22:27">
      <c r="V422" s="52"/>
      <c r="W422" s="52"/>
      <c r="X422" s="52"/>
      <c r="Y422" s="52"/>
      <c r="Z422" s="52"/>
      <c r="AA422" s="52"/>
    </row>
    <row r="423" spans="22:27">
      <c r="V423" s="52"/>
      <c r="W423" s="52"/>
      <c r="X423" s="52"/>
      <c r="Y423" s="52"/>
      <c r="Z423" s="52"/>
      <c r="AA423" s="52"/>
    </row>
    <row r="424" spans="22:27">
      <c r="V424" s="52"/>
      <c r="W424" s="52"/>
      <c r="X424" s="52"/>
      <c r="Y424" s="52"/>
      <c r="Z424" s="52"/>
      <c r="AA424" s="52"/>
    </row>
    <row r="425" spans="22:27">
      <c r="V425" s="52"/>
      <c r="W425" s="52"/>
      <c r="X425" s="52"/>
      <c r="Y425" s="52"/>
      <c r="Z425" s="52"/>
      <c r="AA425" s="52"/>
    </row>
    <row r="426" spans="22:27">
      <c r="V426" s="52"/>
      <c r="W426" s="52"/>
      <c r="X426" s="52"/>
      <c r="Y426" s="52"/>
      <c r="Z426" s="52"/>
      <c r="AA426" s="52"/>
    </row>
    <row r="427" spans="22:27">
      <c r="V427" s="52"/>
      <c r="W427" s="52"/>
      <c r="X427" s="52"/>
      <c r="Y427" s="52"/>
      <c r="Z427" s="52"/>
      <c r="AA427" s="52"/>
    </row>
    <row r="428" spans="22:27">
      <c r="V428" s="52"/>
      <c r="W428" s="52"/>
      <c r="X428" s="52"/>
      <c r="Y428" s="52"/>
      <c r="Z428" s="52"/>
      <c r="AA428" s="52"/>
    </row>
    <row r="429" spans="22:27">
      <c r="V429" s="52"/>
      <c r="W429" s="52"/>
      <c r="X429" s="52"/>
      <c r="Y429" s="52"/>
      <c r="Z429" s="52"/>
      <c r="AA429" s="52"/>
    </row>
    <row r="430" spans="22:27">
      <c r="V430" s="52"/>
      <c r="W430" s="52"/>
      <c r="X430" s="52"/>
      <c r="Y430" s="52"/>
      <c r="Z430" s="52"/>
      <c r="AA430" s="52"/>
    </row>
    <row r="431" spans="22:27">
      <c r="V431" s="52"/>
      <c r="W431" s="52"/>
      <c r="X431" s="52"/>
      <c r="Y431" s="52"/>
      <c r="Z431" s="52"/>
      <c r="AA431" s="52"/>
    </row>
    <row r="432" spans="22:27">
      <c r="V432" s="52"/>
      <c r="W432" s="52"/>
      <c r="X432" s="52"/>
      <c r="Y432" s="52"/>
      <c r="Z432" s="52"/>
      <c r="AA432" s="52"/>
    </row>
    <row r="433" spans="22:27">
      <c r="V433" s="52"/>
      <c r="W433" s="52"/>
      <c r="X433" s="52"/>
      <c r="Y433" s="52"/>
      <c r="Z433" s="52"/>
      <c r="AA433" s="52"/>
    </row>
    <row r="434" spans="22:27">
      <c r="V434" s="52"/>
      <c r="W434" s="52"/>
      <c r="X434" s="52"/>
      <c r="Y434" s="52"/>
      <c r="Z434" s="52"/>
      <c r="AA434" s="52"/>
    </row>
    <row r="435" spans="22:27">
      <c r="V435" s="52"/>
      <c r="W435" s="52"/>
      <c r="X435" s="52"/>
      <c r="Y435" s="52"/>
      <c r="Z435" s="52"/>
      <c r="AA435" s="52"/>
    </row>
    <row r="436" spans="22:27">
      <c r="V436" s="52"/>
      <c r="W436" s="52"/>
      <c r="X436" s="52"/>
      <c r="Y436" s="52"/>
      <c r="Z436" s="52"/>
      <c r="AA436" s="52"/>
    </row>
    <row r="437" spans="22:27">
      <c r="V437" s="52"/>
      <c r="W437" s="52"/>
      <c r="X437" s="52"/>
      <c r="Y437" s="52"/>
      <c r="Z437" s="52"/>
      <c r="AA437" s="52"/>
    </row>
    <row r="438" spans="22:27">
      <c r="V438" s="52"/>
      <c r="W438" s="52"/>
      <c r="X438" s="52"/>
      <c r="Y438" s="52"/>
      <c r="Z438" s="52"/>
      <c r="AA438" s="52"/>
    </row>
    <row r="439" spans="22:27">
      <c r="V439" s="52"/>
      <c r="W439" s="52"/>
      <c r="X439" s="52"/>
      <c r="Y439" s="52"/>
      <c r="Z439" s="52"/>
      <c r="AA439" s="52"/>
    </row>
    <row r="440" spans="22:27">
      <c r="V440" s="52"/>
      <c r="W440" s="52"/>
      <c r="X440" s="52"/>
      <c r="Y440" s="52"/>
      <c r="Z440" s="52"/>
      <c r="AA440" s="52"/>
    </row>
    <row r="441" spans="22:27">
      <c r="V441" s="52"/>
      <c r="W441" s="52"/>
      <c r="X441" s="52"/>
      <c r="Y441" s="52"/>
      <c r="Z441" s="52"/>
      <c r="AA441" s="52"/>
    </row>
    <row r="442" spans="22:27">
      <c r="V442" s="52"/>
      <c r="W442" s="52"/>
      <c r="X442" s="52"/>
      <c r="Y442" s="52"/>
      <c r="Z442" s="52"/>
      <c r="AA442" s="52"/>
    </row>
    <row r="443" spans="22:27">
      <c r="V443" s="52"/>
      <c r="W443" s="52"/>
      <c r="X443" s="52"/>
      <c r="Y443" s="52"/>
      <c r="Z443" s="52"/>
      <c r="AA443" s="52"/>
    </row>
    <row r="444" spans="22:27">
      <c r="V444" s="52"/>
      <c r="W444" s="52"/>
      <c r="X444" s="52"/>
      <c r="Y444" s="52"/>
      <c r="Z444" s="52"/>
      <c r="AA444" s="52"/>
    </row>
    <row r="445" spans="22:27">
      <c r="V445" s="52"/>
      <c r="W445" s="52"/>
      <c r="X445" s="52"/>
      <c r="Y445" s="52"/>
      <c r="Z445" s="52"/>
      <c r="AA445" s="52"/>
    </row>
    <row r="446" spans="22:27">
      <c r="V446" s="52"/>
      <c r="W446" s="52"/>
      <c r="X446" s="52"/>
      <c r="Y446" s="52"/>
      <c r="Z446" s="52"/>
      <c r="AA446" s="52"/>
    </row>
    <row r="447" spans="22:27">
      <c r="V447" s="52"/>
      <c r="W447" s="52"/>
      <c r="X447" s="52"/>
      <c r="Y447" s="52"/>
      <c r="Z447" s="52"/>
      <c r="AA447" s="52"/>
    </row>
    <row r="448" spans="22:27">
      <c r="V448" s="52"/>
      <c r="W448" s="52"/>
      <c r="X448" s="52"/>
      <c r="Y448" s="52"/>
      <c r="Z448" s="52"/>
      <c r="AA448" s="52"/>
    </row>
    <row r="449" spans="22:27">
      <c r="V449" s="52"/>
      <c r="W449" s="52"/>
      <c r="X449" s="52"/>
      <c r="Y449" s="52"/>
      <c r="Z449" s="52"/>
      <c r="AA449" s="52"/>
    </row>
    <row r="450" spans="22:27">
      <c r="V450" s="52"/>
      <c r="W450" s="52"/>
      <c r="X450" s="52"/>
      <c r="Y450" s="52"/>
      <c r="Z450" s="52"/>
      <c r="AA450" s="52"/>
    </row>
    <row r="451" spans="22:27">
      <c r="V451" s="52"/>
      <c r="W451" s="52"/>
      <c r="X451" s="52"/>
      <c r="Y451" s="52"/>
      <c r="Z451" s="52"/>
      <c r="AA451" s="52"/>
    </row>
    <row r="452" spans="22:27">
      <c r="V452" s="52"/>
      <c r="W452" s="52"/>
      <c r="X452" s="52"/>
      <c r="Y452" s="52"/>
      <c r="Z452" s="52"/>
      <c r="AA452" s="52"/>
    </row>
    <row r="453" spans="22:27">
      <c r="V453" s="52"/>
      <c r="W453" s="52"/>
      <c r="X453" s="52"/>
      <c r="Y453" s="52"/>
      <c r="Z453" s="52"/>
      <c r="AA453" s="52"/>
    </row>
    <row r="454" spans="22:27">
      <c r="V454" s="52"/>
      <c r="W454" s="52"/>
      <c r="X454" s="52"/>
      <c r="Y454" s="52"/>
      <c r="Z454" s="52"/>
      <c r="AA454" s="52"/>
    </row>
    <row r="455" spans="22:27">
      <c r="V455" s="52"/>
      <c r="W455" s="52"/>
      <c r="X455" s="52"/>
      <c r="Y455" s="52"/>
      <c r="Z455" s="52"/>
      <c r="AA455" s="52"/>
    </row>
    <row r="456" spans="22:27">
      <c r="V456" s="52"/>
      <c r="W456" s="52"/>
      <c r="X456" s="52"/>
      <c r="Y456" s="52"/>
      <c r="Z456" s="52"/>
      <c r="AA456" s="52"/>
    </row>
    <row r="457" spans="22:27">
      <c r="V457" s="52"/>
      <c r="W457" s="52"/>
      <c r="X457" s="52"/>
      <c r="Y457" s="52"/>
      <c r="Z457" s="52"/>
      <c r="AA457" s="52"/>
    </row>
    <row r="458" spans="22:27">
      <c r="V458" s="52"/>
      <c r="W458" s="52"/>
      <c r="X458" s="52"/>
      <c r="Y458" s="52"/>
      <c r="Z458" s="52"/>
      <c r="AA458" s="52"/>
    </row>
    <row r="459" spans="22:27">
      <c r="V459" s="52"/>
      <c r="W459" s="52"/>
      <c r="X459" s="52"/>
      <c r="Y459" s="52"/>
      <c r="Z459" s="52"/>
      <c r="AA459" s="52"/>
    </row>
    <row r="460" spans="22:27">
      <c r="V460" s="52"/>
      <c r="W460" s="52"/>
      <c r="X460" s="52"/>
      <c r="Y460" s="52"/>
      <c r="Z460" s="52"/>
      <c r="AA460" s="52"/>
    </row>
    <row r="461" spans="22:27">
      <c r="V461" s="52"/>
      <c r="W461" s="52"/>
      <c r="X461" s="52"/>
      <c r="Y461" s="52"/>
      <c r="Z461" s="52"/>
      <c r="AA461" s="52"/>
    </row>
    <row r="462" spans="22:27">
      <c r="V462" s="52"/>
      <c r="W462" s="52"/>
      <c r="X462" s="52"/>
      <c r="Y462" s="52"/>
      <c r="Z462" s="52"/>
      <c r="AA462" s="52"/>
    </row>
    <row r="463" spans="22:27">
      <c r="V463" s="52"/>
      <c r="W463" s="52"/>
      <c r="X463" s="52"/>
      <c r="Y463" s="52"/>
      <c r="Z463" s="52"/>
      <c r="AA463" s="52"/>
    </row>
    <row r="464" spans="22:27">
      <c r="V464" s="52"/>
      <c r="W464" s="52"/>
      <c r="X464" s="52"/>
      <c r="Y464" s="52"/>
      <c r="Z464" s="52"/>
      <c r="AA464" s="52"/>
    </row>
    <row r="465" spans="22:27">
      <c r="V465" s="52"/>
      <c r="W465" s="52"/>
      <c r="X465" s="52"/>
      <c r="Y465" s="52"/>
      <c r="Z465" s="52"/>
      <c r="AA465" s="52"/>
    </row>
    <row r="466" spans="22:27">
      <c r="V466" s="52"/>
      <c r="W466" s="52"/>
      <c r="X466" s="52"/>
      <c r="Y466" s="52"/>
      <c r="Z466" s="52"/>
      <c r="AA466" s="52"/>
    </row>
    <row r="467" spans="22:27">
      <c r="V467" s="52"/>
      <c r="W467" s="52"/>
      <c r="X467" s="52"/>
      <c r="Y467" s="52"/>
      <c r="Z467" s="52"/>
      <c r="AA467" s="52"/>
    </row>
    <row r="468" spans="22:27">
      <c r="V468" s="52"/>
      <c r="W468" s="52"/>
      <c r="X468" s="52"/>
      <c r="Y468" s="52"/>
      <c r="Z468" s="52"/>
      <c r="AA468" s="52"/>
    </row>
    <row r="469" spans="22:27">
      <c r="V469" s="52"/>
      <c r="W469" s="52"/>
      <c r="X469" s="52"/>
      <c r="Y469" s="52"/>
      <c r="Z469" s="52"/>
      <c r="AA469" s="52"/>
    </row>
    <row r="470" spans="22:27">
      <c r="V470" s="52"/>
      <c r="W470" s="52"/>
      <c r="X470" s="52"/>
      <c r="Y470" s="52"/>
      <c r="Z470" s="52"/>
      <c r="AA470" s="52"/>
    </row>
    <row r="471" spans="22:27">
      <c r="V471" s="52"/>
      <c r="W471" s="52"/>
      <c r="X471" s="52"/>
      <c r="Y471" s="52"/>
      <c r="Z471" s="52"/>
      <c r="AA471" s="52"/>
    </row>
    <row r="472" spans="22:27">
      <c r="V472" s="52"/>
      <c r="W472" s="52"/>
      <c r="X472" s="52"/>
      <c r="Y472" s="52"/>
      <c r="Z472" s="52"/>
      <c r="AA472" s="52"/>
    </row>
    <row r="473" spans="22:27">
      <c r="V473" s="52"/>
      <c r="W473" s="52"/>
      <c r="X473" s="52"/>
      <c r="Y473" s="52"/>
      <c r="Z473" s="52"/>
      <c r="AA473" s="52"/>
    </row>
    <row r="474" spans="22:27">
      <c r="V474" s="52"/>
      <c r="W474" s="52"/>
      <c r="X474" s="52"/>
      <c r="Y474" s="52"/>
      <c r="Z474" s="52"/>
      <c r="AA474" s="52"/>
    </row>
    <row r="475" spans="22:27">
      <c r="V475" s="52"/>
      <c r="W475" s="52"/>
      <c r="X475" s="52"/>
      <c r="Y475" s="52"/>
      <c r="Z475" s="52"/>
      <c r="AA475" s="52"/>
    </row>
    <row r="476" spans="22:27">
      <c r="V476" s="52"/>
      <c r="W476" s="52"/>
      <c r="X476" s="52"/>
      <c r="Y476" s="52"/>
      <c r="Z476" s="52"/>
      <c r="AA476" s="52"/>
    </row>
    <row r="477" spans="22:27">
      <c r="V477" s="52"/>
      <c r="W477" s="52"/>
      <c r="X477" s="52"/>
      <c r="Y477" s="52"/>
      <c r="Z477" s="52"/>
      <c r="AA477" s="52"/>
    </row>
    <row r="478" spans="22:27">
      <c r="V478" s="52"/>
      <c r="W478" s="52"/>
      <c r="X478" s="52"/>
      <c r="Y478" s="52"/>
      <c r="Z478" s="52"/>
      <c r="AA478" s="52"/>
    </row>
    <row r="479" spans="22:27">
      <c r="V479" s="52"/>
      <c r="W479" s="52"/>
      <c r="X479" s="52"/>
      <c r="Y479" s="52"/>
      <c r="Z479" s="52"/>
      <c r="AA479" s="52"/>
    </row>
    <row r="480" spans="22:27">
      <c r="V480" s="52"/>
      <c r="W480" s="52"/>
      <c r="X480" s="52"/>
      <c r="Y480" s="52"/>
      <c r="Z480" s="52"/>
      <c r="AA480" s="52"/>
    </row>
    <row r="481" spans="22:27">
      <c r="V481" s="52"/>
      <c r="W481" s="52"/>
      <c r="X481" s="52"/>
      <c r="Y481" s="52"/>
      <c r="Z481" s="52"/>
      <c r="AA481" s="52"/>
    </row>
    <row r="482" spans="22:27">
      <c r="V482" s="52"/>
      <c r="W482" s="52"/>
      <c r="X482" s="52"/>
      <c r="Y482" s="52"/>
      <c r="Z482" s="52"/>
      <c r="AA482" s="52"/>
    </row>
    <row r="483" spans="22:27">
      <c r="V483" s="52"/>
      <c r="W483" s="52"/>
      <c r="X483" s="52"/>
      <c r="Y483" s="52"/>
      <c r="Z483" s="52"/>
      <c r="AA483" s="52"/>
    </row>
    <row r="484" spans="22:27">
      <c r="V484" s="52"/>
      <c r="W484" s="52"/>
      <c r="X484" s="52"/>
      <c r="Y484" s="52"/>
      <c r="Z484" s="52"/>
      <c r="AA484" s="52"/>
    </row>
    <row r="485" spans="22:27">
      <c r="V485" s="52"/>
      <c r="W485" s="52"/>
      <c r="X485" s="52"/>
      <c r="Y485" s="52"/>
      <c r="Z485" s="52"/>
      <c r="AA485" s="52"/>
    </row>
    <row r="486" spans="22:27">
      <c r="V486" s="52"/>
      <c r="W486" s="52"/>
      <c r="X486" s="52"/>
      <c r="Y486" s="52"/>
      <c r="Z486" s="52"/>
      <c r="AA486" s="52"/>
    </row>
    <row r="487" spans="22:27">
      <c r="V487" s="52"/>
      <c r="W487" s="52"/>
      <c r="X487" s="52"/>
      <c r="Y487" s="52"/>
      <c r="Z487" s="52"/>
      <c r="AA487" s="52"/>
    </row>
    <row r="488" spans="22:27">
      <c r="V488" s="52"/>
      <c r="W488" s="52"/>
      <c r="X488" s="52"/>
      <c r="Y488" s="52"/>
      <c r="Z488" s="52"/>
      <c r="AA488" s="52"/>
    </row>
    <row r="489" spans="22:27">
      <c r="V489" s="52"/>
      <c r="W489" s="52"/>
      <c r="X489" s="52"/>
      <c r="Y489" s="52"/>
      <c r="Z489" s="52"/>
      <c r="AA489" s="52"/>
    </row>
    <row r="490" spans="22:27">
      <c r="V490" s="52"/>
      <c r="W490" s="52"/>
      <c r="X490" s="52"/>
      <c r="Y490" s="52"/>
      <c r="Z490" s="52"/>
      <c r="AA490" s="52"/>
    </row>
    <row r="491" spans="22:27">
      <c r="V491" s="52"/>
      <c r="W491" s="52"/>
      <c r="X491" s="52"/>
      <c r="Y491" s="52"/>
      <c r="Z491" s="52"/>
      <c r="AA491" s="52"/>
    </row>
    <row r="492" spans="22:27">
      <c r="V492" s="52"/>
      <c r="W492" s="52"/>
      <c r="X492" s="52"/>
      <c r="Y492" s="52"/>
      <c r="Z492" s="52"/>
      <c r="AA492" s="52"/>
    </row>
    <row r="493" spans="22:27">
      <c r="V493" s="52"/>
      <c r="W493" s="52"/>
      <c r="X493" s="52"/>
      <c r="Y493" s="52"/>
      <c r="Z493" s="52"/>
      <c r="AA493" s="52"/>
    </row>
    <row r="494" spans="22:27">
      <c r="V494" s="52"/>
      <c r="W494" s="52"/>
      <c r="X494" s="52"/>
      <c r="Y494" s="52"/>
      <c r="Z494" s="52"/>
      <c r="AA494" s="52"/>
    </row>
    <row r="495" spans="22:27">
      <c r="V495" s="52"/>
      <c r="W495" s="52"/>
      <c r="X495" s="52"/>
      <c r="Y495" s="52"/>
      <c r="Z495" s="52"/>
      <c r="AA495" s="52"/>
    </row>
    <row r="496" spans="22:27">
      <c r="V496" s="52"/>
      <c r="W496" s="52"/>
      <c r="X496" s="52"/>
      <c r="Y496" s="52"/>
      <c r="Z496" s="52"/>
      <c r="AA496" s="52"/>
    </row>
    <row r="497" spans="22:27">
      <c r="V497" s="52"/>
      <c r="W497" s="52"/>
      <c r="X497" s="52"/>
      <c r="Y497" s="52"/>
      <c r="Z497" s="52"/>
      <c r="AA497" s="52"/>
    </row>
    <row r="498" spans="22:27">
      <c r="V498" s="52"/>
      <c r="W498" s="52"/>
      <c r="X498" s="52"/>
      <c r="Y498" s="52"/>
      <c r="Z498" s="52"/>
      <c r="AA498" s="52"/>
    </row>
    <row r="499" spans="22:27">
      <c r="V499" s="52"/>
      <c r="W499" s="52"/>
      <c r="X499" s="52"/>
      <c r="Y499" s="52"/>
      <c r="Z499" s="52"/>
      <c r="AA499" s="52"/>
    </row>
    <row r="500" spans="22:27">
      <c r="V500" s="52"/>
      <c r="W500" s="52"/>
      <c r="X500" s="52"/>
      <c r="Y500" s="52"/>
      <c r="Z500" s="52"/>
      <c r="AA500" s="52"/>
    </row>
    <row r="501" spans="22:27">
      <c r="V501" s="52"/>
      <c r="W501" s="52"/>
      <c r="X501" s="52"/>
      <c r="Y501" s="52"/>
      <c r="Z501" s="52"/>
      <c r="AA501" s="52"/>
    </row>
    <row r="502" spans="22:27">
      <c r="V502" s="52"/>
      <c r="W502" s="52"/>
      <c r="X502" s="52"/>
      <c r="Y502" s="52"/>
      <c r="Z502" s="52"/>
      <c r="AA502" s="52"/>
    </row>
    <row r="503" spans="22:27">
      <c r="V503" s="52"/>
      <c r="W503" s="52"/>
      <c r="X503" s="52"/>
      <c r="Y503" s="52"/>
      <c r="Z503" s="52"/>
      <c r="AA503" s="52"/>
    </row>
    <row r="504" spans="22:27">
      <c r="V504" s="52"/>
      <c r="W504" s="52"/>
      <c r="X504" s="52"/>
      <c r="Y504" s="52"/>
      <c r="Z504" s="52"/>
      <c r="AA504" s="52"/>
    </row>
    <row r="505" spans="22:27">
      <c r="V505" s="52"/>
      <c r="W505" s="52"/>
      <c r="X505" s="52"/>
      <c r="Y505" s="52"/>
      <c r="Z505" s="52"/>
      <c r="AA505" s="52"/>
    </row>
    <row r="506" spans="22:27">
      <c r="V506" s="52"/>
      <c r="W506" s="52"/>
      <c r="X506" s="52"/>
      <c r="Y506" s="52"/>
      <c r="Z506" s="52"/>
      <c r="AA506" s="52"/>
    </row>
    <row r="507" spans="22:27">
      <c r="V507" s="52"/>
      <c r="W507" s="52"/>
      <c r="X507" s="52"/>
      <c r="Y507" s="52"/>
      <c r="Z507" s="52"/>
      <c r="AA507" s="52"/>
    </row>
    <row r="508" spans="22:27">
      <c r="V508" s="52"/>
      <c r="W508" s="52"/>
      <c r="X508" s="52"/>
      <c r="Y508" s="52"/>
      <c r="Z508" s="52"/>
      <c r="AA508" s="52"/>
    </row>
    <row r="509" spans="22:27">
      <c r="V509" s="52"/>
      <c r="W509" s="52"/>
      <c r="X509" s="52"/>
      <c r="Y509" s="52"/>
      <c r="Z509" s="52"/>
      <c r="AA509" s="52"/>
    </row>
    <row r="510" spans="22:27">
      <c r="V510" s="52"/>
      <c r="W510" s="52"/>
      <c r="X510" s="52"/>
      <c r="Y510" s="52"/>
      <c r="Z510" s="52"/>
      <c r="AA510" s="52"/>
    </row>
    <row r="511" spans="22:27">
      <c r="V511" s="52"/>
      <c r="W511" s="52"/>
      <c r="X511" s="52"/>
      <c r="Y511" s="52"/>
      <c r="Z511" s="52"/>
      <c r="AA511" s="52"/>
    </row>
    <row r="512" spans="22:27">
      <c r="V512" s="52"/>
      <c r="W512" s="52"/>
      <c r="X512" s="52"/>
      <c r="Y512" s="52"/>
      <c r="Z512" s="52"/>
      <c r="AA512" s="52"/>
    </row>
    <row r="513" spans="22:27">
      <c r="V513" s="52"/>
      <c r="W513" s="52"/>
      <c r="X513" s="52"/>
      <c r="Y513" s="52"/>
      <c r="Z513" s="52"/>
      <c r="AA513" s="52"/>
    </row>
    <row r="514" spans="22:27">
      <c r="V514" s="52"/>
      <c r="W514" s="52"/>
      <c r="X514" s="52"/>
      <c r="Y514" s="52"/>
      <c r="Z514" s="52"/>
      <c r="AA514" s="52"/>
    </row>
    <row r="515" spans="22:27">
      <c r="V515" s="52"/>
      <c r="W515" s="52"/>
      <c r="X515" s="52"/>
      <c r="Y515" s="52"/>
      <c r="Z515" s="52"/>
      <c r="AA515" s="52"/>
    </row>
    <row r="516" spans="22:27">
      <c r="V516" s="52"/>
      <c r="W516" s="52"/>
      <c r="X516" s="52"/>
      <c r="Y516" s="52"/>
      <c r="Z516" s="52"/>
      <c r="AA516" s="52"/>
    </row>
    <row r="517" spans="22:27">
      <c r="V517" s="52"/>
      <c r="W517" s="52"/>
      <c r="X517" s="52"/>
      <c r="Y517" s="52"/>
      <c r="Z517" s="52"/>
      <c r="AA517" s="52"/>
    </row>
    <row r="518" spans="22:27">
      <c r="V518" s="52"/>
      <c r="W518" s="52"/>
      <c r="X518" s="52"/>
      <c r="Y518" s="52"/>
      <c r="Z518" s="52"/>
      <c r="AA518" s="52"/>
    </row>
    <row r="519" spans="22:27">
      <c r="V519" s="52"/>
      <c r="W519" s="52"/>
      <c r="X519" s="52"/>
      <c r="Y519" s="52"/>
      <c r="Z519" s="52"/>
      <c r="AA519" s="52"/>
    </row>
    <row r="520" spans="22:27">
      <c r="V520" s="52"/>
      <c r="W520" s="52"/>
      <c r="X520" s="52"/>
      <c r="Y520" s="52"/>
      <c r="Z520" s="52"/>
      <c r="AA520" s="52"/>
    </row>
    <row r="521" spans="22:27">
      <c r="V521" s="52"/>
      <c r="W521" s="52"/>
      <c r="X521" s="52"/>
      <c r="Y521" s="52"/>
      <c r="Z521" s="52"/>
      <c r="AA521" s="52"/>
    </row>
    <row r="522" spans="22:27">
      <c r="V522" s="52"/>
      <c r="W522" s="52"/>
      <c r="X522" s="52"/>
      <c r="Y522" s="52"/>
      <c r="Z522" s="52"/>
      <c r="AA522" s="52"/>
    </row>
    <row r="523" spans="22:27">
      <c r="V523" s="52"/>
      <c r="W523" s="52"/>
      <c r="X523" s="52"/>
      <c r="Y523" s="52"/>
      <c r="Z523" s="52"/>
      <c r="AA523" s="52"/>
    </row>
    <row r="524" spans="22:27">
      <c r="V524" s="52"/>
      <c r="W524" s="52"/>
      <c r="X524" s="52"/>
      <c r="Y524" s="52"/>
      <c r="Z524" s="52"/>
      <c r="AA524" s="52"/>
    </row>
    <row r="525" spans="22:27">
      <c r="V525" s="52"/>
      <c r="W525" s="52"/>
      <c r="X525" s="52"/>
      <c r="Y525" s="52"/>
      <c r="Z525" s="52"/>
      <c r="AA525" s="52"/>
    </row>
    <row r="526" spans="22:27">
      <c r="V526" s="52"/>
      <c r="W526" s="52"/>
      <c r="X526" s="52"/>
      <c r="Y526" s="52"/>
      <c r="Z526" s="52"/>
      <c r="AA526" s="52"/>
    </row>
    <row r="527" spans="22:27">
      <c r="V527" s="52"/>
      <c r="W527" s="52"/>
      <c r="X527" s="52"/>
      <c r="Y527" s="52"/>
      <c r="Z527" s="52"/>
      <c r="AA527" s="52"/>
    </row>
    <row r="528" spans="22:27">
      <c r="V528" s="52"/>
      <c r="W528" s="52"/>
      <c r="X528" s="52"/>
      <c r="Y528" s="52"/>
      <c r="Z528" s="52"/>
      <c r="AA528" s="52"/>
    </row>
    <row r="529" spans="22:27">
      <c r="V529" s="52"/>
      <c r="W529" s="52"/>
      <c r="X529" s="52"/>
      <c r="Y529" s="52"/>
      <c r="Z529" s="52"/>
      <c r="AA529" s="52"/>
    </row>
    <row r="530" spans="22:27">
      <c r="V530" s="52"/>
      <c r="W530" s="52"/>
      <c r="X530" s="52"/>
      <c r="Y530" s="52"/>
      <c r="Z530" s="52"/>
      <c r="AA530" s="52"/>
    </row>
    <row r="531" spans="22:27">
      <c r="V531" s="52"/>
      <c r="W531" s="52"/>
      <c r="X531" s="52"/>
      <c r="Y531" s="52"/>
      <c r="Z531" s="52"/>
      <c r="AA531" s="52"/>
    </row>
    <row r="532" spans="22:27">
      <c r="V532" s="52"/>
      <c r="W532" s="52"/>
      <c r="X532" s="52"/>
      <c r="Y532" s="52"/>
      <c r="Z532" s="52"/>
      <c r="AA532" s="52"/>
    </row>
    <row r="533" spans="22:27">
      <c r="V533" s="52"/>
      <c r="W533" s="52"/>
      <c r="X533" s="52"/>
      <c r="Y533" s="52"/>
      <c r="Z533" s="52"/>
      <c r="AA533" s="52"/>
    </row>
    <row r="534" spans="22:27">
      <c r="V534" s="52"/>
      <c r="W534" s="52"/>
      <c r="X534" s="52"/>
      <c r="Y534" s="52"/>
      <c r="Z534" s="52"/>
      <c r="AA534" s="52"/>
    </row>
    <row r="535" spans="22:27">
      <c r="V535" s="52"/>
      <c r="W535" s="52"/>
      <c r="X535" s="52"/>
      <c r="Y535" s="52"/>
      <c r="Z535" s="52"/>
      <c r="AA535" s="52"/>
    </row>
    <row r="536" spans="22:27">
      <c r="V536" s="52"/>
      <c r="W536" s="52"/>
      <c r="X536" s="52"/>
      <c r="Y536" s="52"/>
      <c r="Z536" s="52"/>
      <c r="AA536" s="52"/>
    </row>
    <row r="537" spans="22:27">
      <c r="V537" s="52"/>
      <c r="W537" s="52"/>
      <c r="X537" s="52"/>
      <c r="Y537" s="52"/>
      <c r="Z537" s="52"/>
      <c r="AA537" s="52"/>
    </row>
    <row r="538" spans="22:27">
      <c r="V538" s="52"/>
      <c r="W538" s="52"/>
      <c r="X538" s="52"/>
      <c r="Y538" s="52"/>
      <c r="Z538" s="52"/>
      <c r="AA538" s="52"/>
    </row>
    <row r="539" spans="22:27">
      <c r="V539" s="52"/>
      <c r="W539" s="52"/>
      <c r="X539" s="52"/>
      <c r="Y539" s="52"/>
      <c r="Z539" s="52"/>
      <c r="AA539" s="52"/>
    </row>
    <row r="540" spans="22:27">
      <c r="V540" s="52"/>
      <c r="W540" s="52"/>
      <c r="X540" s="52"/>
      <c r="Y540" s="52"/>
      <c r="Z540" s="52"/>
      <c r="AA540" s="52"/>
    </row>
    <row r="541" spans="22:27">
      <c r="V541" s="52"/>
      <c r="W541" s="52"/>
      <c r="X541" s="52"/>
      <c r="Y541" s="52"/>
      <c r="Z541" s="52"/>
      <c r="AA541" s="52"/>
    </row>
    <row r="542" spans="22:27">
      <c r="V542" s="52"/>
      <c r="W542" s="52"/>
      <c r="X542" s="52"/>
      <c r="Y542" s="52"/>
      <c r="Z542" s="52"/>
      <c r="AA542" s="52"/>
    </row>
    <row r="543" spans="22:27">
      <c r="V543" s="52"/>
      <c r="W543" s="52"/>
      <c r="X543" s="52"/>
      <c r="Y543" s="52"/>
      <c r="Z543" s="52"/>
      <c r="AA543" s="52"/>
    </row>
    <row r="544" spans="22:27">
      <c r="V544" s="52"/>
      <c r="W544" s="52"/>
      <c r="X544" s="52"/>
      <c r="Y544" s="52"/>
      <c r="Z544" s="52"/>
      <c r="AA544" s="52"/>
    </row>
    <row r="545" spans="22:27">
      <c r="V545" s="52"/>
      <c r="W545" s="52"/>
      <c r="X545" s="52"/>
      <c r="Y545" s="52"/>
      <c r="Z545" s="52"/>
      <c r="AA545" s="52"/>
    </row>
    <row r="546" spans="22:27">
      <c r="V546" s="52"/>
      <c r="W546" s="52"/>
      <c r="X546" s="52"/>
      <c r="Y546" s="52"/>
      <c r="Z546" s="52"/>
      <c r="AA546" s="52"/>
    </row>
    <row r="547" spans="22:27">
      <c r="V547" s="52"/>
      <c r="W547" s="52"/>
      <c r="X547" s="52"/>
      <c r="Y547" s="52"/>
      <c r="Z547" s="52"/>
      <c r="AA547" s="52"/>
    </row>
    <row r="548" spans="22:27">
      <c r="V548" s="52"/>
      <c r="W548" s="52"/>
      <c r="X548" s="52"/>
      <c r="Y548" s="52"/>
      <c r="Z548" s="52"/>
      <c r="AA548" s="52"/>
    </row>
    <row r="549" spans="22:27">
      <c r="V549" s="52"/>
      <c r="W549" s="52"/>
      <c r="X549" s="52"/>
      <c r="Y549" s="52"/>
      <c r="Z549" s="52"/>
      <c r="AA549" s="52"/>
    </row>
    <row r="550" spans="22:27">
      <c r="V550" s="52"/>
      <c r="W550" s="52"/>
      <c r="X550" s="52"/>
      <c r="Y550" s="52"/>
      <c r="Z550" s="52"/>
      <c r="AA550" s="52"/>
    </row>
    <row r="551" spans="22:27">
      <c r="V551" s="52"/>
      <c r="W551" s="52"/>
      <c r="X551" s="52"/>
      <c r="Y551" s="52"/>
      <c r="Z551" s="52"/>
      <c r="AA551" s="52"/>
    </row>
    <row r="552" spans="22:27">
      <c r="V552" s="52"/>
      <c r="W552" s="52"/>
      <c r="X552" s="52"/>
      <c r="Y552" s="52"/>
      <c r="Z552" s="52"/>
      <c r="AA552" s="52"/>
    </row>
    <row r="553" spans="22:27">
      <c r="V553" s="52"/>
      <c r="W553" s="52"/>
      <c r="X553" s="52"/>
      <c r="Y553" s="52"/>
      <c r="Z553" s="52"/>
      <c r="AA553" s="52"/>
    </row>
    <row r="554" spans="22:27">
      <c r="V554" s="52"/>
      <c r="W554" s="52"/>
      <c r="X554" s="52"/>
      <c r="Y554" s="52"/>
      <c r="Z554" s="52"/>
      <c r="AA554" s="52"/>
    </row>
    <row r="555" spans="22:27">
      <c r="V555" s="52"/>
      <c r="W555" s="52"/>
      <c r="X555" s="52"/>
      <c r="Y555" s="52"/>
      <c r="Z555" s="52"/>
      <c r="AA555" s="52"/>
    </row>
    <row r="556" spans="22:27">
      <c r="V556" s="52"/>
      <c r="W556" s="52"/>
      <c r="X556" s="52"/>
      <c r="Y556" s="52"/>
      <c r="Z556" s="52"/>
      <c r="AA556" s="52"/>
    </row>
    <row r="557" spans="22:27">
      <c r="V557" s="52"/>
      <c r="W557" s="52"/>
      <c r="X557" s="52"/>
      <c r="Y557" s="52"/>
      <c r="Z557" s="52"/>
      <c r="AA557" s="52"/>
    </row>
    <row r="558" spans="22:27">
      <c r="V558" s="52"/>
      <c r="W558" s="52"/>
      <c r="X558" s="52"/>
      <c r="Y558" s="52"/>
      <c r="Z558" s="52"/>
      <c r="AA558" s="52"/>
    </row>
    <row r="559" spans="22:27">
      <c r="V559" s="52"/>
      <c r="W559" s="52"/>
      <c r="X559" s="52"/>
      <c r="Y559" s="52"/>
      <c r="Z559" s="52"/>
      <c r="AA559" s="52"/>
    </row>
    <row r="560" spans="22:27">
      <c r="V560" s="52"/>
      <c r="W560" s="52"/>
      <c r="X560" s="52"/>
      <c r="Y560" s="52"/>
      <c r="Z560" s="52"/>
      <c r="AA560" s="52"/>
    </row>
    <row r="561" spans="22:27">
      <c r="V561" s="52"/>
      <c r="W561" s="52"/>
      <c r="X561" s="52"/>
      <c r="Y561" s="52"/>
      <c r="Z561" s="52"/>
      <c r="AA561" s="52"/>
    </row>
    <row r="562" spans="22:27">
      <c r="V562" s="52"/>
      <c r="W562" s="52"/>
      <c r="X562" s="52"/>
      <c r="Y562" s="52"/>
      <c r="Z562" s="52"/>
      <c r="AA562" s="52"/>
    </row>
    <row r="563" spans="22:27">
      <c r="V563" s="52"/>
      <c r="W563" s="52"/>
      <c r="X563" s="52"/>
      <c r="Y563" s="52"/>
      <c r="Z563" s="52"/>
      <c r="AA563" s="52"/>
    </row>
    <row r="564" spans="22:27">
      <c r="V564" s="52"/>
      <c r="W564" s="52"/>
      <c r="X564" s="52"/>
      <c r="Y564" s="52"/>
      <c r="Z564" s="52"/>
      <c r="AA564" s="52"/>
    </row>
    <row r="565" spans="22:27">
      <c r="V565" s="52"/>
      <c r="W565" s="52"/>
      <c r="X565" s="52"/>
      <c r="Y565" s="52"/>
      <c r="Z565" s="52"/>
      <c r="AA565" s="52"/>
    </row>
    <row r="566" spans="22:27">
      <c r="V566" s="52"/>
      <c r="W566" s="52"/>
      <c r="X566" s="52"/>
      <c r="Y566" s="52"/>
      <c r="Z566" s="52"/>
      <c r="AA566" s="52"/>
    </row>
    <row r="567" spans="22:27">
      <c r="V567" s="52"/>
      <c r="W567" s="52"/>
      <c r="X567" s="52"/>
      <c r="Y567" s="52"/>
      <c r="Z567" s="52"/>
      <c r="AA567" s="52"/>
    </row>
    <row r="568" spans="22:27">
      <c r="V568" s="52"/>
      <c r="W568" s="52"/>
      <c r="X568" s="52"/>
      <c r="Y568" s="52"/>
      <c r="Z568" s="52"/>
      <c r="AA568" s="52"/>
    </row>
    <row r="569" spans="22:27">
      <c r="V569" s="52"/>
      <c r="W569" s="52"/>
      <c r="X569" s="52"/>
      <c r="Y569" s="52"/>
      <c r="Z569" s="52"/>
      <c r="AA569" s="52"/>
    </row>
    <row r="570" spans="22:27">
      <c r="V570" s="52"/>
      <c r="W570" s="52"/>
      <c r="X570" s="52"/>
      <c r="Y570" s="52"/>
      <c r="Z570" s="52"/>
      <c r="AA570" s="52"/>
    </row>
    <row r="571" spans="22:27">
      <c r="V571" s="52"/>
      <c r="W571" s="52"/>
      <c r="X571" s="52"/>
      <c r="Y571" s="52"/>
      <c r="Z571" s="52"/>
      <c r="AA571" s="52"/>
    </row>
    <row r="572" spans="22:27">
      <c r="V572" s="52"/>
      <c r="W572" s="52"/>
      <c r="X572" s="52"/>
      <c r="Y572" s="52"/>
      <c r="Z572" s="52"/>
      <c r="AA572" s="52"/>
    </row>
    <row r="573" spans="22:27">
      <c r="V573" s="52"/>
      <c r="W573" s="52"/>
      <c r="X573" s="52"/>
      <c r="Y573" s="52"/>
      <c r="Z573" s="52"/>
      <c r="AA573" s="52"/>
    </row>
    <row r="574" spans="22:27">
      <c r="V574" s="52"/>
      <c r="W574" s="52"/>
      <c r="X574" s="52"/>
      <c r="Y574" s="52"/>
      <c r="Z574" s="52"/>
      <c r="AA574" s="52"/>
    </row>
    <row r="575" spans="22:27">
      <c r="V575" s="52"/>
      <c r="W575" s="52"/>
      <c r="X575" s="52"/>
      <c r="Y575" s="52"/>
      <c r="Z575" s="52"/>
      <c r="AA575" s="52"/>
    </row>
    <row r="576" spans="22:27">
      <c r="V576" s="52"/>
      <c r="W576" s="52"/>
      <c r="X576" s="52"/>
      <c r="Y576" s="52"/>
      <c r="Z576" s="52"/>
      <c r="AA576" s="52"/>
    </row>
    <row r="577" spans="22:27">
      <c r="V577" s="52"/>
      <c r="W577" s="52"/>
      <c r="X577" s="52"/>
      <c r="Y577" s="52"/>
      <c r="Z577" s="52"/>
      <c r="AA577" s="52"/>
    </row>
    <row r="578" spans="22:27">
      <c r="V578" s="52"/>
      <c r="W578" s="52"/>
      <c r="X578" s="52"/>
      <c r="Y578" s="52"/>
      <c r="Z578" s="52"/>
      <c r="AA578" s="52"/>
    </row>
    <row r="579" spans="22:27">
      <c r="V579" s="52"/>
      <c r="W579" s="52"/>
      <c r="X579" s="52"/>
      <c r="Y579" s="52"/>
      <c r="Z579" s="52"/>
      <c r="AA579" s="52"/>
    </row>
    <row r="580" spans="22:27">
      <c r="V580" s="52"/>
      <c r="W580" s="52"/>
      <c r="X580" s="52"/>
      <c r="Y580" s="52"/>
      <c r="Z580" s="52"/>
      <c r="AA580" s="52"/>
    </row>
    <row r="581" spans="22:27">
      <c r="V581" s="52"/>
      <c r="W581" s="52"/>
      <c r="X581" s="52"/>
      <c r="Y581" s="52"/>
      <c r="Z581" s="52"/>
      <c r="AA581" s="52"/>
    </row>
    <row r="582" spans="22:27">
      <c r="V582" s="52"/>
      <c r="W582" s="52"/>
      <c r="X582" s="52"/>
      <c r="Y582" s="52"/>
      <c r="Z582" s="52"/>
      <c r="AA582" s="52"/>
    </row>
    <row r="583" spans="22:27">
      <c r="V583" s="52"/>
      <c r="W583" s="52"/>
      <c r="X583" s="52"/>
      <c r="Y583" s="52"/>
      <c r="Z583" s="52"/>
      <c r="AA583" s="52"/>
    </row>
    <row r="584" spans="22:27">
      <c r="V584" s="52"/>
      <c r="W584" s="52"/>
      <c r="X584" s="52"/>
      <c r="Y584" s="52"/>
      <c r="Z584" s="52"/>
      <c r="AA584" s="52"/>
    </row>
    <row r="585" spans="22:27">
      <c r="V585" s="52"/>
      <c r="W585" s="52"/>
      <c r="X585" s="52"/>
      <c r="Y585" s="52"/>
      <c r="Z585" s="52"/>
      <c r="AA585" s="52"/>
    </row>
    <row r="586" spans="22:27">
      <c r="V586" s="52"/>
      <c r="W586" s="52"/>
      <c r="X586" s="52"/>
      <c r="Y586" s="52"/>
      <c r="Z586" s="52"/>
      <c r="AA586" s="52"/>
    </row>
    <row r="587" spans="22:27">
      <c r="V587" s="52"/>
      <c r="W587" s="52"/>
      <c r="X587" s="52"/>
      <c r="Y587" s="52"/>
      <c r="Z587" s="52"/>
      <c r="AA587" s="52"/>
    </row>
    <row r="588" spans="22:27">
      <c r="V588" s="52"/>
      <c r="W588" s="52"/>
      <c r="X588" s="52"/>
      <c r="Y588" s="52"/>
      <c r="Z588" s="52"/>
      <c r="AA588" s="52"/>
    </row>
    <row r="589" spans="22:27">
      <c r="V589" s="52"/>
      <c r="W589" s="52"/>
      <c r="X589" s="52"/>
      <c r="Y589" s="52"/>
      <c r="Z589" s="52"/>
      <c r="AA589" s="52"/>
    </row>
    <row r="590" spans="22:27">
      <c r="V590" s="52"/>
      <c r="W590" s="52"/>
      <c r="X590" s="52"/>
      <c r="Y590" s="52"/>
      <c r="Z590" s="52"/>
      <c r="AA590" s="52"/>
    </row>
    <row r="591" spans="22:27">
      <c r="V591" s="52"/>
      <c r="W591" s="52"/>
      <c r="X591" s="52"/>
      <c r="Y591" s="52"/>
      <c r="Z591" s="52"/>
      <c r="AA591" s="52"/>
    </row>
    <row r="592" spans="22:27">
      <c r="V592" s="52"/>
      <c r="W592" s="52"/>
      <c r="X592" s="52"/>
      <c r="Y592" s="52"/>
      <c r="Z592" s="52"/>
      <c r="AA592" s="52"/>
    </row>
    <row r="593" spans="22:27">
      <c r="V593" s="52"/>
      <c r="W593" s="52"/>
      <c r="X593" s="52"/>
      <c r="Y593" s="52"/>
      <c r="Z593" s="52"/>
      <c r="AA593" s="52"/>
    </row>
    <row r="594" spans="22:27">
      <c r="V594" s="52"/>
      <c r="W594" s="52"/>
      <c r="X594" s="52"/>
      <c r="Y594" s="52"/>
      <c r="Z594" s="52"/>
      <c r="AA594" s="52"/>
    </row>
    <row r="595" spans="22:27">
      <c r="V595" s="52"/>
      <c r="W595" s="52"/>
      <c r="X595" s="52"/>
      <c r="Y595" s="52"/>
      <c r="Z595" s="52"/>
      <c r="AA595" s="52"/>
    </row>
    <row r="596" spans="22:27">
      <c r="V596" s="52"/>
      <c r="W596" s="52"/>
      <c r="X596" s="52"/>
      <c r="Y596" s="52"/>
      <c r="Z596" s="52"/>
      <c r="AA596" s="52"/>
    </row>
    <row r="597" spans="22:27">
      <c r="V597" s="52"/>
      <c r="W597" s="52"/>
      <c r="X597" s="52"/>
      <c r="Y597" s="52"/>
      <c r="Z597" s="52"/>
      <c r="AA597" s="52"/>
    </row>
    <row r="598" spans="22:27">
      <c r="V598" s="52"/>
      <c r="W598" s="52"/>
      <c r="X598" s="52"/>
      <c r="Y598" s="52"/>
      <c r="Z598" s="52"/>
      <c r="AA598" s="52"/>
    </row>
    <row r="599" spans="22:27">
      <c r="V599" s="52"/>
      <c r="W599" s="52"/>
      <c r="X599" s="52"/>
      <c r="Y599" s="52"/>
      <c r="Z599" s="52"/>
      <c r="AA599" s="52"/>
    </row>
    <row r="600" spans="22:27">
      <c r="V600" s="52"/>
      <c r="W600" s="52"/>
      <c r="X600" s="52"/>
      <c r="Y600" s="52"/>
      <c r="Z600" s="52"/>
      <c r="AA600" s="52"/>
    </row>
    <row r="601" spans="22:27">
      <c r="V601" s="52"/>
      <c r="W601" s="52"/>
      <c r="X601" s="52"/>
      <c r="Y601" s="52"/>
      <c r="Z601" s="52"/>
      <c r="AA601" s="52"/>
    </row>
    <row r="602" spans="22:27">
      <c r="V602" s="52"/>
      <c r="W602" s="52"/>
      <c r="X602" s="52"/>
      <c r="Y602" s="52"/>
      <c r="Z602" s="52"/>
      <c r="AA602" s="52"/>
    </row>
    <row r="603" spans="22:27">
      <c r="V603" s="52"/>
      <c r="W603" s="52"/>
      <c r="X603" s="52"/>
      <c r="Y603" s="52"/>
      <c r="Z603" s="52"/>
      <c r="AA603" s="52"/>
    </row>
    <row r="604" spans="22:27">
      <c r="V604" s="52"/>
      <c r="W604" s="52"/>
      <c r="X604" s="52"/>
      <c r="Y604" s="52"/>
      <c r="Z604" s="52"/>
      <c r="AA604" s="52"/>
    </row>
    <row r="605" spans="22:27">
      <c r="V605" s="52"/>
      <c r="W605" s="52"/>
      <c r="X605" s="52"/>
      <c r="Y605" s="52"/>
      <c r="Z605" s="52"/>
      <c r="AA605" s="52"/>
    </row>
    <row r="606" spans="22:27">
      <c r="V606" s="52"/>
      <c r="W606" s="52"/>
      <c r="X606" s="52"/>
      <c r="Y606" s="52"/>
      <c r="Z606" s="52"/>
      <c r="AA606" s="52"/>
    </row>
    <row r="607" spans="22:27">
      <c r="V607" s="52"/>
      <c r="W607" s="52"/>
      <c r="X607" s="52"/>
      <c r="Y607" s="52"/>
      <c r="Z607" s="52"/>
      <c r="AA607" s="52"/>
    </row>
    <row r="608" spans="22:27">
      <c r="V608" s="52"/>
      <c r="W608" s="52"/>
      <c r="X608" s="52"/>
      <c r="Y608" s="52"/>
      <c r="Z608" s="52"/>
      <c r="AA608" s="52"/>
    </row>
    <row r="609" spans="22:27">
      <c r="V609" s="52"/>
      <c r="W609" s="52"/>
      <c r="X609" s="52"/>
      <c r="Y609" s="52"/>
      <c r="Z609" s="52"/>
      <c r="AA609" s="52"/>
    </row>
    <row r="610" spans="22:27">
      <c r="V610" s="52"/>
      <c r="W610" s="52"/>
      <c r="X610" s="52"/>
      <c r="Y610" s="52"/>
      <c r="Z610" s="52"/>
      <c r="AA610" s="52"/>
    </row>
    <row r="611" spans="22:27">
      <c r="V611" s="52"/>
      <c r="W611" s="52"/>
      <c r="X611" s="52"/>
      <c r="Y611" s="52"/>
      <c r="Z611" s="52"/>
      <c r="AA611" s="52"/>
    </row>
    <row r="612" spans="22:27">
      <c r="V612" s="52"/>
      <c r="W612" s="52"/>
      <c r="X612" s="52"/>
      <c r="Y612" s="52"/>
      <c r="Z612" s="52"/>
      <c r="AA612" s="52"/>
    </row>
    <row r="613" spans="22:27">
      <c r="V613" s="52"/>
      <c r="W613" s="52"/>
      <c r="X613" s="52"/>
      <c r="Y613" s="52"/>
      <c r="Z613" s="52"/>
      <c r="AA613" s="52"/>
    </row>
    <row r="614" spans="22:27">
      <c r="V614" s="52"/>
      <c r="W614" s="52"/>
      <c r="X614" s="52"/>
      <c r="Y614" s="52"/>
      <c r="Z614" s="52"/>
      <c r="AA614" s="52"/>
    </row>
    <row r="615" spans="22:27">
      <c r="V615" s="52"/>
      <c r="W615" s="52"/>
      <c r="X615" s="52"/>
      <c r="Y615" s="52"/>
      <c r="Z615" s="52"/>
      <c r="AA615" s="52"/>
    </row>
    <row r="616" spans="22:27">
      <c r="V616" s="52"/>
      <c r="W616" s="52"/>
      <c r="X616" s="52"/>
      <c r="Y616" s="52"/>
      <c r="Z616" s="52"/>
      <c r="AA616" s="52"/>
    </row>
    <row r="617" spans="22:27">
      <c r="V617" s="52"/>
      <c r="W617" s="52"/>
      <c r="X617" s="52"/>
      <c r="Y617" s="52"/>
      <c r="Z617" s="52"/>
      <c r="AA617" s="52"/>
    </row>
    <row r="618" spans="22:27">
      <c r="V618" s="52"/>
      <c r="W618" s="52"/>
      <c r="X618" s="52"/>
      <c r="Y618" s="52"/>
      <c r="Z618" s="52"/>
      <c r="AA618" s="52"/>
    </row>
    <row r="619" spans="22:27">
      <c r="V619" s="52"/>
      <c r="W619" s="52"/>
      <c r="X619" s="52"/>
      <c r="Y619" s="52"/>
      <c r="Z619" s="52"/>
      <c r="AA619" s="52"/>
    </row>
    <row r="620" spans="22:27">
      <c r="V620" s="52"/>
      <c r="W620" s="52"/>
      <c r="X620" s="52"/>
      <c r="Y620" s="52"/>
      <c r="Z620" s="52"/>
      <c r="AA620" s="52"/>
    </row>
    <row r="621" spans="22:27">
      <c r="V621" s="52"/>
      <c r="W621" s="52"/>
      <c r="X621" s="52"/>
      <c r="Y621" s="52"/>
      <c r="Z621" s="52"/>
      <c r="AA621" s="52"/>
    </row>
    <row r="622" spans="22:27">
      <c r="V622" s="52"/>
      <c r="W622" s="52"/>
      <c r="X622" s="52"/>
      <c r="Y622" s="52"/>
      <c r="Z622" s="52"/>
      <c r="AA622" s="52"/>
    </row>
    <row r="623" spans="22:27">
      <c r="V623" s="52"/>
      <c r="W623" s="52"/>
      <c r="X623" s="52"/>
      <c r="Y623" s="52"/>
      <c r="Z623" s="52"/>
      <c r="AA623" s="52"/>
    </row>
    <row r="624" spans="22:27">
      <c r="V624" s="52"/>
      <c r="W624" s="52"/>
      <c r="X624" s="52"/>
      <c r="Y624" s="52"/>
      <c r="Z624" s="52"/>
      <c r="AA624" s="52"/>
    </row>
    <row r="625" spans="22:27">
      <c r="V625" s="52"/>
      <c r="W625" s="52"/>
      <c r="X625" s="52"/>
      <c r="Y625" s="52"/>
      <c r="Z625" s="52"/>
      <c r="AA625" s="52"/>
    </row>
    <row r="626" spans="22:27">
      <c r="V626" s="52"/>
      <c r="W626" s="52"/>
      <c r="X626" s="52"/>
      <c r="Y626" s="52"/>
      <c r="Z626" s="52"/>
      <c r="AA626" s="52"/>
    </row>
    <row r="627" spans="22:27">
      <c r="V627" s="52"/>
      <c r="W627" s="52"/>
      <c r="X627" s="52"/>
      <c r="Y627" s="52"/>
      <c r="Z627" s="52"/>
      <c r="AA627" s="52"/>
    </row>
    <row r="628" spans="22:27">
      <c r="V628" s="52"/>
      <c r="W628" s="52"/>
      <c r="X628" s="52"/>
      <c r="Y628" s="52"/>
      <c r="Z628" s="52"/>
      <c r="AA628" s="52"/>
    </row>
    <row r="629" spans="22:27">
      <c r="V629" s="52"/>
      <c r="W629" s="52"/>
      <c r="X629" s="52"/>
      <c r="Y629" s="52"/>
      <c r="Z629" s="52"/>
      <c r="AA629" s="52"/>
    </row>
    <row r="630" spans="22:27">
      <c r="V630" s="52"/>
      <c r="W630" s="52"/>
      <c r="X630" s="52"/>
      <c r="Y630" s="52"/>
      <c r="Z630" s="52"/>
      <c r="AA630" s="52"/>
    </row>
    <row r="631" spans="22:27">
      <c r="V631" s="52"/>
      <c r="W631" s="52"/>
      <c r="X631" s="52"/>
      <c r="Y631" s="52"/>
      <c r="Z631" s="52"/>
      <c r="AA631" s="52"/>
    </row>
    <row r="632" spans="22:27">
      <c r="V632" s="52"/>
      <c r="W632" s="52"/>
      <c r="X632" s="52"/>
      <c r="Y632" s="52"/>
      <c r="Z632" s="52"/>
      <c r="AA632" s="52"/>
    </row>
    <row r="633" spans="22:27">
      <c r="V633" s="52"/>
      <c r="W633" s="52"/>
      <c r="X633" s="52"/>
      <c r="Y633" s="52"/>
      <c r="Z633" s="52"/>
      <c r="AA633" s="52"/>
    </row>
    <row r="634" spans="22:27">
      <c r="V634" s="52"/>
      <c r="W634" s="52"/>
      <c r="X634" s="52"/>
      <c r="Y634" s="52"/>
      <c r="Z634" s="52"/>
      <c r="AA634" s="52"/>
    </row>
    <row r="635" spans="22:27">
      <c r="V635" s="52"/>
      <c r="W635" s="52"/>
      <c r="X635" s="52"/>
      <c r="Y635" s="52"/>
      <c r="Z635" s="52"/>
      <c r="AA635" s="52"/>
    </row>
    <row r="636" spans="22:27">
      <c r="V636" s="52"/>
      <c r="W636" s="52"/>
      <c r="X636" s="52"/>
      <c r="Y636" s="52"/>
      <c r="Z636" s="52"/>
      <c r="AA636" s="52"/>
    </row>
    <row r="637" spans="22:27">
      <c r="V637" s="52"/>
      <c r="W637" s="52"/>
      <c r="X637" s="52"/>
      <c r="Y637" s="52"/>
      <c r="Z637" s="52"/>
      <c r="AA637" s="52"/>
    </row>
    <row r="638" spans="22:27">
      <c r="V638" s="52"/>
      <c r="W638" s="52"/>
      <c r="X638" s="52"/>
      <c r="Y638" s="52"/>
      <c r="Z638" s="52"/>
      <c r="AA638" s="52"/>
    </row>
    <row r="639" spans="22:27">
      <c r="V639" s="52"/>
      <c r="W639" s="52"/>
      <c r="X639" s="52"/>
      <c r="Y639" s="52"/>
      <c r="Z639" s="52"/>
      <c r="AA639" s="52"/>
    </row>
    <row r="640" spans="22:27">
      <c r="V640" s="52"/>
      <c r="W640" s="52"/>
      <c r="X640" s="52"/>
      <c r="Y640" s="52"/>
      <c r="Z640" s="52"/>
      <c r="AA640" s="52"/>
    </row>
    <row r="641" spans="22:27">
      <c r="V641" s="52"/>
      <c r="W641" s="52"/>
      <c r="X641" s="52"/>
      <c r="Y641" s="52"/>
      <c r="Z641" s="52"/>
      <c r="AA641" s="52"/>
    </row>
    <row r="642" spans="22:27">
      <c r="V642" s="52"/>
      <c r="W642" s="52"/>
      <c r="X642" s="52"/>
      <c r="Y642" s="52"/>
      <c r="Z642" s="52"/>
      <c r="AA642" s="52"/>
    </row>
    <row r="643" spans="22:27">
      <c r="V643" s="52"/>
      <c r="W643" s="52"/>
      <c r="X643" s="52"/>
      <c r="Y643" s="52"/>
      <c r="Z643" s="52"/>
      <c r="AA643" s="52"/>
    </row>
    <row r="644" spans="22:27">
      <c r="V644" s="52"/>
      <c r="W644" s="52"/>
      <c r="X644" s="52"/>
      <c r="Y644" s="52"/>
      <c r="Z644" s="52"/>
      <c r="AA644" s="52"/>
    </row>
    <row r="645" spans="22:27">
      <c r="V645" s="52"/>
      <c r="W645" s="52"/>
      <c r="X645" s="52"/>
      <c r="Y645" s="52"/>
      <c r="Z645" s="52"/>
      <c r="AA645" s="52"/>
    </row>
    <row r="646" spans="22:27">
      <c r="V646" s="52"/>
      <c r="W646" s="52"/>
      <c r="X646" s="52"/>
      <c r="Y646" s="52"/>
      <c r="Z646" s="52"/>
      <c r="AA646" s="52"/>
    </row>
    <row r="647" spans="22:27">
      <c r="V647" s="52"/>
      <c r="W647" s="52"/>
      <c r="X647" s="52"/>
      <c r="Y647" s="52"/>
      <c r="Z647" s="52"/>
      <c r="AA647" s="52"/>
    </row>
    <row r="648" spans="22:27">
      <c r="V648" s="52"/>
      <c r="W648" s="52"/>
      <c r="X648" s="52"/>
      <c r="Y648" s="52"/>
      <c r="Z648" s="52"/>
      <c r="AA648" s="52"/>
    </row>
    <row r="649" spans="22:27">
      <c r="V649" s="52"/>
      <c r="W649" s="52"/>
      <c r="X649" s="52"/>
      <c r="Y649" s="52"/>
      <c r="Z649" s="52"/>
      <c r="AA649" s="52"/>
    </row>
    <row r="650" spans="22:27">
      <c r="V650" s="52"/>
      <c r="W650" s="52"/>
      <c r="X650" s="52"/>
      <c r="Y650" s="52"/>
      <c r="Z650" s="52"/>
      <c r="AA650" s="52"/>
    </row>
    <row r="651" spans="22:27">
      <c r="V651" s="52"/>
      <c r="W651" s="52"/>
      <c r="X651" s="52"/>
      <c r="Y651" s="52"/>
      <c r="Z651" s="52"/>
      <c r="AA651" s="52"/>
    </row>
    <row r="652" spans="22:27">
      <c r="V652" s="52"/>
      <c r="W652" s="52"/>
      <c r="X652" s="52"/>
      <c r="Y652" s="52"/>
      <c r="Z652" s="52"/>
      <c r="AA652" s="52"/>
    </row>
    <row r="653" spans="22:27">
      <c r="V653" s="52"/>
      <c r="W653" s="52"/>
      <c r="X653" s="52"/>
      <c r="Y653" s="52"/>
      <c r="Z653" s="52"/>
      <c r="AA653" s="52"/>
    </row>
    <row r="654" spans="22:27">
      <c r="V654" s="52"/>
      <c r="W654" s="52"/>
      <c r="X654" s="52"/>
      <c r="Y654" s="52"/>
      <c r="Z654" s="52"/>
      <c r="AA654" s="52"/>
    </row>
    <row r="655" spans="22:27">
      <c r="V655" s="52"/>
      <c r="W655" s="52"/>
      <c r="X655" s="52"/>
      <c r="Y655" s="52"/>
      <c r="Z655" s="52"/>
      <c r="AA655" s="52"/>
    </row>
    <row r="656" spans="22:27">
      <c r="V656" s="52"/>
      <c r="W656" s="52"/>
      <c r="X656" s="52"/>
      <c r="Y656" s="52"/>
      <c r="Z656" s="52"/>
      <c r="AA656" s="52"/>
    </row>
    <row r="657" spans="22:27">
      <c r="V657" s="52"/>
      <c r="W657" s="52"/>
      <c r="X657" s="52"/>
      <c r="Y657" s="52"/>
      <c r="Z657" s="52"/>
      <c r="AA657" s="52"/>
    </row>
    <row r="658" spans="22:27">
      <c r="V658" s="52"/>
      <c r="W658" s="52"/>
      <c r="X658" s="52"/>
      <c r="Y658" s="52"/>
      <c r="Z658" s="52"/>
      <c r="AA658" s="52"/>
    </row>
    <row r="659" spans="22:27">
      <c r="V659" s="52"/>
      <c r="W659" s="52"/>
      <c r="X659" s="52"/>
      <c r="Y659" s="52"/>
      <c r="Z659" s="52"/>
      <c r="AA659" s="52"/>
    </row>
    <row r="660" spans="22:27">
      <c r="V660" s="52"/>
      <c r="W660" s="52"/>
      <c r="X660" s="52"/>
      <c r="Y660" s="52"/>
      <c r="Z660" s="52"/>
      <c r="AA660" s="52"/>
    </row>
    <row r="661" spans="22:27">
      <c r="V661" s="52"/>
      <c r="W661" s="52"/>
      <c r="X661" s="52"/>
      <c r="Y661" s="52"/>
      <c r="Z661" s="52"/>
      <c r="AA661" s="52"/>
    </row>
    <row r="662" spans="22:27">
      <c r="V662" s="52"/>
      <c r="W662" s="52"/>
      <c r="X662" s="52"/>
      <c r="Y662" s="52"/>
      <c r="Z662" s="52"/>
      <c r="AA662" s="52"/>
    </row>
    <row r="663" spans="22:27">
      <c r="V663" s="52"/>
      <c r="W663" s="52"/>
      <c r="X663" s="52"/>
      <c r="Y663" s="52"/>
      <c r="Z663" s="52"/>
      <c r="AA663" s="52"/>
    </row>
    <row r="664" spans="22:27">
      <c r="V664" s="52"/>
      <c r="W664" s="52"/>
      <c r="X664" s="52"/>
      <c r="Y664" s="52"/>
      <c r="Z664" s="52"/>
      <c r="AA664" s="52"/>
    </row>
    <row r="665" spans="22:27">
      <c r="V665" s="52"/>
      <c r="W665" s="52"/>
      <c r="X665" s="52"/>
      <c r="Y665" s="52"/>
      <c r="Z665" s="52"/>
      <c r="AA665" s="52"/>
    </row>
    <row r="666" spans="22:27">
      <c r="V666" s="52"/>
      <c r="W666" s="52"/>
      <c r="X666" s="52"/>
      <c r="Y666" s="52"/>
      <c r="Z666" s="52"/>
      <c r="AA666" s="52"/>
    </row>
    <row r="667" spans="22:27">
      <c r="V667" s="52"/>
      <c r="W667" s="52"/>
      <c r="X667" s="52"/>
      <c r="Y667" s="52"/>
      <c r="Z667" s="52"/>
      <c r="AA667" s="52"/>
    </row>
    <row r="668" spans="22:27">
      <c r="V668" s="52"/>
      <c r="W668" s="52"/>
      <c r="X668" s="52"/>
      <c r="Y668" s="52"/>
      <c r="Z668" s="52"/>
      <c r="AA668" s="52"/>
    </row>
    <row r="669" spans="22:27">
      <c r="V669" s="52"/>
      <c r="W669" s="52"/>
      <c r="X669" s="52"/>
      <c r="Y669" s="52"/>
      <c r="Z669" s="52"/>
      <c r="AA669" s="52"/>
    </row>
    <row r="670" spans="22:27">
      <c r="V670" s="52"/>
      <c r="W670" s="52"/>
      <c r="X670" s="52"/>
      <c r="Y670" s="52"/>
      <c r="Z670" s="52"/>
      <c r="AA670" s="52"/>
    </row>
    <row r="671" spans="22:27">
      <c r="V671" s="52"/>
      <c r="W671" s="52"/>
      <c r="X671" s="52"/>
      <c r="Y671" s="52"/>
      <c r="Z671" s="52"/>
      <c r="AA671" s="52"/>
    </row>
    <row r="672" spans="22:27">
      <c r="V672" s="52"/>
      <c r="W672" s="52"/>
      <c r="X672" s="52"/>
      <c r="Y672" s="52"/>
      <c r="Z672" s="52"/>
      <c r="AA672" s="52"/>
    </row>
    <row r="673" spans="22:27">
      <c r="V673" s="52"/>
      <c r="W673" s="52"/>
      <c r="X673" s="52"/>
      <c r="Y673" s="52"/>
      <c r="Z673" s="52"/>
      <c r="AA673" s="52"/>
    </row>
    <row r="674" spans="22:27">
      <c r="V674" s="52"/>
      <c r="W674" s="52"/>
      <c r="X674" s="52"/>
      <c r="Y674" s="52"/>
      <c r="Z674" s="52"/>
      <c r="AA674" s="52"/>
    </row>
    <row r="675" spans="22:27">
      <c r="V675" s="52"/>
      <c r="W675" s="52"/>
      <c r="X675" s="52"/>
      <c r="Y675" s="52"/>
      <c r="Z675" s="52"/>
      <c r="AA675" s="52"/>
    </row>
    <row r="676" spans="22:27">
      <c r="V676" s="52"/>
      <c r="W676" s="52"/>
      <c r="X676" s="52"/>
      <c r="Y676" s="52"/>
      <c r="Z676" s="52"/>
      <c r="AA676" s="52"/>
    </row>
    <row r="677" spans="22:27">
      <c r="V677" s="52"/>
      <c r="W677" s="52"/>
      <c r="X677" s="52"/>
      <c r="Y677" s="52"/>
      <c r="Z677" s="52"/>
      <c r="AA677" s="52"/>
    </row>
    <row r="678" spans="22:27">
      <c r="V678" s="52"/>
      <c r="W678" s="52"/>
      <c r="X678" s="52"/>
      <c r="Y678" s="52"/>
      <c r="Z678" s="52"/>
      <c r="AA678" s="52"/>
    </row>
    <row r="679" spans="22:27">
      <c r="V679" s="52"/>
      <c r="W679" s="52"/>
      <c r="X679" s="52"/>
      <c r="Y679" s="52"/>
      <c r="Z679" s="52"/>
      <c r="AA679" s="52"/>
    </row>
    <row r="680" spans="22:27">
      <c r="V680" s="52"/>
      <c r="W680" s="52"/>
      <c r="X680" s="52"/>
      <c r="Y680" s="52"/>
      <c r="Z680" s="52"/>
      <c r="AA680" s="52"/>
    </row>
    <row r="681" spans="22:27">
      <c r="V681" s="52"/>
      <c r="W681" s="52"/>
      <c r="X681" s="52"/>
      <c r="Y681" s="52"/>
      <c r="Z681" s="52"/>
      <c r="AA681" s="52"/>
    </row>
    <row r="682" spans="22:27">
      <c r="V682" s="52"/>
      <c r="W682" s="52"/>
      <c r="X682" s="52"/>
      <c r="Y682" s="52"/>
      <c r="Z682" s="52"/>
      <c r="AA682" s="52"/>
    </row>
    <row r="683" spans="22:27">
      <c r="V683" s="52"/>
      <c r="W683" s="52"/>
      <c r="X683" s="52"/>
      <c r="Y683" s="52"/>
      <c r="Z683" s="52"/>
      <c r="AA683" s="52"/>
    </row>
    <row r="684" spans="22:27">
      <c r="V684" s="52"/>
      <c r="W684" s="52"/>
      <c r="X684" s="52"/>
      <c r="Y684" s="52"/>
      <c r="Z684" s="52"/>
      <c r="AA684" s="52"/>
    </row>
    <row r="685" spans="22:27">
      <c r="V685" s="52"/>
      <c r="W685" s="52"/>
      <c r="X685" s="52"/>
      <c r="Y685" s="52"/>
      <c r="Z685" s="52"/>
      <c r="AA685" s="52"/>
    </row>
    <row r="686" spans="22:27">
      <c r="V686" s="52"/>
      <c r="W686" s="52"/>
      <c r="X686" s="52"/>
      <c r="Y686" s="52"/>
      <c r="Z686" s="52"/>
      <c r="AA686" s="52"/>
    </row>
    <row r="687" spans="22:27">
      <c r="V687" s="52"/>
      <c r="W687" s="52"/>
      <c r="X687" s="52"/>
      <c r="Y687" s="52"/>
      <c r="Z687" s="52"/>
      <c r="AA687" s="52"/>
    </row>
    <row r="688" spans="22:27">
      <c r="V688" s="52"/>
      <c r="W688" s="52"/>
      <c r="X688" s="52"/>
      <c r="Y688" s="52"/>
      <c r="Z688" s="52"/>
      <c r="AA688" s="52"/>
    </row>
    <row r="689" spans="22:27">
      <c r="V689" s="52"/>
      <c r="W689" s="52"/>
      <c r="X689" s="52"/>
      <c r="Y689" s="52"/>
      <c r="Z689" s="52"/>
      <c r="AA689" s="52"/>
    </row>
    <row r="690" spans="22:27">
      <c r="V690" s="52"/>
      <c r="W690" s="52"/>
      <c r="X690" s="52"/>
      <c r="Y690" s="52"/>
      <c r="Z690" s="52"/>
      <c r="AA690" s="52"/>
    </row>
    <row r="691" spans="22:27">
      <c r="V691" s="52"/>
      <c r="W691" s="52"/>
      <c r="X691" s="52"/>
      <c r="Y691" s="52"/>
      <c r="Z691" s="52"/>
      <c r="AA691" s="52"/>
    </row>
    <row r="692" spans="22:27">
      <c r="V692" s="52"/>
      <c r="W692" s="52"/>
      <c r="X692" s="52"/>
      <c r="Y692" s="52"/>
      <c r="Z692" s="52"/>
      <c r="AA692" s="52"/>
    </row>
    <row r="693" spans="22:27">
      <c r="V693" s="52"/>
      <c r="W693" s="52"/>
      <c r="X693" s="52"/>
      <c r="Y693" s="52"/>
      <c r="Z693" s="52"/>
      <c r="AA693" s="52"/>
    </row>
    <row r="694" spans="22:27">
      <c r="V694" s="52"/>
      <c r="W694" s="52"/>
      <c r="X694" s="52"/>
      <c r="Y694" s="52"/>
      <c r="Z694" s="52"/>
      <c r="AA694" s="52"/>
    </row>
    <row r="695" spans="22:27">
      <c r="V695" s="52"/>
      <c r="W695" s="52"/>
      <c r="X695" s="52"/>
      <c r="Y695" s="52"/>
      <c r="Z695" s="52"/>
      <c r="AA695" s="52"/>
    </row>
    <row r="696" spans="22:27">
      <c r="V696" s="52"/>
      <c r="W696" s="52"/>
      <c r="X696" s="52"/>
      <c r="Y696" s="52"/>
      <c r="Z696" s="52"/>
      <c r="AA696" s="52"/>
    </row>
    <row r="697" spans="22:27">
      <c r="V697" s="52"/>
      <c r="W697" s="52"/>
      <c r="X697" s="52"/>
      <c r="Y697" s="52"/>
      <c r="Z697" s="52"/>
      <c r="AA697" s="52"/>
    </row>
    <row r="698" spans="22:27">
      <c r="V698" s="52"/>
      <c r="W698" s="52"/>
      <c r="X698" s="52"/>
      <c r="Y698" s="52"/>
      <c r="Z698" s="52"/>
      <c r="AA698" s="52"/>
    </row>
    <row r="699" spans="22:27">
      <c r="V699" s="52"/>
      <c r="W699" s="52"/>
      <c r="X699" s="52"/>
      <c r="Y699" s="52"/>
      <c r="Z699" s="52"/>
      <c r="AA699" s="52"/>
    </row>
    <row r="700" spans="22:27">
      <c r="V700" s="52"/>
      <c r="W700" s="52"/>
      <c r="X700" s="52"/>
      <c r="Y700" s="52"/>
      <c r="Z700" s="52"/>
      <c r="AA700" s="52"/>
    </row>
    <row r="701" spans="22:27">
      <c r="V701" s="52"/>
      <c r="W701" s="52"/>
      <c r="X701" s="52"/>
      <c r="Y701" s="52"/>
      <c r="Z701" s="52"/>
      <c r="AA701" s="52"/>
    </row>
    <row r="702" spans="22:27">
      <c r="V702" s="52"/>
      <c r="W702" s="52"/>
      <c r="X702" s="52"/>
      <c r="Y702" s="52"/>
      <c r="Z702" s="52"/>
      <c r="AA702" s="52"/>
    </row>
    <row r="703" spans="22:27">
      <c r="V703" s="52"/>
      <c r="W703" s="52"/>
      <c r="X703" s="52"/>
      <c r="Y703" s="52"/>
      <c r="Z703" s="52"/>
      <c r="AA703" s="52"/>
    </row>
    <row r="704" spans="22:27">
      <c r="V704" s="52"/>
      <c r="W704" s="52"/>
      <c r="X704" s="52"/>
      <c r="Y704" s="52"/>
      <c r="Z704" s="52"/>
      <c r="AA704" s="52"/>
    </row>
    <row r="705" spans="22:27">
      <c r="V705" s="52"/>
      <c r="W705" s="52"/>
      <c r="X705" s="52"/>
      <c r="Y705" s="52"/>
      <c r="Z705" s="52"/>
      <c r="AA705" s="52"/>
    </row>
    <row r="706" spans="22:27">
      <c r="V706" s="52"/>
      <c r="W706" s="52"/>
      <c r="X706" s="52"/>
      <c r="Y706" s="52"/>
      <c r="Z706" s="52"/>
      <c r="AA706" s="52"/>
    </row>
    <row r="707" spans="22:27">
      <c r="V707" s="52"/>
      <c r="W707" s="52"/>
      <c r="X707" s="52"/>
      <c r="Y707" s="52"/>
      <c r="Z707" s="52"/>
      <c r="AA707" s="52"/>
    </row>
    <row r="708" spans="22:27">
      <c r="V708" s="52"/>
      <c r="W708" s="52"/>
      <c r="X708" s="52"/>
      <c r="Y708" s="52"/>
      <c r="Z708" s="52"/>
      <c r="AA708" s="52"/>
    </row>
    <row r="709" spans="22:27">
      <c r="V709" s="52"/>
      <c r="W709" s="52"/>
      <c r="X709" s="52"/>
      <c r="Y709" s="52"/>
      <c r="Z709" s="52"/>
      <c r="AA709" s="52"/>
    </row>
    <row r="710" spans="22:27">
      <c r="V710" s="52"/>
      <c r="W710" s="52"/>
      <c r="X710" s="52"/>
      <c r="Y710" s="52"/>
      <c r="Z710" s="52"/>
      <c r="AA710" s="52"/>
    </row>
    <row r="711" spans="22:27">
      <c r="V711" s="52"/>
      <c r="W711" s="52"/>
      <c r="X711" s="52"/>
      <c r="Y711" s="52"/>
      <c r="Z711" s="52"/>
      <c r="AA711" s="52"/>
    </row>
    <row r="712" spans="22:27">
      <c r="V712" s="52"/>
      <c r="W712" s="52"/>
      <c r="X712" s="52"/>
      <c r="Y712" s="52"/>
      <c r="Z712" s="52"/>
      <c r="AA712" s="52"/>
    </row>
    <row r="713" spans="22:27">
      <c r="V713" s="52"/>
      <c r="W713" s="52"/>
      <c r="X713" s="52"/>
      <c r="Y713" s="52"/>
      <c r="Z713" s="52"/>
      <c r="AA713" s="52"/>
    </row>
    <row r="714" spans="22:27">
      <c r="V714" s="52"/>
      <c r="W714" s="52"/>
      <c r="X714" s="52"/>
      <c r="Y714" s="52"/>
      <c r="Z714" s="52"/>
      <c r="AA714" s="52"/>
    </row>
    <row r="715" spans="22:27">
      <c r="V715" s="52"/>
      <c r="W715" s="52"/>
      <c r="X715" s="52"/>
      <c r="Y715" s="52"/>
      <c r="Z715" s="52"/>
      <c r="AA715" s="52"/>
    </row>
    <row r="716" spans="22:27">
      <c r="V716" s="52"/>
      <c r="W716" s="52"/>
      <c r="X716" s="52"/>
      <c r="Y716" s="52"/>
      <c r="Z716" s="52"/>
      <c r="AA716" s="52"/>
    </row>
    <row r="717" spans="22:27">
      <c r="V717" s="52"/>
      <c r="W717" s="52"/>
      <c r="X717" s="52"/>
      <c r="Y717" s="52"/>
      <c r="Z717" s="52"/>
      <c r="AA717" s="52"/>
    </row>
    <row r="718" spans="22:27">
      <c r="V718" s="52"/>
      <c r="W718" s="52"/>
      <c r="X718" s="52"/>
      <c r="Y718" s="52"/>
      <c r="Z718" s="52"/>
      <c r="AA718" s="52"/>
    </row>
    <row r="719" spans="22:27">
      <c r="V719" s="52"/>
      <c r="W719" s="52"/>
      <c r="X719" s="52"/>
      <c r="Y719" s="52"/>
      <c r="Z719" s="52"/>
      <c r="AA719" s="52"/>
    </row>
    <row r="720" spans="22:27">
      <c r="V720" s="52"/>
      <c r="W720" s="52"/>
      <c r="X720" s="52"/>
      <c r="Y720" s="52"/>
      <c r="Z720" s="52"/>
      <c r="AA720" s="52"/>
    </row>
    <row r="721" spans="22:27">
      <c r="V721" s="52"/>
      <c r="W721" s="52"/>
      <c r="X721" s="52"/>
      <c r="Y721" s="52"/>
      <c r="Z721" s="52"/>
      <c r="AA721" s="52"/>
    </row>
    <row r="722" spans="22:27">
      <c r="V722" s="52"/>
      <c r="W722" s="52"/>
      <c r="X722" s="52"/>
      <c r="Y722" s="52"/>
      <c r="Z722" s="52"/>
      <c r="AA722" s="52"/>
    </row>
    <row r="723" spans="22:27">
      <c r="V723" s="52"/>
      <c r="W723" s="52"/>
      <c r="X723" s="52"/>
      <c r="Y723" s="52"/>
      <c r="Z723" s="52"/>
      <c r="AA723" s="52"/>
    </row>
    <row r="724" spans="22:27">
      <c r="V724" s="52"/>
      <c r="W724" s="52"/>
      <c r="X724" s="52"/>
      <c r="Y724" s="52"/>
      <c r="Z724" s="52"/>
      <c r="AA724" s="52"/>
    </row>
    <row r="725" spans="22:27">
      <c r="V725" s="52"/>
      <c r="W725" s="52"/>
      <c r="X725" s="52"/>
      <c r="Y725" s="52"/>
      <c r="Z725" s="52"/>
      <c r="AA725" s="52"/>
    </row>
    <row r="726" spans="22:27">
      <c r="V726" s="52"/>
      <c r="W726" s="52"/>
      <c r="X726" s="52"/>
      <c r="Y726" s="52"/>
      <c r="Z726" s="52"/>
      <c r="AA726" s="52"/>
    </row>
    <row r="727" spans="22:27">
      <c r="V727" s="52"/>
      <c r="W727" s="52"/>
      <c r="X727" s="52"/>
      <c r="Y727" s="52"/>
      <c r="Z727" s="52"/>
      <c r="AA727" s="52"/>
    </row>
    <row r="728" spans="22:27">
      <c r="V728" s="52"/>
      <c r="W728" s="52"/>
      <c r="X728" s="52"/>
      <c r="Y728" s="52"/>
      <c r="Z728" s="52"/>
      <c r="AA728" s="52"/>
    </row>
    <row r="729" spans="22:27">
      <c r="V729" s="52"/>
      <c r="W729" s="52"/>
      <c r="X729" s="52"/>
      <c r="Y729" s="52"/>
      <c r="Z729" s="52"/>
      <c r="AA729" s="52"/>
    </row>
    <row r="730" spans="22:27">
      <c r="V730" s="52"/>
      <c r="W730" s="52"/>
      <c r="X730" s="52"/>
      <c r="Y730" s="52"/>
      <c r="Z730" s="52"/>
      <c r="AA730" s="52"/>
    </row>
    <row r="731" spans="22:27">
      <c r="V731" s="52"/>
      <c r="W731" s="52"/>
      <c r="X731" s="52"/>
      <c r="Y731" s="52"/>
      <c r="Z731" s="52"/>
      <c r="AA731" s="52"/>
    </row>
    <row r="732" spans="22:27">
      <c r="V732" s="52"/>
      <c r="W732" s="52"/>
      <c r="X732" s="52"/>
      <c r="Y732" s="52"/>
      <c r="Z732" s="52"/>
      <c r="AA732" s="52"/>
    </row>
    <row r="733" spans="22:27">
      <c r="V733" s="52"/>
      <c r="W733" s="52"/>
      <c r="X733" s="52"/>
      <c r="Y733" s="52"/>
      <c r="Z733" s="52"/>
      <c r="AA733" s="52"/>
    </row>
    <row r="734" spans="22:27">
      <c r="V734" s="52"/>
      <c r="W734" s="52"/>
      <c r="X734" s="52"/>
      <c r="Y734" s="52"/>
      <c r="Z734" s="52"/>
      <c r="AA734" s="52"/>
    </row>
    <row r="735" spans="22:27">
      <c r="V735" s="52"/>
      <c r="W735" s="52"/>
      <c r="X735" s="52"/>
      <c r="Y735" s="52"/>
      <c r="Z735" s="52"/>
      <c r="AA735" s="52"/>
    </row>
    <row r="736" spans="22:27">
      <c r="V736" s="52"/>
      <c r="W736" s="52"/>
      <c r="X736" s="52"/>
      <c r="Y736" s="52"/>
      <c r="Z736" s="52"/>
      <c r="AA736" s="52"/>
    </row>
    <row r="737" spans="22:27">
      <c r="V737" s="52"/>
      <c r="W737" s="52"/>
      <c r="X737" s="52"/>
      <c r="Y737" s="52"/>
      <c r="Z737" s="52"/>
      <c r="AA737" s="52"/>
    </row>
    <row r="738" spans="22:27">
      <c r="V738" s="52"/>
      <c r="W738" s="52"/>
      <c r="X738" s="52"/>
      <c r="Y738" s="52"/>
      <c r="Z738" s="52"/>
      <c r="AA738" s="52"/>
    </row>
    <row r="739" spans="22:27">
      <c r="V739" s="52"/>
      <c r="W739" s="52"/>
      <c r="X739" s="52"/>
      <c r="Y739" s="52"/>
      <c r="Z739" s="52"/>
      <c r="AA739" s="52"/>
    </row>
    <row r="740" spans="22:27">
      <c r="V740" s="52"/>
      <c r="W740" s="52"/>
      <c r="X740" s="52"/>
      <c r="Y740" s="52"/>
      <c r="Z740" s="52"/>
      <c r="AA740" s="52"/>
    </row>
    <row r="741" spans="22:27">
      <c r="V741" s="52"/>
      <c r="W741" s="52"/>
      <c r="X741" s="52"/>
      <c r="Y741" s="52"/>
      <c r="Z741" s="52"/>
      <c r="AA741" s="52"/>
    </row>
    <row r="742" spans="22:27">
      <c r="V742" s="52"/>
      <c r="W742" s="52"/>
      <c r="X742" s="52"/>
      <c r="Y742" s="52"/>
      <c r="Z742" s="52"/>
      <c r="AA742" s="52"/>
    </row>
    <row r="743" spans="22:27">
      <c r="V743" s="52"/>
      <c r="W743" s="52"/>
      <c r="X743" s="52"/>
      <c r="Y743" s="52"/>
      <c r="Z743" s="52"/>
      <c r="AA743" s="52"/>
    </row>
    <row r="744" spans="22:27">
      <c r="V744" s="52"/>
      <c r="W744" s="52"/>
      <c r="X744" s="52"/>
      <c r="Y744" s="52"/>
      <c r="Z744" s="52"/>
      <c r="AA744" s="52"/>
    </row>
    <row r="745" spans="22:27">
      <c r="V745" s="52"/>
      <c r="W745" s="52"/>
      <c r="X745" s="52"/>
      <c r="Y745" s="52"/>
      <c r="Z745" s="52"/>
      <c r="AA745" s="52"/>
    </row>
    <row r="746" spans="22:27">
      <c r="V746" s="52"/>
      <c r="W746" s="52"/>
      <c r="X746" s="52"/>
      <c r="Y746" s="52"/>
      <c r="Z746" s="52"/>
      <c r="AA746" s="52"/>
    </row>
    <row r="747" spans="22:27">
      <c r="V747" s="52"/>
      <c r="W747" s="52"/>
      <c r="X747" s="52"/>
      <c r="Y747" s="52"/>
      <c r="Z747" s="52"/>
      <c r="AA747" s="52"/>
    </row>
    <row r="748" spans="22:27">
      <c r="V748" s="52"/>
      <c r="W748" s="52"/>
      <c r="X748" s="52"/>
      <c r="Y748" s="52"/>
      <c r="Z748" s="52"/>
      <c r="AA748" s="52"/>
    </row>
    <row r="749" spans="22:27">
      <c r="V749" s="52"/>
      <c r="W749" s="52"/>
      <c r="X749" s="52"/>
      <c r="Y749" s="52"/>
      <c r="Z749" s="52"/>
      <c r="AA749" s="52"/>
    </row>
    <row r="750" spans="22:27">
      <c r="V750" s="52"/>
      <c r="W750" s="52"/>
      <c r="X750" s="52"/>
      <c r="Y750" s="52"/>
      <c r="Z750" s="52"/>
      <c r="AA750" s="52"/>
    </row>
    <row r="751" spans="22:27">
      <c r="V751" s="52"/>
      <c r="W751" s="52"/>
      <c r="X751" s="52"/>
      <c r="Y751" s="52"/>
      <c r="Z751" s="52"/>
      <c r="AA751" s="52"/>
    </row>
    <row r="752" spans="22:27">
      <c r="V752" s="52"/>
      <c r="W752" s="52"/>
      <c r="X752" s="52"/>
      <c r="Y752" s="52"/>
      <c r="Z752" s="52"/>
      <c r="AA752" s="52"/>
    </row>
    <row r="753" spans="22:27">
      <c r="V753" s="52"/>
      <c r="W753" s="52"/>
      <c r="X753" s="52"/>
      <c r="Y753" s="52"/>
      <c r="Z753" s="52"/>
      <c r="AA753" s="52"/>
    </row>
    <row r="754" spans="22:27">
      <c r="V754" s="52"/>
      <c r="W754" s="52"/>
      <c r="X754" s="52"/>
      <c r="Y754" s="52"/>
      <c r="Z754" s="52"/>
      <c r="AA754" s="52"/>
    </row>
    <row r="755" spans="22:27">
      <c r="V755" s="52"/>
      <c r="W755" s="52"/>
      <c r="X755" s="52"/>
      <c r="Y755" s="52"/>
      <c r="Z755" s="52"/>
      <c r="AA755" s="52"/>
    </row>
    <row r="756" spans="22:27">
      <c r="V756" s="52"/>
      <c r="W756" s="52"/>
      <c r="X756" s="52"/>
      <c r="Y756" s="52"/>
      <c r="Z756" s="52"/>
      <c r="AA756" s="52"/>
    </row>
    <row r="757" spans="22:27">
      <c r="V757" s="52"/>
      <c r="W757" s="52"/>
      <c r="X757" s="52"/>
      <c r="Y757" s="52"/>
      <c r="Z757" s="52"/>
      <c r="AA757" s="52"/>
    </row>
    <row r="758" spans="22:27">
      <c r="V758" s="52"/>
      <c r="W758" s="52"/>
      <c r="X758" s="52"/>
      <c r="Y758" s="52"/>
      <c r="Z758" s="52"/>
      <c r="AA758" s="52"/>
    </row>
    <row r="759" spans="22:27">
      <c r="V759" s="52"/>
      <c r="W759" s="52"/>
      <c r="X759" s="52"/>
      <c r="Y759" s="52"/>
      <c r="Z759" s="52"/>
      <c r="AA759" s="52"/>
    </row>
    <row r="760" spans="22:27">
      <c r="V760" s="52"/>
      <c r="W760" s="52"/>
      <c r="X760" s="52"/>
      <c r="Y760" s="52"/>
      <c r="Z760" s="52"/>
      <c r="AA760" s="52"/>
    </row>
    <row r="761" spans="22:27">
      <c r="V761" s="52"/>
      <c r="W761" s="52"/>
      <c r="X761" s="52"/>
      <c r="Y761" s="52"/>
      <c r="Z761" s="52"/>
      <c r="AA761" s="52"/>
    </row>
    <row r="762" spans="22:27">
      <c r="V762" s="52"/>
      <c r="W762" s="52"/>
      <c r="X762" s="52"/>
      <c r="Y762" s="52"/>
      <c r="Z762" s="52"/>
      <c r="AA762" s="52"/>
    </row>
    <row r="763" spans="22:27">
      <c r="V763" s="52"/>
      <c r="W763" s="52"/>
      <c r="X763" s="52"/>
      <c r="Y763" s="52"/>
      <c r="Z763" s="52"/>
      <c r="AA763" s="52"/>
    </row>
    <row r="764" spans="22:27">
      <c r="V764" s="52"/>
      <c r="W764" s="52"/>
      <c r="X764" s="52"/>
      <c r="Y764" s="52"/>
      <c r="Z764" s="52"/>
      <c r="AA764" s="52"/>
    </row>
    <row r="765" spans="22:27">
      <c r="V765" s="52"/>
      <c r="W765" s="52"/>
      <c r="X765" s="52"/>
      <c r="Y765" s="52"/>
      <c r="Z765" s="52"/>
      <c r="AA765" s="52"/>
    </row>
    <row r="766" spans="22:27">
      <c r="V766" s="52"/>
      <c r="W766" s="52"/>
      <c r="X766" s="52"/>
      <c r="Y766" s="52"/>
      <c r="Z766" s="52"/>
      <c r="AA766" s="52"/>
    </row>
    <row r="767" spans="22:27">
      <c r="V767" s="52"/>
      <c r="W767" s="52"/>
      <c r="X767" s="52"/>
      <c r="Y767" s="52"/>
      <c r="Z767" s="52"/>
      <c r="AA767" s="52"/>
    </row>
    <row r="768" spans="22:27">
      <c r="V768" s="52"/>
      <c r="W768" s="52"/>
      <c r="X768" s="52"/>
      <c r="Y768" s="52"/>
      <c r="Z768" s="52"/>
      <c r="AA768" s="52"/>
    </row>
    <row r="769" spans="22:27">
      <c r="V769" s="52"/>
      <c r="W769" s="52"/>
      <c r="X769" s="52"/>
      <c r="Y769" s="52"/>
      <c r="Z769" s="52"/>
      <c r="AA769" s="52"/>
    </row>
    <row r="770" spans="22:27">
      <c r="V770" s="52"/>
      <c r="W770" s="52"/>
      <c r="X770" s="52"/>
      <c r="Y770" s="52"/>
      <c r="Z770" s="52"/>
      <c r="AA770" s="52"/>
    </row>
    <row r="771" spans="22:27">
      <c r="V771" s="52"/>
      <c r="W771" s="52"/>
      <c r="X771" s="52"/>
      <c r="Y771" s="52"/>
      <c r="Z771" s="52"/>
      <c r="AA771" s="52"/>
    </row>
    <row r="772" spans="22:27">
      <c r="V772" s="52"/>
      <c r="W772" s="52"/>
      <c r="X772" s="52"/>
      <c r="Y772" s="52"/>
      <c r="Z772" s="52"/>
      <c r="AA772" s="52"/>
    </row>
    <row r="773" spans="22:27">
      <c r="V773" s="52"/>
      <c r="W773" s="52"/>
      <c r="X773" s="52"/>
      <c r="Y773" s="52"/>
      <c r="Z773" s="52"/>
      <c r="AA773" s="52"/>
    </row>
    <row r="774" spans="22:27">
      <c r="V774" s="52"/>
      <c r="W774" s="52"/>
      <c r="X774" s="52"/>
      <c r="Y774" s="52"/>
      <c r="Z774" s="52"/>
      <c r="AA774" s="52"/>
    </row>
    <row r="775" spans="22:27">
      <c r="V775" s="52"/>
      <c r="W775" s="52"/>
      <c r="X775" s="52"/>
      <c r="Y775" s="52"/>
      <c r="Z775" s="52"/>
      <c r="AA775" s="52"/>
    </row>
    <row r="776" spans="22:27">
      <c r="V776" s="52"/>
      <c r="W776" s="52"/>
      <c r="X776" s="52"/>
      <c r="Y776" s="52"/>
      <c r="Z776" s="52"/>
      <c r="AA776" s="52"/>
    </row>
    <row r="777" spans="22:27">
      <c r="V777" s="52"/>
      <c r="W777" s="52"/>
      <c r="X777" s="52"/>
      <c r="Y777" s="52"/>
      <c r="Z777" s="52"/>
      <c r="AA777" s="52"/>
    </row>
    <row r="778" spans="22:27">
      <c r="V778" s="52"/>
      <c r="W778" s="52"/>
      <c r="X778" s="52"/>
      <c r="Y778" s="52"/>
      <c r="Z778" s="52"/>
      <c r="AA778" s="52"/>
    </row>
    <row r="779" spans="22:27">
      <c r="V779" s="52"/>
      <c r="W779" s="52"/>
      <c r="X779" s="52"/>
      <c r="Y779" s="52"/>
      <c r="Z779" s="52"/>
      <c r="AA779" s="52"/>
    </row>
    <row r="780" spans="22:27">
      <c r="V780" s="52"/>
      <c r="W780" s="52"/>
      <c r="X780" s="52"/>
      <c r="Y780" s="52"/>
      <c r="Z780" s="52"/>
      <c r="AA780" s="52"/>
    </row>
    <row r="781" spans="22:27">
      <c r="V781" s="52"/>
      <c r="W781" s="52"/>
      <c r="X781" s="52"/>
      <c r="Y781" s="52"/>
      <c r="Z781" s="52"/>
      <c r="AA781" s="52"/>
    </row>
    <row r="782" spans="22:27">
      <c r="V782" s="52"/>
      <c r="W782" s="52"/>
      <c r="X782" s="52"/>
      <c r="Y782" s="52"/>
      <c r="Z782" s="52"/>
      <c r="AA782" s="52"/>
    </row>
    <row r="783" spans="22:27">
      <c r="V783" s="52"/>
      <c r="W783" s="52"/>
      <c r="X783" s="52"/>
      <c r="Y783" s="52"/>
      <c r="Z783" s="52"/>
      <c r="AA783" s="52"/>
    </row>
    <row r="784" spans="22:27">
      <c r="V784" s="52"/>
      <c r="W784" s="52"/>
      <c r="X784" s="52"/>
      <c r="Y784" s="52"/>
      <c r="Z784" s="52"/>
      <c r="AA784" s="52"/>
    </row>
    <row r="785" spans="22:27">
      <c r="V785" s="52"/>
      <c r="W785" s="52"/>
      <c r="X785" s="52"/>
      <c r="Y785" s="52"/>
      <c r="Z785" s="52"/>
      <c r="AA785" s="52"/>
    </row>
    <row r="786" spans="22:27">
      <c r="V786" s="52"/>
      <c r="W786" s="52"/>
      <c r="X786" s="52"/>
      <c r="Y786" s="52"/>
      <c r="Z786" s="52"/>
      <c r="AA786" s="52"/>
    </row>
    <row r="787" spans="22:27">
      <c r="V787" s="52"/>
      <c r="W787" s="52"/>
      <c r="X787" s="52"/>
      <c r="Y787" s="52"/>
      <c r="Z787" s="52"/>
      <c r="AA787" s="52"/>
    </row>
    <row r="788" spans="22:27">
      <c r="V788" s="52"/>
      <c r="W788" s="52"/>
      <c r="X788" s="52"/>
      <c r="Y788" s="52"/>
      <c r="Z788" s="52"/>
      <c r="AA788" s="52"/>
    </row>
    <row r="789" spans="22:27">
      <c r="V789" s="52"/>
      <c r="W789" s="52"/>
      <c r="X789" s="52"/>
      <c r="Y789" s="52"/>
      <c r="Z789" s="52"/>
      <c r="AA789" s="52"/>
    </row>
    <row r="790" spans="22:27">
      <c r="V790" s="52"/>
      <c r="W790" s="52"/>
      <c r="X790" s="52"/>
      <c r="Y790" s="52"/>
      <c r="Z790" s="52"/>
      <c r="AA790" s="52"/>
    </row>
    <row r="791" spans="22:27">
      <c r="V791" s="52"/>
      <c r="W791" s="52"/>
      <c r="X791" s="52"/>
      <c r="Y791" s="52"/>
      <c r="Z791" s="52"/>
      <c r="AA791" s="52"/>
    </row>
    <row r="792" spans="22:27">
      <c r="V792" s="52"/>
      <c r="W792" s="52"/>
      <c r="X792" s="52"/>
      <c r="Y792" s="52"/>
      <c r="Z792" s="52"/>
      <c r="AA792" s="52"/>
    </row>
    <row r="793" spans="22:27">
      <c r="V793" s="52"/>
      <c r="W793" s="52"/>
      <c r="X793" s="52"/>
      <c r="Y793" s="52"/>
      <c r="Z793" s="52"/>
      <c r="AA793" s="52"/>
    </row>
    <row r="794" spans="22:27">
      <c r="V794" s="52"/>
      <c r="W794" s="52"/>
      <c r="X794" s="52"/>
      <c r="Y794" s="52"/>
      <c r="Z794" s="52"/>
      <c r="AA794" s="52"/>
    </row>
    <row r="795" spans="22:27">
      <c r="V795" s="52"/>
      <c r="W795" s="52"/>
      <c r="X795" s="52"/>
      <c r="Y795" s="52"/>
      <c r="Z795" s="52"/>
      <c r="AA795" s="52"/>
    </row>
    <row r="796" spans="22:27">
      <c r="V796" s="52"/>
      <c r="W796" s="52"/>
      <c r="X796" s="52"/>
      <c r="Y796" s="52"/>
      <c r="Z796" s="52"/>
      <c r="AA796" s="52"/>
    </row>
    <row r="797" spans="22:27">
      <c r="V797" s="52"/>
      <c r="W797" s="52"/>
      <c r="X797" s="52"/>
      <c r="Y797" s="52"/>
      <c r="Z797" s="52"/>
      <c r="AA797" s="52"/>
    </row>
    <row r="798" spans="22:27">
      <c r="V798" s="52"/>
      <c r="W798" s="52"/>
      <c r="X798" s="52"/>
      <c r="Y798" s="52"/>
      <c r="Z798" s="52"/>
      <c r="AA798" s="52"/>
    </row>
    <row r="799" spans="22:27">
      <c r="V799" s="52"/>
      <c r="W799" s="52"/>
      <c r="X799" s="52"/>
      <c r="Y799" s="52"/>
      <c r="Z799" s="52"/>
      <c r="AA799" s="52"/>
    </row>
    <row r="800" spans="22:27">
      <c r="V800" s="52"/>
      <c r="W800" s="52"/>
      <c r="X800" s="52"/>
      <c r="Y800" s="52"/>
      <c r="Z800" s="52"/>
      <c r="AA800" s="52"/>
    </row>
    <row r="801" spans="22:27">
      <c r="V801" s="52"/>
      <c r="W801" s="52"/>
      <c r="X801" s="52"/>
      <c r="Y801" s="52"/>
      <c r="Z801" s="52"/>
      <c r="AA801" s="52"/>
    </row>
    <row r="802" spans="22:27">
      <c r="V802" s="52"/>
      <c r="W802" s="52"/>
      <c r="X802" s="52"/>
      <c r="Y802" s="52"/>
      <c r="Z802" s="52"/>
      <c r="AA802" s="52"/>
    </row>
    <row r="803" spans="22:27">
      <c r="V803" s="52"/>
      <c r="W803" s="52"/>
      <c r="X803" s="52"/>
      <c r="Y803" s="52"/>
      <c r="Z803" s="52"/>
      <c r="AA803" s="52"/>
    </row>
    <row r="804" spans="22:27">
      <c r="V804" s="52"/>
      <c r="W804" s="52"/>
      <c r="X804" s="52"/>
      <c r="Y804" s="52"/>
      <c r="Z804" s="52"/>
      <c r="AA804" s="52"/>
    </row>
    <row r="805" spans="22:27">
      <c r="V805" s="52"/>
      <c r="W805" s="52"/>
      <c r="X805" s="52"/>
      <c r="Y805" s="52"/>
      <c r="Z805" s="52"/>
      <c r="AA805" s="52"/>
    </row>
    <row r="806" spans="22:27">
      <c r="V806" s="52"/>
      <c r="W806" s="52"/>
      <c r="X806" s="52"/>
      <c r="Y806" s="52"/>
      <c r="Z806" s="52"/>
      <c r="AA806" s="52"/>
    </row>
    <row r="807" spans="22:27">
      <c r="V807" s="52"/>
      <c r="W807" s="52"/>
      <c r="X807" s="52"/>
      <c r="Y807" s="52"/>
      <c r="Z807" s="52"/>
      <c r="AA807" s="52"/>
    </row>
    <row r="808" spans="22:27">
      <c r="V808" s="52"/>
      <c r="W808" s="52"/>
      <c r="X808" s="52"/>
      <c r="Y808" s="52"/>
      <c r="Z808" s="52"/>
      <c r="AA808" s="52"/>
    </row>
    <row r="809" spans="22:27">
      <c r="V809" s="52"/>
      <c r="W809" s="52"/>
      <c r="X809" s="52"/>
      <c r="Y809" s="52"/>
      <c r="Z809" s="52"/>
      <c r="AA809" s="52"/>
    </row>
    <row r="810" spans="22:27">
      <c r="V810" s="52"/>
      <c r="W810" s="52"/>
      <c r="X810" s="52"/>
      <c r="Y810" s="52"/>
      <c r="Z810" s="52"/>
      <c r="AA810" s="52"/>
    </row>
    <row r="811" spans="22:27">
      <c r="V811" s="52"/>
      <c r="W811" s="52"/>
      <c r="X811" s="52"/>
      <c r="Y811" s="52"/>
      <c r="Z811" s="52"/>
      <c r="AA811" s="52"/>
    </row>
    <row r="812" spans="22:27">
      <c r="V812" s="52"/>
      <c r="W812" s="52"/>
      <c r="X812" s="52"/>
      <c r="Y812" s="52"/>
      <c r="Z812" s="52"/>
      <c r="AA812" s="52"/>
    </row>
    <row r="813" spans="22:27">
      <c r="V813" s="52"/>
      <c r="W813" s="52"/>
      <c r="X813" s="52"/>
      <c r="Y813" s="52"/>
      <c r="Z813" s="52"/>
      <c r="AA813" s="52"/>
    </row>
    <row r="814" spans="22:27">
      <c r="V814" s="52"/>
      <c r="W814" s="52"/>
      <c r="X814" s="52"/>
      <c r="Y814" s="52"/>
      <c r="Z814" s="52"/>
      <c r="AA814" s="52"/>
    </row>
    <row r="815" spans="22:27">
      <c r="V815" s="52"/>
      <c r="W815" s="52"/>
      <c r="X815" s="52"/>
      <c r="Y815" s="52"/>
      <c r="Z815" s="52"/>
      <c r="AA815" s="52"/>
    </row>
    <row r="816" spans="22:27">
      <c r="V816" s="52"/>
      <c r="W816" s="52"/>
      <c r="X816" s="52"/>
      <c r="Y816" s="52"/>
      <c r="Z816" s="52"/>
      <c r="AA816" s="52"/>
    </row>
    <row r="817" spans="22:27">
      <c r="V817" s="52"/>
      <c r="W817" s="52"/>
      <c r="X817" s="52"/>
      <c r="Y817" s="52"/>
      <c r="Z817" s="52"/>
      <c r="AA817" s="52"/>
    </row>
    <row r="818" spans="22:27">
      <c r="V818" s="52"/>
      <c r="W818" s="52"/>
      <c r="X818" s="52"/>
      <c r="Y818" s="52"/>
      <c r="Z818" s="52"/>
      <c r="AA818" s="52"/>
    </row>
    <row r="819" spans="22:27">
      <c r="V819" s="52"/>
      <c r="W819" s="52"/>
      <c r="X819" s="52"/>
      <c r="Y819" s="52"/>
      <c r="Z819" s="52"/>
      <c r="AA819" s="52"/>
    </row>
    <row r="820" spans="22:27">
      <c r="V820" s="52"/>
      <c r="W820" s="52"/>
      <c r="X820" s="52"/>
      <c r="Y820" s="52"/>
      <c r="Z820" s="52"/>
      <c r="AA820" s="52"/>
    </row>
    <row r="821" spans="22:27">
      <c r="V821" s="52"/>
      <c r="W821" s="52"/>
      <c r="X821" s="52"/>
      <c r="Y821" s="52"/>
      <c r="Z821" s="52"/>
      <c r="AA821" s="52"/>
    </row>
    <row r="822" spans="22:27">
      <c r="V822" s="52"/>
      <c r="W822" s="52"/>
      <c r="X822" s="52"/>
      <c r="Y822" s="52"/>
      <c r="Z822" s="52"/>
      <c r="AA822" s="52"/>
    </row>
    <row r="823" spans="22:27">
      <c r="V823" s="52"/>
      <c r="W823" s="52"/>
      <c r="X823" s="52"/>
      <c r="Y823" s="52"/>
      <c r="Z823" s="52"/>
      <c r="AA823" s="52"/>
    </row>
    <row r="824" spans="22:27">
      <c r="V824" s="52"/>
      <c r="W824" s="52"/>
      <c r="X824" s="52"/>
      <c r="Y824" s="52"/>
      <c r="Z824" s="52"/>
      <c r="AA824" s="52"/>
    </row>
    <row r="825" spans="22:27">
      <c r="V825" s="52"/>
      <c r="W825" s="52"/>
      <c r="X825" s="52"/>
      <c r="Y825" s="52"/>
      <c r="Z825" s="52"/>
      <c r="AA825" s="52"/>
    </row>
    <row r="826" spans="22:27">
      <c r="V826" s="52"/>
      <c r="W826" s="52"/>
      <c r="X826" s="52"/>
      <c r="Y826" s="52"/>
      <c r="Z826" s="52"/>
      <c r="AA826" s="52"/>
    </row>
    <row r="827" spans="22:27">
      <c r="V827" s="52"/>
      <c r="W827" s="52"/>
      <c r="X827" s="52"/>
      <c r="Y827" s="52"/>
      <c r="Z827" s="52"/>
      <c r="AA827" s="52"/>
    </row>
    <row r="828" spans="22:27">
      <c r="V828" s="52"/>
      <c r="W828" s="52"/>
      <c r="X828" s="52"/>
      <c r="Y828" s="52"/>
      <c r="Z828" s="52"/>
      <c r="AA828" s="52"/>
    </row>
    <row r="829" spans="22:27">
      <c r="V829" s="52"/>
      <c r="W829" s="52"/>
      <c r="X829" s="52"/>
      <c r="Y829" s="52"/>
      <c r="Z829" s="52"/>
      <c r="AA829" s="52"/>
    </row>
    <row r="830" spans="22:27">
      <c r="V830" s="52"/>
      <c r="W830" s="52"/>
      <c r="X830" s="52"/>
      <c r="Y830" s="52"/>
      <c r="Z830" s="52"/>
      <c r="AA830" s="52"/>
    </row>
    <row r="831" spans="22:27">
      <c r="V831" s="52"/>
      <c r="W831" s="52"/>
      <c r="X831" s="52"/>
      <c r="Y831" s="52"/>
      <c r="Z831" s="52"/>
      <c r="AA831" s="52"/>
    </row>
    <row r="832" spans="22:27">
      <c r="V832" s="52"/>
      <c r="W832" s="52"/>
      <c r="X832" s="52"/>
      <c r="Y832" s="52"/>
      <c r="Z832" s="52"/>
      <c r="AA832" s="52"/>
    </row>
    <row r="833" spans="22:27">
      <c r="V833" s="52"/>
      <c r="W833" s="52"/>
      <c r="X833" s="52"/>
      <c r="Y833" s="52"/>
      <c r="Z833" s="52"/>
      <c r="AA833" s="52"/>
    </row>
    <row r="834" spans="22:27">
      <c r="V834" s="52"/>
      <c r="W834" s="52"/>
      <c r="X834" s="52"/>
      <c r="Y834" s="52"/>
      <c r="Z834" s="52"/>
      <c r="AA834" s="52"/>
    </row>
    <row r="835" spans="22:27">
      <c r="V835" s="52"/>
      <c r="W835" s="52"/>
      <c r="X835" s="52"/>
      <c r="Y835" s="52"/>
      <c r="Z835" s="52"/>
      <c r="AA835" s="52"/>
    </row>
    <row r="836" spans="22:27">
      <c r="V836" s="52"/>
      <c r="W836" s="52"/>
      <c r="X836" s="52"/>
      <c r="Y836" s="52"/>
      <c r="Z836" s="52"/>
      <c r="AA836" s="52"/>
    </row>
    <row r="837" spans="22:27">
      <c r="V837" s="52"/>
      <c r="W837" s="52"/>
      <c r="X837" s="52"/>
      <c r="Y837" s="52"/>
      <c r="Z837" s="52"/>
      <c r="AA837" s="52"/>
    </row>
    <row r="838" spans="22:27">
      <c r="V838" s="52"/>
      <c r="W838" s="52"/>
      <c r="X838" s="52"/>
      <c r="Y838" s="52"/>
      <c r="Z838" s="52"/>
      <c r="AA838" s="52"/>
    </row>
    <row r="839" spans="22:27">
      <c r="V839" s="52"/>
      <c r="W839" s="52"/>
      <c r="X839" s="52"/>
      <c r="Y839" s="52"/>
      <c r="Z839" s="52"/>
      <c r="AA839" s="52"/>
    </row>
    <row r="840" spans="22:27">
      <c r="V840" s="52"/>
      <c r="W840" s="52"/>
      <c r="X840" s="52"/>
      <c r="Y840" s="52"/>
      <c r="Z840" s="52"/>
      <c r="AA840" s="52"/>
    </row>
    <row r="841" spans="22:27">
      <c r="V841" s="52"/>
      <c r="W841" s="52"/>
      <c r="X841" s="52"/>
      <c r="Y841" s="52"/>
      <c r="Z841" s="52"/>
      <c r="AA841" s="52"/>
    </row>
    <row r="842" spans="22:27">
      <c r="V842" s="52"/>
      <c r="W842" s="52"/>
      <c r="X842" s="52"/>
      <c r="Y842" s="52"/>
      <c r="Z842" s="52"/>
      <c r="AA842" s="52"/>
    </row>
    <row r="843" spans="22:27">
      <c r="V843" s="52"/>
      <c r="W843" s="52"/>
      <c r="X843" s="52"/>
      <c r="Y843" s="52"/>
      <c r="Z843" s="52"/>
      <c r="AA843" s="52"/>
    </row>
    <row r="844" spans="22:27">
      <c r="V844" s="52"/>
      <c r="W844" s="52"/>
      <c r="X844" s="52"/>
      <c r="Y844" s="52"/>
      <c r="Z844" s="52"/>
      <c r="AA844" s="52"/>
    </row>
    <row r="845" spans="22:27">
      <c r="V845" s="52"/>
      <c r="W845" s="52"/>
      <c r="X845" s="52"/>
      <c r="Y845" s="52"/>
      <c r="Z845" s="52"/>
      <c r="AA845" s="52"/>
    </row>
    <row r="846" spans="22:27">
      <c r="V846" s="52"/>
      <c r="W846" s="52"/>
      <c r="X846" s="52"/>
      <c r="Y846" s="52"/>
      <c r="Z846" s="52"/>
      <c r="AA846" s="52"/>
    </row>
    <row r="847" spans="22:27">
      <c r="V847" s="52"/>
      <c r="W847" s="52"/>
      <c r="X847" s="52"/>
      <c r="Y847" s="52"/>
      <c r="Z847" s="52"/>
      <c r="AA847" s="52"/>
    </row>
    <row r="848" spans="22:27">
      <c r="V848" s="52"/>
      <c r="W848" s="52"/>
      <c r="X848" s="52"/>
      <c r="Y848" s="52"/>
      <c r="Z848" s="52"/>
      <c r="AA848" s="52"/>
    </row>
    <row r="849" spans="22:27">
      <c r="V849" s="52"/>
      <c r="W849" s="52"/>
      <c r="X849" s="52"/>
      <c r="Y849" s="52"/>
      <c r="Z849" s="52"/>
      <c r="AA849" s="52"/>
    </row>
    <row r="850" spans="22:27">
      <c r="V850" s="52"/>
      <c r="W850" s="52"/>
      <c r="X850" s="52"/>
      <c r="Y850" s="52"/>
      <c r="Z850" s="52"/>
      <c r="AA850" s="52"/>
    </row>
    <row r="851" spans="22:27">
      <c r="V851" s="52"/>
      <c r="W851" s="52"/>
      <c r="X851" s="52"/>
      <c r="Y851" s="52"/>
      <c r="Z851" s="52"/>
      <c r="AA851" s="52"/>
    </row>
    <row r="852" spans="22:27">
      <c r="V852" s="52"/>
      <c r="W852" s="52"/>
      <c r="X852" s="52"/>
      <c r="Y852" s="52"/>
      <c r="Z852" s="52"/>
      <c r="AA852" s="52"/>
    </row>
    <row r="853" spans="22:27">
      <c r="V853" s="52"/>
      <c r="W853" s="52"/>
      <c r="X853" s="52"/>
      <c r="Y853" s="52"/>
      <c r="Z853" s="52"/>
      <c r="AA853" s="52"/>
    </row>
    <row r="854" spans="22:27">
      <c r="V854" s="52"/>
      <c r="W854" s="52"/>
      <c r="X854" s="52"/>
      <c r="Y854" s="52"/>
      <c r="Z854" s="52"/>
      <c r="AA854" s="52"/>
    </row>
    <row r="855" spans="22:27">
      <c r="V855" s="52"/>
      <c r="W855" s="52"/>
      <c r="X855" s="52"/>
      <c r="Y855" s="52"/>
      <c r="Z855" s="52"/>
      <c r="AA855" s="52"/>
    </row>
    <row r="856" spans="22:27">
      <c r="V856" s="52"/>
      <c r="W856" s="52"/>
      <c r="X856" s="52"/>
      <c r="Y856" s="52"/>
      <c r="Z856" s="52"/>
      <c r="AA856" s="52"/>
    </row>
    <row r="857" spans="22:27">
      <c r="V857" s="52"/>
      <c r="W857" s="52"/>
      <c r="X857" s="52"/>
      <c r="Y857" s="52"/>
      <c r="Z857" s="52"/>
      <c r="AA857" s="52"/>
    </row>
    <row r="858" spans="22:27">
      <c r="V858" s="52"/>
      <c r="W858" s="52"/>
      <c r="X858" s="52"/>
      <c r="Y858" s="52"/>
      <c r="Z858" s="52"/>
      <c r="AA858" s="52"/>
    </row>
    <row r="859" spans="22:27">
      <c r="V859" s="52"/>
      <c r="W859" s="52"/>
      <c r="X859" s="52"/>
      <c r="Y859" s="52"/>
      <c r="Z859" s="52"/>
      <c r="AA859" s="52"/>
    </row>
    <row r="860" spans="22:27">
      <c r="V860" s="52"/>
      <c r="W860" s="52"/>
      <c r="X860" s="52"/>
      <c r="Y860" s="52"/>
      <c r="Z860" s="52"/>
      <c r="AA860" s="52"/>
    </row>
    <row r="861" spans="22:27">
      <c r="V861" s="52"/>
      <c r="W861" s="52"/>
      <c r="X861" s="52"/>
      <c r="Y861" s="52"/>
      <c r="Z861" s="52"/>
      <c r="AA861" s="52"/>
    </row>
    <row r="862" spans="22:27">
      <c r="V862" s="52"/>
      <c r="W862" s="52"/>
      <c r="X862" s="52"/>
      <c r="Y862" s="52"/>
      <c r="Z862" s="52"/>
      <c r="AA862" s="52"/>
    </row>
    <row r="863" spans="22:27">
      <c r="V863" s="52"/>
      <c r="W863" s="52"/>
      <c r="X863" s="52"/>
      <c r="Y863" s="52"/>
      <c r="Z863" s="52"/>
      <c r="AA863" s="52"/>
    </row>
    <row r="864" spans="22:27">
      <c r="V864" s="52"/>
      <c r="W864" s="52"/>
      <c r="X864" s="52"/>
      <c r="Y864" s="52"/>
      <c r="Z864" s="52"/>
      <c r="AA864" s="52"/>
    </row>
    <row r="865" spans="22:27">
      <c r="V865" s="52"/>
      <c r="W865" s="52"/>
      <c r="X865" s="52"/>
      <c r="Y865" s="52"/>
      <c r="Z865" s="52"/>
      <c r="AA865" s="52"/>
    </row>
    <row r="866" spans="22:27">
      <c r="V866" s="52"/>
      <c r="W866" s="52"/>
      <c r="X866" s="52"/>
      <c r="Y866" s="52"/>
      <c r="Z866" s="52"/>
      <c r="AA866" s="52"/>
    </row>
    <row r="867" spans="22:27">
      <c r="V867" s="52"/>
      <c r="W867" s="52"/>
      <c r="X867" s="52"/>
      <c r="Y867" s="52"/>
      <c r="Z867" s="52"/>
      <c r="AA867" s="52"/>
    </row>
    <row r="868" spans="22:27">
      <c r="V868" s="52"/>
      <c r="W868" s="52"/>
      <c r="X868" s="52"/>
      <c r="Y868" s="52"/>
      <c r="Z868" s="52"/>
      <c r="AA868" s="52"/>
    </row>
    <row r="869" spans="22:27">
      <c r="V869" s="52"/>
      <c r="W869" s="52"/>
      <c r="X869" s="52"/>
      <c r="Y869" s="52"/>
      <c r="Z869" s="52"/>
      <c r="AA869" s="52"/>
    </row>
    <row r="870" spans="22:27">
      <c r="V870" s="52"/>
      <c r="W870" s="52"/>
      <c r="X870" s="52"/>
      <c r="Y870" s="52"/>
      <c r="Z870" s="52"/>
      <c r="AA870" s="52"/>
    </row>
    <row r="871" spans="22:27">
      <c r="V871" s="52"/>
      <c r="W871" s="52"/>
      <c r="X871" s="52"/>
      <c r="Y871" s="52"/>
      <c r="Z871" s="52"/>
      <c r="AA871" s="52"/>
    </row>
    <row r="872" spans="22:27">
      <c r="V872" s="52"/>
      <c r="W872" s="52"/>
      <c r="X872" s="52"/>
      <c r="Y872" s="52"/>
      <c r="Z872" s="52"/>
      <c r="AA872" s="52"/>
    </row>
    <row r="873" spans="22:27">
      <c r="V873" s="52"/>
      <c r="W873" s="52"/>
      <c r="X873" s="52"/>
      <c r="Y873" s="52"/>
      <c r="Z873" s="52"/>
      <c r="AA873" s="52"/>
    </row>
    <row r="874" spans="22:27">
      <c r="V874" s="52"/>
      <c r="W874" s="52"/>
      <c r="X874" s="52"/>
      <c r="Y874" s="52"/>
      <c r="Z874" s="52"/>
      <c r="AA874" s="52"/>
    </row>
    <row r="875" spans="22:27">
      <c r="V875" s="52"/>
      <c r="W875" s="52"/>
      <c r="X875" s="52"/>
      <c r="Y875" s="52"/>
      <c r="Z875" s="52"/>
      <c r="AA875" s="52"/>
    </row>
    <row r="876" spans="22:27">
      <c r="V876" s="52"/>
      <c r="W876" s="52"/>
      <c r="X876" s="52"/>
      <c r="Y876" s="52"/>
      <c r="Z876" s="52"/>
      <c r="AA876" s="52"/>
    </row>
    <row r="877" spans="22:27">
      <c r="V877" s="52"/>
      <c r="W877" s="52"/>
      <c r="X877" s="52"/>
      <c r="Y877" s="52"/>
      <c r="Z877" s="52"/>
      <c r="AA877" s="52"/>
    </row>
    <row r="878" spans="22:27">
      <c r="V878" s="52"/>
      <c r="W878" s="52"/>
      <c r="X878" s="52"/>
      <c r="Y878" s="52"/>
      <c r="Z878" s="52"/>
      <c r="AA878" s="52"/>
    </row>
    <row r="879" spans="22:27">
      <c r="V879" s="52"/>
      <c r="W879" s="52"/>
      <c r="X879" s="52"/>
      <c r="Y879" s="52"/>
      <c r="Z879" s="52"/>
      <c r="AA879" s="52"/>
    </row>
    <row r="880" spans="22:27">
      <c r="V880" s="52"/>
      <c r="W880" s="52"/>
      <c r="X880" s="52"/>
      <c r="Y880" s="52"/>
      <c r="Z880" s="52"/>
      <c r="AA880" s="52"/>
    </row>
    <row r="881" spans="22:27">
      <c r="V881" s="52"/>
      <c r="W881" s="52"/>
      <c r="X881" s="52"/>
      <c r="Y881" s="52"/>
      <c r="Z881" s="52"/>
      <c r="AA881" s="52"/>
    </row>
    <row r="882" spans="22:27">
      <c r="V882" s="52"/>
      <c r="W882" s="52"/>
      <c r="X882" s="52"/>
      <c r="Y882" s="52"/>
      <c r="Z882" s="52"/>
      <c r="AA882" s="52"/>
    </row>
    <row r="883" spans="22:27">
      <c r="V883" s="52"/>
      <c r="W883" s="52"/>
      <c r="X883" s="52"/>
      <c r="Y883" s="52"/>
      <c r="Z883" s="52"/>
      <c r="AA883" s="52"/>
    </row>
    <row r="884" spans="22:27">
      <c r="V884" s="52"/>
      <c r="W884" s="52"/>
      <c r="X884" s="52"/>
      <c r="Y884" s="52"/>
      <c r="Z884" s="52"/>
      <c r="AA884" s="52"/>
    </row>
    <row r="885" spans="22:27">
      <c r="V885" s="52"/>
      <c r="W885" s="52"/>
      <c r="X885" s="52"/>
      <c r="Y885" s="52"/>
      <c r="Z885" s="52"/>
      <c r="AA885" s="52"/>
    </row>
    <row r="886" spans="22:27">
      <c r="V886" s="52"/>
      <c r="W886" s="52"/>
      <c r="X886" s="52"/>
      <c r="Y886" s="52"/>
      <c r="Z886" s="52"/>
      <c r="AA886" s="52"/>
    </row>
    <row r="887" spans="22:27">
      <c r="V887" s="52"/>
      <c r="W887" s="52"/>
      <c r="X887" s="52"/>
      <c r="Y887" s="52"/>
      <c r="Z887" s="52"/>
      <c r="AA887" s="52"/>
    </row>
    <row r="888" spans="22:27">
      <c r="V888" s="52"/>
      <c r="W888" s="52"/>
      <c r="X888" s="52"/>
      <c r="Y888" s="52"/>
      <c r="Z888" s="52"/>
      <c r="AA888" s="52"/>
    </row>
    <row r="889" spans="22:27">
      <c r="V889" s="52"/>
      <c r="W889" s="52"/>
      <c r="X889" s="52"/>
      <c r="Y889" s="52"/>
      <c r="Z889" s="52"/>
      <c r="AA889" s="52"/>
    </row>
    <row r="890" spans="22:27">
      <c r="V890" s="52"/>
      <c r="W890" s="52"/>
      <c r="X890" s="52"/>
      <c r="Y890" s="52"/>
      <c r="Z890" s="52"/>
      <c r="AA890" s="52"/>
    </row>
    <row r="891" spans="22:27">
      <c r="V891" s="52"/>
      <c r="W891" s="52"/>
      <c r="X891" s="52"/>
      <c r="Y891" s="52"/>
      <c r="Z891" s="52"/>
      <c r="AA891" s="52"/>
    </row>
    <row r="892" spans="22:27">
      <c r="V892" s="52"/>
      <c r="W892" s="52"/>
      <c r="X892" s="52"/>
      <c r="Y892" s="52"/>
      <c r="Z892" s="52"/>
      <c r="AA892" s="52"/>
    </row>
    <row r="893" spans="22:27">
      <c r="V893" s="52"/>
      <c r="W893" s="52"/>
      <c r="X893" s="52"/>
      <c r="Y893" s="52"/>
      <c r="Z893" s="52"/>
      <c r="AA893" s="52"/>
    </row>
    <row r="894" spans="22:27">
      <c r="V894" s="52"/>
      <c r="W894" s="52"/>
      <c r="X894" s="52"/>
      <c r="Y894" s="52"/>
      <c r="Z894" s="52"/>
      <c r="AA894" s="52"/>
    </row>
    <row r="895" spans="22:27">
      <c r="V895" s="52"/>
      <c r="W895" s="52"/>
      <c r="X895" s="52"/>
      <c r="Y895" s="52"/>
      <c r="Z895" s="52"/>
      <c r="AA895" s="52"/>
    </row>
    <row r="896" spans="22:27">
      <c r="V896" s="52"/>
      <c r="W896" s="52"/>
      <c r="X896" s="52"/>
      <c r="Y896" s="52"/>
      <c r="Z896" s="52"/>
      <c r="AA896" s="52"/>
    </row>
    <row r="897" spans="22:27">
      <c r="V897" s="52"/>
      <c r="W897" s="52"/>
      <c r="X897" s="52"/>
      <c r="Y897" s="52"/>
      <c r="Z897" s="52"/>
      <c r="AA897" s="52"/>
    </row>
    <row r="898" spans="22:27">
      <c r="V898" s="52"/>
      <c r="W898" s="52"/>
      <c r="X898" s="52"/>
      <c r="Y898" s="52"/>
      <c r="Z898" s="52"/>
      <c r="AA898" s="52"/>
    </row>
    <row r="899" spans="22:27">
      <c r="V899" s="52"/>
      <c r="W899" s="52"/>
      <c r="X899" s="52"/>
      <c r="Y899" s="52"/>
      <c r="Z899" s="52"/>
      <c r="AA899" s="52"/>
    </row>
    <row r="900" spans="22:27">
      <c r="V900" s="52"/>
      <c r="W900" s="52"/>
      <c r="X900" s="52"/>
      <c r="Y900" s="52"/>
      <c r="Z900" s="52"/>
      <c r="AA900" s="52"/>
    </row>
    <row r="901" spans="22:27">
      <c r="V901" s="52"/>
      <c r="W901" s="52"/>
      <c r="X901" s="52"/>
      <c r="Y901" s="52"/>
      <c r="Z901" s="52"/>
      <c r="AA901" s="52"/>
    </row>
    <row r="902" spans="22:27">
      <c r="V902" s="52"/>
      <c r="W902" s="52"/>
      <c r="X902" s="52"/>
      <c r="Y902" s="52"/>
      <c r="Z902" s="52"/>
      <c r="AA902" s="52"/>
    </row>
    <row r="903" spans="22:27">
      <c r="V903" s="52"/>
      <c r="W903" s="52"/>
      <c r="X903" s="52"/>
      <c r="Y903" s="52"/>
      <c r="Z903" s="52"/>
      <c r="AA903" s="52"/>
    </row>
    <row r="904" spans="22:27">
      <c r="V904" s="52"/>
      <c r="W904" s="52"/>
      <c r="X904" s="52"/>
      <c r="Y904" s="52"/>
      <c r="Z904" s="52"/>
      <c r="AA904" s="52"/>
    </row>
    <row r="905" spans="22:27">
      <c r="V905" s="52"/>
      <c r="W905" s="52"/>
      <c r="X905" s="52"/>
      <c r="Y905" s="52"/>
      <c r="Z905" s="52"/>
      <c r="AA905" s="52"/>
    </row>
    <row r="906" spans="22:27">
      <c r="V906" s="52"/>
      <c r="W906" s="52"/>
      <c r="X906" s="52"/>
      <c r="Y906" s="52"/>
      <c r="Z906" s="52"/>
      <c r="AA906" s="52"/>
    </row>
    <row r="907" spans="22:27">
      <c r="V907" s="52"/>
      <c r="W907" s="52"/>
      <c r="X907" s="52"/>
      <c r="Y907" s="52"/>
      <c r="Z907" s="52"/>
      <c r="AA907" s="52"/>
    </row>
    <row r="908" spans="22:27">
      <c r="V908" s="52"/>
      <c r="W908" s="52"/>
      <c r="X908" s="52"/>
      <c r="Y908" s="52"/>
      <c r="Z908" s="52"/>
      <c r="AA908" s="52"/>
    </row>
    <row r="909" spans="22:27">
      <c r="V909" s="52"/>
      <c r="W909" s="52"/>
      <c r="X909" s="52"/>
      <c r="Y909" s="52"/>
      <c r="Z909" s="52"/>
      <c r="AA909" s="52"/>
    </row>
    <row r="910" spans="22:27">
      <c r="V910" s="52"/>
      <c r="W910" s="52"/>
      <c r="X910" s="52"/>
      <c r="Y910" s="52"/>
      <c r="Z910" s="52"/>
      <c r="AA910" s="52"/>
    </row>
    <row r="911" spans="22:27">
      <c r="V911" s="52"/>
      <c r="W911" s="52"/>
      <c r="X911" s="52"/>
      <c r="Y911" s="52"/>
      <c r="Z911" s="52"/>
      <c r="AA911" s="52"/>
    </row>
    <row r="912" spans="22:27">
      <c r="V912" s="52"/>
      <c r="W912" s="52"/>
      <c r="X912" s="52"/>
      <c r="Y912" s="52"/>
      <c r="Z912" s="52"/>
      <c r="AA912" s="52"/>
    </row>
    <row r="913" spans="22:27">
      <c r="V913" s="52"/>
      <c r="W913" s="52"/>
      <c r="X913" s="52"/>
      <c r="Y913" s="52"/>
      <c r="Z913" s="52"/>
      <c r="AA913" s="52"/>
    </row>
    <row r="914" spans="22:27">
      <c r="V914" s="52"/>
      <c r="W914" s="52"/>
      <c r="X914" s="52"/>
      <c r="Y914" s="52"/>
      <c r="Z914" s="52"/>
      <c r="AA914" s="52"/>
    </row>
    <row r="915" spans="22:27">
      <c r="V915" s="52"/>
      <c r="W915" s="52"/>
      <c r="X915" s="52"/>
      <c r="Y915" s="52"/>
      <c r="Z915" s="52"/>
      <c r="AA915" s="52"/>
    </row>
    <row r="916" spans="22:27">
      <c r="V916" s="52"/>
      <c r="W916" s="52"/>
      <c r="X916" s="52"/>
      <c r="Y916" s="52"/>
      <c r="Z916" s="52"/>
      <c r="AA916" s="52"/>
    </row>
    <row r="917" spans="22:27">
      <c r="V917" s="52"/>
      <c r="W917" s="52"/>
      <c r="X917" s="52"/>
      <c r="Y917" s="52"/>
      <c r="Z917" s="52"/>
      <c r="AA917" s="52"/>
    </row>
    <row r="918" spans="22:27">
      <c r="V918" s="52"/>
      <c r="W918" s="52"/>
      <c r="X918" s="52"/>
      <c r="Y918" s="52"/>
      <c r="Z918" s="52"/>
      <c r="AA918" s="52"/>
    </row>
    <row r="919" spans="22:27">
      <c r="V919" s="52"/>
      <c r="W919" s="52"/>
      <c r="X919" s="52"/>
      <c r="Y919" s="52"/>
      <c r="Z919" s="52"/>
      <c r="AA919" s="52"/>
    </row>
    <row r="920" spans="22:27">
      <c r="V920" s="52"/>
      <c r="W920" s="52"/>
      <c r="X920" s="52"/>
      <c r="Y920" s="52"/>
      <c r="Z920" s="52"/>
      <c r="AA920" s="52"/>
    </row>
    <row r="921" spans="22:27">
      <c r="V921" s="52"/>
      <c r="W921" s="52"/>
      <c r="X921" s="52"/>
      <c r="Y921" s="52"/>
      <c r="Z921" s="52"/>
      <c r="AA921" s="52"/>
    </row>
    <row r="922" spans="22:27">
      <c r="V922" s="52"/>
      <c r="W922" s="52"/>
      <c r="X922" s="52"/>
      <c r="Y922" s="52"/>
      <c r="Z922" s="52"/>
      <c r="AA922" s="52"/>
    </row>
    <row r="923" spans="22:27">
      <c r="V923" s="52"/>
      <c r="W923" s="52"/>
      <c r="X923" s="52"/>
      <c r="Y923" s="52"/>
      <c r="Z923" s="52"/>
      <c r="AA923" s="52"/>
    </row>
    <row r="924" spans="22:27">
      <c r="V924" s="52"/>
      <c r="W924" s="52"/>
      <c r="X924" s="52"/>
      <c r="Y924" s="52"/>
      <c r="Z924" s="52"/>
      <c r="AA924" s="52"/>
    </row>
    <row r="925" spans="22:27">
      <c r="V925" s="52"/>
      <c r="W925" s="52"/>
      <c r="X925" s="52"/>
      <c r="Y925" s="52"/>
      <c r="Z925" s="52"/>
      <c r="AA925" s="52"/>
    </row>
    <row r="926" spans="22:27">
      <c r="V926" s="52"/>
      <c r="W926" s="52"/>
      <c r="X926" s="52"/>
      <c r="Y926" s="52"/>
      <c r="Z926" s="52"/>
      <c r="AA926" s="52"/>
    </row>
    <row r="927" spans="22:27">
      <c r="V927" s="52"/>
      <c r="W927" s="52"/>
      <c r="X927" s="52"/>
      <c r="Y927" s="52"/>
      <c r="Z927" s="52"/>
      <c r="AA927" s="52"/>
    </row>
    <row r="928" spans="22:27">
      <c r="V928" s="52"/>
      <c r="W928" s="52"/>
      <c r="X928" s="52"/>
      <c r="Y928" s="52"/>
      <c r="Z928" s="52"/>
      <c r="AA928" s="52"/>
    </row>
    <row r="929" spans="22:27">
      <c r="V929" s="52"/>
      <c r="W929" s="52"/>
      <c r="X929" s="52"/>
      <c r="Y929" s="52"/>
      <c r="Z929" s="52"/>
      <c r="AA929" s="52"/>
    </row>
    <row r="930" spans="22:27">
      <c r="V930" s="52"/>
      <c r="W930" s="52"/>
      <c r="X930" s="52"/>
      <c r="Y930" s="52"/>
      <c r="Z930" s="52"/>
      <c r="AA930" s="52"/>
    </row>
    <row r="931" spans="22:27">
      <c r="V931" s="52"/>
      <c r="W931" s="52"/>
      <c r="X931" s="52"/>
      <c r="Y931" s="52"/>
      <c r="Z931" s="52"/>
      <c r="AA931" s="52"/>
    </row>
    <row r="932" spans="22:27">
      <c r="V932" s="52"/>
      <c r="W932" s="52"/>
      <c r="X932" s="52"/>
      <c r="Y932" s="52"/>
      <c r="Z932" s="52"/>
      <c r="AA932" s="52"/>
    </row>
    <row r="933" spans="22:27">
      <c r="V933" s="52"/>
      <c r="W933" s="52"/>
      <c r="X933" s="52"/>
      <c r="Y933" s="52"/>
      <c r="Z933" s="52"/>
      <c r="AA933" s="52"/>
    </row>
    <row r="934" spans="22:27">
      <c r="V934" s="52"/>
      <c r="W934" s="52"/>
      <c r="X934" s="52"/>
      <c r="Y934" s="52"/>
      <c r="Z934" s="52"/>
      <c r="AA934" s="52"/>
    </row>
    <row r="935" spans="22:27">
      <c r="V935" s="52"/>
      <c r="W935" s="52"/>
      <c r="X935" s="52"/>
      <c r="Y935" s="52"/>
      <c r="Z935" s="52"/>
      <c r="AA935" s="52"/>
    </row>
    <row r="936" spans="22:27">
      <c r="V936" s="52"/>
      <c r="W936" s="52"/>
      <c r="X936" s="52"/>
      <c r="Y936" s="52"/>
      <c r="Z936" s="52"/>
      <c r="AA936" s="52"/>
    </row>
    <row r="937" spans="22:27">
      <c r="V937" s="52"/>
      <c r="W937" s="52"/>
      <c r="X937" s="52"/>
      <c r="Y937" s="52"/>
      <c r="Z937" s="52"/>
      <c r="AA937" s="52"/>
    </row>
    <row r="938" spans="22:27">
      <c r="V938" s="52"/>
      <c r="W938" s="52"/>
      <c r="X938" s="52"/>
      <c r="Y938" s="52"/>
      <c r="Z938" s="52"/>
      <c r="AA938" s="52"/>
    </row>
    <row r="939" spans="22:27">
      <c r="V939" s="52"/>
      <c r="W939" s="52"/>
      <c r="X939" s="52"/>
      <c r="Y939" s="52"/>
      <c r="Z939" s="52"/>
      <c r="AA939" s="52"/>
    </row>
    <row r="940" spans="22:27">
      <c r="V940" s="52"/>
      <c r="W940" s="52"/>
      <c r="X940" s="52"/>
      <c r="Y940" s="52"/>
      <c r="Z940" s="52"/>
      <c r="AA940" s="52"/>
    </row>
    <row r="941" spans="22:27">
      <c r="V941" s="52"/>
      <c r="W941" s="52"/>
      <c r="X941" s="52"/>
      <c r="Y941" s="52"/>
      <c r="Z941" s="52"/>
      <c r="AA941" s="52"/>
    </row>
    <row r="942" spans="22:27">
      <c r="V942" s="52"/>
      <c r="W942" s="52"/>
      <c r="X942" s="52"/>
      <c r="Y942" s="52"/>
      <c r="Z942" s="52"/>
      <c r="AA942" s="52"/>
    </row>
    <row r="943" spans="22:27">
      <c r="V943" s="52"/>
      <c r="W943" s="52"/>
      <c r="X943" s="52"/>
      <c r="Y943" s="52"/>
      <c r="Z943" s="52"/>
      <c r="AA943" s="52"/>
    </row>
    <row r="944" spans="22:27">
      <c r="V944" s="52"/>
      <c r="W944" s="52"/>
      <c r="X944" s="52"/>
      <c r="Y944" s="52"/>
      <c r="Z944" s="52"/>
      <c r="AA944" s="52"/>
    </row>
    <row r="945" spans="22:27">
      <c r="V945" s="52"/>
      <c r="W945" s="52"/>
      <c r="X945" s="52"/>
      <c r="Y945" s="52"/>
      <c r="Z945" s="52"/>
      <c r="AA945" s="52"/>
    </row>
    <row r="946" spans="22:27">
      <c r="V946" s="52"/>
      <c r="W946" s="52"/>
      <c r="X946" s="52"/>
      <c r="Y946" s="52"/>
      <c r="Z946" s="52"/>
      <c r="AA946" s="52"/>
    </row>
    <row r="947" spans="22:27">
      <c r="V947" s="52"/>
      <c r="W947" s="52"/>
      <c r="X947" s="52"/>
      <c r="Y947" s="52"/>
      <c r="Z947" s="52"/>
      <c r="AA947" s="52"/>
    </row>
    <row r="948" spans="22:27">
      <c r="V948" s="52"/>
      <c r="W948" s="52"/>
      <c r="X948" s="52"/>
      <c r="Y948" s="52"/>
      <c r="Z948" s="52"/>
      <c r="AA948" s="52"/>
    </row>
    <row r="949" spans="22:27">
      <c r="V949" s="52"/>
      <c r="W949" s="52"/>
      <c r="X949" s="52"/>
      <c r="Y949" s="52"/>
      <c r="Z949" s="52"/>
      <c r="AA949" s="52"/>
    </row>
    <row r="950" spans="22:27">
      <c r="V950" s="52"/>
      <c r="W950" s="52"/>
      <c r="X950" s="52"/>
      <c r="Y950" s="52"/>
      <c r="Z950" s="52"/>
      <c r="AA950" s="52"/>
    </row>
    <row r="951" spans="22:27">
      <c r="V951" s="52"/>
      <c r="W951" s="52"/>
      <c r="X951" s="52"/>
      <c r="Y951" s="52"/>
      <c r="Z951" s="52"/>
      <c r="AA951" s="52"/>
    </row>
    <row r="952" spans="22:27">
      <c r="V952" s="52"/>
      <c r="W952" s="52"/>
      <c r="X952" s="52"/>
      <c r="Y952" s="52"/>
      <c r="Z952" s="52"/>
      <c r="AA952" s="52"/>
    </row>
    <row r="953" spans="22:27">
      <c r="V953" s="52"/>
      <c r="W953" s="52"/>
      <c r="X953" s="52"/>
      <c r="Y953" s="52"/>
      <c r="Z953" s="52"/>
      <c r="AA953" s="52"/>
    </row>
    <row r="954" spans="22:27">
      <c r="V954" s="52"/>
      <c r="W954" s="52"/>
      <c r="X954" s="52"/>
      <c r="Y954" s="52"/>
      <c r="Z954" s="52"/>
      <c r="AA954" s="52"/>
    </row>
    <row r="955" spans="22:27">
      <c r="V955" s="52"/>
      <c r="W955" s="52"/>
      <c r="X955" s="52"/>
      <c r="Y955" s="52"/>
      <c r="Z955" s="52"/>
      <c r="AA955" s="52"/>
    </row>
    <row r="956" spans="22:27">
      <c r="V956" s="52"/>
      <c r="W956" s="52"/>
      <c r="X956" s="52"/>
      <c r="Y956" s="52"/>
      <c r="Z956" s="52"/>
      <c r="AA956" s="52"/>
    </row>
    <row r="957" spans="22:27">
      <c r="V957" s="52"/>
      <c r="W957" s="52"/>
      <c r="X957" s="52"/>
      <c r="Y957" s="52"/>
      <c r="Z957" s="52"/>
      <c r="AA957" s="52"/>
    </row>
    <row r="958" spans="22:27">
      <c r="V958" s="52"/>
      <c r="W958" s="52"/>
      <c r="X958" s="52"/>
      <c r="Y958" s="52"/>
      <c r="Z958" s="52"/>
      <c r="AA958" s="52"/>
    </row>
    <row r="959" spans="22:27">
      <c r="V959" s="52"/>
      <c r="W959" s="52"/>
      <c r="X959" s="52"/>
      <c r="Y959" s="52"/>
      <c r="Z959" s="52"/>
      <c r="AA959" s="52"/>
    </row>
    <row r="960" spans="22:27">
      <c r="V960" s="52"/>
      <c r="W960" s="52"/>
      <c r="X960" s="52"/>
      <c r="Y960" s="52"/>
      <c r="Z960" s="52"/>
      <c r="AA960" s="52"/>
    </row>
    <row r="961" spans="22:27">
      <c r="V961" s="52"/>
      <c r="W961" s="52"/>
      <c r="X961" s="52"/>
      <c r="Y961" s="52"/>
      <c r="Z961" s="52"/>
      <c r="AA961" s="52"/>
    </row>
    <row r="962" spans="22:27">
      <c r="V962" s="52"/>
      <c r="W962" s="52"/>
      <c r="X962" s="52"/>
      <c r="Y962" s="52"/>
      <c r="Z962" s="52"/>
      <c r="AA962" s="52"/>
    </row>
    <row r="963" spans="22:27">
      <c r="V963" s="52"/>
      <c r="W963" s="52"/>
      <c r="X963" s="52"/>
      <c r="Y963" s="52"/>
      <c r="Z963" s="52"/>
      <c r="AA963" s="52"/>
    </row>
    <row r="964" spans="22:27">
      <c r="V964" s="52"/>
      <c r="W964" s="52"/>
      <c r="X964" s="52"/>
      <c r="Y964" s="52"/>
      <c r="Z964" s="52"/>
      <c r="AA964" s="52"/>
    </row>
    <row r="965" spans="22:27">
      <c r="V965" s="52"/>
      <c r="W965" s="52"/>
      <c r="X965" s="52"/>
      <c r="Y965" s="52"/>
      <c r="Z965" s="52"/>
      <c r="AA965" s="52"/>
    </row>
    <row r="966" spans="22:27">
      <c r="V966" s="52"/>
      <c r="W966" s="52"/>
      <c r="X966" s="52"/>
      <c r="Y966" s="52"/>
      <c r="Z966" s="52"/>
      <c r="AA966" s="52"/>
    </row>
    <row r="967" spans="22:27">
      <c r="V967" s="52"/>
      <c r="W967" s="52"/>
      <c r="X967" s="52"/>
      <c r="Y967" s="52"/>
      <c r="Z967" s="52"/>
      <c r="AA967" s="52"/>
    </row>
    <row r="968" spans="22:27">
      <c r="V968" s="52"/>
      <c r="W968" s="52"/>
      <c r="X968" s="52"/>
      <c r="Y968" s="52"/>
      <c r="Z968" s="52"/>
      <c r="AA968" s="52"/>
    </row>
    <row r="969" spans="22:27">
      <c r="V969" s="52"/>
      <c r="W969" s="52"/>
      <c r="X969" s="52"/>
      <c r="Y969" s="52"/>
      <c r="Z969" s="52"/>
      <c r="AA969" s="52"/>
    </row>
    <row r="970" spans="22:27">
      <c r="V970" s="52"/>
      <c r="W970" s="52"/>
      <c r="X970" s="52"/>
      <c r="Y970" s="52"/>
      <c r="Z970" s="52"/>
      <c r="AA970" s="52"/>
    </row>
    <row r="971" spans="22:27">
      <c r="V971" s="52"/>
      <c r="W971" s="52"/>
      <c r="X971" s="52"/>
      <c r="Y971" s="52"/>
      <c r="Z971" s="52"/>
      <c r="AA971" s="52"/>
    </row>
    <row r="972" spans="22:27">
      <c r="V972" s="52"/>
      <c r="W972" s="52"/>
      <c r="X972" s="52"/>
      <c r="Y972" s="52"/>
      <c r="Z972" s="52"/>
      <c r="AA972" s="52"/>
    </row>
    <row r="973" spans="22:27">
      <c r="V973" s="52"/>
      <c r="W973" s="52"/>
      <c r="X973" s="52"/>
      <c r="Y973" s="52"/>
      <c r="Z973" s="52"/>
      <c r="AA973" s="52"/>
    </row>
    <row r="974" spans="22:27">
      <c r="V974" s="52"/>
      <c r="W974" s="52"/>
      <c r="X974" s="52"/>
      <c r="Y974" s="52"/>
      <c r="Z974" s="52"/>
      <c r="AA974" s="52"/>
    </row>
    <row r="975" spans="22:27">
      <c r="V975" s="52"/>
      <c r="W975" s="52"/>
      <c r="X975" s="52"/>
      <c r="Y975" s="52"/>
      <c r="Z975" s="52"/>
      <c r="AA975" s="52"/>
    </row>
    <row r="976" spans="22:27">
      <c r="V976" s="52"/>
      <c r="W976" s="52"/>
      <c r="X976" s="52"/>
      <c r="Y976" s="52"/>
      <c r="Z976" s="52"/>
      <c r="AA976" s="52"/>
    </row>
    <row r="977" spans="22:27">
      <c r="V977" s="52"/>
      <c r="W977" s="52"/>
      <c r="X977" s="52"/>
      <c r="Y977" s="52"/>
      <c r="Z977" s="52"/>
      <c r="AA977" s="52"/>
    </row>
    <row r="978" spans="22:27">
      <c r="V978" s="52"/>
      <c r="W978" s="52"/>
      <c r="X978" s="52"/>
      <c r="Y978" s="52"/>
      <c r="Z978" s="52"/>
      <c r="AA978" s="52"/>
    </row>
    <row r="979" spans="22:27">
      <c r="V979" s="52"/>
      <c r="W979" s="52"/>
      <c r="X979" s="52"/>
      <c r="Y979" s="52"/>
      <c r="Z979" s="52"/>
      <c r="AA979" s="52"/>
    </row>
    <row r="980" spans="22:27">
      <c r="V980" s="52"/>
      <c r="W980" s="52"/>
      <c r="X980" s="52"/>
      <c r="Y980" s="52"/>
      <c r="Z980" s="52"/>
      <c r="AA980" s="52"/>
    </row>
    <row r="981" spans="22:27">
      <c r="V981" s="52"/>
      <c r="W981" s="52"/>
      <c r="X981" s="52"/>
      <c r="Y981" s="52"/>
      <c r="Z981" s="52"/>
      <c r="AA981" s="52"/>
    </row>
    <row r="982" spans="22:27">
      <c r="V982" s="52"/>
      <c r="W982" s="52"/>
      <c r="X982" s="52"/>
      <c r="Y982" s="52"/>
      <c r="Z982" s="52"/>
      <c r="AA982" s="52"/>
    </row>
    <row r="983" spans="22:27">
      <c r="V983" s="52"/>
      <c r="W983" s="52"/>
      <c r="X983" s="52"/>
      <c r="Y983" s="52"/>
      <c r="Z983" s="52"/>
      <c r="AA983" s="52"/>
    </row>
    <row r="984" spans="22:27">
      <c r="V984" s="52"/>
      <c r="W984" s="52"/>
      <c r="X984" s="52"/>
      <c r="Y984" s="52"/>
      <c r="Z984" s="52"/>
      <c r="AA984" s="52"/>
    </row>
    <row r="985" spans="22:27">
      <c r="V985" s="52"/>
      <c r="W985" s="52"/>
      <c r="X985" s="52"/>
      <c r="Y985" s="52"/>
      <c r="Z985" s="52"/>
      <c r="AA985" s="52"/>
    </row>
    <row r="986" spans="22:27">
      <c r="V986" s="52"/>
      <c r="W986" s="52"/>
      <c r="X986" s="52"/>
      <c r="Y986" s="52"/>
      <c r="Z986" s="52"/>
      <c r="AA986" s="52"/>
    </row>
    <row r="987" spans="22:27">
      <c r="V987" s="52"/>
      <c r="W987" s="52"/>
      <c r="X987" s="52"/>
      <c r="Y987" s="52"/>
      <c r="Z987" s="52"/>
      <c r="AA987" s="52"/>
    </row>
    <row r="988" spans="22:27">
      <c r="V988" s="52"/>
      <c r="W988" s="52"/>
      <c r="X988" s="52"/>
      <c r="Y988" s="52"/>
      <c r="Z988" s="52"/>
      <c r="AA988" s="52"/>
    </row>
    <row r="989" spans="22:27">
      <c r="V989" s="52"/>
      <c r="W989" s="52"/>
      <c r="X989" s="52"/>
      <c r="Y989" s="52"/>
      <c r="Z989" s="52"/>
      <c r="AA989" s="52"/>
    </row>
    <row r="990" spans="22:27">
      <c r="V990" s="52"/>
      <c r="W990" s="52"/>
      <c r="X990" s="52"/>
      <c r="Y990" s="52"/>
      <c r="Z990" s="52"/>
      <c r="AA990" s="52"/>
    </row>
    <row r="991" spans="22:27">
      <c r="V991" s="52"/>
      <c r="W991" s="52"/>
      <c r="X991" s="52"/>
      <c r="Y991" s="52"/>
      <c r="Z991" s="52"/>
      <c r="AA991" s="52"/>
    </row>
    <row r="992" spans="22:27">
      <c r="V992" s="52"/>
      <c r="W992" s="52"/>
      <c r="X992" s="52"/>
      <c r="Y992" s="52"/>
      <c r="Z992" s="52"/>
      <c r="AA992" s="52"/>
    </row>
    <row r="993" spans="22:27">
      <c r="V993" s="52"/>
      <c r="W993" s="52"/>
      <c r="X993" s="52"/>
      <c r="Y993" s="52"/>
      <c r="Z993" s="52"/>
      <c r="AA993" s="52"/>
    </row>
    <row r="994" spans="22:27">
      <c r="V994" s="52"/>
      <c r="W994" s="52"/>
      <c r="X994" s="52"/>
      <c r="Y994" s="52"/>
      <c r="Z994" s="52"/>
      <c r="AA994" s="52"/>
    </row>
    <row r="995" spans="22:27">
      <c r="V995" s="52"/>
      <c r="W995" s="52"/>
      <c r="X995" s="52"/>
      <c r="Y995" s="52"/>
      <c r="Z995" s="52"/>
      <c r="AA995" s="52"/>
    </row>
    <row r="996" spans="22:27">
      <c r="V996" s="52"/>
      <c r="W996" s="52"/>
      <c r="X996" s="52"/>
      <c r="Y996" s="52"/>
      <c r="Z996" s="52"/>
      <c r="AA996" s="52"/>
    </row>
    <row r="997" spans="22:27">
      <c r="V997" s="52"/>
      <c r="W997" s="52"/>
      <c r="X997" s="52"/>
      <c r="Y997" s="52"/>
      <c r="Z997" s="52"/>
      <c r="AA997" s="52"/>
    </row>
    <row r="998" spans="22:27">
      <c r="V998" s="52"/>
      <c r="W998" s="52"/>
      <c r="X998" s="52"/>
      <c r="Y998" s="52"/>
      <c r="Z998" s="52"/>
      <c r="AA998" s="52"/>
    </row>
    <row r="999" spans="22:27">
      <c r="V999" s="52"/>
      <c r="W999" s="52"/>
      <c r="X999" s="52"/>
      <c r="Y999" s="52"/>
      <c r="Z999" s="52"/>
      <c r="AA999" s="52"/>
    </row>
    <row r="1000" spans="22:27">
      <c r="V1000" s="52"/>
      <c r="W1000" s="52"/>
      <c r="X1000" s="52"/>
      <c r="Y1000" s="52"/>
      <c r="Z1000" s="52"/>
      <c r="AA1000" s="52"/>
    </row>
    <row r="1001" spans="22:27">
      <c r="V1001" s="52"/>
      <c r="W1001" s="52"/>
      <c r="X1001" s="52"/>
      <c r="Y1001" s="52"/>
      <c r="Z1001" s="52"/>
      <c r="AA1001" s="52"/>
    </row>
    <row r="1002" spans="22:27">
      <c r="V1002" s="52"/>
      <c r="W1002" s="52"/>
      <c r="X1002" s="52"/>
      <c r="Y1002" s="52"/>
      <c r="Z1002" s="52"/>
      <c r="AA1002" s="52"/>
    </row>
    <row r="1003" spans="22:27">
      <c r="V1003" s="52"/>
      <c r="W1003" s="52"/>
      <c r="X1003" s="52"/>
      <c r="Y1003" s="52"/>
      <c r="Z1003" s="52"/>
      <c r="AA1003" s="52"/>
    </row>
    <row r="1004" spans="22:27">
      <c r="V1004" s="52"/>
      <c r="W1004" s="52"/>
      <c r="X1004" s="52"/>
      <c r="Y1004" s="52"/>
      <c r="Z1004" s="52"/>
      <c r="AA1004" s="52"/>
    </row>
    <row r="1005" spans="22:27">
      <c r="V1005" s="52"/>
      <c r="W1005" s="52"/>
      <c r="X1005" s="52"/>
      <c r="Y1005" s="52"/>
      <c r="Z1005" s="52"/>
      <c r="AA1005" s="52"/>
    </row>
    <row r="1006" spans="22:27">
      <c r="V1006" s="52"/>
      <c r="W1006" s="52"/>
      <c r="X1006" s="52"/>
      <c r="Y1006" s="52"/>
      <c r="Z1006" s="52"/>
      <c r="AA1006" s="52"/>
    </row>
    <row r="1007" spans="22:27">
      <c r="V1007" s="52"/>
      <c r="W1007" s="52"/>
      <c r="X1007" s="52"/>
      <c r="Y1007" s="52"/>
      <c r="Z1007" s="52"/>
      <c r="AA1007" s="52"/>
    </row>
    <row r="1008" spans="22:27">
      <c r="V1008" s="52"/>
      <c r="W1008" s="52"/>
      <c r="X1008" s="52"/>
      <c r="Y1008" s="52"/>
      <c r="Z1008" s="52"/>
      <c r="AA1008" s="52"/>
    </row>
    <row r="1009" spans="22:27">
      <c r="V1009" s="52"/>
      <c r="W1009" s="52"/>
      <c r="X1009" s="52"/>
      <c r="Y1009" s="52"/>
      <c r="Z1009" s="52"/>
      <c r="AA1009" s="52"/>
    </row>
    <row r="1010" spans="22:27">
      <c r="V1010" s="52"/>
      <c r="W1010" s="52"/>
      <c r="X1010" s="52"/>
      <c r="Y1010" s="52"/>
      <c r="Z1010" s="52"/>
      <c r="AA1010" s="52"/>
    </row>
    <row r="1011" spans="22:27">
      <c r="V1011" s="52"/>
      <c r="W1011" s="52"/>
      <c r="X1011" s="52"/>
      <c r="Y1011" s="52"/>
      <c r="Z1011" s="52"/>
      <c r="AA1011" s="52"/>
    </row>
    <row r="1012" spans="22:27">
      <c r="V1012" s="52"/>
      <c r="W1012" s="52"/>
      <c r="X1012" s="52"/>
      <c r="Y1012" s="52"/>
      <c r="Z1012" s="52"/>
      <c r="AA1012" s="52"/>
    </row>
    <row r="1013" spans="22:27">
      <c r="V1013" s="52"/>
      <c r="W1013" s="52"/>
      <c r="X1013" s="52"/>
      <c r="Y1013" s="52"/>
      <c r="Z1013" s="52"/>
      <c r="AA1013" s="52"/>
    </row>
    <row r="1014" spans="22:27">
      <c r="V1014" s="52"/>
      <c r="W1014" s="52"/>
      <c r="X1014" s="52"/>
      <c r="Y1014" s="52"/>
      <c r="Z1014" s="52"/>
      <c r="AA1014" s="52"/>
    </row>
    <row r="1015" spans="22:27">
      <c r="V1015" s="52"/>
      <c r="W1015" s="52"/>
      <c r="X1015" s="52"/>
      <c r="Y1015" s="52"/>
      <c r="Z1015" s="52"/>
      <c r="AA1015" s="52"/>
    </row>
    <row r="1016" spans="22:27">
      <c r="V1016" s="52"/>
      <c r="W1016" s="52"/>
      <c r="X1016" s="52"/>
      <c r="Y1016" s="52"/>
      <c r="Z1016" s="52"/>
      <c r="AA1016" s="52"/>
    </row>
    <row r="1017" spans="22:27">
      <c r="V1017" s="52"/>
      <c r="W1017" s="52"/>
      <c r="X1017" s="52"/>
      <c r="Y1017" s="52"/>
      <c r="Z1017" s="52"/>
      <c r="AA1017" s="52"/>
    </row>
    <row r="1018" spans="22:27">
      <c r="V1018" s="52"/>
      <c r="W1018" s="52"/>
      <c r="X1018" s="52"/>
      <c r="Y1018" s="52"/>
      <c r="Z1018" s="52"/>
      <c r="AA1018" s="52"/>
    </row>
    <row r="1019" spans="22:27">
      <c r="V1019" s="52"/>
      <c r="W1019" s="52"/>
      <c r="X1019" s="52"/>
      <c r="Y1019" s="52"/>
      <c r="Z1019" s="52"/>
      <c r="AA1019" s="52"/>
    </row>
    <row r="1020" spans="22:27">
      <c r="V1020" s="52"/>
      <c r="W1020" s="52"/>
      <c r="X1020" s="52"/>
      <c r="Y1020" s="52"/>
      <c r="Z1020" s="52"/>
      <c r="AA1020" s="52"/>
    </row>
    <row r="1021" spans="22:27">
      <c r="V1021" s="52"/>
      <c r="W1021" s="52"/>
      <c r="X1021" s="52"/>
      <c r="Y1021" s="52"/>
      <c r="Z1021" s="52"/>
      <c r="AA1021" s="52"/>
    </row>
    <row r="1022" spans="22:27">
      <c r="V1022" s="52"/>
      <c r="W1022" s="52"/>
      <c r="X1022" s="52"/>
      <c r="Y1022" s="52"/>
      <c r="Z1022" s="52"/>
      <c r="AA1022" s="52"/>
    </row>
    <row r="1023" spans="22:27">
      <c r="V1023" s="52"/>
      <c r="W1023" s="52"/>
      <c r="X1023" s="52"/>
      <c r="Y1023" s="52"/>
      <c r="Z1023" s="52"/>
      <c r="AA1023" s="52"/>
    </row>
    <row r="1024" spans="22:27">
      <c r="V1024" s="52"/>
      <c r="W1024" s="52"/>
      <c r="X1024" s="52"/>
      <c r="Y1024" s="52"/>
      <c r="Z1024" s="52"/>
      <c r="AA1024" s="52"/>
    </row>
    <row r="1025" spans="22:27">
      <c r="V1025" s="52"/>
      <c r="W1025" s="52"/>
      <c r="X1025" s="52"/>
      <c r="Y1025" s="52"/>
      <c r="Z1025" s="52"/>
      <c r="AA1025" s="52"/>
    </row>
    <row r="1026" spans="22:27">
      <c r="V1026" s="52"/>
      <c r="W1026" s="52"/>
      <c r="X1026" s="52"/>
      <c r="Y1026" s="52"/>
      <c r="Z1026" s="52"/>
      <c r="AA1026" s="52"/>
    </row>
    <row r="1027" spans="22:27">
      <c r="V1027" s="52"/>
      <c r="W1027" s="52"/>
      <c r="X1027" s="52"/>
      <c r="Y1027" s="52"/>
      <c r="Z1027" s="52"/>
      <c r="AA1027" s="52"/>
    </row>
    <row r="1028" spans="22:27">
      <c r="V1028" s="52"/>
      <c r="W1028" s="52"/>
      <c r="X1028" s="52"/>
      <c r="Y1028" s="52"/>
      <c r="Z1028" s="52"/>
      <c r="AA1028" s="52"/>
    </row>
    <row r="1029" spans="22:27">
      <c r="V1029" s="52"/>
      <c r="W1029" s="52"/>
      <c r="X1029" s="52"/>
      <c r="Y1029" s="52"/>
      <c r="Z1029" s="52"/>
      <c r="AA1029" s="52"/>
    </row>
    <row r="1030" spans="22:27">
      <c r="V1030" s="52"/>
      <c r="W1030" s="52"/>
      <c r="X1030" s="52"/>
      <c r="Y1030" s="52"/>
      <c r="Z1030" s="52"/>
      <c r="AA1030" s="52"/>
    </row>
    <row r="1031" spans="22:27">
      <c r="V1031" s="52"/>
      <c r="W1031" s="52"/>
      <c r="X1031" s="52"/>
      <c r="Y1031" s="52"/>
      <c r="Z1031" s="52"/>
      <c r="AA1031" s="52"/>
    </row>
    <row r="1032" spans="22:27">
      <c r="V1032" s="52"/>
      <c r="W1032" s="52"/>
      <c r="X1032" s="52"/>
      <c r="Y1032" s="52"/>
      <c r="Z1032" s="52"/>
      <c r="AA1032" s="52"/>
    </row>
    <row r="1033" spans="22:27">
      <c r="V1033" s="52"/>
      <c r="W1033" s="52"/>
      <c r="X1033" s="52"/>
      <c r="Y1033" s="52"/>
      <c r="Z1033" s="52"/>
      <c r="AA1033" s="52"/>
    </row>
    <row r="1034" spans="22:27">
      <c r="V1034" s="52"/>
      <c r="W1034" s="52"/>
      <c r="X1034" s="52"/>
      <c r="Y1034" s="52"/>
      <c r="Z1034" s="52"/>
      <c r="AA1034" s="52"/>
    </row>
    <row r="1035" spans="22:27">
      <c r="V1035" s="52"/>
      <c r="W1035" s="52"/>
      <c r="X1035" s="52"/>
      <c r="Y1035" s="52"/>
      <c r="Z1035" s="52"/>
      <c r="AA1035" s="52"/>
    </row>
    <row r="1036" spans="22:27">
      <c r="V1036" s="52"/>
      <c r="W1036" s="52"/>
      <c r="X1036" s="52"/>
      <c r="Y1036" s="52"/>
      <c r="Z1036" s="52"/>
      <c r="AA1036" s="52"/>
    </row>
    <row r="1037" spans="22:27">
      <c r="V1037" s="52"/>
      <c r="W1037" s="52"/>
      <c r="X1037" s="52"/>
      <c r="Y1037" s="52"/>
      <c r="Z1037" s="52"/>
      <c r="AA1037" s="52"/>
    </row>
    <row r="1038" spans="22:27">
      <c r="V1038" s="52"/>
      <c r="W1038" s="52"/>
      <c r="X1038" s="52"/>
      <c r="Y1038" s="52"/>
      <c r="Z1038" s="52"/>
      <c r="AA1038" s="52"/>
    </row>
    <row r="1039" spans="22:27">
      <c r="V1039" s="52"/>
      <c r="W1039" s="52"/>
      <c r="X1039" s="52"/>
      <c r="Y1039" s="52"/>
      <c r="Z1039" s="52"/>
      <c r="AA1039" s="52"/>
    </row>
    <row r="1040" spans="22:27">
      <c r="V1040" s="52"/>
      <c r="W1040" s="52"/>
      <c r="X1040" s="52"/>
      <c r="Y1040" s="52"/>
      <c r="Z1040" s="52"/>
      <c r="AA1040" s="52"/>
    </row>
    <row r="1041" spans="22:27">
      <c r="V1041" s="52"/>
      <c r="W1041" s="52"/>
      <c r="X1041" s="52"/>
      <c r="Y1041" s="52"/>
      <c r="Z1041" s="52"/>
      <c r="AA1041" s="52"/>
    </row>
    <row r="1042" spans="22:27">
      <c r="V1042" s="52"/>
      <c r="W1042" s="52"/>
      <c r="X1042" s="52"/>
      <c r="Y1042" s="52"/>
      <c r="Z1042" s="52"/>
      <c r="AA1042" s="52"/>
    </row>
    <row r="1043" spans="22:27">
      <c r="V1043" s="52"/>
      <c r="W1043" s="52"/>
      <c r="X1043" s="52"/>
      <c r="Y1043" s="52"/>
      <c r="Z1043" s="52"/>
      <c r="AA1043" s="52"/>
    </row>
    <row r="1044" spans="22:27">
      <c r="V1044" s="52"/>
      <c r="W1044" s="52"/>
      <c r="X1044" s="52"/>
      <c r="Y1044" s="52"/>
      <c r="Z1044" s="52"/>
      <c r="AA1044" s="52"/>
    </row>
    <row r="1045" spans="22:27">
      <c r="V1045" s="52"/>
      <c r="W1045" s="52"/>
      <c r="X1045" s="52"/>
      <c r="Y1045" s="52"/>
      <c r="Z1045" s="52"/>
      <c r="AA1045" s="52"/>
    </row>
    <row r="1046" spans="22:27">
      <c r="V1046" s="52"/>
      <c r="W1046" s="52"/>
      <c r="X1046" s="52"/>
      <c r="Y1046" s="52"/>
      <c r="Z1046" s="52"/>
      <c r="AA1046" s="52"/>
    </row>
    <row r="1047" spans="22:27">
      <c r="V1047" s="52"/>
      <c r="W1047" s="52"/>
      <c r="X1047" s="52"/>
      <c r="Y1047" s="52"/>
      <c r="Z1047" s="52"/>
      <c r="AA1047" s="52"/>
    </row>
    <row r="1048" spans="22:27">
      <c r="V1048" s="52"/>
      <c r="W1048" s="52"/>
      <c r="X1048" s="52"/>
      <c r="Y1048" s="52"/>
      <c r="Z1048" s="52"/>
      <c r="AA1048" s="52"/>
    </row>
    <row r="1049" spans="22:27">
      <c r="V1049" s="52"/>
      <c r="W1049" s="52"/>
      <c r="X1049" s="52"/>
      <c r="Y1049" s="52"/>
      <c r="Z1049" s="52"/>
      <c r="AA1049" s="52"/>
    </row>
    <row r="1050" spans="22:27">
      <c r="V1050" s="52"/>
      <c r="W1050" s="52"/>
      <c r="X1050" s="52"/>
      <c r="Y1050" s="52"/>
      <c r="Z1050" s="52"/>
      <c r="AA1050" s="52"/>
    </row>
    <row r="1051" spans="22:27">
      <c r="V1051" s="52"/>
      <c r="W1051" s="52"/>
      <c r="X1051" s="52"/>
      <c r="Y1051" s="52"/>
      <c r="Z1051" s="52"/>
      <c r="AA1051" s="52"/>
    </row>
    <row r="1052" spans="22:27">
      <c r="V1052" s="52"/>
      <c r="W1052" s="52"/>
      <c r="X1052" s="52"/>
      <c r="Y1052" s="52"/>
      <c r="Z1052" s="52"/>
      <c r="AA1052" s="52"/>
    </row>
    <row r="1053" spans="22:27">
      <c r="V1053" s="52"/>
      <c r="W1053" s="52"/>
      <c r="X1053" s="52"/>
      <c r="Y1053" s="52"/>
      <c r="Z1053" s="52"/>
      <c r="AA1053" s="52"/>
    </row>
    <row r="1054" spans="22:27">
      <c r="V1054" s="52"/>
      <c r="W1054" s="52"/>
      <c r="X1054" s="52"/>
      <c r="Y1054" s="52"/>
      <c r="Z1054" s="52"/>
      <c r="AA1054" s="52"/>
    </row>
    <row r="1055" spans="22:27">
      <c r="V1055" s="52"/>
      <c r="W1055" s="52"/>
      <c r="X1055" s="52"/>
      <c r="Y1055" s="52"/>
      <c r="Z1055" s="52"/>
      <c r="AA1055" s="52"/>
    </row>
    <row r="1056" spans="22:27">
      <c r="V1056" s="52"/>
      <c r="W1056" s="52"/>
      <c r="X1056" s="52"/>
      <c r="Y1056" s="52"/>
      <c r="Z1056" s="52"/>
      <c r="AA1056" s="52"/>
    </row>
    <row r="1057" spans="22:27">
      <c r="V1057" s="52"/>
      <c r="W1057" s="52"/>
      <c r="X1057" s="52"/>
      <c r="Y1057" s="52"/>
      <c r="Z1057" s="52"/>
      <c r="AA1057" s="52"/>
    </row>
    <row r="1058" spans="22:27">
      <c r="V1058" s="52"/>
      <c r="W1058" s="52"/>
      <c r="X1058" s="52"/>
      <c r="Y1058" s="52"/>
      <c r="Z1058" s="52"/>
      <c r="AA1058" s="52"/>
    </row>
    <row r="1059" spans="22:27">
      <c r="V1059" s="52"/>
      <c r="W1059" s="52"/>
      <c r="X1059" s="52"/>
      <c r="Y1059" s="52"/>
      <c r="Z1059" s="52"/>
      <c r="AA1059" s="52"/>
    </row>
    <row r="1060" spans="22:27">
      <c r="V1060" s="52"/>
      <c r="W1060" s="52"/>
      <c r="X1060" s="52"/>
      <c r="Y1060" s="52"/>
      <c r="Z1060" s="52"/>
      <c r="AA1060" s="52"/>
    </row>
    <row r="1061" spans="22:27">
      <c r="V1061" s="52"/>
      <c r="W1061" s="52"/>
      <c r="X1061" s="52"/>
      <c r="Y1061" s="52"/>
      <c r="Z1061" s="52"/>
      <c r="AA1061" s="52"/>
    </row>
    <row r="1062" spans="22:27">
      <c r="V1062" s="52"/>
      <c r="W1062" s="52"/>
      <c r="X1062" s="52"/>
      <c r="Y1062" s="52"/>
      <c r="Z1062" s="52"/>
      <c r="AA1062" s="52"/>
    </row>
    <row r="1063" spans="22:27">
      <c r="V1063" s="52"/>
      <c r="W1063" s="52"/>
      <c r="X1063" s="52"/>
      <c r="Y1063" s="52"/>
      <c r="Z1063" s="52"/>
      <c r="AA1063" s="52"/>
    </row>
    <row r="1064" spans="22:27">
      <c r="V1064" s="52"/>
      <c r="W1064" s="52"/>
      <c r="X1064" s="52"/>
      <c r="Y1064" s="52"/>
      <c r="Z1064" s="52"/>
      <c r="AA1064" s="52"/>
    </row>
    <row r="1065" spans="22:27">
      <c r="V1065" s="52"/>
      <c r="W1065" s="52"/>
      <c r="X1065" s="52"/>
      <c r="Y1065" s="52"/>
      <c r="Z1065" s="52"/>
      <c r="AA1065" s="52"/>
    </row>
    <row r="1066" spans="22:27">
      <c r="V1066" s="52"/>
      <c r="W1066" s="52"/>
      <c r="X1066" s="52"/>
      <c r="Y1066" s="52"/>
      <c r="Z1066" s="52"/>
      <c r="AA1066" s="52"/>
    </row>
    <row r="1067" spans="22:27">
      <c r="V1067" s="52"/>
      <c r="W1067" s="52"/>
      <c r="X1067" s="52"/>
      <c r="Y1067" s="52"/>
      <c r="Z1067" s="52"/>
      <c r="AA1067" s="52"/>
    </row>
    <row r="1068" spans="22:27">
      <c r="V1068" s="52"/>
      <c r="W1068" s="52"/>
      <c r="X1068" s="52"/>
      <c r="Y1068" s="52"/>
      <c r="Z1068" s="52"/>
      <c r="AA1068" s="52"/>
    </row>
    <row r="1069" spans="22:27">
      <c r="V1069" s="52"/>
      <c r="W1069" s="52"/>
      <c r="X1069" s="52"/>
      <c r="Y1069" s="52"/>
      <c r="Z1069" s="52"/>
      <c r="AA1069" s="52"/>
    </row>
    <row r="1070" spans="22:27">
      <c r="V1070" s="52"/>
      <c r="W1070" s="52"/>
      <c r="X1070" s="52"/>
      <c r="Y1070" s="52"/>
      <c r="Z1070" s="52"/>
      <c r="AA1070" s="52"/>
    </row>
    <row r="1071" spans="22:27">
      <c r="V1071" s="52"/>
      <c r="W1071" s="52"/>
      <c r="X1071" s="52"/>
      <c r="Y1071" s="52"/>
      <c r="Z1071" s="52"/>
      <c r="AA1071" s="52"/>
    </row>
    <row r="1072" spans="22:27">
      <c r="V1072" s="52"/>
      <c r="W1072" s="52"/>
      <c r="X1072" s="52"/>
      <c r="Y1072" s="52"/>
      <c r="Z1072" s="52"/>
      <c r="AA1072" s="52"/>
    </row>
    <row r="1073" spans="22:27">
      <c r="V1073" s="52"/>
      <c r="W1073" s="52"/>
      <c r="X1073" s="52"/>
      <c r="Y1073" s="52"/>
      <c r="Z1073" s="52"/>
      <c r="AA1073" s="52"/>
    </row>
    <row r="1074" spans="22:27">
      <c r="V1074" s="52"/>
      <c r="W1074" s="52"/>
      <c r="X1074" s="52"/>
      <c r="Y1074" s="52"/>
      <c r="Z1074" s="52"/>
      <c r="AA1074" s="52"/>
    </row>
    <row r="1075" spans="22:27">
      <c r="V1075" s="52"/>
      <c r="W1075" s="52"/>
      <c r="X1075" s="52"/>
      <c r="Y1075" s="52"/>
      <c r="Z1075" s="52"/>
      <c r="AA1075" s="52"/>
    </row>
    <row r="1076" spans="22:27">
      <c r="V1076" s="52"/>
      <c r="W1076" s="52"/>
      <c r="X1076" s="52"/>
      <c r="Y1076" s="52"/>
      <c r="Z1076" s="52"/>
      <c r="AA1076" s="52"/>
    </row>
    <row r="1077" spans="22:27">
      <c r="V1077" s="52"/>
      <c r="W1077" s="52"/>
      <c r="X1077" s="52"/>
      <c r="Y1077" s="52"/>
      <c r="Z1077" s="52"/>
      <c r="AA1077" s="52"/>
    </row>
    <row r="1078" spans="22:27">
      <c r="V1078" s="52"/>
      <c r="W1078" s="52"/>
      <c r="X1078" s="52"/>
      <c r="Y1078" s="52"/>
      <c r="Z1078" s="52"/>
      <c r="AA1078" s="52"/>
    </row>
    <row r="1079" spans="22:27">
      <c r="V1079" s="52"/>
      <c r="W1079" s="52"/>
      <c r="X1079" s="52"/>
      <c r="Y1079" s="52"/>
      <c r="Z1079" s="52"/>
      <c r="AA1079" s="52"/>
    </row>
    <row r="1080" spans="22:27">
      <c r="V1080" s="52"/>
      <c r="W1080" s="52"/>
      <c r="X1080" s="52"/>
      <c r="Y1080" s="52"/>
      <c r="Z1080" s="52"/>
      <c r="AA1080" s="52"/>
    </row>
    <row r="1081" spans="22:27">
      <c r="V1081" s="52"/>
      <c r="W1081" s="52"/>
      <c r="X1081" s="52"/>
      <c r="Y1081" s="52"/>
      <c r="Z1081" s="52"/>
      <c r="AA1081" s="52"/>
    </row>
    <row r="1082" spans="22:27">
      <c r="V1082" s="52"/>
      <c r="W1082" s="52"/>
      <c r="X1082" s="52"/>
      <c r="Y1082" s="52"/>
      <c r="Z1082" s="52"/>
      <c r="AA1082" s="52"/>
    </row>
    <row r="1083" spans="22:27">
      <c r="V1083" s="52"/>
      <c r="W1083" s="52"/>
      <c r="X1083" s="52"/>
      <c r="Y1083" s="52"/>
      <c r="Z1083" s="52"/>
      <c r="AA1083" s="52"/>
    </row>
    <row r="1084" spans="22:27">
      <c r="V1084" s="52"/>
      <c r="W1084" s="52"/>
      <c r="X1084" s="52"/>
      <c r="Y1084" s="52"/>
      <c r="Z1084" s="52"/>
      <c r="AA1084" s="52"/>
    </row>
    <row r="1085" spans="22:27">
      <c r="V1085" s="52"/>
      <c r="W1085" s="52"/>
      <c r="X1085" s="52"/>
      <c r="Y1085" s="52"/>
      <c r="Z1085" s="52"/>
      <c r="AA1085" s="52"/>
    </row>
    <row r="1086" spans="22:27">
      <c r="V1086" s="52"/>
      <c r="W1086" s="52"/>
      <c r="X1086" s="52"/>
      <c r="Y1086" s="52"/>
      <c r="Z1086" s="52"/>
      <c r="AA1086" s="52"/>
    </row>
    <row r="1087" spans="22:27">
      <c r="V1087" s="52"/>
      <c r="W1087" s="52"/>
      <c r="X1087" s="52"/>
      <c r="Y1087" s="52"/>
      <c r="Z1087" s="52"/>
      <c r="AA1087" s="52"/>
    </row>
    <row r="1088" spans="22:27">
      <c r="V1088" s="52"/>
      <c r="W1088" s="52"/>
      <c r="X1088" s="52"/>
      <c r="Y1088" s="52"/>
      <c r="Z1088" s="52"/>
      <c r="AA1088" s="52"/>
    </row>
    <row r="1089" spans="22:27">
      <c r="V1089" s="52"/>
      <c r="W1089" s="52"/>
      <c r="X1089" s="52"/>
      <c r="Y1089" s="52"/>
      <c r="Z1089" s="52"/>
      <c r="AA1089" s="52"/>
    </row>
    <row r="1090" spans="22:27">
      <c r="V1090" s="52"/>
      <c r="W1090" s="52"/>
      <c r="X1090" s="52"/>
      <c r="Y1090" s="52"/>
      <c r="Z1090" s="52"/>
      <c r="AA1090" s="52"/>
    </row>
    <row r="1091" spans="22:27">
      <c r="V1091" s="52"/>
      <c r="W1091" s="52"/>
      <c r="X1091" s="52"/>
      <c r="Y1091" s="52"/>
      <c r="Z1091" s="52"/>
      <c r="AA1091" s="52"/>
    </row>
    <row r="1092" spans="22:27">
      <c r="V1092" s="52"/>
      <c r="W1092" s="52"/>
      <c r="X1092" s="52"/>
      <c r="Y1092" s="52"/>
      <c r="Z1092" s="52"/>
      <c r="AA1092" s="52"/>
    </row>
    <row r="1093" spans="22:27">
      <c r="V1093" s="52"/>
      <c r="W1093" s="52"/>
      <c r="X1093" s="52"/>
      <c r="Y1093" s="52"/>
      <c r="Z1093" s="52"/>
      <c r="AA1093" s="52"/>
    </row>
    <row r="1094" spans="22:27">
      <c r="V1094" s="52"/>
      <c r="W1094" s="52"/>
      <c r="X1094" s="52"/>
      <c r="Y1094" s="52"/>
      <c r="Z1094" s="52"/>
      <c r="AA1094" s="52"/>
    </row>
    <row r="1095" spans="22:27">
      <c r="V1095" s="52"/>
      <c r="W1095" s="52"/>
      <c r="X1095" s="52"/>
      <c r="Y1095" s="52"/>
      <c r="Z1095" s="52"/>
      <c r="AA1095" s="52"/>
    </row>
    <row r="1096" spans="22:27">
      <c r="V1096" s="52"/>
      <c r="W1096" s="52"/>
      <c r="X1096" s="52"/>
      <c r="Y1096" s="52"/>
      <c r="Z1096" s="52"/>
      <c r="AA1096" s="52"/>
    </row>
    <row r="1097" spans="22:27">
      <c r="V1097" s="52"/>
      <c r="W1097" s="52"/>
      <c r="X1097" s="52"/>
      <c r="Y1097" s="52"/>
      <c r="Z1097" s="52"/>
      <c r="AA1097" s="52"/>
    </row>
    <row r="1098" spans="22:27">
      <c r="V1098" s="52"/>
      <c r="W1098" s="52"/>
      <c r="X1098" s="52"/>
      <c r="Y1098" s="52"/>
      <c r="Z1098" s="52"/>
      <c r="AA1098" s="52"/>
    </row>
    <row r="1099" spans="22:27">
      <c r="V1099" s="52"/>
      <c r="W1099" s="52"/>
      <c r="X1099" s="52"/>
      <c r="Y1099" s="52"/>
      <c r="Z1099" s="52"/>
      <c r="AA1099" s="52"/>
    </row>
    <row r="1100" spans="22:27">
      <c r="V1100" s="52"/>
      <c r="W1100" s="52"/>
      <c r="X1100" s="52"/>
      <c r="Y1100" s="52"/>
      <c r="Z1100" s="52"/>
      <c r="AA1100" s="52"/>
    </row>
    <row r="1101" spans="22:27">
      <c r="V1101" s="52"/>
      <c r="W1101" s="52"/>
      <c r="X1101" s="52"/>
      <c r="Y1101" s="52"/>
      <c r="Z1101" s="52"/>
      <c r="AA1101" s="52"/>
    </row>
    <row r="1102" spans="22:27">
      <c r="V1102" s="52"/>
      <c r="W1102" s="52"/>
      <c r="X1102" s="52"/>
      <c r="Y1102" s="52"/>
      <c r="Z1102" s="52"/>
      <c r="AA1102" s="52"/>
    </row>
    <row r="1103" spans="22:27">
      <c r="V1103" s="52"/>
      <c r="W1103" s="52"/>
      <c r="X1103" s="52"/>
      <c r="Y1103" s="52"/>
      <c r="Z1103" s="52"/>
      <c r="AA1103" s="52"/>
    </row>
    <row r="1104" spans="22:27">
      <c r="V1104" s="52"/>
      <c r="W1104" s="52"/>
      <c r="X1104" s="52"/>
      <c r="Y1104" s="52"/>
      <c r="Z1104" s="52"/>
      <c r="AA1104" s="52"/>
    </row>
    <row r="1105" spans="22:27">
      <c r="V1105" s="52"/>
      <c r="W1105" s="52"/>
      <c r="X1105" s="52"/>
      <c r="Y1105" s="52"/>
      <c r="Z1105" s="52"/>
      <c r="AA1105" s="52"/>
    </row>
    <row r="1106" spans="22:27">
      <c r="V1106" s="52"/>
      <c r="W1106" s="52"/>
      <c r="X1106" s="52"/>
      <c r="Y1106" s="52"/>
      <c r="Z1106" s="52"/>
      <c r="AA1106" s="52"/>
    </row>
    <row r="1107" spans="22:27">
      <c r="V1107" s="52"/>
      <c r="W1107" s="52"/>
      <c r="X1107" s="52"/>
      <c r="Y1107" s="52"/>
      <c r="Z1107" s="52"/>
      <c r="AA1107" s="52"/>
    </row>
    <row r="1108" spans="22:27">
      <c r="V1108" s="52"/>
      <c r="W1108" s="52"/>
      <c r="X1108" s="52"/>
      <c r="Y1108" s="52"/>
      <c r="Z1108" s="52"/>
      <c r="AA1108" s="52"/>
    </row>
    <row r="1109" spans="22:27">
      <c r="V1109" s="52"/>
      <c r="W1109" s="52"/>
      <c r="X1109" s="52"/>
      <c r="Y1109" s="52"/>
      <c r="Z1109" s="52"/>
      <c r="AA1109" s="52"/>
    </row>
    <row r="1110" spans="22:27">
      <c r="V1110" s="52"/>
      <c r="W1110" s="52"/>
      <c r="X1110" s="52"/>
      <c r="Y1110" s="52"/>
      <c r="Z1110" s="52"/>
      <c r="AA1110" s="52"/>
    </row>
    <row r="1111" spans="22:27">
      <c r="V1111" s="52"/>
      <c r="W1111" s="52"/>
      <c r="X1111" s="52"/>
      <c r="Y1111" s="52"/>
      <c r="Z1111" s="52"/>
      <c r="AA1111" s="52"/>
    </row>
    <row r="1112" spans="22:27">
      <c r="V1112" s="52"/>
      <c r="W1112" s="52"/>
      <c r="X1112" s="52"/>
      <c r="Y1112" s="52"/>
      <c r="Z1112" s="52"/>
      <c r="AA1112" s="52"/>
    </row>
    <row r="1113" spans="22:27">
      <c r="V1113" s="52"/>
      <c r="W1113" s="52"/>
      <c r="X1113" s="52"/>
      <c r="Y1113" s="52"/>
      <c r="Z1113" s="52"/>
      <c r="AA1113" s="52"/>
    </row>
    <row r="1114" spans="22:27">
      <c r="V1114" s="52"/>
      <c r="W1114" s="52"/>
      <c r="X1114" s="52"/>
      <c r="Y1114" s="52"/>
      <c r="Z1114" s="52"/>
      <c r="AA1114" s="52"/>
    </row>
    <row r="1115" spans="22:27">
      <c r="V1115" s="52"/>
      <c r="W1115" s="52"/>
      <c r="X1115" s="52"/>
      <c r="Y1115" s="52"/>
      <c r="Z1115" s="52"/>
      <c r="AA1115" s="52"/>
    </row>
    <row r="1116" spans="22:27">
      <c r="V1116" s="52"/>
      <c r="W1116" s="52"/>
      <c r="X1116" s="52"/>
      <c r="Y1116" s="52"/>
      <c r="Z1116" s="52"/>
      <c r="AA1116" s="52"/>
    </row>
    <row r="1117" spans="22:27">
      <c r="V1117" s="52"/>
      <c r="W1117" s="52"/>
      <c r="X1117" s="52"/>
      <c r="Y1117" s="52"/>
      <c r="Z1117" s="52"/>
      <c r="AA1117" s="52"/>
    </row>
    <row r="1118" spans="22:27">
      <c r="V1118" s="52"/>
      <c r="W1118" s="52"/>
      <c r="X1118" s="52"/>
      <c r="Y1118" s="52"/>
      <c r="Z1118" s="52"/>
      <c r="AA1118" s="52"/>
    </row>
    <row r="1119" spans="22:27">
      <c r="V1119" s="52"/>
      <c r="W1119" s="52"/>
      <c r="X1119" s="52"/>
      <c r="Y1119" s="52"/>
      <c r="Z1119" s="52"/>
      <c r="AA1119" s="52"/>
    </row>
    <row r="1120" spans="22:27">
      <c r="V1120" s="52"/>
      <c r="W1120" s="52"/>
      <c r="X1120" s="52"/>
      <c r="Y1120" s="52"/>
      <c r="Z1120" s="52"/>
      <c r="AA1120" s="52"/>
    </row>
    <row r="1121" spans="22:27">
      <c r="V1121" s="52"/>
      <c r="W1121" s="52"/>
      <c r="X1121" s="52"/>
      <c r="Y1121" s="52"/>
      <c r="Z1121" s="52"/>
      <c r="AA1121" s="52"/>
    </row>
    <row r="1122" spans="22:27">
      <c r="V1122" s="52"/>
      <c r="W1122" s="52"/>
      <c r="X1122" s="52"/>
      <c r="Y1122" s="52"/>
      <c r="Z1122" s="52"/>
      <c r="AA1122" s="52"/>
    </row>
    <row r="1123" spans="22:27">
      <c r="V1123" s="52"/>
      <c r="W1123" s="52"/>
      <c r="X1123" s="52"/>
      <c r="Y1123" s="52"/>
      <c r="Z1123" s="52"/>
      <c r="AA1123" s="52"/>
    </row>
    <row r="1124" spans="22:27">
      <c r="V1124" s="52"/>
      <c r="W1124" s="52"/>
      <c r="X1124" s="52"/>
      <c r="Y1124" s="52"/>
      <c r="Z1124" s="52"/>
      <c r="AA1124" s="52"/>
    </row>
    <row r="1125" spans="22:27">
      <c r="V1125" s="52"/>
      <c r="W1125" s="52"/>
      <c r="X1125" s="52"/>
      <c r="Y1125" s="52"/>
      <c r="Z1125" s="52"/>
      <c r="AA1125" s="52"/>
    </row>
    <row r="1126" spans="22:27">
      <c r="V1126" s="52"/>
      <c r="W1126" s="52"/>
      <c r="X1126" s="52"/>
      <c r="Y1126" s="52"/>
      <c r="Z1126" s="52"/>
      <c r="AA1126" s="52"/>
    </row>
    <row r="1127" spans="22:27">
      <c r="V1127" s="52"/>
      <c r="W1127" s="52"/>
      <c r="X1127" s="52"/>
      <c r="Y1127" s="52"/>
      <c r="Z1127" s="52"/>
      <c r="AA1127" s="52"/>
    </row>
    <row r="1128" spans="22:27">
      <c r="V1128" s="52"/>
      <c r="W1128" s="52"/>
      <c r="X1128" s="52"/>
      <c r="Y1128" s="52"/>
      <c r="Z1128" s="52"/>
      <c r="AA1128" s="52"/>
    </row>
    <row r="1129" spans="22:27">
      <c r="V1129" s="52"/>
      <c r="W1129" s="52"/>
      <c r="X1129" s="52"/>
      <c r="Y1129" s="52"/>
      <c r="Z1129" s="52"/>
      <c r="AA1129" s="52"/>
    </row>
    <row r="1130" spans="22:27">
      <c r="V1130" s="52"/>
      <c r="W1130" s="52"/>
      <c r="X1130" s="52"/>
      <c r="Y1130" s="52"/>
      <c r="Z1130" s="52"/>
      <c r="AA1130" s="52"/>
    </row>
    <row r="1131" spans="22:27">
      <c r="V1131" s="52"/>
      <c r="W1131" s="52"/>
      <c r="X1131" s="52"/>
      <c r="Y1131" s="52"/>
      <c r="Z1131" s="52"/>
      <c r="AA1131" s="52"/>
    </row>
    <row r="1132" spans="22:27">
      <c r="V1132" s="52"/>
      <c r="W1132" s="52"/>
      <c r="X1132" s="52"/>
      <c r="Y1132" s="52"/>
      <c r="Z1132" s="52"/>
      <c r="AA1132" s="52"/>
    </row>
    <row r="1133" spans="22:27">
      <c r="V1133" s="52"/>
      <c r="W1133" s="52"/>
      <c r="X1133" s="52"/>
      <c r="Y1133" s="52"/>
      <c r="Z1133" s="52"/>
      <c r="AA1133" s="52"/>
    </row>
    <row r="1134" spans="22:27">
      <c r="V1134" s="52"/>
      <c r="W1134" s="52"/>
      <c r="X1134" s="52"/>
      <c r="Y1134" s="52"/>
      <c r="Z1134" s="52"/>
      <c r="AA1134" s="52"/>
    </row>
    <row r="1135" spans="22:27">
      <c r="V1135" s="52"/>
      <c r="W1135" s="52"/>
      <c r="X1135" s="52"/>
      <c r="Y1135" s="52"/>
      <c r="Z1135" s="52"/>
      <c r="AA1135" s="52"/>
    </row>
    <row r="1136" spans="22:27">
      <c r="V1136" s="52"/>
      <c r="W1136" s="52"/>
      <c r="X1136" s="52"/>
      <c r="Y1136" s="52"/>
      <c r="Z1136" s="52"/>
      <c r="AA1136" s="52"/>
    </row>
    <row r="1137" spans="22:27">
      <c r="V1137" s="52"/>
      <c r="W1137" s="52"/>
      <c r="X1137" s="52"/>
      <c r="Y1137" s="52"/>
      <c r="Z1137" s="52"/>
      <c r="AA1137" s="52"/>
    </row>
    <row r="1138" spans="22:27">
      <c r="V1138" s="52"/>
      <c r="W1138" s="52"/>
      <c r="X1138" s="52"/>
      <c r="Y1138" s="52"/>
      <c r="Z1138" s="52"/>
      <c r="AA1138" s="52"/>
    </row>
    <row r="1139" spans="22:27">
      <c r="V1139" s="52"/>
      <c r="W1139" s="52"/>
      <c r="X1139" s="52"/>
      <c r="Y1139" s="52"/>
      <c r="Z1139" s="52"/>
      <c r="AA1139" s="52"/>
    </row>
    <row r="1140" spans="22:27">
      <c r="V1140" s="52"/>
      <c r="W1140" s="52"/>
      <c r="X1140" s="52"/>
      <c r="Y1140" s="52"/>
      <c r="Z1140" s="52"/>
      <c r="AA1140" s="52"/>
    </row>
    <row r="1141" spans="22:27">
      <c r="V1141" s="52"/>
      <c r="W1141" s="52"/>
      <c r="X1141" s="52"/>
      <c r="Y1141" s="52"/>
      <c r="Z1141" s="52"/>
      <c r="AA1141" s="52"/>
    </row>
    <row r="1142" spans="22:27">
      <c r="V1142" s="52"/>
      <c r="W1142" s="52"/>
      <c r="X1142" s="52"/>
      <c r="Y1142" s="52"/>
      <c r="Z1142" s="52"/>
      <c r="AA1142" s="52"/>
    </row>
    <row r="1143" spans="22:27">
      <c r="V1143" s="52"/>
      <c r="W1143" s="52"/>
      <c r="X1143" s="52"/>
      <c r="Y1143" s="52"/>
      <c r="Z1143" s="52"/>
      <c r="AA1143" s="52"/>
    </row>
    <row r="1144" spans="22:27">
      <c r="V1144" s="52"/>
      <c r="W1144" s="52"/>
      <c r="X1144" s="52"/>
      <c r="Y1144" s="52"/>
      <c r="Z1144" s="52"/>
      <c r="AA1144" s="52"/>
    </row>
    <row r="1145" spans="22:27">
      <c r="V1145" s="52"/>
      <c r="W1145" s="52"/>
      <c r="X1145" s="52"/>
      <c r="Y1145" s="52"/>
      <c r="Z1145" s="52"/>
      <c r="AA1145" s="52"/>
    </row>
    <row r="1146" spans="22:27">
      <c r="V1146" s="52"/>
      <c r="W1146" s="52"/>
      <c r="X1146" s="52"/>
      <c r="Y1146" s="52"/>
      <c r="Z1146" s="52"/>
      <c r="AA1146" s="52"/>
    </row>
    <row r="1147" spans="22:27">
      <c r="V1147" s="52"/>
      <c r="W1147" s="52"/>
      <c r="X1147" s="52"/>
      <c r="Y1147" s="52"/>
      <c r="Z1147" s="52"/>
      <c r="AA1147" s="52"/>
    </row>
    <row r="1148" spans="22:27">
      <c r="V1148" s="52"/>
      <c r="W1148" s="52"/>
      <c r="X1148" s="52"/>
      <c r="Y1148" s="52"/>
      <c r="Z1148" s="52"/>
      <c r="AA1148" s="52"/>
    </row>
    <row r="1149" spans="22:27">
      <c r="V1149" s="52"/>
      <c r="W1149" s="52"/>
      <c r="X1149" s="52"/>
      <c r="Y1149" s="52"/>
      <c r="Z1149" s="52"/>
      <c r="AA1149" s="52"/>
    </row>
    <row r="1150" spans="22:27">
      <c r="V1150" s="52"/>
      <c r="W1150" s="52"/>
      <c r="X1150" s="52"/>
      <c r="Y1150" s="52"/>
      <c r="Z1150" s="52"/>
      <c r="AA1150" s="52"/>
    </row>
    <row r="1151" spans="22:27">
      <c r="V1151" s="52"/>
      <c r="W1151" s="52"/>
      <c r="X1151" s="52"/>
      <c r="Y1151" s="52"/>
      <c r="Z1151" s="52"/>
      <c r="AA1151" s="52"/>
    </row>
    <row r="1152" spans="22:27">
      <c r="V1152" s="52"/>
      <c r="W1152" s="52"/>
      <c r="X1152" s="52"/>
      <c r="Y1152" s="52"/>
      <c r="Z1152" s="52"/>
      <c r="AA1152" s="52"/>
    </row>
    <row r="1153" spans="22:27">
      <c r="V1153" s="52"/>
      <c r="W1153" s="52"/>
      <c r="X1153" s="52"/>
      <c r="Y1153" s="52"/>
      <c r="Z1153" s="52"/>
      <c r="AA1153" s="52"/>
    </row>
    <row r="1154" spans="22:27">
      <c r="V1154" s="52"/>
      <c r="W1154" s="52"/>
      <c r="X1154" s="52"/>
      <c r="Y1154" s="52"/>
      <c r="Z1154" s="52"/>
      <c r="AA1154" s="52"/>
    </row>
    <row r="1155" spans="22:27">
      <c r="V1155" s="52"/>
      <c r="W1155" s="52"/>
      <c r="X1155" s="52"/>
      <c r="Y1155" s="52"/>
      <c r="Z1155" s="52"/>
      <c r="AA1155" s="52"/>
    </row>
    <row r="1156" spans="22:27">
      <c r="V1156" s="52"/>
      <c r="W1156" s="52"/>
      <c r="X1156" s="52"/>
      <c r="Y1156" s="52"/>
      <c r="Z1156" s="52"/>
      <c r="AA1156" s="52"/>
    </row>
    <row r="1157" spans="22:27">
      <c r="V1157" s="52"/>
      <c r="W1157" s="52"/>
      <c r="X1157" s="52"/>
      <c r="Y1157" s="52"/>
      <c r="Z1157" s="52"/>
      <c r="AA1157" s="52"/>
    </row>
    <row r="1158" spans="22:27">
      <c r="V1158" s="52"/>
      <c r="W1158" s="52"/>
      <c r="X1158" s="52"/>
      <c r="Y1158" s="52"/>
      <c r="Z1158" s="52"/>
      <c r="AA1158" s="52"/>
    </row>
    <row r="1159" spans="22:27">
      <c r="V1159" s="52"/>
      <c r="W1159" s="52"/>
      <c r="X1159" s="52"/>
      <c r="Y1159" s="52"/>
      <c r="Z1159" s="52"/>
      <c r="AA1159" s="52"/>
    </row>
    <row r="1160" spans="22:27">
      <c r="V1160" s="52"/>
      <c r="W1160" s="52"/>
      <c r="X1160" s="52"/>
      <c r="Y1160" s="52"/>
      <c r="Z1160" s="52"/>
      <c r="AA1160" s="52"/>
    </row>
    <row r="1161" spans="22:27">
      <c r="V1161" s="52"/>
      <c r="W1161" s="52"/>
      <c r="X1161" s="52"/>
      <c r="Y1161" s="52"/>
      <c r="Z1161" s="52"/>
      <c r="AA1161" s="52"/>
    </row>
    <row r="1162" spans="22:27">
      <c r="V1162" s="52"/>
      <c r="W1162" s="52"/>
      <c r="X1162" s="52"/>
      <c r="Y1162" s="52"/>
      <c r="Z1162" s="52"/>
      <c r="AA1162" s="52"/>
    </row>
    <row r="1163" spans="22:27">
      <c r="V1163" s="52"/>
      <c r="W1163" s="52"/>
      <c r="X1163" s="52"/>
      <c r="Y1163" s="52"/>
      <c r="Z1163" s="52"/>
      <c r="AA1163" s="52"/>
    </row>
    <row r="1164" spans="22:27">
      <c r="V1164" s="52"/>
      <c r="W1164" s="52"/>
      <c r="X1164" s="52"/>
      <c r="Y1164" s="52"/>
      <c r="Z1164" s="52"/>
      <c r="AA1164" s="52"/>
    </row>
    <row r="1165" spans="22:27">
      <c r="V1165" s="52"/>
      <c r="W1165" s="52"/>
      <c r="X1165" s="52"/>
      <c r="Y1165" s="52"/>
      <c r="Z1165" s="52"/>
      <c r="AA1165" s="52"/>
    </row>
    <row r="1166" spans="22:27">
      <c r="V1166" s="52"/>
      <c r="W1166" s="52"/>
      <c r="X1166" s="52"/>
      <c r="Y1166" s="52"/>
      <c r="Z1166" s="52"/>
      <c r="AA1166" s="52"/>
    </row>
    <row r="1167" spans="22:27">
      <c r="V1167" s="52"/>
      <c r="W1167" s="52"/>
      <c r="X1167" s="52"/>
      <c r="Y1167" s="52"/>
      <c r="Z1167" s="52"/>
      <c r="AA1167" s="52"/>
    </row>
    <row r="1168" spans="22:27">
      <c r="V1168" s="52"/>
      <c r="W1168" s="52"/>
      <c r="X1168" s="52"/>
      <c r="Y1168" s="52"/>
      <c r="Z1168" s="52"/>
      <c r="AA1168" s="52"/>
    </row>
    <row r="1169" spans="22:27">
      <c r="V1169" s="52"/>
      <c r="W1169" s="52"/>
      <c r="X1169" s="52"/>
      <c r="Y1169" s="52"/>
      <c r="Z1169" s="52"/>
      <c r="AA1169" s="52"/>
    </row>
    <row r="1170" spans="22:27">
      <c r="V1170" s="52"/>
      <c r="W1170" s="52"/>
      <c r="X1170" s="52"/>
      <c r="Y1170" s="52"/>
      <c r="Z1170" s="52"/>
      <c r="AA1170" s="52"/>
    </row>
    <row r="1171" spans="22:27">
      <c r="V1171" s="52"/>
      <c r="W1171" s="52"/>
      <c r="X1171" s="52"/>
      <c r="Y1171" s="52"/>
      <c r="Z1171" s="52"/>
      <c r="AA1171" s="52"/>
    </row>
    <row r="1172" spans="22:27">
      <c r="V1172" s="52"/>
      <c r="W1172" s="52"/>
      <c r="X1172" s="52"/>
      <c r="Y1172" s="52"/>
      <c r="Z1172" s="52"/>
      <c r="AA1172" s="52"/>
    </row>
    <row r="1173" spans="22:27">
      <c r="V1173" s="52"/>
      <c r="W1173" s="52"/>
      <c r="X1173" s="52"/>
      <c r="Y1173" s="52"/>
      <c r="Z1173" s="52"/>
      <c r="AA1173" s="52"/>
    </row>
    <row r="1174" spans="22:27">
      <c r="V1174" s="52"/>
      <c r="W1174" s="52"/>
      <c r="X1174" s="52"/>
      <c r="Y1174" s="52"/>
      <c r="Z1174" s="52"/>
      <c r="AA1174" s="52"/>
    </row>
    <row r="1175" spans="22:27">
      <c r="V1175" s="52"/>
      <c r="W1175" s="52"/>
      <c r="X1175" s="52"/>
      <c r="Y1175" s="52"/>
      <c r="Z1175" s="52"/>
      <c r="AA1175" s="52"/>
    </row>
    <row r="1176" spans="22:27">
      <c r="V1176" s="52"/>
      <c r="W1176" s="52"/>
      <c r="X1176" s="52"/>
      <c r="Y1176" s="52"/>
      <c r="Z1176" s="52"/>
      <c r="AA1176" s="52"/>
    </row>
    <row r="1177" spans="22:27">
      <c r="V1177" s="52"/>
      <c r="W1177" s="52"/>
      <c r="X1177" s="52"/>
      <c r="Y1177" s="52"/>
      <c r="Z1177" s="52"/>
      <c r="AA1177" s="52"/>
    </row>
    <row r="1178" spans="22:27">
      <c r="V1178" s="52"/>
      <c r="W1178" s="52"/>
      <c r="X1178" s="52"/>
      <c r="Y1178" s="52"/>
      <c r="Z1178" s="52"/>
      <c r="AA1178" s="52"/>
    </row>
    <row r="1179" spans="22:27">
      <c r="V1179" s="52"/>
      <c r="W1179" s="52"/>
      <c r="X1179" s="52"/>
      <c r="Y1179" s="52"/>
      <c r="Z1179" s="52"/>
      <c r="AA1179" s="52"/>
    </row>
    <row r="1180" spans="22:27">
      <c r="V1180" s="52"/>
      <c r="W1180" s="52"/>
      <c r="X1180" s="52"/>
      <c r="Y1180" s="52"/>
      <c r="Z1180" s="52"/>
      <c r="AA1180" s="52"/>
    </row>
    <row r="1181" spans="22:27">
      <c r="V1181" s="52"/>
      <c r="W1181" s="52"/>
      <c r="X1181" s="52"/>
      <c r="Y1181" s="52"/>
      <c r="Z1181" s="52"/>
      <c r="AA1181" s="52"/>
    </row>
    <row r="1182" spans="22:27">
      <c r="V1182" s="52"/>
      <c r="W1182" s="52"/>
      <c r="X1182" s="52"/>
      <c r="Y1182" s="52"/>
      <c r="Z1182" s="52"/>
      <c r="AA1182" s="52"/>
    </row>
    <row r="1183" spans="22:27">
      <c r="V1183" s="52"/>
      <c r="W1183" s="52"/>
      <c r="X1183" s="52"/>
      <c r="Y1183" s="52"/>
      <c r="Z1183" s="52"/>
      <c r="AA1183" s="52"/>
    </row>
    <row r="1184" spans="22:27">
      <c r="V1184" s="52"/>
      <c r="W1184" s="52"/>
      <c r="X1184" s="52"/>
      <c r="Y1184" s="52"/>
      <c r="Z1184" s="52"/>
      <c r="AA1184" s="52"/>
    </row>
    <row r="1185" spans="22:27">
      <c r="V1185" s="52"/>
      <c r="W1185" s="52"/>
      <c r="X1185" s="52"/>
      <c r="Y1185" s="52"/>
      <c r="Z1185" s="52"/>
      <c r="AA1185" s="52"/>
    </row>
    <row r="1186" spans="22:27">
      <c r="V1186" s="52"/>
      <c r="W1186" s="52"/>
      <c r="X1186" s="52"/>
      <c r="Y1186" s="52"/>
      <c r="Z1186" s="52"/>
      <c r="AA1186" s="52"/>
    </row>
    <row r="1187" spans="22:27">
      <c r="V1187" s="52"/>
      <c r="W1187" s="52"/>
      <c r="X1187" s="52"/>
      <c r="Y1187" s="52"/>
      <c r="Z1187" s="52"/>
      <c r="AA1187" s="52"/>
    </row>
    <row r="1188" spans="22:27">
      <c r="V1188" s="52"/>
      <c r="W1188" s="52"/>
      <c r="X1188" s="52"/>
      <c r="Y1188" s="52"/>
      <c r="Z1188" s="52"/>
      <c r="AA1188" s="52"/>
    </row>
    <row r="1189" spans="22:27">
      <c r="V1189" s="52"/>
      <c r="W1189" s="52"/>
      <c r="X1189" s="52"/>
      <c r="Y1189" s="52"/>
      <c r="Z1189" s="52"/>
      <c r="AA1189" s="52"/>
    </row>
    <row r="1190" spans="22:27">
      <c r="V1190" s="52"/>
      <c r="W1190" s="52"/>
      <c r="X1190" s="52"/>
      <c r="Y1190" s="52"/>
      <c r="Z1190" s="52"/>
      <c r="AA1190" s="52"/>
    </row>
    <row r="1191" spans="22:27">
      <c r="V1191" s="52"/>
      <c r="W1191" s="52"/>
      <c r="X1191" s="52"/>
      <c r="Y1191" s="52"/>
      <c r="Z1191" s="52"/>
      <c r="AA1191" s="52"/>
    </row>
    <row r="1192" spans="22:27">
      <c r="V1192" s="52"/>
      <c r="W1192" s="52"/>
      <c r="X1192" s="52"/>
      <c r="Y1192" s="52"/>
      <c r="Z1192" s="52"/>
      <c r="AA1192" s="52"/>
    </row>
    <row r="1193" spans="22:27">
      <c r="V1193" s="52"/>
      <c r="W1193" s="52"/>
      <c r="X1193" s="52"/>
      <c r="Y1193" s="52"/>
      <c r="Z1193" s="52"/>
      <c r="AA1193" s="52"/>
    </row>
    <row r="1194" spans="22:27">
      <c r="V1194" s="52"/>
      <c r="W1194" s="52"/>
      <c r="X1194" s="52"/>
      <c r="Y1194" s="52"/>
      <c r="Z1194" s="52"/>
      <c r="AA1194" s="52"/>
    </row>
    <row r="1195" spans="22:27">
      <c r="V1195" s="52"/>
      <c r="W1195" s="52"/>
      <c r="X1195" s="52"/>
      <c r="Y1195" s="52"/>
      <c r="Z1195" s="52"/>
      <c r="AA1195" s="52"/>
    </row>
    <row r="1196" spans="22:27">
      <c r="V1196" s="52"/>
      <c r="W1196" s="52"/>
      <c r="X1196" s="52"/>
      <c r="Y1196" s="52"/>
      <c r="Z1196" s="52"/>
      <c r="AA1196" s="52"/>
    </row>
    <row r="1197" spans="22:27">
      <c r="V1197" s="52"/>
      <c r="W1197" s="52"/>
      <c r="X1197" s="52"/>
      <c r="Y1197" s="52"/>
      <c r="Z1197" s="52"/>
      <c r="AA1197" s="52"/>
    </row>
    <row r="1198" spans="22:27">
      <c r="V1198" s="52"/>
      <c r="W1198" s="52"/>
      <c r="X1198" s="52"/>
      <c r="Y1198" s="52"/>
      <c r="Z1198" s="52"/>
      <c r="AA1198" s="52"/>
    </row>
    <row r="1199" spans="22:27">
      <c r="V1199" s="52"/>
      <c r="W1199" s="52"/>
      <c r="X1199" s="52"/>
      <c r="Y1199" s="52"/>
      <c r="Z1199" s="52"/>
      <c r="AA1199" s="52"/>
    </row>
    <row r="1200" spans="22:27">
      <c r="V1200" s="52"/>
      <c r="W1200" s="52"/>
      <c r="X1200" s="52"/>
      <c r="Y1200" s="52"/>
      <c r="Z1200" s="52"/>
      <c r="AA1200" s="52"/>
    </row>
    <row r="1201" spans="22:27">
      <c r="V1201" s="52"/>
      <c r="W1201" s="52"/>
      <c r="X1201" s="52"/>
      <c r="Y1201" s="52"/>
      <c r="Z1201" s="52"/>
      <c r="AA1201" s="52"/>
    </row>
    <row r="1202" spans="22:27">
      <c r="V1202" s="52"/>
      <c r="W1202" s="52"/>
      <c r="X1202" s="52"/>
      <c r="Y1202" s="52"/>
      <c r="Z1202" s="52"/>
      <c r="AA1202" s="52"/>
    </row>
    <row r="1203" spans="22:27">
      <c r="V1203" s="52"/>
      <c r="W1203" s="52"/>
      <c r="X1203" s="52"/>
      <c r="Y1203" s="52"/>
      <c r="Z1203" s="52"/>
      <c r="AA1203" s="52"/>
    </row>
    <row r="1204" spans="22:27">
      <c r="V1204" s="52"/>
      <c r="W1204" s="52"/>
      <c r="X1204" s="52"/>
      <c r="Y1204" s="52"/>
      <c r="Z1204" s="52"/>
      <c r="AA1204" s="52"/>
    </row>
    <row r="1205" spans="22:27">
      <c r="V1205" s="52"/>
      <c r="W1205" s="52"/>
      <c r="X1205" s="52"/>
      <c r="Y1205" s="52"/>
      <c r="Z1205" s="52"/>
      <c r="AA1205" s="52"/>
    </row>
    <row r="1206" spans="22:27">
      <c r="V1206" s="52"/>
      <c r="W1206" s="52"/>
      <c r="X1206" s="52"/>
      <c r="Y1206" s="52"/>
      <c r="Z1206" s="52"/>
      <c r="AA1206" s="52"/>
    </row>
    <row r="1207" spans="22:27">
      <c r="V1207" s="52"/>
      <c r="W1207" s="52"/>
      <c r="X1207" s="52"/>
      <c r="Y1207" s="52"/>
      <c r="Z1207" s="52"/>
      <c r="AA1207" s="52"/>
    </row>
    <row r="1208" spans="22:27">
      <c r="V1208" s="52"/>
      <c r="W1208" s="52"/>
      <c r="X1208" s="52"/>
      <c r="Y1208" s="52"/>
      <c r="Z1208" s="52"/>
      <c r="AA1208" s="52"/>
    </row>
    <row r="1209" spans="22:27">
      <c r="V1209" s="52"/>
      <c r="W1209" s="52"/>
      <c r="X1209" s="52"/>
      <c r="Y1209" s="52"/>
      <c r="Z1209" s="52"/>
      <c r="AA1209" s="52"/>
    </row>
    <row r="1210" spans="22:27">
      <c r="V1210" s="52"/>
      <c r="W1210" s="52"/>
      <c r="X1210" s="52"/>
      <c r="Y1210" s="52"/>
      <c r="Z1210" s="52"/>
      <c r="AA1210" s="52"/>
    </row>
    <row r="1211" spans="22:27">
      <c r="V1211" s="52"/>
      <c r="W1211" s="52"/>
      <c r="X1211" s="52"/>
      <c r="Y1211" s="52"/>
      <c r="Z1211" s="52"/>
      <c r="AA1211" s="52"/>
    </row>
    <row r="1212" spans="22:27">
      <c r="V1212" s="52"/>
      <c r="W1212" s="52"/>
      <c r="X1212" s="52"/>
      <c r="Y1212" s="52"/>
      <c r="Z1212" s="52"/>
      <c r="AA1212" s="52"/>
    </row>
    <row r="1213" spans="22:27">
      <c r="V1213" s="52"/>
      <c r="W1213" s="52"/>
      <c r="X1213" s="52"/>
      <c r="Y1213" s="52"/>
      <c r="Z1213" s="52"/>
      <c r="AA1213" s="52"/>
    </row>
    <row r="1214" spans="22:27">
      <c r="V1214" s="52"/>
      <c r="W1214" s="52"/>
      <c r="X1214" s="52"/>
      <c r="Y1214" s="52"/>
      <c r="Z1214" s="52"/>
      <c r="AA1214" s="52"/>
    </row>
    <row r="1215" spans="22:27">
      <c r="V1215" s="52"/>
      <c r="W1215" s="52"/>
      <c r="X1215" s="52"/>
      <c r="Y1215" s="52"/>
      <c r="Z1215" s="52"/>
      <c r="AA1215" s="52"/>
    </row>
    <row r="1216" spans="22:27">
      <c r="V1216" s="52"/>
      <c r="W1216" s="52"/>
      <c r="X1216" s="52"/>
      <c r="Y1216" s="52"/>
      <c r="Z1216" s="52"/>
      <c r="AA1216" s="52"/>
    </row>
    <row r="1217" spans="22:27">
      <c r="V1217" s="52"/>
      <c r="W1217" s="52"/>
      <c r="X1217" s="52"/>
      <c r="Y1217" s="52"/>
      <c r="Z1217" s="52"/>
      <c r="AA1217" s="52"/>
    </row>
    <row r="1218" spans="22:27">
      <c r="V1218" s="52"/>
      <c r="W1218" s="52"/>
      <c r="X1218" s="52"/>
      <c r="Y1218" s="52"/>
      <c r="Z1218" s="52"/>
      <c r="AA1218" s="52"/>
    </row>
    <row r="1219" spans="22:27">
      <c r="V1219" s="52"/>
      <c r="W1219" s="52"/>
      <c r="X1219" s="52"/>
      <c r="Y1219" s="52"/>
      <c r="Z1219" s="52"/>
      <c r="AA1219" s="52"/>
    </row>
    <row r="1220" spans="22:27">
      <c r="V1220" s="52"/>
      <c r="W1220" s="52"/>
      <c r="X1220" s="52"/>
      <c r="Y1220" s="52"/>
      <c r="Z1220" s="52"/>
      <c r="AA1220" s="52"/>
    </row>
    <row r="1221" spans="22:27">
      <c r="V1221" s="52"/>
      <c r="W1221" s="52"/>
      <c r="X1221" s="52"/>
      <c r="Y1221" s="52"/>
      <c r="Z1221" s="52"/>
      <c r="AA1221" s="52"/>
    </row>
    <row r="1222" spans="22:27">
      <c r="V1222" s="52"/>
      <c r="W1222" s="52"/>
      <c r="X1222" s="52"/>
      <c r="Y1222" s="52"/>
      <c r="Z1222" s="52"/>
      <c r="AA1222" s="52"/>
    </row>
    <row r="1223" spans="22:27">
      <c r="V1223" s="52"/>
      <c r="W1223" s="52"/>
      <c r="X1223" s="52"/>
      <c r="Y1223" s="52"/>
      <c r="Z1223" s="52"/>
      <c r="AA1223" s="52"/>
    </row>
    <row r="1224" spans="22:27">
      <c r="V1224" s="52"/>
      <c r="W1224" s="52"/>
      <c r="X1224" s="52"/>
      <c r="Y1224" s="52"/>
      <c r="Z1224" s="52"/>
      <c r="AA1224" s="52"/>
    </row>
    <row r="1225" spans="22:27">
      <c r="V1225" s="52"/>
      <c r="W1225" s="52"/>
      <c r="X1225" s="52"/>
      <c r="Y1225" s="52"/>
      <c r="Z1225" s="52"/>
      <c r="AA1225" s="52"/>
    </row>
    <row r="1226" spans="22:27">
      <c r="V1226" s="52"/>
      <c r="W1226" s="52"/>
      <c r="X1226" s="52"/>
      <c r="Y1226" s="52"/>
      <c r="Z1226" s="52"/>
      <c r="AA1226" s="52"/>
    </row>
    <row r="1227" spans="22:27">
      <c r="V1227" s="52"/>
      <c r="W1227" s="52"/>
      <c r="X1227" s="52"/>
      <c r="Y1227" s="52"/>
      <c r="Z1227" s="52"/>
      <c r="AA1227" s="52"/>
    </row>
    <row r="1228" spans="22:27">
      <c r="V1228" s="52"/>
      <c r="W1228" s="52"/>
      <c r="X1228" s="52"/>
      <c r="Y1228" s="52"/>
      <c r="Z1228" s="52"/>
      <c r="AA1228" s="52"/>
    </row>
    <row r="1229" spans="22:27">
      <c r="V1229" s="52"/>
      <c r="W1229" s="52"/>
      <c r="X1229" s="52"/>
      <c r="Y1229" s="52"/>
      <c r="Z1229" s="52"/>
      <c r="AA1229" s="52"/>
    </row>
    <row r="1230" spans="22:27">
      <c r="V1230" s="52"/>
      <c r="W1230" s="52"/>
      <c r="X1230" s="52"/>
      <c r="Y1230" s="52"/>
      <c r="Z1230" s="52"/>
      <c r="AA1230" s="52"/>
    </row>
    <row r="1231" spans="22:27">
      <c r="V1231" s="52"/>
      <c r="W1231" s="52"/>
      <c r="X1231" s="52"/>
      <c r="Y1231" s="52"/>
      <c r="Z1231" s="52"/>
      <c r="AA1231" s="52"/>
    </row>
    <row r="1232" spans="22:27">
      <c r="V1232" s="52"/>
      <c r="W1232" s="52"/>
      <c r="X1232" s="52"/>
      <c r="Y1232" s="52"/>
      <c r="Z1232" s="52"/>
      <c r="AA1232" s="52"/>
    </row>
    <row r="1233" spans="22:27">
      <c r="V1233" s="52"/>
      <c r="W1233" s="52"/>
      <c r="X1233" s="52"/>
      <c r="Y1233" s="52"/>
      <c r="Z1233" s="52"/>
      <c r="AA1233" s="52"/>
    </row>
    <row r="1234" spans="22:27">
      <c r="V1234" s="52"/>
      <c r="W1234" s="52"/>
      <c r="X1234" s="52"/>
      <c r="Y1234" s="52"/>
      <c r="Z1234" s="52"/>
      <c r="AA1234" s="52"/>
    </row>
    <row r="1235" spans="22:27">
      <c r="V1235" s="52"/>
      <c r="W1235" s="52"/>
      <c r="X1235" s="52"/>
      <c r="Y1235" s="52"/>
      <c r="Z1235" s="52"/>
      <c r="AA1235" s="52"/>
    </row>
    <row r="1236" spans="22:27">
      <c r="V1236" s="52"/>
      <c r="W1236" s="52"/>
      <c r="X1236" s="52"/>
      <c r="Y1236" s="52"/>
      <c r="Z1236" s="52"/>
      <c r="AA1236" s="52"/>
    </row>
    <row r="1237" spans="22:27">
      <c r="V1237" s="52"/>
      <c r="W1237" s="52"/>
      <c r="X1237" s="52"/>
      <c r="Y1237" s="52"/>
      <c r="Z1237" s="52"/>
      <c r="AA1237" s="52"/>
    </row>
    <row r="1238" spans="22:27">
      <c r="V1238" s="52"/>
      <c r="W1238" s="52"/>
      <c r="X1238" s="52"/>
      <c r="Y1238" s="52"/>
      <c r="Z1238" s="52"/>
      <c r="AA1238" s="52"/>
    </row>
    <row r="1239" spans="22:27">
      <c r="V1239" s="52"/>
      <c r="W1239" s="52"/>
      <c r="X1239" s="52"/>
      <c r="Y1239" s="52"/>
      <c r="Z1239" s="52"/>
      <c r="AA1239" s="52"/>
    </row>
    <row r="1240" spans="22:27">
      <c r="V1240" s="52"/>
      <c r="W1240" s="52"/>
      <c r="X1240" s="52"/>
      <c r="Y1240" s="52"/>
      <c r="Z1240" s="52"/>
      <c r="AA1240" s="52"/>
    </row>
    <row r="1241" spans="22:27">
      <c r="V1241" s="52"/>
      <c r="W1241" s="52"/>
      <c r="X1241" s="52"/>
      <c r="Y1241" s="52"/>
      <c r="Z1241" s="52"/>
      <c r="AA1241" s="52"/>
    </row>
    <row r="1242" spans="22:27">
      <c r="V1242" s="52"/>
      <c r="W1242" s="52"/>
      <c r="X1242" s="52"/>
      <c r="Y1242" s="52"/>
      <c r="Z1242" s="52"/>
      <c r="AA1242" s="52"/>
    </row>
    <row r="1243" spans="22:27">
      <c r="V1243" s="52"/>
      <c r="W1243" s="52"/>
      <c r="X1243" s="52"/>
      <c r="Y1243" s="52"/>
      <c r="Z1243" s="52"/>
      <c r="AA1243" s="52"/>
    </row>
    <row r="1244" spans="22:27">
      <c r="V1244" s="52"/>
      <c r="W1244" s="52"/>
      <c r="X1244" s="52"/>
      <c r="Y1244" s="52"/>
      <c r="Z1244" s="52"/>
      <c r="AA1244" s="52"/>
    </row>
    <row r="1245" spans="22:27">
      <c r="V1245" s="52"/>
      <c r="W1245" s="52"/>
      <c r="X1245" s="52"/>
      <c r="Y1245" s="52"/>
      <c r="Z1245" s="52"/>
      <c r="AA1245" s="52"/>
    </row>
    <row r="1246" spans="22:27">
      <c r="V1246" s="52"/>
      <c r="W1246" s="52"/>
      <c r="X1246" s="52"/>
      <c r="Y1246" s="52"/>
      <c r="Z1246" s="52"/>
      <c r="AA1246" s="52"/>
    </row>
    <row r="1247" spans="22:27">
      <c r="V1247" s="52"/>
      <c r="W1247" s="52"/>
      <c r="X1247" s="52"/>
      <c r="Y1247" s="52"/>
      <c r="Z1247" s="52"/>
      <c r="AA1247" s="52"/>
    </row>
    <row r="1248" spans="22:27">
      <c r="V1248" s="52"/>
      <c r="W1248" s="52"/>
      <c r="X1248" s="52"/>
      <c r="Y1248" s="52"/>
      <c r="Z1248" s="52"/>
      <c r="AA1248" s="52"/>
    </row>
    <row r="1249" spans="22:27">
      <c r="V1249" s="52"/>
      <c r="W1249" s="52"/>
      <c r="X1249" s="52"/>
      <c r="Y1249" s="52"/>
      <c r="Z1249" s="52"/>
      <c r="AA1249" s="52"/>
    </row>
    <row r="1250" spans="22:27">
      <c r="V1250" s="52"/>
      <c r="W1250" s="52"/>
      <c r="X1250" s="52"/>
      <c r="Y1250" s="52"/>
      <c r="Z1250" s="52"/>
      <c r="AA1250" s="52"/>
    </row>
    <row r="1251" spans="22:27">
      <c r="V1251" s="52"/>
      <c r="W1251" s="52"/>
      <c r="X1251" s="52"/>
      <c r="Y1251" s="52"/>
      <c r="Z1251" s="52"/>
      <c r="AA1251" s="52"/>
    </row>
    <row r="1252" spans="22:27">
      <c r="V1252" s="52"/>
      <c r="W1252" s="52"/>
      <c r="X1252" s="52"/>
      <c r="Y1252" s="52"/>
      <c r="Z1252" s="52"/>
      <c r="AA1252" s="52"/>
    </row>
    <row r="1253" spans="22:27">
      <c r="V1253" s="52"/>
      <c r="W1253" s="52"/>
      <c r="X1253" s="52"/>
      <c r="Y1253" s="52"/>
      <c r="Z1253" s="52"/>
      <c r="AA1253" s="52"/>
    </row>
    <row r="1254" spans="22:27">
      <c r="V1254" s="52"/>
      <c r="W1254" s="52"/>
      <c r="X1254" s="52"/>
      <c r="Y1254" s="52"/>
      <c r="Z1254" s="52"/>
      <c r="AA1254" s="52"/>
    </row>
    <row r="1255" spans="22:27">
      <c r="V1255" s="52"/>
      <c r="W1255" s="52"/>
      <c r="X1255" s="52"/>
      <c r="Y1255" s="52"/>
      <c r="Z1255" s="52"/>
      <c r="AA1255" s="52"/>
    </row>
    <row r="1256" spans="22:27">
      <c r="V1256" s="52"/>
      <c r="W1256" s="52"/>
      <c r="X1256" s="52"/>
      <c r="Y1256" s="52"/>
      <c r="Z1256" s="52"/>
      <c r="AA1256" s="52"/>
    </row>
    <row r="1257" spans="22:27">
      <c r="V1257" s="52"/>
      <c r="W1257" s="52"/>
      <c r="X1257" s="52"/>
      <c r="Y1257" s="52"/>
      <c r="Z1257" s="52"/>
      <c r="AA1257" s="52"/>
    </row>
    <row r="1258" spans="22:27">
      <c r="V1258" s="52"/>
      <c r="W1258" s="52"/>
      <c r="X1258" s="52"/>
      <c r="Y1258" s="52"/>
      <c r="Z1258" s="52"/>
      <c r="AA1258" s="52"/>
    </row>
    <row r="1259" spans="22:27">
      <c r="V1259" s="52"/>
      <c r="W1259" s="52"/>
      <c r="X1259" s="52"/>
      <c r="Y1259" s="52"/>
      <c r="Z1259" s="52"/>
      <c r="AA1259" s="52"/>
    </row>
    <row r="1260" spans="22:27">
      <c r="V1260" s="52"/>
      <c r="W1260" s="52"/>
      <c r="X1260" s="52"/>
      <c r="Y1260" s="52"/>
      <c r="Z1260" s="52"/>
      <c r="AA1260" s="52"/>
    </row>
    <row r="1261" spans="22:27">
      <c r="V1261" s="52"/>
      <c r="W1261" s="52"/>
      <c r="X1261" s="52"/>
      <c r="Y1261" s="52"/>
      <c r="Z1261" s="52"/>
      <c r="AA1261" s="52"/>
    </row>
    <row r="1262" spans="22:27">
      <c r="V1262" s="52"/>
      <c r="W1262" s="52"/>
      <c r="X1262" s="52"/>
      <c r="Y1262" s="52"/>
      <c r="Z1262" s="52"/>
      <c r="AA1262" s="52"/>
    </row>
    <row r="1263" spans="22:27">
      <c r="V1263" s="52"/>
      <c r="W1263" s="52"/>
      <c r="X1263" s="52"/>
      <c r="Y1263" s="52"/>
      <c r="Z1263" s="52"/>
      <c r="AA1263" s="52"/>
    </row>
    <row r="1264" spans="22:27">
      <c r="V1264" s="52"/>
      <c r="W1264" s="52"/>
      <c r="X1264" s="52"/>
      <c r="Y1264" s="52"/>
      <c r="Z1264" s="52"/>
      <c r="AA1264" s="52"/>
    </row>
    <row r="1265" spans="22:27">
      <c r="V1265" s="52"/>
      <c r="W1265" s="52"/>
      <c r="X1265" s="52"/>
      <c r="Y1265" s="52"/>
      <c r="Z1265" s="52"/>
      <c r="AA1265" s="52"/>
    </row>
    <row r="1266" spans="22:27">
      <c r="V1266" s="52"/>
      <c r="W1266" s="52"/>
      <c r="X1266" s="52"/>
      <c r="Y1266" s="52"/>
      <c r="Z1266" s="52"/>
      <c r="AA1266" s="52"/>
    </row>
    <row r="1267" spans="22:27">
      <c r="V1267" s="52"/>
      <c r="W1267" s="52"/>
      <c r="X1267" s="52"/>
      <c r="Y1267" s="52"/>
      <c r="Z1267" s="52"/>
      <c r="AA1267" s="52"/>
    </row>
    <row r="1268" spans="22:27">
      <c r="V1268" s="52"/>
      <c r="W1268" s="52"/>
      <c r="X1268" s="52"/>
      <c r="Y1268" s="52"/>
      <c r="Z1268" s="52"/>
      <c r="AA1268" s="52"/>
    </row>
    <row r="1269" spans="22:27">
      <c r="V1269" s="52"/>
      <c r="W1269" s="52"/>
      <c r="X1269" s="52"/>
      <c r="Y1269" s="52"/>
      <c r="Z1269" s="52"/>
      <c r="AA1269" s="52"/>
    </row>
    <row r="1270" spans="22:27">
      <c r="V1270" s="52"/>
      <c r="W1270" s="52"/>
      <c r="X1270" s="52"/>
      <c r="Y1270" s="52"/>
      <c r="Z1270" s="52"/>
      <c r="AA1270" s="52"/>
    </row>
    <row r="1271" spans="22:27">
      <c r="V1271" s="52"/>
      <c r="W1271" s="52"/>
      <c r="X1271" s="52"/>
      <c r="Y1271" s="52"/>
      <c r="Z1271" s="52"/>
      <c r="AA1271" s="52"/>
    </row>
    <row r="1272" spans="22:27">
      <c r="V1272" s="52"/>
      <c r="W1272" s="52"/>
      <c r="X1272" s="52"/>
      <c r="Y1272" s="52"/>
      <c r="Z1272" s="52"/>
      <c r="AA1272" s="52"/>
    </row>
    <row r="1273" spans="22:27">
      <c r="V1273" s="52"/>
      <c r="W1273" s="52"/>
      <c r="X1273" s="52"/>
      <c r="Y1273" s="52"/>
      <c r="Z1273" s="52"/>
      <c r="AA1273" s="52"/>
    </row>
    <row r="1274" spans="22:27">
      <c r="V1274" s="52"/>
      <c r="W1274" s="52"/>
      <c r="X1274" s="52"/>
      <c r="Y1274" s="52"/>
      <c r="Z1274" s="52"/>
      <c r="AA1274" s="52"/>
    </row>
    <row r="1275" spans="22:27">
      <c r="V1275" s="52"/>
      <c r="W1275" s="52"/>
      <c r="X1275" s="52"/>
      <c r="Y1275" s="52"/>
      <c r="Z1275" s="52"/>
      <c r="AA1275" s="52"/>
    </row>
    <row r="1276" spans="22:27">
      <c r="V1276" s="52"/>
      <c r="W1276" s="52"/>
      <c r="X1276" s="52"/>
      <c r="Y1276" s="52"/>
      <c r="Z1276" s="52"/>
      <c r="AA1276" s="52"/>
    </row>
    <row r="1277" spans="22:27">
      <c r="V1277" s="52"/>
      <c r="W1277" s="52"/>
      <c r="X1277" s="52"/>
      <c r="Y1277" s="52"/>
      <c r="Z1277" s="52"/>
      <c r="AA1277" s="52"/>
    </row>
    <row r="1278" spans="22:27">
      <c r="V1278" s="52"/>
      <c r="W1278" s="52"/>
      <c r="X1278" s="52"/>
      <c r="Y1278" s="52"/>
      <c r="Z1278" s="52"/>
      <c r="AA1278" s="52"/>
    </row>
    <row r="1279" spans="22:27">
      <c r="V1279" s="52"/>
      <c r="W1279" s="52"/>
      <c r="X1279" s="52"/>
      <c r="Y1279" s="52"/>
      <c r="Z1279" s="52"/>
      <c r="AA1279" s="52"/>
    </row>
    <row r="1280" spans="22:27">
      <c r="V1280" s="52"/>
      <c r="W1280" s="52"/>
      <c r="X1280" s="52"/>
      <c r="Y1280" s="52"/>
      <c r="Z1280" s="52"/>
      <c r="AA1280" s="52"/>
    </row>
    <row r="1281" spans="22:27">
      <c r="V1281" s="52"/>
      <c r="W1281" s="52"/>
      <c r="X1281" s="52"/>
      <c r="Y1281" s="52"/>
      <c r="Z1281" s="52"/>
      <c r="AA1281" s="52"/>
    </row>
    <row r="1282" spans="22:27">
      <c r="V1282" s="52"/>
      <c r="W1282" s="52"/>
      <c r="X1282" s="52"/>
      <c r="Y1282" s="52"/>
      <c r="Z1282" s="52"/>
      <c r="AA1282" s="52"/>
    </row>
    <row r="1283" spans="22:27">
      <c r="V1283" s="52"/>
      <c r="W1283" s="52"/>
      <c r="X1283" s="52"/>
      <c r="Y1283" s="52"/>
      <c r="Z1283" s="52"/>
      <c r="AA1283" s="52"/>
    </row>
    <row r="1284" spans="22:27">
      <c r="V1284" s="52"/>
      <c r="W1284" s="52"/>
      <c r="X1284" s="52"/>
      <c r="Y1284" s="52"/>
      <c r="Z1284" s="52"/>
      <c r="AA1284" s="52"/>
    </row>
    <row r="1285" spans="22:27">
      <c r="V1285" s="52"/>
      <c r="W1285" s="52"/>
      <c r="X1285" s="52"/>
      <c r="Y1285" s="52"/>
      <c r="Z1285" s="52"/>
      <c r="AA1285" s="52"/>
    </row>
    <row r="1286" spans="22:27">
      <c r="V1286" s="52"/>
      <c r="W1286" s="52"/>
      <c r="X1286" s="52"/>
      <c r="Y1286" s="52"/>
      <c r="Z1286" s="52"/>
      <c r="AA1286" s="52"/>
    </row>
    <row r="1287" spans="22:27">
      <c r="V1287" s="52"/>
      <c r="W1287" s="52"/>
      <c r="X1287" s="52"/>
      <c r="Y1287" s="52"/>
      <c r="Z1287" s="52"/>
      <c r="AA1287" s="52"/>
    </row>
    <row r="1288" spans="22:27">
      <c r="V1288" s="52"/>
      <c r="W1288" s="52"/>
      <c r="X1288" s="52"/>
      <c r="Y1288" s="52"/>
      <c r="Z1288" s="52"/>
      <c r="AA1288" s="52"/>
    </row>
    <row r="1289" spans="22:27">
      <c r="V1289" s="52"/>
      <c r="W1289" s="52"/>
      <c r="X1289" s="52"/>
      <c r="Y1289" s="52"/>
      <c r="Z1289" s="52"/>
      <c r="AA1289" s="52"/>
    </row>
    <row r="1290" spans="22:27">
      <c r="V1290" s="52"/>
      <c r="W1290" s="52"/>
      <c r="X1290" s="52"/>
      <c r="Y1290" s="52"/>
      <c r="Z1290" s="52"/>
      <c r="AA1290" s="52"/>
    </row>
    <row r="1291" spans="22:27">
      <c r="V1291" s="52"/>
      <c r="W1291" s="52"/>
      <c r="X1291" s="52"/>
      <c r="Y1291" s="52"/>
      <c r="Z1291" s="52"/>
      <c r="AA1291" s="52"/>
    </row>
    <row r="1292" spans="22:27">
      <c r="V1292" s="52"/>
      <c r="W1292" s="52"/>
      <c r="X1292" s="52"/>
      <c r="Y1292" s="52"/>
      <c r="Z1292" s="52"/>
      <c r="AA1292" s="52"/>
    </row>
    <row r="1293" spans="22:27">
      <c r="V1293" s="52"/>
      <c r="W1293" s="52"/>
      <c r="X1293" s="52"/>
      <c r="Y1293" s="52"/>
      <c r="Z1293" s="52"/>
      <c r="AA1293" s="52"/>
    </row>
    <row r="1294" spans="22:27">
      <c r="V1294" s="52"/>
      <c r="W1294" s="52"/>
      <c r="X1294" s="52"/>
      <c r="Y1294" s="52"/>
      <c r="Z1294" s="52"/>
      <c r="AA1294" s="52"/>
    </row>
    <row r="1295" spans="22:27">
      <c r="V1295" s="52"/>
      <c r="W1295" s="52"/>
      <c r="X1295" s="52"/>
      <c r="Y1295" s="52"/>
      <c r="Z1295" s="52"/>
      <c r="AA1295" s="52"/>
    </row>
    <row r="1296" spans="22:27">
      <c r="V1296" s="52"/>
      <c r="W1296" s="52"/>
      <c r="X1296" s="52"/>
      <c r="Y1296" s="52"/>
      <c r="Z1296" s="52"/>
      <c r="AA1296" s="52"/>
    </row>
    <row r="1297" spans="22:27">
      <c r="V1297" s="52"/>
      <c r="W1297" s="52"/>
      <c r="X1297" s="52"/>
      <c r="Y1297" s="52"/>
      <c r="Z1297" s="52"/>
      <c r="AA1297" s="52"/>
    </row>
    <row r="1298" spans="22:27">
      <c r="V1298" s="52"/>
      <c r="W1298" s="52"/>
      <c r="X1298" s="52"/>
      <c r="Y1298" s="52"/>
      <c r="Z1298" s="52"/>
      <c r="AA1298" s="52"/>
    </row>
    <row r="1299" spans="22:27">
      <c r="V1299" s="52"/>
      <c r="W1299" s="52"/>
      <c r="X1299" s="52"/>
      <c r="Y1299" s="52"/>
      <c r="Z1299" s="52"/>
      <c r="AA1299" s="52"/>
    </row>
    <row r="1300" spans="22:27">
      <c r="V1300" s="52"/>
      <c r="W1300" s="52"/>
      <c r="X1300" s="52"/>
      <c r="Y1300" s="52"/>
      <c r="Z1300" s="52"/>
      <c r="AA1300" s="52"/>
    </row>
    <row r="1301" spans="22:27">
      <c r="V1301" s="52"/>
      <c r="W1301" s="52"/>
      <c r="X1301" s="52"/>
      <c r="Y1301" s="52"/>
      <c r="Z1301" s="52"/>
      <c r="AA1301" s="52"/>
    </row>
    <row r="1302" spans="22:27">
      <c r="V1302" s="52"/>
      <c r="W1302" s="52"/>
      <c r="X1302" s="52"/>
      <c r="Y1302" s="52"/>
      <c r="Z1302" s="52"/>
      <c r="AA1302" s="52"/>
    </row>
    <row r="1303" spans="22:27">
      <c r="V1303" s="52"/>
      <c r="W1303" s="52"/>
      <c r="X1303" s="52"/>
      <c r="Y1303" s="52"/>
      <c r="Z1303" s="52"/>
      <c r="AA1303" s="52"/>
    </row>
    <row r="1304" spans="22:27">
      <c r="V1304" s="52"/>
      <c r="W1304" s="52"/>
      <c r="X1304" s="52"/>
      <c r="Y1304" s="52"/>
      <c r="Z1304" s="52"/>
      <c r="AA1304" s="52"/>
    </row>
    <row r="1305" spans="22:27">
      <c r="V1305" s="52"/>
      <c r="W1305" s="52"/>
      <c r="X1305" s="52"/>
      <c r="Y1305" s="52"/>
      <c r="Z1305" s="52"/>
      <c r="AA1305" s="52"/>
    </row>
    <row r="1306" spans="22:27">
      <c r="V1306" s="52"/>
      <c r="W1306" s="52"/>
      <c r="X1306" s="52"/>
      <c r="Y1306" s="52"/>
      <c r="Z1306" s="52"/>
      <c r="AA1306" s="52"/>
    </row>
    <row r="1307" spans="22:27">
      <c r="V1307" s="52"/>
      <c r="W1307" s="52"/>
      <c r="X1307" s="52"/>
      <c r="Y1307" s="52"/>
      <c r="Z1307" s="52"/>
      <c r="AA1307" s="52"/>
    </row>
    <row r="1308" spans="22:27">
      <c r="V1308" s="52"/>
      <c r="W1308" s="52"/>
      <c r="X1308" s="52"/>
      <c r="Y1308" s="52"/>
      <c r="Z1308" s="52"/>
      <c r="AA1308" s="52"/>
    </row>
    <row r="1309" spans="22:27">
      <c r="V1309" s="52"/>
      <c r="W1309" s="52"/>
      <c r="X1309" s="52"/>
      <c r="Y1309" s="52"/>
      <c r="Z1309" s="52"/>
      <c r="AA1309" s="52"/>
    </row>
    <row r="1310" spans="22:27">
      <c r="V1310" s="52"/>
      <c r="W1310" s="52"/>
      <c r="X1310" s="52"/>
      <c r="Y1310" s="52"/>
      <c r="Z1310" s="52"/>
      <c r="AA1310" s="52"/>
    </row>
    <row r="1311" spans="22:27">
      <c r="V1311" s="52"/>
      <c r="W1311" s="52"/>
      <c r="X1311" s="52"/>
      <c r="Y1311" s="52"/>
      <c r="Z1311" s="52"/>
      <c r="AA1311" s="52"/>
    </row>
    <row r="1312" spans="22:27">
      <c r="V1312" s="52"/>
      <c r="W1312" s="52"/>
      <c r="X1312" s="52"/>
      <c r="Y1312" s="52"/>
      <c r="Z1312" s="52"/>
      <c r="AA1312" s="52"/>
    </row>
    <row r="1313" spans="22:27">
      <c r="V1313" s="52"/>
      <c r="W1313" s="52"/>
      <c r="X1313" s="52"/>
      <c r="Y1313" s="52"/>
      <c r="Z1313" s="52"/>
      <c r="AA1313" s="52"/>
    </row>
    <row r="1314" spans="22:27">
      <c r="V1314" s="52"/>
      <c r="W1314" s="52"/>
      <c r="X1314" s="52"/>
      <c r="Y1314" s="52"/>
      <c r="Z1314" s="52"/>
      <c r="AA1314" s="52"/>
    </row>
    <row r="1315" spans="22:27">
      <c r="V1315" s="52"/>
      <c r="W1315" s="52"/>
      <c r="X1315" s="52"/>
      <c r="Y1315" s="52"/>
      <c r="Z1315" s="52"/>
      <c r="AA1315" s="52"/>
    </row>
    <row r="1316" spans="22:27">
      <c r="V1316" s="52"/>
      <c r="W1316" s="52"/>
      <c r="X1316" s="52"/>
      <c r="Y1316" s="52"/>
      <c r="Z1316" s="52"/>
      <c r="AA1316" s="52"/>
    </row>
    <row r="1317" spans="22:27">
      <c r="V1317" s="52"/>
      <c r="W1317" s="52"/>
      <c r="X1317" s="52"/>
      <c r="Y1317" s="52"/>
      <c r="Z1317" s="52"/>
      <c r="AA1317" s="52"/>
    </row>
    <row r="1318" spans="22:27">
      <c r="V1318" s="52"/>
      <c r="W1318" s="52"/>
      <c r="X1318" s="52"/>
      <c r="Y1318" s="52"/>
      <c r="Z1318" s="52"/>
      <c r="AA1318" s="52"/>
    </row>
    <row r="1319" spans="22:27">
      <c r="V1319" s="52"/>
      <c r="W1319" s="52"/>
      <c r="X1319" s="52"/>
      <c r="Y1319" s="52"/>
      <c r="Z1319" s="52"/>
      <c r="AA1319" s="52"/>
    </row>
    <row r="1320" spans="22:27">
      <c r="V1320" s="52"/>
      <c r="W1320" s="52"/>
      <c r="X1320" s="52"/>
      <c r="Y1320" s="52"/>
      <c r="Z1320" s="52"/>
      <c r="AA1320" s="52"/>
    </row>
    <row r="1321" spans="22:27">
      <c r="V1321" s="52"/>
      <c r="W1321" s="52"/>
      <c r="X1321" s="52"/>
      <c r="Y1321" s="52"/>
      <c r="Z1321" s="52"/>
      <c r="AA1321" s="52"/>
    </row>
    <row r="1322" spans="22:27">
      <c r="V1322" s="52"/>
      <c r="W1322" s="52"/>
      <c r="X1322" s="52"/>
      <c r="Y1322" s="52"/>
      <c r="Z1322" s="52"/>
      <c r="AA1322" s="52"/>
    </row>
    <row r="1323" spans="22:27">
      <c r="V1323" s="52"/>
      <c r="W1323" s="52"/>
      <c r="X1323" s="52"/>
      <c r="Y1323" s="52"/>
      <c r="Z1323" s="52"/>
      <c r="AA1323" s="52"/>
    </row>
    <row r="1324" spans="22:27">
      <c r="V1324" s="52"/>
      <c r="W1324" s="52"/>
      <c r="X1324" s="52"/>
      <c r="Y1324" s="52"/>
      <c r="Z1324" s="52"/>
      <c r="AA1324" s="52"/>
    </row>
    <row r="1325" spans="22:27">
      <c r="V1325" s="52"/>
      <c r="W1325" s="52"/>
      <c r="X1325" s="52"/>
      <c r="Y1325" s="52"/>
      <c r="Z1325" s="52"/>
      <c r="AA1325" s="52"/>
    </row>
    <row r="1326" spans="22:27">
      <c r="V1326" s="52"/>
      <c r="W1326" s="52"/>
      <c r="X1326" s="52"/>
      <c r="Y1326" s="52"/>
      <c r="Z1326" s="52"/>
      <c r="AA1326" s="52"/>
    </row>
    <row r="1327" spans="22:27">
      <c r="V1327" s="52"/>
      <c r="W1327" s="52"/>
      <c r="X1327" s="52"/>
      <c r="Y1327" s="52"/>
      <c r="Z1327" s="52"/>
      <c r="AA1327" s="52"/>
    </row>
    <row r="1328" spans="22:27">
      <c r="V1328" s="52"/>
      <c r="W1328" s="52"/>
      <c r="X1328" s="52"/>
      <c r="Y1328" s="52"/>
      <c r="Z1328" s="52"/>
      <c r="AA1328" s="52"/>
    </row>
    <row r="1329" spans="22:27">
      <c r="V1329" s="52"/>
      <c r="W1329" s="52"/>
      <c r="X1329" s="52"/>
      <c r="Y1329" s="52"/>
      <c r="Z1329" s="52"/>
      <c r="AA1329" s="52"/>
    </row>
    <row r="1330" spans="22:27">
      <c r="V1330" s="52"/>
      <c r="W1330" s="52"/>
      <c r="X1330" s="52"/>
      <c r="Y1330" s="52"/>
      <c r="Z1330" s="52"/>
      <c r="AA1330" s="52"/>
    </row>
    <row r="1331" spans="22:27">
      <c r="V1331" s="52"/>
      <c r="W1331" s="52"/>
      <c r="X1331" s="52"/>
      <c r="Y1331" s="52"/>
      <c r="Z1331" s="52"/>
      <c r="AA1331" s="52"/>
    </row>
    <row r="1332" spans="22:27">
      <c r="V1332" s="52"/>
      <c r="W1332" s="52"/>
      <c r="X1332" s="52"/>
      <c r="Y1332" s="52"/>
      <c r="Z1332" s="52"/>
      <c r="AA1332" s="52"/>
    </row>
    <row r="1333" spans="22:27">
      <c r="V1333" s="52"/>
      <c r="W1333" s="52"/>
      <c r="X1333" s="52"/>
      <c r="Y1333" s="52"/>
      <c r="Z1333" s="52"/>
      <c r="AA1333" s="52"/>
    </row>
    <row r="1334" spans="22:27">
      <c r="V1334" s="52"/>
      <c r="W1334" s="52"/>
      <c r="X1334" s="52"/>
      <c r="Y1334" s="52"/>
      <c r="Z1334" s="52"/>
      <c r="AA1334" s="52"/>
    </row>
    <row r="1335" spans="22:27">
      <c r="V1335" s="52"/>
      <c r="W1335" s="52"/>
      <c r="X1335" s="52"/>
      <c r="Y1335" s="52"/>
      <c r="Z1335" s="52"/>
      <c r="AA1335" s="52"/>
    </row>
    <row r="1336" spans="22:27">
      <c r="V1336" s="52"/>
      <c r="W1336" s="52"/>
      <c r="X1336" s="52"/>
      <c r="Y1336" s="52"/>
      <c r="Z1336" s="52"/>
      <c r="AA1336" s="52"/>
    </row>
    <row r="1337" spans="22:27">
      <c r="V1337" s="52"/>
      <c r="W1337" s="52"/>
      <c r="X1337" s="52"/>
      <c r="Y1337" s="52"/>
      <c r="Z1337" s="52"/>
      <c r="AA1337" s="52"/>
    </row>
    <row r="1338" spans="22:27">
      <c r="V1338" s="52"/>
      <c r="W1338" s="52"/>
      <c r="X1338" s="52"/>
      <c r="Y1338" s="52"/>
      <c r="Z1338" s="52"/>
      <c r="AA1338" s="52"/>
    </row>
    <row r="1339" spans="22:27">
      <c r="V1339" s="52"/>
      <c r="W1339" s="52"/>
      <c r="X1339" s="52"/>
      <c r="Y1339" s="52"/>
      <c r="Z1339" s="52"/>
      <c r="AA1339" s="52"/>
    </row>
    <row r="1340" spans="22:27">
      <c r="V1340" s="52"/>
      <c r="W1340" s="52"/>
      <c r="X1340" s="52"/>
      <c r="Y1340" s="52"/>
      <c r="Z1340" s="52"/>
      <c r="AA1340" s="52"/>
    </row>
    <row r="1341" spans="22:27">
      <c r="V1341" s="52"/>
      <c r="W1341" s="52"/>
      <c r="X1341" s="52"/>
      <c r="Y1341" s="52"/>
      <c r="Z1341" s="52"/>
      <c r="AA1341" s="52"/>
    </row>
    <row r="1342" spans="22:27">
      <c r="V1342" s="52"/>
      <c r="W1342" s="52"/>
      <c r="X1342" s="52"/>
      <c r="Y1342" s="52"/>
      <c r="Z1342" s="52"/>
      <c r="AA1342" s="52"/>
    </row>
    <row r="1343" spans="22:27">
      <c r="V1343" s="52"/>
      <c r="W1343" s="52"/>
      <c r="X1343" s="52"/>
      <c r="Y1343" s="52"/>
      <c r="Z1343" s="52"/>
      <c r="AA1343" s="52"/>
    </row>
    <row r="1344" spans="22:27">
      <c r="V1344" s="52"/>
      <c r="W1344" s="52"/>
      <c r="X1344" s="52"/>
      <c r="Y1344" s="52"/>
      <c r="Z1344" s="52"/>
      <c r="AA1344" s="52"/>
    </row>
    <row r="1345" spans="22:27">
      <c r="V1345" s="52"/>
      <c r="W1345" s="52"/>
      <c r="X1345" s="52"/>
      <c r="Y1345" s="52"/>
      <c r="Z1345" s="52"/>
      <c r="AA1345" s="52"/>
    </row>
    <row r="1346" spans="22:27">
      <c r="V1346" s="52"/>
      <c r="W1346" s="52"/>
      <c r="X1346" s="52"/>
      <c r="Y1346" s="52"/>
      <c r="Z1346" s="52"/>
      <c r="AA1346" s="52"/>
    </row>
    <row r="1347" spans="22:27">
      <c r="V1347" s="52"/>
      <c r="W1347" s="52"/>
      <c r="X1347" s="52"/>
      <c r="Y1347" s="52"/>
      <c r="Z1347" s="52"/>
      <c r="AA1347" s="52"/>
    </row>
    <row r="1348" spans="22:27">
      <c r="V1348" s="52"/>
      <c r="W1348" s="52"/>
      <c r="X1348" s="52"/>
      <c r="Y1348" s="52"/>
      <c r="Z1348" s="52"/>
      <c r="AA1348" s="52"/>
    </row>
    <row r="1349" spans="22:27">
      <c r="V1349" s="52"/>
      <c r="W1349" s="52"/>
      <c r="X1349" s="52"/>
      <c r="Y1349" s="52"/>
      <c r="Z1349" s="52"/>
      <c r="AA1349" s="52"/>
    </row>
    <row r="1350" spans="22:27">
      <c r="V1350" s="52"/>
      <c r="W1350" s="52"/>
      <c r="X1350" s="52"/>
      <c r="Y1350" s="52"/>
      <c r="Z1350" s="52"/>
      <c r="AA1350" s="52"/>
    </row>
    <row r="1351" spans="22:27">
      <c r="V1351" s="52"/>
      <c r="W1351" s="52"/>
      <c r="X1351" s="52"/>
      <c r="Y1351" s="52"/>
      <c r="Z1351" s="52"/>
      <c r="AA1351" s="52"/>
    </row>
    <row r="1352" spans="22:27">
      <c r="V1352" s="52"/>
      <c r="W1352" s="52"/>
      <c r="X1352" s="52"/>
      <c r="Y1352" s="52"/>
      <c r="Z1352" s="52"/>
      <c r="AA1352" s="52"/>
    </row>
    <row r="1353" spans="22:27">
      <c r="V1353" s="52"/>
      <c r="W1353" s="52"/>
      <c r="X1353" s="52"/>
      <c r="Y1353" s="52"/>
      <c r="Z1353" s="52"/>
      <c r="AA1353" s="52"/>
    </row>
    <row r="1354" spans="22:27">
      <c r="V1354" s="52"/>
      <c r="W1354" s="52"/>
      <c r="X1354" s="52"/>
      <c r="Y1354" s="52"/>
      <c r="Z1354" s="52"/>
      <c r="AA1354" s="52"/>
    </row>
    <row r="1355" spans="22:27">
      <c r="V1355" s="52"/>
      <c r="W1355" s="52"/>
      <c r="X1355" s="52"/>
      <c r="Y1355" s="52"/>
      <c r="Z1355" s="52"/>
      <c r="AA1355" s="52"/>
    </row>
    <row r="1356" spans="22:27">
      <c r="V1356" s="52"/>
      <c r="W1356" s="52"/>
      <c r="X1356" s="52"/>
      <c r="Y1356" s="52"/>
      <c r="Z1356" s="52"/>
      <c r="AA1356" s="52"/>
    </row>
    <row r="1357" spans="22:27">
      <c r="V1357" s="52"/>
      <c r="W1357" s="52"/>
      <c r="X1357" s="52"/>
      <c r="Y1357" s="52"/>
      <c r="Z1357" s="52"/>
      <c r="AA1357" s="52"/>
    </row>
    <row r="1358" spans="22:27">
      <c r="V1358" s="52"/>
      <c r="W1358" s="52"/>
      <c r="X1358" s="52"/>
      <c r="Y1358" s="52"/>
      <c r="Z1358" s="52"/>
      <c r="AA1358" s="52"/>
    </row>
    <row r="1359" spans="22:27">
      <c r="V1359" s="52"/>
      <c r="W1359" s="52"/>
      <c r="X1359" s="52"/>
      <c r="Y1359" s="52"/>
      <c r="Z1359" s="52"/>
      <c r="AA1359" s="52"/>
    </row>
    <row r="1360" spans="22:27">
      <c r="V1360" s="52"/>
      <c r="W1360" s="52"/>
      <c r="X1360" s="52"/>
      <c r="Y1360" s="52"/>
      <c r="Z1360" s="52"/>
      <c r="AA1360" s="52"/>
    </row>
    <row r="1361" spans="22:27">
      <c r="V1361" s="52"/>
      <c r="W1361" s="52"/>
      <c r="X1361" s="52"/>
      <c r="Y1361" s="52"/>
      <c r="Z1361" s="52"/>
      <c r="AA1361" s="52"/>
    </row>
    <row r="1362" spans="22:27">
      <c r="V1362" s="52"/>
      <c r="W1362" s="52"/>
      <c r="X1362" s="52"/>
      <c r="Y1362" s="52"/>
      <c r="Z1362" s="52"/>
      <c r="AA1362" s="52"/>
    </row>
    <row r="1363" spans="22:27">
      <c r="V1363" s="52"/>
      <c r="W1363" s="52"/>
      <c r="X1363" s="52"/>
      <c r="Y1363" s="52"/>
      <c r="Z1363" s="52"/>
      <c r="AA1363" s="52"/>
    </row>
    <row r="1364" spans="22:27">
      <c r="V1364" s="52"/>
      <c r="W1364" s="52"/>
      <c r="X1364" s="52"/>
      <c r="Y1364" s="52"/>
      <c r="Z1364" s="52"/>
      <c r="AA1364" s="52"/>
    </row>
    <row r="1365" spans="22:27">
      <c r="V1365" s="52"/>
      <c r="W1365" s="52"/>
      <c r="X1365" s="52"/>
      <c r="Y1365" s="52"/>
      <c r="Z1365" s="52"/>
      <c r="AA1365" s="52"/>
    </row>
    <row r="1366" spans="22:27">
      <c r="V1366" s="52"/>
      <c r="W1366" s="52"/>
      <c r="X1366" s="52"/>
      <c r="Y1366" s="52"/>
      <c r="Z1366" s="52"/>
      <c r="AA1366" s="52"/>
    </row>
    <row r="1367" spans="22:27">
      <c r="V1367" s="52"/>
      <c r="W1367" s="52"/>
      <c r="X1367" s="52"/>
      <c r="Y1367" s="52"/>
      <c r="Z1367" s="52"/>
      <c r="AA1367" s="52"/>
    </row>
    <row r="1368" spans="22:27">
      <c r="V1368" s="52"/>
      <c r="W1368" s="52"/>
      <c r="X1368" s="52"/>
      <c r="Y1368" s="52"/>
      <c r="Z1368" s="52"/>
      <c r="AA1368" s="52"/>
    </row>
    <row r="1369" spans="22:27">
      <c r="V1369" s="52"/>
      <c r="W1369" s="52"/>
      <c r="X1369" s="52"/>
      <c r="Y1369" s="52"/>
      <c r="Z1369" s="52"/>
      <c r="AA1369" s="52"/>
    </row>
    <row r="1370" spans="22:27">
      <c r="V1370" s="52"/>
      <c r="W1370" s="52"/>
      <c r="X1370" s="52"/>
      <c r="Y1370" s="52"/>
      <c r="Z1370" s="52"/>
      <c r="AA1370" s="52"/>
    </row>
    <row r="1371" spans="22:27">
      <c r="V1371" s="52"/>
      <c r="W1371" s="52"/>
      <c r="X1371" s="52"/>
      <c r="Y1371" s="52"/>
      <c r="Z1371" s="52"/>
      <c r="AA1371" s="52"/>
    </row>
    <row r="1372" spans="22:27">
      <c r="V1372" s="52"/>
      <c r="W1372" s="52"/>
      <c r="X1372" s="52"/>
      <c r="Y1372" s="52"/>
      <c r="Z1372" s="52"/>
      <c r="AA1372" s="52"/>
    </row>
    <row r="1373" spans="22:27">
      <c r="V1373" s="52"/>
      <c r="W1373" s="52"/>
      <c r="X1373" s="52"/>
      <c r="Y1373" s="52"/>
      <c r="Z1373" s="52"/>
      <c r="AA1373" s="52"/>
    </row>
    <row r="1374" spans="22:27">
      <c r="V1374" s="52"/>
      <c r="W1374" s="52"/>
      <c r="X1374" s="52"/>
      <c r="Y1374" s="52"/>
      <c r="Z1374" s="52"/>
      <c r="AA1374" s="52"/>
    </row>
    <row r="1375" spans="22:27">
      <c r="V1375" s="52"/>
      <c r="W1375" s="52"/>
      <c r="X1375" s="52"/>
      <c r="Y1375" s="52"/>
      <c r="Z1375" s="52"/>
      <c r="AA1375" s="52"/>
    </row>
    <row r="1376" spans="22:27">
      <c r="V1376" s="52"/>
      <c r="W1376" s="52"/>
      <c r="X1376" s="52"/>
      <c r="Y1376" s="52"/>
      <c r="Z1376" s="52"/>
      <c r="AA1376" s="52"/>
    </row>
    <row r="1377" spans="22:27">
      <c r="V1377" s="52"/>
      <c r="W1377" s="52"/>
      <c r="X1377" s="52"/>
      <c r="Y1377" s="52"/>
      <c r="Z1377" s="52"/>
      <c r="AA1377" s="52"/>
    </row>
    <row r="1378" spans="22:27">
      <c r="V1378" s="52"/>
      <c r="W1378" s="52"/>
      <c r="X1378" s="52"/>
      <c r="Y1378" s="52"/>
      <c r="Z1378" s="52"/>
      <c r="AA1378" s="52"/>
    </row>
    <row r="1379" spans="22:27">
      <c r="V1379" s="52"/>
      <c r="W1379" s="52"/>
      <c r="X1379" s="52"/>
      <c r="Y1379" s="52"/>
      <c r="Z1379" s="52"/>
      <c r="AA1379" s="52"/>
    </row>
    <row r="1380" spans="22:27">
      <c r="V1380" s="52"/>
      <c r="W1380" s="52"/>
      <c r="X1380" s="52"/>
      <c r="Y1380" s="52"/>
      <c r="Z1380" s="52"/>
      <c r="AA1380" s="52"/>
    </row>
    <row r="1381" spans="22:27">
      <c r="V1381" s="52"/>
      <c r="W1381" s="52"/>
      <c r="X1381" s="52"/>
      <c r="Y1381" s="52"/>
      <c r="Z1381" s="52"/>
      <c r="AA1381" s="52"/>
    </row>
    <row r="1382" spans="22:27">
      <c r="V1382" s="52"/>
      <c r="W1382" s="52"/>
      <c r="X1382" s="52"/>
      <c r="Y1382" s="52"/>
      <c r="Z1382" s="52"/>
      <c r="AA1382" s="52"/>
    </row>
    <row r="1383" spans="22:27">
      <c r="V1383" s="52"/>
      <c r="W1383" s="52"/>
      <c r="X1383" s="52"/>
      <c r="Y1383" s="52"/>
      <c r="Z1383" s="52"/>
      <c r="AA1383" s="52"/>
    </row>
    <row r="1384" spans="22:27">
      <c r="V1384" s="52"/>
      <c r="W1384" s="52"/>
      <c r="X1384" s="52"/>
      <c r="Y1384" s="52"/>
      <c r="Z1384" s="52"/>
      <c r="AA1384" s="52"/>
    </row>
    <row r="1385" spans="22:27">
      <c r="V1385" s="52"/>
      <c r="W1385" s="52"/>
      <c r="X1385" s="52"/>
      <c r="Y1385" s="52"/>
      <c r="Z1385" s="52"/>
      <c r="AA1385" s="52"/>
    </row>
    <row r="1386" spans="22:27">
      <c r="V1386" s="52"/>
      <c r="W1386" s="52"/>
      <c r="X1386" s="52"/>
      <c r="Y1386" s="52"/>
      <c r="Z1386" s="52"/>
      <c r="AA1386" s="52"/>
    </row>
    <row r="1387" spans="22:27">
      <c r="V1387" s="52"/>
      <c r="W1387" s="52"/>
      <c r="X1387" s="52"/>
      <c r="Y1387" s="52"/>
      <c r="Z1387" s="52"/>
      <c r="AA1387" s="52"/>
    </row>
  </sheetData>
  <mergeCells count="6">
    <mergeCell ref="AB8:AG8"/>
    <mergeCell ref="X8:AA8"/>
    <mergeCell ref="H8:L8"/>
    <mergeCell ref="C8:F8"/>
    <mergeCell ref="N8:Q8"/>
    <mergeCell ref="S8:V8"/>
  </mergeCells>
  <conditionalFormatting sqref="C357">
    <cfRule type="cellIs" dxfId="31" priority="3" operator="notBetween">
      <formula>1</formula>
      <formula>-1</formula>
    </cfRule>
    <cfRule type="cellIs" dxfId="30" priority="4" operator="between">
      <formula>1</formula>
      <formula>-1</formula>
    </cfRule>
  </conditionalFormatting>
  <conditionalFormatting sqref="D357:E357">
    <cfRule type="cellIs" dxfId="29" priority="1" operator="notBetween">
      <formula>1</formula>
      <formula>-1</formula>
    </cfRule>
    <cfRule type="cellIs" dxfId="28" priority="2" operator="between">
      <formula>1</formula>
      <formula>-1</formula>
    </cfRule>
  </conditionalFormatting>
  <pageMargins left="0.25" right="0.25" top="0.6" bottom="0.4" header="0.18" footer="0.25"/>
  <pageSetup scale="36" fitToWidth="3" fitToHeight="3" orientation="landscape" r:id="rId1"/>
  <headerFooter>
    <oddHeader>&amp;CDESIGNATED INFORMATION IS CONFIDENTIAL PER WAC 480-07-160</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S560"/>
  <sheetViews>
    <sheetView showGridLines="0" tabSelected="1" view="pageLayout" topLeftCell="A22" zoomScaleNormal="100" zoomScaleSheetLayoutView="100" workbookViewId="0">
      <selection activeCell="AR41" sqref="AR41"/>
    </sheetView>
  </sheetViews>
  <sheetFormatPr defaultRowHeight="15"/>
  <cols>
    <col min="1" max="1" width="6.7109375" style="36" customWidth="1"/>
    <col min="2" max="2" width="19.28515625" style="35" customWidth="1"/>
    <col min="3" max="3" width="17.140625" style="103" customWidth="1"/>
    <col min="4" max="4" width="2.85546875" style="103" customWidth="1"/>
    <col min="5" max="5" width="14.85546875" style="103" customWidth="1"/>
    <col min="6" max="7" width="14.7109375" style="103" customWidth="1"/>
    <col min="8" max="8" width="16.7109375" style="103" customWidth="1"/>
    <col min="9" max="9" width="20.28515625" style="101" customWidth="1"/>
    <col min="10" max="10" width="14" style="101" hidden="1" customWidth="1"/>
    <col min="11" max="11" width="9.140625" style="101" hidden="1" customWidth="1"/>
    <col min="12" max="16384" width="9.140625" style="101"/>
  </cols>
  <sheetData>
    <row r="1" spans="1:19">
      <c r="A1" s="1258" t="str">
        <f>'Consolidated IS '!A2</f>
        <v>LeMay Enterprises - Pacific/Rural Disposal</v>
      </c>
      <c r="B1" s="32"/>
    </row>
    <row r="2" spans="1:19">
      <c r="A2" s="1258" t="s">
        <v>2959</v>
      </c>
      <c r="B2" s="32"/>
      <c r="K2" s="707"/>
      <c r="L2" s="707"/>
      <c r="M2" s="707"/>
      <c r="N2" s="707"/>
      <c r="O2" s="707"/>
    </row>
    <row r="3" spans="1:19" ht="7.5" customHeight="1">
      <c r="B3" s="32"/>
    </row>
    <row r="4" spans="1:19" ht="7.5" customHeight="1">
      <c r="B4" s="32"/>
    </row>
    <row r="5" spans="1:19" ht="7.5" customHeight="1">
      <c r="A5" s="31"/>
      <c r="B5" s="32"/>
    </row>
    <row r="6" spans="1:19">
      <c r="A6" s="31"/>
      <c r="B6" s="32"/>
      <c r="C6" s="104" t="s">
        <v>303</v>
      </c>
      <c r="E6" s="104">
        <f ca="1">'LG Public 2018 V5.0c MSW'!J20</f>
        <v>513158.52643063292</v>
      </c>
      <c r="F6" s="104">
        <f ca="1">'LG Public 2018 V5.0c Rec'!J20</f>
        <v>322874.84581827372</v>
      </c>
      <c r="G6" s="104">
        <f ca="1">'LG Public 2018 V5.0c YW'!J20</f>
        <v>24463.101782220881</v>
      </c>
      <c r="H6" s="104" t="s">
        <v>13</v>
      </c>
    </row>
    <row r="7" spans="1:19">
      <c r="C7" s="104" t="s">
        <v>304</v>
      </c>
      <c r="E7" s="104" t="s">
        <v>1928</v>
      </c>
      <c r="F7" s="104" t="s">
        <v>1929</v>
      </c>
      <c r="G7" s="104" t="s">
        <v>4</v>
      </c>
      <c r="H7" s="104" t="s">
        <v>307</v>
      </c>
    </row>
    <row r="8" spans="1:19">
      <c r="B8" s="32" t="s">
        <v>1</v>
      </c>
      <c r="C8" s="104"/>
    </row>
    <row r="9" spans="1:19">
      <c r="A9" s="36">
        <v>32000</v>
      </c>
      <c r="B9" s="35" t="s">
        <v>2</v>
      </c>
      <c r="C9" s="103">
        <f>+VLOOKUP(A9,'Consolidated IS '!$A:$AG,28,FALSE)</f>
        <v>10937253.020748308</v>
      </c>
      <c r="E9" s="103">
        <f>+C9</f>
        <v>10937253.020748308</v>
      </c>
      <c r="H9" s="103">
        <f t="shared" ref="H9:H21" si="0">SUM(E9:G9)</f>
        <v>10937253.020748308</v>
      </c>
      <c r="I9" s="102" t="s">
        <v>348</v>
      </c>
      <c r="J9" s="349"/>
      <c r="K9" s="102"/>
      <c r="L9" s="102"/>
      <c r="M9" s="102"/>
      <c r="N9" s="102"/>
      <c r="O9" s="102"/>
      <c r="P9" s="102"/>
      <c r="Q9" s="102"/>
      <c r="R9" s="102"/>
      <c r="S9" s="102"/>
    </row>
    <row r="10" spans="1:19">
      <c r="A10" s="36">
        <v>32100</v>
      </c>
      <c r="B10" s="35" t="s">
        <v>3</v>
      </c>
      <c r="C10" s="103">
        <f>+VLOOKUP(A10,'Consolidated IS '!$A:$AG,28,FALSE)</f>
        <v>4158495.0055516609</v>
      </c>
      <c r="F10" s="103">
        <f>+C10</f>
        <v>4158495.0055516609</v>
      </c>
      <c r="H10" s="103">
        <f t="shared" si="0"/>
        <v>4158495.0055516609</v>
      </c>
      <c r="I10" s="102" t="s">
        <v>348</v>
      </c>
      <c r="J10" s="349"/>
      <c r="K10" s="102"/>
      <c r="L10" s="102"/>
      <c r="M10" s="102"/>
      <c r="N10" s="102"/>
      <c r="O10" s="102"/>
      <c r="P10" s="102"/>
      <c r="Q10" s="102"/>
      <c r="R10" s="102"/>
      <c r="S10" s="102"/>
    </row>
    <row r="11" spans="1:19">
      <c r="A11" s="36">
        <v>32110</v>
      </c>
      <c r="B11" s="35" t="s">
        <v>4</v>
      </c>
      <c r="C11" s="103">
        <f>+VLOOKUP(A11,'Consolidated IS '!$A:$AG,28,FALSE)</f>
        <v>1840163.9458128971</v>
      </c>
      <c r="G11" s="103">
        <f>+C11</f>
        <v>1840163.9458128971</v>
      </c>
      <c r="H11" s="103">
        <f t="shared" si="0"/>
        <v>1840163.9458128971</v>
      </c>
      <c r="I11" s="102" t="s">
        <v>348</v>
      </c>
      <c r="J11" s="349"/>
      <c r="K11" s="102"/>
      <c r="L11" s="102"/>
      <c r="M11" s="102"/>
      <c r="N11" s="102"/>
      <c r="O11" s="102"/>
      <c r="P11" s="102"/>
      <c r="Q11" s="102"/>
      <c r="R11" s="102"/>
      <c r="S11" s="102"/>
    </row>
    <row r="12" spans="1:19">
      <c r="B12" s="35" t="s">
        <v>308</v>
      </c>
      <c r="C12" s="103">
        <f>'Consolidated IS '!AB13</f>
        <v>506932.21473359119</v>
      </c>
      <c r="F12" s="103">
        <f>+C12</f>
        <v>506932.21473359119</v>
      </c>
      <c r="H12" s="103">
        <f t="shared" si="0"/>
        <v>506932.21473359119</v>
      </c>
      <c r="I12" s="102" t="s">
        <v>348</v>
      </c>
      <c r="J12" s="349"/>
      <c r="K12" s="102"/>
      <c r="L12" s="102"/>
      <c r="M12" s="102"/>
      <c r="N12" s="102"/>
      <c r="O12" s="102"/>
      <c r="P12" s="102"/>
      <c r="Q12" s="102"/>
      <c r="R12" s="102"/>
      <c r="S12" s="102"/>
    </row>
    <row r="13" spans="1:19">
      <c r="A13" s="36">
        <v>33000</v>
      </c>
      <c r="B13" s="35" t="s">
        <v>5</v>
      </c>
      <c r="C13" s="103">
        <f>+VLOOKUP(A13,'Consolidated IS '!$A:$AG,28,FALSE)</f>
        <v>6226892.6828565439</v>
      </c>
      <c r="E13" s="103">
        <f>+C13</f>
        <v>6226892.6828565439</v>
      </c>
      <c r="H13" s="103">
        <f t="shared" si="0"/>
        <v>6226892.6828565439</v>
      </c>
      <c r="I13" s="102" t="s">
        <v>348</v>
      </c>
      <c r="J13" s="349"/>
      <c r="K13" s="102"/>
      <c r="L13" s="102"/>
      <c r="M13" s="102"/>
      <c r="N13" s="102"/>
      <c r="O13" s="102"/>
      <c r="P13" s="102"/>
      <c r="Q13" s="102"/>
      <c r="R13" s="102"/>
      <c r="S13" s="102"/>
    </row>
    <row r="14" spans="1:19">
      <c r="A14" s="36">
        <v>31000</v>
      </c>
      <c r="B14" s="35" t="s">
        <v>6</v>
      </c>
      <c r="C14" s="103">
        <f>+VLOOKUP(A14,'Consolidated IS '!$A:$AG,28,FALSE)</f>
        <v>1455286.1815432727</v>
      </c>
      <c r="E14" s="103">
        <f>+C14</f>
        <v>1455286.1815432727</v>
      </c>
      <c r="H14" s="103">
        <f t="shared" si="0"/>
        <v>1455286.1815432727</v>
      </c>
      <c r="I14" s="102" t="s">
        <v>348</v>
      </c>
      <c r="J14" s="349"/>
      <c r="K14" s="102"/>
      <c r="L14" s="102"/>
      <c r="M14" s="102"/>
      <c r="N14" s="102"/>
      <c r="O14" s="102"/>
      <c r="P14" s="102"/>
      <c r="Q14" s="102"/>
      <c r="R14" s="102"/>
      <c r="S14" s="102"/>
    </row>
    <row r="15" spans="1:19">
      <c r="A15" s="36">
        <v>31004</v>
      </c>
      <c r="B15" s="35" t="s">
        <v>632</v>
      </c>
      <c r="C15" s="103">
        <f>+VLOOKUP(A15,'Consolidated IS '!$A:$AG,28,FALSE)</f>
        <v>0</v>
      </c>
      <c r="H15" s="103">
        <f t="shared" si="0"/>
        <v>0</v>
      </c>
      <c r="I15" s="102" t="s">
        <v>348</v>
      </c>
      <c r="J15" s="349"/>
      <c r="K15" s="102"/>
      <c r="L15" s="102"/>
      <c r="M15" s="102"/>
      <c r="N15" s="102"/>
      <c r="O15" s="102"/>
      <c r="P15" s="102"/>
      <c r="Q15" s="102"/>
      <c r="R15" s="102"/>
      <c r="S15" s="102"/>
    </row>
    <row r="16" spans="1:19">
      <c r="A16" s="36">
        <v>31005</v>
      </c>
      <c r="B16" s="35" t="s">
        <v>7</v>
      </c>
      <c r="C16" s="103">
        <f>+VLOOKUP(A16,'Consolidated IS '!$A:$AG,28,FALSE)</f>
        <v>2613258.9700000002</v>
      </c>
      <c r="E16" s="103">
        <f>+C16</f>
        <v>2613258.9700000002</v>
      </c>
      <c r="H16" s="103">
        <f t="shared" si="0"/>
        <v>2613258.9700000002</v>
      </c>
      <c r="I16" s="102" t="s">
        <v>348</v>
      </c>
      <c r="J16" s="349"/>
      <c r="K16" s="102"/>
      <c r="L16" s="102"/>
      <c r="M16" s="102"/>
      <c r="N16" s="102"/>
      <c r="O16" s="102"/>
      <c r="P16" s="102"/>
      <c r="Q16" s="102"/>
      <c r="R16" s="102"/>
      <c r="S16" s="102"/>
    </row>
    <row r="17" spans="1:19">
      <c r="A17" s="36">
        <v>35000</v>
      </c>
      <c r="B17" s="35" t="s">
        <v>8</v>
      </c>
      <c r="C17" s="103">
        <f>+VLOOKUP(A17,'Consolidated IS '!$A:$AG,28,FALSE)</f>
        <v>0</v>
      </c>
      <c r="H17" s="103">
        <f t="shared" si="0"/>
        <v>0</v>
      </c>
      <c r="I17" s="102" t="s">
        <v>348</v>
      </c>
      <c r="J17" s="349"/>
      <c r="K17" s="102"/>
      <c r="L17" s="102"/>
      <c r="M17" s="102"/>
      <c r="N17" s="102"/>
      <c r="O17" s="102"/>
      <c r="P17" s="102"/>
      <c r="Q17" s="102"/>
      <c r="R17" s="102"/>
      <c r="S17" s="102"/>
    </row>
    <row r="18" spans="1:19">
      <c r="A18" s="36">
        <v>33020</v>
      </c>
      <c r="B18" s="35" t="s">
        <v>9</v>
      </c>
      <c r="C18" s="103">
        <f>+VLOOKUP(A18,'Consolidated IS '!$A:$AG,28,FALSE)</f>
        <v>0</v>
      </c>
      <c r="H18" s="103">
        <f t="shared" si="0"/>
        <v>0</v>
      </c>
      <c r="I18" s="102" t="s">
        <v>348</v>
      </c>
      <c r="J18" s="349"/>
      <c r="K18" s="102"/>
      <c r="L18" s="102"/>
      <c r="M18" s="102"/>
      <c r="N18" s="102"/>
      <c r="O18" s="102"/>
      <c r="P18" s="102"/>
      <c r="Q18" s="102"/>
      <c r="R18" s="102"/>
      <c r="S18" s="102"/>
    </row>
    <row r="19" spans="1:19">
      <c r="A19" s="36">
        <v>35500</v>
      </c>
      <c r="B19" s="35" t="s">
        <v>10</v>
      </c>
      <c r="C19" s="103">
        <f>+VLOOKUP(A19,'Consolidated IS '!$A:$AG,28,FALSE)</f>
        <v>0</v>
      </c>
      <c r="H19" s="103">
        <f t="shared" si="0"/>
        <v>0</v>
      </c>
      <c r="I19" s="102" t="s">
        <v>348</v>
      </c>
      <c r="J19" s="349"/>
      <c r="K19" s="102"/>
      <c r="L19" s="102"/>
      <c r="M19" s="102"/>
      <c r="N19" s="102"/>
      <c r="O19" s="102"/>
      <c r="P19" s="102"/>
      <c r="Q19" s="102"/>
      <c r="R19" s="102"/>
      <c r="S19" s="102"/>
    </row>
    <row r="20" spans="1:19">
      <c r="A20" s="36">
        <v>38000</v>
      </c>
      <c r="B20" s="35" t="s">
        <v>11</v>
      </c>
      <c r="C20" s="103">
        <f>+VLOOKUP(A20,'Consolidated IS '!$A:$AG,28,FALSE)</f>
        <v>26572.250590897242</v>
      </c>
      <c r="E20" s="103">
        <f>+$C20*'2183 LOB Ratios'!D$18</f>
        <v>10970.285757300395</v>
      </c>
      <c r="F20" s="103">
        <f>+$C20*'2183 LOB Ratios'!E$18</f>
        <v>11975.540704860887</v>
      </c>
      <c r="G20" s="103">
        <f>+$C20*'2183 LOB Ratios'!F$18</f>
        <v>3626.4241287359609</v>
      </c>
      <c r="H20" s="103">
        <f t="shared" si="0"/>
        <v>26572.250590897245</v>
      </c>
      <c r="I20" s="102" t="s">
        <v>341</v>
      </c>
      <c r="J20" s="349"/>
      <c r="K20" s="102"/>
      <c r="L20" s="102"/>
      <c r="M20" s="102"/>
      <c r="N20" s="102"/>
      <c r="O20" s="102"/>
      <c r="P20" s="102"/>
      <c r="Q20" s="102"/>
      <c r="R20" s="102"/>
      <c r="S20" s="102"/>
    </row>
    <row r="21" spans="1:19">
      <c r="A21" s="36">
        <v>38001</v>
      </c>
      <c r="B21" s="35" t="s">
        <v>12</v>
      </c>
      <c r="C21" s="103">
        <f>+VLOOKUP(A21,'Consolidated IS '!$A:$AG,28,FALSE)</f>
        <v>25721.413337496066</v>
      </c>
      <c r="E21" s="103">
        <f>+$C21*'2183 LOB Ratios'!D$35</f>
        <v>16475.600433209725</v>
      </c>
      <c r="F21" s="103">
        <f>+$C21*'2183 LOB Ratios'!E$35</f>
        <v>7351.1130276175563</v>
      </c>
      <c r="G21" s="103">
        <f>+$C21*'2183 LOB Ratios'!F$35</f>
        <v>1894.6998766687809</v>
      </c>
      <c r="H21" s="103">
        <f t="shared" si="0"/>
        <v>25721.413337496062</v>
      </c>
      <c r="I21" s="102" t="s">
        <v>337</v>
      </c>
      <c r="J21" s="349"/>
      <c r="K21" s="102"/>
      <c r="L21" s="102"/>
      <c r="M21" s="102"/>
      <c r="N21" s="102"/>
      <c r="O21" s="102"/>
      <c r="P21" s="102"/>
      <c r="Q21" s="102"/>
      <c r="R21" s="102"/>
      <c r="S21" s="102"/>
    </row>
    <row r="22" spans="1:19">
      <c r="I22" s="102"/>
      <c r="J22" s="349"/>
      <c r="K22" s="102"/>
      <c r="L22" s="102"/>
      <c r="M22" s="102"/>
      <c r="N22" s="102"/>
      <c r="O22" s="102"/>
      <c r="P22" s="102"/>
      <c r="Q22" s="102"/>
      <c r="R22" s="102"/>
      <c r="S22" s="102"/>
    </row>
    <row r="23" spans="1:19">
      <c r="B23" s="32" t="s">
        <v>13</v>
      </c>
      <c r="C23" s="140">
        <f>SUM(C9:C22)</f>
        <v>27790575.685174663</v>
      </c>
      <c r="D23" s="140"/>
      <c r="E23" s="140">
        <f>SUM(E9:E22)</f>
        <v>21260136.741338629</v>
      </c>
      <c r="F23" s="140">
        <f>SUM(F9:F22)</f>
        <v>4684753.8740177304</v>
      </c>
      <c r="G23" s="140">
        <f>SUM(G9:G22)</f>
        <v>1845685.0698183018</v>
      </c>
      <c r="H23" s="140">
        <f>SUM(H9:H22)</f>
        <v>27790575.685174663</v>
      </c>
      <c r="I23" s="102"/>
      <c r="J23" s="349">
        <f>C23-H23</f>
        <v>0</v>
      </c>
      <c r="K23" s="102"/>
      <c r="L23" s="102"/>
      <c r="M23" s="102"/>
      <c r="N23" s="102"/>
      <c r="O23" s="102"/>
      <c r="P23" s="102"/>
    </row>
    <row r="24" spans="1:19">
      <c r="C24" s="103">
        <f>+C23-'Consolidated IS '!AB24</f>
        <v>0</v>
      </c>
      <c r="E24" s="144">
        <f>E23/$C$23</f>
        <v>0.765012462576664</v>
      </c>
      <c r="F24" s="144">
        <f>F23/$C$23</f>
        <v>0.16857347350731164</v>
      </c>
      <c r="G24" s="144">
        <f>G23/$C$23</f>
        <v>6.6414063916024335E-2</v>
      </c>
      <c r="H24" s="103">
        <f>+H23-C23</f>
        <v>0</v>
      </c>
      <c r="I24" s="102"/>
      <c r="J24" s="349">
        <f t="shared" ref="J24:J87" si="1">C24-H24</f>
        <v>0</v>
      </c>
      <c r="K24" s="102"/>
      <c r="L24" s="102"/>
      <c r="M24" s="102"/>
      <c r="N24" s="102"/>
      <c r="O24" s="102"/>
      <c r="P24" s="102"/>
    </row>
    <row r="25" spans="1:19">
      <c r="I25" s="102"/>
      <c r="J25" s="349">
        <f t="shared" si="1"/>
        <v>0</v>
      </c>
      <c r="K25" s="102"/>
      <c r="L25" s="102"/>
      <c r="M25" s="102"/>
      <c r="N25" s="102"/>
      <c r="O25" s="102"/>
      <c r="P25" s="102"/>
    </row>
    <row r="26" spans="1:19">
      <c r="I26" s="102"/>
      <c r="J26" s="349">
        <f t="shared" si="1"/>
        <v>0</v>
      </c>
      <c r="K26" s="102"/>
      <c r="L26" s="102"/>
      <c r="M26" s="102"/>
      <c r="N26" s="102"/>
      <c r="O26" s="102"/>
      <c r="P26" s="102"/>
    </row>
    <row r="27" spans="1:19">
      <c r="B27" s="32" t="s">
        <v>14</v>
      </c>
      <c r="I27" s="102"/>
      <c r="J27" s="349">
        <f t="shared" si="1"/>
        <v>0</v>
      </c>
      <c r="K27" s="102"/>
      <c r="L27" s="102"/>
      <c r="M27" s="102"/>
      <c r="N27" s="102"/>
      <c r="O27" s="102"/>
      <c r="P27" s="102"/>
    </row>
    <row r="28" spans="1:19">
      <c r="A28" s="38">
        <v>57125</v>
      </c>
      <c r="B28" s="39" t="s">
        <v>15</v>
      </c>
      <c r="C28" s="103">
        <f>+VLOOKUP(A28,'Consolidated IS '!$A:$AG,28,FALSE)</f>
        <v>4813.010432769539</v>
      </c>
      <c r="E28" s="103">
        <f>+$C28*'2183 LOB Ratios'!D$18</f>
        <v>1987.0390586500571</v>
      </c>
      <c r="F28" s="103">
        <f>+$C28*'2183 LOB Ratios'!E$18</f>
        <v>2169.1200808672452</v>
      </c>
      <c r="G28" s="103">
        <f>+$C28*'2183 LOB Ratios'!F$18</f>
        <v>656.8512932522367</v>
      </c>
      <c r="H28" s="103">
        <f t="shared" ref="H28:H29" si="2">SUM(E28:G28)</f>
        <v>4813.010432769539</v>
      </c>
      <c r="I28" s="102" t="s">
        <v>341</v>
      </c>
      <c r="J28" s="349">
        <f t="shared" si="1"/>
        <v>0</v>
      </c>
      <c r="K28" s="102"/>
      <c r="L28" s="102"/>
      <c r="M28" s="102"/>
      <c r="N28" s="102"/>
      <c r="O28" s="102"/>
      <c r="P28" s="102"/>
    </row>
    <row r="29" spans="1:19">
      <c r="A29" s="38">
        <v>57147</v>
      </c>
      <c r="B29" s="39" t="s">
        <v>16</v>
      </c>
      <c r="C29" s="103">
        <f>+VLOOKUP(A29,'Consolidated IS '!$A:$AG,28,FALSE)</f>
        <v>124003.31305078878</v>
      </c>
      <c r="E29" s="103">
        <f>+$C29*'2183 LOB Ratios'!D$18</f>
        <v>51194.450931647509</v>
      </c>
      <c r="F29" s="103">
        <f>+$C29*'2183 LOB Ratios'!E$18</f>
        <v>55885.620899798443</v>
      </c>
      <c r="G29" s="103">
        <f>+$C29*'2183 LOB Ratios'!F$18</f>
        <v>16923.241219342839</v>
      </c>
      <c r="H29" s="103">
        <f t="shared" si="2"/>
        <v>124003.3130507888</v>
      </c>
      <c r="I29" s="102" t="s">
        <v>341</v>
      </c>
      <c r="J29" s="349">
        <f t="shared" si="1"/>
        <v>0</v>
      </c>
      <c r="K29" s="102"/>
      <c r="L29" s="102"/>
      <c r="M29" s="102"/>
      <c r="N29" s="102"/>
      <c r="O29" s="102"/>
      <c r="P29" s="102"/>
    </row>
    <row r="30" spans="1:19" s="143" customFormat="1">
      <c r="A30" s="40"/>
      <c r="B30" s="41"/>
      <c r="C30" s="141"/>
      <c r="D30" s="141"/>
      <c r="E30" s="141"/>
      <c r="F30" s="141"/>
      <c r="G30" s="141"/>
      <c r="H30" s="141"/>
      <c r="I30" s="142"/>
      <c r="J30" s="349">
        <f t="shared" si="1"/>
        <v>0</v>
      </c>
      <c r="K30" s="142"/>
      <c r="L30" s="102"/>
      <c r="M30" s="142"/>
      <c r="N30" s="142"/>
      <c r="O30" s="142"/>
      <c r="P30" s="142"/>
    </row>
    <row r="31" spans="1:19">
      <c r="A31" s="43">
        <v>41200</v>
      </c>
      <c r="B31" s="32" t="s">
        <v>13</v>
      </c>
      <c r="C31" s="140">
        <f>SUM(C28:C30)</f>
        <v>128816.32348355833</v>
      </c>
      <c r="D31" s="140"/>
      <c r="E31" s="140">
        <f>SUM(E28:E30)</f>
        <v>53181.489990297567</v>
      </c>
      <c r="F31" s="140">
        <f>SUM(F28:F30)</f>
        <v>58054.740980665687</v>
      </c>
      <c r="G31" s="140">
        <f>SUM(G28:G30)</f>
        <v>17580.092512595074</v>
      </c>
      <c r="H31" s="140">
        <f>SUM(H28:H30)</f>
        <v>128816.32348355834</v>
      </c>
      <c r="I31" s="102"/>
      <c r="J31" s="349">
        <f t="shared" si="1"/>
        <v>0</v>
      </c>
      <c r="K31" s="102"/>
      <c r="L31" s="102"/>
      <c r="M31" s="102"/>
      <c r="N31" s="102"/>
      <c r="O31" s="102"/>
      <c r="P31" s="102"/>
    </row>
    <row r="32" spans="1:19">
      <c r="I32" s="102"/>
      <c r="J32" s="349">
        <f t="shared" si="1"/>
        <v>0</v>
      </c>
      <c r="K32" s="102"/>
      <c r="L32" s="102"/>
      <c r="M32" s="102"/>
      <c r="N32" s="102"/>
      <c r="O32" s="102"/>
      <c r="P32" s="102"/>
    </row>
    <row r="33" spans="1:16">
      <c r="A33" s="42">
        <v>52010</v>
      </c>
      <c r="B33" s="35" t="s">
        <v>17</v>
      </c>
      <c r="C33" s="103">
        <f>+VLOOKUP(A33,'Consolidated IS '!$A:$AG,28,FALSE)</f>
        <v>75422.714827010219</v>
      </c>
      <c r="E33" s="103">
        <f>+$C33*'2183 LOB Ratios'!D$35</f>
        <v>48311.284328464957</v>
      </c>
      <c r="F33" s="103">
        <f>+$C33*'2183 LOB Ratios'!E$35</f>
        <v>21555.615714742544</v>
      </c>
      <c r="G33" s="103">
        <f>+$C33*'2183 LOB Ratios'!F$35</f>
        <v>5555.8147838027116</v>
      </c>
      <c r="H33" s="103">
        <f t="shared" ref="H33:H38" si="3">SUM(E33:G33)</f>
        <v>75422.714827010204</v>
      </c>
      <c r="I33" s="102" t="s">
        <v>337</v>
      </c>
      <c r="J33" s="349">
        <f t="shared" si="1"/>
        <v>0</v>
      </c>
      <c r="K33" s="102"/>
      <c r="L33" s="102"/>
      <c r="M33" s="102"/>
      <c r="N33" s="102"/>
      <c r="O33" s="102"/>
      <c r="P33" s="102"/>
    </row>
    <row r="34" spans="1:16">
      <c r="A34" s="42">
        <v>52020</v>
      </c>
      <c r="B34" s="39" t="s">
        <v>18</v>
      </c>
      <c r="C34" s="103">
        <f>+VLOOKUP(A34,'Consolidated IS '!$A:$AG,28,FALSE)</f>
        <v>464829.6835421857</v>
      </c>
      <c r="E34" s="103">
        <f>+$C34*'2183 LOB Ratios'!D$35</f>
        <v>297742.11996244459</v>
      </c>
      <c r="F34" s="103">
        <f>+$C34*'2183 LOB Ratios'!E$35</f>
        <v>132847.11448297685</v>
      </c>
      <c r="G34" s="103">
        <f>+$C34*'2183 LOB Ratios'!F$35</f>
        <v>34240.449096764271</v>
      </c>
      <c r="H34" s="103">
        <f t="shared" si="3"/>
        <v>464829.6835421857</v>
      </c>
      <c r="I34" s="102" t="s">
        <v>337</v>
      </c>
      <c r="J34" s="349">
        <f t="shared" si="1"/>
        <v>0</v>
      </c>
      <c r="K34" s="102"/>
      <c r="L34" s="102"/>
      <c r="M34" s="102"/>
      <c r="N34" s="102"/>
      <c r="O34" s="102"/>
      <c r="P34" s="102"/>
    </row>
    <row r="35" spans="1:16">
      <c r="A35" s="42">
        <v>52025</v>
      </c>
      <c r="B35" s="35" t="s">
        <v>19</v>
      </c>
      <c r="C35" s="103">
        <f>+VLOOKUP(A35,'Consolidated IS '!$A:$AG,28,FALSE)</f>
        <v>65037.020195544064</v>
      </c>
      <c r="E35" s="103">
        <f>+$C35*'2183 LOB Ratios'!D$35</f>
        <v>41658.828931703116</v>
      </c>
      <c r="F35" s="103">
        <f>+$C35*'2183 LOB Ratios'!E$35</f>
        <v>18587.411203409079</v>
      </c>
      <c r="G35" s="103">
        <f>+$C35*'2183 LOB Ratios'!F$35</f>
        <v>4790.7800604318636</v>
      </c>
      <c r="H35" s="103">
        <f t="shared" si="3"/>
        <v>65037.020195544057</v>
      </c>
      <c r="I35" s="102" t="s">
        <v>337</v>
      </c>
      <c r="J35" s="349">
        <f t="shared" si="1"/>
        <v>0</v>
      </c>
      <c r="K35" s="102"/>
      <c r="L35" s="102"/>
      <c r="M35" s="102"/>
      <c r="N35" s="102"/>
      <c r="O35" s="102"/>
      <c r="P35" s="102"/>
    </row>
    <row r="36" spans="1:16">
      <c r="A36" s="42">
        <v>52035</v>
      </c>
      <c r="B36" s="35" t="s">
        <v>20</v>
      </c>
      <c r="C36" s="103">
        <f>+VLOOKUP(A36,'Consolidated IS '!$A:$AG,28,FALSE)</f>
        <v>5300.6808170971963</v>
      </c>
      <c r="E36" s="103">
        <f>+$C36*'2183 LOB Ratios'!D$35</f>
        <v>3395.2993958991628</v>
      </c>
      <c r="F36" s="103">
        <f>+$C36*'2183 LOB Ratios'!E$35</f>
        <v>1514.9207898697425</v>
      </c>
      <c r="G36" s="103">
        <f>+$C36*'2183 LOB Ratios'!F$35</f>
        <v>390.46063132829067</v>
      </c>
      <c r="H36" s="103">
        <f t="shared" si="3"/>
        <v>5300.6808170971963</v>
      </c>
      <c r="I36" s="102" t="s">
        <v>337</v>
      </c>
      <c r="J36" s="349">
        <f t="shared" si="1"/>
        <v>0</v>
      </c>
      <c r="K36" s="102"/>
      <c r="L36" s="102"/>
      <c r="M36" s="102"/>
      <c r="N36" s="102"/>
      <c r="O36" s="102"/>
      <c r="P36" s="102"/>
    </row>
    <row r="37" spans="1:16">
      <c r="A37" s="36">
        <v>52065</v>
      </c>
      <c r="B37" s="35" t="s">
        <v>21</v>
      </c>
      <c r="C37" s="103">
        <f>+VLOOKUP(A37,'Consolidated IS '!$A:$AG,28,FALSE)</f>
        <v>14775.828263637773</v>
      </c>
      <c r="E37" s="103">
        <f>+$C37*'2183 LOB Ratios'!D$35</f>
        <v>9464.5126746025671</v>
      </c>
      <c r="F37" s="103">
        <f>+$C37*'2183 LOB Ratios'!E$35</f>
        <v>4222.8932841853384</v>
      </c>
      <c r="G37" s="103">
        <f>+$C37*'2183 LOB Ratios'!F$35</f>
        <v>1088.4223048498668</v>
      </c>
      <c r="H37" s="103">
        <f t="shared" si="3"/>
        <v>14775.828263637772</v>
      </c>
      <c r="I37" s="102" t="s">
        <v>337</v>
      </c>
      <c r="J37" s="349">
        <f t="shared" si="1"/>
        <v>0</v>
      </c>
      <c r="K37" s="102"/>
      <c r="L37" s="102"/>
      <c r="M37" s="102"/>
      <c r="N37" s="102"/>
      <c r="O37" s="102"/>
      <c r="P37" s="102"/>
    </row>
    <row r="38" spans="1:16">
      <c r="A38" s="36">
        <v>52070</v>
      </c>
      <c r="B38" s="35" t="s">
        <v>22</v>
      </c>
      <c r="C38" s="103">
        <f>+VLOOKUP(A38,'Consolidated IS '!$A:$AG,28,FALSE)</f>
        <v>18067.66653765065</v>
      </c>
      <c r="E38" s="103">
        <f>+$C38*'2183 LOB Ratios'!D$35</f>
        <v>11573.067573268279</v>
      </c>
      <c r="F38" s="103">
        <f>+$C38*'2183 LOB Ratios'!E$35</f>
        <v>5163.692100463054</v>
      </c>
      <c r="G38" s="103">
        <f>+$C38*'2183 LOB Ratios'!F$35</f>
        <v>1330.9068639193156</v>
      </c>
      <c r="H38" s="103">
        <f t="shared" si="3"/>
        <v>18067.66653765065</v>
      </c>
      <c r="I38" s="102" t="s">
        <v>337</v>
      </c>
      <c r="J38" s="349">
        <f t="shared" si="1"/>
        <v>0</v>
      </c>
      <c r="K38" s="102"/>
      <c r="L38" s="102"/>
      <c r="M38" s="102"/>
      <c r="N38" s="102"/>
      <c r="O38" s="102"/>
      <c r="P38" s="102"/>
    </row>
    <row r="39" spans="1:16" s="143" customFormat="1">
      <c r="A39" s="44"/>
      <c r="B39" s="34"/>
      <c r="C39" s="141"/>
      <c r="D39" s="141"/>
      <c r="E39" s="141"/>
      <c r="F39" s="141"/>
      <c r="G39" s="141"/>
      <c r="H39" s="141"/>
      <c r="I39" s="142"/>
      <c r="J39" s="349">
        <f t="shared" si="1"/>
        <v>0</v>
      </c>
      <c r="K39" s="142"/>
      <c r="L39" s="102"/>
      <c r="M39" s="142"/>
      <c r="N39" s="142"/>
      <c r="O39" s="142"/>
      <c r="P39" s="142"/>
    </row>
    <row r="40" spans="1:16">
      <c r="A40" s="43">
        <v>41310</v>
      </c>
      <c r="B40" s="32" t="s">
        <v>23</v>
      </c>
      <c r="C40" s="140">
        <f>SUM(C33:C39)</f>
        <v>643433.59418312553</v>
      </c>
      <c r="D40" s="140"/>
      <c r="E40" s="140">
        <f>SUM(E33:E39)</f>
        <v>412145.11286638264</v>
      </c>
      <c r="F40" s="140">
        <f>SUM(F33:F39)</f>
        <v>183891.64757564661</v>
      </c>
      <c r="G40" s="140">
        <f>SUM(G33:G39)</f>
        <v>47396.833741096321</v>
      </c>
      <c r="H40" s="140">
        <f>SUM(H33:H39)</f>
        <v>643433.59418312542</v>
      </c>
      <c r="I40" s="102"/>
      <c r="J40" s="349">
        <f t="shared" si="1"/>
        <v>0</v>
      </c>
      <c r="K40" s="102"/>
      <c r="L40" s="102"/>
      <c r="M40" s="102"/>
      <c r="N40" s="102"/>
      <c r="O40" s="102"/>
      <c r="P40" s="102"/>
    </row>
    <row r="41" spans="1:16">
      <c r="A41" s="43"/>
      <c r="B41" s="32"/>
      <c r="I41" s="102"/>
      <c r="J41" s="349">
        <f t="shared" si="1"/>
        <v>0</v>
      </c>
      <c r="K41" s="102"/>
      <c r="L41" s="102"/>
      <c r="M41" s="102"/>
      <c r="N41" s="102"/>
      <c r="O41" s="102"/>
      <c r="P41" s="102"/>
    </row>
    <row r="42" spans="1:16">
      <c r="A42" s="44">
        <v>55020</v>
      </c>
      <c r="B42" s="34" t="s">
        <v>24</v>
      </c>
      <c r="C42" s="103">
        <f>+VLOOKUP(A42,'Consolidated IS '!$A:$AG,28,FALSE)</f>
        <v>2269.8264946297763</v>
      </c>
      <c r="E42" s="103">
        <f>C42</f>
        <v>2269.8264946297763</v>
      </c>
      <c r="F42" s="103">
        <f>+$C42*'2183 LOB Ratios'!E$19</f>
        <v>0</v>
      </c>
      <c r="G42" s="103">
        <f>+$C42*'2183 LOB Ratios'!F$19</f>
        <v>0</v>
      </c>
      <c r="H42" s="103">
        <f t="shared" ref="H42:H44" si="4">SUM(E42:G42)</f>
        <v>2269.8264946297763</v>
      </c>
      <c r="I42" s="102" t="s">
        <v>348</v>
      </c>
      <c r="J42" s="349">
        <f t="shared" si="1"/>
        <v>0</v>
      </c>
      <c r="K42" s="102"/>
      <c r="L42" s="102"/>
      <c r="M42" s="102"/>
      <c r="N42" s="102"/>
      <c r="O42" s="102"/>
      <c r="P42" s="102"/>
    </row>
    <row r="43" spans="1:16">
      <c r="A43" s="44">
        <v>55025</v>
      </c>
      <c r="B43" s="34" t="s">
        <v>25</v>
      </c>
      <c r="C43" s="103">
        <f>+VLOOKUP(A43,'Consolidated IS '!$A:$AG,28,FALSE)</f>
        <v>246.67664710391631</v>
      </c>
      <c r="E43" s="103">
        <f>C43</f>
        <v>246.67664710391631</v>
      </c>
      <c r="F43" s="103">
        <f>+$C43*'2183 LOB Ratios'!E$19</f>
        <v>0</v>
      </c>
      <c r="G43" s="103">
        <f>+$C43*'2183 LOB Ratios'!F$19</f>
        <v>0</v>
      </c>
      <c r="H43" s="103">
        <f t="shared" si="4"/>
        <v>246.67664710391631</v>
      </c>
      <c r="I43" s="102" t="s">
        <v>348</v>
      </c>
      <c r="J43" s="349">
        <f t="shared" si="1"/>
        <v>0</v>
      </c>
      <c r="K43" s="102"/>
      <c r="L43" s="102"/>
      <c r="M43" s="102"/>
      <c r="N43" s="102"/>
      <c r="O43" s="102"/>
      <c r="P43" s="102"/>
    </row>
    <row r="44" spans="1:16">
      <c r="A44" s="44">
        <v>55065</v>
      </c>
      <c r="B44" s="34" t="s">
        <v>21</v>
      </c>
      <c r="C44" s="103">
        <f>+VLOOKUP(A44,'Consolidated IS '!$A:$AG,28,FALSE)</f>
        <v>190.53456230045455</v>
      </c>
      <c r="E44" s="103">
        <f>C44</f>
        <v>190.53456230045455</v>
      </c>
      <c r="F44" s="103">
        <f>+$C44*'2183 LOB Ratios'!E$19</f>
        <v>0</v>
      </c>
      <c r="G44" s="103">
        <f>+$C44*'2183 LOB Ratios'!F$19</f>
        <v>0</v>
      </c>
      <c r="H44" s="103">
        <f t="shared" si="4"/>
        <v>190.53456230045455</v>
      </c>
      <c r="I44" s="102" t="s">
        <v>348</v>
      </c>
      <c r="J44" s="349">
        <f t="shared" si="1"/>
        <v>0</v>
      </c>
      <c r="K44" s="102"/>
      <c r="L44" s="102"/>
      <c r="M44" s="102"/>
      <c r="N44" s="102"/>
      <c r="O44" s="102"/>
      <c r="P44" s="102"/>
    </row>
    <row r="45" spans="1:16" s="143" customFormat="1">
      <c r="A45" s="44"/>
      <c r="B45" s="34"/>
      <c r="C45" s="141"/>
      <c r="D45" s="141"/>
      <c r="E45" s="141"/>
      <c r="F45" s="141"/>
      <c r="G45" s="141"/>
      <c r="H45" s="141"/>
      <c r="I45" s="142"/>
      <c r="J45" s="349">
        <f t="shared" si="1"/>
        <v>0</v>
      </c>
      <c r="K45" s="142"/>
      <c r="L45" s="102"/>
      <c r="M45" s="142"/>
      <c r="N45" s="142"/>
      <c r="O45" s="142"/>
      <c r="P45" s="142"/>
    </row>
    <row r="46" spans="1:16">
      <c r="A46" s="43">
        <v>41311</v>
      </c>
      <c r="B46" s="32" t="s">
        <v>28</v>
      </c>
      <c r="C46" s="140">
        <f>SUM(C42:C45)</f>
        <v>2707.0377040341473</v>
      </c>
      <c r="D46" s="140"/>
      <c r="E46" s="140">
        <f>SUM(E42:E45)</f>
        <v>2707.0377040341473</v>
      </c>
      <c r="F46" s="140">
        <f>SUM(F42:F45)</f>
        <v>0</v>
      </c>
      <c r="G46" s="140">
        <f>SUM(G42:G45)</f>
        <v>0</v>
      </c>
      <c r="H46" s="140">
        <f>SUM(H42:H45)</f>
        <v>2707.0377040341473</v>
      </c>
      <c r="I46" s="102"/>
      <c r="J46" s="349">
        <f t="shared" si="1"/>
        <v>0</v>
      </c>
      <c r="K46" s="102"/>
      <c r="L46" s="102"/>
      <c r="M46" s="102"/>
      <c r="N46" s="102"/>
      <c r="O46" s="102"/>
      <c r="P46" s="102"/>
    </row>
    <row r="47" spans="1:16">
      <c r="I47" s="102"/>
      <c r="J47" s="349">
        <f t="shared" si="1"/>
        <v>0</v>
      </c>
      <c r="K47" s="102"/>
      <c r="L47" s="102"/>
      <c r="M47" s="102"/>
      <c r="N47" s="102"/>
      <c r="O47" s="102"/>
      <c r="P47" s="102"/>
    </row>
    <row r="48" spans="1:16">
      <c r="A48" s="43"/>
      <c r="B48" s="32"/>
      <c r="I48" s="102"/>
      <c r="J48" s="349">
        <f t="shared" si="1"/>
        <v>0</v>
      </c>
      <c r="K48" s="102"/>
      <c r="L48" s="102"/>
      <c r="M48" s="102"/>
      <c r="N48" s="102"/>
      <c r="O48" s="102"/>
      <c r="P48" s="102"/>
    </row>
    <row r="49" spans="1:16">
      <c r="A49" s="42">
        <v>52120</v>
      </c>
      <c r="B49" s="35" t="s">
        <v>29</v>
      </c>
      <c r="C49" s="103">
        <f>+VLOOKUP(A49,'Consolidated IS '!$A:$AG,28,FALSE)</f>
        <v>291463.82107711083</v>
      </c>
      <c r="E49" s="103">
        <f>+$C49*'2183 LOB Ratios'!D$35</f>
        <v>186694.30772696724</v>
      </c>
      <c r="F49" s="103">
        <f>+$C49*'2183 LOB Ratios'!E$35</f>
        <v>83299.601934227088</v>
      </c>
      <c r="G49" s="103">
        <f>+$C49*'2183 LOB Ratios'!F$35</f>
        <v>21469.911415916493</v>
      </c>
      <c r="H49" s="103">
        <f t="shared" ref="H49:H53" si="5">SUM(E49:G49)</f>
        <v>291463.82107711083</v>
      </c>
      <c r="I49" s="102" t="s">
        <v>337</v>
      </c>
      <c r="J49" s="349">
        <f t="shared" si="1"/>
        <v>0</v>
      </c>
      <c r="K49" s="102"/>
      <c r="L49" s="102"/>
      <c r="M49" s="102"/>
      <c r="N49" s="102"/>
      <c r="O49" s="102"/>
      <c r="P49" s="102"/>
    </row>
    <row r="50" spans="1:16">
      <c r="A50" s="42">
        <v>52125</v>
      </c>
      <c r="B50" s="35" t="s">
        <v>30</v>
      </c>
      <c r="C50" s="103">
        <f>+VLOOKUP(A50,'Consolidated IS '!$A:$AG,28,FALSE)</f>
        <v>50495.139981422777</v>
      </c>
      <c r="E50" s="103">
        <f>+$C50*'2183 LOB Ratios'!D$35</f>
        <v>32344.169398348567</v>
      </c>
      <c r="F50" s="103">
        <f>+$C50*'2183 LOB Ratios'!E$35</f>
        <v>14431.379663250818</v>
      </c>
      <c r="G50" s="103">
        <f>+$C50*'2183 LOB Ratios'!F$35</f>
        <v>3719.5909198233885</v>
      </c>
      <c r="H50" s="103">
        <f t="shared" si="5"/>
        <v>50495.13998142277</v>
      </c>
      <c r="I50" s="102" t="s">
        <v>337</v>
      </c>
      <c r="J50" s="349">
        <f t="shared" si="1"/>
        <v>0</v>
      </c>
      <c r="K50" s="102"/>
      <c r="L50" s="102"/>
      <c r="M50" s="102"/>
      <c r="N50" s="102"/>
      <c r="O50" s="102"/>
      <c r="P50" s="102"/>
    </row>
    <row r="51" spans="1:16">
      <c r="A51" s="42">
        <v>52135</v>
      </c>
      <c r="B51" s="35" t="s">
        <v>31</v>
      </c>
      <c r="C51" s="103">
        <f>+VLOOKUP(A51,'Consolidated IS '!$A:$AG,28,FALSE)</f>
        <v>62.71612653068722</v>
      </c>
      <c r="E51" s="103">
        <f>+$C51*'2183 LOB Ratios'!D$35</f>
        <v>40.172203132085549</v>
      </c>
      <c r="F51" s="103">
        <f>+$C51*'2183 LOB Ratios'!E$35</f>
        <v>17.924105830893918</v>
      </c>
      <c r="G51" s="103">
        <f>+$C51*'2183 LOB Ratios'!F$35</f>
        <v>4.6198175677077487</v>
      </c>
      <c r="H51" s="103">
        <f t="shared" si="5"/>
        <v>62.716126530687212</v>
      </c>
      <c r="I51" s="102" t="s">
        <v>337</v>
      </c>
      <c r="J51" s="349">
        <f t="shared" si="1"/>
        <v>0</v>
      </c>
      <c r="K51" s="102"/>
      <c r="L51" s="102"/>
      <c r="M51" s="102"/>
      <c r="N51" s="102"/>
      <c r="O51" s="102"/>
      <c r="P51" s="102"/>
    </row>
    <row r="52" spans="1:16">
      <c r="A52" s="42">
        <v>55120</v>
      </c>
      <c r="B52" s="35" t="s">
        <v>29</v>
      </c>
      <c r="C52" s="103">
        <f>+VLOOKUP(A52,'Consolidated IS '!$A:$AG,28,FALSE)</f>
        <v>9044.6861701746056</v>
      </c>
      <c r="E52" s="103">
        <f t="shared" ref="E52:E53" si="6">C52</f>
        <v>9044.6861701746056</v>
      </c>
      <c r="F52" s="103">
        <f>+$C52*'2183 LOB Ratios'!E$19</f>
        <v>0</v>
      </c>
      <c r="G52" s="103">
        <f>+$C52*'2183 LOB Ratios'!F$19</f>
        <v>0</v>
      </c>
      <c r="H52" s="103">
        <f t="shared" si="5"/>
        <v>9044.6861701746056</v>
      </c>
      <c r="I52" s="102" t="s">
        <v>348</v>
      </c>
      <c r="J52" s="349">
        <f t="shared" si="1"/>
        <v>0</v>
      </c>
      <c r="K52" s="102"/>
      <c r="L52" s="102"/>
      <c r="M52" s="102"/>
      <c r="N52" s="102"/>
      <c r="O52" s="102"/>
      <c r="P52" s="102"/>
    </row>
    <row r="53" spans="1:16">
      <c r="A53" s="42">
        <v>55125</v>
      </c>
      <c r="B53" s="35" t="s">
        <v>30</v>
      </c>
      <c r="C53" s="103">
        <f>+VLOOKUP(A53,'Consolidated IS '!$A:$AG,28,FALSE)</f>
        <v>13661.611556787333</v>
      </c>
      <c r="E53" s="103">
        <f t="shared" si="6"/>
        <v>13661.611556787333</v>
      </c>
      <c r="F53" s="103">
        <f>+$C53*'2183 LOB Ratios'!E$19</f>
        <v>0</v>
      </c>
      <c r="G53" s="103">
        <f>+$C53*'2183 LOB Ratios'!F$19</f>
        <v>0</v>
      </c>
      <c r="H53" s="103">
        <f t="shared" si="5"/>
        <v>13661.611556787333</v>
      </c>
      <c r="I53" s="102" t="s">
        <v>348</v>
      </c>
      <c r="J53" s="349">
        <f t="shared" si="1"/>
        <v>0</v>
      </c>
      <c r="K53" s="102"/>
      <c r="L53" s="102"/>
      <c r="M53" s="102"/>
      <c r="N53" s="102"/>
      <c r="O53" s="102"/>
      <c r="P53" s="102"/>
    </row>
    <row r="54" spans="1:16">
      <c r="A54" s="42"/>
      <c r="I54" s="102"/>
      <c r="J54" s="349">
        <f t="shared" si="1"/>
        <v>0</v>
      </c>
      <c r="K54" s="102"/>
      <c r="L54" s="102"/>
      <c r="M54" s="102"/>
      <c r="N54" s="102"/>
      <c r="O54" s="102"/>
      <c r="P54" s="102"/>
    </row>
    <row r="55" spans="1:16">
      <c r="A55" s="43">
        <v>41320</v>
      </c>
      <c r="B55" s="32" t="s">
        <v>32</v>
      </c>
      <c r="C55" s="140">
        <f>SUM(C49:C54)</f>
        <v>364727.97491202626</v>
      </c>
      <c r="D55" s="140"/>
      <c r="E55" s="140">
        <f>SUM(E49:E54)</f>
        <v>241784.94705540984</v>
      </c>
      <c r="F55" s="140">
        <f>SUM(F49:F54)</f>
        <v>97748.905703308803</v>
      </c>
      <c r="G55" s="140">
        <f>SUM(G49:G54)</f>
        <v>25194.122153307591</v>
      </c>
      <c r="H55" s="140">
        <f>SUM(H49:H54)</f>
        <v>364727.9749120262</v>
      </c>
      <c r="I55" s="102"/>
      <c r="J55" s="349">
        <f t="shared" si="1"/>
        <v>0</v>
      </c>
      <c r="K55" s="102"/>
      <c r="L55" s="102"/>
      <c r="M55" s="102"/>
      <c r="N55" s="102"/>
      <c r="O55" s="102"/>
      <c r="P55" s="102"/>
    </row>
    <row r="56" spans="1:16">
      <c r="I56" s="102"/>
      <c r="J56" s="349">
        <f t="shared" si="1"/>
        <v>0</v>
      </c>
      <c r="K56" s="102"/>
      <c r="L56" s="102"/>
      <c r="M56" s="102"/>
      <c r="N56" s="102"/>
      <c r="O56" s="102"/>
      <c r="P56" s="102"/>
    </row>
    <row r="57" spans="1:16">
      <c r="A57" s="36">
        <v>52147</v>
      </c>
      <c r="B57" s="35" t="s">
        <v>33</v>
      </c>
      <c r="C57" s="103">
        <f>+VLOOKUP(A57,'Consolidated IS '!$A:$AG,28,FALSE)</f>
        <v>116907.07644714491</v>
      </c>
      <c r="E57" s="103">
        <f>+$C57*'2183 LOB Ratios'!D$35</f>
        <v>74883.687536330661</v>
      </c>
      <c r="F57" s="103">
        <f>+$C57*'2183 LOB Ratios'!E$35</f>
        <v>33411.738360367613</v>
      </c>
      <c r="G57" s="103">
        <f>+$C57*'2183 LOB Ratios'!F$35</f>
        <v>8611.6505504466259</v>
      </c>
      <c r="H57" s="103">
        <f t="shared" ref="H57:H58" si="7">SUM(E57:G57)</f>
        <v>116907.07644714491</v>
      </c>
      <c r="I57" s="102" t="s">
        <v>337</v>
      </c>
      <c r="J57" s="349">
        <f t="shared" si="1"/>
        <v>0</v>
      </c>
      <c r="K57" s="102"/>
      <c r="L57" s="102"/>
      <c r="M57" s="102"/>
      <c r="N57" s="102"/>
      <c r="O57" s="102"/>
      <c r="P57" s="102"/>
    </row>
    <row r="58" spans="1:16">
      <c r="A58" s="36">
        <v>55147</v>
      </c>
      <c r="B58" s="35" t="s">
        <v>33</v>
      </c>
      <c r="C58" s="103">
        <f>+VLOOKUP(A58,'Consolidated IS '!$A:$AG,28,FALSE)</f>
        <v>311120.54190510616</v>
      </c>
      <c r="E58" s="103">
        <f>C58</f>
        <v>311120.54190510616</v>
      </c>
      <c r="F58" s="103">
        <f>+$C58*'2183 LOB Ratios'!E$19</f>
        <v>0</v>
      </c>
      <c r="G58" s="103">
        <f>+$C58*'2183 LOB Ratios'!F$19</f>
        <v>0</v>
      </c>
      <c r="H58" s="103">
        <f t="shared" si="7"/>
        <v>311120.54190510616</v>
      </c>
      <c r="I58" s="102" t="s">
        <v>348</v>
      </c>
      <c r="J58" s="349">
        <f t="shared" si="1"/>
        <v>0</v>
      </c>
      <c r="K58" s="102"/>
      <c r="L58" s="102"/>
      <c r="M58" s="102"/>
      <c r="N58" s="102"/>
      <c r="O58" s="102"/>
      <c r="P58" s="102"/>
    </row>
    <row r="59" spans="1:16" s="143" customFormat="1">
      <c r="A59" s="44"/>
      <c r="B59" s="34"/>
      <c r="C59" s="141"/>
      <c r="D59" s="141"/>
      <c r="E59" s="141"/>
      <c r="F59" s="141"/>
      <c r="G59" s="141"/>
      <c r="H59" s="141"/>
      <c r="I59" s="142"/>
      <c r="J59" s="349">
        <f t="shared" si="1"/>
        <v>0</v>
      </c>
      <c r="K59" s="142"/>
      <c r="L59" s="102"/>
      <c r="M59" s="142"/>
      <c r="N59" s="142"/>
      <c r="O59" s="142"/>
      <c r="P59" s="142"/>
    </row>
    <row r="60" spans="1:16">
      <c r="A60" s="43">
        <v>41330</v>
      </c>
      <c r="B60" s="32" t="s">
        <v>13</v>
      </c>
      <c r="C60" s="140">
        <f>SUM(C57:C59)</f>
        <v>428027.61835225107</v>
      </c>
      <c r="D60" s="140"/>
      <c r="E60" s="140">
        <f t="shared" ref="E60:H60" si="8">SUM(E57:E59)</f>
        <v>386004.22944143682</v>
      </c>
      <c r="F60" s="140">
        <f t="shared" si="8"/>
        <v>33411.738360367613</v>
      </c>
      <c r="G60" s="140">
        <f t="shared" si="8"/>
        <v>8611.6505504466259</v>
      </c>
      <c r="H60" s="140">
        <f t="shared" si="8"/>
        <v>428027.61835225107</v>
      </c>
      <c r="I60" s="102"/>
      <c r="J60" s="349">
        <f t="shared" si="1"/>
        <v>0</v>
      </c>
      <c r="K60" s="102"/>
      <c r="L60" s="102"/>
      <c r="M60" s="102"/>
      <c r="N60" s="102"/>
      <c r="O60" s="102"/>
      <c r="P60" s="102"/>
    </row>
    <row r="61" spans="1:16">
      <c r="I61" s="102"/>
      <c r="J61" s="349">
        <f t="shared" si="1"/>
        <v>0</v>
      </c>
      <c r="K61" s="102"/>
      <c r="L61" s="102"/>
      <c r="M61" s="102"/>
      <c r="N61" s="102"/>
      <c r="O61" s="102"/>
      <c r="P61" s="102"/>
    </row>
    <row r="62" spans="1:16">
      <c r="A62" s="36">
        <v>59400</v>
      </c>
      <c r="B62" s="35" t="s">
        <v>34</v>
      </c>
      <c r="C62" s="103">
        <f>+VLOOKUP(A62,'Consolidated IS '!$A:$AG,28,FALSE)</f>
        <v>1925.26330560563</v>
      </c>
      <c r="E62" s="103">
        <f>+$C62*'2183 LOB Ratios'!D$35</f>
        <v>1233.2086318770996</v>
      </c>
      <c r="F62" s="103">
        <f>+$C62*'2183 LOB Ratios'!E$35</f>
        <v>550.23524491945125</v>
      </c>
      <c r="G62" s="103">
        <f>+$C62*'2183 LOB Ratios'!F$35</f>
        <v>141.81942880907891</v>
      </c>
      <c r="H62" s="103">
        <f t="shared" ref="H62:H63" si="9">SUM(E62:G62)</f>
        <v>1925.2633056056297</v>
      </c>
      <c r="I62" s="102" t="s">
        <v>337</v>
      </c>
      <c r="J62" s="349">
        <f t="shared" si="1"/>
        <v>0</v>
      </c>
      <c r="K62" s="102"/>
      <c r="L62" s="102"/>
      <c r="M62" s="102"/>
      <c r="N62" s="102"/>
      <c r="O62" s="102"/>
      <c r="P62" s="102"/>
    </row>
    <row r="63" spans="1:16">
      <c r="A63" s="36">
        <v>59401</v>
      </c>
      <c r="B63" s="35" t="s">
        <v>35</v>
      </c>
      <c r="C63" s="103">
        <f>+VLOOKUP(A63,'Consolidated IS '!$A:$AG,28,FALSE)</f>
        <v>7340.4583284122809</v>
      </c>
      <c r="E63" s="103">
        <f>+$C63*'2183 LOB Ratios'!D$35</f>
        <v>4701.858985301018</v>
      </c>
      <c r="F63" s="103">
        <f>+$C63*'2183 LOB Ratios'!E$35</f>
        <v>2097.883896916851</v>
      </c>
      <c r="G63" s="103">
        <f>+$C63*'2183 LOB Ratios'!F$35</f>
        <v>540.71544619441158</v>
      </c>
      <c r="H63" s="103">
        <f t="shared" si="9"/>
        <v>7340.4583284122809</v>
      </c>
      <c r="I63" s="102" t="s">
        <v>337</v>
      </c>
      <c r="J63" s="349">
        <f t="shared" si="1"/>
        <v>0</v>
      </c>
      <c r="K63" s="102"/>
      <c r="L63" s="102"/>
      <c r="M63" s="102"/>
      <c r="N63" s="102"/>
      <c r="O63" s="102"/>
      <c r="P63" s="102"/>
    </row>
    <row r="64" spans="1:16" s="143" customFormat="1">
      <c r="A64" s="44"/>
      <c r="B64" s="34"/>
      <c r="C64" s="141"/>
      <c r="D64" s="141"/>
      <c r="E64" s="141"/>
      <c r="F64" s="141"/>
      <c r="G64" s="141"/>
      <c r="H64" s="141"/>
      <c r="I64" s="142"/>
      <c r="J64" s="349">
        <f t="shared" si="1"/>
        <v>0</v>
      </c>
      <c r="K64" s="142"/>
      <c r="L64" s="102"/>
      <c r="M64" s="142"/>
      <c r="N64" s="142"/>
      <c r="O64" s="142"/>
      <c r="P64" s="142"/>
    </row>
    <row r="65" spans="1:16">
      <c r="A65" s="43">
        <v>41340</v>
      </c>
      <c r="B65" s="32" t="s">
        <v>36</v>
      </c>
      <c r="C65" s="140">
        <f>SUM(C62:C64)</f>
        <v>9265.7216340179111</v>
      </c>
      <c r="D65" s="140"/>
      <c r="E65" s="140">
        <f t="shared" ref="E65:H65" si="10">SUM(E62:E64)</f>
        <v>5935.0676171781179</v>
      </c>
      <c r="F65" s="140">
        <f t="shared" si="10"/>
        <v>2648.1191418363023</v>
      </c>
      <c r="G65" s="140">
        <f t="shared" si="10"/>
        <v>682.53487500349047</v>
      </c>
      <c r="H65" s="140">
        <f t="shared" si="10"/>
        <v>9265.7216340179111</v>
      </c>
      <c r="I65" s="102"/>
      <c r="J65" s="349">
        <f t="shared" si="1"/>
        <v>0</v>
      </c>
      <c r="K65" s="102"/>
      <c r="L65" s="102"/>
      <c r="M65" s="102"/>
      <c r="N65" s="102"/>
      <c r="O65" s="102"/>
      <c r="P65" s="102"/>
    </row>
    <row r="66" spans="1:16">
      <c r="I66" s="102"/>
      <c r="J66" s="349">
        <f t="shared" si="1"/>
        <v>0</v>
      </c>
      <c r="K66" s="102"/>
      <c r="L66" s="102"/>
      <c r="M66" s="102"/>
      <c r="N66" s="102"/>
      <c r="O66" s="102"/>
      <c r="P66" s="102"/>
    </row>
    <row r="67" spans="1:16">
      <c r="A67" s="36">
        <v>52140</v>
      </c>
      <c r="B67" s="35" t="s">
        <v>37</v>
      </c>
      <c r="C67" s="103">
        <f>+VLOOKUP(A67,'Consolidated IS '!$A:$AG,28,FALSE)</f>
        <v>158620.12259809085</v>
      </c>
      <c r="E67" s="103">
        <f>+$C67*'2183 LOB Ratios'!D$35</f>
        <v>101602.57238987676</v>
      </c>
      <c r="F67" s="103">
        <f>+$C67*'2183 LOB Ratios'!E$35</f>
        <v>45333.218450064807</v>
      </c>
      <c r="G67" s="103">
        <f>+$C67*'2183 LOB Ratios'!F$35</f>
        <v>11684.331758149276</v>
      </c>
      <c r="H67" s="103">
        <f t="shared" ref="H67" si="11">SUM(E67:G67)</f>
        <v>158620.12259809085</v>
      </c>
      <c r="I67" s="102" t="s">
        <v>337</v>
      </c>
      <c r="J67" s="349">
        <f t="shared" si="1"/>
        <v>0</v>
      </c>
      <c r="K67" s="102"/>
      <c r="L67" s="102"/>
      <c r="M67" s="102"/>
      <c r="N67" s="102"/>
      <c r="O67" s="102"/>
      <c r="P67" s="102"/>
    </row>
    <row r="68" spans="1:16" s="143" customFormat="1">
      <c r="A68" s="44"/>
      <c r="B68" s="34"/>
      <c r="C68" s="141"/>
      <c r="D68" s="141"/>
      <c r="E68" s="141"/>
      <c r="F68" s="141"/>
      <c r="G68" s="141"/>
      <c r="H68" s="141"/>
      <c r="I68" s="142"/>
      <c r="J68" s="349">
        <f t="shared" si="1"/>
        <v>0</v>
      </c>
      <c r="K68" s="142"/>
      <c r="L68" s="102"/>
      <c r="M68" s="142"/>
      <c r="N68" s="142"/>
      <c r="O68" s="142"/>
      <c r="P68" s="142"/>
    </row>
    <row r="69" spans="1:16">
      <c r="A69" s="43">
        <v>41600</v>
      </c>
      <c r="B69" s="32" t="s">
        <v>13</v>
      </c>
      <c r="C69" s="140">
        <f>SUM(C67:C68)</f>
        <v>158620.12259809085</v>
      </c>
      <c r="D69" s="140"/>
      <c r="E69" s="140">
        <f t="shared" ref="E69:H69" si="12">SUM(E67:E68)</f>
        <v>101602.57238987676</v>
      </c>
      <c r="F69" s="140">
        <f t="shared" si="12"/>
        <v>45333.218450064807</v>
      </c>
      <c r="G69" s="140">
        <f t="shared" si="12"/>
        <v>11684.331758149276</v>
      </c>
      <c r="H69" s="140">
        <f t="shared" si="12"/>
        <v>158620.12259809085</v>
      </c>
      <c r="I69" s="102"/>
      <c r="J69" s="349">
        <f t="shared" si="1"/>
        <v>0</v>
      </c>
      <c r="K69" s="102"/>
      <c r="L69" s="102"/>
      <c r="M69" s="102"/>
      <c r="N69" s="102"/>
      <c r="O69" s="102"/>
      <c r="P69" s="102"/>
    </row>
    <row r="70" spans="1:16">
      <c r="A70" s="43"/>
      <c r="B70" s="32"/>
      <c r="I70" s="102"/>
      <c r="J70" s="349">
        <f t="shared" si="1"/>
        <v>0</v>
      </c>
      <c r="K70" s="102"/>
      <c r="L70" s="102"/>
      <c r="M70" s="102"/>
      <c r="N70" s="102"/>
      <c r="O70" s="102"/>
      <c r="P70" s="102"/>
    </row>
    <row r="71" spans="1:16">
      <c r="A71" s="1">
        <v>52086</v>
      </c>
      <c r="B71" s="34" t="s">
        <v>38</v>
      </c>
      <c r="C71" s="103">
        <f>+VLOOKUP(A71,'Consolidated IS '!$A:$AG,28,FALSE)</f>
        <v>13504.028160463431</v>
      </c>
      <c r="E71" s="103">
        <f>+$C71*'2183 LOB Ratios'!D$35</f>
        <v>8649.8735233289626</v>
      </c>
      <c r="F71" s="103">
        <f>+$C71*'2183 LOB Ratios'!E$35</f>
        <v>3859.4161227907393</v>
      </c>
      <c r="G71" s="103">
        <f>+$C71*'2183 LOB Ratios'!F$35</f>
        <v>994.73851434372875</v>
      </c>
      <c r="H71" s="103">
        <f t="shared" ref="H71:H75" si="13">SUM(E71:G71)</f>
        <v>13504.028160463431</v>
      </c>
      <c r="I71" s="102" t="s">
        <v>337</v>
      </c>
      <c r="J71" s="349">
        <f t="shared" si="1"/>
        <v>0</v>
      </c>
      <c r="K71" s="102"/>
      <c r="L71" s="102"/>
      <c r="M71" s="102"/>
      <c r="N71" s="102"/>
      <c r="O71" s="102"/>
      <c r="P71" s="102"/>
    </row>
    <row r="72" spans="1:16">
      <c r="A72" s="1">
        <v>52090</v>
      </c>
      <c r="B72" s="34" t="s">
        <v>39</v>
      </c>
      <c r="C72" s="103">
        <f>+VLOOKUP(A72,'Consolidated IS '!$A:$AG,28,FALSE)</f>
        <v>5471.7974058378968</v>
      </c>
      <c r="E72" s="103">
        <f>+$C72*'2183 LOB Ratios'!D$35</f>
        <v>3504.9064577893359</v>
      </c>
      <c r="F72" s="103">
        <f>+$C72*'2183 LOB Ratios'!E$35</f>
        <v>1563.8254658386757</v>
      </c>
      <c r="G72" s="103">
        <f>+$C72*'2183 LOB Ratios'!F$35</f>
        <v>403.06548220988498</v>
      </c>
      <c r="H72" s="103">
        <f t="shared" si="13"/>
        <v>5471.7974058378968</v>
      </c>
      <c r="I72" s="102" t="s">
        <v>337</v>
      </c>
      <c r="J72" s="349">
        <f t="shared" si="1"/>
        <v>0</v>
      </c>
      <c r="K72" s="102"/>
      <c r="L72" s="102"/>
      <c r="M72" s="102"/>
      <c r="N72" s="102"/>
      <c r="O72" s="102"/>
      <c r="P72" s="102"/>
    </row>
    <row r="73" spans="1:16">
      <c r="A73" s="1">
        <v>52182</v>
      </c>
      <c r="B73" s="34" t="s">
        <v>41</v>
      </c>
      <c r="C73" s="103">
        <f>+VLOOKUP(A73,'Consolidated IS '!$A:$AG,28,FALSE)</f>
        <v>7358.3674359033866</v>
      </c>
      <c r="E73" s="103">
        <f>+$C73*'2183 LOB Ratios'!D$35</f>
        <v>4713.3304894235671</v>
      </c>
      <c r="F73" s="103">
        <f>+$C73*'2183 LOB Ratios'!E$35</f>
        <v>2103.0022732542411</v>
      </c>
      <c r="G73" s="103">
        <f>+$C73*'2183 LOB Ratios'!F$35</f>
        <v>542.03467322557867</v>
      </c>
      <c r="H73" s="103">
        <f t="shared" si="13"/>
        <v>7358.3674359033866</v>
      </c>
      <c r="I73" s="102" t="s">
        <v>337</v>
      </c>
      <c r="J73" s="349">
        <f t="shared" si="1"/>
        <v>0</v>
      </c>
      <c r="K73" s="102"/>
      <c r="L73" s="102"/>
      <c r="M73" s="102"/>
      <c r="N73" s="102"/>
      <c r="O73" s="102"/>
      <c r="P73" s="102"/>
    </row>
    <row r="74" spans="1:16">
      <c r="A74" s="1">
        <v>57254</v>
      </c>
      <c r="B74" s="34" t="s">
        <v>42</v>
      </c>
      <c r="C74" s="103">
        <f>+VLOOKUP(A74,'Consolidated IS '!$A:$AG,28,FALSE)</f>
        <v>34687.764140847336</v>
      </c>
      <c r="E74" s="103">
        <f>+$C74*'2183 LOB Ratios'!D$35</f>
        <v>22218.908984791266</v>
      </c>
      <c r="F74" s="103">
        <f>+$C74*'2183 LOB Ratios'!E$35</f>
        <v>9913.6727647459484</v>
      </c>
      <c r="G74" s="103">
        <f>+$C74*'2183 LOB Ratios'!F$35</f>
        <v>2555.1823913101198</v>
      </c>
      <c r="H74" s="103">
        <f t="shared" si="13"/>
        <v>34687.764140847336</v>
      </c>
      <c r="I74" s="102" t="s">
        <v>337</v>
      </c>
      <c r="J74" s="349">
        <f t="shared" si="1"/>
        <v>0</v>
      </c>
      <c r="K74" s="102"/>
      <c r="L74" s="102"/>
      <c r="M74" s="102"/>
      <c r="N74" s="102"/>
      <c r="O74" s="102"/>
      <c r="P74" s="102"/>
    </row>
    <row r="75" spans="1:16">
      <c r="A75" s="1">
        <v>55335</v>
      </c>
      <c r="B75" s="34" t="s">
        <v>43</v>
      </c>
      <c r="C75" s="141">
        <f>+VLOOKUP(A75,'Consolidated IS '!$A:$AG,28,FALSE)</f>
        <v>289980.52630136354</v>
      </c>
      <c r="D75" s="141"/>
      <c r="E75" s="141">
        <f>+$C75*'2183 LOB Ratios'!D$20</f>
        <v>122479.53932101703</v>
      </c>
      <c r="F75" s="141">
        <f>+$C75*'2183 LOB Ratios'!E$20</f>
        <v>122867.45295637702</v>
      </c>
      <c r="G75" s="141">
        <f>+$C75*'2183 LOB Ratios'!F$20</f>
        <v>44633.534023969492</v>
      </c>
      <c r="H75" s="141">
        <f t="shared" si="13"/>
        <v>289980.52630136354</v>
      </c>
      <c r="I75" s="102" t="s">
        <v>2697</v>
      </c>
      <c r="J75" s="349">
        <f t="shared" si="1"/>
        <v>0</v>
      </c>
      <c r="K75" s="102"/>
      <c r="L75" s="102"/>
      <c r="M75" s="102"/>
      <c r="N75" s="102"/>
      <c r="O75" s="102"/>
      <c r="P75" s="102"/>
    </row>
    <row r="76" spans="1:16" s="143" customFormat="1">
      <c r="A76" s="1"/>
      <c r="B76" s="34"/>
      <c r="C76" s="141"/>
      <c r="D76" s="141"/>
      <c r="E76" s="141"/>
      <c r="F76" s="141"/>
      <c r="G76" s="141"/>
      <c r="H76" s="141"/>
      <c r="I76" s="142"/>
      <c r="J76" s="349">
        <f t="shared" si="1"/>
        <v>0</v>
      </c>
      <c r="K76" s="142"/>
      <c r="L76" s="102"/>
      <c r="M76" s="142"/>
      <c r="N76" s="142"/>
      <c r="O76" s="142"/>
      <c r="P76" s="142"/>
    </row>
    <row r="77" spans="1:16">
      <c r="A77" s="43">
        <v>41800</v>
      </c>
      <c r="B77" s="32" t="s">
        <v>46</v>
      </c>
      <c r="C77" s="140">
        <f>SUM(C71:C76)</f>
        <v>351002.48344441561</v>
      </c>
      <c r="D77" s="140"/>
      <c r="E77" s="140">
        <f>SUM(E71:E76)</f>
        <v>161566.55877635017</v>
      </c>
      <c r="F77" s="140">
        <f>SUM(F71:F76)</f>
        <v>140307.36958300663</v>
      </c>
      <c r="G77" s="140">
        <f>SUM(G71:G76)</f>
        <v>49128.555085058804</v>
      </c>
      <c r="H77" s="140">
        <f>SUM(H71:H76)</f>
        <v>351002.48344441561</v>
      </c>
      <c r="I77" s="102"/>
      <c r="J77" s="349">
        <f t="shared" si="1"/>
        <v>0</v>
      </c>
      <c r="K77" s="102"/>
      <c r="L77" s="102"/>
      <c r="M77" s="102"/>
      <c r="N77" s="102"/>
      <c r="O77" s="102"/>
      <c r="P77" s="102"/>
    </row>
    <row r="78" spans="1:16">
      <c r="A78" s="44"/>
      <c r="B78" s="34"/>
      <c r="I78" s="102"/>
      <c r="J78" s="349">
        <f t="shared" si="1"/>
        <v>0</v>
      </c>
      <c r="K78" s="102"/>
      <c r="L78" s="102"/>
      <c r="M78" s="102"/>
      <c r="N78" s="102"/>
      <c r="O78" s="102"/>
      <c r="P78" s="102"/>
    </row>
    <row r="79" spans="1:16">
      <c r="A79" s="44">
        <v>50010</v>
      </c>
      <c r="B79" s="34" t="s">
        <v>47</v>
      </c>
      <c r="C79" s="103">
        <f>+VLOOKUP(A79,'Consolidated IS '!$A:$AG,28,FALSE)</f>
        <v>1041.1043102115459</v>
      </c>
      <c r="E79" s="103">
        <f>+$C79*'2183 LOB Ratios'!D$35</f>
        <v>666.86921123937179</v>
      </c>
      <c r="F79" s="103">
        <f>+$C79*'2183 LOB Ratios'!E$35</f>
        <v>297.54490383108617</v>
      </c>
      <c r="G79" s="103">
        <f>+$C79*'2183 LOB Ratios'!F$35</f>
        <v>76.690195141087813</v>
      </c>
      <c r="H79" s="103">
        <f t="shared" ref="H79:H81" si="14">SUM(E79:G79)</f>
        <v>1041.1043102115457</v>
      </c>
      <c r="I79" s="102" t="s">
        <v>337</v>
      </c>
      <c r="J79" s="349">
        <f t="shared" si="1"/>
        <v>0</v>
      </c>
      <c r="K79" s="102"/>
      <c r="L79" s="102"/>
      <c r="M79" s="102"/>
      <c r="N79" s="102"/>
      <c r="O79" s="102"/>
      <c r="P79" s="102"/>
    </row>
    <row r="80" spans="1:16">
      <c r="A80" s="1">
        <v>56010</v>
      </c>
      <c r="B80" s="34" t="s">
        <v>47</v>
      </c>
      <c r="C80" s="103">
        <f>+VLOOKUP(A80,'Consolidated IS '!$A:$AG,28,FALSE)</f>
        <v>227684.8314899549</v>
      </c>
      <c r="E80" s="103">
        <f>+$C80*'2183 LOB Ratios'!D$35</f>
        <v>145841.29803095656</v>
      </c>
      <c r="F80" s="103">
        <f>+$C80*'2183 LOB Ratios'!E$35</f>
        <v>65071.732606418693</v>
      </c>
      <c r="G80" s="103">
        <f>+$C80*'2183 LOB Ratios'!F$35</f>
        <v>16771.800852579636</v>
      </c>
      <c r="H80" s="103">
        <f t="shared" si="14"/>
        <v>227684.8314899549</v>
      </c>
      <c r="I80" s="102" t="s">
        <v>337</v>
      </c>
      <c r="J80" s="349">
        <f t="shared" si="1"/>
        <v>0</v>
      </c>
      <c r="K80" s="102"/>
      <c r="L80" s="102"/>
      <c r="M80" s="102"/>
      <c r="N80" s="102"/>
      <c r="O80" s="102"/>
      <c r="P80" s="102"/>
    </row>
    <row r="81" spans="1:16">
      <c r="A81" s="1">
        <v>56065</v>
      </c>
      <c r="B81" s="34" t="s">
        <v>21</v>
      </c>
      <c r="C81" s="103">
        <f>+VLOOKUP(A81,'Consolidated IS '!$A:$AG,28,FALSE)</f>
        <v>1366.443160726679</v>
      </c>
      <c r="E81" s="103">
        <f>+$C81*'2183 LOB Ratios'!D$35</f>
        <v>875.2618386644433</v>
      </c>
      <c r="F81" s="103">
        <f>+$C81*'2183 LOB Ratios'!E$35</f>
        <v>390.52590106600462</v>
      </c>
      <c r="G81" s="103">
        <f>+$C81*'2183 LOB Ratios'!F$35</f>
        <v>100.65542099623102</v>
      </c>
      <c r="H81" s="103">
        <f t="shared" si="14"/>
        <v>1366.4431607266788</v>
      </c>
      <c r="I81" s="102" t="s">
        <v>337</v>
      </c>
      <c r="J81" s="349">
        <f t="shared" si="1"/>
        <v>0</v>
      </c>
      <c r="K81" s="102"/>
      <c r="L81" s="102"/>
      <c r="M81" s="102"/>
      <c r="N81" s="102"/>
      <c r="O81" s="102"/>
      <c r="P81" s="102"/>
    </row>
    <row r="82" spans="1:16" s="143" customFormat="1">
      <c r="A82" s="1"/>
      <c r="B82" s="34"/>
      <c r="C82" s="141"/>
      <c r="D82" s="141"/>
      <c r="E82" s="141"/>
      <c r="F82" s="141"/>
      <c r="G82" s="141"/>
      <c r="H82" s="141"/>
      <c r="I82" s="142"/>
      <c r="J82" s="349">
        <f t="shared" si="1"/>
        <v>0</v>
      </c>
      <c r="K82" s="142"/>
      <c r="L82" s="102"/>
      <c r="M82" s="142"/>
      <c r="N82" s="142"/>
      <c r="O82" s="142"/>
      <c r="P82" s="142"/>
    </row>
    <row r="83" spans="1:16">
      <c r="A83" s="43">
        <v>42100</v>
      </c>
      <c r="B83" s="32" t="s">
        <v>48</v>
      </c>
      <c r="C83" s="140">
        <f>SUM(C79:C82)</f>
        <v>230092.37896089314</v>
      </c>
      <c r="D83" s="140"/>
      <c r="E83" s="140">
        <f>SUM(E79:E82)</f>
        <v>147383.42908086037</v>
      </c>
      <c r="F83" s="140">
        <f>SUM(F79:F82)</f>
        <v>65759.803411315777</v>
      </c>
      <c r="G83" s="140">
        <f>SUM(G79:G82)</f>
        <v>16949.146468716954</v>
      </c>
      <c r="H83" s="140">
        <f>SUM(H79:H82)</f>
        <v>230092.37896089314</v>
      </c>
      <c r="I83" s="102"/>
      <c r="J83" s="349">
        <f t="shared" si="1"/>
        <v>0</v>
      </c>
      <c r="K83" s="102"/>
      <c r="L83" s="102"/>
      <c r="M83" s="102"/>
      <c r="N83" s="102"/>
      <c r="O83" s="102"/>
      <c r="P83" s="102"/>
    </row>
    <row r="84" spans="1:16">
      <c r="A84" s="44"/>
      <c r="B84" s="34"/>
      <c r="E84" s="837"/>
      <c r="F84" s="837"/>
      <c r="G84" s="837"/>
      <c r="I84" s="102"/>
      <c r="J84" s="349">
        <f t="shared" si="1"/>
        <v>0</v>
      </c>
      <c r="K84" s="102"/>
      <c r="L84" s="102"/>
      <c r="M84" s="102"/>
      <c r="N84" s="102"/>
      <c r="O84" s="102"/>
      <c r="P84" s="102"/>
    </row>
    <row r="85" spans="1:16" s="707" customFormat="1">
      <c r="A85" s="44"/>
      <c r="B85" s="34"/>
      <c r="C85" s="103"/>
      <c r="D85" s="103"/>
      <c r="E85" s="837"/>
      <c r="F85" s="837"/>
      <c r="G85" s="837"/>
      <c r="H85" s="103"/>
      <c r="I85" s="102"/>
      <c r="J85" s="349">
        <f t="shared" si="1"/>
        <v>0</v>
      </c>
      <c r="K85" s="102"/>
      <c r="L85" s="102"/>
      <c r="M85" s="102"/>
      <c r="N85" s="102"/>
      <c r="O85" s="102"/>
      <c r="P85" s="102"/>
    </row>
    <row r="86" spans="1:16">
      <c r="A86" s="1">
        <v>50020</v>
      </c>
      <c r="B86" s="34" t="s">
        <v>24</v>
      </c>
      <c r="C86" s="103">
        <f>+VLOOKUP(A86,'Consolidated IS '!$A:$AG,28,FALSE)</f>
        <v>2472053.5971030071</v>
      </c>
      <c r="E86" s="103">
        <f>+$C86*'2183 LOB Ratios'!D$35</f>
        <v>1583449.819842319</v>
      </c>
      <c r="F86" s="103">
        <f>+$C86*'2183 LOB Ratios'!E$35</f>
        <v>706506.48796742223</v>
      </c>
      <c r="G86" s="103">
        <f>+$C86*'2183 LOB Ratios'!F$35</f>
        <v>182097.2892932657</v>
      </c>
      <c r="H86" s="103">
        <f t="shared" ref="H86:H90" si="15">SUM(E86:G86)</f>
        <v>2472053.5971030071</v>
      </c>
      <c r="I86" s="102" t="s">
        <v>337</v>
      </c>
      <c r="J86" s="349">
        <f t="shared" si="1"/>
        <v>0</v>
      </c>
      <c r="K86" s="102"/>
      <c r="L86" s="102"/>
      <c r="M86" s="102"/>
      <c r="N86" s="102"/>
      <c r="O86" s="102"/>
      <c r="P86" s="102"/>
    </row>
    <row r="87" spans="1:16">
      <c r="A87" s="1">
        <v>50025</v>
      </c>
      <c r="B87" s="34" t="s">
        <v>49</v>
      </c>
      <c r="C87" s="103">
        <f>+VLOOKUP(A87,'Consolidated IS '!$A:$AG,28,FALSE)</f>
        <v>792023.80929078476</v>
      </c>
      <c r="E87" s="103">
        <f>+$C87*'2183 LOB Ratios'!D$35</f>
        <v>507323.12584242993</v>
      </c>
      <c r="F87" s="103">
        <f>+$C87*'2183 LOB Ratios'!E$35</f>
        <v>226358.34455384393</v>
      </c>
      <c r="G87" s="103">
        <f>+$C87*'2183 LOB Ratios'!F$35</f>
        <v>58342.338894510889</v>
      </c>
      <c r="H87" s="103">
        <f t="shared" si="15"/>
        <v>792023.80929078476</v>
      </c>
      <c r="I87" s="102" t="s">
        <v>337</v>
      </c>
      <c r="J87" s="349">
        <f t="shared" si="1"/>
        <v>0</v>
      </c>
      <c r="K87" s="102"/>
      <c r="L87" s="102"/>
      <c r="M87" s="102"/>
      <c r="N87" s="102"/>
      <c r="O87" s="102"/>
      <c r="P87" s="102"/>
    </row>
    <row r="88" spans="1:16">
      <c r="A88" s="48">
        <v>50035</v>
      </c>
      <c r="B88" s="34" t="s">
        <v>20</v>
      </c>
      <c r="C88" s="103">
        <f>+VLOOKUP(A88,'Consolidated IS '!$A:$AG,28,FALSE)</f>
        <v>24357.961702246768</v>
      </c>
      <c r="E88" s="103">
        <f>+$C88*'2183 LOB Ratios'!D$35</f>
        <v>15602.254787011241</v>
      </c>
      <c r="F88" s="103">
        <f>+$C88*'2183 LOB Ratios'!E$35</f>
        <v>6961.442096751699</v>
      </c>
      <c r="G88" s="103">
        <f>+$C88*'2183 LOB Ratios'!F$35</f>
        <v>1794.264818483826</v>
      </c>
      <c r="H88" s="103">
        <f t="shared" si="15"/>
        <v>24357.961702246765</v>
      </c>
      <c r="I88" s="102" t="s">
        <v>337</v>
      </c>
      <c r="J88" s="349">
        <f t="shared" ref="J88:J151" si="16">C88-H88</f>
        <v>0</v>
      </c>
      <c r="K88" s="102"/>
      <c r="L88" s="102"/>
      <c r="M88" s="102"/>
      <c r="N88" s="102"/>
      <c r="O88" s="102"/>
      <c r="P88" s="102"/>
    </row>
    <row r="89" spans="1:16">
      <c r="A89" s="1">
        <v>50065</v>
      </c>
      <c r="B89" s="34" t="s">
        <v>21</v>
      </c>
      <c r="C89" s="103">
        <f>+VLOOKUP(A89,'Consolidated IS '!$A:$AG,28,FALSE)</f>
        <v>129443.68763751109</v>
      </c>
      <c r="E89" s="103">
        <f>+$C89*'2183 LOB Ratios'!D$35</f>
        <v>82913.891555402894</v>
      </c>
      <c r="F89" s="103">
        <f>+$C89*'2183 LOB Ratios'!E$35</f>
        <v>36994.669229463019</v>
      </c>
      <c r="G89" s="103">
        <f>+$C89*'2183 LOB Ratios'!F$35</f>
        <v>9535.1268526451731</v>
      </c>
      <c r="H89" s="103">
        <f t="shared" si="15"/>
        <v>129443.68763751109</v>
      </c>
      <c r="I89" s="102" t="s">
        <v>337</v>
      </c>
      <c r="J89" s="349">
        <f t="shared" si="16"/>
        <v>0</v>
      </c>
      <c r="K89" s="102"/>
      <c r="L89" s="102"/>
      <c r="M89" s="102"/>
      <c r="N89" s="102"/>
      <c r="O89" s="102"/>
      <c r="P89" s="102"/>
    </row>
    <row r="90" spans="1:16">
      <c r="A90" s="1">
        <v>50070</v>
      </c>
      <c r="B90" s="34" t="s">
        <v>22</v>
      </c>
      <c r="C90" s="103">
        <f>+VLOOKUP(A90,'Consolidated IS '!$A:$AG,28,FALSE)</f>
        <v>111948.55985977121</v>
      </c>
      <c r="E90" s="103">
        <f>+$C90*'2183 LOB Ratios'!D$35</f>
        <v>71707.558100398019</v>
      </c>
      <c r="F90" s="103">
        <f>+$C90*'2183 LOB Ratios'!E$35</f>
        <v>31994.607217345871</v>
      </c>
      <c r="G90" s="103">
        <f>+$C90*'2183 LOB Ratios'!F$35</f>
        <v>8246.3945420273158</v>
      </c>
      <c r="H90" s="103">
        <f t="shared" si="15"/>
        <v>111948.55985977119</v>
      </c>
      <c r="I90" s="102" t="s">
        <v>337</v>
      </c>
      <c r="J90" s="349">
        <f t="shared" si="16"/>
        <v>0</v>
      </c>
      <c r="K90" s="102"/>
      <c r="L90" s="102"/>
      <c r="M90" s="102"/>
      <c r="N90" s="102"/>
      <c r="O90" s="102"/>
      <c r="P90" s="102"/>
    </row>
    <row r="91" spans="1:16" s="143" customFormat="1">
      <c r="A91" s="1"/>
      <c r="B91" s="34"/>
      <c r="C91" s="141"/>
      <c r="D91" s="141"/>
      <c r="E91" s="141"/>
      <c r="F91" s="141"/>
      <c r="G91" s="141"/>
      <c r="H91" s="141"/>
      <c r="I91" s="142"/>
      <c r="J91" s="349">
        <f t="shared" si="16"/>
        <v>0</v>
      </c>
      <c r="K91" s="142"/>
      <c r="L91" s="102"/>
      <c r="M91" s="142"/>
      <c r="N91" s="142"/>
      <c r="O91" s="142"/>
      <c r="P91" s="142"/>
    </row>
    <row r="92" spans="1:16">
      <c r="A92" s="43">
        <v>42300</v>
      </c>
      <c r="B92" s="32" t="s">
        <v>50</v>
      </c>
      <c r="C92" s="140">
        <f>SUM(C86:C91)</f>
        <v>3529827.6155933212</v>
      </c>
      <c r="D92" s="140"/>
      <c r="E92" s="140">
        <f>SUM(E86:E91)</f>
        <v>2260996.6501275613</v>
      </c>
      <c r="F92" s="140">
        <f>SUM(F86:F91)</f>
        <v>1008815.5510648267</v>
      </c>
      <c r="G92" s="140">
        <f>SUM(G86:G91)</f>
        <v>260015.4144009329</v>
      </c>
      <c r="H92" s="140">
        <f>SUM(H86:H91)</f>
        <v>3529827.6155933212</v>
      </c>
      <c r="I92" s="102"/>
      <c r="J92" s="349">
        <f t="shared" si="16"/>
        <v>0</v>
      </c>
      <c r="K92" s="102"/>
      <c r="L92" s="102"/>
      <c r="M92" s="102"/>
      <c r="N92" s="102"/>
      <c r="O92" s="102"/>
      <c r="P92" s="102"/>
    </row>
    <row r="93" spans="1:16">
      <c r="A93" s="47"/>
      <c r="B93" s="46"/>
      <c r="I93" s="102"/>
      <c r="J93" s="349">
        <f t="shared" si="16"/>
        <v>0</v>
      </c>
      <c r="K93" s="102"/>
      <c r="L93" s="102"/>
      <c r="M93" s="102"/>
      <c r="N93" s="102"/>
      <c r="O93" s="102"/>
      <c r="P93" s="102"/>
    </row>
    <row r="94" spans="1:16">
      <c r="A94" s="40">
        <v>50045</v>
      </c>
      <c r="B94" s="34" t="s">
        <v>27</v>
      </c>
      <c r="C94" s="103">
        <f>+VLOOKUP(A94,'Consolidated IS '!$A:$AG,28,FALSE)</f>
        <v>2476.0235420150461</v>
      </c>
      <c r="E94" s="103">
        <f>+$C94*'2183 LOB Ratios'!D$35</f>
        <v>1585.9927293338928</v>
      </c>
      <c r="F94" s="103">
        <f>+$C94*'2183 LOB Ratios'!E$35</f>
        <v>707.64108789701743</v>
      </c>
      <c r="G94" s="103">
        <f>+$C94*'2183 LOB Ratios'!F$35</f>
        <v>182.38972478413575</v>
      </c>
      <c r="H94" s="103">
        <f t="shared" ref="H94" si="17">SUM(E94:G94)</f>
        <v>2476.0235420150457</v>
      </c>
      <c r="I94" s="102" t="s">
        <v>337</v>
      </c>
      <c r="J94" s="349">
        <f t="shared" si="16"/>
        <v>0</v>
      </c>
      <c r="K94" s="102"/>
      <c r="L94" s="102"/>
      <c r="M94" s="102"/>
      <c r="N94" s="102"/>
      <c r="O94" s="102"/>
      <c r="P94" s="102"/>
    </row>
    <row r="95" spans="1:16" s="143" customFormat="1">
      <c r="A95" s="40"/>
      <c r="B95" s="34"/>
      <c r="C95" s="141"/>
      <c r="D95" s="141"/>
      <c r="E95" s="141"/>
      <c r="F95" s="141"/>
      <c r="G95" s="141"/>
      <c r="H95" s="141"/>
      <c r="I95" s="142"/>
      <c r="J95" s="349">
        <f t="shared" si="16"/>
        <v>0</v>
      </c>
      <c r="K95" s="142"/>
      <c r="L95" s="102"/>
      <c r="M95" s="142"/>
      <c r="N95" s="142"/>
      <c r="O95" s="142"/>
      <c r="P95" s="142"/>
    </row>
    <row r="96" spans="1:16">
      <c r="A96" s="43">
        <v>42315</v>
      </c>
      <c r="B96" s="32" t="s">
        <v>27</v>
      </c>
      <c r="C96" s="140">
        <f>SUM(C94:C95)</f>
        <v>2476.0235420150461</v>
      </c>
      <c r="D96" s="140"/>
      <c r="E96" s="140">
        <f t="shared" ref="E96:H96" si="18">SUM(E94:E95)</f>
        <v>1585.9927293338928</v>
      </c>
      <c r="F96" s="140">
        <f t="shared" si="18"/>
        <v>707.64108789701743</v>
      </c>
      <c r="G96" s="140">
        <f t="shared" si="18"/>
        <v>182.38972478413575</v>
      </c>
      <c r="H96" s="140">
        <f t="shared" si="18"/>
        <v>2476.0235420150457</v>
      </c>
      <c r="I96" s="102"/>
      <c r="J96" s="349">
        <f t="shared" si="16"/>
        <v>0</v>
      </c>
      <c r="K96" s="102"/>
      <c r="L96" s="102"/>
      <c r="M96" s="102"/>
      <c r="N96" s="102"/>
      <c r="O96" s="102"/>
      <c r="P96" s="102"/>
    </row>
    <row r="97" spans="1:16">
      <c r="A97" s="44"/>
      <c r="B97" s="34"/>
      <c r="I97" s="102"/>
      <c r="J97" s="349">
        <f t="shared" si="16"/>
        <v>0</v>
      </c>
      <c r="K97" s="102"/>
      <c r="L97" s="102"/>
      <c r="M97" s="102"/>
      <c r="N97" s="102"/>
      <c r="O97" s="102"/>
      <c r="P97" s="102"/>
    </row>
    <row r="98" spans="1:16">
      <c r="A98" s="1">
        <v>52142</v>
      </c>
      <c r="B98" s="34" t="s">
        <v>51</v>
      </c>
      <c r="C98" s="103">
        <f>+VLOOKUP(A98,'Consolidated IS '!$A:$AG,28,FALSE)</f>
        <v>983617.42013753357</v>
      </c>
      <c r="E98" s="103">
        <f>+$C98*'2183 LOB Ratios'!D$35</f>
        <v>630046.54451496701</v>
      </c>
      <c r="F98" s="103">
        <f>+$C98*'2183 LOB Ratios'!E$35</f>
        <v>281115.30017768801</v>
      </c>
      <c r="G98" s="103">
        <f>+$C98*'2183 LOB Ratios'!F$35</f>
        <v>72455.575444878457</v>
      </c>
      <c r="H98" s="103">
        <f t="shared" ref="H98:H101" si="19">SUM(E98:G98)</f>
        <v>983617.42013753345</v>
      </c>
      <c r="I98" s="102" t="s">
        <v>337</v>
      </c>
      <c r="J98" s="349">
        <f t="shared" si="16"/>
        <v>0</v>
      </c>
      <c r="K98" s="102"/>
      <c r="L98" s="102"/>
      <c r="M98" s="102"/>
      <c r="N98" s="102"/>
      <c r="O98" s="102"/>
      <c r="P98" s="102"/>
    </row>
    <row r="99" spans="1:16">
      <c r="A99" s="1">
        <v>52144</v>
      </c>
      <c r="B99" s="34" t="s">
        <v>52</v>
      </c>
      <c r="C99" s="103">
        <f>+VLOOKUP(A99,'Consolidated IS '!$A:$AG,28,FALSE)</f>
        <v>13143.511493437052</v>
      </c>
      <c r="E99" s="103">
        <f>+$C99*'2183 LOB Ratios'!D$35</f>
        <v>8418.9480886530873</v>
      </c>
      <c r="F99" s="103">
        <f>+$C99*'2183 LOB Ratios'!E$35</f>
        <v>3756.3813970982951</v>
      </c>
      <c r="G99" s="103">
        <f>+$C99*'2183 LOB Ratios'!F$35</f>
        <v>968.18200768566908</v>
      </c>
      <c r="H99" s="103">
        <f t="shared" si="19"/>
        <v>13143.511493437052</v>
      </c>
      <c r="I99" s="102" t="s">
        <v>337</v>
      </c>
      <c r="J99" s="349">
        <f t="shared" si="16"/>
        <v>0</v>
      </c>
      <c r="K99" s="102"/>
      <c r="L99" s="102"/>
      <c r="M99" s="102"/>
      <c r="N99" s="102"/>
      <c r="O99" s="102"/>
      <c r="P99" s="102"/>
    </row>
    <row r="100" spans="1:16">
      <c r="A100" s="1">
        <v>52146</v>
      </c>
      <c r="B100" s="34" t="s">
        <v>53</v>
      </c>
      <c r="C100" s="103">
        <f>+VLOOKUP(A100,'Consolidated IS '!$A:$AG,28,FALSE)</f>
        <v>56140.384345070561</v>
      </c>
      <c r="E100" s="103">
        <f>+$C100*'2183 LOB Ratios'!D$35</f>
        <v>35960.175613205516</v>
      </c>
      <c r="F100" s="103">
        <f>+$C100*'2183 LOB Ratios'!E$35</f>
        <v>16044.775818476854</v>
      </c>
      <c r="G100" s="103">
        <f>+$C100*'2183 LOB Ratios'!F$35</f>
        <v>4135.4329133881874</v>
      </c>
      <c r="H100" s="103">
        <f t="shared" si="19"/>
        <v>56140.384345070561</v>
      </c>
      <c r="I100" s="102" t="s">
        <v>337</v>
      </c>
      <c r="J100" s="349">
        <f t="shared" si="16"/>
        <v>0</v>
      </c>
      <c r="K100" s="102"/>
      <c r="L100" s="102"/>
      <c r="M100" s="102"/>
      <c r="N100" s="102"/>
      <c r="O100" s="102"/>
      <c r="P100" s="102"/>
    </row>
    <row r="101" spans="1:16">
      <c r="A101" s="1">
        <v>56142</v>
      </c>
      <c r="B101" s="34" t="s">
        <v>51</v>
      </c>
      <c r="C101" s="103">
        <f>+VLOOKUP(A101,'Consolidated IS '!$A:$AG,28,FALSE)</f>
        <v>44.160068705224177</v>
      </c>
      <c r="E101" s="103">
        <f>+$C101*'2183 LOB Ratios'!D$35</f>
        <v>28.286301283053437</v>
      </c>
      <c r="F101" s="103">
        <f>+$C101*'2183 LOB Ratios'!E$35</f>
        <v>12.6208327707338</v>
      </c>
      <c r="G101" s="103">
        <f>+$C101*'2183 LOB Ratios'!F$35</f>
        <v>3.2529346514369366</v>
      </c>
      <c r="H101" s="103">
        <f t="shared" si="19"/>
        <v>44.160068705224177</v>
      </c>
      <c r="I101" s="102" t="s">
        <v>337</v>
      </c>
      <c r="J101" s="349">
        <f t="shared" si="16"/>
        <v>0</v>
      </c>
      <c r="K101" s="102"/>
      <c r="L101" s="102"/>
      <c r="M101" s="102"/>
      <c r="N101" s="102"/>
      <c r="O101" s="102"/>
      <c r="P101" s="102"/>
    </row>
    <row r="102" spans="1:16">
      <c r="A102" s="1"/>
      <c r="B102" s="34"/>
      <c r="I102" s="102"/>
      <c r="J102" s="349">
        <f t="shared" si="16"/>
        <v>0</v>
      </c>
      <c r="K102" s="102"/>
      <c r="L102" s="102"/>
      <c r="M102" s="102"/>
      <c r="N102" s="102"/>
      <c r="O102" s="102"/>
      <c r="P102" s="102"/>
    </row>
    <row r="103" spans="1:16">
      <c r="A103" s="43">
        <v>42400</v>
      </c>
      <c r="B103" s="32" t="s">
        <v>54</v>
      </c>
      <c r="C103" s="140">
        <f>SUM(C98:C102)</f>
        <v>1052945.4760447463</v>
      </c>
      <c r="D103" s="140"/>
      <c r="E103" s="140">
        <f>SUM(E98:E102)</f>
        <v>674453.95451810863</v>
      </c>
      <c r="F103" s="140">
        <f>SUM(F98:F102)</f>
        <v>300929.07822603389</v>
      </c>
      <c r="G103" s="140">
        <f>SUM(G98:G102)</f>
        <v>77562.443300603743</v>
      </c>
      <c r="H103" s="140">
        <f>SUM(H98:H102)</f>
        <v>1052945.4760447463</v>
      </c>
      <c r="I103" s="102"/>
      <c r="J103" s="349">
        <f t="shared" si="16"/>
        <v>0</v>
      </c>
      <c r="K103" s="102"/>
      <c r="L103" s="102"/>
      <c r="M103" s="102"/>
      <c r="N103" s="102"/>
      <c r="O103" s="102"/>
      <c r="P103" s="102"/>
    </row>
    <row r="104" spans="1:16">
      <c r="A104" s="44"/>
      <c r="B104" s="34"/>
      <c r="I104" s="102"/>
      <c r="J104" s="349">
        <f t="shared" si="16"/>
        <v>0</v>
      </c>
      <c r="K104" s="102"/>
      <c r="L104" s="102"/>
      <c r="M104" s="102"/>
      <c r="N104" s="102"/>
      <c r="O104" s="102"/>
      <c r="P104" s="102"/>
    </row>
    <row r="105" spans="1:16">
      <c r="A105" s="44">
        <v>41121</v>
      </c>
      <c r="B105" s="34" t="s">
        <v>55</v>
      </c>
      <c r="C105" s="103">
        <f>+VLOOKUP(A105,'Consolidated IS '!$A:$AG,28,FALSE)</f>
        <v>0</v>
      </c>
      <c r="E105" s="103">
        <v>0</v>
      </c>
      <c r="F105" s="103">
        <v>0</v>
      </c>
      <c r="G105" s="103">
        <v>0</v>
      </c>
      <c r="H105" s="103">
        <f t="shared" ref="H105:H116" si="20">SUM(E105:G105)</f>
        <v>0</v>
      </c>
      <c r="I105" s="102" t="s">
        <v>348</v>
      </c>
      <c r="J105" s="349">
        <f t="shared" si="16"/>
        <v>0</v>
      </c>
      <c r="K105" s="102"/>
      <c r="L105" s="102"/>
      <c r="M105" s="102"/>
      <c r="N105" s="102"/>
      <c r="O105" s="102"/>
      <c r="P105" s="102"/>
    </row>
    <row r="106" spans="1:16">
      <c r="A106" s="44">
        <v>41129</v>
      </c>
      <c r="B106" s="34" t="s">
        <v>56</v>
      </c>
      <c r="C106" s="103">
        <f>+VLOOKUP(A106,'Consolidated IS '!$A:$AG,28,FALSE)</f>
        <v>0</v>
      </c>
      <c r="E106" s="103">
        <v>0</v>
      </c>
      <c r="F106" s="103">
        <v>0</v>
      </c>
      <c r="G106" s="103">
        <v>0</v>
      </c>
      <c r="H106" s="103">
        <f t="shared" si="20"/>
        <v>0</v>
      </c>
      <c r="I106" s="102" t="s">
        <v>348</v>
      </c>
      <c r="J106" s="349">
        <f t="shared" si="16"/>
        <v>0</v>
      </c>
      <c r="K106" s="102"/>
      <c r="L106" s="102"/>
      <c r="M106" s="102"/>
      <c r="N106" s="102"/>
      <c r="O106" s="102"/>
      <c r="P106" s="102"/>
    </row>
    <row r="107" spans="1:16">
      <c r="A107" s="44">
        <v>44168</v>
      </c>
      <c r="B107" s="34" t="s">
        <v>57</v>
      </c>
      <c r="C107" s="103">
        <f>+VLOOKUP(A107,'Consolidated IS '!$A:$AG,28,FALSE)</f>
        <v>0</v>
      </c>
      <c r="E107" s="103">
        <v>0</v>
      </c>
      <c r="F107" s="103">
        <v>0</v>
      </c>
      <c r="G107" s="103">
        <v>0</v>
      </c>
      <c r="H107" s="103">
        <f t="shared" si="20"/>
        <v>0</v>
      </c>
      <c r="I107" s="102" t="s">
        <v>348</v>
      </c>
      <c r="J107" s="349">
        <f t="shared" si="16"/>
        <v>0</v>
      </c>
      <c r="K107" s="102"/>
      <c r="L107" s="102"/>
      <c r="M107" s="102"/>
      <c r="N107" s="102"/>
      <c r="O107" s="102"/>
      <c r="P107" s="102"/>
    </row>
    <row r="108" spans="1:16">
      <c r="A108" s="44">
        <v>44169</v>
      </c>
      <c r="B108" s="34" t="s">
        <v>58</v>
      </c>
      <c r="C108" s="103">
        <f>+VLOOKUP(A108,'Consolidated IS '!$A:$AG,28,FALSE)</f>
        <v>0</v>
      </c>
      <c r="E108" s="103">
        <v>0</v>
      </c>
      <c r="F108" s="103">
        <v>0</v>
      </c>
      <c r="G108" s="103">
        <v>0</v>
      </c>
      <c r="H108" s="103">
        <f t="shared" si="20"/>
        <v>0</v>
      </c>
      <c r="I108" s="102" t="s">
        <v>348</v>
      </c>
      <c r="J108" s="349">
        <f t="shared" si="16"/>
        <v>0</v>
      </c>
      <c r="K108" s="102"/>
      <c r="L108" s="102"/>
      <c r="M108" s="102"/>
      <c r="N108" s="102"/>
      <c r="O108" s="102"/>
      <c r="P108" s="102"/>
    </row>
    <row r="109" spans="1:16">
      <c r="A109" s="1">
        <v>50086</v>
      </c>
      <c r="B109" s="34" t="s">
        <v>38</v>
      </c>
      <c r="C109" s="103">
        <f>+VLOOKUP(A109,'Consolidated IS '!$A:$AG,28,FALSE)</f>
        <v>57022.583029318208</v>
      </c>
      <c r="E109" s="103">
        <f>+$C109*'2183 LOB Ratios'!D$35</f>
        <v>36525.259375658767</v>
      </c>
      <c r="F109" s="103">
        <f>+$C109*'2183 LOB Ratios'!E$35</f>
        <v>16296.905907738554</v>
      </c>
      <c r="G109" s="103">
        <f>+$C109*'2183 LOB Ratios'!F$35</f>
        <v>4200.4177459208813</v>
      </c>
      <c r="H109" s="103">
        <f t="shared" si="20"/>
        <v>57022.583029318201</v>
      </c>
      <c r="I109" s="102" t="s">
        <v>337</v>
      </c>
      <c r="J109" s="349">
        <f t="shared" si="16"/>
        <v>0</v>
      </c>
      <c r="K109" s="102"/>
      <c r="L109" s="102"/>
      <c r="M109" s="102"/>
      <c r="N109" s="102"/>
      <c r="O109" s="102"/>
      <c r="P109" s="102"/>
    </row>
    <row r="110" spans="1:16">
      <c r="A110" s="1">
        <v>50090</v>
      </c>
      <c r="B110" s="34" t="s">
        <v>39</v>
      </c>
      <c r="C110" s="103">
        <f>+VLOOKUP(A110,'Consolidated IS '!$A:$AG,28,FALSE)</f>
        <v>25287.895724033104</v>
      </c>
      <c r="E110" s="103">
        <f>+$C110*'2183 LOB Ratios'!D$35</f>
        <v>16197.914954326563</v>
      </c>
      <c r="F110" s="103">
        <f>+$C110*'2183 LOB Ratios'!E$35</f>
        <v>7227.2148213170667</v>
      </c>
      <c r="G110" s="103">
        <f>+$C110*'2183 LOB Ratios'!F$35</f>
        <v>1862.7659483894736</v>
      </c>
      <c r="H110" s="103">
        <f t="shared" si="20"/>
        <v>25287.895724033104</v>
      </c>
      <c r="I110" s="102" t="s">
        <v>337</v>
      </c>
      <c r="J110" s="349">
        <f t="shared" si="16"/>
        <v>0</v>
      </c>
      <c r="K110" s="102"/>
      <c r="L110" s="102"/>
      <c r="M110" s="102"/>
      <c r="N110" s="102"/>
      <c r="O110" s="102"/>
      <c r="P110" s="102"/>
    </row>
    <row r="111" spans="1:16">
      <c r="A111" s="1">
        <v>52185</v>
      </c>
      <c r="B111" s="34" t="s">
        <v>59</v>
      </c>
      <c r="C111" s="103">
        <f>+VLOOKUP(A111,'Consolidated IS '!$A:$AG,28,FALSE)</f>
        <v>0</v>
      </c>
      <c r="E111" s="103">
        <f>+$C111*'2183 LOB Ratios'!D$35</f>
        <v>0</v>
      </c>
      <c r="F111" s="103">
        <f>+$C111*'2183 LOB Ratios'!E$35</f>
        <v>0</v>
      </c>
      <c r="G111" s="103">
        <f>+$C111*'2183 LOB Ratios'!F$35</f>
        <v>0</v>
      </c>
      <c r="H111" s="103">
        <f t="shared" si="20"/>
        <v>0</v>
      </c>
      <c r="I111" s="102" t="s">
        <v>337</v>
      </c>
      <c r="J111" s="349">
        <f t="shared" si="16"/>
        <v>0</v>
      </c>
      <c r="K111" s="102"/>
      <c r="L111" s="102"/>
      <c r="M111" s="102"/>
      <c r="N111" s="102"/>
      <c r="O111" s="102"/>
      <c r="P111" s="102"/>
    </row>
    <row r="112" spans="1:16">
      <c r="A112" s="1">
        <v>56200</v>
      </c>
      <c r="B112" s="34" t="s">
        <v>59</v>
      </c>
      <c r="C112" s="103">
        <f>+VLOOKUP(A112,'Consolidated IS '!$A:$AG,28,FALSE)</f>
        <v>156.57720327540017</v>
      </c>
      <c r="E112" s="103">
        <f>+$C112*'2183 LOB Ratios'!D$35</f>
        <v>100.2940003438427</v>
      </c>
      <c r="F112" s="103">
        <f>+$C112*'2183 LOB Ratios'!E$35</f>
        <v>44.74935742149875</v>
      </c>
      <c r="G112" s="103">
        <f>+$C112*'2183 LOB Ratios'!F$35</f>
        <v>11.533845510058715</v>
      </c>
      <c r="H112" s="103">
        <f t="shared" si="20"/>
        <v>156.57720327540017</v>
      </c>
      <c r="I112" s="102" t="s">
        <v>337</v>
      </c>
      <c r="J112" s="349">
        <f t="shared" si="16"/>
        <v>0</v>
      </c>
      <c r="K112" s="102"/>
      <c r="L112" s="102"/>
      <c r="M112" s="102"/>
      <c r="N112" s="102"/>
      <c r="O112" s="102"/>
      <c r="P112" s="102"/>
    </row>
    <row r="113" spans="1:16">
      <c r="A113" s="1">
        <v>57255</v>
      </c>
      <c r="B113" s="34" t="s">
        <v>63</v>
      </c>
      <c r="C113" s="103">
        <f>+VLOOKUP(A113,'Consolidated IS '!$A:$AG,28,FALSE)</f>
        <v>11068.079598456365</v>
      </c>
      <c r="E113" s="103">
        <f>+$C113*'2183 LOB Ratios'!D$35</f>
        <v>7089.5504315580192</v>
      </c>
      <c r="F113" s="103">
        <f>+$C113*'2183 LOB Ratios'!E$35</f>
        <v>3163.22835994055</v>
      </c>
      <c r="G113" s="103">
        <f>+$C113*'2183 LOB Ratios'!F$35</f>
        <v>815.30080695779463</v>
      </c>
      <c r="H113" s="103">
        <f t="shared" si="20"/>
        <v>11068.079598456365</v>
      </c>
      <c r="I113" s="102" t="s">
        <v>337</v>
      </c>
      <c r="J113" s="349">
        <f t="shared" si="16"/>
        <v>0</v>
      </c>
      <c r="K113" s="102"/>
      <c r="L113" s="102"/>
      <c r="M113" s="102"/>
      <c r="N113" s="102"/>
      <c r="O113" s="102"/>
      <c r="P113" s="102"/>
    </row>
    <row r="114" spans="1:16">
      <c r="A114" s="1">
        <v>57324</v>
      </c>
      <c r="B114" s="34" t="s">
        <v>64</v>
      </c>
      <c r="C114" s="103">
        <f>+VLOOKUP(A114,'Consolidated IS '!$A:$AG,28,FALSE)</f>
        <v>0</v>
      </c>
      <c r="E114" s="103">
        <f>+$C114*'2183 LOB Ratios'!D$35</f>
        <v>0</v>
      </c>
      <c r="F114" s="103">
        <f>+$C114*'2183 LOB Ratios'!E$35</f>
        <v>0</v>
      </c>
      <c r="G114" s="103">
        <f>+$C114*'2183 LOB Ratios'!F$35</f>
        <v>0</v>
      </c>
      <c r="H114" s="103">
        <f t="shared" si="20"/>
        <v>0</v>
      </c>
      <c r="I114" s="102" t="s">
        <v>337</v>
      </c>
      <c r="J114" s="349">
        <f t="shared" si="16"/>
        <v>0</v>
      </c>
      <c r="K114" s="102"/>
      <c r="L114" s="102"/>
      <c r="M114" s="102"/>
      <c r="N114" s="102"/>
      <c r="O114" s="102"/>
      <c r="P114" s="102"/>
    </row>
    <row r="115" spans="1:16">
      <c r="A115" s="1">
        <v>57353</v>
      </c>
      <c r="B115" s="34" t="s">
        <v>65</v>
      </c>
      <c r="C115" s="103">
        <f>+VLOOKUP(A115,'Consolidated IS '!$A:$AG,28,FALSE)</f>
        <v>0</v>
      </c>
      <c r="E115" s="103">
        <f>+$C115*'2183 LOB Ratios'!D$35</f>
        <v>0</v>
      </c>
      <c r="F115" s="103">
        <f>+$C115*'2183 LOB Ratios'!E$35</f>
        <v>0</v>
      </c>
      <c r="G115" s="103">
        <f>+$C115*'2183 LOB Ratios'!F$35</f>
        <v>0</v>
      </c>
      <c r="H115" s="103">
        <f t="shared" si="20"/>
        <v>0</v>
      </c>
      <c r="I115" s="102" t="s">
        <v>337</v>
      </c>
      <c r="J115" s="349">
        <f t="shared" si="16"/>
        <v>0</v>
      </c>
      <c r="K115" s="102"/>
      <c r="L115" s="102"/>
      <c r="M115" s="102"/>
      <c r="N115" s="102"/>
      <c r="O115" s="102"/>
      <c r="P115" s="102"/>
    </row>
    <row r="116" spans="1:16">
      <c r="A116" s="1">
        <v>60205</v>
      </c>
      <c r="B116" s="34" t="s">
        <v>59</v>
      </c>
      <c r="C116" s="103">
        <f>+VLOOKUP(A116,'Consolidated IS '!$A:$AG,28,FALSE)</f>
        <v>0</v>
      </c>
      <c r="E116" s="103">
        <v>0</v>
      </c>
      <c r="F116" s="103">
        <v>0</v>
      </c>
      <c r="G116" s="103">
        <v>0</v>
      </c>
      <c r="H116" s="103">
        <f t="shared" si="20"/>
        <v>0</v>
      </c>
      <c r="I116" s="102" t="s">
        <v>348</v>
      </c>
      <c r="J116" s="349">
        <f t="shared" si="16"/>
        <v>0</v>
      </c>
      <c r="K116" s="102"/>
      <c r="L116" s="102"/>
      <c r="M116" s="102"/>
      <c r="N116" s="102"/>
      <c r="O116" s="102"/>
      <c r="P116" s="102"/>
    </row>
    <row r="117" spans="1:16" s="143" customFormat="1">
      <c r="A117" s="1"/>
      <c r="B117" s="34"/>
      <c r="C117" s="141"/>
      <c r="D117" s="141"/>
      <c r="E117" s="141"/>
      <c r="F117" s="141"/>
      <c r="G117" s="141"/>
      <c r="H117" s="141"/>
      <c r="I117" s="142"/>
      <c r="J117" s="349">
        <f t="shared" si="16"/>
        <v>0</v>
      </c>
      <c r="K117" s="142"/>
      <c r="L117" s="102"/>
      <c r="M117" s="142"/>
      <c r="N117" s="142"/>
      <c r="O117" s="142"/>
      <c r="P117" s="142"/>
    </row>
    <row r="118" spans="1:16">
      <c r="A118" s="43">
        <v>42800</v>
      </c>
      <c r="B118" s="32" t="s">
        <v>66</v>
      </c>
      <c r="C118" s="140">
        <f>SUM(C105:C117)</f>
        <v>93535.135555083078</v>
      </c>
      <c r="D118" s="140"/>
      <c r="E118" s="140">
        <f>SUM(E105:E117)</f>
        <v>59913.018761887186</v>
      </c>
      <c r="F118" s="140">
        <f>SUM(F105:F117)</f>
        <v>26732.098446417669</v>
      </c>
      <c r="G118" s="140">
        <f>SUM(G105:G117)</f>
        <v>6890.018346778209</v>
      </c>
      <c r="H118" s="140">
        <f>SUM(H105:H117)</f>
        <v>93535.135555083063</v>
      </c>
      <c r="I118" s="102"/>
      <c r="J118" s="349">
        <f t="shared" si="16"/>
        <v>0</v>
      </c>
      <c r="K118" s="102"/>
      <c r="L118" s="102"/>
      <c r="M118" s="102"/>
      <c r="N118" s="102"/>
      <c r="O118" s="102"/>
      <c r="P118" s="102"/>
    </row>
    <row r="119" spans="1:16">
      <c r="A119" s="44"/>
      <c r="B119" s="34"/>
      <c r="I119" s="102"/>
      <c r="J119" s="349">
        <f t="shared" si="16"/>
        <v>0</v>
      </c>
      <c r="K119" s="102"/>
      <c r="L119" s="102"/>
      <c r="M119" s="102"/>
      <c r="N119" s="102"/>
      <c r="O119" s="102"/>
      <c r="P119" s="102"/>
    </row>
    <row r="120" spans="1:16">
      <c r="A120" s="1">
        <v>40101</v>
      </c>
      <c r="B120" s="34" t="s">
        <v>67</v>
      </c>
      <c r="C120" s="103">
        <f>+VLOOKUP(A120,'Consolidated IS '!$A:$AG,28,FALSE)</f>
        <v>8174725.1696660435</v>
      </c>
      <c r="E120" s="103">
        <f>+C120</f>
        <v>8174725.1696660435</v>
      </c>
      <c r="F120" s="103">
        <v>0</v>
      </c>
      <c r="G120" s="141">
        <v>0</v>
      </c>
      <c r="H120" s="103">
        <f t="shared" ref="H120:H125" si="21">SUM(E120:G120)</f>
        <v>8174725.1696660435</v>
      </c>
      <c r="I120" s="102" t="s">
        <v>348</v>
      </c>
      <c r="J120" s="349">
        <f t="shared" si="16"/>
        <v>0</v>
      </c>
      <c r="K120" s="102"/>
      <c r="L120" s="102"/>
      <c r="M120" s="102"/>
      <c r="N120" s="102"/>
      <c r="O120" s="102"/>
      <c r="P120" s="102"/>
    </row>
    <row r="121" spans="1:16">
      <c r="A121" s="1"/>
      <c r="B121" s="53" t="s">
        <v>942</v>
      </c>
      <c r="C121" s="103">
        <f>'Consolidated IS '!AB133</f>
        <v>2613258.9700000002</v>
      </c>
      <c r="E121" s="103">
        <f>+C121</f>
        <v>2613258.9700000002</v>
      </c>
      <c r="F121" s="103">
        <v>0</v>
      </c>
      <c r="G121" s="103">
        <v>0</v>
      </c>
      <c r="H121" s="103">
        <f t="shared" si="21"/>
        <v>2613258.9700000002</v>
      </c>
      <c r="I121" s="102" t="s">
        <v>348</v>
      </c>
      <c r="J121" s="349">
        <f t="shared" si="16"/>
        <v>0</v>
      </c>
      <c r="K121" s="102"/>
      <c r="L121" s="102"/>
      <c r="M121" s="102"/>
      <c r="N121" s="102"/>
      <c r="O121" s="102"/>
      <c r="P121" s="102"/>
    </row>
    <row r="122" spans="1:16" s="707" customFormat="1">
      <c r="A122" s="1"/>
      <c r="B122" s="53" t="s">
        <v>4</v>
      </c>
      <c r="C122" s="103">
        <f>'Consolidated IS '!AB134</f>
        <v>420930.09</v>
      </c>
      <c r="D122" s="103"/>
      <c r="E122" s="103">
        <v>0</v>
      </c>
      <c r="F122" s="103">
        <v>0</v>
      </c>
      <c r="G122" s="103">
        <f>+C122</f>
        <v>420930.09</v>
      </c>
      <c r="H122" s="103">
        <f t="shared" si="21"/>
        <v>420930.09</v>
      </c>
      <c r="I122" s="102" t="s">
        <v>348</v>
      </c>
      <c r="J122" s="349">
        <f t="shared" si="16"/>
        <v>0</v>
      </c>
      <c r="K122" s="102"/>
      <c r="L122" s="102"/>
      <c r="M122" s="102"/>
      <c r="N122" s="102"/>
      <c r="O122" s="102"/>
      <c r="P122" s="102"/>
    </row>
    <row r="123" spans="1:16">
      <c r="A123" s="1">
        <v>40109</v>
      </c>
      <c r="B123" s="34" t="s">
        <v>68</v>
      </c>
      <c r="C123" s="103">
        <f>+VLOOKUP(A123,'Consolidated IS '!$A:$AG,28,FALSE)</f>
        <v>0</v>
      </c>
      <c r="E123" s="103">
        <v>0</v>
      </c>
      <c r="F123" s="103">
        <v>0</v>
      </c>
      <c r="G123" s="103">
        <v>0</v>
      </c>
      <c r="H123" s="103">
        <f t="shared" si="21"/>
        <v>0</v>
      </c>
      <c r="I123" s="102" t="s">
        <v>348</v>
      </c>
      <c r="J123" s="349">
        <f t="shared" si="16"/>
        <v>0</v>
      </c>
      <c r="K123" s="102"/>
      <c r="L123" s="102"/>
      <c r="M123" s="102"/>
      <c r="N123" s="102"/>
      <c r="O123" s="102"/>
      <c r="P123" s="102"/>
    </row>
    <row r="124" spans="1:16">
      <c r="A124" s="1">
        <v>40122</v>
      </c>
      <c r="B124" s="34" t="s">
        <v>69</v>
      </c>
      <c r="C124" s="103">
        <f>+VLOOKUP(A124,'Consolidated IS '!$A:$AG,28,FALSE)</f>
        <v>0</v>
      </c>
      <c r="E124" s="103">
        <v>0</v>
      </c>
      <c r="F124" s="103">
        <v>0</v>
      </c>
      <c r="G124" s="103">
        <v>0</v>
      </c>
      <c r="H124" s="103">
        <f t="shared" si="21"/>
        <v>0</v>
      </c>
      <c r="I124" s="102" t="s">
        <v>348</v>
      </c>
      <c r="J124" s="349">
        <f t="shared" si="16"/>
        <v>0</v>
      </c>
      <c r="K124" s="102"/>
      <c r="L124" s="102"/>
      <c r="M124" s="102"/>
      <c r="N124" s="102"/>
      <c r="O124" s="102"/>
      <c r="P124" s="102"/>
    </row>
    <row r="125" spans="1:16">
      <c r="A125" s="1">
        <v>40139</v>
      </c>
      <c r="B125" s="34" t="s">
        <v>70</v>
      </c>
      <c r="C125" s="103">
        <f>+VLOOKUP(A125,'Consolidated IS '!$A:$AG,28,FALSE)</f>
        <v>0</v>
      </c>
      <c r="E125" s="103">
        <v>0</v>
      </c>
      <c r="F125" s="103">
        <v>0</v>
      </c>
      <c r="G125" s="103">
        <v>0</v>
      </c>
      <c r="H125" s="103">
        <f t="shared" si="21"/>
        <v>0</v>
      </c>
      <c r="I125" s="102" t="s">
        <v>348</v>
      </c>
      <c r="J125" s="349">
        <f t="shared" si="16"/>
        <v>0</v>
      </c>
      <c r="K125" s="102"/>
      <c r="L125" s="102"/>
      <c r="M125" s="102"/>
      <c r="N125" s="102"/>
      <c r="O125" s="102"/>
      <c r="P125" s="102"/>
    </row>
    <row r="126" spans="1:16">
      <c r="A126" s="1"/>
      <c r="B126" s="34"/>
      <c r="I126" s="102"/>
      <c r="J126" s="349">
        <f t="shared" si="16"/>
        <v>0</v>
      </c>
      <c r="K126" s="102"/>
      <c r="L126" s="102"/>
      <c r="M126" s="102"/>
      <c r="N126" s="102"/>
      <c r="O126" s="102"/>
      <c r="P126" s="102"/>
    </row>
    <row r="127" spans="1:16">
      <c r="A127" s="43">
        <v>43600</v>
      </c>
      <c r="B127" s="32" t="s">
        <v>71</v>
      </c>
      <c r="C127" s="140">
        <f>SUM(C120:C126)</f>
        <v>11208914.229666043</v>
      </c>
      <c r="D127" s="140"/>
      <c r="E127" s="140">
        <f>SUM(E120:E126)</f>
        <v>10787984.139666043</v>
      </c>
      <c r="F127" s="140">
        <f>SUM(F120:F126)</f>
        <v>0</v>
      </c>
      <c r="G127" s="140">
        <f>SUM(G120:G126)</f>
        <v>420930.09</v>
      </c>
      <c r="H127" s="140">
        <f>SUM(H120:H126)</f>
        <v>11208914.229666043</v>
      </c>
      <c r="I127" s="102"/>
      <c r="J127" s="349">
        <f t="shared" si="16"/>
        <v>0</v>
      </c>
      <c r="K127" s="102"/>
      <c r="L127" s="102"/>
      <c r="M127" s="102"/>
      <c r="N127" s="102"/>
      <c r="O127" s="102"/>
      <c r="P127" s="102"/>
    </row>
    <row r="128" spans="1:16">
      <c r="A128" s="45"/>
      <c r="B128" s="46"/>
      <c r="I128" s="102"/>
      <c r="J128" s="349">
        <f t="shared" si="16"/>
        <v>0</v>
      </c>
      <c r="K128" s="102"/>
      <c r="L128" s="102"/>
      <c r="M128" s="102"/>
      <c r="N128" s="102"/>
      <c r="O128" s="102"/>
      <c r="P128" s="102"/>
    </row>
    <row r="129" spans="1:16">
      <c r="A129" s="44">
        <v>40861</v>
      </c>
      <c r="B129" s="34" t="s">
        <v>72</v>
      </c>
      <c r="C129" s="103">
        <f>+VLOOKUP(A129,'Consolidated IS '!$A:$AG,28,FALSE)</f>
        <v>61453.370204546984</v>
      </c>
      <c r="E129" s="103">
        <v>0</v>
      </c>
      <c r="F129" s="103">
        <f>C129</f>
        <v>61453.370204546984</v>
      </c>
      <c r="G129" s="103">
        <v>0</v>
      </c>
      <c r="H129" s="103">
        <f t="shared" ref="H129:H130" si="22">SUM(E129:G129)</f>
        <v>61453.370204546984</v>
      </c>
      <c r="I129" s="102" t="s">
        <v>348</v>
      </c>
      <c r="J129" s="349">
        <f t="shared" si="16"/>
        <v>0</v>
      </c>
      <c r="K129" s="102"/>
      <c r="L129" s="102"/>
      <c r="M129" s="102"/>
      <c r="N129" s="102"/>
      <c r="O129" s="102"/>
      <c r="P129" s="102"/>
    </row>
    <row r="130" spans="1:16">
      <c r="A130" s="44">
        <v>40869</v>
      </c>
      <c r="B130" s="34" t="s">
        <v>73</v>
      </c>
      <c r="C130" s="103">
        <f>+VLOOKUP(A130,'Consolidated IS '!$A:$AG,28,FALSE)</f>
        <v>0</v>
      </c>
      <c r="E130" s="103">
        <v>0</v>
      </c>
      <c r="F130" s="103">
        <v>0</v>
      </c>
      <c r="G130" s="103">
        <v>0</v>
      </c>
      <c r="H130" s="103">
        <f t="shared" si="22"/>
        <v>0</v>
      </c>
      <c r="I130" s="102" t="s">
        <v>348</v>
      </c>
      <c r="J130" s="349">
        <f t="shared" si="16"/>
        <v>0</v>
      </c>
      <c r="K130" s="102"/>
      <c r="L130" s="102"/>
      <c r="M130" s="102"/>
      <c r="N130" s="102"/>
      <c r="O130" s="102"/>
      <c r="P130" s="102"/>
    </row>
    <row r="131" spans="1:16">
      <c r="A131" s="44"/>
      <c r="B131" s="34"/>
      <c r="I131" s="102"/>
      <c r="J131" s="349">
        <f t="shared" si="16"/>
        <v>0</v>
      </c>
      <c r="K131" s="102"/>
      <c r="L131" s="102"/>
      <c r="M131" s="102"/>
      <c r="N131" s="102"/>
      <c r="O131" s="102"/>
      <c r="P131" s="102"/>
    </row>
    <row r="132" spans="1:16">
      <c r="A132" s="43">
        <v>43800</v>
      </c>
      <c r="B132" s="32" t="s">
        <v>72</v>
      </c>
      <c r="C132" s="140">
        <f>SUM(C129:C131)</f>
        <v>61453.370204546984</v>
      </c>
      <c r="D132" s="140"/>
      <c r="E132" s="140">
        <f t="shared" ref="E132:H132" si="23">SUM(E129:E131)</f>
        <v>0</v>
      </c>
      <c r="F132" s="140">
        <f t="shared" si="23"/>
        <v>61453.370204546984</v>
      </c>
      <c r="G132" s="140">
        <f t="shared" si="23"/>
        <v>0</v>
      </c>
      <c r="H132" s="140">
        <f t="shared" si="23"/>
        <v>61453.370204546984</v>
      </c>
      <c r="I132" s="102"/>
      <c r="J132" s="349">
        <f t="shared" si="16"/>
        <v>0</v>
      </c>
      <c r="K132" s="102"/>
      <c r="L132" s="102"/>
      <c r="M132" s="102"/>
      <c r="N132" s="102"/>
      <c r="O132" s="102"/>
      <c r="P132" s="102"/>
    </row>
    <row r="133" spans="1:16">
      <c r="A133" s="45"/>
      <c r="B133" s="46"/>
      <c r="I133" s="102"/>
      <c r="J133" s="349">
        <f t="shared" si="16"/>
        <v>0</v>
      </c>
      <c r="K133" s="102"/>
      <c r="L133" s="102"/>
      <c r="M133" s="102"/>
      <c r="N133" s="102"/>
      <c r="O133" s="102"/>
      <c r="P133" s="102"/>
    </row>
    <row r="134" spans="1:16">
      <c r="A134" s="44">
        <v>60010</v>
      </c>
      <c r="B134" s="34" t="s">
        <v>17</v>
      </c>
      <c r="C134" s="103">
        <f>+VLOOKUP(A134,'Consolidated IS '!$A:$AG,28,FALSE)</f>
        <v>0</v>
      </c>
      <c r="E134" s="103">
        <v>0</v>
      </c>
      <c r="F134" s="103">
        <v>0</v>
      </c>
      <c r="G134" s="103">
        <v>0</v>
      </c>
      <c r="H134" s="103">
        <f t="shared" ref="H134:H140" si="24">SUM(E134:G134)</f>
        <v>0</v>
      </c>
      <c r="I134" s="102" t="s">
        <v>348</v>
      </c>
      <c r="J134" s="349">
        <f t="shared" si="16"/>
        <v>0</v>
      </c>
      <c r="K134" s="102"/>
      <c r="L134" s="102"/>
      <c r="M134" s="102"/>
      <c r="N134" s="102"/>
      <c r="O134" s="102"/>
      <c r="P134" s="102"/>
    </row>
    <row r="135" spans="1:16">
      <c r="A135" s="44">
        <v>60030</v>
      </c>
      <c r="B135" s="34" t="s">
        <v>74</v>
      </c>
      <c r="C135" s="103">
        <f>+VLOOKUP(A135,'Consolidated IS '!$A:$AG,28,FALSE)</f>
        <v>0</v>
      </c>
      <c r="E135" s="103">
        <v>0</v>
      </c>
      <c r="F135" s="103">
        <v>0</v>
      </c>
      <c r="G135" s="103">
        <v>0</v>
      </c>
      <c r="H135" s="103">
        <f t="shared" si="24"/>
        <v>0</v>
      </c>
      <c r="I135" s="102" t="s">
        <v>348</v>
      </c>
      <c r="J135" s="349">
        <f t="shared" si="16"/>
        <v>0</v>
      </c>
      <c r="K135" s="102"/>
      <c r="L135" s="102"/>
      <c r="M135" s="102"/>
      <c r="N135" s="102"/>
      <c r="O135" s="102"/>
      <c r="P135" s="102"/>
    </row>
    <row r="136" spans="1:16">
      <c r="A136" s="44">
        <v>60060</v>
      </c>
      <c r="B136" s="34" t="s">
        <v>75</v>
      </c>
      <c r="C136" s="103">
        <f>+VLOOKUP(A136,'Consolidated IS '!$A:$AG,28,FALSE)</f>
        <v>0</v>
      </c>
      <c r="E136" s="103">
        <v>0</v>
      </c>
      <c r="F136" s="103">
        <v>0</v>
      </c>
      <c r="G136" s="103">
        <v>0</v>
      </c>
      <c r="H136" s="103">
        <f t="shared" si="24"/>
        <v>0</v>
      </c>
      <c r="I136" s="102" t="s">
        <v>348</v>
      </c>
      <c r="J136" s="349">
        <f t="shared" si="16"/>
        <v>0</v>
      </c>
      <c r="K136" s="102"/>
      <c r="L136" s="102"/>
      <c r="M136" s="102"/>
      <c r="N136" s="102"/>
      <c r="O136" s="102"/>
      <c r="P136" s="102"/>
    </row>
    <row r="137" spans="1:16">
      <c r="A137" s="44">
        <v>60065</v>
      </c>
      <c r="B137" s="34" t="s">
        <v>21</v>
      </c>
      <c r="C137" s="103">
        <f>+VLOOKUP(A137,'Consolidated IS '!$A:$AG,28,FALSE)</f>
        <v>0</v>
      </c>
      <c r="E137" s="103">
        <v>0</v>
      </c>
      <c r="F137" s="103">
        <v>0</v>
      </c>
      <c r="G137" s="103">
        <v>0</v>
      </c>
      <c r="H137" s="103">
        <f t="shared" si="24"/>
        <v>0</v>
      </c>
      <c r="I137" s="102" t="s">
        <v>348</v>
      </c>
      <c r="J137" s="349">
        <f t="shared" si="16"/>
        <v>0</v>
      </c>
      <c r="K137" s="102"/>
      <c r="L137" s="102"/>
      <c r="M137" s="102"/>
      <c r="N137" s="102"/>
      <c r="O137" s="102"/>
      <c r="P137" s="102"/>
    </row>
    <row r="138" spans="1:16">
      <c r="A138" s="44">
        <v>60070</v>
      </c>
      <c r="B138" s="34" t="s">
        <v>22</v>
      </c>
      <c r="C138" s="103">
        <f>+VLOOKUP(A138,'Consolidated IS '!$A:$AG,28,FALSE)</f>
        <v>0</v>
      </c>
      <c r="E138" s="103">
        <v>0</v>
      </c>
      <c r="F138" s="103">
        <v>0</v>
      </c>
      <c r="G138" s="103">
        <v>0</v>
      </c>
      <c r="H138" s="103">
        <f t="shared" si="24"/>
        <v>0</v>
      </c>
      <c r="I138" s="102" t="s">
        <v>348</v>
      </c>
      <c r="J138" s="349">
        <f t="shared" si="16"/>
        <v>0</v>
      </c>
      <c r="K138" s="102"/>
      <c r="L138" s="102"/>
      <c r="M138" s="102"/>
      <c r="N138" s="102"/>
      <c r="O138" s="102"/>
      <c r="P138" s="102"/>
    </row>
    <row r="139" spans="1:16">
      <c r="A139" s="1">
        <v>60201</v>
      </c>
      <c r="B139" s="34" t="s">
        <v>77</v>
      </c>
      <c r="C139" s="103">
        <f>+VLOOKUP(A139,'Consolidated IS '!$A:$AG,28,FALSE)</f>
        <v>0</v>
      </c>
      <c r="E139" s="103">
        <v>0</v>
      </c>
      <c r="F139" s="103">
        <v>0</v>
      </c>
      <c r="G139" s="103">
        <v>0</v>
      </c>
      <c r="H139" s="103">
        <f t="shared" si="24"/>
        <v>0</v>
      </c>
      <c r="I139" s="102" t="s">
        <v>348</v>
      </c>
      <c r="J139" s="349">
        <f t="shared" si="16"/>
        <v>0</v>
      </c>
      <c r="K139" s="102"/>
      <c r="L139" s="102"/>
      <c r="M139" s="102"/>
      <c r="N139" s="102"/>
      <c r="O139" s="102"/>
      <c r="P139" s="102"/>
    </row>
    <row r="140" spans="1:16">
      <c r="A140" s="1">
        <v>60095</v>
      </c>
      <c r="B140" s="34" t="s">
        <v>61</v>
      </c>
      <c r="C140" s="103">
        <f>+VLOOKUP(A140,'Consolidated IS '!$A:$AG,28,FALSE)</f>
        <v>0</v>
      </c>
      <c r="E140" s="103">
        <v>0</v>
      </c>
      <c r="F140" s="103">
        <v>0</v>
      </c>
      <c r="G140" s="103">
        <v>0</v>
      </c>
      <c r="H140" s="103">
        <f t="shared" si="24"/>
        <v>0</v>
      </c>
      <c r="I140" s="102" t="s">
        <v>348</v>
      </c>
      <c r="J140" s="349">
        <f t="shared" si="16"/>
        <v>0</v>
      </c>
      <c r="K140" s="102"/>
      <c r="L140" s="102"/>
      <c r="M140" s="102"/>
      <c r="N140" s="102"/>
      <c r="O140" s="102"/>
      <c r="P140" s="102"/>
    </row>
    <row r="141" spans="1:16">
      <c r="A141" s="1"/>
      <c r="B141" s="34"/>
      <c r="I141" s="102"/>
      <c r="J141" s="349">
        <f t="shared" si="16"/>
        <v>0</v>
      </c>
      <c r="K141" s="102"/>
      <c r="L141" s="102"/>
      <c r="M141" s="102"/>
      <c r="N141" s="102"/>
      <c r="O141" s="102"/>
      <c r="P141" s="102"/>
    </row>
    <row r="142" spans="1:16">
      <c r="A142" s="43">
        <v>44000</v>
      </c>
      <c r="B142" s="32" t="s">
        <v>78</v>
      </c>
      <c r="C142" s="140">
        <f>SUM(C134:C141)</f>
        <v>0</v>
      </c>
      <c r="D142" s="140"/>
      <c r="E142" s="140">
        <f>SUM(E134:E141)</f>
        <v>0</v>
      </c>
      <c r="F142" s="140">
        <f>SUM(F134:F141)</f>
        <v>0</v>
      </c>
      <c r="G142" s="140">
        <f>SUM(G134:G141)</f>
        <v>0</v>
      </c>
      <c r="H142" s="140">
        <f>SUM(H134:H141)</f>
        <v>0</v>
      </c>
      <c r="I142" s="102"/>
      <c r="J142" s="349">
        <f t="shared" si="16"/>
        <v>0</v>
      </c>
      <c r="K142" s="102"/>
      <c r="L142" s="102"/>
      <c r="M142" s="102"/>
      <c r="N142" s="102"/>
      <c r="O142" s="102"/>
      <c r="P142" s="102"/>
    </row>
    <row r="143" spans="1:16">
      <c r="A143" s="45"/>
      <c r="B143" s="46"/>
      <c r="I143" s="102"/>
      <c r="J143" s="349">
        <f t="shared" si="16"/>
        <v>0</v>
      </c>
      <c r="K143" s="102"/>
      <c r="L143" s="102"/>
      <c r="M143" s="102"/>
      <c r="N143" s="102"/>
      <c r="O143" s="102"/>
      <c r="P143" s="102"/>
    </row>
    <row r="144" spans="1:16">
      <c r="A144" s="1">
        <v>43002</v>
      </c>
      <c r="B144" s="34" t="s">
        <v>79</v>
      </c>
      <c r="C144" s="103">
        <f>+VLOOKUP(A144,'Consolidated IS '!$A:$AG,28,FALSE)</f>
        <v>142594.77209850002</v>
      </c>
      <c r="E144" s="103">
        <f>+$C144*E$24</f>
        <v>109086.77775363167</v>
      </c>
      <c r="F144" s="103">
        <f>+$C144*F$24</f>
        <v>24037.696036627633</v>
      </c>
      <c r="G144" s="103">
        <f>+$C144*G$24</f>
        <v>9470.2983082407045</v>
      </c>
      <c r="H144" s="103">
        <f t="shared" ref="H144" si="25">SUM(E144:G144)</f>
        <v>142594.77209850002</v>
      </c>
      <c r="I144" s="102" t="s">
        <v>174</v>
      </c>
      <c r="J144" s="349">
        <f t="shared" si="16"/>
        <v>0</v>
      </c>
      <c r="K144" s="102"/>
      <c r="L144" s="102"/>
      <c r="M144" s="102"/>
      <c r="N144" s="102"/>
      <c r="O144" s="102"/>
      <c r="P144" s="102"/>
    </row>
    <row r="145" spans="1:16">
      <c r="A145" s="1"/>
      <c r="B145" s="34"/>
      <c r="I145" s="102"/>
      <c r="J145" s="349">
        <f t="shared" si="16"/>
        <v>0</v>
      </c>
      <c r="K145" s="102"/>
      <c r="L145" s="102"/>
      <c r="M145" s="102"/>
      <c r="N145" s="102"/>
      <c r="O145" s="102"/>
      <c r="P145" s="102"/>
    </row>
    <row r="146" spans="1:16">
      <c r="A146" s="43">
        <v>44300</v>
      </c>
      <c r="B146" s="32" t="s">
        <v>80</v>
      </c>
      <c r="C146" s="140">
        <f>SUM(C144:C145)</f>
        <v>142594.77209850002</v>
      </c>
      <c r="D146" s="140"/>
      <c r="E146" s="140">
        <f t="shared" ref="E146:H146" si="26">SUM(E144:E145)</f>
        <v>109086.77775363167</v>
      </c>
      <c r="F146" s="140">
        <f t="shared" si="26"/>
        <v>24037.696036627633</v>
      </c>
      <c r="G146" s="140">
        <f t="shared" si="26"/>
        <v>9470.2983082407045</v>
      </c>
      <c r="H146" s="140">
        <f t="shared" si="26"/>
        <v>142594.77209850002</v>
      </c>
      <c r="I146" s="102"/>
      <c r="J146" s="349">
        <f t="shared" si="16"/>
        <v>0</v>
      </c>
      <c r="K146" s="102"/>
      <c r="L146" s="102"/>
      <c r="M146" s="102"/>
      <c r="N146" s="102"/>
      <c r="O146" s="102"/>
      <c r="P146" s="102"/>
    </row>
    <row r="147" spans="1:16">
      <c r="A147" s="44"/>
      <c r="B147" s="34"/>
      <c r="I147" s="102"/>
      <c r="J147" s="349">
        <f t="shared" si="16"/>
        <v>0</v>
      </c>
      <c r="K147" s="102"/>
      <c r="L147" s="102"/>
      <c r="M147" s="102"/>
      <c r="N147" s="102"/>
      <c r="O147" s="102"/>
      <c r="P147" s="102"/>
    </row>
    <row r="148" spans="1:16">
      <c r="A148" s="44">
        <v>60195</v>
      </c>
      <c r="B148" s="34" t="s">
        <v>81</v>
      </c>
      <c r="C148" s="103">
        <f>+VLOOKUP(A148,'Consolidated IS '!$A:$AG,28,FALSE)</f>
        <v>0</v>
      </c>
      <c r="E148" s="103">
        <v>0</v>
      </c>
      <c r="F148" s="103">
        <v>0</v>
      </c>
      <c r="G148" s="103">
        <v>0</v>
      </c>
      <c r="H148" s="103">
        <f t="shared" ref="H148:H150" si="27">SUM(E148:G148)</f>
        <v>0</v>
      </c>
      <c r="I148" s="102" t="s">
        <v>348</v>
      </c>
      <c r="J148" s="349">
        <f t="shared" si="16"/>
        <v>0</v>
      </c>
      <c r="K148" s="102"/>
      <c r="L148" s="102"/>
      <c r="M148" s="102"/>
      <c r="N148" s="102"/>
      <c r="O148" s="102"/>
      <c r="P148" s="102"/>
    </row>
    <row r="149" spans="1:16">
      <c r="A149" s="1">
        <v>60225</v>
      </c>
      <c r="B149" s="34" t="s">
        <v>82</v>
      </c>
      <c r="C149" s="103">
        <f>+VLOOKUP(A149,'Consolidated IS '!$A:$AG,28,FALSE)</f>
        <v>5098.8866097490209</v>
      </c>
      <c r="E149" s="103">
        <f>+$C149*'2183 LOB Ratios'!D$18</f>
        <v>2105.0623078265435</v>
      </c>
      <c r="F149" s="103">
        <f>+$C149*'2183 LOB Ratios'!E$18</f>
        <v>2297.9583131523414</v>
      </c>
      <c r="G149" s="103">
        <f>+$C149*'2183 LOB Ratios'!F$18</f>
        <v>695.86598877013637</v>
      </c>
      <c r="H149" s="103">
        <f t="shared" si="27"/>
        <v>5098.8866097490209</v>
      </c>
      <c r="I149" s="102" t="s">
        <v>341</v>
      </c>
      <c r="J149" s="349">
        <f t="shared" si="16"/>
        <v>0</v>
      </c>
      <c r="K149" s="102"/>
      <c r="L149" s="102"/>
      <c r="M149" s="102"/>
      <c r="N149" s="102"/>
      <c r="O149" s="102"/>
      <c r="P149" s="102"/>
    </row>
    <row r="150" spans="1:16">
      <c r="A150" s="1">
        <v>70225</v>
      </c>
      <c r="B150" s="34" t="s">
        <v>83</v>
      </c>
      <c r="C150" s="103">
        <f>+VLOOKUP(A150,'Consolidated IS '!$A:$AG,28,FALSE)</f>
        <v>212.33</v>
      </c>
      <c r="E150" s="103">
        <f>+$C150*'2183 LOB Ratios'!D$18</f>
        <v>87.659897940505644</v>
      </c>
      <c r="F150" s="103">
        <f>+$C150*'2183 LOB Ratios'!E$18</f>
        <v>95.692555252891466</v>
      </c>
      <c r="G150" s="103">
        <f>+$C150*'2183 LOB Ratios'!F$18</f>
        <v>28.977546806602909</v>
      </c>
      <c r="H150" s="103">
        <f t="shared" si="27"/>
        <v>212.33</v>
      </c>
      <c r="I150" s="102" t="s">
        <v>341</v>
      </c>
      <c r="J150" s="349">
        <f t="shared" si="16"/>
        <v>0</v>
      </c>
      <c r="K150" s="102"/>
      <c r="L150" s="102"/>
      <c r="M150" s="102"/>
      <c r="N150" s="102"/>
      <c r="O150" s="102"/>
      <c r="P150" s="102"/>
    </row>
    <row r="151" spans="1:16" s="143" customFormat="1">
      <c r="A151" s="1"/>
      <c r="B151" s="34"/>
      <c r="C151" s="141"/>
      <c r="D151" s="141"/>
      <c r="E151" s="141"/>
      <c r="F151" s="141"/>
      <c r="G151" s="141"/>
      <c r="H151" s="141"/>
      <c r="I151" s="142"/>
      <c r="J151" s="349">
        <f t="shared" si="16"/>
        <v>0</v>
      </c>
      <c r="K151" s="142"/>
      <c r="L151" s="102"/>
      <c r="M151" s="142"/>
      <c r="N151" s="142"/>
      <c r="O151" s="142"/>
      <c r="P151" s="142"/>
    </row>
    <row r="152" spans="1:16">
      <c r="A152" s="43">
        <v>44500</v>
      </c>
      <c r="B152" s="32" t="s">
        <v>84</v>
      </c>
      <c r="C152" s="140">
        <f>SUM(C148:C151)</f>
        <v>5311.2166097490208</v>
      </c>
      <c r="D152" s="140"/>
      <c r="E152" s="140">
        <f t="shared" ref="E152:H152" si="28">SUM(E148:E151)</f>
        <v>2192.7222057670492</v>
      </c>
      <c r="F152" s="140">
        <f t="shared" si="28"/>
        <v>2393.6508684052328</v>
      </c>
      <c r="G152" s="140">
        <f t="shared" si="28"/>
        <v>724.84353557673933</v>
      </c>
      <c r="H152" s="140">
        <f t="shared" si="28"/>
        <v>5311.2166097490208</v>
      </c>
      <c r="I152" s="102"/>
      <c r="J152" s="349">
        <f t="shared" ref="J152:J215" si="29">C152-H152</f>
        <v>0</v>
      </c>
      <c r="K152" s="102"/>
      <c r="L152" s="102"/>
      <c r="M152" s="102"/>
      <c r="N152" s="102"/>
      <c r="O152" s="102"/>
      <c r="P152" s="102"/>
    </row>
    <row r="153" spans="1:16">
      <c r="A153" s="44"/>
      <c r="B153" s="34"/>
      <c r="I153" s="102"/>
      <c r="J153" s="349">
        <f t="shared" si="29"/>
        <v>0</v>
      </c>
      <c r="K153" s="102"/>
      <c r="L153" s="102"/>
      <c r="M153" s="102"/>
      <c r="N153" s="102"/>
      <c r="O153" s="102"/>
      <c r="P153" s="102"/>
    </row>
    <row r="154" spans="1:16">
      <c r="A154" s="1">
        <v>59340</v>
      </c>
      <c r="B154" s="34" t="s">
        <v>85</v>
      </c>
      <c r="C154" s="103">
        <f>+VLOOKUP(A154,'Consolidated IS '!$A:$AG,28,FALSE)</f>
        <v>76830.223360449469</v>
      </c>
      <c r="E154" s="103">
        <f>+$C154*'2183 LOB Ratios'!D$35</f>
        <v>49212.85019107924</v>
      </c>
      <c r="F154" s="103">
        <f>+$C154*'2183 LOB Ratios'!E$35</f>
        <v>21957.877992514226</v>
      </c>
      <c r="G154" s="103">
        <f>+$C154*'2183 LOB Ratios'!F$35</f>
        <v>5659.4951768559968</v>
      </c>
      <c r="H154" s="103">
        <f t="shared" ref="H154:H156" si="30">SUM(E154:G154)</f>
        <v>76830.223360449469</v>
      </c>
      <c r="I154" s="102" t="s">
        <v>337</v>
      </c>
      <c r="J154" s="349">
        <f t="shared" si="29"/>
        <v>0</v>
      </c>
      <c r="K154" s="102"/>
      <c r="L154" s="102"/>
      <c r="M154" s="102"/>
      <c r="N154" s="102"/>
      <c r="O154" s="102"/>
      <c r="P154" s="102"/>
    </row>
    <row r="155" spans="1:16">
      <c r="A155" s="1">
        <v>59341</v>
      </c>
      <c r="B155" s="34" t="s">
        <v>86</v>
      </c>
      <c r="C155" s="103">
        <f>+VLOOKUP(A155,'Consolidated IS '!$A:$AG,28,FALSE)</f>
        <v>22506.3</v>
      </c>
      <c r="E155" s="103">
        <f>+$C155*'2183 LOB Ratios'!D$35</f>
        <v>14416.190944274342</v>
      </c>
      <c r="F155" s="103">
        <f>+$C155*'2183 LOB Ratios'!E$35</f>
        <v>6432.2419986263058</v>
      </c>
      <c r="G155" s="103">
        <f>+$C155*'2183 LOB Ratios'!F$35</f>
        <v>1657.8670570993504</v>
      </c>
      <c r="H155" s="103">
        <f t="shared" si="30"/>
        <v>22506.299999999996</v>
      </c>
      <c r="I155" s="102" t="s">
        <v>337</v>
      </c>
      <c r="J155" s="349">
        <f t="shared" si="29"/>
        <v>0</v>
      </c>
      <c r="K155" s="102"/>
      <c r="L155" s="102"/>
      <c r="M155" s="102"/>
      <c r="N155" s="102"/>
      <c r="O155" s="102"/>
      <c r="P155" s="102"/>
    </row>
    <row r="156" spans="1:16">
      <c r="A156" s="1">
        <v>59342</v>
      </c>
      <c r="B156" s="34" t="s">
        <v>87</v>
      </c>
      <c r="C156" s="103">
        <f>+VLOOKUP(A156,'Consolidated IS '!$A:$AG,28,FALSE)</f>
        <v>28814.909999999996</v>
      </c>
      <c r="E156" s="103">
        <f>+$C156*'2183 LOB Ratios'!D$35</f>
        <v>18457.109547197015</v>
      </c>
      <c r="F156" s="103">
        <f>+$C156*'2183 LOB Ratios'!E$35</f>
        <v>8235.226327234468</v>
      </c>
      <c r="G156" s="103">
        <f>+$C156*'2183 LOB Ratios'!F$35</f>
        <v>2122.5741255685134</v>
      </c>
      <c r="H156" s="103">
        <f t="shared" si="30"/>
        <v>28814.909999999996</v>
      </c>
      <c r="I156" s="102" t="s">
        <v>337</v>
      </c>
      <c r="J156" s="349">
        <f t="shared" si="29"/>
        <v>0</v>
      </c>
      <c r="K156" s="102"/>
      <c r="L156" s="102"/>
      <c r="M156" s="102"/>
      <c r="N156" s="102"/>
      <c r="O156" s="102"/>
      <c r="P156" s="102"/>
    </row>
    <row r="157" spans="1:16" s="143" customFormat="1">
      <c r="A157" s="1"/>
      <c r="B157" s="34"/>
      <c r="C157" s="141"/>
      <c r="D157" s="141"/>
      <c r="E157" s="141"/>
      <c r="F157" s="141"/>
      <c r="G157" s="141"/>
      <c r="H157" s="141"/>
      <c r="I157" s="142"/>
      <c r="J157" s="349">
        <f t="shared" si="29"/>
        <v>0</v>
      </c>
      <c r="K157" s="142"/>
      <c r="L157" s="102"/>
      <c r="M157" s="142"/>
      <c r="N157" s="142"/>
      <c r="O157" s="142"/>
      <c r="P157" s="142"/>
    </row>
    <row r="158" spans="1:16">
      <c r="A158" s="43">
        <v>45300</v>
      </c>
      <c r="B158" s="32" t="s">
        <v>88</v>
      </c>
      <c r="C158" s="140">
        <f>SUM(C154:C157)</f>
        <v>128151.43336044948</v>
      </c>
      <c r="D158" s="140"/>
      <c r="E158" s="140">
        <f>SUM(E154:E157)</f>
        <v>82086.150682550593</v>
      </c>
      <c r="F158" s="140">
        <f>SUM(F154:F157)</f>
        <v>36625.346318374999</v>
      </c>
      <c r="G158" s="140">
        <f>SUM(G154:G157)</f>
        <v>9439.936359523861</v>
      </c>
      <c r="H158" s="140">
        <f>SUM(H154:H157)</f>
        <v>128151.43336044948</v>
      </c>
      <c r="I158" s="102"/>
      <c r="J158" s="349">
        <f t="shared" si="29"/>
        <v>0</v>
      </c>
      <c r="K158" s="102"/>
      <c r="L158" s="102"/>
      <c r="M158" s="102"/>
      <c r="N158" s="102"/>
      <c r="O158" s="102"/>
      <c r="P158" s="102"/>
    </row>
    <row r="159" spans="1:16">
      <c r="A159" s="1"/>
      <c r="B159" s="34"/>
      <c r="I159" s="102"/>
      <c r="J159" s="349">
        <f t="shared" si="29"/>
        <v>0</v>
      </c>
      <c r="K159" s="102"/>
      <c r="L159" s="102"/>
      <c r="M159" s="102"/>
      <c r="N159" s="102"/>
      <c r="O159" s="102"/>
      <c r="P159" s="102"/>
    </row>
    <row r="160" spans="1:16">
      <c r="A160" s="1">
        <v>59343</v>
      </c>
      <c r="B160" s="34" t="s">
        <v>89</v>
      </c>
      <c r="C160" s="103">
        <f>+VLOOKUP(A160,'Consolidated IS '!$A:$AG,28,FALSE)</f>
        <v>-3015.4278972613811</v>
      </c>
      <c r="E160" s="103">
        <f>+$C160*'2183 LOB Ratios'!D$35</f>
        <v>-1931.5029278740506</v>
      </c>
      <c r="F160" s="103">
        <f>+$C160*'2183 LOB Ratios'!E$35</f>
        <v>-861.80144957607706</v>
      </c>
      <c r="G160" s="103">
        <f>+$C160*'2183 LOB Ratios'!F$35</f>
        <v>-222.1235198112532</v>
      </c>
      <c r="H160" s="103">
        <f t="shared" ref="H160:H163" si="31">SUM(E160:G160)</f>
        <v>-3015.4278972613806</v>
      </c>
      <c r="I160" s="102" t="s">
        <v>337</v>
      </c>
      <c r="J160" s="349">
        <f t="shared" si="29"/>
        <v>0</v>
      </c>
      <c r="K160" s="102"/>
      <c r="L160" s="102"/>
      <c r="M160" s="102"/>
      <c r="N160" s="102"/>
      <c r="O160" s="102"/>
      <c r="P160" s="102"/>
    </row>
    <row r="161" spans="1:16">
      <c r="A161" s="1">
        <v>59344</v>
      </c>
      <c r="B161" s="34" t="s">
        <v>90</v>
      </c>
      <c r="C161" s="103">
        <f>+VLOOKUP(A161,'Consolidated IS '!$A:$AG,28,FALSE)</f>
        <v>9355.7618981997111</v>
      </c>
      <c r="E161" s="103">
        <f>+$C161*'2183 LOB Ratios'!D$35</f>
        <v>5992.7420301699349</v>
      </c>
      <c r="F161" s="103">
        <f>+$C161*'2183 LOB Ratios'!E$35</f>
        <v>2673.8524151347824</v>
      </c>
      <c r="G161" s="103">
        <f>+$C161*'2183 LOB Ratios'!F$35</f>
        <v>689.16745289499329</v>
      </c>
      <c r="H161" s="103">
        <f t="shared" si="31"/>
        <v>9355.7618981997111</v>
      </c>
      <c r="I161" s="102" t="s">
        <v>337</v>
      </c>
      <c r="J161" s="349">
        <f t="shared" si="29"/>
        <v>0</v>
      </c>
      <c r="K161" s="102"/>
      <c r="L161" s="102"/>
      <c r="M161" s="102"/>
      <c r="N161" s="102"/>
      <c r="O161" s="102"/>
      <c r="P161" s="102"/>
    </row>
    <row r="162" spans="1:16">
      <c r="A162" s="1">
        <v>59500</v>
      </c>
      <c r="B162" s="34" t="s">
        <v>91</v>
      </c>
      <c r="C162" s="103">
        <f>+VLOOKUP(A162,'Consolidated IS '!$A:$AG,28,FALSE)</f>
        <v>23925.669488828877</v>
      </c>
      <c r="E162" s="103">
        <f>+$C162*'2183 LOB Ratios'!D$35</f>
        <v>15325.354226174706</v>
      </c>
      <c r="F162" s="103">
        <f>+$C162*'2183 LOB Ratios'!E$35</f>
        <v>6837.8941065966892</v>
      </c>
      <c r="G162" s="103">
        <f>+$C162*'2183 LOB Ratios'!F$35</f>
        <v>1762.4211560574793</v>
      </c>
      <c r="H162" s="103">
        <f t="shared" si="31"/>
        <v>23925.669488828877</v>
      </c>
      <c r="I162" s="102" t="s">
        <v>337</v>
      </c>
      <c r="J162" s="349">
        <f t="shared" si="29"/>
        <v>0</v>
      </c>
      <c r="K162" s="102"/>
      <c r="L162" s="102"/>
      <c r="M162" s="102"/>
      <c r="N162" s="102"/>
      <c r="O162" s="102"/>
      <c r="P162" s="102"/>
    </row>
    <row r="163" spans="1:16">
      <c r="A163" s="44">
        <v>57370</v>
      </c>
      <c r="B163" s="34" t="s">
        <v>92</v>
      </c>
      <c r="C163" s="103">
        <f>+VLOOKUP(A163,'Consolidated IS '!$A:$AG,28,FALSE)</f>
        <v>713.45682872980058</v>
      </c>
      <c r="E163" s="103">
        <f>+$C163*'2183 LOB Ratios'!D$35</f>
        <v>456.99781276643614</v>
      </c>
      <c r="F163" s="103">
        <f>+$C163*'2183 LOB Ratios'!E$35</f>
        <v>203.90410587091429</v>
      </c>
      <c r="G163" s="103">
        <f>+$C163*'2183 LOB Ratios'!F$35</f>
        <v>52.5549100924501</v>
      </c>
      <c r="H163" s="103">
        <f t="shared" si="31"/>
        <v>713.45682872980058</v>
      </c>
      <c r="I163" s="102" t="s">
        <v>337</v>
      </c>
      <c r="J163" s="349">
        <f t="shared" si="29"/>
        <v>0</v>
      </c>
      <c r="K163" s="102"/>
      <c r="L163" s="102"/>
      <c r="M163" s="102"/>
      <c r="N163" s="102"/>
      <c r="O163" s="102"/>
      <c r="P163" s="102"/>
    </row>
    <row r="164" spans="1:16" s="143" customFormat="1">
      <c r="A164" s="44"/>
      <c r="B164" s="34"/>
      <c r="C164" s="141"/>
      <c r="D164" s="141"/>
      <c r="E164" s="141"/>
      <c r="F164" s="141"/>
      <c r="G164" s="141"/>
      <c r="H164" s="141"/>
      <c r="I164" s="142"/>
      <c r="J164" s="349">
        <f t="shared" si="29"/>
        <v>0</v>
      </c>
      <c r="K164" s="142"/>
      <c r="L164" s="102"/>
      <c r="M164" s="142"/>
      <c r="N164" s="142"/>
      <c r="O164" s="142"/>
      <c r="P164" s="142"/>
    </row>
    <row r="165" spans="1:16">
      <c r="A165" s="43">
        <v>45400</v>
      </c>
      <c r="B165" s="32" t="s">
        <v>93</v>
      </c>
      <c r="C165" s="140">
        <f>SUM(C160:C164)</f>
        <v>30979.460318497007</v>
      </c>
      <c r="D165" s="140"/>
      <c r="E165" s="140">
        <f t="shared" ref="E165:H165" si="32">SUM(E160:E164)</f>
        <v>19843.591141237026</v>
      </c>
      <c r="F165" s="140">
        <f t="shared" si="32"/>
        <v>8853.8491780263084</v>
      </c>
      <c r="G165" s="140">
        <f t="shared" si="32"/>
        <v>2282.0199992336693</v>
      </c>
      <c r="H165" s="140">
        <f t="shared" si="32"/>
        <v>30979.460318497007</v>
      </c>
      <c r="I165" s="102"/>
      <c r="J165" s="349">
        <f t="shared" si="29"/>
        <v>0</v>
      </c>
      <c r="K165" s="102"/>
      <c r="L165" s="102"/>
      <c r="M165" s="102"/>
      <c r="N165" s="102"/>
      <c r="O165" s="102"/>
      <c r="P165" s="102"/>
    </row>
    <row r="166" spans="1:16">
      <c r="A166" s="44"/>
      <c r="B166" s="34"/>
      <c r="I166" s="102"/>
      <c r="J166" s="349">
        <f t="shared" si="29"/>
        <v>0</v>
      </c>
      <c r="K166" s="102"/>
      <c r="L166" s="102"/>
      <c r="M166" s="102"/>
      <c r="N166" s="102"/>
      <c r="O166" s="102"/>
      <c r="P166" s="102"/>
    </row>
    <row r="167" spans="1:16">
      <c r="A167" s="1">
        <v>70010</v>
      </c>
      <c r="B167" s="34" t="s">
        <v>17</v>
      </c>
      <c r="C167" s="103">
        <f>+VLOOKUP(A167,'Consolidated IS '!$A:$AG,28,FALSE)</f>
        <v>685739.20836894901</v>
      </c>
      <c r="E167" s="103">
        <f>+$C167*'2183 LOB Ratios'!D$18</f>
        <v>283105.6799294739</v>
      </c>
      <c r="F167" s="103">
        <f>+$C167*'2183 LOB Ratios'!E$18</f>
        <v>309047.88341694395</v>
      </c>
      <c r="G167" s="103">
        <f>+$C167*'2183 LOB Ratios'!F$18</f>
        <v>93585.645022531171</v>
      </c>
      <c r="H167" s="103">
        <f t="shared" ref="H167:H174" si="33">SUM(E167:G167)</f>
        <v>685739.20836894901</v>
      </c>
      <c r="I167" s="102" t="s">
        <v>341</v>
      </c>
      <c r="J167" s="349">
        <f t="shared" si="29"/>
        <v>0</v>
      </c>
      <c r="K167" s="102"/>
      <c r="L167" s="102"/>
      <c r="M167" s="102"/>
      <c r="N167" s="102"/>
      <c r="O167" s="102"/>
      <c r="P167" s="102"/>
    </row>
    <row r="168" spans="1:16">
      <c r="A168" s="1">
        <v>70020</v>
      </c>
      <c r="B168" s="34" t="s">
        <v>24</v>
      </c>
      <c r="C168" s="103">
        <f>+VLOOKUP(A168,'Consolidated IS '!$A:$AG,28,FALSE)</f>
        <v>518891.53397110204</v>
      </c>
      <c r="E168" s="103">
        <f>+$C168*'2183 LOB Ratios'!D$18</f>
        <v>214223.04389440594</v>
      </c>
      <c r="F168" s="103">
        <f>+$C168*'2183 LOB Ratios'!E$18</f>
        <v>233853.23216119857</v>
      </c>
      <c r="G168" s="103">
        <f>+$C168*'2183 LOB Ratios'!F$18</f>
        <v>70815.257915497539</v>
      </c>
      <c r="H168" s="103">
        <f t="shared" si="33"/>
        <v>518891.53397110204</v>
      </c>
      <c r="I168" s="102" t="s">
        <v>341</v>
      </c>
      <c r="J168" s="349">
        <f t="shared" si="29"/>
        <v>0</v>
      </c>
      <c r="K168" s="102"/>
      <c r="L168" s="102"/>
      <c r="M168" s="102"/>
      <c r="N168" s="102"/>
      <c r="O168" s="102"/>
      <c r="P168" s="102"/>
    </row>
    <row r="169" spans="1:16">
      <c r="A169" s="1">
        <v>70025</v>
      </c>
      <c r="B169" s="34" t="s">
        <v>49</v>
      </c>
      <c r="C169" s="103">
        <f>+VLOOKUP(A169,'Consolidated IS '!$A:$AG,28,FALSE)</f>
        <v>56473.972150509864</v>
      </c>
      <c r="E169" s="103">
        <f>+$C169*'2183 LOB Ratios'!D$18</f>
        <v>23315.135096353093</v>
      </c>
      <c r="F169" s="103">
        <f>+$C169*'2183 LOB Ratios'!E$18</f>
        <v>25451.602224664057</v>
      </c>
      <c r="G169" s="103">
        <f>+$C169*'2183 LOB Ratios'!F$18</f>
        <v>7707.2348294927169</v>
      </c>
      <c r="H169" s="103">
        <f t="shared" si="33"/>
        <v>56473.972150509864</v>
      </c>
      <c r="I169" s="102" t="s">
        <v>341</v>
      </c>
      <c r="J169" s="349">
        <f t="shared" si="29"/>
        <v>0</v>
      </c>
      <c r="K169" s="102"/>
      <c r="L169" s="102"/>
      <c r="M169" s="102"/>
      <c r="N169" s="102"/>
      <c r="O169" s="102"/>
      <c r="P169" s="102"/>
    </row>
    <row r="170" spans="1:16">
      <c r="A170" s="1">
        <v>70035</v>
      </c>
      <c r="B170" s="34" t="s">
        <v>26</v>
      </c>
      <c r="C170" s="103">
        <f>+VLOOKUP(A170,'Consolidated IS '!$A:$AG,28,FALSE)</f>
        <v>462.50502152016156</v>
      </c>
      <c r="E170" s="103">
        <f>+$C170*'2183 LOB Ratios'!D$18</f>
        <v>190.94401631153735</v>
      </c>
      <c r="F170" s="103">
        <f>+$C170*'2183 LOB Ratios'!E$18</f>
        <v>208.44104613835924</v>
      </c>
      <c r="G170" s="103">
        <f>+$C170*'2183 LOB Ratios'!F$18</f>
        <v>63.119959070264997</v>
      </c>
      <c r="H170" s="103">
        <f t="shared" si="33"/>
        <v>462.50502152016162</v>
      </c>
      <c r="I170" s="102" t="s">
        <v>341</v>
      </c>
      <c r="J170" s="349">
        <f t="shared" si="29"/>
        <v>0</v>
      </c>
      <c r="K170" s="102"/>
      <c r="L170" s="102"/>
      <c r="M170" s="102"/>
      <c r="N170" s="102"/>
      <c r="O170" s="102"/>
      <c r="P170" s="102"/>
    </row>
    <row r="171" spans="1:16">
      <c r="A171" s="1">
        <v>70036</v>
      </c>
      <c r="B171" s="34" t="s">
        <v>95</v>
      </c>
      <c r="C171" s="103">
        <f>+VLOOKUP(A171,'Consolidated IS '!$A:$AG,28,FALSE)</f>
        <v>12701.636654501741</v>
      </c>
      <c r="E171" s="103">
        <f>+$C171*'2183 LOB Ratios'!D$18</f>
        <v>5243.8382367588565</v>
      </c>
      <c r="F171" s="103">
        <f>+$C171*'2183 LOB Ratios'!E$18</f>
        <v>5724.3539177839184</v>
      </c>
      <c r="G171" s="103">
        <f>+$C171*'2183 LOB Ratios'!F$18</f>
        <v>1733.4444999589664</v>
      </c>
      <c r="H171" s="103">
        <f t="shared" si="33"/>
        <v>12701.636654501743</v>
      </c>
      <c r="I171" s="102" t="s">
        <v>341</v>
      </c>
      <c r="J171" s="349">
        <f t="shared" si="29"/>
        <v>0</v>
      </c>
      <c r="K171" s="102"/>
      <c r="L171" s="102"/>
      <c r="M171" s="102"/>
      <c r="N171" s="102"/>
      <c r="O171" s="102"/>
      <c r="P171" s="102"/>
    </row>
    <row r="172" spans="1:16">
      <c r="A172" s="1">
        <v>70045</v>
      </c>
      <c r="B172" s="34" t="s">
        <v>27</v>
      </c>
      <c r="C172" s="103">
        <f>+VLOOKUP(A172,'Consolidated IS '!$A:$AG,28,FALSE)</f>
        <v>5574.9615286005837</v>
      </c>
      <c r="E172" s="103">
        <f>+$C172*'2183 LOB Ratios'!D$18</f>
        <v>2301.6086215766609</v>
      </c>
      <c r="F172" s="103">
        <f>+$C172*'2183 LOB Ratios'!E$18</f>
        <v>2512.5150195843999</v>
      </c>
      <c r="G172" s="103">
        <f>+$C172*'2183 LOB Ratios'!F$18</f>
        <v>760.83788743952289</v>
      </c>
      <c r="H172" s="103">
        <f t="shared" si="33"/>
        <v>5574.9615286005837</v>
      </c>
      <c r="I172" s="102" t="s">
        <v>341</v>
      </c>
      <c r="J172" s="349">
        <f t="shared" si="29"/>
        <v>0</v>
      </c>
      <c r="K172" s="102"/>
      <c r="L172" s="102"/>
      <c r="M172" s="102"/>
      <c r="N172" s="102"/>
      <c r="O172" s="102"/>
      <c r="P172" s="102"/>
    </row>
    <row r="173" spans="1:16">
      <c r="A173" s="1">
        <v>70065</v>
      </c>
      <c r="B173" s="34" t="s">
        <v>96</v>
      </c>
      <c r="C173" s="103">
        <f>+VLOOKUP(A173,'Consolidated IS '!$A:$AG,28,FALSE)</f>
        <v>10712.97606317021</v>
      </c>
      <c r="E173" s="103">
        <f>+$C173*'2183 LOB Ratios'!D$18</f>
        <v>4422.8247931831602</v>
      </c>
      <c r="F173" s="103">
        <f>+$C173*'2183 LOB Ratios'!E$18</f>
        <v>4828.1074452400462</v>
      </c>
      <c r="G173" s="103">
        <f>+$C173*'2183 LOB Ratios'!F$18</f>
        <v>1462.0438247470038</v>
      </c>
      <c r="H173" s="103">
        <f t="shared" si="33"/>
        <v>10712.976063170212</v>
      </c>
      <c r="I173" s="102" t="s">
        <v>341</v>
      </c>
      <c r="J173" s="349">
        <f t="shared" si="29"/>
        <v>0</v>
      </c>
      <c r="K173" s="102"/>
      <c r="L173" s="102"/>
      <c r="M173" s="102"/>
      <c r="N173" s="102"/>
      <c r="O173" s="102"/>
      <c r="P173" s="102"/>
    </row>
    <row r="174" spans="1:16">
      <c r="A174" s="44">
        <v>70070</v>
      </c>
      <c r="B174" s="34" t="s">
        <v>97</v>
      </c>
      <c r="C174" s="103">
        <f>+VLOOKUP(A174,'Consolidated IS '!$A:$AG,28,FALSE)</f>
        <v>22808.435136266769</v>
      </c>
      <c r="E174" s="103">
        <f>+$C174*'2183 LOB Ratios'!D$18</f>
        <v>9416.4041644034642</v>
      </c>
      <c r="F174" s="103">
        <f>+$C174*'2183 LOB Ratios'!E$18</f>
        <v>10279.270190313187</v>
      </c>
      <c r="G174" s="103">
        <f>+$C174*'2183 LOB Ratios'!F$18</f>
        <v>3112.7607815501183</v>
      </c>
      <c r="H174" s="103">
        <f t="shared" si="33"/>
        <v>22808.435136266769</v>
      </c>
      <c r="I174" s="102" t="s">
        <v>341</v>
      </c>
      <c r="J174" s="349">
        <f t="shared" si="29"/>
        <v>0</v>
      </c>
      <c r="K174" s="102"/>
      <c r="L174" s="102"/>
      <c r="M174" s="102"/>
      <c r="N174" s="102"/>
      <c r="O174" s="102"/>
      <c r="P174" s="102"/>
    </row>
    <row r="175" spans="1:16" s="143" customFormat="1">
      <c r="A175" s="44"/>
      <c r="B175" s="34"/>
      <c r="C175" s="141"/>
      <c r="D175" s="141"/>
      <c r="E175" s="141"/>
      <c r="F175" s="141"/>
      <c r="G175" s="141"/>
      <c r="H175" s="141"/>
      <c r="I175" s="142"/>
      <c r="J175" s="349">
        <f t="shared" si="29"/>
        <v>0</v>
      </c>
      <c r="K175" s="142"/>
      <c r="L175" s="102"/>
      <c r="M175" s="142"/>
      <c r="N175" s="142"/>
      <c r="O175" s="142"/>
      <c r="P175" s="142"/>
    </row>
    <row r="176" spans="1:16">
      <c r="A176" s="43">
        <v>46130</v>
      </c>
      <c r="B176" s="32" t="s">
        <v>98</v>
      </c>
      <c r="C176" s="140">
        <f>SUM(C167:C175)</f>
        <v>1313365.2288946207</v>
      </c>
      <c r="D176" s="140"/>
      <c r="E176" s="140">
        <f>SUM(E167:E175)</f>
        <v>542219.47875246662</v>
      </c>
      <c r="F176" s="140">
        <f>SUM(F167:F175)</f>
        <v>591905.40542186657</v>
      </c>
      <c r="G176" s="140">
        <f>SUM(G167:G175)</f>
        <v>179240.34472028731</v>
      </c>
      <c r="H176" s="140">
        <f>SUM(H167:H175)</f>
        <v>1313365.2288946207</v>
      </c>
      <c r="I176" s="102"/>
      <c r="J176" s="349">
        <f t="shared" si="29"/>
        <v>0</v>
      </c>
      <c r="K176" s="102"/>
      <c r="L176" s="102"/>
      <c r="M176" s="102"/>
      <c r="N176" s="102"/>
      <c r="O176" s="102"/>
      <c r="P176" s="102"/>
    </row>
    <row r="177" spans="1:16">
      <c r="A177" s="44"/>
      <c r="B177" s="34"/>
      <c r="I177" s="102"/>
      <c r="J177" s="349">
        <f t="shared" si="29"/>
        <v>0</v>
      </c>
      <c r="K177" s="102"/>
      <c r="L177" s="102"/>
      <c r="M177" s="102"/>
      <c r="N177" s="102"/>
      <c r="O177" s="102"/>
      <c r="P177" s="102"/>
    </row>
    <row r="178" spans="1:16">
      <c r="A178" s="44">
        <v>70149</v>
      </c>
      <c r="B178" s="34" t="s">
        <v>99</v>
      </c>
      <c r="C178" s="103">
        <f>+VLOOKUP(A178,'Consolidated IS '!$A:$AG,28,FALSE)</f>
        <v>468248.10392593977</v>
      </c>
      <c r="E178" s="103">
        <f>+$C178*E$24</f>
        <v>358215.63508123689</v>
      </c>
      <c r="F178" s="103">
        <f>+$C178*F$24</f>
        <v>78934.209342008311</v>
      </c>
      <c r="G178" s="103">
        <f>+$C178*G$24</f>
        <v>31098.259502694567</v>
      </c>
      <c r="H178" s="103">
        <f t="shared" ref="H178" si="34">SUM(E178:G178)</f>
        <v>468248.10392593977</v>
      </c>
      <c r="I178" s="102" t="s">
        <v>174</v>
      </c>
      <c r="J178" s="349">
        <f t="shared" si="29"/>
        <v>0</v>
      </c>
      <c r="K178" s="102"/>
      <c r="L178" s="102"/>
      <c r="M178" s="102"/>
      <c r="N178" s="102"/>
      <c r="O178" s="102"/>
      <c r="P178" s="102"/>
    </row>
    <row r="179" spans="1:16">
      <c r="A179" s="44"/>
      <c r="B179" s="34"/>
      <c r="I179" s="102"/>
      <c r="J179" s="349">
        <f t="shared" si="29"/>
        <v>0</v>
      </c>
      <c r="K179" s="102"/>
      <c r="L179" s="102"/>
      <c r="M179" s="102"/>
      <c r="N179" s="102"/>
      <c r="O179" s="102"/>
      <c r="P179" s="102"/>
    </row>
    <row r="180" spans="1:16">
      <c r="A180" s="43">
        <v>46100</v>
      </c>
      <c r="B180" s="32" t="s">
        <v>100</v>
      </c>
      <c r="C180" s="140">
        <f>SUM(C178:C179)</f>
        <v>468248.10392593977</v>
      </c>
      <c r="D180" s="140"/>
      <c r="E180" s="140">
        <f t="shared" ref="E180:H180" si="35">SUM(E178:E179)</f>
        <v>358215.63508123689</v>
      </c>
      <c r="F180" s="140">
        <f t="shared" si="35"/>
        <v>78934.209342008311</v>
      </c>
      <c r="G180" s="140">
        <f t="shared" si="35"/>
        <v>31098.259502694567</v>
      </c>
      <c r="H180" s="140">
        <f t="shared" si="35"/>
        <v>468248.10392593977</v>
      </c>
      <c r="I180" s="102"/>
      <c r="J180" s="349">
        <f t="shared" si="29"/>
        <v>0</v>
      </c>
      <c r="K180" s="102"/>
      <c r="L180" s="102"/>
      <c r="M180" s="102"/>
      <c r="N180" s="102"/>
      <c r="O180" s="102"/>
      <c r="P180" s="102"/>
    </row>
    <row r="181" spans="1:16">
      <c r="A181" s="44"/>
      <c r="B181" s="34"/>
      <c r="I181" s="102"/>
      <c r="J181" s="349">
        <f t="shared" si="29"/>
        <v>0</v>
      </c>
      <c r="K181" s="102"/>
      <c r="L181" s="102"/>
      <c r="M181" s="102"/>
      <c r="N181" s="102"/>
      <c r="O181" s="102"/>
      <c r="P181" s="102"/>
    </row>
    <row r="182" spans="1:16">
      <c r="A182" s="44">
        <v>52181</v>
      </c>
      <c r="B182" s="34" t="s">
        <v>45</v>
      </c>
      <c r="C182" s="103">
        <f>+VLOOKUP(A182,'Consolidated IS '!$A:$AG,28,FALSE)</f>
        <v>0</v>
      </c>
      <c r="E182" s="103">
        <f>+$C182*'2183 LOB Ratios'!D$35</f>
        <v>0</v>
      </c>
      <c r="F182" s="103">
        <f>+$C182*'2183 LOB Ratios'!E$35</f>
        <v>0</v>
      </c>
      <c r="G182" s="103">
        <f>+$C182*'2183 LOB Ratios'!F$35</f>
        <v>0</v>
      </c>
      <c r="H182" s="103">
        <f t="shared" ref="H182:H194" si="36">SUM(E182:G182)</f>
        <v>0</v>
      </c>
      <c r="I182" s="102" t="s">
        <v>337</v>
      </c>
      <c r="J182" s="349">
        <f t="shared" si="29"/>
        <v>0</v>
      </c>
      <c r="K182" s="102"/>
      <c r="L182" s="102"/>
      <c r="M182" s="102"/>
      <c r="N182" s="102"/>
      <c r="O182" s="102"/>
      <c r="P182" s="102"/>
    </row>
    <row r="183" spans="1:16">
      <c r="A183" s="44">
        <v>52200</v>
      </c>
      <c r="B183" s="34" t="s">
        <v>101</v>
      </c>
      <c r="C183" s="103">
        <f>+VLOOKUP(A183,'Consolidated IS '!$A:$AG,28,FALSE)</f>
        <v>56.672849289744775</v>
      </c>
      <c r="E183" s="103">
        <f>+$C183*'2183 LOB Ratios'!D$35</f>
        <v>36.301240839988949</v>
      </c>
      <c r="F183" s="103">
        <f>+$C183*'2183 LOB Ratios'!E$35</f>
        <v>16.196952914664575</v>
      </c>
      <c r="G183" s="103">
        <f>+$C183*'2183 LOB Ratios'!F$35</f>
        <v>4.1746555350912491</v>
      </c>
      <c r="H183" s="103">
        <f t="shared" si="36"/>
        <v>56.672849289744775</v>
      </c>
      <c r="I183" s="102" t="s">
        <v>337</v>
      </c>
      <c r="J183" s="349">
        <f t="shared" si="29"/>
        <v>0</v>
      </c>
      <c r="K183" s="102"/>
      <c r="L183" s="102"/>
      <c r="M183" s="102"/>
      <c r="N183" s="102"/>
      <c r="O183" s="102"/>
      <c r="P183" s="102"/>
    </row>
    <row r="184" spans="1:16">
      <c r="A184" s="44">
        <v>57175</v>
      </c>
      <c r="B184" s="34" t="s">
        <v>102</v>
      </c>
      <c r="C184" s="103">
        <f>+VLOOKUP(A184,'Consolidated IS '!$A:$AG,28,FALSE)</f>
        <v>4233.0721495072394</v>
      </c>
      <c r="E184" s="103">
        <f>+$C184*'2183 LOB Ratios'!D$35</f>
        <v>2711.4530770578099</v>
      </c>
      <c r="F184" s="103">
        <f>+$C184*'2183 LOB Ratios'!E$35</f>
        <v>1209.8010096406695</v>
      </c>
      <c r="G184" s="103">
        <f>+$C184*'2183 LOB Ratios'!F$35</f>
        <v>311.81806280875969</v>
      </c>
      <c r="H184" s="103">
        <f t="shared" si="36"/>
        <v>4233.0721495072385</v>
      </c>
      <c r="I184" s="102" t="s">
        <v>337</v>
      </c>
      <c r="J184" s="349">
        <f t="shared" si="29"/>
        <v>0</v>
      </c>
      <c r="K184" s="102"/>
      <c r="L184" s="102"/>
      <c r="M184" s="102"/>
      <c r="N184" s="102"/>
      <c r="O184" s="102"/>
      <c r="P184" s="102"/>
    </row>
    <row r="185" spans="1:16">
      <c r="A185" s="44">
        <v>57345</v>
      </c>
      <c r="B185" s="34" t="s">
        <v>103</v>
      </c>
      <c r="C185" s="103">
        <f>+VLOOKUP(A185,'Consolidated IS '!$A:$AG,28,FALSE)</f>
        <v>0</v>
      </c>
      <c r="E185" s="103">
        <f>+$C185*'2183 LOB Ratios'!D$35</f>
        <v>0</v>
      </c>
      <c r="F185" s="103">
        <f>+$C185*'2183 LOB Ratios'!E$35</f>
        <v>0</v>
      </c>
      <c r="G185" s="103">
        <f>+$C185*'2183 LOB Ratios'!F$35</f>
        <v>0</v>
      </c>
      <c r="H185" s="103">
        <f t="shared" si="36"/>
        <v>0</v>
      </c>
      <c r="I185" s="102" t="s">
        <v>337</v>
      </c>
      <c r="J185" s="349">
        <f t="shared" si="29"/>
        <v>0</v>
      </c>
      <c r="K185" s="102"/>
      <c r="L185" s="102"/>
      <c r="M185" s="102"/>
      <c r="N185" s="102"/>
      <c r="O185" s="102"/>
      <c r="P185" s="102"/>
    </row>
    <row r="186" spans="1:16">
      <c r="A186" s="44">
        <v>70185</v>
      </c>
      <c r="B186" s="34" t="s">
        <v>76</v>
      </c>
      <c r="C186" s="103">
        <f>+VLOOKUP(A186,'Consolidated IS '!$A:$AG,28,FALSE)</f>
        <v>9606.5372251362751</v>
      </c>
      <c r="E186" s="103">
        <f>+$C186*'2183 LOB Ratios'!D$18</f>
        <v>3966.0343461456887</v>
      </c>
      <c r="F186" s="103">
        <f>+$C186*'2183 LOB Ratios'!E$18</f>
        <v>4329.4593048806655</v>
      </c>
      <c r="G186" s="103">
        <f>+$C186*'2183 LOB Ratios'!F$18</f>
        <v>1311.0435741099213</v>
      </c>
      <c r="H186" s="103">
        <f t="shared" si="36"/>
        <v>9606.5372251362751</v>
      </c>
      <c r="I186" s="102" t="s">
        <v>341</v>
      </c>
      <c r="J186" s="349">
        <f t="shared" si="29"/>
        <v>0</v>
      </c>
      <c r="K186" s="102"/>
      <c r="L186" s="102"/>
      <c r="M186" s="102"/>
      <c r="N186" s="102"/>
      <c r="O186" s="102"/>
      <c r="P186" s="102"/>
    </row>
    <row r="187" spans="1:16">
      <c r="A187" s="1">
        <v>70210</v>
      </c>
      <c r="B187" s="34" t="s">
        <v>101</v>
      </c>
      <c r="C187" s="103">
        <f>+VLOOKUP(A187,'Consolidated IS '!$A:$AG,28,FALSE)</f>
        <v>93147.109700010144</v>
      </c>
      <c r="E187" s="103">
        <f>+$C187*'2183 LOB Ratios'!D$18</f>
        <v>38455.54622406618</v>
      </c>
      <c r="F187" s="103">
        <f>+$C187*'2183 LOB Ratios'!E$18</f>
        <v>41979.395005959421</v>
      </c>
      <c r="G187" s="103">
        <f>+$C187*'2183 LOB Ratios'!F$18</f>
        <v>12712.16846998455</v>
      </c>
      <c r="H187" s="103">
        <f t="shared" si="36"/>
        <v>93147.109700010158</v>
      </c>
      <c r="I187" s="102" t="s">
        <v>341</v>
      </c>
      <c r="J187" s="349">
        <f t="shared" si="29"/>
        <v>0</v>
      </c>
      <c r="K187" s="102"/>
      <c r="L187" s="102"/>
      <c r="M187" s="102"/>
      <c r="N187" s="102"/>
      <c r="O187" s="102"/>
      <c r="P187" s="102"/>
    </row>
    <row r="188" spans="1:16">
      <c r="A188" s="1"/>
      <c r="B188" s="34" t="s">
        <v>104</v>
      </c>
      <c r="C188" s="103">
        <f>+'Consolidated IS '!AB212</f>
        <v>8253.9966666666678</v>
      </c>
      <c r="E188" s="103">
        <f>+$C188*'2183 LOB Ratios'!D$18</f>
        <v>3407.6414326815511</v>
      </c>
      <c r="F188" s="103">
        <f>+$C188*'2183 LOB Ratios'!E$18</f>
        <v>3719.8984226542743</v>
      </c>
      <c r="G188" s="103">
        <f>+$C188*'2183 LOB Ratios'!F$18</f>
        <v>1126.4568113308421</v>
      </c>
      <c r="H188" s="103">
        <f t="shared" si="36"/>
        <v>8253.9966666666678</v>
      </c>
      <c r="I188" s="102" t="s">
        <v>341</v>
      </c>
      <c r="J188" s="349">
        <f t="shared" si="29"/>
        <v>0</v>
      </c>
      <c r="K188" s="102"/>
      <c r="L188" s="102"/>
      <c r="M188" s="102"/>
      <c r="N188" s="102"/>
      <c r="O188" s="102"/>
      <c r="P188" s="102"/>
    </row>
    <row r="189" spans="1:16">
      <c r="A189" s="1">
        <v>70214</v>
      </c>
      <c r="B189" s="34" t="s">
        <v>105</v>
      </c>
      <c r="C189" s="103">
        <f>+VLOOKUP(A189,'Consolidated IS '!$A:$AG,28,FALSE)</f>
        <v>151177.48086762376</v>
      </c>
      <c r="E189" s="103">
        <f>+$C189*'2183 LOB Ratios'!D$18</f>
        <v>62413.236677618057</v>
      </c>
      <c r="F189" s="103">
        <f>+$C189*'2183 LOB Ratios'!E$18</f>
        <v>68132.4327269723</v>
      </c>
      <c r="G189" s="103">
        <f>+$C189*'2183 LOB Ratios'!F$18</f>
        <v>20631.811463033406</v>
      </c>
      <c r="H189" s="103">
        <f t="shared" si="36"/>
        <v>151177.48086762376</v>
      </c>
      <c r="I189" s="102" t="s">
        <v>341</v>
      </c>
      <c r="J189" s="349">
        <f t="shared" si="29"/>
        <v>0</v>
      </c>
      <c r="K189" s="102"/>
      <c r="L189" s="102"/>
      <c r="M189" s="102"/>
      <c r="N189" s="102"/>
      <c r="O189" s="102"/>
      <c r="P189" s="102"/>
    </row>
    <row r="190" spans="1:16">
      <c r="A190" s="1">
        <v>70215</v>
      </c>
      <c r="B190" s="34" t="s">
        <v>106</v>
      </c>
      <c r="C190" s="103">
        <f>+VLOOKUP(A190,'Consolidated IS '!$A:$AG,28,FALSE)</f>
        <v>0.61050662840661329</v>
      </c>
      <c r="E190" s="103">
        <f>+$C190*'2183 LOB Ratios'!D$18</f>
        <v>0.25204610153122931</v>
      </c>
      <c r="F190" s="103">
        <f>+$C190*'2183 LOB Ratios'!E$18</f>
        <v>0.2751421809026342</v>
      </c>
      <c r="G190" s="103">
        <f>+$C190*'2183 LOB Ratios'!F$18</f>
        <v>8.3318345972749799E-2</v>
      </c>
      <c r="H190" s="103">
        <f t="shared" si="36"/>
        <v>0.61050662840661329</v>
      </c>
      <c r="I190" s="102" t="s">
        <v>341</v>
      </c>
      <c r="J190" s="349">
        <f t="shared" si="29"/>
        <v>0</v>
      </c>
      <c r="K190" s="102"/>
      <c r="L190" s="102"/>
      <c r="M190" s="102"/>
      <c r="N190" s="102"/>
      <c r="O190" s="102"/>
      <c r="P190" s="102"/>
    </row>
    <row r="191" spans="1:16">
      <c r="A191" s="44">
        <v>70300</v>
      </c>
      <c r="B191" s="34" t="s">
        <v>107</v>
      </c>
      <c r="C191" s="103">
        <f>+VLOOKUP(A191,'Consolidated IS '!$A:$AG,28,FALSE)</f>
        <v>155189.4159260974</v>
      </c>
      <c r="E191" s="103">
        <f>+$C191*'2183 LOB Ratios'!D$18</f>
        <v>64069.55381495021</v>
      </c>
      <c r="F191" s="103">
        <f>+$C191*'2183 LOB Ratios'!E$18</f>
        <v>69940.52539995304</v>
      </c>
      <c r="G191" s="103">
        <f>+$C191*'2183 LOB Ratios'!F$18</f>
        <v>21179.336711194152</v>
      </c>
      <c r="H191" s="103">
        <f t="shared" si="36"/>
        <v>155189.4159260974</v>
      </c>
      <c r="I191" s="102" t="s">
        <v>341</v>
      </c>
      <c r="J191" s="349">
        <f t="shared" si="29"/>
        <v>0</v>
      </c>
      <c r="K191" s="102"/>
      <c r="L191" s="102"/>
      <c r="M191" s="102"/>
      <c r="N191" s="102"/>
      <c r="O191" s="102"/>
      <c r="P191" s="102"/>
    </row>
    <row r="192" spans="1:16">
      <c r="A192" s="44">
        <v>70302</v>
      </c>
      <c r="B192" s="34" t="s">
        <v>109</v>
      </c>
      <c r="C192" s="103">
        <f>+VLOOKUP(A192,'Consolidated IS '!$A:$AG,28,FALSE)</f>
        <v>2918.480686595663</v>
      </c>
      <c r="E192" s="103">
        <f>+$C192*'2183 LOB Ratios'!D$18</f>
        <v>1204.8872939684106</v>
      </c>
      <c r="F192" s="103">
        <f>+$C192*'2183 LOB Ratios'!E$18</f>
        <v>1315.2963517004291</v>
      </c>
      <c r="G192" s="103">
        <f>+$C192*'2183 LOB Ratios'!F$18</f>
        <v>398.2970409268234</v>
      </c>
      <c r="H192" s="103">
        <f t="shared" si="36"/>
        <v>2918.480686595663</v>
      </c>
      <c r="I192" s="102" t="s">
        <v>341</v>
      </c>
      <c r="J192" s="349">
        <f t="shared" si="29"/>
        <v>0</v>
      </c>
      <c r="K192" s="102"/>
      <c r="L192" s="102"/>
      <c r="M192" s="102"/>
      <c r="N192" s="102"/>
      <c r="O192" s="102"/>
      <c r="P192" s="102"/>
    </row>
    <row r="193" spans="1:16">
      <c r="A193" s="44">
        <v>70320</v>
      </c>
      <c r="B193" s="34" t="s">
        <v>110</v>
      </c>
      <c r="C193" s="103">
        <f>+VLOOKUP(A193,'Consolidated IS '!$A:$AG,28,FALSE)</f>
        <v>70645.246261193199</v>
      </c>
      <c r="E193" s="103">
        <f>+$C193*'2183 LOB Ratios'!D$18</f>
        <v>29165.709401582833</v>
      </c>
      <c r="F193" s="103">
        <f>+$C193*'2183 LOB Ratios'!E$18</f>
        <v>31838.290073015374</v>
      </c>
      <c r="G193" s="103">
        <f>+$C193*'2183 LOB Ratios'!F$18</f>
        <v>9641.246786594993</v>
      </c>
      <c r="H193" s="103">
        <f t="shared" si="36"/>
        <v>70645.246261193199</v>
      </c>
      <c r="I193" s="102" t="s">
        <v>341</v>
      </c>
      <c r="J193" s="349">
        <f t="shared" si="29"/>
        <v>0</v>
      </c>
      <c r="K193" s="102"/>
      <c r="L193" s="102"/>
      <c r="M193" s="102"/>
      <c r="N193" s="102"/>
      <c r="O193" s="102"/>
      <c r="P193" s="102"/>
    </row>
    <row r="194" spans="1:16">
      <c r="A194" s="44">
        <v>70345</v>
      </c>
      <c r="B194" s="34" t="s">
        <v>103</v>
      </c>
      <c r="C194" s="103">
        <f>+VLOOKUP(A194,'Consolidated IS '!$A:$AG,28,FALSE)</f>
        <v>8629.6170124904347</v>
      </c>
      <c r="E194" s="103">
        <f>+$C194*'2183 LOB Ratios'!D$18</f>
        <v>3562.7153326452344</v>
      </c>
      <c r="F194" s="103">
        <f>+$C194*'2183 LOB Ratios'!E$18</f>
        <v>3889.182417835601</v>
      </c>
      <c r="G194" s="103">
        <f>+$C194*'2183 LOB Ratios'!F$18</f>
        <v>1177.7192620095998</v>
      </c>
      <c r="H194" s="103">
        <f t="shared" si="36"/>
        <v>8629.6170124904347</v>
      </c>
      <c r="I194" s="102" t="s">
        <v>341</v>
      </c>
      <c r="J194" s="349">
        <f t="shared" si="29"/>
        <v>0</v>
      </c>
      <c r="K194" s="102"/>
      <c r="L194" s="102"/>
      <c r="M194" s="102"/>
      <c r="N194" s="102"/>
      <c r="O194" s="102"/>
      <c r="P194" s="102"/>
    </row>
    <row r="195" spans="1:16" s="143" customFormat="1">
      <c r="A195" s="44"/>
      <c r="B195" s="34"/>
      <c r="C195" s="141"/>
      <c r="D195" s="141"/>
      <c r="E195" s="141"/>
      <c r="F195" s="141"/>
      <c r="G195" s="141"/>
      <c r="H195" s="141"/>
      <c r="I195" s="142"/>
      <c r="J195" s="349">
        <f t="shared" si="29"/>
        <v>0</v>
      </c>
      <c r="K195" s="142"/>
      <c r="L195" s="102"/>
      <c r="M195" s="142"/>
      <c r="N195" s="142"/>
      <c r="O195" s="142"/>
      <c r="P195" s="142"/>
    </row>
    <row r="196" spans="1:16">
      <c r="A196" s="43">
        <v>46200</v>
      </c>
      <c r="B196" s="32" t="s">
        <v>111</v>
      </c>
      <c r="C196" s="140">
        <f>SUM(C182:C195)</f>
        <v>503858.23985123896</v>
      </c>
      <c r="D196" s="140"/>
      <c r="E196" s="140">
        <f>SUM(E182:E195)</f>
        <v>208993.33088765747</v>
      </c>
      <c r="F196" s="140">
        <f>SUM(F182:F195)</f>
        <v>226370.75280770738</v>
      </c>
      <c r="G196" s="140">
        <f>SUM(G182:G195)</f>
        <v>68494.156155874123</v>
      </c>
      <c r="H196" s="140">
        <f>SUM(H182:H195)</f>
        <v>503858.23985123896</v>
      </c>
      <c r="I196" s="102"/>
      <c r="J196" s="349">
        <f t="shared" si="29"/>
        <v>0</v>
      </c>
      <c r="K196" s="102"/>
      <c r="L196" s="102"/>
      <c r="M196" s="102"/>
      <c r="N196" s="102"/>
      <c r="O196" s="102"/>
      <c r="P196" s="102"/>
    </row>
    <row r="197" spans="1:16">
      <c r="A197" s="44"/>
      <c r="B197" s="34"/>
      <c r="I197" s="102"/>
      <c r="J197" s="349">
        <f t="shared" si="29"/>
        <v>0</v>
      </c>
      <c r="K197" s="102"/>
      <c r="L197" s="102"/>
      <c r="M197" s="102"/>
      <c r="N197" s="102"/>
      <c r="O197" s="102"/>
      <c r="P197" s="102"/>
    </row>
    <row r="198" spans="1:16">
      <c r="A198" s="44">
        <v>70235</v>
      </c>
      <c r="B198" s="34" t="s">
        <v>112</v>
      </c>
      <c r="C198" s="103">
        <f>+VLOOKUP(A198,'Consolidated IS '!$A:$AG,28,FALSE)</f>
        <v>13806.353747104191</v>
      </c>
      <c r="E198" s="103">
        <f>+$C198*'2183 LOB Ratios'!D$35</f>
        <v>8843.5252290448261</v>
      </c>
      <c r="F198" s="103">
        <f>+$C198*'2183 LOB Ratios'!E$35</f>
        <v>3945.8199890704045</v>
      </c>
      <c r="G198" s="103">
        <f>+$C198*'2183 LOB Ratios'!F$35</f>
        <v>1017.0085289889593</v>
      </c>
      <c r="H198" s="103">
        <f t="shared" ref="H198" si="37">SUM(E198:G198)</f>
        <v>13806.353747104191</v>
      </c>
      <c r="I198" s="102" t="s">
        <v>337</v>
      </c>
      <c r="J198" s="349">
        <f t="shared" si="29"/>
        <v>0</v>
      </c>
      <c r="K198" s="102"/>
      <c r="L198" s="102"/>
      <c r="M198" s="102"/>
      <c r="N198" s="102"/>
      <c r="O198" s="102"/>
      <c r="P198" s="102"/>
    </row>
    <row r="199" spans="1:16" s="143" customFormat="1">
      <c r="A199" s="44"/>
      <c r="B199" s="34"/>
      <c r="C199" s="141"/>
      <c r="D199" s="141"/>
      <c r="E199" s="141"/>
      <c r="F199" s="141"/>
      <c r="G199" s="141"/>
      <c r="H199" s="141"/>
      <c r="I199" s="142"/>
      <c r="J199" s="349">
        <f t="shared" si="29"/>
        <v>0</v>
      </c>
      <c r="K199" s="142"/>
      <c r="L199" s="102"/>
      <c r="M199" s="142"/>
      <c r="N199" s="142"/>
      <c r="O199" s="142"/>
      <c r="P199" s="142"/>
    </row>
    <row r="200" spans="1:16">
      <c r="A200" s="43">
        <v>46300</v>
      </c>
      <c r="B200" s="32" t="s">
        <v>113</v>
      </c>
      <c r="C200" s="140">
        <f>SUM(C198:C199)</f>
        <v>13806.353747104191</v>
      </c>
      <c r="D200" s="140"/>
      <c r="E200" s="140">
        <f t="shared" ref="E200:H200" si="38">SUM(E198:E199)</f>
        <v>8843.5252290448261</v>
      </c>
      <c r="F200" s="140">
        <f t="shared" si="38"/>
        <v>3945.8199890704045</v>
      </c>
      <c r="G200" s="140">
        <f t="shared" si="38"/>
        <v>1017.0085289889593</v>
      </c>
      <c r="H200" s="140">
        <f t="shared" si="38"/>
        <v>13806.353747104191</v>
      </c>
      <c r="I200" s="102"/>
      <c r="J200" s="349">
        <f t="shared" si="29"/>
        <v>0</v>
      </c>
      <c r="K200" s="102"/>
      <c r="L200" s="102"/>
      <c r="M200" s="102"/>
      <c r="N200" s="102"/>
      <c r="O200" s="102"/>
      <c r="P200" s="102"/>
    </row>
    <row r="201" spans="1:16">
      <c r="A201" s="44"/>
      <c r="B201" s="34"/>
      <c r="I201" s="102"/>
      <c r="J201" s="349">
        <f t="shared" si="29"/>
        <v>0</v>
      </c>
      <c r="K201" s="102"/>
      <c r="L201" s="102"/>
      <c r="M201" s="102"/>
      <c r="N201" s="102"/>
      <c r="O201" s="102"/>
      <c r="P201" s="102"/>
    </row>
    <row r="202" spans="1:16">
      <c r="A202" s="44">
        <v>57150</v>
      </c>
      <c r="B202" s="34" t="s">
        <v>44</v>
      </c>
      <c r="C202" s="103">
        <f>+VLOOKUP(A202,'Consolidated IS '!$A:$AG,28,FALSE)</f>
        <v>0</v>
      </c>
      <c r="E202" s="103">
        <f>+$C202*'2183 LOB Ratios'!D$35</f>
        <v>0</v>
      </c>
      <c r="F202" s="103">
        <f>+$C202*'2183 LOB Ratios'!E$35</f>
        <v>0</v>
      </c>
      <c r="G202" s="103">
        <f>+$C202*'2183 LOB Ratios'!F$35</f>
        <v>0</v>
      </c>
      <c r="H202" s="103">
        <f t="shared" ref="H202:H203" si="39">SUM(E202:G202)</f>
        <v>0</v>
      </c>
      <c r="I202" s="102" t="s">
        <v>337</v>
      </c>
      <c r="J202" s="349">
        <f t="shared" si="29"/>
        <v>0</v>
      </c>
      <c r="K202" s="102"/>
      <c r="L202" s="102"/>
      <c r="M202" s="102"/>
      <c r="N202" s="102"/>
      <c r="O202" s="102"/>
      <c r="P202" s="102"/>
    </row>
    <row r="203" spans="1:16">
      <c r="A203" s="44">
        <v>70150</v>
      </c>
      <c r="B203" s="34" t="s">
        <v>44</v>
      </c>
      <c r="C203" s="103">
        <f>+VLOOKUP(A203,'Consolidated IS '!$A:$AG,28,FALSE)</f>
        <v>31758.957405360568</v>
      </c>
      <c r="E203" s="103">
        <f>+$C203*'2183 LOB Ratios'!D$18</f>
        <v>13111.604412239312</v>
      </c>
      <c r="F203" s="103">
        <f>+$C203*'2183 LOB Ratios'!E$18</f>
        <v>14313.077691737826</v>
      </c>
      <c r="G203" s="103">
        <f>+$C203*'2183 LOB Ratios'!F$18</f>
        <v>4334.2753013834308</v>
      </c>
      <c r="H203" s="103">
        <f t="shared" si="39"/>
        <v>31758.957405360568</v>
      </c>
      <c r="I203" s="102" t="s">
        <v>341</v>
      </c>
      <c r="J203" s="349">
        <f t="shared" si="29"/>
        <v>0</v>
      </c>
      <c r="K203" s="102"/>
      <c r="L203" s="102"/>
      <c r="M203" s="102"/>
      <c r="N203" s="102"/>
      <c r="O203" s="102"/>
      <c r="P203" s="102"/>
    </row>
    <row r="204" spans="1:16" s="143" customFormat="1">
      <c r="A204" s="44"/>
      <c r="B204" s="34"/>
      <c r="C204" s="141"/>
      <c r="D204" s="141"/>
      <c r="E204" s="141"/>
      <c r="F204" s="141"/>
      <c r="G204" s="141"/>
      <c r="H204" s="141"/>
      <c r="I204" s="142"/>
      <c r="J204" s="349">
        <f t="shared" si="29"/>
        <v>0</v>
      </c>
      <c r="K204" s="142"/>
      <c r="L204" s="102"/>
      <c r="M204" s="142"/>
      <c r="N204" s="142"/>
      <c r="O204" s="142"/>
      <c r="P204" s="142"/>
    </row>
    <row r="205" spans="1:16">
      <c r="A205" s="43">
        <v>46400</v>
      </c>
      <c r="B205" s="32" t="s">
        <v>44</v>
      </c>
      <c r="C205" s="140">
        <f>SUM(C202:C204)</f>
        <v>31758.957405360568</v>
      </c>
      <c r="D205" s="140"/>
      <c r="E205" s="140">
        <f>SUM(E202:E204)</f>
        <v>13111.604412239312</v>
      </c>
      <c r="F205" s="140">
        <f>SUM(F202:F204)</f>
        <v>14313.077691737826</v>
      </c>
      <c r="G205" s="140">
        <f>SUM(G202:G204)</f>
        <v>4334.2753013834308</v>
      </c>
      <c r="H205" s="140">
        <f>SUM(H202:H204)</f>
        <v>31758.957405360568</v>
      </c>
      <c r="I205" s="102"/>
      <c r="J205" s="349">
        <f t="shared" si="29"/>
        <v>0</v>
      </c>
      <c r="K205" s="102"/>
      <c r="L205" s="102"/>
      <c r="M205" s="102"/>
      <c r="N205" s="102"/>
      <c r="O205" s="102"/>
      <c r="P205" s="102"/>
    </row>
    <row r="206" spans="1:16">
      <c r="A206" s="44"/>
      <c r="B206" s="34"/>
      <c r="I206" s="102"/>
      <c r="J206" s="349">
        <f t="shared" si="29"/>
        <v>0</v>
      </c>
      <c r="K206" s="102"/>
      <c r="L206" s="102"/>
      <c r="M206" s="102"/>
      <c r="N206" s="102"/>
      <c r="O206" s="102"/>
      <c r="P206" s="102"/>
    </row>
    <row r="207" spans="1:16">
      <c r="A207" s="44">
        <v>52165</v>
      </c>
      <c r="B207" s="34" t="s">
        <v>114</v>
      </c>
      <c r="C207" s="103">
        <f>+VLOOKUP(A207,'Consolidated IS '!$A:$AG,28,FALSE)</f>
        <v>4219.5166372073427</v>
      </c>
      <c r="E207" s="103">
        <f>+$C207*'2183 LOB Ratios'!D$35</f>
        <v>2702.7702258711302</v>
      </c>
      <c r="F207" s="103">
        <f>+$C207*'2183 LOB Ratios'!E$35</f>
        <v>1205.9268794847446</v>
      </c>
      <c r="G207" s="103">
        <f>+$C207*'2183 LOB Ratios'!F$35</f>
        <v>310.81953185146756</v>
      </c>
      <c r="H207" s="103">
        <f t="shared" ref="H207:H210" si="40">SUM(E207:G207)</f>
        <v>4219.5166372073418</v>
      </c>
      <c r="I207" s="102" t="s">
        <v>337</v>
      </c>
      <c r="J207" s="349">
        <f t="shared" si="29"/>
        <v>0</v>
      </c>
      <c r="K207" s="102"/>
      <c r="L207" s="102"/>
      <c r="M207" s="102"/>
      <c r="N207" s="102"/>
      <c r="O207" s="102"/>
      <c r="P207" s="102"/>
    </row>
    <row r="208" spans="1:16">
      <c r="A208" s="44">
        <v>57165</v>
      </c>
      <c r="B208" s="34" t="s">
        <v>114</v>
      </c>
      <c r="C208" s="103">
        <f>+VLOOKUP(A208,'Consolidated IS '!$A:$AG,28,FALSE)</f>
        <v>15466.400572718852</v>
      </c>
      <c r="E208" s="103">
        <f>+$C208*'2183 LOB Ratios'!D$35</f>
        <v>9906.8520315177993</v>
      </c>
      <c r="F208" s="103">
        <f>+$C208*'2183 LOB Ratios'!E$35</f>
        <v>4420.2570538658128</v>
      </c>
      <c r="G208" s="103">
        <f>+$C208*'2183 LOB Ratios'!F$35</f>
        <v>1139.2914873352399</v>
      </c>
      <c r="H208" s="103">
        <f t="shared" si="40"/>
        <v>15466.400572718852</v>
      </c>
      <c r="I208" s="102" t="s">
        <v>337</v>
      </c>
      <c r="J208" s="349">
        <f t="shared" si="29"/>
        <v>0</v>
      </c>
      <c r="K208" s="102"/>
      <c r="L208" s="102"/>
      <c r="M208" s="102"/>
      <c r="N208" s="102"/>
      <c r="O208" s="102"/>
      <c r="P208" s="102"/>
    </row>
    <row r="209" spans="1:16">
      <c r="A209" s="44">
        <v>70165</v>
      </c>
      <c r="B209" s="34" t="s">
        <v>114</v>
      </c>
      <c r="C209" s="103">
        <f>+VLOOKUP(A209,'Consolidated IS '!$A:$AG,28,FALSE)</f>
        <v>26739.335437095047</v>
      </c>
      <c r="E209" s="103">
        <f>+$C209*'2183 LOB Ratios'!D$18</f>
        <v>11039.266309107039</v>
      </c>
      <c r="F209" s="103">
        <f>+$C209*'2183 LOB Ratios'!E$18</f>
        <v>12050.842244335781</v>
      </c>
      <c r="G209" s="103">
        <f>+$C209*'2183 LOB Ratios'!F$18</f>
        <v>3649.2268836522276</v>
      </c>
      <c r="H209" s="103">
        <f t="shared" si="40"/>
        <v>26739.335437095047</v>
      </c>
      <c r="I209" s="102" t="s">
        <v>341</v>
      </c>
      <c r="J209" s="349">
        <f t="shared" si="29"/>
        <v>0</v>
      </c>
      <c r="K209" s="102"/>
      <c r="L209" s="102"/>
      <c r="M209" s="102"/>
      <c r="N209" s="102"/>
      <c r="O209" s="102"/>
      <c r="P209" s="102"/>
    </row>
    <row r="210" spans="1:16">
      <c r="A210" s="44">
        <v>70167</v>
      </c>
      <c r="B210" s="34" t="s">
        <v>115</v>
      </c>
      <c r="C210" s="103">
        <f>+VLOOKUP(A210,'Consolidated IS '!$A:$AG,28,FALSE)</f>
        <v>20668.500580974287</v>
      </c>
      <c r="E210" s="103">
        <f>+$C210*'2183 LOB Ratios'!D$18</f>
        <v>8532.9376513516108</v>
      </c>
      <c r="F210" s="103">
        <f>+$C210*'2183 LOB Ratios'!E$18</f>
        <v>9314.847802191407</v>
      </c>
      <c r="G210" s="103">
        <f>+$C210*'2183 LOB Ratios'!F$18</f>
        <v>2820.715127431271</v>
      </c>
      <c r="H210" s="103">
        <f t="shared" si="40"/>
        <v>20668.500580974287</v>
      </c>
      <c r="I210" s="102" t="s">
        <v>341</v>
      </c>
      <c r="J210" s="349">
        <f t="shared" si="29"/>
        <v>0</v>
      </c>
      <c r="K210" s="102"/>
      <c r="L210" s="102"/>
      <c r="M210" s="102"/>
      <c r="N210" s="102"/>
      <c r="O210" s="102"/>
      <c r="P210" s="102"/>
    </row>
    <row r="211" spans="1:16" s="143" customFormat="1">
      <c r="A211" s="44"/>
      <c r="B211" s="34"/>
      <c r="C211" s="141"/>
      <c r="D211" s="141"/>
      <c r="E211" s="141"/>
      <c r="F211" s="141"/>
      <c r="G211" s="141"/>
      <c r="H211" s="141"/>
      <c r="I211" s="142"/>
      <c r="J211" s="349">
        <f t="shared" si="29"/>
        <v>0</v>
      </c>
      <c r="K211" s="142"/>
      <c r="L211" s="102"/>
      <c r="M211" s="142"/>
      <c r="N211" s="142"/>
      <c r="O211" s="142"/>
      <c r="P211" s="142"/>
    </row>
    <row r="212" spans="1:16">
      <c r="A212" s="43">
        <v>46410</v>
      </c>
      <c r="B212" s="32" t="s">
        <v>114</v>
      </c>
      <c r="C212" s="140">
        <f>SUM(C207:C211)</f>
        <v>67093.753227995534</v>
      </c>
      <c r="D212" s="140"/>
      <c r="E212" s="140">
        <f>SUM(E207:E211)</f>
        <v>32181.826217847578</v>
      </c>
      <c r="F212" s="140">
        <f>SUM(F207:F211)</f>
        <v>26991.873979877746</v>
      </c>
      <c r="G212" s="140">
        <f>SUM(G207:G211)</f>
        <v>7920.0530302702064</v>
      </c>
      <c r="H212" s="140">
        <f>SUM(H207:H211)</f>
        <v>67093.753227995534</v>
      </c>
      <c r="I212" s="102"/>
      <c r="J212" s="349">
        <f t="shared" si="29"/>
        <v>0</v>
      </c>
      <c r="K212" s="102"/>
      <c r="L212" s="102"/>
      <c r="M212" s="102"/>
      <c r="N212" s="102"/>
      <c r="O212" s="102"/>
      <c r="P212" s="102"/>
    </row>
    <row r="213" spans="1:16">
      <c r="A213" s="44"/>
      <c r="B213" s="34"/>
      <c r="I213" s="102"/>
      <c r="J213" s="349">
        <f t="shared" si="29"/>
        <v>0</v>
      </c>
      <c r="K213" s="102"/>
      <c r="L213" s="102"/>
      <c r="M213" s="102"/>
      <c r="N213" s="102"/>
      <c r="O213" s="102"/>
      <c r="P213" s="102"/>
    </row>
    <row r="214" spans="1:16">
      <c r="A214" s="44">
        <v>50060</v>
      </c>
      <c r="B214" s="34" t="s">
        <v>75</v>
      </c>
      <c r="C214" s="103">
        <f>+VLOOKUP(A214,'Consolidated IS '!$A:$AG,28,FALSE)</f>
        <v>216953.89165409995</v>
      </c>
      <c r="E214" s="103">
        <f>+$C214*'2183 LOB Ratios'!D$35</f>
        <v>138967.69918595738</v>
      </c>
      <c r="F214" s="103">
        <f>+$C214*'2183 LOB Ratios'!E$35</f>
        <v>62004.857913691849</v>
      </c>
      <c r="G214" s="103">
        <f>+$C214*'2183 LOB Ratios'!F$35</f>
        <v>15981.334554450708</v>
      </c>
      <c r="H214" s="103">
        <f t="shared" ref="H214:H219" si="41">SUM(E214:G214)</f>
        <v>216953.89165409992</v>
      </c>
      <c r="I214" s="102" t="s">
        <v>337</v>
      </c>
      <c r="J214" s="349">
        <f t="shared" si="29"/>
        <v>0</v>
      </c>
      <c r="K214" s="102"/>
      <c r="L214" s="102"/>
      <c r="M214" s="102"/>
      <c r="N214" s="102"/>
      <c r="O214" s="102"/>
      <c r="P214" s="102"/>
    </row>
    <row r="215" spans="1:16">
      <c r="A215" s="44">
        <v>50116</v>
      </c>
      <c r="B215" s="34" t="s">
        <v>116</v>
      </c>
      <c r="C215" s="103">
        <f>+VLOOKUP(A215,'Consolidated IS '!$A:$AG,28,FALSE)</f>
        <v>638332.14347142109</v>
      </c>
      <c r="E215" s="103">
        <f>+$C215*'2183 LOB Ratios'!D$35</f>
        <v>408877.42837125302</v>
      </c>
      <c r="F215" s="103">
        <f>+$C215*'2183 LOB Ratios'!E$35</f>
        <v>182433.66623167857</v>
      </c>
      <c r="G215" s="103">
        <f>+$C215*'2183 LOB Ratios'!F$35</f>
        <v>47021.048868489495</v>
      </c>
      <c r="H215" s="103">
        <f t="shared" si="41"/>
        <v>638332.14347142098</v>
      </c>
      <c r="I215" s="102" t="s">
        <v>337</v>
      </c>
      <c r="J215" s="349">
        <f t="shared" si="29"/>
        <v>0</v>
      </c>
      <c r="K215" s="102"/>
      <c r="L215" s="102"/>
      <c r="M215" s="102"/>
      <c r="N215" s="102"/>
      <c r="O215" s="102"/>
      <c r="P215" s="102"/>
    </row>
    <row r="216" spans="1:16">
      <c r="A216" s="44">
        <v>52060</v>
      </c>
      <c r="B216" s="34" t="s">
        <v>75</v>
      </c>
      <c r="C216" s="103">
        <f>+VLOOKUP(A216,'Consolidated IS '!$A:$AG,28,FALSE)</f>
        <v>127707.43718452199</v>
      </c>
      <c r="E216" s="103">
        <f>+$C216*'2183 LOB Ratios'!D$35</f>
        <v>81801.753262686019</v>
      </c>
      <c r="F216" s="103">
        <f>+$C216*'2183 LOB Ratios'!E$35</f>
        <v>36498.453366178052</v>
      </c>
      <c r="G216" s="103">
        <f>+$C216*'2183 LOB Ratios'!F$35</f>
        <v>9407.2305556579104</v>
      </c>
      <c r="H216" s="103">
        <f t="shared" si="41"/>
        <v>127707.43718452199</v>
      </c>
      <c r="I216" s="102" t="s">
        <v>337</v>
      </c>
      <c r="J216" s="349">
        <f t="shared" ref="J216:J279" si="42">C216-H216</f>
        <v>0</v>
      </c>
      <c r="K216" s="102"/>
      <c r="L216" s="102"/>
      <c r="M216" s="102"/>
      <c r="N216" s="102"/>
      <c r="O216" s="102"/>
      <c r="P216" s="102"/>
    </row>
    <row r="217" spans="1:16">
      <c r="A217" s="44">
        <v>55060</v>
      </c>
      <c r="B217" s="34" t="s">
        <v>75</v>
      </c>
      <c r="C217" s="103">
        <f>+VLOOKUP(A217,'Consolidated IS '!$A:$AG,28,FALSE)</f>
        <v>1134.1617935723018</v>
      </c>
      <c r="E217" s="103">
        <f>+$C217*'2183 LOB Ratios'!D$19</f>
        <v>1134.1617935723018</v>
      </c>
      <c r="F217" s="103">
        <f>+$C217*'2183 LOB Ratios'!E$19</f>
        <v>0</v>
      </c>
      <c r="G217" s="103">
        <f>+$C217*'2183 LOB Ratios'!F$19</f>
        <v>0</v>
      </c>
      <c r="H217" s="103">
        <f t="shared" si="41"/>
        <v>1134.1617935723018</v>
      </c>
      <c r="I217" s="102" t="s">
        <v>1930</v>
      </c>
      <c r="J217" s="349">
        <f t="shared" si="42"/>
        <v>0</v>
      </c>
      <c r="K217" s="102"/>
      <c r="L217" s="102"/>
      <c r="M217" s="102"/>
      <c r="N217" s="102"/>
      <c r="O217" s="102"/>
      <c r="P217" s="102"/>
    </row>
    <row r="218" spans="1:16">
      <c r="A218" s="44">
        <v>56060</v>
      </c>
      <c r="B218" s="34" t="s">
        <v>75</v>
      </c>
      <c r="C218" s="103">
        <f>+VLOOKUP(A218,'Consolidated IS '!$A:$AG,28,FALSE)</f>
        <v>39507.718829059275</v>
      </c>
      <c r="E218" s="103">
        <f>+$C218*'2183 LOB Ratios'!D$35</f>
        <v>25306.283947713364</v>
      </c>
      <c r="F218" s="103">
        <f>+$C218*'2183 LOB Ratios'!E$35</f>
        <v>11291.203277402077</v>
      </c>
      <c r="G218" s="103">
        <f>+$C218*'2183 LOB Ratios'!F$35</f>
        <v>2910.2316039438333</v>
      </c>
      <c r="H218" s="103">
        <f t="shared" ref="H218" si="43">SUM(E218:G218)</f>
        <v>39507.718829059275</v>
      </c>
      <c r="I218" s="102" t="s">
        <v>337</v>
      </c>
      <c r="J218" s="349">
        <f t="shared" si="42"/>
        <v>0</v>
      </c>
      <c r="K218" s="102"/>
      <c r="L218" s="102"/>
      <c r="M218" s="102"/>
      <c r="N218" s="102"/>
      <c r="O218" s="102"/>
      <c r="P218" s="102"/>
    </row>
    <row r="219" spans="1:16">
      <c r="A219" s="44">
        <v>70060</v>
      </c>
      <c r="B219" s="34" t="s">
        <v>75</v>
      </c>
      <c r="C219" s="103">
        <f>+VLOOKUP(A219,'Consolidated IS '!$A:$AG,28,FALSE)</f>
        <v>296506.24643371656</v>
      </c>
      <c r="E219" s="103">
        <f>+$C219*'2183 LOB Ratios'!D$18</f>
        <v>122411.84618801868</v>
      </c>
      <c r="F219" s="103">
        <f>+$C219*'2183 LOB Ratios'!E$18</f>
        <v>133628.9755083402</v>
      </c>
      <c r="G219" s="103">
        <f>+$C219*'2183 LOB Ratios'!F$18</f>
        <v>40465.424737357687</v>
      </c>
      <c r="H219" s="103">
        <f t="shared" si="41"/>
        <v>296506.24643371656</v>
      </c>
      <c r="I219" s="102" t="s">
        <v>341</v>
      </c>
      <c r="J219" s="349">
        <f t="shared" si="42"/>
        <v>0</v>
      </c>
      <c r="K219" s="102"/>
      <c r="L219" s="102"/>
      <c r="M219" s="102"/>
      <c r="N219" s="102"/>
      <c r="O219" s="102"/>
      <c r="P219" s="102"/>
    </row>
    <row r="220" spans="1:16" s="143" customFormat="1">
      <c r="A220" s="44"/>
      <c r="B220" s="34"/>
      <c r="C220" s="141"/>
      <c r="D220" s="141"/>
      <c r="E220" s="141"/>
      <c r="F220" s="141"/>
      <c r="G220" s="141"/>
      <c r="H220" s="141"/>
      <c r="I220" s="142"/>
      <c r="J220" s="349">
        <f t="shared" si="42"/>
        <v>0</v>
      </c>
      <c r="K220" s="142"/>
      <c r="L220" s="102"/>
      <c r="M220" s="142"/>
      <c r="N220" s="142"/>
      <c r="O220" s="142"/>
      <c r="P220" s="142"/>
    </row>
    <row r="221" spans="1:16">
      <c r="A221" s="43">
        <v>46500</v>
      </c>
      <c r="B221" s="32" t="s">
        <v>117</v>
      </c>
      <c r="C221" s="140">
        <f>SUM(C214:C220)</f>
        <v>1320141.5993663911</v>
      </c>
      <c r="D221" s="140"/>
      <c r="E221" s="140">
        <f>SUM(E214:E220)</f>
        <v>778499.17274920072</v>
      </c>
      <c r="F221" s="140">
        <f>SUM(F214:F220)</f>
        <v>425857.1562972907</v>
      </c>
      <c r="G221" s="140">
        <f>SUM(G214:G220)</f>
        <v>115785.27031989963</v>
      </c>
      <c r="H221" s="140">
        <f>SUM(H214:H220)</f>
        <v>1320141.5993663911</v>
      </c>
      <c r="I221" s="102"/>
      <c r="J221" s="349">
        <f t="shared" si="42"/>
        <v>0</v>
      </c>
      <c r="K221" s="102"/>
      <c r="L221" s="102"/>
      <c r="M221" s="102"/>
      <c r="N221" s="102"/>
      <c r="O221" s="102"/>
      <c r="P221" s="102"/>
    </row>
    <row r="222" spans="1:16">
      <c r="A222" s="44"/>
      <c r="B222" s="34"/>
      <c r="I222" s="102"/>
      <c r="J222" s="349">
        <f t="shared" si="42"/>
        <v>0</v>
      </c>
      <c r="K222" s="102"/>
      <c r="L222" s="102"/>
      <c r="M222" s="102"/>
      <c r="N222" s="102"/>
      <c r="O222" s="102"/>
      <c r="P222" s="102"/>
    </row>
    <row r="223" spans="1:16">
      <c r="A223" s="44">
        <v>50115</v>
      </c>
      <c r="B223" s="34" t="s">
        <v>118</v>
      </c>
      <c r="C223" s="103">
        <f>+VLOOKUP(A223,'Consolidated IS '!$A:$AG,28,FALSE)</f>
        <v>28222.76350514948</v>
      </c>
      <c r="E223" s="103">
        <f>+$C223*'2183 LOB Ratios'!D$35</f>
        <v>18077.815885566812</v>
      </c>
      <c r="F223" s="103">
        <f>+$C223*'2183 LOB Ratios'!E$35</f>
        <v>8065.9923992446666</v>
      </c>
      <c r="G223" s="103">
        <f>+$C223*'2183 LOB Ratios'!F$35</f>
        <v>2078.9552203379994</v>
      </c>
      <c r="H223" s="103">
        <f t="shared" ref="H223:H229" si="44">SUM(E223:G223)</f>
        <v>28222.76350514948</v>
      </c>
      <c r="I223" s="102" t="s">
        <v>337</v>
      </c>
      <c r="J223" s="349">
        <f t="shared" si="42"/>
        <v>0</v>
      </c>
      <c r="K223" s="102"/>
      <c r="L223" s="102"/>
      <c r="M223" s="102"/>
      <c r="N223" s="102"/>
      <c r="O223" s="102"/>
      <c r="P223" s="102"/>
    </row>
    <row r="224" spans="1:16">
      <c r="A224" s="44">
        <v>50117</v>
      </c>
      <c r="B224" s="34" t="s">
        <v>119</v>
      </c>
      <c r="C224" s="103">
        <f>+VLOOKUP(A224,'Consolidated IS '!$A:$AG,28,FALSE)</f>
        <v>261644.0683086733</v>
      </c>
      <c r="E224" s="103">
        <f>+$C224*'2183 LOB Ratios'!D$35</f>
        <v>167593.55594542832</v>
      </c>
      <c r="F224" s="103">
        <f>+$C224*'2183 LOB Ratios'!E$35</f>
        <v>74777.194157480277</v>
      </c>
      <c r="G224" s="103">
        <f>+$C224*'2183 LOB Ratios'!F$35</f>
        <v>19273.318205764681</v>
      </c>
      <c r="H224" s="103">
        <f t="shared" si="44"/>
        <v>261644.06830867328</v>
      </c>
      <c r="I224" s="102" t="s">
        <v>337</v>
      </c>
      <c r="J224" s="349">
        <f t="shared" si="42"/>
        <v>0</v>
      </c>
      <c r="K224" s="102"/>
      <c r="L224" s="102"/>
      <c r="M224" s="102"/>
      <c r="N224" s="102"/>
      <c r="O224" s="102"/>
      <c r="P224" s="102"/>
    </row>
    <row r="225" spans="1:16">
      <c r="A225" s="44">
        <v>52115</v>
      </c>
      <c r="B225" s="34" t="s">
        <v>118</v>
      </c>
      <c r="C225" s="103">
        <f>+VLOOKUP(A225,'Consolidated IS '!$A:$AG,28,FALSE)</f>
        <v>20495.58082008491</v>
      </c>
      <c r="E225" s="103">
        <f>+$C225*'2183 LOB Ratios'!D$35</f>
        <v>13128.24438562318</v>
      </c>
      <c r="F225" s="103">
        <f>+$C225*'2183 LOB Ratios'!E$35</f>
        <v>5857.5836871093843</v>
      </c>
      <c r="G225" s="103">
        <f>+$C225*'2183 LOB Ratios'!F$35</f>
        <v>1509.7527473523439</v>
      </c>
      <c r="H225" s="103">
        <f t="shared" si="44"/>
        <v>20495.58082008491</v>
      </c>
      <c r="I225" s="102" t="s">
        <v>337</v>
      </c>
      <c r="J225" s="349">
        <f t="shared" si="42"/>
        <v>0</v>
      </c>
      <c r="K225" s="102"/>
      <c r="L225" s="102"/>
      <c r="M225" s="102"/>
      <c r="N225" s="102"/>
      <c r="O225" s="102"/>
      <c r="P225" s="102"/>
    </row>
    <row r="226" spans="1:16">
      <c r="A226" s="44">
        <v>55115</v>
      </c>
      <c r="B226" s="34" t="s">
        <v>120</v>
      </c>
      <c r="C226" s="103">
        <f>+VLOOKUP(A226,'Consolidated IS '!$A:$AG,28,FALSE)</f>
        <v>96.416787187246541</v>
      </c>
      <c r="E226" s="103">
        <f>+$C226*'2183 LOB Ratios'!D$19</f>
        <v>96.416787187246541</v>
      </c>
      <c r="F226" s="103">
        <f>+$C226*'2183 LOB Ratios'!E$19</f>
        <v>0</v>
      </c>
      <c r="G226" s="103">
        <f>+$C226*'2183 LOB Ratios'!F$19</f>
        <v>0</v>
      </c>
      <c r="H226" s="103">
        <f t="shared" si="44"/>
        <v>96.416787187246541</v>
      </c>
      <c r="I226" s="102" t="s">
        <v>1930</v>
      </c>
      <c r="J226" s="349">
        <f t="shared" si="42"/>
        <v>0</v>
      </c>
      <c r="K226" s="102"/>
      <c r="L226" s="102"/>
      <c r="M226" s="102"/>
      <c r="N226" s="102"/>
      <c r="O226" s="102"/>
      <c r="P226" s="102"/>
    </row>
    <row r="227" spans="1:16">
      <c r="A227" s="44">
        <v>56115</v>
      </c>
      <c r="B227" s="34" t="s">
        <v>118</v>
      </c>
      <c r="C227" s="103">
        <f>+VLOOKUP(A227,'Consolidated IS '!$A:$AG,28,FALSE)</f>
        <v>10606.048192506913</v>
      </c>
      <c r="E227" s="103">
        <f>+$C227*'2183 LOB Ratios'!D$35</f>
        <v>6793.6007210139123</v>
      </c>
      <c r="F227" s="103">
        <f>+$C227*'2183 LOB Ratios'!E$35</f>
        <v>3031.1809859149471</v>
      </c>
      <c r="G227" s="103">
        <f>+$C227*'2183 LOB Ratios'!F$35</f>
        <v>781.26648557805231</v>
      </c>
      <c r="H227" s="103">
        <f t="shared" si="44"/>
        <v>10606.048192506913</v>
      </c>
      <c r="I227" s="102" t="s">
        <v>337</v>
      </c>
      <c r="J227" s="349">
        <f t="shared" si="42"/>
        <v>0</v>
      </c>
      <c r="K227" s="102"/>
      <c r="L227" s="102"/>
      <c r="M227" s="102"/>
      <c r="N227" s="102"/>
      <c r="O227" s="102"/>
      <c r="P227" s="102"/>
    </row>
    <row r="228" spans="1:16">
      <c r="A228" s="44">
        <v>60116</v>
      </c>
      <c r="B228" s="34" t="s">
        <v>118</v>
      </c>
      <c r="C228" s="103">
        <f>+VLOOKUP(A228,'Consolidated IS '!$A:$AG,28,FALSE)</f>
        <v>0</v>
      </c>
      <c r="E228" s="103">
        <v>0</v>
      </c>
      <c r="F228" s="103">
        <v>0</v>
      </c>
      <c r="G228" s="103">
        <v>0</v>
      </c>
      <c r="H228" s="103">
        <f t="shared" si="44"/>
        <v>0</v>
      </c>
      <c r="I228" s="102" t="s">
        <v>348</v>
      </c>
      <c r="J228" s="349">
        <f t="shared" si="42"/>
        <v>0</v>
      </c>
      <c r="K228" s="102"/>
      <c r="L228" s="102"/>
      <c r="M228" s="102"/>
      <c r="N228" s="102"/>
      <c r="O228" s="102"/>
      <c r="P228" s="102"/>
    </row>
    <row r="229" spans="1:16">
      <c r="A229" s="44">
        <v>70116</v>
      </c>
      <c r="B229" s="34" t="s">
        <v>118</v>
      </c>
      <c r="C229" s="103">
        <f>+VLOOKUP(A229,'Consolidated IS '!$A:$AG,28,FALSE)</f>
        <v>33499.742325284293</v>
      </c>
      <c r="E229" s="103">
        <f>+$C229*'2183 LOB Ratios'!D$18</f>
        <v>13830.283018262413</v>
      </c>
      <c r="F229" s="103">
        <f>+$C229*'2183 LOB Ratios'!E$18</f>
        <v>15097.611940940489</v>
      </c>
      <c r="G229" s="103">
        <f>+$C229*'2183 LOB Ratios'!F$18</f>
        <v>4571.8473660813925</v>
      </c>
      <c r="H229" s="103">
        <f t="shared" si="44"/>
        <v>33499.742325284293</v>
      </c>
      <c r="I229" s="102" t="s">
        <v>341</v>
      </c>
      <c r="J229" s="349">
        <f t="shared" si="42"/>
        <v>0</v>
      </c>
      <c r="K229" s="102"/>
      <c r="L229" s="102"/>
      <c r="M229" s="102"/>
      <c r="N229" s="102"/>
      <c r="O229" s="102"/>
      <c r="P229" s="102"/>
    </row>
    <row r="230" spans="1:16" s="143" customFormat="1">
      <c r="A230" s="44"/>
      <c r="B230" s="34"/>
      <c r="C230" s="141"/>
      <c r="D230" s="141"/>
      <c r="E230" s="141"/>
      <c r="F230" s="141"/>
      <c r="G230" s="141"/>
      <c r="H230" s="141"/>
      <c r="I230" s="142"/>
      <c r="J230" s="349">
        <f t="shared" si="42"/>
        <v>0</v>
      </c>
      <c r="K230" s="142"/>
      <c r="L230" s="102"/>
      <c r="M230" s="142"/>
      <c r="N230" s="142"/>
      <c r="O230" s="142"/>
      <c r="P230" s="142"/>
    </row>
    <row r="231" spans="1:16">
      <c r="A231" s="43">
        <v>46510</v>
      </c>
      <c r="B231" s="32" t="s">
        <v>118</v>
      </c>
      <c r="C231" s="140">
        <f>SUM(C223:C230)</f>
        <v>354564.61993888608</v>
      </c>
      <c r="D231" s="140"/>
      <c r="E231" s="140">
        <f>SUM(E223:E230)</f>
        <v>219519.91674308188</v>
      </c>
      <c r="F231" s="140">
        <f>SUM(F223:F230)</f>
        <v>106829.56317068977</v>
      </c>
      <c r="G231" s="140">
        <f>SUM(G223:G230)</f>
        <v>28215.140025114473</v>
      </c>
      <c r="H231" s="140">
        <f>SUM(H223:H230)</f>
        <v>354564.61993888603</v>
      </c>
      <c r="I231" s="102"/>
      <c r="J231" s="349">
        <f t="shared" si="42"/>
        <v>0</v>
      </c>
      <c r="K231" s="102"/>
      <c r="L231" s="102"/>
      <c r="M231" s="102"/>
      <c r="N231" s="102"/>
      <c r="O231" s="102"/>
      <c r="P231" s="102"/>
    </row>
    <row r="232" spans="1:16">
      <c r="A232" s="44"/>
      <c r="B232" s="34"/>
      <c r="I232" s="102"/>
      <c r="J232" s="349">
        <f t="shared" si="42"/>
        <v>0</v>
      </c>
      <c r="K232" s="102"/>
      <c r="L232" s="102"/>
      <c r="M232" s="102"/>
      <c r="N232" s="102"/>
      <c r="O232" s="102"/>
      <c r="P232" s="102"/>
    </row>
    <row r="233" spans="1:16">
      <c r="A233" s="44">
        <v>70310</v>
      </c>
      <c r="B233" s="34" t="s">
        <v>121</v>
      </c>
      <c r="C233" s="103">
        <f>+VLOOKUP(A233,'Consolidated IS '!$A:$AG,28,FALSE)</f>
        <v>35651.772342402466</v>
      </c>
      <c r="E233" s="103">
        <f>+$C233*E$24</f>
        <v>27274.050154883913</v>
      </c>
      <c r="F233" s="103">
        <f>+$C233*F$24</f>
        <v>6009.9431004506878</v>
      </c>
      <c r="G233" s="103">
        <f>+$C233*G$24</f>
        <v>2367.7790870678659</v>
      </c>
      <c r="H233" s="103">
        <f t="shared" ref="H233" si="45">SUM(E233:G233)</f>
        <v>35651.772342402466</v>
      </c>
      <c r="I233" s="102" t="s">
        <v>174</v>
      </c>
      <c r="J233" s="349">
        <f t="shared" si="42"/>
        <v>0</v>
      </c>
      <c r="K233" s="102"/>
      <c r="L233" s="102"/>
      <c r="M233" s="102"/>
      <c r="N233" s="102"/>
      <c r="O233" s="102"/>
      <c r="P233" s="102"/>
    </row>
    <row r="234" spans="1:16" s="143" customFormat="1">
      <c r="A234" s="44"/>
      <c r="B234" s="34"/>
      <c r="C234" s="141"/>
      <c r="D234" s="141"/>
      <c r="E234" s="141"/>
      <c r="F234" s="141"/>
      <c r="G234" s="141"/>
      <c r="H234" s="141"/>
      <c r="I234" s="142"/>
      <c r="J234" s="349">
        <f t="shared" si="42"/>
        <v>0</v>
      </c>
      <c r="K234" s="142"/>
      <c r="L234" s="102"/>
      <c r="M234" s="142"/>
      <c r="N234" s="142"/>
      <c r="O234" s="142"/>
      <c r="P234" s="142"/>
    </row>
    <row r="235" spans="1:16">
      <c r="A235" s="43">
        <v>46700</v>
      </c>
      <c r="B235" s="32" t="s">
        <v>122</v>
      </c>
      <c r="C235" s="140">
        <f>SUM(C233:C234)</f>
        <v>35651.772342402466</v>
      </c>
      <c r="D235" s="140"/>
      <c r="E235" s="140">
        <f t="shared" ref="E235:H235" si="46">SUM(E233:E234)</f>
        <v>27274.050154883913</v>
      </c>
      <c r="F235" s="140">
        <f t="shared" si="46"/>
        <v>6009.9431004506878</v>
      </c>
      <c r="G235" s="140">
        <f t="shared" si="46"/>
        <v>2367.7790870678659</v>
      </c>
      <c r="H235" s="140">
        <f t="shared" si="46"/>
        <v>35651.772342402466</v>
      </c>
      <c r="I235" s="102"/>
      <c r="J235" s="349">
        <f t="shared" si="42"/>
        <v>0</v>
      </c>
      <c r="K235" s="102"/>
      <c r="L235" s="102"/>
      <c r="M235" s="102"/>
      <c r="N235" s="102"/>
      <c r="O235" s="102"/>
      <c r="P235" s="102"/>
    </row>
    <row r="236" spans="1:16">
      <c r="A236" s="44"/>
      <c r="B236" s="34"/>
      <c r="I236" s="102"/>
      <c r="J236" s="349">
        <f t="shared" si="42"/>
        <v>0</v>
      </c>
      <c r="K236" s="102"/>
      <c r="L236" s="102"/>
      <c r="M236" s="102"/>
      <c r="N236" s="102"/>
      <c r="O236" s="102"/>
      <c r="P236" s="102"/>
    </row>
    <row r="237" spans="1:16">
      <c r="A237" s="44">
        <v>57252</v>
      </c>
      <c r="B237" s="34" t="s">
        <v>123</v>
      </c>
      <c r="C237" s="103">
        <f>+VLOOKUP(A237,'Consolidated IS '!$A:$AG,28,FALSE)</f>
        <v>0</v>
      </c>
      <c r="E237" s="103">
        <v>0</v>
      </c>
      <c r="F237" s="103">
        <v>0</v>
      </c>
      <c r="G237" s="103">
        <v>0</v>
      </c>
      <c r="H237" s="103">
        <f t="shared" ref="H237:H259" si="47">SUM(E237:G237)</f>
        <v>0</v>
      </c>
      <c r="I237" s="102" t="s">
        <v>348</v>
      </c>
      <c r="J237" s="349">
        <f t="shared" si="42"/>
        <v>0</v>
      </c>
      <c r="K237" s="102"/>
      <c r="L237" s="102"/>
      <c r="M237" s="102"/>
      <c r="N237" s="102"/>
      <c r="O237" s="102"/>
      <c r="P237" s="102"/>
    </row>
    <row r="238" spans="1:16">
      <c r="A238" s="44">
        <v>70037</v>
      </c>
      <c r="B238" s="34" t="s">
        <v>124</v>
      </c>
      <c r="C238" s="103">
        <f>+VLOOKUP(A238,'Consolidated IS '!$A:$AG,28,FALSE)</f>
        <v>4855.3165922729922</v>
      </c>
      <c r="E238" s="103">
        <f>+$C238*'2183 LOB Ratios'!D$35</f>
        <v>3110.0256856573878</v>
      </c>
      <c r="F238" s="103">
        <f>+$C238*'2183 LOB Ratios'!E$35</f>
        <v>1387.6368528565554</v>
      </c>
      <c r="G238" s="103">
        <f>+$C238*'2183 LOB Ratios'!F$35</f>
        <v>357.65405375904845</v>
      </c>
      <c r="H238" s="103">
        <f t="shared" si="47"/>
        <v>4855.3165922729913</v>
      </c>
      <c r="I238" s="102" t="s">
        <v>337</v>
      </c>
      <c r="J238" s="349">
        <f t="shared" si="42"/>
        <v>0</v>
      </c>
      <c r="K238" s="102"/>
      <c r="L238" s="102"/>
      <c r="M238" s="102"/>
      <c r="N238" s="102"/>
      <c r="O238" s="102"/>
      <c r="P238" s="102"/>
    </row>
    <row r="239" spans="1:16">
      <c r="A239" s="44">
        <v>70086</v>
      </c>
      <c r="B239" s="34" t="s">
        <v>125</v>
      </c>
      <c r="C239" s="103">
        <f>+VLOOKUP(A239,'Consolidated IS '!$A:$AG,28,FALSE)</f>
        <v>11684.554228709469</v>
      </c>
      <c r="E239" s="103">
        <f>+$C239*'2183 LOB Ratios'!D$18</f>
        <v>4823.9383561860104</v>
      </c>
      <c r="F239" s="103">
        <f>+$C239*'2183 LOB Ratios'!E$18</f>
        <v>5265.9767867761857</v>
      </c>
      <c r="G239" s="103">
        <f>+$C239*'2183 LOB Ratios'!F$18</f>
        <v>1594.6390857472734</v>
      </c>
      <c r="H239" s="103">
        <f t="shared" si="47"/>
        <v>11684.554228709469</v>
      </c>
      <c r="I239" s="102" t="s">
        <v>341</v>
      </c>
      <c r="J239" s="349">
        <f t="shared" si="42"/>
        <v>0</v>
      </c>
      <c r="K239" s="102"/>
      <c r="L239" s="102"/>
      <c r="M239" s="102"/>
      <c r="N239" s="102"/>
      <c r="O239" s="102"/>
      <c r="P239" s="102"/>
    </row>
    <row r="240" spans="1:16">
      <c r="A240" s="1">
        <v>70090</v>
      </c>
      <c r="B240" s="34" t="s">
        <v>126</v>
      </c>
      <c r="C240" s="103">
        <f>+VLOOKUP(A240,'Consolidated IS '!$A:$AG,28,FALSE)</f>
        <v>1393.4959879928258</v>
      </c>
      <c r="E240" s="103">
        <f>+$C240*'2183 LOB Ratios'!D$18</f>
        <v>575.30125789080762</v>
      </c>
      <c r="F240" s="103">
        <f>+$C240*'2183 LOB Ratios'!E$18</f>
        <v>628.01861171613086</v>
      </c>
      <c r="G240" s="103">
        <f>+$C240*'2183 LOB Ratios'!F$18</f>
        <v>190.17611838588741</v>
      </c>
      <c r="H240" s="103">
        <f t="shared" si="47"/>
        <v>1393.4959879928258</v>
      </c>
      <c r="I240" s="102" t="s">
        <v>341</v>
      </c>
      <c r="J240" s="349">
        <f t="shared" si="42"/>
        <v>0</v>
      </c>
      <c r="K240" s="102"/>
      <c r="L240" s="102"/>
      <c r="M240" s="102"/>
      <c r="N240" s="102"/>
      <c r="O240" s="102"/>
      <c r="P240" s="102"/>
    </row>
    <row r="241" spans="1:16">
      <c r="A241" s="1">
        <v>70095</v>
      </c>
      <c r="B241" s="34" t="s">
        <v>61</v>
      </c>
      <c r="C241" s="103">
        <f>+VLOOKUP(A241,'Consolidated IS '!$A:$AG,28,FALSE)</f>
        <v>49001.555782702708</v>
      </c>
      <c r="E241" s="103">
        <f>+$C241*'2183 LOB Ratios'!D$35</f>
        <v>31387.468607898802</v>
      </c>
      <c r="F241" s="103">
        <f>+$C241*'2183 LOB Ratios'!E$35</f>
        <v>14004.517184234195</v>
      </c>
      <c r="G241" s="103">
        <f>+$C241*'2183 LOB Ratios'!F$35</f>
        <v>3609.569990569707</v>
      </c>
      <c r="H241" s="103">
        <f t="shared" si="47"/>
        <v>49001.555782702701</v>
      </c>
      <c r="I241" s="102" t="s">
        <v>337</v>
      </c>
      <c r="J241" s="349">
        <f t="shared" si="42"/>
        <v>0</v>
      </c>
      <c r="K241" s="102"/>
      <c r="L241" s="102"/>
      <c r="M241" s="102"/>
      <c r="N241" s="102"/>
      <c r="O241" s="102"/>
      <c r="P241" s="102"/>
    </row>
    <row r="242" spans="1:16">
      <c r="A242" s="1">
        <v>70110</v>
      </c>
      <c r="B242" s="34" t="s">
        <v>128</v>
      </c>
      <c r="C242" s="103">
        <f>+VLOOKUP(A242,'Consolidated IS '!$A:$AG,28,FALSE)</f>
        <v>0</v>
      </c>
      <c r="E242" s="103">
        <f>+$C242*'2183 LOB Ratios'!D$35</f>
        <v>0</v>
      </c>
      <c r="F242" s="103">
        <f>+$C242*'2183 LOB Ratios'!E$35</f>
        <v>0</v>
      </c>
      <c r="G242" s="103">
        <f>+$C242*'2183 LOB Ratios'!F$35</f>
        <v>0</v>
      </c>
      <c r="H242" s="103">
        <f t="shared" si="47"/>
        <v>0</v>
      </c>
      <c r="I242" s="102" t="s">
        <v>337</v>
      </c>
      <c r="J242" s="349">
        <f t="shared" si="42"/>
        <v>0</v>
      </c>
      <c r="K242" s="102"/>
      <c r="L242" s="102"/>
      <c r="M242" s="102"/>
      <c r="N242" s="102"/>
      <c r="O242" s="102"/>
      <c r="P242" s="102"/>
    </row>
    <row r="243" spans="1:16">
      <c r="A243" s="1">
        <v>70112</v>
      </c>
      <c r="B243" s="34" t="s">
        <v>129</v>
      </c>
      <c r="C243" s="103">
        <f>+VLOOKUP(A243,'Consolidated IS '!$A:$AG,28,FALSE)</f>
        <v>0</v>
      </c>
      <c r="E243" s="103">
        <f>+$C243*'2183 LOB Ratios'!D$35</f>
        <v>0</v>
      </c>
      <c r="F243" s="103">
        <f>+$C243*'2183 LOB Ratios'!E$35</f>
        <v>0</v>
      </c>
      <c r="G243" s="103">
        <f>+$C243*'2183 LOB Ratios'!F$35</f>
        <v>0</v>
      </c>
      <c r="H243" s="103">
        <f t="shared" si="47"/>
        <v>0</v>
      </c>
      <c r="I243" s="102" t="s">
        <v>337</v>
      </c>
      <c r="J243" s="349">
        <f t="shared" si="42"/>
        <v>0</v>
      </c>
      <c r="K243" s="102"/>
      <c r="L243" s="102"/>
      <c r="M243" s="102"/>
      <c r="N243" s="102"/>
      <c r="O243" s="102"/>
      <c r="P243" s="102"/>
    </row>
    <row r="244" spans="1:16">
      <c r="A244" s="44">
        <v>70148</v>
      </c>
      <c r="B244" s="34" t="s">
        <v>130</v>
      </c>
      <c r="C244" s="103">
        <f>+VLOOKUP(A244,'Consolidated IS '!$A:$AG,28,FALSE)</f>
        <v>95014.282915471325</v>
      </c>
      <c r="E244" s="103">
        <f>+$C244*'2183 LOB Ratios'!D$18</f>
        <v>39226.403914946284</v>
      </c>
      <c r="F244" s="103">
        <f>+$C244*'2183 LOB Ratios'!E$18</f>
        <v>42820.889736271849</v>
      </c>
      <c r="G244" s="103">
        <f>+$C244*'2183 LOB Ratios'!F$18</f>
        <v>12966.989264253196</v>
      </c>
      <c r="H244" s="103">
        <f t="shared" si="47"/>
        <v>95014.282915471325</v>
      </c>
      <c r="I244" s="102" t="s">
        <v>341</v>
      </c>
      <c r="J244" s="349">
        <f t="shared" si="42"/>
        <v>0</v>
      </c>
      <c r="K244" s="102"/>
      <c r="L244" s="102"/>
      <c r="M244" s="102"/>
      <c r="N244" s="102"/>
      <c r="O244" s="102"/>
      <c r="P244" s="102"/>
    </row>
    <row r="245" spans="1:16">
      <c r="A245" s="44">
        <v>70175</v>
      </c>
      <c r="B245" s="34" t="s">
        <v>131</v>
      </c>
      <c r="C245" s="103">
        <f>+VLOOKUP(A245,'Consolidated IS '!$A:$AG,28,FALSE)</f>
        <v>10622.55154231555</v>
      </c>
      <c r="E245" s="103">
        <f>+$C245*'2183 LOB Ratios'!D$35</f>
        <v>6804.171780764359</v>
      </c>
      <c r="F245" s="103">
        <f>+$C245*'2183 LOB Ratios'!E$35</f>
        <v>3035.8976003632192</v>
      </c>
      <c r="G245" s="103">
        <f>+$C245*'2183 LOB Ratios'!F$35</f>
        <v>782.48216118797166</v>
      </c>
      <c r="H245" s="103">
        <f t="shared" si="47"/>
        <v>10622.55154231555</v>
      </c>
      <c r="I245" s="102" t="s">
        <v>337</v>
      </c>
      <c r="J245" s="349">
        <f t="shared" si="42"/>
        <v>0</v>
      </c>
      <c r="K245" s="102"/>
      <c r="L245" s="102"/>
      <c r="M245" s="102"/>
      <c r="N245" s="102"/>
      <c r="O245" s="102"/>
      <c r="P245" s="102"/>
    </row>
    <row r="246" spans="1:16">
      <c r="A246" s="44">
        <v>70190</v>
      </c>
      <c r="B246" s="34" t="s">
        <v>132</v>
      </c>
      <c r="C246" s="103">
        <f>+VLOOKUP(A246,'Consolidated IS '!$A:$AG,28,FALSE)</f>
        <v>0</v>
      </c>
      <c r="E246" s="103">
        <v>0</v>
      </c>
      <c r="F246" s="103">
        <v>0</v>
      </c>
      <c r="G246" s="103">
        <v>0</v>
      </c>
      <c r="H246" s="103">
        <f t="shared" si="47"/>
        <v>0</v>
      </c>
      <c r="I246" s="102" t="s">
        <v>348</v>
      </c>
      <c r="J246" s="349">
        <f t="shared" si="42"/>
        <v>0</v>
      </c>
      <c r="K246" s="102"/>
      <c r="L246" s="102"/>
      <c r="M246" s="102"/>
      <c r="N246" s="102"/>
      <c r="O246" s="102"/>
      <c r="P246" s="102"/>
    </row>
    <row r="247" spans="1:16">
      <c r="A247" s="44">
        <v>70195</v>
      </c>
      <c r="B247" s="34" t="s">
        <v>133</v>
      </c>
      <c r="C247" s="103">
        <f>+VLOOKUP(A247,'Consolidated IS '!$A:$AG,28,FALSE)</f>
        <v>11048.998911445213</v>
      </c>
      <c r="E247" s="103">
        <f>+$C247*'2183 LOB Ratios'!D$18</f>
        <v>4561.5509674659497</v>
      </c>
      <c r="F247" s="103">
        <f>+$C247*'2183 LOB Ratios'!E$18</f>
        <v>4979.5457016088576</v>
      </c>
      <c r="G247" s="103">
        <f>+$C247*'2183 LOB Ratios'!F$18</f>
        <v>1507.9022423704055</v>
      </c>
      <c r="H247" s="103">
        <f t="shared" si="47"/>
        <v>11048.998911445211</v>
      </c>
      <c r="I247" s="102" t="s">
        <v>341</v>
      </c>
      <c r="J247" s="349">
        <f t="shared" si="42"/>
        <v>0</v>
      </c>
      <c r="K247" s="102"/>
      <c r="L247" s="102"/>
      <c r="M247" s="102"/>
      <c r="N247" s="102"/>
      <c r="O247" s="102"/>
      <c r="P247" s="102"/>
    </row>
    <row r="248" spans="1:16">
      <c r="A248" s="1">
        <v>70200</v>
      </c>
      <c r="B248" s="34" t="s">
        <v>59</v>
      </c>
      <c r="C248" s="103">
        <f>+VLOOKUP(A248,'Consolidated IS '!$A:$AG,28,FALSE)</f>
        <v>1043.1519383008292</v>
      </c>
      <c r="E248" s="103">
        <f>+$C248*'2183 LOB Ratios'!D$18</f>
        <v>430.66261219748185</v>
      </c>
      <c r="F248" s="103">
        <f>+$C248*'2183 LOB Ratios'!E$18</f>
        <v>470.12609849297286</v>
      </c>
      <c r="G248" s="103">
        <f>+$C248*'2183 LOB Ratios'!F$18</f>
        <v>142.36322761037454</v>
      </c>
      <c r="H248" s="103">
        <f t="shared" si="47"/>
        <v>1043.1519383008292</v>
      </c>
      <c r="I248" s="102" t="s">
        <v>341</v>
      </c>
      <c r="J248" s="349">
        <f t="shared" si="42"/>
        <v>0</v>
      </c>
      <c r="K248" s="102"/>
      <c r="L248" s="102"/>
      <c r="M248" s="102"/>
      <c r="N248" s="102"/>
      <c r="O248" s="102"/>
      <c r="P248" s="102"/>
    </row>
    <row r="249" spans="1:16">
      <c r="A249" s="1">
        <v>70201</v>
      </c>
      <c r="B249" s="34" t="s">
        <v>77</v>
      </c>
      <c r="C249" s="103">
        <f>+VLOOKUP(A249,'Consolidated IS '!$A:$AG,28,FALSE)</f>
        <v>400.30024827581201</v>
      </c>
      <c r="E249" s="103">
        <f>+$C249*'2183 LOB Ratios'!D$18</f>
        <v>165.26293462731007</v>
      </c>
      <c r="F249" s="103">
        <f>+$C249*'2183 LOB Ratios'!E$18</f>
        <v>180.40669536042628</v>
      </c>
      <c r="G249" s="103">
        <f>+$C249*'2183 LOB Ratios'!F$18</f>
        <v>54.630618288075667</v>
      </c>
      <c r="H249" s="103">
        <f t="shared" si="47"/>
        <v>400.30024827581201</v>
      </c>
      <c r="I249" s="102" t="s">
        <v>341</v>
      </c>
      <c r="J249" s="349">
        <f t="shared" si="42"/>
        <v>0</v>
      </c>
      <c r="K249" s="102"/>
      <c r="L249" s="102"/>
      <c r="M249" s="102"/>
      <c r="N249" s="102"/>
      <c r="O249" s="102"/>
      <c r="P249" s="102"/>
    </row>
    <row r="250" spans="1:16">
      <c r="A250" s="1">
        <v>70202</v>
      </c>
      <c r="B250" s="34" t="s">
        <v>135</v>
      </c>
      <c r="C250" s="103">
        <f>+VLOOKUP(A250,'Consolidated IS '!$A:$AG,28,FALSE)</f>
        <v>7364.5178532745358</v>
      </c>
      <c r="E250" s="103">
        <f>+$C250*'2183 LOB Ratios'!D$18</f>
        <v>3040.4223774270117</v>
      </c>
      <c r="F250" s="103">
        <f>+$C250*'2183 LOB Ratios'!E$18</f>
        <v>3319.029489876038</v>
      </c>
      <c r="G250" s="103">
        <f>+$C250*'2183 LOB Ratios'!F$18</f>
        <v>1005.0659859714859</v>
      </c>
      <c r="H250" s="103">
        <f t="shared" si="47"/>
        <v>7364.5178532745358</v>
      </c>
      <c r="I250" s="102" t="s">
        <v>341</v>
      </c>
      <c r="J250" s="349">
        <f t="shared" si="42"/>
        <v>0</v>
      </c>
      <c r="K250" s="102"/>
      <c r="L250" s="102"/>
      <c r="M250" s="102"/>
      <c r="N250" s="102"/>
      <c r="O250" s="102"/>
      <c r="P250" s="102"/>
    </row>
    <row r="251" spans="1:16">
      <c r="A251" s="1">
        <v>70203</v>
      </c>
      <c r="B251" s="34" t="s">
        <v>136</v>
      </c>
      <c r="C251" s="103">
        <f>+VLOOKUP(A251,'Consolidated IS '!$A:$AG,28,FALSE)</f>
        <v>10248.611738410531</v>
      </c>
      <c r="E251" s="103">
        <f>+$C251*'2183 LOB Ratios'!D$18</f>
        <v>4231.1131682802015</v>
      </c>
      <c r="F251" s="103">
        <f>+$C251*'2183 LOB Ratios'!E$18</f>
        <v>4618.8284511999327</v>
      </c>
      <c r="G251" s="103">
        <f>+$C251*'2183 LOB Ratios'!F$18</f>
        <v>1398.6701189303967</v>
      </c>
      <c r="H251" s="103">
        <f t="shared" si="47"/>
        <v>10248.611738410531</v>
      </c>
      <c r="I251" s="102" t="s">
        <v>341</v>
      </c>
      <c r="J251" s="349">
        <f t="shared" si="42"/>
        <v>0</v>
      </c>
      <c r="K251" s="102"/>
      <c r="L251" s="102"/>
      <c r="M251" s="102"/>
      <c r="N251" s="102"/>
      <c r="O251" s="102"/>
      <c r="P251" s="102"/>
    </row>
    <row r="252" spans="1:16">
      <c r="A252" s="1">
        <v>70205</v>
      </c>
      <c r="B252" s="34" t="s">
        <v>137</v>
      </c>
      <c r="C252" s="103">
        <f>+VLOOKUP(A252,'Consolidated IS '!$A:$AG,28,FALSE)</f>
        <v>2818.5128190862938</v>
      </c>
      <c r="E252" s="103">
        <f>+$C252*'2183 LOB Ratios'!D$18</f>
        <v>1163.6158153115966</v>
      </c>
      <c r="F252" s="103">
        <f>+$C252*'2183 LOB Ratios'!E$18</f>
        <v>1270.2429881382661</v>
      </c>
      <c r="G252" s="103">
        <f>+$C252*'2183 LOB Ratios'!F$18</f>
        <v>384.65401563643098</v>
      </c>
      <c r="H252" s="103">
        <f t="shared" si="47"/>
        <v>2818.5128190862933</v>
      </c>
      <c r="I252" s="102" t="s">
        <v>341</v>
      </c>
      <c r="J252" s="349">
        <f t="shared" si="42"/>
        <v>0</v>
      </c>
      <c r="K252" s="102"/>
      <c r="L252" s="102"/>
      <c r="M252" s="102"/>
      <c r="N252" s="102"/>
      <c r="O252" s="102"/>
      <c r="P252" s="102"/>
    </row>
    <row r="253" spans="1:16">
      <c r="A253" s="1">
        <v>70206</v>
      </c>
      <c r="B253" s="34" t="s">
        <v>138</v>
      </c>
      <c r="C253" s="103">
        <f>+VLOOKUP(A253,'Consolidated IS '!$A:$AG,28,FALSE)</f>
        <v>844.30313337350015</v>
      </c>
      <c r="E253" s="103">
        <f>+$C253*'2183 LOB Ratios'!D$18</f>
        <v>348.5683911946976</v>
      </c>
      <c r="F253" s="103">
        <f>+$C253*'2183 LOB Ratios'!E$18</f>
        <v>380.50922733731954</v>
      </c>
      <c r="G253" s="103">
        <f>+$C253*'2183 LOB Ratios'!F$18</f>
        <v>115.22551484148305</v>
      </c>
      <c r="H253" s="103">
        <f t="shared" si="47"/>
        <v>844.30313337350015</v>
      </c>
      <c r="I253" s="102" t="s">
        <v>341</v>
      </c>
      <c r="J253" s="349">
        <f t="shared" si="42"/>
        <v>0</v>
      </c>
      <c r="K253" s="102"/>
      <c r="L253" s="102"/>
      <c r="M253" s="102"/>
      <c r="N253" s="102"/>
      <c r="O253" s="102"/>
      <c r="P253" s="102"/>
    </row>
    <row r="254" spans="1:16">
      <c r="A254" s="1">
        <v>70231</v>
      </c>
      <c r="B254" s="34" t="s">
        <v>141</v>
      </c>
      <c r="C254" s="103">
        <f>+VLOOKUP(A254,'Consolidated IS '!$A:$AG,28,FALSE)</f>
        <v>-12.006630358663394</v>
      </c>
      <c r="E254" s="103">
        <f>+$C254*'2183 LOB Ratios'!D$18</f>
        <v>-4.9569066634475094</v>
      </c>
      <c r="F254" s="103">
        <f>+$C254*'2183 LOB Ratios'!E$18</f>
        <v>-5.4111295577518055</v>
      </c>
      <c r="G254" s="103">
        <f>+$C254*'2183 LOB Ratios'!F$18</f>
        <v>-1.6385941374640791</v>
      </c>
      <c r="H254" s="103">
        <f t="shared" si="47"/>
        <v>-12.006630358663394</v>
      </c>
      <c r="I254" s="102" t="s">
        <v>341</v>
      </c>
      <c r="J254" s="349">
        <f t="shared" si="42"/>
        <v>0</v>
      </c>
      <c r="K254" s="102"/>
      <c r="L254" s="102"/>
      <c r="M254" s="102"/>
      <c r="N254" s="102"/>
      <c r="O254" s="102"/>
      <c r="P254" s="102"/>
    </row>
    <row r="255" spans="1:16">
      <c r="A255" s="1">
        <v>70255</v>
      </c>
      <c r="B255" s="34" t="s">
        <v>143</v>
      </c>
      <c r="C255" s="103">
        <f>+VLOOKUP(A255,'Consolidated IS '!$A:$AG,28,FALSE)</f>
        <v>5347.12</v>
      </c>
      <c r="E255" s="103">
        <f>+$C255*'2183 LOB Ratios'!D$18</f>
        <v>2207.5448286894762</v>
      </c>
      <c r="F255" s="103">
        <f>+$C255*'2183 LOB Ratios'!E$18</f>
        <v>2409.8317526672681</v>
      </c>
      <c r="G255" s="103">
        <f>+$C255*'2183 LOB Ratios'!F$18</f>
        <v>729.74341864325595</v>
      </c>
      <c r="H255" s="103">
        <f t="shared" si="47"/>
        <v>5347.12</v>
      </c>
      <c r="I255" s="102" t="s">
        <v>341</v>
      </c>
      <c r="J255" s="349">
        <f t="shared" si="42"/>
        <v>0</v>
      </c>
      <c r="K255" s="102"/>
      <c r="L255" s="102"/>
      <c r="M255" s="102"/>
      <c r="N255" s="102"/>
      <c r="O255" s="102"/>
      <c r="P255" s="102"/>
    </row>
    <row r="256" spans="1:16">
      <c r="A256" s="1">
        <v>70330</v>
      </c>
      <c r="B256" s="34" t="s">
        <v>1908</v>
      </c>
      <c r="C256" s="103">
        <f>+VLOOKUP(A256,'Consolidated IS '!$A:$AG,28,FALSE)</f>
        <v>6226.1206277927604</v>
      </c>
      <c r="E256" s="103">
        <f>+$C256*'2183 LOB Ratios'!D$35</f>
        <v>3988.0808401356812</v>
      </c>
      <c r="F256" s="103">
        <f>+$C256*'2183 LOB Ratios'!E$35</f>
        <v>1779.4090805953076</v>
      </c>
      <c r="G256" s="103">
        <f>+$C256*'2183 LOB Ratios'!F$35</f>
        <v>458.63070706177132</v>
      </c>
      <c r="H256" s="103">
        <f t="shared" si="47"/>
        <v>6226.1206277927604</v>
      </c>
      <c r="I256" s="102" t="s">
        <v>337</v>
      </c>
      <c r="J256" s="349">
        <f t="shared" si="42"/>
        <v>0</v>
      </c>
      <c r="K256" s="102"/>
      <c r="L256" s="102"/>
      <c r="M256" s="102"/>
      <c r="N256" s="102"/>
      <c r="O256" s="102"/>
      <c r="P256" s="102"/>
    </row>
    <row r="257" spans="1:16">
      <c r="A257" s="1">
        <v>70335</v>
      </c>
      <c r="B257" s="34" t="s">
        <v>43</v>
      </c>
      <c r="C257" s="103">
        <f>+VLOOKUP(A257,'Consolidated IS '!$A:$AG,28,FALSE)</f>
        <v>302.74653698666737</v>
      </c>
      <c r="E257" s="103">
        <f>+$C257*'2183 LOB Ratios'!D$18</f>
        <v>124.98813419720612</v>
      </c>
      <c r="F257" s="103">
        <f>+$C257*'2183 LOB Ratios'!E$18</f>
        <v>136.44133998124718</v>
      </c>
      <c r="G257" s="103">
        <f>+$C257*'2183 LOB Ratios'!F$18</f>
        <v>41.317062808214061</v>
      </c>
      <c r="H257" s="103">
        <f t="shared" si="47"/>
        <v>302.74653698666737</v>
      </c>
      <c r="I257" s="102" t="s">
        <v>341</v>
      </c>
      <c r="J257" s="349">
        <f t="shared" si="42"/>
        <v>0</v>
      </c>
      <c r="K257" s="102"/>
      <c r="L257" s="102"/>
      <c r="M257" s="102"/>
      <c r="N257" s="102"/>
      <c r="O257" s="102"/>
      <c r="P257" s="102"/>
    </row>
    <row r="258" spans="1:16">
      <c r="A258" s="1">
        <v>70336</v>
      </c>
      <c r="B258" s="34" t="s">
        <v>145</v>
      </c>
      <c r="C258" s="103">
        <f>+VLOOKUP(A258,'Consolidated IS '!$A:$AG,28,FALSE)</f>
        <v>-0.15222360808419227</v>
      </c>
      <c r="E258" s="103">
        <f>+$C258*'2183 LOB Ratios'!D$35</f>
        <v>-9.7505347407974632E-2</v>
      </c>
      <c r="F258" s="103">
        <f>+$C258*'2183 LOB Ratios'!E$35</f>
        <v>-4.3505111240033784E-2</v>
      </c>
      <c r="G258" s="103">
        <f>+$C258*'2183 LOB Ratios'!F$35</f>
        <v>-1.1213149436183857E-2</v>
      </c>
      <c r="H258" s="103">
        <f t="shared" si="47"/>
        <v>-0.15222360808419227</v>
      </c>
      <c r="I258" s="102" t="s">
        <v>337</v>
      </c>
      <c r="J258" s="349">
        <f t="shared" si="42"/>
        <v>0</v>
      </c>
      <c r="K258" s="102"/>
      <c r="L258" s="102"/>
      <c r="M258" s="102"/>
      <c r="N258" s="102"/>
      <c r="O258" s="102"/>
      <c r="P258" s="102"/>
    </row>
    <row r="259" spans="1:16">
      <c r="A259" s="1">
        <v>70357</v>
      </c>
      <c r="B259" s="34" t="s">
        <v>146</v>
      </c>
      <c r="C259" s="103">
        <f>+VLOOKUP(A259,'Consolidated IS '!$A:$AG,28,FALSE)</f>
        <v>0</v>
      </c>
      <c r="E259" s="103">
        <f>+$C259*'2183 LOB Ratios'!D$35</f>
        <v>0</v>
      </c>
      <c r="F259" s="103">
        <f>+$C259*'2183 LOB Ratios'!E$35</f>
        <v>0</v>
      </c>
      <c r="G259" s="103">
        <f>+$C259*'2183 LOB Ratios'!F$35</f>
        <v>0</v>
      </c>
      <c r="H259" s="103">
        <f t="shared" si="47"/>
        <v>0</v>
      </c>
      <c r="I259" s="102" t="s">
        <v>337</v>
      </c>
      <c r="J259" s="349">
        <f t="shared" si="42"/>
        <v>0</v>
      </c>
      <c r="K259" s="102"/>
      <c r="L259" s="102"/>
      <c r="M259" s="102"/>
      <c r="N259" s="102"/>
      <c r="O259" s="102"/>
      <c r="P259" s="102"/>
    </row>
    <row r="260" spans="1:16" s="143" customFormat="1">
      <c r="A260" s="1"/>
      <c r="B260" s="34"/>
      <c r="C260" s="141"/>
      <c r="D260" s="141"/>
      <c r="E260" s="141"/>
      <c r="F260" s="141"/>
      <c r="G260" s="141"/>
      <c r="H260" s="141"/>
      <c r="I260" s="142"/>
      <c r="J260" s="349">
        <f t="shared" si="42"/>
        <v>0</v>
      </c>
      <c r="K260" s="142"/>
      <c r="L260" s="102"/>
      <c r="M260" s="142"/>
      <c r="N260" s="142"/>
      <c r="O260" s="142"/>
      <c r="P260" s="142"/>
    </row>
    <row r="261" spans="1:16">
      <c r="A261" s="43">
        <v>46900</v>
      </c>
      <c r="B261" s="32" t="s">
        <v>148</v>
      </c>
      <c r="C261" s="140">
        <f>SUM(C237:C260)</f>
        <v>218203.98200244427</v>
      </c>
      <c r="D261" s="140"/>
      <c r="E261" s="140">
        <f>SUM(E237:E260)</f>
        <v>106184.06526085944</v>
      </c>
      <c r="F261" s="140">
        <f>SUM(F237:F260)</f>
        <v>86681.852962806763</v>
      </c>
      <c r="G261" s="140">
        <f>SUM(G237:G260)</f>
        <v>25338.063778778083</v>
      </c>
      <c r="H261" s="140">
        <f>SUM(H237:H260)</f>
        <v>218203.98200244422</v>
      </c>
      <c r="I261" s="102"/>
      <c r="J261" s="349">
        <f t="shared" si="42"/>
        <v>0</v>
      </c>
      <c r="K261" s="102"/>
      <c r="L261" s="102"/>
      <c r="M261" s="102"/>
      <c r="N261" s="102"/>
      <c r="O261" s="102"/>
      <c r="P261" s="102"/>
    </row>
    <row r="262" spans="1:16">
      <c r="A262" s="44"/>
      <c r="B262" s="34"/>
      <c r="I262" s="102"/>
      <c r="J262" s="349">
        <f t="shared" si="42"/>
        <v>0</v>
      </c>
      <c r="K262" s="102"/>
      <c r="L262" s="102"/>
      <c r="M262" s="102"/>
      <c r="N262" s="102"/>
      <c r="O262" s="102"/>
      <c r="P262" s="102"/>
    </row>
    <row r="263" spans="1:16">
      <c r="A263" s="44">
        <v>51260</v>
      </c>
      <c r="B263" s="34" t="s">
        <v>149</v>
      </c>
      <c r="C263" s="103">
        <f>+VLOOKUP(A263,'Consolidated IS '!$A:$AG,28,FALSE)</f>
        <v>1591883.3548872806</v>
      </c>
      <c r="E263" s="103">
        <f>+'2183 LOB Ratios'!D48</f>
        <v>1064604.5263174055</v>
      </c>
      <c r="F263" s="103">
        <f>+'2183 LOB Ratios'!E48</f>
        <v>395759.83090297331</v>
      </c>
      <c r="G263" s="103">
        <f>+'2183 LOB Ratios'!F48</f>
        <v>131518.997666902</v>
      </c>
      <c r="H263" s="103">
        <f t="shared" ref="H263:H271" si="48">SUM(E263:G263)</f>
        <v>1591883.3548872806</v>
      </c>
      <c r="I263" s="102" t="s">
        <v>2699</v>
      </c>
      <c r="J263" s="349">
        <f t="shared" si="42"/>
        <v>0</v>
      </c>
      <c r="K263" s="102"/>
      <c r="L263" s="102"/>
      <c r="M263" s="102"/>
      <c r="N263" s="102"/>
      <c r="O263" s="102"/>
      <c r="P263" s="102"/>
    </row>
    <row r="264" spans="1:16">
      <c r="A264" s="44">
        <v>54260</v>
      </c>
      <c r="B264" s="34" t="s">
        <v>150</v>
      </c>
      <c r="C264" s="103">
        <f>+VLOOKUP(A264,'Consolidated IS '!$A:$AG,28,FALSE)</f>
        <v>496834.22709048731</v>
      </c>
      <c r="E264" s="103">
        <f>+'2183 LOB Ratios'!D55</f>
        <v>316080.46767329727</v>
      </c>
      <c r="F264" s="103">
        <f>+'2183 LOB Ratios'!E55</f>
        <v>115880.48029200301</v>
      </c>
      <c r="G264" s="103">
        <f>+'2183 LOB Ratios'!F55</f>
        <v>64873.279125187037</v>
      </c>
      <c r="H264" s="103">
        <f t="shared" si="48"/>
        <v>496834.22709048731</v>
      </c>
      <c r="I264" s="102" t="s">
        <v>2699</v>
      </c>
      <c r="J264" s="349">
        <f t="shared" si="42"/>
        <v>0</v>
      </c>
      <c r="K264" s="102"/>
      <c r="L264" s="102"/>
      <c r="M264" s="102"/>
      <c r="N264" s="102"/>
      <c r="O264" s="102"/>
      <c r="P264" s="102"/>
    </row>
    <row r="265" spans="1:16">
      <c r="A265" s="44"/>
      <c r="B265" s="34" t="s">
        <v>151</v>
      </c>
      <c r="C265" s="148">
        <f>+'Consolidated IS '!AB297</f>
        <v>17055.751164479869</v>
      </c>
      <c r="E265" s="103">
        <f>+'2183 LOB Ratios'!D57</f>
        <v>10924.895050948902</v>
      </c>
      <c r="F265" s="103">
        <f>+'2183 LOB Ratios'!E57</f>
        <v>4874.4893189145678</v>
      </c>
      <c r="G265" s="103">
        <f>+'2183 LOB Ratios'!F57</f>
        <v>1256.3667946163989</v>
      </c>
      <c r="H265" s="103">
        <f t="shared" si="48"/>
        <v>17055.751164479869</v>
      </c>
      <c r="I265" s="102" t="s">
        <v>2699</v>
      </c>
      <c r="J265" s="349">
        <f t="shared" si="42"/>
        <v>0</v>
      </c>
      <c r="K265" s="102"/>
      <c r="L265" s="102"/>
      <c r="M265" s="102"/>
      <c r="N265" s="102"/>
      <c r="O265" s="102"/>
      <c r="P265" s="102"/>
    </row>
    <row r="266" spans="1:16">
      <c r="A266" s="44">
        <v>57260</v>
      </c>
      <c r="B266" s="34" t="s">
        <v>152</v>
      </c>
      <c r="C266" s="103">
        <f>+VLOOKUP(A266,'Consolidated IS '!$A:$AG,28,FALSE)</f>
        <v>19012.007566398941</v>
      </c>
      <c r="E266" s="103">
        <f>+'2183 LOB Ratios'!D58</f>
        <v>12177.956008370798</v>
      </c>
      <c r="F266" s="103">
        <f>+'2183 LOB Ratios'!E58</f>
        <v>5433.5823101439319</v>
      </c>
      <c r="G266" s="103">
        <f>+'2183 LOB Ratios'!F58</f>
        <v>1400.4692478842098</v>
      </c>
      <c r="H266" s="103">
        <f t="shared" si="48"/>
        <v>19012.007566398941</v>
      </c>
      <c r="I266" s="102" t="s">
        <v>2699</v>
      </c>
      <c r="J266" s="349">
        <f t="shared" si="42"/>
        <v>0</v>
      </c>
      <c r="K266" s="102"/>
      <c r="L266" s="102"/>
      <c r="M266" s="102"/>
      <c r="N266" s="102"/>
      <c r="O266" s="102"/>
      <c r="P266" s="102"/>
    </row>
    <row r="267" spans="1:16">
      <c r="A267" s="44">
        <v>70260</v>
      </c>
      <c r="B267" s="34" t="s">
        <v>153</v>
      </c>
      <c r="C267" s="103">
        <f>+VLOOKUP(A267,'Consolidated IS '!$A:$AG,28,FALSE)</f>
        <v>1655.9837426653694</v>
      </c>
      <c r="E267" s="103">
        <f>+'2183 LOB Ratios'!D59</f>
        <v>683.66865668149967</v>
      </c>
      <c r="F267" s="103">
        <f>+'2183 LOB Ratios'!E59</f>
        <v>746.31618609191287</v>
      </c>
      <c r="G267" s="103">
        <f>+'2183 LOB Ratios'!F59</f>
        <v>225.99889989195688</v>
      </c>
      <c r="H267" s="103">
        <f t="shared" si="48"/>
        <v>1655.9837426653694</v>
      </c>
      <c r="I267" s="102" t="s">
        <v>2699</v>
      </c>
      <c r="J267" s="349">
        <f t="shared" si="42"/>
        <v>0</v>
      </c>
      <c r="K267" s="102"/>
      <c r="L267" s="102"/>
      <c r="M267" s="102"/>
      <c r="N267" s="102"/>
      <c r="O267" s="102"/>
      <c r="P267" s="102"/>
    </row>
    <row r="268" spans="1:16">
      <c r="A268" s="44"/>
      <c r="B268" s="34" t="s">
        <v>154</v>
      </c>
      <c r="C268" s="148">
        <f>+'Consolidated IS '!AB301</f>
        <v>35102.127860124943</v>
      </c>
      <c r="E268" s="103">
        <f>+'2183 LOB Ratios'!D64+'2183 LOB Ratios'!D65</f>
        <v>9638.8389972770747</v>
      </c>
      <c r="F268" s="103">
        <f>+'2183 LOB Ratios'!E64+'2183 LOB Ratios'!E65</f>
        <v>22276.998269691212</v>
      </c>
      <c r="G268" s="103">
        <f>+'2183 LOB Ratios'!F64+'2183 LOB Ratios'!F65</f>
        <v>3186.2905931566584</v>
      </c>
      <c r="H268" s="103">
        <f t="shared" si="48"/>
        <v>35102.127860124943</v>
      </c>
      <c r="I268" s="102" t="s">
        <v>2699</v>
      </c>
      <c r="J268" s="349">
        <f t="shared" si="42"/>
        <v>0</v>
      </c>
      <c r="K268" s="102"/>
      <c r="L268" s="102"/>
      <c r="M268" s="102"/>
      <c r="N268" s="102"/>
      <c r="O268" s="102"/>
      <c r="P268" s="102"/>
    </row>
    <row r="269" spans="1:16">
      <c r="A269" s="44"/>
      <c r="B269" s="34" t="s">
        <v>155</v>
      </c>
      <c r="C269" s="148">
        <f>+'Consolidated IS '!AB302</f>
        <v>62669.65092603027</v>
      </c>
      <c r="E269" s="103">
        <f>+'2183 LOB Ratios'!D63</f>
        <v>25873.005247223322</v>
      </c>
      <c r="F269" s="103">
        <f>+'2183 LOB Ratios'!E63</f>
        <v>28243.861130874451</v>
      </c>
      <c r="G269" s="103">
        <f>+'2183 LOB Ratios'!F63</f>
        <v>8552.7845479324988</v>
      </c>
      <c r="H269" s="103">
        <f t="shared" si="48"/>
        <v>62669.65092603027</v>
      </c>
      <c r="I269" s="102" t="s">
        <v>2699</v>
      </c>
      <c r="J269" s="349">
        <f t="shared" si="42"/>
        <v>0</v>
      </c>
      <c r="K269" s="102"/>
      <c r="L269" s="102"/>
      <c r="M269" s="102"/>
      <c r="N269" s="102"/>
      <c r="O269" s="102"/>
      <c r="P269" s="102"/>
    </row>
    <row r="270" spans="1:16">
      <c r="A270" s="44">
        <v>70264</v>
      </c>
      <c r="B270" s="34" t="s">
        <v>156</v>
      </c>
      <c r="C270" s="103">
        <f>+VLOOKUP(A270,'Consolidated IS '!$A:$AG,28,FALSE)</f>
        <v>0</v>
      </c>
      <c r="E270" s="103">
        <v>0</v>
      </c>
      <c r="F270" s="103">
        <v>0</v>
      </c>
      <c r="G270" s="103">
        <v>0</v>
      </c>
      <c r="H270" s="103">
        <f t="shared" si="48"/>
        <v>0</v>
      </c>
      <c r="I270" s="102" t="s">
        <v>2699</v>
      </c>
      <c r="J270" s="349">
        <f t="shared" si="42"/>
        <v>0</v>
      </c>
      <c r="K270" s="102"/>
      <c r="L270" s="102"/>
      <c r="M270" s="102"/>
      <c r="N270" s="102"/>
      <c r="O270" s="102"/>
      <c r="P270" s="102"/>
    </row>
    <row r="271" spans="1:16">
      <c r="A271" s="44">
        <v>91010</v>
      </c>
      <c r="B271" s="34" t="s">
        <v>157</v>
      </c>
      <c r="C271" s="103">
        <f>+VLOOKUP(A271,'Consolidated IS '!$A:$AG,28,FALSE)</f>
        <v>-5792.4279571804927</v>
      </c>
      <c r="E271" s="103">
        <f>+$C271*'2183 LOB Ratios'!D$35</f>
        <v>-3710.2832301029912</v>
      </c>
      <c r="F271" s="103">
        <f>+$C271*'2183 LOB Ratios'!E$35</f>
        <v>-1655.4608434168895</v>
      </c>
      <c r="G271" s="103">
        <f>+$C271*'2183 LOB Ratios'!F$35</f>
        <v>-426.68388366061168</v>
      </c>
      <c r="H271" s="103">
        <f t="shared" si="48"/>
        <v>-5792.4279571804927</v>
      </c>
      <c r="I271" s="102" t="s">
        <v>337</v>
      </c>
      <c r="J271" s="349">
        <f t="shared" si="42"/>
        <v>0</v>
      </c>
      <c r="K271" s="102"/>
      <c r="L271" s="102"/>
      <c r="M271" s="102"/>
      <c r="N271" s="102"/>
      <c r="O271" s="102"/>
      <c r="P271" s="102"/>
    </row>
    <row r="272" spans="1:16" s="143" customFormat="1">
      <c r="A272" s="44"/>
      <c r="B272" s="34"/>
      <c r="C272" s="141"/>
      <c r="D272" s="141"/>
      <c r="E272" s="141"/>
      <c r="F272" s="141"/>
      <c r="G272" s="141"/>
      <c r="H272" s="141"/>
      <c r="I272" s="142"/>
      <c r="J272" s="349">
        <f t="shared" si="42"/>
        <v>0</v>
      </c>
      <c r="K272" s="142"/>
      <c r="L272" s="102"/>
      <c r="M272" s="142"/>
      <c r="N272" s="142"/>
      <c r="O272" s="142"/>
      <c r="P272" s="142"/>
    </row>
    <row r="273" spans="1:16">
      <c r="A273" s="43"/>
      <c r="B273" s="32" t="s">
        <v>13</v>
      </c>
      <c r="C273" s="140">
        <f>SUM(C263:C272)</f>
        <v>2218420.6752802869</v>
      </c>
      <c r="D273" s="140"/>
      <c r="E273" s="140">
        <f t="shared" ref="E273:H273" si="49">SUM(E263:E272)</f>
        <v>1436273.0747211012</v>
      </c>
      <c r="F273" s="140">
        <f t="shared" si="49"/>
        <v>571560.09756727563</v>
      </c>
      <c r="G273" s="140">
        <f t="shared" si="49"/>
        <v>210587.50299191012</v>
      </c>
      <c r="H273" s="140">
        <f t="shared" si="49"/>
        <v>2218420.6752802869</v>
      </c>
      <c r="I273" s="102"/>
      <c r="J273" s="349">
        <f t="shared" si="42"/>
        <v>0</v>
      </c>
      <c r="K273" s="102"/>
      <c r="L273" s="102"/>
      <c r="M273" s="102"/>
      <c r="N273" s="102"/>
      <c r="O273" s="102"/>
      <c r="P273" s="102"/>
    </row>
    <row r="274" spans="1:16">
      <c r="A274" s="44"/>
      <c r="B274" s="34"/>
      <c r="I274" s="102"/>
      <c r="J274" s="349">
        <f t="shared" si="42"/>
        <v>0</v>
      </c>
      <c r="K274" s="102"/>
      <c r="L274" s="102"/>
      <c r="M274" s="102"/>
      <c r="N274" s="102"/>
      <c r="O274" s="102"/>
      <c r="P274" s="102"/>
    </row>
    <row r="275" spans="1:16">
      <c r="A275" s="44">
        <v>41201</v>
      </c>
      <c r="B275" s="34" t="s">
        <v>158</v>
      </c>
      <c r="C275" s="103">
        <f>+VLOOKUP(A275,'Consolidated IS '!$A:$AG,28,FALSE)</f>
        <v>0</v>
      </c>
      <c r="E275" s="103">
        <v>0</v>
      </c>
      <c r="F275" s="103">
        <v>0</v>
      </c>
      <c r="G275" s="103">
        <v>0</v>
      </c>
      <c r="H275" s="103">
        <f t="shared" ref="H275:H276" si="50">SUM(E275:G275)</f>
        <v>0</v>
      </c>
      <c r="I275" s="102" t="s">
        <v>348</v>
      </c>
      <c r="J275" s="349">
        <f t="shared" si="42"/>
        <v>0</v>
      </c>
      <c r="K275" s="102"/>
      <c r="L275" s="102"/>
      <c r="M275" s="102"/>
      <c r="N275" s="102"/>
      <c r="O275" s="102"/>
      <c r="P275" s="102"/>
    </row>
    <row r="276" spans="1:16">
      <c r="A276" s="44">
        <v>57280</v>
      </c>
      <c r="B276" s="34" t="s">
        <v>159</v>
      </c>
      <c r="C276" s="103">
        <f>+VLOOKUP(A276,'Consolidated IS '!$A:$AG,28,FALSE)</f>
        <v>0</v>
      </c>
      <c r="E276" s="103">
        <v>0</v>
      </c>
      <c r="F276" s="103">
        <v>0</v>
      </c>
      <c r="G276" s="103">
        <v>0</v>
      </c>
      <c r="H276" s="103">
        <f t="shared" si="50"/>
        <v>0</v>
      </c>
      <c r="I276" s="102" t="s">
        <v>348</v>
      </c>
      <c r="J276" s="349">
        <f t="shared" si="42"/>
        <v>0</v>
      </c>
      <c r="K276" s="102"/>
      <c r="L276" s="102"/>
      <c r="M276" s="102"/>
      <c r="N276" s="102"/>
      <c r="O276" s="102"/>
      <c r="P276" s="102"/>
    </row>
    <row r="277" spans="1:16">
      <c r="A277" s="44"/>
      <c r="B277" s="34"/>
      <c r="I277" s="102"/>
      <c r="J277" s="349">
        <f t="shared" si="42"/>
        <v>0</v>
      </c>
      <c r="K277" s="102"/>
      <c r="L277" s="102"/>
      <c r="M277" s="102"/>
      <c r="N277" s="102"/>
      <c r="O277" s="102"/>
      <c r="P277" s="102"/>
    </row>
    <row r="278" spans="1:16">
      <c r="A278" s="43">
        <v>52000</v>
      </c>
      <c r="B278" s="32" t="s">
        <v>160</v>
      </c>
      <c r="C278" s="140">
        <f>SUM(C275:C277)</f>
        <v>0</v>
      </c>
      <c r="D278" s="140"/>
      <c r="E278" s="140">
        <f t="shared" ref="E278:H278" si="51">SUM(E275:E277)</f>
        <v>0</v>
      </c>
      <c r="F278" s="140">
        <f t="shared" si="51"/>
        <v>0</v>
      </c>
      <c r="G278" s="140">
        <f t="shared" si="51"/>
        <v>0</v>
      </c>
      <c r="H278" s="140">
        <f t="shared" si="51"/>
        <v>0</v>
      </c>
      <c r="I278" s="102"/>
      <c r="J278" s="349">
        <f t="shared" si="42"/>
        <v>0</v>
      </c>
      <c r="K278" s="102"/>
      <c r="L278" s="102"/>
      <c r="M278" s="102"/>
      <c r="N278" s="102"/>
      <c r="O278" s="102"/>
      <c r="P278" s="102"/>
    </row>
    <row r="279" spans="1:16">
      <c r="A279" s="44"/>
      <c r="B279" s="34"/>
      <c r="I279" s="102"/>
      <c r="J279" s="349">
        <f t="shared" si="42"/>
        <v>0</v>
      </c>
      <c r="K279" s="102"/>
      <c r="L279" s="102"/>
      <c r="M279" s="102"/>
      <c r="N279" s="102"/>
      <c r="O279" s="102"/>
      <c r="P279" s="102"/>
    </row>
    <row r="280" spans="1:16">
      <c r="A280" s="44">
        <v>43001</v>
      </c>
      <c r="B280" s="34" t="s">
        <v>161</v>
      </c>
      <c r="C280" s="103">
        <f>+VLOOKUP(A280,'Consolidated IS '!$A:$AG,28,FALSE)</f>
        <v>430527.31295577128</v>
      </c>
      <c r="E280" s="103">
        <f>+$C280*E$24</f>
        <v>329358.75989080867</v>
      </c>
      <c r="F280" s="103">
        <f>+$C280*F$24</f>
        <v>72575.484584723774</v>
      </c>
      <c r="G280" s="103">
        <f>+$C280*G$24</f>
        <v>28593.068480238806</v>
      </c>
      <c r="H280" s="103">
        <f t="shared" ref="H280" si="52">SUM(E280:G280)</f>
        <v>430527.31295577122</v>
      </c>
      <c r="I280" s="102" t="s">
        <v>174</v>
      </c>
      <c r="J280" s="349">
        <f t="shared" ref="J280:J318" si="53">C280-H280</f>
        <v>0</v>
      </c>
      <c r="K280" s="102"/>
      <c r="L280" s="102"/>
      <c r="M280" s="102"/>
      <c r="N280" s="102"/>
      <c r="O280" s="102"/>
      <c r="P280" s="102"/>
    </row>
    <row r="281" spans="1:16">
      <c r="A281" s="44"/>
      <c r="B281" s="34"/>
      <c r="I281" s="102"/>
      <c r="J281" s="349">
        <f t="shared" si="53"/>
        <v>0</v>
      </c>
      <c r="K281" s="102"/>
      <c r="L281" s="102"/>
      <c r="M281" s="102"/>
      <c r="N281" s="102"/>
      <c r="O281" s="102"/>
      <c r="P281" s="102"/>
    </row>
    <row r="282" spans="1:16">
      <c r="A282" s="43">
        <v>52030</v>
      </c>
      <c r="B282" s="32" t="s">
        <v>162</v>
      </c>
      <c r="C282" s="140">
        <f>SUM(C280:C281)</f>
        <v>430527.31295577128</v>
      </c>
      <c r="D282" s="140"/>
      <c r="E282" s="140">
        <f t="shared" ref="E282:H282" si="54">SUM(E280:E281)</f>
        <v>329358.75989080867</v>
      </c>
      <c r="F282" s="140">
        <f t="shared" si="54"/>
        <v>72575.484584723774</v>
      </c>
      <c r="G282" s="140">
        <f t="shared" si="54"/>
        <v>28593.068480238806</v>
      </c>
      <c r="H282" s="140">
        <f t="shared" si="54"/>
        <v>430527.31295577122</v>
      </c>
      <c r="I282" s="102"/>
      <c r="J282" s="349">
        <f t="shared" si="53"/>
        <v>0</v>
      </c>
      <c r="K282" s="102"/>
      <c r="L282" s="102"/>
      <c r="M282" s="102"/>
      <c r="N282" s="102"/>
      <c r="O282" s="102"/>
      <c r="P282" s="102"/>
    </row>
    <row r="283" spans="1:16">
      <c r="A283" s="44"/>
      <c r="B283" s="34"/>
      <c r="I283" s="102"/>
      <c r="J283" s="349">
        <f t="shared" si="53"/>
        <v>0</v>
      </c>
      <c r="K283" s="102"/>
      <c r="L283" s="102"/>
      <c r="M283" s="102"/>
      <c r="N283" s="102"/>
      <c r="O283" s="102"/>
      <c r="P283" s="102"/>
    </row>
    <row r="284" spans="1:16">
      <c r="A284" s="44">
        <v>51295</v>
      </c>
      <c r="B284" s="34" t="s">
        <v>163</v>
      </c>
      <c r="C284" s="103">
        <f>+VLOOKUP(A284,'Consolidated IS '!$A:$AG,28,FALSE)</f>
        <v>64990.453791990716</v>
      </c>
      <c r="E284" s="103">
        <f>+$C284*'2183 LOB Ratios'!D$35</f>
        <v>41629.001276103874</v>
      </c>
      <c r="F284" s="103">
        <f>+$C284*'2183 LOB Ratios'!E$35</f>
        <v>18574.102646397892</v>
      </c>
      <c r="G284" s="103">
        <f>+$C284*'2183 LOB Ratios'!F$35</f>
        <v>4787.3498694889413</v>
      </c>
      <c r="H284" s="103">
        <f t="shared" ref="H284:H285" si="55">SUM(E284:G284)</f>
        <v>64990.453791990709</v>
      </c>
      <c r="I284" s="102" t="s">
        <v>337</v>
      </c>
      <c r="J284" s="349">
        <f t="shared" si="53"/>
        <v>0</v>
      </c>
      <c r="K284" s="102"/>
      <c r="L284" s="102"/>
      <c r="M284" s="102"/>
      <c r="N284" s="102"/>
      <c r="O284" s="102"/>
      <c r="P284" s="102"/>
    </row>
    <row r="285" spans="1:16">
      <c r="A285" s="44">
        <v>57357</v>
      </c>
      <c r="B285" s="34" t="s">
        <v>146</v>
      </c>
      <c r="C285" s="103">
        <f>+VLOOKUP(A285,'Consolidated IS '!$A:$AG,28,FALSE)</f>
        <v>62.343178690880919</v>
      </c>
      <c r="E285" s="103">
        <f>+$C285*'2183 LOB Ratios'!D$35</f>
        <v>39.933315030935994</v>
      </c>
      <c r="F285" s="103">
        <f>+$C285*'2183 LOB Ratios'!E$35</f>
        <v>17.81751830835583</v>
      </c>
      <c r="G285" s="103">
        <f>+$C285*'2183 LOB Ratios'!F$35</f>
        <v>4.5923453515890964</v>
      </c>
      <c r="H285" s="103">
        <f t="shared" si="55"/>
        <v>62.343178690880919</v>
      </c>
      <c r="I285" s="102" t="s">
        <v>337</v>
      </c>
      <c r="J285" s="349">
        <f t="shared" si="53"/>
        <v>0</v>
      </c>
      <c r="K285" s="102"/>
      <c r="L285" s="102"/>
      <c r="M285" s="102"/>
      <c r="N285" s="102"/>
      <c r="O285" s="102"/>
      <c r="P285" s="102"/>
    </row>
    <row r="286" spans="1:16" s="143" customFormat="1">
      <c r="A286" s="44"/>
      <c r="B286" s="34"/>
      <c r="C286" s="141"/>
      <c r="D286" s="141"/>
      <c r="E286" s="141"/>
      <c r="F286" s="141"/>
      <c r="G286" s="141"/>
      <c r="H286" s="141"/>
      <c r="I286" s="142"/>
      <c r="J286" s="349">
        <f t="shared" si="53"/>
        <v>0</v>
      </c>
      <c r="K286" s="142"/>
      <c r="L286" s="102"/>
      <c r="M286" s="142"/>
      <c r="N286" s="142"/>
      <c r="O286" s="142"/>
      <c r="P286" s="142"/>
    </row>
    <row r="287" spans="1:16">
      <c r="A287" s="43">
        <v>52200</v>
      </c>
      <c r="B287" s="32" t="s">
        <v>164</v>
      </c>
      <c r="C287" s="140">
        <f>SUM(C284:C286)</f>
        <v>65052.7969706816</v>
      </c>
      <c r="D287" s="140"/>
      <c r="E287" s="140">
        <f t="shared" ref="E287:H287" si="56">SUM(E284:E286)</f>
        <v>41668.934591134814</v>
      </c>
      <c r="F287" s="140">
        <f t="shared" si="56"/>
        <v>18591.920164706247</v>
      </c>
      <c r="G287" s="140">
        <f t="shared" si="56"/>
        <v>4791.9422148405301</v>
      </c>
      <c r="H287" s="140">
        <f t="shared" si="56"/>
        <v>65052.796970681593</v>
      </c>
      <c r="I287" s="102"/>
      <c r="J287" s="349">
        <f t="shared" si="53"/>
        <v>0</v>
      </c>
      <c r="K287" s="102"/>
      <c r="L287" s="102"/>
      <c r="M287" s="102"/>
      <c r="N287" s="102"/>
      <c r="O287" s="102"/>
      <c r="P287" s="102"/>
    </row>
    <row r="288" spans="1:16">
      <c r="A288" s="44"/>
      <c r="B288" s="34"/>
      <c r="I288" s="102"/>
      <c r="J288" s="349">
        <f t="shared" si="53"/>
        <v>0</v>
      </c>
      <c r="K288" s="102"/>
      <c r="L288" s="102"/>
      <c r="M288" s="102"/>
      <c r="N288" s="102"/>
      <c r="O288" s="102"/>
      <c r="P288" s="102"/>
    </row>
    <row r="289" spans="1:16">
      <c r="A289" s="44">
        <v>57275</v>
      </c>
      <c r="B289" s="34" t="s">
        <v>165</v>
      </c>
      <c r="C289" s="103">
        <f>+VLOOKUP(A289,'Consolidated IS '!$A:$AG,28,FALSE)</f>
        <v>90132.576637891732</v>
      </c>
      <c r="E289" s="103">
        <f>+$C289*'2183 LOB Ratios'!D$18</f>
        <v>37211.003952302512</v>
      </c>
      <c r="F289" s="103">
        <f>+$C289*'2183 LOB Ratios'!E$18</f>
        <v>40620.809918555686</v>
      </c>
      <c r="G289" s="103">
        <f>+$C289*'2183 LOB Ratios'!F$18</f>
        <v>12300.762767033539</v>
      </c>
      <c r="H289" s="103">
        <f t="shared" ref="H289" si="57">SUM(E289:G289)</f>
        <v>90132.576637891732</v>
      </c>
      <c r="I289" s="102" t="s">
        <v>341</v>
      </c>
      <c r="J289" s="349">
        <f t="shared" si="53"/>
        <v>0</v>
      </c>
      <c r="K289" s="102"/>
      <c r="L289" s="102"/>
      <c r="M289" s="102"/>
      <c r="N289" s="102"/>
      <c r="O289" s="102"/>
      <c r="P289" s="102"/>
    </row>
    <row r="290" spans="1:16">
      <c r="A290" s="44"/>
      <c r="B290" s="34"/>
      <c r="I290" s="102"/>
      <c r="J290" s="349">
        <f t="shared" si="53"/>
        <v>0</v>
      </c>
      <c r="K290" s="102"/>
      <c r="L290" s="102"/>
      <c r="M290" s="102"/>
      <c r="N290" s="102"/>
      <c r="O290" s="102"/>
      <c r="P290" s="102"/>
    </row>
    <row r="291" spans="1:16">
      <c r="A291" s="43">
        <v>52300</v>
      </c>
      <c r="B291" s="32" t="s">
        <v>165</v>
      </c>
      <c r="C291" s="140">
        <f>SUM(C289:C290)</f>
        <v>90132.576637891732</v>
      </c>
      <c r="D291" s="140"/>
      <c r="E291" s="140">
        <f>SUM(E289:E290)</f>
        <v>37211.003952302512</v>
      </c>
      <c r="F291" s="140">
        <f>SUM(F289:F290)</f>
        <v>40620.809918555686</v>
      </c>
      <c r="G291" s="140">
        <f>SUM(G289:G290)</f>
        <v>12300.762767033539</v>
      </c>
      <c r="H291" s="140">
        <f>SUM(H289:H290)</f>
        <v>90132.576637891732</v>
      </c>
      <c r="I291" s="102"/>
      <c r="J291" s="349">
        <f t="shared" si="53"/>
        <v>0</v>
      </c>
      <c r="K291" s="102"/>
      <c r="L291" s="102"/>
      <c r="M291" s="102"/>
      <c r="N291" s="102"/>
      <c r="O291" s="102"/>
      <c r="P291" s="102"/>
    </row>
    <row r="292" spans="1:16">
      <c r="A292" s="44"/>
      <c r="B292" s="34"/>
      <c r="I292" s="102"/>
      <c r="J292" s="349">
        <f t="shared" si="53"/>
        <v>0</v>
      </c>
      <c r="K292" s="102"/>
      <c r="L292" s="102"/>
      <c r="M292" s="102"/>
      <c r="N292" s="102"/>
      <c r="O292" s="102"/>
      <c r="P292" s="102"/>
    </row>
    <row r="293" spans="1:16">
      <c r="A293" s="44">
        <v>50050</v>
      </c>
      <c r="B293" s="34" t="s">
        <v>166</v>
      </c>
      <c r="C293" s="103">
        <f>+VLOOKUP(A293,'Consolidated IS '!$A:$AG,28,FALSE)</f>
        <v>282163.64134037297</v>
      </c>
      <c r="E293" s="103">
        <f>+$C293*'2183 LOB Ratios'!D$35</f>
        <v>180737.16830818742</v>
      </c>
      <c r="F293" s="103">
        <f>+$C293*'2183 LOB Ratios'!E$35</f>
        <v>80641.634756262763</v>
      </c>
      <c r="G293" s="103">
        <f>+$C293*'2183 LOB Ratios'!F$35</f>
        <v>20784.838275922775</v>
      </c>
      <c r="H293" s="103">
        <f t="shared" ref="H293:H298" si="58">SUM(E293:G293)</f>
        <v>282163.64134037297</v>
      </c>
      <c r="I293" s="102" t="s">
        <v>337</v>
      </c>
      <c r="J293" s="349">
        <f t="shared" si="53"/>
        <v>0</v>
      </c>
      <c r="K293" s="102"/>
      <c r="L293" s="102"/>
      <c r="M293" s="102"/>
      <c r="N293" s="102"/>
      <c r="O293" s="102"/>
      <c r="P293" s="102"/>
    </row>
    <row r="294" spans="1:16">
      <c r="A294" s="44">
        <v>52050</v>
      </c>
      <c r="B294" s="34" t="s">
        <v>166</v>
      </c>
      <c r="C294" s="103">
        <f>+VLOOKUP(A294,'Consolidated IS '!$A:$AG,28,FALSE)</f>
        <v>49419.769858093503</v>
      </c>
      <c r="E294" s="103">
        <f>+$C294*'2183 LOB Ratios'!D$35</f>
        <v>31655.351554736659</v>
      </c>
      <c r="F294" s="103">
        <f>+$C294*'2183 LOB Ratios'!E$35</f>
        <v>14124.041679159853</v>
      </c>
      <c r="G294" s="103">
        <f>+$C294*'2183 LOB Ratios'!F$35</f>
        <v>3640.3766241969874</v>
      </c>
      <c r="H294" s="103">
        <f t="shared" si="58"/>
        <v>49419.769858093496</v>
      </c>
      <c r="I294" s="102" t="s">
        <v>337</v>
      </c>
      <c r="J294" s="349">
        <f t="shared" si="53"/>
        <v>0</v>
      </c>
      <c r="K294" s="102"/>
      <c r="L294" s="102"/>
      <c r="M294" s="102"/>
      <c r="N294" s="102"/>
      <c r="O294" s="102"/>
      <c r="P294" s="102"/>
    </row>
    <row r="295" spans="1:16">
      <c r="A295" s="44">
        <v>55050</v>
      </c>
      <c r="B295" s="34" t="s">
        <v>166</v>
      </c>
      <c r="C295" s="103">
        <f>+VLOOKUP(A295,'Consolidated IS '!$A:$AG,28,FALSE)</f>
        <v>223.19298755723932</v>
      </c>
      <c r="E295" s="103">
        <f>+$C295*'2183 LOB Ratios'!D$19</f>
        <v>223.19298755723932</v>
      </c>
      <c r="F295" s="103">
        <f>+$C295*'2183 LOB Ratios'!E$19</f>
        <v>0</v>
      </c>
      <c r="G295" s="103">
        <f>+$C295*'2183 LOB Ratios'!F$19</f>
        <v>0</v>
      </c>
      <c r="H295" s="103">
        <f t="shared" si="58"/>
        <v>223.19298755723932</v>
      </c>
      <c r="I295" s="102" t="s">
        <v>1930</v>
      </c>
      <c r="J295" s="349">
        <f t="shared" si="53"/>
        <v>0</v>
      </c>
      <c r="K295" s="102"/>
      <c r="L295" s="102"/>
      <c r="M295" s="102"/>
      <c r="N295" s="102"/>
      <c r="O295" s="102"/>
      <c r="P295" s="102"/>
    </row>
    <row r="296" spans="1:16">
      <c r="A296" s="44">
        <v>56050</v>
      </c>
      <c r="B296" s="34" t="s">
        <v>166</v>
      </c>
      <c r="C296" s="103">
        <f>+VLOOKUP(A296,'Consolidated IS '!$A:$AG,28,FALSE)</f>
        <v>17609.653918237615</v>
      </c>
      <c r="E296" s="103">
        <f>+$C296*'2183 LOB Ratios'!D$35</f>
        <v>11279.692057241853</v>
      </c>
      <c r="F296" s="103">
        <f>+$C296*'2183 LOB Ratios'!E$35</f>
        <v>5032.7932851762516</v>
      </c>
      <c r="G296" s="103">
        <f>+$C296*'2183 LOB Ratios'!F$35</f>
        <v>1297.1685758195101</v>
      </c>
      <c r="H296" s="103">
        <f t="shared" ref="H296" si="59">SUM(E296:G296)</f>
        <v>17609.653918237615</v>
      </c>
      <c r="I296" s="102" t="s">
        <v>337</v>
      </c>
      <c r="J296" s="349">
        <f t="shared" si="53"/>
        <v>0</v>
      </c>
      <c r="K296" s="102"/>
      <c r="L296" s="102"/>
      <c r="M296" s="102"/>
      <c r="N296" s="102"/>
      <c r="O296" s="102"/>
      <c r="P296" s="102"/>
    </row>
    <row r="297" spans="1:16">
      <c r="A297" s="44">
        <v>60050</v>
      </c>
      <c r="B297" s="34" t="s">
        <v>166</v>
      </c>
      <c r="C297" s="103">
        <f>+VLOOKUP(A297,'Consolidated IS '!$A:$AG,28,FALSE)</f>
        <v>0</v>
      </c>
      <c r="E297" s="103">
        <v>0</v>
      </c>
      <c r="F297" s="103">
        <v>0</v>
      </c>
      <c r="G297" s="103">
        <v>0</v>
      </c>
      <c r="H297" s="103">
        <f t="shared" si="58"/>
        <v>0</v>
      </c>
      <c r="I297" s="102" t="s">
        <v>348</v>
      </c>
      <c r="J297" s="349">
        <f t="shared" si="53"/>
        <v>0</v>
      </c>
      <c r="K297" s="102"/>
      <c r="L297" s="102"/>
      <c r="M297" s="102"/>
      <c r="N297" s="102"/>
      <c r="O297" s="102"/>
      <c r="P297" s="102"/>
    </row>
    <row r="298" spans="1:16">
      <c r="A298" s="44">
        <v>70050</v>
      </c>
      <c r="B298" s="34" t="s">
        <v>166</v>
      </c>
      <c r="C298" s="103">
        <f>+VLOOKUP(A298,'Consolidated IS '!$A:$AG,28,FALSE)</f>
        <v>69281.973726595606</v>
      </c>
      <c r="E298" s="103">
        <f>+$C298*'2183 LOB Ratios'!D$18</f>
        <v>28602.885819197305</v>
      </c>
      <c r="F298" s="103">
        <f>+$C298*'2183 LOB Ratios'!E$18</f>
        <v>31223.892520423986</v>
      </c>
      <c r="G298" s="103">
        <f>+$C298*'2183 LOB Ratios'!F$18</f>
        <v>9455.1953869743174</v>
      </c>
      <c r="H298" s="103">
        <f t="shared" si="58"/>
        <v>69281.973726595606</v>
      </c>
      <c r="I298" s="102" t="s">
        <v>341</v>
      </c>
      <c r="J298" s="349">
        <f t="shared" si="53"/>
        <v>0</v>
      </c>
      <c r="K298" s="102"/>
      <c r="L298" s="102"/>
      <c r="M298" s="102"/>
      <c r="N298" s="102"/>
      <c r="O298" s="102"/>
      <c r="P298" s="102"/>
    </row>
    <row r="299" spans="1:16" s="143" customFormat="1">
      <c r="A299" s="44"/>
      <c r="B299" s="34"/>
      <c r="C299" s="141"/>
      <c r="D299" s="141"/>
      <c r="E299" s="141"/>
      <c r="F299" s="141"/>
      <c r="G299" s="141"/>
      <c r="H299" s="141"/>
      <c r="I299" s="142"/>
      <c r="J299" s="349">
        <f t="shared" si="53"/>
        <v>0</v>
      </c>
      <c r="K299" s="142"/>
      <c r="L299" s="102"/>
      <c r="M299" s="142"/>
      <c r="N299" s="142"/>
      <c r="O299" s="142"/>
      <c r="P299" s="142"/>
    </row>
    <row r="300" spans="1:16">
      <c r="A300" s="43">
        <v>52400</v>
      </c>
      <c r="B300" s="32" t="s">
        <v>166</v>
      </c>
      <c r="C300" s="140">
        <f>SUM(C293:C299)</f>
        <v>418698.231830857</v>
      </c>
      <c r="D300" s="140"/>
      <c r="E300" s="140">
        <f t="shared" ref="E300:H300" si="60">SUM(E293:E299)</f>
        <v>252498.2907269205</v>
      </c>
      <c r="F300" s="140">
        <f t="shared" si="60"/>
        <v>131022.36224102284</v>
      </c>
      <c r="G300" s="140">
        <f t="shared" si="60"/>
        <v>35177.578862913586</v>
      </c>
      <c r="H300" s="140">
        <f t="shared" si="60"/>
        <v>418698.23183085688</v>
      </c>
      <c r="I300" s="102"/>
      <c r="J300" s="349">
        <f t="shared" si="53"/>
        <v>0</v>
      </c>
      <c r="K300" s="102"/>
      <c r="L300" s="102"/>
      <c r="M300" s="102"/>
      <c r="N300" s="102"/>
      <c r="O300" s="102"/>
      <c r="P300" s="102"/>
    </row>
    <row r="301" spans="1:16">
      <c r="A301" s="44"/>
      <c r="B301" s="34"/>
      <c r="I301" s="102"/>
      <c r="J301" s="349">
        <f t="shared" si="53"/>
        <v>0</v>
      </c>
      <c r="K301" s="102"/>
      <c r="L301" s="102"/>
      <c r="M301" s="102"/>
      <c r="N301" s="102"/>
      <c r="O301" s="102"/>
      <c r="P301" s="102"/>
    </row>
    <row r="302" spans="1:16">
      <c r="A302" s="36">
        <v>57170</v>
      </c>
      <c r="B302" s="35" t="s">
        <v>167</v>
      </c>
      <c r="C302" s="103">
        <f>+VLOOKUP(A302,'Consolidated IS '!$A:$AG,28,FALSE)</f>
        <v>4526.32</v>
      </c>
      <c r="E302" s="103">
        <f>+$C302*'2183 LOB Ratios'!D$35</f>
        <v>2899.2901274260025</v>
      </c>
      <c r="F302" s="103">
        <f>+$C302*'2183 LOB Ratios'!E$35</f>
        <v>1293.6104825414313</v>
      </c>
      <c r="G302" s="103">
        <f>+$C302*'2183 LOB Ratios'!F$35</f>
        <v>333.41939003256562</v>
      </c>
      <c r="H302" s="103">
        <f t="shared" ref="H302" si="61">SUM(E302:G302)</f>
        <v>4526.3199999999988</v>
      </c>
      <c r="I302" s="102" t="s">
        <v>337</v>
      </c>
      <c r="J302" s="349">
        <f t="shared" si="53"/>
        <v>0</v>
      </c>
      <c r="K302" s="102"/>
      <c r="L302" s="102"/>
      <c r="M302" s="102"/>
      <c r="N302" s="102"/>
      <c r="O302" s="102"/>
      <c r="P302" s="102"/>
    </row>
    <row r="303" spans="1:16">
      <c r="I303" s="102"/>
      <c r="J303" s="349">
        <f t="shared" si="53"/>
        <v>0</v>
      </c>
      <c r="K303" s="102"/>
      <c r="L303" s="102"/>
      <c r="M303" s="102"/>
      <c r="N303" s="102"/>
      <c r="O303" s="102"/>
      <c r="P303" s="102"/>
    </row>
    <row r="304" spans="1:16">
      <c r="A304" s="43">
        <v>53200</v>
      </c>
      <c r="B304" s="32" t="s">
        <v>168</v>
      </c>
      <c r="C304" s="140">
        <f>SUM(C302:C303)</f>
        <v>4526.32</v>
      </c>
      <c r="D304" s="140"/>
      <c r="E304" s="140">
        <f>SUM(E302:E303)</f>
        <v>2899.2901274260025</v>
      </c>
      <c r="F304" s="140">
        <f>SUM(F302:F303)</f>
        <v>1293.6104825414313</v>
      </c>
      <c r="G304" s="140">
        <f>SUM(G302:G303)</f>
        <v>333.41939003256562</v>
      </c>
      <c r="H304" s="140">
        <f>SUM(H302:H303)</f>
        <v>4526.3199999999988</v>
      </c>
      <c r="I304" s="102"/>
      <c r="J304" s="349">
        <f t="shared" si="53"/>
        <v>0</v>
      </c>
      <c r="K304" s="102"/>
      <c r="L304" s="102"/>
      <c r="M304" s="102"/>
      <c r="N304" s="102"/>
      <c r="O304" s="102"/>
      <c r="P304" s="102"/>
    </row>
    <row r="305" spans="1:16">
      <c r="A305" s="43"/>
      <c r="B305" s="32"/>
      <c r="I305" s="102"/>
      <c r="J305" s="349">
        <f t="shared" si="53"/>
        <v>0</v>
      </c>
      <c r="K305" s="102"/>
      <c r="L305" s="102"/>
      <c r="M305" s="102"/>
      <c r="N305" s="102"/>
      <c r="O305" s="102"/>
      <c r="P305" s="102"/>
    </row>
    <row r="306" spans="1:16">
      <c r="A306" s="36">
        <v>70269</v>
      </c>
      <c r="B306" s="35" t="s">
        <v>169</v>
      </c>
      <c r="C306" s="103">
        <f>+VLOOKUP(A306,'Consolidated IS '!$A:$AG,28,FALSE)</f>
        <v>0</v>
      </c>
      <c r="E306" s="103">
        <v>0</v>
      </c>
      <c r="F306" s="103">
        <v>0</v>
      </c>
      <c r="G306" s="103">
        <v>0</v>
      </c>
      <c r="H306" s="103">
        <f t="shared" ref="H306" si="62">SUM(E306:G306)</f>
        <v>0</v>
      </c>
      <c r="I306" s="102" t="s">
        <v>348</v>
      </c>
      <c r="J306" s="349">
        <f t="shared" si="53"/>
        <v>0</v>
      </c>
      <c r="K306" s="102"/>
      <c r="L306" s="102"/>
      <c r="M306" s="102"/>
      <c r="N306" s="102"/>
      <c r="O306" s="102"/>
      <c r="P306" s="102"/>
    </row>
    <row r="307" spans="1:16">
      <c r="I307" s="102"/>
      <c r="J307" s="349">
        <f t="shared" si="53"/>
        <v>0</v>
      </c>
      <c r="K307" s="102"/>
      <c r="L307" s="102"/>
      <c r="M307" s="102"/>
      <c r="N307" s="102"/>
      <c r="O307" s="102"/>
      <c r="P307" s="102"/>
    </row>
    <row r="308" spans="1:16">
      <c r="A308" s="43"/>
      <c r="B308" s="32" t="s">
        <v>170</v>
      </c>
      <c r="C308" s="140">
        <f>SUM(C306:C307)</f>
        <v>0</v>
      </c>
      <c r="D308" s="140"/>
      <c r="E308" s="140">
        <f t="shared" ref="E308:H308" si="63">SUM(E306:E307)</f>
        <v>0</v>
      </c>
      <c r="F308" s="140">
        <f t="shared" si="63"/>
        <v>0</v>
      </c>
      <c r="G308" s="140">
        <f t="shared" si="63"/>
        <v>0</v>
      </c>
      <c r="H308" s="140">
        <f t="shared" si="63"/>
        <v>0</v>
      </c>
      <c r="I308" s="102"/>
      <c r="J308" s="349">
        <f t="shared" si="53"/>
        <v>0</v>
      </c>
      <c r="K308" s="102"/>
      <c r="L308" s="102"/>
      <c r="M308" s="102"/>
      <c r="N308" s="102"/>
      <c r="O308" s="102"/>
      <c r="P308" s="102"/>
    </row>
    <row r="309" spans="1:16">
      <c r="A309" s="43"/>
      <c r="B309" s="32"/>
      <c r="I309" s="102"/>
      <c r="J309" s="349">
        <f t="shared" si="53"/>
        <v>0</v>
      </c>
      <c r="K309" s="102"/>
      <c r="L309" s="102"/>
      <c r="M309" s="102"/>
      <c r="N309" s="102"/>
      <c r="O309" s="102"/>
      <c r="P309" s="102"/>
    </row>
    <row r="310" spans="1:16">
      <c r="A310" s="43">
        <v>91000</v>
      </c>
      <c r="B310" s="32" t="s">
        <v>171</v>
      </c>
      <c r="C310" s="140">
        <f>+VLOOKUP($A310,'Consolidated IS '!$A$10:$AB$882,18,FALSE)</f>
        <v>0</v>
      </c>
      <c r="D310" s="140"/>
      <c r="E310" s="140">
        <v>0</v>
      </c>
      <c r="F310" s="140">
        <v>0</v>
      </c>
      <c r="G310" s="140">
        <v>0</v>
      </c>
      <c r="H310" s="140">
        <f>+SUM(E310:G310)</f>
        <v>0</v>
      </c>
      <c r="I310" s="102"/>
      <c r="J310" s="349">
        <f t="shared" si="53"/>
        <v>0</v>
      </c>
      <c r="K310" s="102"/>
      <c r="L310" s="102"/>
      <c r="M310" s="102"/>
      <c r="N310" s="102"/>
      <c r="O310" s="102"/>
      <c r="P310" s="102"/>
    </row>
    <row r="311" spans="1:16">
      <c r="I311" s="102"/>
      <c r="J311" s="349">
        <f t="shared" si="53"/>
        <v>0</v>
      </c>
      <c r="K311" s="102"/>
      <c r="L311" s="102"/>
      <c r="M311" s="102"/>
      <c r="N311" s="102"/>
      <c r="O311" s="102"/>
      <c r="P311" s="102"/>
    </row>
    <row r="312" spans="1:16">
      <c r="A312" s="43"/>
      <c r="B312" s="32" t="s">
        <v>13</v>
      </c>
      <c r="C312" s="140">
        <f>C31+C40+C46+C55+C60+C65+C69+C77+C83+C92+C96+C103+C118+C127+C132+C142+C146+C152+C158+C165+C176+C180+C196+C200+C205+C212+C221+C231+C235+C261+C273+C278+C282+C287+C291+C300+C304+C308+C310</f>
        <v>26126932.512643237</v>
      </c>
      <c r="D312" s="140"/>
      <c r="E312" s="140">
        <f t="shared" ref="E312:G312" si="64">E31+E40+E46+E55+E60+E65+E69+E77+E83+E92+E96+E103+E118+E127+E132+E142+E146+E152+E158+E165+E176+E180+E196+E200+E205+E212+E221+E231+E235+E261+E273+E278+E282+E287+E291+E300+E304+E308+E310</f>
        <v>19905405.402006157</v>
      </c>
      <c r="F312" s="140">
        <f t="shared" si="64"/>
        <v>4501207.7643597005</v>
      </c>
      <c r="G312" s="140">
        <f t="shared" si="64"/>
        <v>1720319.3462773755</v>
      </c>
      <c r="H312" s="140">
        <f>H31+H40+H46+H55+H60+H65+H69+H77+H83+H92+H96+H103+H118+H127+H132+H142+H146+H152+H158+H165+H176+H180+H196+H200+H205+H212+H221+H231+H235+H261+H273+H278+H282+H287+H291+H300+H304+H308+H310</f>
        <v>26126932.512643237</v>
      </c>
      <c r="I312" s="102"/>
      <c r="J312" s="349">
        <f t="shared" si="53"/>
        <v>0</v>
      </c>
      <c r="K312" s="102"/>
      <c r="L312" s="102"/>
      <c r="M312" s="102"/>
      <c r="N312" s="102"/>
      <c r="O312" s="102"/>
      <c r="P312" s="102"/>
    </row>
    <row r="313" spans="1:16">
      <c r="B313" s="32"/>
      <c r="C313" s="103">
        <f>+C312-'Consolidated IS '!AB353</f>
        <v>0</v>
      </c>
      <c r="H313" s="141">
        <f>+H312-C312</f>
        <v>0</v>
      </c>
      <c r="I313" s="102"/>
      <c r="J313" s="349">
        <f t="shared" si="53"/>
        <v>0</v>
      </c>
      <c r="K313" s="102"/>
      <c r="L313" s="102"/>
      <c r="M313" s="102"/>
      <c r="N313" s="102"/>
      <c r="O313" s="102"/>
      <c r="P313" s="102"/>
    </row>
    <row r="314" spans="1:16">
      <c r="B314" s="32" t="s">
        <v>172</v>
      </c>
      <c r="C314" s="144">
        <f>C312/C23</f>
        <v>0.94013642641383199</v>
      </c>
      <c r="E314" s="144">
        <f>E312/E23</f>
        <v>0.9362783336807845</v>
      </c>
      <c r="F314" s="144">
        <f>F312/F23</f>
        <v>0.96082054370540126</v>
      </c>
      <c r="G314" s="144">
        <f>G312/G23</f>
        <v>0.93207631919931611</v>
      </c>
      <c r="I314" s="102"/>
      <c r="J314" s="349"/>
      <c r="K314" s="102"/>
      <c r="L314" s="102"/>
      <c r="M314" s="102"/>
      <c r="N314" s="102"/>
      <c r="O314" s="102"/>
      <c r="P314" s="102"/>
    </row>
    <row r="315" spans="1:16">
      <c r="I315" s="102"/>
      <c r="J315" s="349">
        <f t="shared" si="53"/>
        <v>0</v>
      </c>
      <c r="K315" s="102"/>
      <c r="L315" s="102"/>
      <c r="M315" s="102"/>
      <c r="N315" s="102"/>
      <c r="O315" s="102"/>
      <c r="P315" s="102"/>
    </row>
    <row r="316" spans="1:16" ht="15.75" thickBot="1">
      <c r="B316" s="32" t="s">
        <v>173</v>
      </c>
      <c r="C316" s="146">
        <f>C23-C312</f>
        <v>1663643.172531426</v>
      </c>
      <c r="D316" s="145"/>
      <c r="E316" s="146">
        <f>E23-E312</f>
        <v>1354731.3393324725</v>
      </c>
      <c r="F316" s="146">
        <f>F23-F312</f>
        <v>183546.10965802986</v>
      </c>
      <c r="G316" s="146">
        <f>G23-G312</f>
        <v>125365.72354092635</v>
      </c>
      <c r="H316" s="146">
        <f>SUM(E316:G316)</f>
        <v>1663643.1725314287</v>
      </c>
      <c r="I316" s="102">
        <f>H316-'Consolidated IS '!AB355</f>
        <v>2.7939677238464355E-9</v>
      </c>
      <c r="J316" s="349">
        <f t="shared" si="53"/>
        <v>-2.7939677238464355E-9</v>
      </c>
      <c r="K316" s="102"/>
      <c r="L316" s="102"/>
      <c r="M316" s="102"/>
      <c r="N316" s="102"/>
      <c r="O316" s="102"/>
      <c r="P316" s="102"/>
    </row>
    <row r="317" spans="1:16" ht="15.75" thickTop="1">
      <c r="C317" s="103">
        <f>+C316-'Consolidated IS '!AB355</f>
        <v>0</v>
      </c>
      <c r="I317" s="102"/>
      <c r="J317" s="349">
        <f t="shared" si="53"/>
        <v>0</v>
      </c>
      <c r="K317" s="102"/>
      <c r="L317" s="102"/>
      <c r="M317" s="102"/>
      <c r="N317" s="102"/>
      <c r="O317" s="102"/>
      <c r="P317" s="102"/>
    </row>
    <row r="318" spans="1:16">
      <c r="B318" s="35" t="s">
        <v>338</v>
      </c>
      <c r="C318" s="147">
        <f>+'2183 LOB Ratios'!C100</f>
        <v>13552051.72923349</v>
      </c>
      <c r="D318" s="147"/>
      <c r="E318" s="147">
        <f>+'2183 LOB Ratios'!D100</f>
        <v>9845476.2572434545</v>
      </c>
      <c r="F318" s="147">
        <f>+'2183 LOB Ratios'!E100</f>
        <v>2949076.1929062651</v>
      </c>
      <c r="G318" s="147">
        <f>+'2183 LOB Ratios'!F100</f>
        <v>757499.27908376895</v>
      </c>
      <c r="H318" s="147">
        <f>SUM(E318:G318)</f>
        <v>13552051.729233488</v>
      </c>
      <c r="I318" s="102"/>
      <c r="J318" s="349">
        <f t="shared" si="53"/>
        <v>0</v>
      </c>
      <c r="K318" s="102"/>
      <c r="L318" s="102"/>
      <c r="M318" s="102"/>
      <c r="N318" s="102"/>
      <c r="O318" s="102"/>
      <c r="P318" s="102"/>
    </row>
    <row r="319" spans="1:16">
      <c r="I319" s="102"/>
      <c r="J319" s="349"/>
      <c r="K319" s="102"/>
      <c r="L319" s="102"/>
      <c r="M319" s="102"/>
      <c r="N319" s="102"/>
      <c r="O319" s="102"/>
      <c r="P319" s="102"/>
    </row>
    <row r="320" spans="1:16">
      <c r="E320" s="149">
        <f>E312/$H$312</f>
        <v>0.76187303627678515</v>
      </c>
      <c r="F320" s="149">
        <f>F312/$H$312</f>
        <v>0.17228229001554218</v>
      </c>
      <c r="G320" s="149">
        <f>G312/$H$312</f>
        <v>6.5844673707672566E-2</v>
      </c>
      <c r="I320" s="102"/>
      <c r="J320" s="349"/>
      <c r="K320" s="102"/>
      <c r="L320" s="102"/>
      <c r="M320" s="102"/>
      <c r="N320" s="102"/>
      <c r="O320" s="102"/>
      <c r="P320" s="102"/>
    </row>
    <row r="321" spans="6:16">
      <c r="I321" s="102"/>
      <c r="J321" s="349"/>
      <c r="K321" s="102"/>
      <c r="L321" s="102"/>
      <c r="M321" s="102"/>
      <c r="N321" s="102"/>
      <c r="O321" s="102"/>
      <c r="P321" s="102"/>
    </row>
    <row r="322" spans="6:16">
      <c r="F322" s="141"/>
      <c r="G322" s="141"/>
      <c r="H322" s="141"/>
      <c r="I322" s="102"/>
      <c r="J322" s="349"/>
      <c r="K322" s="102"/>
      <c r="L322" s="102"/>
      <c r="M322" s="102"/>
      <c r="N322" s="102"/>
      <c r="O322" s="102"/>
      <c r="P322" s="102"/>
    </row>
    <row r="323" spans="6:16">
      <c r="F323" s="141"/>
      <c r="G323" s="141"/>
      <c r="H323" s="949"/>
      <c r="I323" s="102"/>
      <c r="J323" s="349"/>
      <c r="K323" s="102"/>
      <c r="L323" s="102"/>
      <c r="M323" s="102"/>
      <c r="N323" s="102"/>
      <c r="O323" s="102"/>
      <c r="P323" s="102"/>
    </row>
    <row r="324" spans="6:16">
      <c r="I324" s="102"/>
      <c r="J324" s="349"/>
      <c r="K324" s="102"/>
      <c r="L324" s="102"/>
      <c r="M324" s="102"/>
      <c r="N324" s="102"/>
      <c r="O324" s="102"/>
      <c r="P324" s="102"/>
    </row>
    <row r="325" spans="6:16">
      <c r="I325" s="102"/>
      <c r="J325" s="349"/>
      <c r="K325" s="102"/>
      <c r="L325" s="102"/>
      <c r="M325" s="102"/>
      <c r="N325" s="102"/>
      <c r="O325" s="102"/>
      <c r="P325" s="102"/>
    </row>
    <row r="326" spans="6:16">
      <c r="I326" s="102"/>
      <c r="J326" s="349"/>
      <c r="K326" s="102"/>
      <c r="L326" s="102"/>
      <c r="M326" s="102"/>
      <c r="N326" s="102"/>
      <c r="O326" s="102"/>
      <c r="P326" s="102"/>
    </row>
    <row r="327" spans="6:16">
      <c r="I327" s="102"/>
      <c r="J327" s="349"/>
      <c r="K327" s="102"/>
      <c r="L327" s="102"/>
      <c r="M327" s="102"/>
      <c r="N327" s="102"/>
      <c r="O327" s="102"/>
      <c r="P327" s="102"/>
    </row>
    <row r="328" spans="6:16">
      <c r="I328" s="102"/>
      <c r="J328" s="349"/>
      <c r="K328" s="102"/>
      <c r="L328" s="102"/>
      <c r="M328" s="102"/>
      <c r="N328" s="102"/>
      <c r="O328" s="102"/>
      <c r="P328" s="102"/>
    </row>
    <row r="329" spans="6:16">
      <c r="I329" s="102"/>
      <c r="J329" s="102"/>
      <c r="K329" s="102"/>
      <c r="L329" s="102"/>
      <c r="M329" s="102"/>
      <c r="N329" s="102"/>
      <c r="O329" s="102"/>
      <c r="P329" s="102"/>
    </row>
    <row r="330" spans="6:16">
      <c r="I330" s="102"/>
      <c r="J330" s="102"/>
      <c r="K330" s="102"/>
      <c r="L330" s="102"/>
      <c r="M330" s="102"/>
      <c r="N330" s="102"/>
      <c r="O330" s="102"/>
      <c r="P330" s="102"/>
    </row>
    <row r="331" spans="6:16">
      <c r="I331" s="102"/>
      <c r="J331" s="102"/>
      <c r="K331" s="102"/>
      <c r="L331" s="102"/>
      <c r="M331" s="102"/>
      <c r="N331" s="102"/>
      <c r="O331" s="102"/>
      <c r="P331" s="102"/>
    </row>
    <row r="332" spans="6:16">
      <c r="I332" s="102"/>
      <c r="J332" s="102"/>
      <c r="K332" s="102"/>
      <c r="L332" s="102"/>
      <c r="M332" s="102"/>
      <c r="N332" s="102"/>
      <c r="O332" s="102"/>
      <c r="P332" s="102"/>
    </row>
    <row r="333" spans="6:16">
      <c r="I333" s="102"/>
      <c r="J333" s="102"/>
      <c r="K333" s="102"/>
      <c r="L333" s="102"/>
      <c r="M333" s="102"/>
      <c r="N333" s="102"/>
      <c r="O333" s="102"/>
      <c r="P333" s="102"/>
    </row>
    <row r="334" spans="6:16">
      <c r="I334" s="102"/>
      <c r="J334" s="102"/>
      <c r="K334" s="102"/>
      <c r="L334" s="102"/>
      <c r="M334" s="102"/>
      <c r="N334" s="102"/>
      <c r="O334" s="102"/>
      <c r="P334" s="102"/>
    </row>
    <row r="335" spans="6:16">
      <c r="I335" s="102"/>
      <c r="J335" s="102"/>
      <c r="K335" s="102"/>
      <c r="L335" s="102"/>
      <c r="M335" s="102"/>
      <c r="N335" s="102"/>
      <c r="O335" s="102"/>
      <c r="P335" s="102"/>
    </row>
    <row r="336" spans="6:16">
      <c r="I336" s="102"/>
      <c r="J336" s="102"/>
      <c r="K336" s="102"/>
      <c r="L336" s="102"/>
      <c r="M336" s="102"/>
      <c r="N336" s="102"/>
      <c r="O336" s="102"/>
      <c r="P336" s="102"/>
    </row>
    <row r="337" spans="9:16">
      <c r="I337" s="102"/>
      <c r="J337" s="102"/>
      <c r="K337" s="102"/>
      <c r="L337" s="102"/>
      <c r="M337" s="102"/>
      <c r="N337" s="102"/>
      <c r="O337" s="102"/>
      <c r="P337" s="102"/>
    </row>
    <row r="338" spans="9:16">
      <c r="I338" s="102"/>
      <c r="J338" s="102"/>
      <c r="K338" s="102"/>
      <c r="L338" s="102"/>
      <c r="M338" s="102"/>
      <c r="N338" s="102"/>
      <c r="O338" s="102"/>
      <c r="P338" s="102"/>
    </row>
    <row r="339" spans="9:16">
      <c r="I339" s="102"/>
      <c r="J339" s="102"/>
      <c r="K339" s="102"/>
      <c r="L339" s="102"/>
      <c r="M339" s="102"/>
      <c r="N339" s="102"/>
      <c r="O339" s="102"/>
      <c r="P339" s="102"/>
    </row>
    <row r="340" spans="9:16">
      <c r="I340" s="102"/>
      <c r="J340" s="102"/>
      <c r="K340" s="102"/>
      <c r="L340" s="102"/>
      <c r="M340" s="102"/>
      <c r="N340" s="102"/>
      <c r="O340" s="102"/>
      <c r="P340" s="102"/>
    </row>
    <row r="341" spans="9:16">
      <c r="I341" s="102"/>
      <c r="J341" s="102"/>
      <c r="K341" s="102"/>
      <c r="L341" s="102"/>
      <c r="M341" s="102"/>
      <c r="N341" s="102"/>
      <c r="O341" s="102"/>
      <c r="P341" s="102"/>
    </row>
    <row r="342" spans="9:16">
      <c r="I342" s="102"/>
      <c r="J342" s="102"/>
      <c r="K342" s="102"/>
      <c r="L342" s="102"/>
      <c r="M342" s="102"/>
      <c r="N342" s="102"/>
      <c r="O342" s="102"/>
      <c r="P342" s="102"/>
    </row>
    <row r="343" spans="9:16">
      <c r="I343" s="102"/>
      <c r="J343" s="102"/>
      <c r="K343" s="102"/>
      <c r="L343" s="102"/>
      <c r="M343" s="102"/>
      <c r="N343" s="102"/>
      <c r="O343" s="102"/>
      <c r="P343" s="102"/>
    </row>
    <row r="344" spans="9:16">
      <c r="I344" s="102"/>
      <c r="J344" s="102"/>
      <c r="K344" s="102"/>
      <c r="L344" s="102"/>
      <c r="M344" s="102"/>
      <c r="N344" s="102"/>
      <c r="O344" s="102"/>
      <c r="P344" s="102"/>
    </row>
    <row r="345" spans="9:16">
      <c r="I345" s="102"/>
      <c r="J345" s="102"/>
      <c r="K345" s="102"/>
      <c r="L345" s="102"/>
      <c r="M345" s="102"/>
      <c r="N345" s="102"/>
      <c r="O345" s="102"/>
      <c r="P345" s="102"/>
    </row>
    <row r="346" spans="9:16">
      <c r="I346" s="102"/>
      <c r="J346" s="102"/>
      <c r="K346" s="102"/>
      <c r="L346" s="102"/>
      <c r="M346" s="102"/>
      <c r="N346" s="102"/>
      <c r="O346" s="102"/>
      <c r="P346" s="102"/>
    </row>
    <row r="347" spans="9:16">
      <c r="I347" s="102"/>
      <c r="J347" s="102"/>
      <c r="K347" s="102"/>
      <c r="L347" s="102"/>
      <c r="M347" s="102"/>
      <c r="N347" s="102"/>
      <c r="O347" s="102"/>
      <c r="P347" s="102"/>
    </row>
    <row r="348" spans="9:16">
      <c r="I348" s="102"/>
      <c r="J348" s="102"/>
      <c r="K348" s="102"/>
      <c r="L348" s="102"/>
      <c r="M348" s="102"/>
      <c r="N348" s="102"/>
      <c r="O348" s="102"/>
      <c r="P348" s="102"/>
    </row>
    <row r="349" spans="9:16">
      <c r="I349" s="102"/>
      <c r="J349" s="102"/>
      <c r="K349" s="102"/>
      <c r="L349" s="102"/>
      <c r="M349" s="102"/>
      <c r="N349" s="102"/>
      <c r="O349" s="102"/>
      <c r="P349" s="102"/>
    </row>
    <row r="350" spans="9:16">
      <c r="I350" s="102"/>
      <c r="J350" s="102"/>
      <c r="K350" s="102"/>
      <c r="L350" s="102"/>
      <c r="M350" s="102"/>
      <c r="N350" s="102"/>
      <c r="O350" s="102"/>
      <c r="P350" s="102"/>
    </row>
    <row r="351" spans="9:16">
      <c r="I351" s="102"/>
      <c r="J351" s="102"/>
      <c r="K351" s="102"/>
      <c r="L351" s="102"/>
      <c r="M351" s="102"/>
      <c r="N351" s="102"/>
      <c r="O351" s="102"/>
      <c r="P351" s="102"/>
    </row>
    <row r="352" spans="9:16">
      <c r="I352" s="102"/>
      <c r="J352" s="102"/>
      <c r="K352" s="102"/>
      <c r="L352" s="102"/>
      <c r="M352" s="102"/>
      <c r="N352" s="102"/>
      <c r="O352" s="102"/>
      <c r="P352" s="102"/>
    </row>
    <row r="353" spans="9:16">
      <c r="I353" s="102"/>
      <c r="J353" s="102"/>
      <c r="K353" s="102"/>
      <c r="L353" s="102"/>
      <c r="M353" s="102"/>
      <c r="N353" s="102"/>
      <c r="O353" s="102"/>
      <c r="P353" s="102"/>
    </row>
    <row r="354" spans="9:16">
      <c r="I354" s="102"/>
      <c r="J354" s="102"/>
      <c r="K354" s="102"/>
      <c r="L354" s="102"/>
      <c r="M354" s="102"/>
      <c r="N354" s="102"/>
      <c r="O354" s="102"/>
      <c r="P354" s="102"/>
    </row>
    <row r="355" spans="9:16">
      <c r="I355" s="102"/>
      <c r="J355" s="102"/>
      <c r="K355" s="102"/>
      <c r="L355" s="102"/>
      <c r="M355" s="102"/>
      <c r="N355" s="102"/>
      <c r="O355" s="102"/>
      <c r="P355" s="102"/>
    </row>
    <row r="356" spans="9:16">
      <c r="I356" s="102"/>
      <c r="J356" s="102"/>
      <c r="K356" s="102"/>
      <c r="L356" s="102"/>
      <c r="M356" s="102"/>
      <c r="N356" s="102"/>
      <c r="O356" s="102"/>
      <c r="P356" s="102"/>
    </row>
    <row r="357" spans="9:16">
      <c r="I357" s="102"/>
      <c r="J357" s="102"/>
      <c r="K357" s="102"/>
      <c r="L357" s="102"/>
      <c r="M357" s="102"/>
      <c r="N357" s="102"/>
      <c r="O357" s="102"/>
      <c r="P357" s="102"/>
    </row>
    <row r="358" spans="9:16">
      <c r="I358" s="102"/>
      <c r="J358" s="102"/>
      <c r="K358" s="102"/>
      <c r="L358" s="102"/>
      <c r="M358" s="102"/>
      <c r="N358" s="102"/>
      <c r="O358" s="102"/>
      <c r="P358" s="102"/>
    </row>
    <row r="359" spans="9:16">
      <c r="I359" s="102"/>
      <c r="J359" s="102"/>
      <c r="K359" s="102"/>
      <c r="L359" s="102"/>
      <c r="M359" s="102"/>
      <c r="N359" s="102"/>
      <c r="O359" s="102"/>
      <c r="P359" s="102"/>
    </row>
    <row r="360" spans="9:16">
      <c r="I360" s="102"/>
      <c r="J360" s="102"/>
      <c r="K360" s="102"/>
      <c r="L360" s="102"/>
      <c r="M360" s="102"/>
      <c r="N360" s="102"/>
      <c r="O360" s="102"/>
      <c r="P360" s="102"/>
    </row>
    <row r="361" spans="9:16">
      <c r="I361" s="102"/>
      <c r="J361" s="102"/>
      <c r="K361" s="102"/>
      <c r="L361" s="102"/>
      <c r="M361" s="102"/>
      <c r="N361" s="102"/>
      <c r="O361" s="102"/>
      <c r="P361" s="102"/>
    </row>
    <row r="362" spans="9:16">
      <c r="I362" s="102"/>
      <c r="J362" s="102"/>
      <c r="K362" s="102"/>
      <c r="L362" s="102"/>
      <c r="M362" s="102"/>
      <c r="N362" s="102"/>
      <c r="O362" s="102"/>
      <c r="P362" s="102"/>
    </row>
    <row r="363" spans="9:16">
      <c r="I363" s="102"/>
      <c r="J363" s="102"/>
      <c r="K363" s="102"/>
      <c r="L363" s="102"/>
      <c r="M363" s="102"/>
      <c r="N363" s="102"/>
      <c r="O363" s="102"/>
      <c r="P363" s="102"/>
    </row>
    <row r="364" spans="9:16">
      <c r="I364" s="102"/>
      <c r="J364" s="102"/>
      <c r="K364" s="102"/>
      <c r="L364" s="102"/>
      <c r="M364" s="102"/>
      <c r="N364" s="102"/>
      <c r="O364" s="102"/>
      <c r="P364" s="102"/>
    </row>
    <row r="365" spans="9:16">
      <c r="I365" s="102"/>
      <c r="J365" s="102"/>
      <c r="K365" s="102"/>
      <c r="L365" s="102"/>
      <c r="M365" s="102"/>
      <c r="N365" s="102"/>
      <c r="O365" s="102"/>
      <c r="P365" s="102"/>
    </row>
    <row r="366" spans="9:16">
      <c r="I366" s="102"/>
      <c r="J366" s="102"/>
      <c r="K366" s="102"/>
      <c r="L366" s="102"/>
      <c r="M366" s="102"/>
      <c r="N366" s="102"/>
      <c r="O366" s="102"/>
      <c r="P366" s="102"/>
    </row>
    <row r="367" spans="9:16">
      <c r="I367" s="102"/>
      <c r="J367" s="102"/>
      <c r="K367" s="102"/>
      <c r="L367" s="102"/>
      <c r="M367" s="102"/>
      <c r="N367" s="102"/>
      <c r="O367" s="102"/>
      <c r="P367" s="102"/>
    </row>
    <row r="368" spans="9:16">
      <c r="I368" s="102"/>
      <c r="J368" s="102"/>
      <c r="K368" s="102"/>
      <c r="L368" s="102"/>
      <c r="M368" s="102"/>
      <c r="N368" s="102"/>
      <c r="O368" s="102"/>
      <c r="P368" s="102"/>
    </row>
    <row r="369" spans="9:16">
      <c r="I369" s="102"/>
      <c r="J369" s="102"/>
      <c r="K369" s="102"/>
      <c r="L369" s="102"/>
      <c r="M369" s="102"/>
      <c r="N369" s="102"/>
      <c r="O369" s="102"/>
      <c r="P369" s="102"/>
    </row>
    <row r="370" spans="9:16">
      <c r="I370" s="102"/>
      <c r="J370" s="102"/>
      <c r="K370" s="102"/>
      <c r="L370" s="102"/>
      <c r="M370" s="102"/>
      <c r="N370" s="102"/>
      <c r="O370" s="102"/>
      <c r="P370" s="102"/>
    </row>
    <row r="371" spans="9:16">
      <c r="I371" s="102"/>
      <c r="J371" s="102"/>
      <c r="K371" s="102"/>
      <c r="L371" s="102"/>
      <c r="M371" s="102"/>
      <c r="N371" s="102"/>
      <c r="O371" s="102"/>
      <c r="P371" s="102"/>
    </row>
    <row r="372" spans="9:16">
      <c r="I372" s="102"/>
      <c r="J372" s="102"/>
      <c r="K372" s="102"/>
      <c r="L372" s="102"/>
      <c r="M372" s="102"/>
      <c r="N372" s="102"/>
      <c r="O372" s="102"/>
      <c r="P372" s="102"/>
    </row>
    <row r="373" spans="9:16">
      <c r="I373" s="102"/>
      <c r="J373" s="102"/>
      <c r="K373" s="102"/>
      <c r="L373" s="102"/>
      <c r="M373" s="102"/>
      <c r="N373" s="102"/>
      <c r="O373" s="102"/>
      <c r="P373" s="102"/>
    </row>
    <row r="374" spans="9:16">
      <c r="I374" s="102"/>
      <c r="J374" s="102"/>
      <c r="K374" s="102"/>
      <c r="L374" s="102"/>
      <c r="M374" s="102"/>
      <c r="N374" s="102"/>
      <c r="O374" s="102"/>
      <c r="P374" s="102"/>
    </row>
    <row r="375" spans="9:16">
      <c r="I375" s="102"/>
      <c r="J375" s="102"/>
      <c r="K375" s="102"/>
      <c r="L375" s="102"/>
      <c r="M375" s="102"/>
      <c r="N375" s="102"/>
      <c r="O375" s="102"/>
      <c r="P375" s="102"/>
    </row>
    <row r="376" spans="9:16">
      <c r="I376" s="102"/>
      <c r="J376" s="102"/>
      <c r="K376" s="102"/>
      <c r="L376" s="102"/>
      <c r="M376" s="102"/>
      <c r="N376" s="102"/>
      <c r="O376" s="102"/>
      <c r="P376" s="102"/>
    </row>
    <row r="377" spans="9:16">
      <c r="I377" s="102"/>
      <c r="J377" s="102"/>
      <c r="K377" s="102"/>
      <c r="L377" s="102"/>
      <c r="M377" s="102"/>
      <c r="N377" s="102"/>
      <c r="O377" s="102"/>
      <c r="P377" s="102"/>
    </row>
    <row r="378" spans="9:16">
      <c r="I378" s="102"/>
      <c r="J378" s="102"/>
      <c r="K378" s="102"/>
      <c r="L378" s="102"/>
      <c r="M378" s="102"/>
      <c r="N378" s="102"/>
      <c r="O378" s="102"/>
      <c r="P378" s="102"/>
    </row>
    <row r="379" spans="9:16">
      <c r="I379" s="102"/>
      <c r="J379" s="102"/>
      <c r="K379" s="102"/>
      <c r="L379" s="102"/>
      <c r="M379" s="102"/>
      <c r="N379" s="102"/>
      <c r="O379" s="102"/>
      <c r="P379" s="102"/>
    </row>
    <row r="380" spans="9:16">
      <c r="I380" s="102"/>
      <c r="J380" s="102"/>
      <c r="K380" s="102"/>
      <c r="L380" s="102"/>
      <c r="M380" s="102"/>
      <c r="N380" s="102"/>
      <c r="O380" s="102"/>
      <c r="P380" s="102"/>
    </row>
    <row r="381" spans="9:16">
      <c r="I381" s="102"/>
      <c r="J381" s="102"/>
      <c r="K381" s="102"/>
      <c r="L381" s="102"/>
      <c r="M381" s="102"/>
      <c r="N381" s="102"/>
      <c r="O381" s="102"/>
      <c r="P381" s="102"/>
    </row>
    <row r="382" spans="9:16">
      <c r="I382" s="102"/>
      <c r="J382" s="102"/>
      <c r="K382" s="102"/>
      <c r="L382" s="102"/>
      <c r="M382" s="102"/>
      <c r="N382" s="102"/>
      <c r="O382" s="102"/>
      <c r="P382" s="102"/>
    </row>
    <row r="383" spans="9:16">
      <c r="I383" s="102"/>
      <c r="J383" s="102"/>
      <c r="K383" s="102"/>
      <c r="L383" s="102"/>
      <c r="M383" s="102"/>
      <c r="N383" s="102"/>
      <c r="O383" s="102"/>
      <c r="P383" s="102"/>
    </row>
    <row r="384" spans="9:16">
      <c r="I384" s="102"/>
      <c r="J384" s="102"/>
      <c r="K384" s="102"/>
      <c r="L384" s="102"/>
      <c r="M384" s="102"/>
      <c r="N384" s="102"/>
      <c r="O384" s="102"/>
      <c r="P384" s="102"/>
    </row>
    <row r="385" spans="9:16">
      <c r="I385" s="102"/>
      <c r="J385" s="102"/>
      <c r="K385" s="102"/>
      <c r="L385" s="102"/>
      <c r="M385" s="102"/>
      <c r="N385" s="102"/>
      <c r="O385" s="102"/>
      <c r="P385" s="102"/>
    </row>
    <row r="386" spans="9:16">
      <c r="I386" s="102"/>
      <c r="J386" s="102"/>
      <c r="K386" s="102"/>
      <c r="L386" s="102"/>
      <c r="M386" s="102"/>
      <c r="N386" s="102"/>
      <c r="O386" s="102"/>
      <c r="P386" s="102"/>
    </row>
    <row r="387" spans="9:16">
      <c r="I387" s="102"/>
      <c r="J387" s="102"/>
      <c r="K387" s="102"/>
      <c r="L387" s="102"/>
      <c r="M387" s="102"/>
      <c r="N387" s="102"/>
      <c r="O387" s="102"/>
      <c r="P387" s="102"/>
    </row>
    <row r="388" spans="9:16">
      <c r="I388" s="102"/>
      <c r="J388" s="102"/>
      <c r="K388" s="102"/>
      <c r="L388" s="102"/>
      <c r="M388" s="102"/>
      <c r="N388" s="102"/>
      <c r="O388" s="102"/>
      <c r="P388" s="102"/>
    </row>
    <row r="389" spans="9:16">
      <c r="I389" s="102"/>
      <c r="J389" s="102"/>
      <c r="K389" s="102"/>
      <c r="L389" s="102"/>
      <c r="M389" s="102"/>
      <c r="N389" s="102"/>
      <c r="O389" s="102"/>
      <c r="P389" s="102"/>
    </row>
    <row r="390" spans="9:16">
      <c r="I390" s="102"/>
      <c r="J390" s="102"/>
      <c r="K390" s="102"/>
      <c r="L390" s="102"/>
      <c r="M390" s="102"/>
      <c r="N390" s="102"/>
      <c r="O390" s="102"/>
      <c r="P390" s="102"/>
    </row>
    <row r="391" spans="9:16">
      <c r="I391" s="102"/>
      <c r="J391" s="102"/>
      <c r="K391" s="102"/>
      <c r="L391" s="102"/>
      <c r="M391" s="102"/>
      <c r="N391" s="102"/>
      <c r="O391" s="102"/>
      <c r="P391" s="102"/>
    </row>
    <row r="392" spans="9:16">
      <c r="I392" s="102"/>
      <c r="J392" s="102"/>
      <c r="K392" s="102"/>
      <c r="L392" s="102"/>
      <c r="M392" s="102"/>
      <c r="N392" s="102"/>
      <c r="O392" s="102"/>
      <c r="P392" s="102"/>
    </row>
    <row r="393" spans="9:16">
      <c r="I393" s="102"/>
      <c r="J393" s="102"/>
      <c r="K393" s="102"/>
      <c r="L393" s="102"/>
      <c r="M393" s="102"/>
      <c r="N393" s="102"/>
      <c r="O393" s="102"/>
      <c r="P393" s="102"/>
    </row>
    <row r="394" spans="9:16">
      <c r="I394" s="102"/>
      <c r="J394" s="102"/>
      <c r="K394" s="102"/>
      <c r="L394" s="102"/>
      <c r="M394" s="102"/>
      <c r="N394" s="102"/>
      <c r="O394" s="102"/>
      <c r="P394" s="102"/>
    </row>
    <row r="395" spans="9:16">
      <c r="I395" s="102"/>
      <c r="J395" s="102"/>
      <c r="K395" s="102"/>
      <c r="L395" s="102"/>
      <c r="M395" s="102"/>
      <c r="N395" s="102"/>
      <c r="O395" s="102"/>
      <c r="P395" s="102"/>
    </row>
    <row r="396" spans="9:16">
      <c r="I396" s="102"/>
      <c r="J396" s="102"/>
      <c r="K396" s="102"/>
      <c r="L396" s="102"/>
      <c r="M396" s="102"/>
      <c r="N396" s="102"/>
      <c r="O396" s="102"/>
      <c r="P396" s="102"/>
    </row>
    <row r="397" spans="9:16">
      <c r="I397" s="102"/>
      <c r="J397" s="102"/>
      <c r="K397" s="102"/>
      <c r="L397" s="102"/>
      <c r="M397" s="102"/>
      <c r="N397" s="102"/>
      <c r="O397" s="102"/>
      <c r="P397" s="102"/>
    </row>
    <row r="398" spans="9:16">
      <c r="I398" s="102"/>
      <c r="J398" s="102"/>
      <c r="K398" s="102"/>
      <c r="L398" s="102"/>
      <c r="M398" s="102"/>
      <c r="N398" s="102"/>
      <c r="O398" s="102"/>
      <c r="P398" s="102"/>
    </row>
    <row r="399" spans="9:16">
      <c r="I399" s="102"/>
      <c r="J399" s="102"/>
      <c r="K399" s="102"/>
      <c r="L399" s="102"/>
      <c r="M399" s="102"/>
      <c r="N399" s="102"/>
      <c r="O399" s="102"/>
      <c r="P399" s="102"/>
    </row>
    <row r="400" spans="9:16">
      <c r="I400" s="102"/>
      <c r="J400" s="102"/>
      <c r="K400" s="102"/>
      <c r="L400" s="102"/>
      <c r="M400" s="102"/>
      <c r="N400" s="102"/>
      <c r="O400" s="102"/>
      <c r="P400" s="102"/>
    </row>
    <row r="401" spans="9:16">
      <c r="I401" s="102"/>
      <c r="J401" s="102"/>
      <c r="K401" s="102"/>
      <c r="L401" s="102"/>
      <c r="M401" s="102"/>
      <c r="N401" s="102"/>
      <c r="O401" s="102"/>
      <c r="P401" s="102"/>
    </row>
    <row r="402" spans="9:16">
      <c r="I402" s="102"/>
      <c r="J402" s="102"/>
      <c r="K402" s="102"/>
      <c r="L402" s="102"/>
      <c r="M402" s="102"/>
      <c r="N402" s="102"/>
      <c r="O402" s="102"/>
      <c r="P402" s="102"/>
    </row>
    <row r="403" spans="9:16">
      <c r="I403" s="102"/>
      <c r="J403" s="102"/>
      <c r="K403" s="102"/>
      <c r="L403" s="102"/>
      <c r="M403" s="102"/>
      <c r="N403" s="102"/>
      <c r="O403" s="102"/>
      <c r="P403" s="102"/>
    </row>
    <row r="404" spans="9:16">
      <c r="I404" s="102"/>
      <c r="J404" s="102"/>
      <c r="K404" s="102"/>
      <c r="L404" s="102"/>
      <c r="M404" s="102"/>
      <c r="N404" s="102"/>
      <c r="O404" s="102"/>
      <c r="P404" s="102"/>
    </row>
    <row r="405" spans="9:16">
      <c r="I405" s="102"/>
      <c r="J405" s="102"/>
      <c r="K405" s="102"/>
      <c r="L405" s="102"/>
      <c r="M405" s="102"/>
      <c r="N405" s="102"/>
      <c r="O405" s="102"/>
      <c r="P405" s="102"/>
    </row>
    <row r="406" spans="9:16">
      <c r="I406" s="102"/>
      <c r="J406" s="102"/>
      <c r="K406" s="102"/>
      <c r="L406" s="102"/>
      <c r="M406" s="102"/>
      <c r="N406" s="102"/>
      <c r="O406" s="102"/>
      <c r="P406" s="102"/>
    </row>
    <row r="407" spans="9:16">
      <c r="I407" s="102"/>
      <c r="J407" s="102"/>
      <c r="K407" s="102"/>
      <c r="L407" s="102"/>
      <c r="M407" s="102"/>
      <c r="N407" s="102"/>
      <c r="O407" s="102"/>
      <c r="P407" s="102"/>
    </row>
    <row r="408" spans="9:16">
      <c r="I408" s="102"/>
      <c r="J408" s="102"/>
      <c r="K408" s="102"/>
      <c r="L408" s="102"/>
      <c r="M408" s="102"/>
      <c r="N408" s="102"/>
      <c r="O408" s="102"/>
      <c r="P408" s="102"/>
    </row>
    <row r="409" spans="9:16">
      <c r="I409" s="102"/>
      <c r="J409" s="102"/>
      <c r="K409" s="102"/>
      <c r="L409" s="102"/>
      <c r="M409" s="102"/>
      <c r="N409" s="102"/>
      <c r="O409" s="102"/>
      <c r="P409" s="102"/>
    </row>
    <row r="410" spans="9:16">
      <c r="I410" s="102"/>
      <c r="J410" s="102"/>
      <c r="K410" s="102"/>
      <c r="L410" s="102"/>
      <c r="M410" s="102"/>
      <c r="N410" s="102"/>
      <c r="O410" s="102"/>
      <c r="P410" s="102"/>
    </row>
    <row r="411" spans="9:16">
      <c r="I411" s="102"/>
      <c r="J411" s="102"/>
      <c r="K411" s="102"/>
      <c r="L411" s="102"/>
      <c r="M411" s="102"/>
      <c r="N411" s="102"/>
      <c r="O411" s="102"/>
      <c r="P411" s="102"/>
    </row>
    <row r="412" spans="9:16">
      <c r="I412" s="102"/>
      <c r="J412" s="102"/>
      <c r="K412" s="102"/>
      <c r="L412" s="102"/>
      <c r="M412" s="102"/>
      <c r="N412" s="102"/>
      <c r="O412" s="102"/>
      <c r="P412" s="102"/>
    </row>
    <row r="413" spans="9:16">
      <c r="I413" s="102"/>
      <c r="J413" s="102"/>
      <c r="K413" s="102"/>
      <c r="L413" s="102"/>
      <c r="M413" s="102"/>
      <c r="N413" s="102"/>
      <c r="O413" s="102"/>
      <c r="P413" s="102"/>
    </row>
    <row r="414" spans="9:16">
      <c r="I414" s="102"/>
      <c r="J414" s="102"/>
      <c r="K414" s="102"/>
      <c r="L414" s="102"/>
      <c r="M414" s="102"/>
      <c r="N414" s="102"/>
      <c r="O414" s="102"/>
      <c r="P414" s="102"/>
    </row>
    <row r="415" spans="9:16">
      <c r="I415" s="102"/>
      <c r="J415" s="102"/>
      <c r="K415" s="102"/>
      <c r="L415" s="102"/>
      <c r="M415" s="102"/>
      <c r="N415" s="102"/>
      <c r="O415" s="102"/>
      <c r="P415" s="102"/>
    </row>
    <row r="416" spans="9:16">
      <c r="I416" s="102"/>
      <c r="J416" s="102"/>
      <c r="K416" s="102"/>
      <c r="L416" s="102"/>
      <c r="M416" s="102"/>
      <c r="N416" s="102"/>
      <c r="O416" s="102"/>
      <c r="P416" s="102"/>
    </row>
    <row r="417" spans="9:16">
      <c r="I417" s="102"/>
      <c r="J417" s="102"/>
      <c r="K417" s="102"/>
      <c r="L417" s="102"/>
      <c r="M417" s="102"/>
      <c r="N417" s="102"/>
      <c r="O417" s="102"/>
      <c r="P417" s="102"/>
    </row>
    <row r="418" spans="9:16">
      <c r="I418" s="102"/>
      <c r="J418" s="102"/>
      <c r="K418" s="102"/>
      <c r="L418" s="102"/>
      <c r="M418" s="102"/>
      <c r="N418" s="102"/>
      <c r="O418" s="102"/>
      <c r="P418" s="102"/>
    </row>
    <row r="419" spans="9:16">
      <c r="I419" s="102"/>
      <c r="J419" s="102"/>
      <c r="K419" s="102"/>
      <c r="L419" s="102"/>
      <c r="M419" s="102"/>
      <c r="N419" s="102"/>
      <c r="O419" s="102"/>
      <c r="P419" s="102"/>
    </row>
    <row r="420" spans="9:16">
      <c r="I420" s="102"/>
      <c r="J420" s="102"/>
      <c r="K420" s="102"/>
      <c r="L420" s="102"/>
      <c r="M420" s="102"/>
      <c r="N420" s="102"/>
      <c r="O420" s="102"/>
      <c r="P420" s="102"/>
    </row>
    <row r="421" spans="9:16">
      <c r="I421" s="102"/>
      <c r="J421" s="102"/>
      <c r="K421" s="102"/>
      <c r="L421" s="102"/>
      <c r="M421" s="102"/>
      <c r="N421" s="102"/>
      <c r="O421" s="102"/>
      <c r="P421" s="102"/>
    </row>
    <row r="422" spans="9:16">
      <c r="I422" s="102"/>
      <c r="J422" s="102"/>
      <c r="K422" s="102"/>
      <c r="L422" s="102"/>
      <c r="M422" s="102"/>
      <c r="N422" s="102"/>
      <c r="O422" s="102"/>
      <c r="P422" s="102"/>
    </row>
    <row r="423" spans="9:16">
      <c r="I423" s="102"/>
      <c r="J423" s="102"/>
      <c r="K423" s="102"/>
      <c r="L423" s="102"/>
      <c r="M423" s="102"/>
      <c r="N423" s="102"/>
      <c r="O423" s="102"/>
      <c r="P423" s="102"/>
    </row>
    <row r="424" spans="9:16">
      <c r="I424" s="102"/>
      <c r="J424" s="102"/>
      <c r="K424" s="102"/>
      <c r="L424" s="102"/>
      <c r="M424" s="102"/>
      <c r="N424" s="102"/>
      <c r="O424" s="102"/>
      <c r="P424" s="102"/>
    </row>
    <row r="425" spans="9:16">
      <c r="I425" s="102"/>
      <c r="J425" s="102"/>
      <c r="K425" s="102"/>
      <c r="L425" s="102"/>
      <c r="M425" s="102"/>
      <c r="N425" s="102"/>
      <c r="O425" s="102"/>
      <c r="P425" s="102"/>
    </row>
    <row r="426" spans="9:16">
      <c r="I426" s="102"/>
      <c r="J426" s="102"/>
      <c r="K426" s="102"/>
      <c r="L426" s="102"/>
      <c r="M426" s="102"/>
      <c r="N426" s="102"/>
      <c r="O426" s="102"/>
      <c r="P426" s="102"/>
    </row>
    <row r="427" spans="9:16">
      <c r="I427" s="102"/>
      <c r="J427" s="102"/>
      <c r="K427" s="102"/>
      <c r="L427" s="102"/>
      <c r="M427" s="102"/>
      <c r="N427" s="102"/>
      <c r="O427" s="102"/>
      <c r="P427" s="102"/>
    </row>
    <row r="428" spans="9:16">
      <c r="I428" s="102"/>
      <c r="J428" s="102"/>
      <c r="K428" s="102"/>
      <c r="L428" s="102"/>
      <c r="M428" s="102"/>
      <c r="N428" s="102"/>
      <c r="O428" s="102"/>
      <c r="P428" s="102"/>
    </row>
    <row r="429" spans="9:16">
      <c r="I429" s="102"/>
      <c r="J429" s="102"/>
      <c r="K429" s="102"/>
      <c r="L429" s="102"/>
      <c r="M429" s="102"/>
      <c r="N429" s="102"/>
      <c r="O429" s="102"/>
      <c r="P429" s="102"/>
    </row>
    <row r="430" spans="9:16">
      <c r="I430" s="102"/>
      <c r="J430" s="102"/>
      <c r="K430" s="102"/>
      <c r="L430" s="102"/>
      <c r="M430" s="102"/>
      <c r="N430" s="102"/>
      <c r="O430" s="102"/>
      <c r="P430" s="102"/>
    </row>
    <row r="431" spans="9:16">
      <c r="I431" s="102"/>
      <c r="J431" s="102"/>
      <c r="K431" s="102"/>
      <c r="L431" s="102"/>
      <c r="M431" s="102"/>
      <c r="N431" s="102"/>
      <c r="O431" s="102"/>
      <c r="P431" s="102"/>
    </row>
    <row r="432" spans="9:16">
      <c r="I432" s="102"/>
      <c r="J432" s="102"/>
      <c r="K432" s="102"/>
      <c r="L432" s="102"/>
      <c r="M432" s="102"/>
      <c r="N432" s="102"/>
      <c r="O432" s="102"/>
      <c r="P432" s="102"/>
    </row>
    <row r="433" spans="9:16">
      <c r="I433" s="102"/>
      <c r="J433" s="102"/>
      <c r="K433" s="102"/>
      <c r="L433" s="102"/>
      <c r="M433" s="102"/>
      <c r="N433" s="102"/>
      <c r="O433" s="102"/>
      <c r="P433" s="102"/>
    </row>
    <row r="434" spans="9:16">
      <c r="I434" s="102"/>
      <c r="J434" s="102"/>
      <c r="K434" s="102"/>
      <c r="L434" s="102"/>
      <c r="M434" s="102"/>
      <c r="N434" s="102"/>
      <c r="O434" s="102"/>
      <c r="P434" s="102"/>
    </row>
    <row r="435" spans="9:16">
      <c r="I435" s="102"/>
      <c r="J435" s="102"/>
      <c r="K435" s="102"/>
      <c r="L435" s="102"/>
      <c r="M435" s="102"/>
      <c r="N435" s="102"/>
      <c r="O435" s="102"/>
      <c r="P435" s="102"/>
    </row>
    <row r="436" spans="9:16">
      <c r="I436" s="102"/>
      <c r="J436" s="102"/>
      <c r="K436" s="102"/>
      <c r="L436" s="102"/>
      <c r="M436" s="102"/>
      <c r="N436" s="102"/>
      <c r="O436" s="102"/>
      <c r="P436" s="102"/>
    </row>
    <row r="437" spans="9:16">
      <c r="I437" s="102"/>
      <c r="J437" s="102"/>
      <c r="K437" s="102"/>
      <c r="L437" s="102"/>
      <c r="M437" s="102"/>
      <c r="N437" s="102"/>
      <c r="O437" s="102"/>
      <c r="P437" s="102"/>
    </row>
    <row r="438" spans="9:16">
      <c r="I438" s="102"/>
      <c r="J438" s="102"/>
      <c r="K438" s="102"/>
      <c r="L438" s="102"/>
      <c r="M438" s="102"/>
      <c r="N438" s="102"/>
      <c r="O438" s="102"/>
      <c r="P438" s="102"/>
    </row>
    <row r="439" spans="9:16">
      <c r="I439" s="102"/>
      <c r="J439" s="102"/>
      <c r="K439" s="102"/>
      <c r="L439" s="102"/>
      <c r="M439" s="102"/>
      <c r="N439" s="102"/>
      <c r="O439" s="102"/>
      <c r="P439" s="102"/>
    </row>
    <row r="440" spans="9:16">
      <c r="I440" s="102"/>
      <c r="J440" s="102"/>
      <c r="K440" s="102"/>
      <c r="L440" s="102"/>
      <c r="M440" s="102"/>
      <c r="N440" s="102"/>
      <c r="O440" s="102"/>
      <c r="P440" s="102"/>
    </row>
    <row r="441" spans="9:16">
      <c r="I441" s="102"/>
      <c r="J441" s="102"/>
      <c r="K441" s="102"/>
      <c r="L441" s="102"/>
      <c r="M441" s="102"/>
      <c r="N441" s="102"/>
      <c r="O441" s="102"/>
      <c r="P441" s="102"/>
    </row>
    <row r="442" spans="9:16">
      <c r="I442" s="102"/>
      <c r="J442" s="102"/>
      <c r="K442" s="102"/>
      <c r="L442" s="102"/>
      <c r="M442" s="102"/>
      <c r="N442" s="102"/>
      <c r="O442" s="102"/>
      <c r="P442" s="102"/>
    </row>
    <row r="443" spans="9:16">
      <c r="I443" s="102"/>
      <c r="J443" s="102"/>
      <c r="K443" s="102"/>
      <c r="L443" s="102"/>
      <c r="M443" s="102"/>
      <c r="N443" s="102"/>
      <c r="O443" s="102"/>
      <c r="P443" s="102"/>
    </row>
    <row r="444" spans="9:16">
      <c r="I444" s="102"/>
      <c r="J444" s="102"/>
      <c r="K444" s="102"/>
      <c r="L444" s="102"/>
      <c r="M444" s="102"/>
      <c r="N444" s="102"/>
      <c r="O444" s="102"/>
      <c r="P444" s="102"/>
    </row>
    <row r="445" spans="9:16">
      <c r="I445" s="102"/>
      <c r="J445" s="102"/>
      <c r="K445" s="102"/>
      <c r="L445" s="102"/>
      <c r="M445" s="102"/>
      <c r="N445" s="102"/>
      <c r="O445" s="102"/>
      <c r="P445" s="102"/>
    </row>
    <row r="446" spans="9:16">
      <c r="I446" s="102"/>
      <c r="J446" s="102"/>
      <c r="K446" s="102"/>
      <c r="L446" s="102"/>
      <c r="M446" s="102"/>
      <c r="N446" s="102"/>
      <c r="O446" s="102"/>
      <c r="P446" s="102"/>
    </row>
    <row r="447" spans="9:16">
      <c r="I447" s="102"/>
      <c r="J447" s="102"/>
      <c r="K447" s="102"/>
      <c r="L447" s="102"/>
      <c r="M447" s="102"/>
      <c r="N447" s="102"/>
      <c r="O447" s="102"/>
      <c r="P447" s="102"/>
    </row>
    <row r="448" spans="9:16">
      <c r="I448" s="102"/>
      <c r="J448" s="102"/>
      <c r="K448" s="102"/>
      <c r="L448" s="102"/>
      <c r="M448" s="102"/>
      <c r="N448" s="102"/>
      <c r="O448" s="102"/>
      <c r="P448" s="102"/>
    </row>
    <row r="449" spans="9:16">
      <c r="I449" s="102"/>
      <c r="J449" s="102"/>
      <c r="K449" s="102"/>
      <c r="L449" s="102"/>
      <c r="M449" s="102"/>
      <c r="N449" s="102"/>
      <c r="O449" s="102"/>
      <c r="P449" s="102"/>
    </row>
    <row r="450" spans="9:16">
      <c r="I450" s="102"/>
      <c r="J450" s="102"/>
      <c r="K450" s="102"/>
      <c r="L450" s="102"/>
      <c r="M450" s="102"/>
      <c r="N450" s="102"/>
      <c r="O450" s="102"/>
      <c r="P450" s="102"/>
    </row>
    <row r="451" spans="9:16">
      <c r="I451" s="102"/>
      <c r="J451" s="102"/>
      <c r="K451" s="102"/>
      <c r="L451" s="102"/>
      <c r="M451" s="102"/>
      <c r="N451" s="102"/>
      <c r="O451" s="102"/>
      <c r="P451" s="102"/>
    </row>
    <row r="452" spans="9:16">
      <c r="I452" s="102"/>
      <c r="J452" s="102"/>
      <c r="K452" s="102"/>
      <c r="L452" s="102"/>
      <c r="M452" s="102"/>
      <c r="N452" s="102"/>
      <c r="O452" s="102"/>
      <c r="P452" s="102"/>
    </row>
    <row r="453" spans="9:16">
      <c r="I453" s="102"/>
      <c r="J453" s="102"/>
      <c r="K453" s="102"/>
      <c r="L453" s="102"/>
      <c r="M453" s="102"/>
      <c r="N453" s="102"/>
      <c r="O453" s="102"/>
      <c r="P453" s="102"/>
    </row>
    <row r="454" spans="9:16">
      <c r="I454" s="102"/>
      <c r="J454" s="102"/>
      <c r="K454" s="102"/>
      <c r="L454" s="102"/>
      <c r="M454" s="102"/>
      <c r="N454" s="102"/>
      <c r="O454" s="102"/>
      <c r="P454" s="102"/>
    </row>
    <row r="455" spans="9:16">
      <c r="I455" s="102"/>
      <c r="J455" s="102"/>
      <c r="K455" s="102"/>
      <c r="L455" s="102"/>
      <c r="M455" s="102"/>
      <c r="N455" s="102"/>
      <c r="O455" s="102"/>
      <c r="P455" s="102"/>
    </row>
    <row r="456" spans="9:16">
      <c r="I456" s="102"/>
      <c r="J456" s="102"/>
      <c r="K456" s="102"/>
      <c r="L456" s="102"/>
      <c r="M456" s="102"/>
      <c r="N456" s="102"/>
      <c r="O456" s="102"/>
      <c r="P456" s="102"/>
    </row>
    <row r="457" spans="9:16">
      <c r="I457" s="102"/>
      <c r="J457" s="102"/>
      <c r="K457" s="102"/>
      <c r="L457" s="102"/>
      <c r="M457" s="102"/>
      <c r="N457" s="102"/>
      <c r="O457" s="102"/>
      <c r="P457" s="102"/>
    </row>
    <row r="458" spans="9:16">
      <c r="I458" s="102"/>
      <c r="J458" s="102"/>
      <c r="K458" s="102"/>
      <c r="L458" s="102"/>
      <c r="M458" s="102"/>
      <c r="N458" s="102"/>
      <c r="O458" s="102"/>
      <c r="P458" s="102"/>
    </row>
    <row r="459" spans="9:16">
      <c r="I459" s="102"/>
      <c r="J459" s="102"/>
      <c r="K459" s="102"/>
      <c r="L459" s="102"/>
      <c r="M459" s="102"/>
      <c r="N459" s="102"/>
      <c r="O459" s="102"/>
      <c r="P459" s="102"/>
    </row>
    <row r="460" spans="9:16">
      <c r="I460" s="102"/>
      <c r="J460" s="102"/>
      <c r="K460" s="102"/>
      <c r="L460" s="102"/>
      <c r="M460" s="102"/>
      <c r="N460" s="102"/>
      <c r="O460" s="102"/>
      <c r="P460" s="102"/>
    </row>
    <row r="461" spans="9:16">
      <c r="I461" s="102"/>
      <c r="J461" s="102"/>
      <c r="K461" s="102"/>
      <c r="L461" s="102"/>
      <c r="M461" s="102"/>
      <c r="N461" s="102"/>
      <c r="O461" s="102"/>
      <c r="P461" s="102"/>
    </row>
    <row r="462" spans="9:16">
      <c r="I462" s="102"/>
      <c r="J462" s="102"/>
      <c r="K462" s="102"/>
      <c r="L462" s="102"/>
      <c r="M462" s="102"/>
      <c r="N462" s="102"/>
      <c r="O462" s="102"/>
      <c r="P462" s="102"/>
    </row>
    <row r="463" spans="9:16">
      <c r="I463" s="102"/>
      <c r="J463" s="102"/>
      <c r="K463" s="102"/>
      <c r="L463" s="102"/>
      <c r="M463" s="102"/>
      <c r="N463" s="102"/>
      <c r="O463" s="102"/>
      <c r="P463" s="102"/>
    </row>
    <row r="464" spans="9:16">
      <c r="I464" s="102"/>
      <c r="J464" s="102"/>
      <c r="K464" s="102"/>
      <c r="L464" s="102"/>
      <c r="M464" s="102"/>
      <c r="N464" s="102"/>
      <c r="O464" s="102"/>
      <c r="P464" s="102"/>
    </row>
    <row r="465" spans="9:16">
      <c r="I465" s="102"/>
      <c r="J465" s="102"/>
      <c r="K465" s="102"/>
      <c r="L465" s="102"/>
      <c r="M465" s="102"/>
      <c r="N465" s="102"/>
      <c r="O465" s="102"/>
      <c r="P465" s="102"/>
    </row>
    <row r="466" spans="9:16">
      <c r="I466" s="102"/>
      <c r="J466" s="102"/>
      <c r="K466" s="102"/>
      <c r="L466" s="102"/>
      <c r="M466" s="102"/>
      <c r="N466" s="102"/>
      <c r="O466" s="102"/>
      <c r="P466" s="102"/>
    </row>
    <row r="467" spans="9:16">
      <c r="I467" s="102"/>
      <c r="J467" s="102"/>
      <c r="K467" s="102"/>
      <c r="L467" s="102"/>
      <c r="M467" s="102"/>
      <c r="N467" s="102"/>
      <c r="O467" s="102"/>
      <c r="P467" s="102"/>
    </row>
    <row r="468" spans="9:16">
      <c r="I468" s="102"/>
      <c r="J468" s="102"/>
      <c r="K468" s="102"/>
      <c r="L468" s="102"/>
      <c r="M468" s="102"/>
      <c r="N468" s="102"/>
      <c r="O468" s="102"/>
      <c r="P468" s="102"/>
    </row>
    <row r="469" spans="9:16">
      <c r="I469" s="102"/>
      <c r="J469" s="102"/>
      <c r="K469" s="102"/>
      <c r="L469" s="102"/>
      <c r="M469" s="102"/>
      <c r="N469" s="102"/>
      <c r="O469" s="102"/>
      <c r="P469" s="102"/>
    </row>
    <row r="470" spans="9:16">
      <c r="I470" s="102"/>
      <c r="J470" s="102"/>
      <c r="K470" s="102"/>
      <c r="L470" s="102"/>
      <c r="M470" s="102"/>
      <c r="N470" s="102"/>
      <c r="O470" s="102"/>
      <c r="P470" s="102"/>
    </row>
    <row r="471" spans="9:16">
      <c r="I471" s="102"/>
      <c r="J471" s="102"/>
      <c r="K471" s="102"/>
      <c r="L471" s="102"/>
      <c r="M471" s="102"/>
      <c r="N471" s="102"/>
      <c r="O471" s="102"/>
      <c r="P471" s="102"/>
    </row>
    <row r="472" spans="9:16">
      <c r="I472" s="102"/>
      <c r="J472" s="102"/>
      <c r="K472" s="102"/>
      <c r="L472" s="102"/>
      <c r="M472" s="102"/>
      <c r="N472" s="102"/>
      <c r="O472" s="102"/>
      <c r="P472" s="102"/>
    </row>
    <row r="473" spans="9:16">
      <c r="I473" s="102"/>
      <c r="J473" s="102"/>
      <c r="K473" s="102"/>
      <c r="L473" s="102"/>
      <c r="M473" s="102"/>
      <c r="N473" s="102"/>
      <c r="O473" s="102"/>
      <c r="P473" s="102"/>
    </row>
    <row r="474" spans="9:16">
      <c r="I474" s="102"/>
      <c r="J474" s="102"/>
      <c r="K474" s="102"/>
      <c r="L474" s="102"/>
      <c r="M474" s="102"/>
      <c r="N474" s="102"/>
      <c r="O474" s="102"/>
      <c r="P474" s="102"/>
    </row>
    <row r="475" spans="9:16">
      <c r="I475" s="102"/>
      <c r="J475" s="102"/>
      <c r="K475" s="102"/>
      <c r="L475" s="102"/>
      <c r="M475" s="102"/>
      <c r="N475" s="102"/>
      <c r="O475" s="102"/>
      <c r="P475" s="102"/>
    </row>
    <row r="476" spans="9:16">
      <c r="I476" s="102"/>
      <c r="J476" s="102"/>
      <c r="K476" s="102"/>
      <c r="L476" s="102"/>
      <c r="M476" s="102"/>
      <c r="N476" s="102"/>
      <c r="O476" s="102"/>
      <c r="P476" s="102"/>
    </row>
    <row r="477" spans="9:16">
      <c r="I477" s="102"/>
      <c r="J477" s="102"/>
      <c r="K477" s="102"/>
      <c r="L477" s="102"/>
      <c r="M477" s="102"/>
      <c r="N477" s="102"/>
      <c r="O477" s="102"/>
      <c r="P477" s="102"/>
    </row>
    <row r="478" spans="9:16">
      <c r="I478" s="102"/>
      <c r="J478" s="102"/>
      <c r="K478" s="102"/>
      <c r="L478" s="102"/>
      <c r="M478" s="102"/>
      <c r="N478" s="102"/>
      <c r="O478" s="102"/>
      <c r="P478" s="102"/>
    </row>
    <row r="479" spans="9:16">
      <c r="I479" s="102"/>
      <c r="J479" s="102"/>
      <c r="K479" s="102"/>
      <c r="L479" s="102"/>
      <c r="M479" s="102"/>
      <c r="N479" s="102"/>
      <c r="O479" s="102"/>
      <c r="P479" s="102"/>
    </row>
    <row r="480" spans="9:16">
      <c r="I480" s="102"/>
      <c r="J480" s="102"/>
      <c r="K480" s="102"/>
      <c r="L480" s="102"/>
      <c r="M480" s="102"/>
      <c r="N480" s="102"/>
      <c r="O480" s="102"/>
      <c r="P480" s="102"/>
    </row>
    <row r="481" spans="9:16">
      <c r="I481" s="102"/>
      <c r="J481" s="102"/>
      <c r="K481" s="102"/>
      <c r="L481" s="102"/>
      <c r="M481" s="102"/>
      <c r="N481" s="102"/>
      <c r="O481" s="102"/>
      <c r="P481" s="102"/>
    </row>
    <row r="482" spans="9:16">
      <c r="I482" s="102"/>
      <c r="J482" s="102"/>
      <c r="K482" s="102"/>
      <c r="L482" s="102"/>
      <c r="M482" s="102"/>
      <c r="N482" s="102"/>
      <c r="O482" s="102"/>
      <c r="P482" s="102"/>
    </row>
    <row r="483" spans="9:16">
      <c r="I483" s="102"/>
      <c r="J483" s="102"/>
      <c r="K483" s="102"/>
      <c r="L483" s="102"/>
      <c r="M483" s="102"/>
      <c r="N483" s="102"/>
      <c r="O483" s="102"/>
      <c r="P483" s="102"/>
    </row>
    <row r="484" spans="9:16">
      <c r="I484" s="102"/>
      <c r="J484" s="102"/>
      <c r="K484" s="102"/>
      <c r="L484" s="102"/>
      <c r="M484" s="102"/>
      <c r="N484" s="102"/>
      <c r="O484" s="102"/>
      <c r="P484" s="102"/>
    </row>
    <row r="485" spans="9:16">
      <c r="I485" s="102"/>
      <c r="J485" s="102"/>
      <c r="K485" s="102"/>
      <c r="L485" s="102"/>
      <c r="M485" s="102"/>
      <c r="N485" s="102"/>
      <c r="O485" s="102"/>
      <c r="P485" s="102"/>
    </row>
    <row r="486" spans="9:16">
      <c r="I486" s="102"/>
      <c r="J486" s="102"/>
      <c r="K486" s="102"/>
      <c r="L486" s="102"/>
      <c r="M486" s="102"/>
      <c r="N486" s="102"/>
      <c r="O486" s="102"/>
      <c r="P486" s="102"/>
    </row>
    <row r="487" spans="9:16">
      <c r="I487" s="102"/>
      <c r="J487" s="102"/>
      <c r="K487" s="102"/>
      <c r="L487" s="102"/>
      <c r="M487" s="102"/>
      <c r="N487" s="102"/>
      <c r="O487" s="102"/>
      <c r="P487" s="102"/>
    </row>
    <row r="488" spans="9:16">
      <c r="I488" s="102"/>
      <c r="J488" s="102"/>
      <c r="K488" s="102"/>
      <c r="L488" s="102"/>
      <c r="M488" s="102"/>
      <c r="N488" s="102"/>
      <c r="O488" s="102"/>
      <c r="P488" s="102"/>
    </row>
    <row r="489" spans="9:16">
      <c r="I489" s="102"/>
      <c r="J489" s="102"/>
      <c r="K489" s="102"/>
      <c r="L489" s="102"/>
      <c r="M489" s="102"/>
      <c r="N489" s="102"/>
      <c r="O489" s="102"/>
      <c r="P489" s="102"/>
    </row>
    <row r="490" spans="9:16">
      <c r="I490" s="102"/>
      <c r="J490" s="102"/>
      <c r="K490" s="102"/>
      <c r="L490" s="102"/>
      <c r="M490" s="102"/>
      <c r="N490" s="102"/>
      <c r="O490" s="102"/>
      <c r="P490" s="102"/>
    </row>
    <row r="491" spans="9:16">
      <c r="I491" s="102"/>
      <c r="J491" s="102"/>
      <c r="K491" s="102"/>
      <c r="L491" s="102"/>
      <c r="M491" s="102"/>
      <c r="N491" s="102"/>
      <c r="O491" s="102"/>
      <c r="P491" s="102"/>
    </row>
    <row r="492" spans="9:16">
      <c r="I492" s="102"/>
      <c r="J492" s="102"/>
      <c r="K492" s="102"/>
      <c r="L492" s="102"/>
      <c r="M492" s="102"/>
      <c r="N492" s="102"/>
      <c r="O492" s="102"/>
      <c r="P492" s="102"/>
    </row>
    <row r="493" spans="9:16">
      <c r="I493" s="102"/>
      <c r="J493" s="102"/>
      <c r="K493" s="102"/>
      <c r="L493" s="102"/>
      <c r="M493" s="102"/>
      <c r="N493" s="102"/>
      <c r="O493" s="102"/>
      <c r="P493" s="102"/>
    </row>
    <row r="494" spans="9:16">
      <c r="I494" s="102"/>
      <c r="J494" s="102"/>
      <c r="K494" s="102"/>
      <c r="L494" s="102"/>
      <c r="M494" s="102"/>
      <c r="N494" s="102"/>
      <c r="O494" s="102"/>
      <c r="P494" s="102"/>
    </row>
    <row r="495" spans="9:16">
      <c r="I495" s="102"/>
      <c r="J495" s="102"/>
      <c r="K495" s="102"/>
      <c r="L495" s="102"/>
      <c r="M495" s="102"/>
      <c r="N495" s="102"/>
      <c r="O495" s="102"/>
      <c r="P495" s="102"/>
    </row>
    <row r="496" spans="9:16">
      <c r="I496" s="102"/>
      <c r="J496" s="102"/>
      <c r="K496" s="102"/>
      <c r="L496" s="102"/>
      <c r="M496" s="102"/>
      <c r="N496" s="102"/>
      <c r="O496" s="102"/>
      <c r="P496" s="102"/>
    </row>
    <row r="497" spans="9:16">
      <c r="I497" s="102"/>
      <c r="J497" s="102"/>
      <c r="K497" s="102"/>
      <c r="L497" s="102"/>
      <c r="M497" s="102"/>
      <c r="N497" s="102"/>
      <c r="O497" s="102"/>
      <c r="P497" s="102"/>
    </row>
    <row r="498" spans="9:16">
      <c r="I498" s="102"/>
      <c r="J498" s="102"/>
      <c r="K498" s="102"/>
      <c r="L498" s="102"/>
      <c r="M498" s="102"/>
      <c r="N498" s="102"/>
      <c r="O498" s="102"/>
      <c r="P498" s="102"/>
    </row>
    <row r="499" spans="9:16">
      <c r="I499" s="102"/>
      <c r="J499" s="102"/>
      <c r="K499" s="102"/>
      <c r="L499" s="102"/>
      <c r="M499" s="102"/>
      <c r="N499" s="102"/>
      <c r="O499" s="102"/>
      <c r="P499" s="102"/>
    </row>
    <row r="500" spans="9:16">
      <c r="I500" s="102"/>
      <c r="J500" s="102"/>
      <c r="K500" s="102"/>
      <c r="L500" s="102"/>
      <c r="M500" s="102"/>
      <c r="N500" s="102"/>
      <c r="O500" s="102"/>
      <c r="P500" s="102"/>
    </row>
    <row r="501" spans="9:16">
      <c r="I501" s="102"/>
      <c r="J501" s="102"/>
      <c r="K501" s="102"/>
      <c r="L501" s="102"/>
      <c r="M501" s="102"/>
      <c r="N501" s="102"/>
      <c r="O501" s="102"/>
      <c r="P501" s="102"/>
    </row>
    <row r="502" spans="9:16">
      <c r="I502" s="102"/>
      <c r="J502" s="102"/>
      <c r="K502" s="102"/>
      <c r="L502" s="102"/>
      <c r="M502" s="102"/>
      <c r="N502" s="102"/>
      <c r="O502" s="102"/>
      <c r="P502" s="102"/>
    </row>
    <row r="503" spans="9:16">
      <c r="I503" s="102"/>
      <c r="J503" s="102"/>
      <c r="K503" s="102"/>
      <c r="L503" s="102"/>
      <c r="M503" s="102"/>
      <c r="N503" s="102"/>
      <c r="O503" s="102"/>
      <c r="P503" s="102"/>
    </row>
    <row r="504" spans="9:16">
      <c r="I504" s="102"/>
      <c r="J504" s="102"/>
      <c r="K504" s="102"/>
      <c r="L504" s="102"/>
      <c r="M504" s="102"/>
      <c r="N504" s="102"/>
      <c r="O504" s="102"/>
      <c r="P504" s="102"/>
    </row>
    <row r="505" spans="9:16">
      <c r="I505" s="102"/>
      <c r="J505" s="102"/>
      <c r="K505" s="102"/>
      <c r="L505" s="102"/>
      <c r="M505" s="102"/>
      <c r="N505" s="102"/>
      <c r="O505" s="102"/>
      <c r="P505" s="102"/>
    </row>
    <row r="506" spans="9:16">
      <c r="I506" s="102"/>
      <c r="J506" s="102"/>
      <c r="K506" s="102"/>
      <c r="L506" s="102"/>
      <c r="M506" s="102"/>
      <c r="N506" s="102"/>
      <c r="O506" s="102"/>
      <c r="P506" s="102"/>
    </row>
    <row r="507" spans="9:16">
      <c r="I507" s="102"/>
      <c r="J507" s="102"/>
      <c r="K507" s="102"/>
      <c r="L507" s="102"/>
      <c r="M507" s="102"/>
      <c r="N507" s="102"/>
      <c r="O507" s="102"/>
      <c r="P507" s="102"/>
    </row>
    <row r="508" spans="9:16">
      <c r="I508" s="102"/>
      <c r="J508" s="102"/>
      <c r="K508" s="102"/>
      <c r="L508" s="102"/>
      <c r="M508" s="102"/>
      <c r="N508" s="102"/>
      <c r="O508" s="102"/>
      <c r="P508" s="102"/>
    </row>
    <row r="509" spans="9:16">
      <c r="I509" s="102"/>
      <c r="J509" s="102"/>
      <c r="K509" s="102"/>
      <c r="L509" s="102"/>
      <c r="M509" s="102"/>
      <c r="N509" s="102"/>
      <c r="O509" s="102"/>
      <c r="P509" s="102"/>
    </row>
    <row r="510" spans="9:16">
      <c r="I510" s="102"/>
      <c r="J510" s="102"/>
      <c r="K510" s="102"/>
      <c r="L510" s="102"/>
      <c r="M510" s="102"/>
      <c r="N510" s="102"/>
      <c r="O510" s="102"/>
      <c r="P510" s="102"/>
    </row>
    <row r="511" spans="9:16">
      <c r="I511" s="102"/>
      <c r="J511" s="102"/>
      <c r="K511" s="102"/>
      <c r="L511" s="102"/>
      <c r="M511" s="102"/>
      <c r="N511" s="102"/>
      <c r="O511" s="102"/>
      <c r="P511" s="102"/>
    </row>
    <row r="512" spans="9:16">
      <c r="I512" s="102"/>
      <c r="J512" s="102"/>
      <c r="K512" s="102"/>
      <c r="L512" s="102"/>
      <c r="M512" s="102"/>
      <c r="N512" s="102"/>
      <c r="O512" s="102"/>
      <c r="P512" s="102"/>
    </row>
    <row r="513" spans="9:16">
      <c r="I513" s="102"/>
      <c r="J513" s="102"/>
      <c r="K513" s="102"/>
      <c r="L513" s="102"/>
      <c r="M513" s="102"/>
      <c r="N513" s="102"/>
      <c r="O513" s="102"/>
      <c r="P513" s="102"/>
    </row>
    <row r="514" spans="9:16">
      <c r="I514" s="102"/>
      <c r="J514" s="102"/>
      <c r="K514" s="102"/>
      <c r="L514" s="102"/>
      <c r="M514" s="102"/>
      <c r="N514" s="102"/>
      <c r="O514" s="102"/>
      <c r="P514" s="102"/>
    </row>
    <row r="515" spans="9:16">
      <c r="I515" s="102"/>
      <c r="J515" s="102"/>
      <c r="K515" s="102"/>
      <c r="L515" s="102"/>
      <c r="M515" s="102"/>
      <c r="N515" s="102"/>
      <c r="O515" s="102"/>
      <c r="P515" s="102"/>
    </row>
    <row r="516" spans="9:16">
      <c r="I516" s="102"/>
      <c r="J516" s="102"/>
      <c r="K516" s="102"/>
      <c r="L516" s="102"/>
      <c r="M516" s="102"/>
      <c r="N516" s="102"/>
      <c r="O516" s="102"/>
      <c r="P516" s="102"/>
    </row>
    <row r="517" spans="9:16">
      <c r="I517" s="102"/>
      <c r="J517" s="102"/>
      <c r="K517" s="102"/>
      <c r="L517" s="102"/>
      <c r="M517" s="102"/>
      <c r="N517" s="102"/>
      <c r="O517" s="102"/>
      <c r="P517" s="102"/>
    </row>
    <row r="518" spans="9:16">
      <c r="I518" s="102"/>
      <c r="J518" s="102"/>
      <c r="K518" s="102"/>
      <c r="L518" s="102"/>
      <c r="M518" s="102"/>
      <c r="N518" s="102"/>
      <c r="O518" s="102"/>
      <c r="P518" s="102"/>
    </row>
    <row r="519" spans="9:16">
      <c r="I519" s="102"/>
      <c r="J519" s="102"/>
      <c r="K519" s="102"/>
      <c r="L519" s="102"/>
      <c r="M519" s="102"/>
      <c r="N519" s="102"/>
      <c r="O519" s="102"/>
      <c r="P519" s="102"/>
    </row>
    <row r="520" spans="9:16">
      <c r="I520" s="102"/>
      <c r="J520" s="102"/>
      <c r="K520" s="102"/>
      <c r="L520" s="102"/>
      <c r="M520" s="102"/>
      <c r="N520" s="102"/>
      <c r="O520" s="102"/>
      <c r="P520" s="102"/>
    </row>
    <row r="521" spans="9:16">
      <c r="I521" s="102"/>
      <c r="J521" s="102"/>
      <c r="K521" s="102"/>
      <c r="L521" s="102"/>
      <c r="M521" s="102"/>
      <c r="N521" s="102"/>
      <c r="O521" s="102"/>
      <c r="P521" s="102"/>
    </row>
    <row r="522" spans="9:16">
      <c r="I522" s="102"/>
      <c r="J522" s="102"/>
      <c r="K522" s="102"/>
      <c r="L522" s="102"/>
      <c r="M522" s="102"/>
      <c r="N522" s="102"/>
      <c r="O522" s="102"/>
      <c r="P522" s="102"/>
    </row>
    <row r="523" spans="9:16">
      <c r="I523" s="102"/>
      <c r="J523" s="102"/>
      <c r="K523" s="102"/>
      <c r="L523" s="102"/>
      <c r="M523" s="102"/>
      <c r="N523" s="102"/>
      <c r="O523" s="102"/>
      <c r="P523" s="102"/>
    </row>
    <row r="524" spans="9:16">
      <c r="I524" s="102"/>
      <c r="J524" s="102"/>
      <c r="K524" s="102"/>
      <c r="L524" s="102"/>
      <c r="M524" s="102"/>
      <c r="N524" s="102"/>
      <c r="O524" s="102"/>
      <c r="P524" s="102"/>
    </row>
    <row r="525" spans="9:16">
      <c r="I525" s="102"/>
      <c r="J525" s="102"/>
      <c r="K525" s="102"/>
      <c r="L525" s="102"/>
      <c r="M525" s="102"/>
      <c r="N525" s="102"/>
      <c r="O525" s="102"/>
      <c r="P525" s="102"/>
    </row>
    <row r="526" spans="9:16">
      <c r="I526" s="102"/>
      <c r="J526" s="102"/>
      <c r="K526" s="102"/>
      <c r="L526" s="102"/>
      <c r="M526" s="102"/>
      <c r="N526" s="102"/>
      <c r="O526" s="102"/>
      <c r="P526" s="102"/>
    </row>
    <row r="527" spans="9:16">
      <c r="I527" s="102"/>
      <c r="J527" s="102"/>
      <c r="K527" s="102"/>
      <c r="L527" s="102"/>
      <c r="M527" s="102"/>
      <c r="N527" s="102"/>
      <c r="O527" s="102"/>
      <c r="P527" s="102"/>
    </row>
    <row r="528" spans="9:16">
      <c r="I528" s="102"/>
      <c r="J528" s="102"/>
      <c r="K528" s="102"/>
      <c r="L528" s="102"/>
      <c r="M528" s="102"/>
      <c r="N528" s="102"/>
      <c r="O528" s="102"/>
      <c r="P528" s="102"/>
    </row>
    <row r="529" spans="9:16">
      <c r="I529" s="102"/>
      <c r="J529" s="102"/>
      <c r="K529" s="102"/>
      <c r="L529" s="102"/>
      <c r="M529" s="102"/>
      <c r="N529" s="102"/>
      <c r="O529" s="102"/>
      <c r="P529" s="102"/>
    </row>
    <row r="530" spans="9:16">
      <c r="I530" s="102"/>
      <c r="J530" s="102"/>
      <c r="K530" s="102"/>
      <c r="L530" s="102"/>
      <c r="M530" s="102"/>
      <c r="N530" s="102"/>
      <c r="O530" s="102"/>
      <c r="P530" s="102"/>
    </row>
    <row r="531" spans="9:16">
      <c r="I531" s="102"/>
      <c r="J531" s="102"/>
      <c r="K531" s="102"/>
      <c r="L531" s="102"/>
      <c r="M531" s="102"/>
      <c r="N531" s="102"/>
      <c r="O531" s="102"/>
      <c r="P531" s="102"/>
    </row>
    <row r="532" spans="9:16">
      <c r="I532" s="102"/>
      <c r="J532" s="102"/>
      <c r="K532" s="102"/>
      <c r="L532" s="102"/>
      <c r="M532" s="102"/>
      <c r="N532" s="102"/>
      <c r="O532" s="102"/>
      <c r="P532" s="102"/>
    </row>
    <row r="533" spans="9:16">
      <c r="I533" s="102"/>
      <c r="J533" s="102"/>
      <c r="K533" s="102"/>
      <c r="L533" s="102"/>
      <c r="M533" s="102"/>
      <c r="N533" s="102"/>
      <c r="O533" s="102"/>
      <c r="P533" s="102"/>
    </row>
    <row r="534" spans="9:16">
      <c r="I534" s="102"/>
      <c r="J534" s="102"/>
      <c r="K534" s="102"/>
      <c r="L534" s="102"/>
      <c r="M534" s="102"/>
      <c r="N534" s="102"/>
      <c r="O534" s="102"/>
      <c r="P534" s="102"/>
    </row>
    <row r="535" spans="9:16">
      <c r="I535" s="102"/>
      <c r="J535" s="102"/>
      <c r="K535" s="102"/>
      <c r="L535" s="102"/>
      <c r="M535" s="102"/>
      <c r="N535" s="102"/>
      <c r="O535" s="102"/>
      <c r="P535" s="102"/>
    </row>
    <row r="536" spans="9:16">
      <c r="I536" s="102"/>
      <c r="J536" s="102"/>
      <c r="K536" s="102"/>
      <c r="L536" s="102"/>
      <c r="M536" s="102"/>
      <c r="N536" s="102"/>
      <c r="O536" s="102"/>
      <c r="P536" s="102"/>
    </row>
    <row r="537" spans="9:16">
      <c r="I537" s="102"/>
      <c r="J537" s="102"/>
      <c r="K537" s="102"/>
      <c r="L537" s="102"/>
      <c r="M537" s="102"/>
      <c r="N537" s="102"/>
      <c r="O537" s="102"/>
      <c r="P537" s="102"/>
    </row>
    <row r="538" spans="9:16">
      <c r="I538" s="102"/>
      <c r="J538" s="102"/>
      <c r="K538" s="102"/>
      <c r="L538" s="102"/>
      <c r="M538" s="102"/>
      <c r="N538" s="102"/>
      <c r="O538" s="102"/>
      <c r="P538" s="102"/>
    </row>
    <row r="539" spans="9:16">
      <c r="I539" s="102"/>
      <c r="J539" s="102"/>
      <c r="K539" s="102"/>
      <c r="L539" s="102"/>
      <c r="M539" s="102"/>
      <c r="N539" s="102"/>
      <c r="O539" s="102"/>
      <c r="P539" s="102"/>
    </row>
    <row r="540" spans="9:16">
      <c r="I540" s="102"/>
      <c r="J540" s="102"/>
      <c r="K540" s="102"/>
      <c r="L540" s="102"/>
      <c r="M540" s="102"/>
      <c r="N540" s="102"/>
      <c r="O540" s="102"/>
      <c r="P540" s="102"/>
    </row>
    <row r="541" spans="9:16">
      <c r="I541" s="102"/>
      <c r="J541" s="102"/>
      <c r="K541" s="102"/>
      <c r="L541" s="102"/>
      <c r="M541" s="102"/>
      <c r="N541" s="102"/>
      <c r="O541" s="102"/>
      <c r="P541" s="102"/>
    </row>
    <row r="542" spans="9:16">
      <c r="I542" s="102"/>
      <c r="J542" s="102"/>
      <c r="K542" s="102"/>
      <c r="L542" s="102"/>
      <c r="M542" s="102"/>
      <c r="N542" s="102"/>
      <c r="O542" s="102"/>
      <c r="P542" s="102"/>
    </row>
    <row r="543" spans="9:16">
      <c r="I543" s="102"/>
      <c r="J543" s="102"/>
      <c r="K543" s="102"/>
      <c r="L543" s="102"/>
      <c r="M543" s="102"/>
      <c r="N543" s="102"/>
      <c r="O543" s="102"/>
      <c r="P543" s="102"/>
    </row>
    <row r="544" spans="9:16">
      <c r="I544" s="102"/>
      <c r="J544" s="102"/>
      <c r="K544" s="102"/>
      <c r="L544" s="102"/>
      <c r="M544" s="102"/>
      <c r="N544" s="102"/>
      <c r="O544" s="102"/>
      <c r="P544" s="102"/>
    </row>
    <row r="545" spans="9:16">
      <c r="I545" s="102"/>
      <c r="J545" s="102"/>
      <c r="K545" s="102"/>
      <c r="L545" s="102"/>
      <c r="M545" s="102"/>
      <c r="N545" s="102"/>
      <c r="O545" s="102"/>
      <c r="P545" s="102"/>
    </row>
    <row r="546" spans="9:16">
      <c r="I546" s="102"/>
      <c r="J546" s="102"/>
      <c r="K546" s="102"/>
      <c r="L546" s="102"/>
      <c r="M546" s="102"/>
      <c r="N546" s="102"/>
      <c r="O546" s="102"/>
      <c r="P546" s="102"/>
    </row>
    <row r="547" spans="9:16">
      <c r="I547" s="102"/>
      <c r="J547" s="102"/>
      <c r="K547" s="102"/>
      <c r="L547" s="102"/>
      <c r="M547" s="102"/>
      <c r="N547" s="102"/>
      <c r="O547" s="102"/>
      <c r="P547" s="102"/>
    </row>
    <row r="548" spans="9:16">
      <c r="I548" s="102"/>
      <c r="J548" s="102"/>
      <c r="K548" s="102"/>
      <c r="L548" s="102"/>
      <c r="M548" s="102"/>
      <c r="N548" s="102"/>
      <c r="O548" s="102"/>
      <c r="P548" s="102"/>
    </row>
    <row r="549" spans="9:16">
      <c r="I549" s="102"/>
      <c r="J549" s="102"/>
      <c r="K549" s="102"/>
      <c r="L549" s="102"/>
      <c r="M549" s="102"/>
      <c r="N549" s="102"/>
      <c r="O549" s="102"/>
      <c r="P549" s="102"/>
    </row>
    <row r="550" spans="9:16">
      <c r="I550" s="102"/>
      <c r="J550" s="102"/>
      <c r="K550" s="102"/>
      <c r="L550" s="102"/>
      <c r="M550" s="102"/>
      <c r="N550" s="102"/>
      <c r="O550" s="102"/>
      <c r="P550" s="102"/>
    </row>
    <row r="551" spans="9:16">
      <c r="I551" s="102"/>
      <c r="J551" s="102"/>
      <c r="K551" s="102"/>
      <c r="L551" s="102"/>
      <c r="M551" s="102"/>
      <c r="N551" s="102"/>
      <c r="O551" s="102"/>
      <c r="P551" s="102"/>
    </row>
    <row r="552" spans="9:16">
      <c r="I552" s="102"/>
      <c r="J552" s="102"/>
      <c r="K552" s="102"/>
      <c r="L552" s="102"/>
      <c r="M552" s="102"/>
      <c r="N552" s="102"/>
      <c r="O552" s="102"/>
      <c r="P552" s="102"/>
    </row>
    <row r="553" spans="9:16">
      <c r="I553" s="102"/>
      <c r="J553" s="102"/>
      <c r="K553" s="102"/>
      <c r="L553" s="102"/>
      <c r="M553" s="102"/>
      <c r="N553" s="102"/>
      <c r="O553" s="102"/>
      <c r="P553" s="102"/>
    </row>
    <row r="554" spans="9:16">
      <c r="I554" s="102"/>
      <c r="J554" s="102"/>
      <c r="K554" s="102"/>
      <c r="L554" s="102"/>
      <c r="M554" s="102"/>
      <c r="N554" s="102"/>
      <c r="O554" s="102"/>
      <c r="P554" s="102"/>
    </row>
    <row r="555" spans="9:16">
      <c r="I555" s="102"/>
      <c r="J555" s="102"/>
      <c r="K555" s="102"/>
      <c r="L555" s="102"/>
      <c r="M555" s="102"/>
      <c r="N555" s="102"/>
      <c r="O555" s="102"/>
      <c r="P555" s="102"/>
    </row>
    <row r="556" spans="9:16">
      <c r="I556" s="102"/>
      <c r="J556" s="102"/>
      <c r="K556" s="102"/>
      <c r="L556" s="102"/>
      <c r="M556" s="102"/>
      <c r="N556" s="102"/>
      <c r="O556" s="102"/>
      <c r="P556" s="102"/>
    </row>
    <row r="557" spans="9:16">
      <c r="I557" s="102"/>
      <c r="J557" s="102"/>
      <c r="K557" s="102"/>
      <c r="L557" s="102"/>
      <c r="M557" s="102"/>
      <c r="N557" s="102"/>
      <c r="O557" s="102"/>
      <c r="P557" s="102"/>
    </row>
    <row r="558" spans="9:16">
      <c r="I558" s="102"/>
      <c r="J558" s="102"/>
      <c r="K558" s="102"/>
      <c r="L558" s="102"/>
      <c r="M558" s="102"/>
      <c r="N558" s="102"/>
      <c r="O558" s="102"/>
      <c r="P558" s="102"/>
    </row>
    <row r="559" spans="9:16">
      <c r="I559" s="102"/>
      <c r="J559" s="102"/>
      <c r="K559" s="102"/>
      <c r="L559" s="102"/>
      <c r="M559" s="102"/>
      <c r="N559" s="102"/>
      <c r="O559" s="102"/>
      <c r="P559" s="102"/>
    </row>
    <row r="560" spans="9:16">
      <c r="I560" s="102"/>
      <c r="J560" s="102"/>
      <c r="K560" s="102"/>
      <c r="L560" s="102"/>
      <c r="M560" s="102"/>
      <c r="N560" s="102"/>
      <c r="O560" s="102"/>
      <c r="P560" s="102"/>
    </row>
  </sheetData>
  <pageMargins left="0.7" right="0.7" top="0.75" bottom="0.75" header="0.3" footer="0.3"/>
  <pageSetup scale="71"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0" tint="-0.249977111117893"/>
    <pageSetUpPr fitToPage="1"/>
  </sheetPr>
  <dimension ref="A1:T1048571"/>
  <sheetViews>
    <sheetView showGridLines="0" tabSelected="1" view="pageBreakPreview" topLeftCell="A19" zoomScaleNormal="100" zoomScaleSheetLayoutView="100" workbookViewId="0">
      <selection activeCell="AR41" sqref="AR41"/>
    </sheetView>
  </sheetViews>
  <sheetFormatPr defaultRowHeight="12"/>
  <cols>
    <col min="1" max="1" width="6.7109375" style="953" customWidth="1"/>
    <col min="2" max="2" width="15" style="954" customWidth="1"/>
    <col min="3" max="3" width="17.140625" style="955" customWidth="1"/>
    <col min="4" max="4" width="2.85546875" style="955" customWidth="1"/>
    <col min="5" max="9" width="12.7109375" style="955" customWidth="1"/>
    <col min="10" max="10" width="13.28515625" style="956" customWidth="1"/>
    <col min="11" max="11" width="11.28515625" style="956" bestFit="1" customWidth="1"/>
    <col min="12" max="12" width="9.28515625" style="956" bestFit="1" customWidth="1"/>
    <col min="13" max="16384" width="9.140625" style="956"/>
  </cols>
  <sheetData>
    <row r="1" spans="1:20">
      <c r="A1" s="951" t="str">
        <f>'Consolidated IS '!A2</f>
        <v>LeMay Enterprises - Pacific/Rural Disposal</v>
      </c>
      <c r="B1" s="952"/>
    </row>
    <row r="2" spans="1:20">
      <c r="A2" s="951" t="s">
        <v>2960</v>
      </c>
      <c r="B2" s="952"/>
    </row>
    <row r="3" spans="1:20">
      <c r="B3" s="952"/>
    </row>
    <row r="4" spans="1:20" ht="66" customHeight="1">
      <c r="A4" s="1393" t="s">
        <v>2523</v>
      </c>
      <c r="B4" s="1262"/>
      <c r="C4" s="1262"/>
      <c r="D4" s="1262"/>
      <c r="E4" s="1262"/>
      <c r="F4" s="1262"/>
      <c r="G4" s="1262"/>
      <c r="H4" s="1262"/>
      <c r="I4" s="1262"/>
    </row>
    <row r="5" spans="1:20">
      <c r="A5" s="951"/>
      <c r="B5" s="952"/>
    </row>
    <row r="6" spans="1:20">
      <c r="A6" s="1394"/>
      <c r="B6" s="1395"/>
      <c r="C6" s="1396" t="s">
        <v>303</v>
      </c>
      <c r="D6" s="1397"/>
      <c r="E6" s="1396"/>
      <c r="F6" s="1396"/>
      <c r="G6" s="1396"/>
      <c r="H6" s="1396"/>
      <c r="I6" s="1396"/>
      <c r="J6" s="1398"/>
    </row>
    <row r="7" spans="1:20">
      <c r="A7" s="1399"/>
      <c r="B7" s="1400"/>
      <c r="C7" s="1396" t="s">
        <v>304</v>
      </c>
      <c r="D7" s="1397"/>
      <c r="E7" s="1396" t="s">
        <v>1914</v>
      </c>
      <c r="F7" s="1396" t="s">
        <v>1915</v>
      </c>
      <c r="G7" s="1396" t="s">
        <v>13</v>
      </c>
      <c r="H7" s="1396" t="s">
        <v>1916</v>
      </c>
      <c r="I7" s="1396" t="s">
        <v>307</v>
      </c>
      <c r="J7" s="1398"/>
    </row>
    <row r="8" spans="1:20">
      <c r="A8" s="1399"/>
      <c r="B8" s="1395" t="s">
        <v>1</v>
      </c>
      <c r="C8" s="1401" t="s">
        <v>289</v>
      </c>
      <c r="D8" s="1397"/>
      <c r="E8" s="1397"/>
      <c r="F8" s="1397"/>
      <c r="G8" s="1397"/>
      <c r="H8" s="1397"/>
      <c r="I8" s="1397"/>
      <c r="J8" s="1398"/>
    </row>
    <row r="9" spans="1:20">
      <c r="A9" s="1399">
        <v>32000</v>
      </c>
      <c r="B9" s="1400" t="s">
        <v>2</v>
      </c>
      <c r="C9" s="1397">
        <f>+VLOOKUP(A9,'Consolidated IS '!$A:$AG,32,FALSE)</f>
        <v>0</v>
      </c>
      <c r="D9" s="1397"/>
      <c r="E9" s="1397">
        <v>0</v>
      </c>
      <c r="F9" s="1397">
        <v>0</v>
      </c>
      <c r="G9" s="1397">
        <f t="shared" ref="G9:G16" si="0">+SUM(E9:F9)</f>
        <v>0</v>
      </c>
      <c r="H9" s="1397">
        <v>0</v>
      </c>
      <c r="I9" s="1397">
        <v>0</v>
      </c>
      <c r="J9" s="1402" t="s">
        <v>348</v>
      </c>
      <c r="K9" s="958">
        <f t="shared" ref="K9:K22" si="1">+G9-C9</f>
        <v>0</v>
      </c>
      <c r="L9" s="958">
        <f t="shared" ref="L9:L22" si="2">+SUM(H9:I9)-F9</f>
        <v>0</v>
      </c>
      <c r="M9" s="957"/>
      <c r="N9" s="957"/>
      <c r="O9" s="957"/>
      <c r="P9" s="957"/>
      <c r="Q9" s="957"/>
      <c r="R9" s="957"/>
      <c r="S9" s="957"/>
      <c r="T9" s="957"/>
    </row>
    <row r="10" spans="1:20">
      <c r="A10" s="1399">
        <v>32100</v>
      </c>
      <c r="B10" s="1400" t="s">
        <v>3</v>
      </c>
      <c r="C10" s="1397">
        <f>+VLOOKUP(A10,'Consolidated IS '!$A:$AG,32,FALSE)</f>
        <v>0</v>
      </c>
      <c r="D10" s="1397"/>
      <c r="E10" s="1397">
        <v>0</v>
      </c>
      <c r="F10" s="1397">
        <v>0</v>
      </c>
      <c r="G10" s="1397">
        <f t="shared" si="0"/>
        <v>0</v>
      </c>
      <c r="H10" s="1397">
        <v>0</v>
      </c>
      <c r="I10" s="1397">
        <v>0</v>
      </c>
      <c r="J10" s="1402" t="s">
        <v>348</v>
      </c>
      <c r="K10" s="958">
        <f t="shared" si="1"/>
        <v>0</v>
      </c>
      <c r="L10" s="958">
        <f t="shared" si="2"/>
        <v>0</v>
      </c>
      <c r="M10" s="957"/>
      <c r="N10" s="957"/>
      <c r="O10" s="957"/>
      <c r="P10" s="957"/>
      <c r="Q10" s="957"/>
      <c r="R10" s="957"/>
      <c r="S10" s="957"/>
      <c r="T10" s="957"/>
    </row>
    <row r="11" spans="1:20">
      <c r="A11" s="1399">
        <v>32110</v>
      </c>
      <c r="B11" s="1400" t="s">
        <v>4</v>
      </c>
      <c r="C11" s="1397">
        <f>+VLOOKUP(A11,'Consolidated IS '!$A:$AG,32,FALSE)</f>
        <v>0</v>
      </c>
      <c r="D11" s="1397"/>
      <c r="E11" s="1397">
        <v>0</v>
      </c>
      <c r="F11" s="1397">
        <v>0</v>
      </c>
      <c r="G11" s="1397">
        <f t="shared" si="0"/>
        <v>0</v>
      </c>
      <c r="H11" s="1397">
        <v>0</v>
      </c>
      <c r="I11" s="1397">
        <v>0</v>
      </c>
      <c r="J11" s="1402" t="s">
        <v>348</v>
      </c>
      <c r="K11" s="958">
        <f t="shared" si="1"/>
        <v>0</v>
      </c>
      <c r="L11" s="958">
        <f t="shared" si="2"/>
        <v>0</v>
      </c>
      <c r="M11" s="957"/>
      <c r="N11" s="957"/>
      <c r="O11" s="957"/>
      <c r="P11" s="957"/>
      <c r="Q11" s="957"/>
      <c r="R11" s="957"/>
      <c r="S11" s="957"/>
      <c r="T11" s="957"/>
    </row>
    <row r="12" spans="1:20">
      <c r="A12" s="1399"/>
      <c r="B12" s="1400" t="s">
        <v>308</v>
      </c>
      <c r="C12" s="1397">
        <f>+'Consolidated IS '!AF13</f>
        <v>0</v>
      </c>
      <c r="D12" s="1397"/>
      <c r="E12" s="1397">
        <v>0</v>
      </c>
      <c r="F12" s="1397">
        <v>0</v>
      </c>
      <c r="G12" s="1397">
        <f t="shared" si="0"/>
        <v>0</v>
      </c>
      <c r="H12" s="1397">
        <v>0</v>
      </c>
      <c r="I12" s="1397">
        <v>0</v>
      </c>
      <c r="J12" s="1402" t="s">
        <v>348</v>
      </c>
      <c r="K12" s="958">
        <f t="shared" si="1"/>
        <v>0</v>
      </c>
      <c r="L12" s="958">
        <f t="shared" si="2"/>
        <v>0</v>
      </c>
      <c r="M12" s="957"/>
      <c r="N12" s="957"/>
      <c r="O12" s="957"/>
      <c r="P12" s="957"/>
      <c r="Q12" s="957"/>
      <c r="R12" s="957"/>
      <c r="S12" s="957"/>
      <c r="T12" s="957"/>
    </row>
    <row r="13" spans="1:20">
      <c r="A13" s="1399">
        <v>33000</v>
      </c>
      <c r="B13" s="1400" t="s">
        <v>5</v>
      </c>
      <c r="C13" s="1397">
        <f>+VLOOKUP(A13,'Consolidated IS '!$A:$AG,32,FALSE)</f>
        <v>0</v>
      </c>
      <c r="D13" s="1397"/>
      <c r="E13" s="1397">
        <v>0</v>
      </c>
      <c r="F13" s="1397">
        <v>0</v>
      </c>
      <c r="G13" s="1397">
        <f t="shared" si="0"/>
        <v>0</v>
      </c>
      <c r="H13" s="1397">
        <v>0</v>
      </c>
      <c r="I13" s="1397">
        <v>0</v>
      </c>
      <c r="J13" s="1402" t="s">
        <v>348</v>
      </c>
      <c r="K13" s="958">
        <f t="shared" si="1"/>
        <v>0</v>
      </c>
      <c r="L13" s="958">
        <f t="shared" si="2"/>
        <v>0</v>
      </c>
      <c r="M13" s="957"/>
      <c r="N13" s="957"/>
      <c r="O13" s="957"/>
      <c r="P13" s="957"/>
      <c r="Q13" s="957"/>
      <c r="R13" s="957"/>
      <c r="S13" s="957"/>
      <c r="T13" s="957"/>
    </row>
    <row r="14" spans="1:20">
      <c r="A14" s="1399">
        <v>31000</v>
      </c>
      <c r="B14" s="1400" t="s">
        <v>6</v>
      </c>
      <c r="C14" s="1397">
        <f>+VLOOKUP(A14,'Consolidated IS '!$A:$AG,32,FALSE)</f>
        <v>0</v>
      </c>
      <c r="D14" s="1397"/>
      <c r="E14" s="1397">
        <v>0</v>
      </c>
      <c r="F14" s="1397">
        <v>0</v>
      </c>
      <c r="G14" s="1397">
        <f t="shared" si="0"/>
        <v>0</v>
      </c>
      <c r="H14" s="1397">
        <v>0</v>
      </c>
      <c r="I14" s="1397">
        <v>0</v>
      </c>
      <c r="J14" s="1402" t="s">
        <v>348</v>
      </c>
      <c r="K14" s="958">
        <f t="shared" si="1"/>
        <v>0</v>
      </c>
      <c r="L14" s="958">
        <f t="shared" si="2"/>
        <v>0</v>
      </c>
      <c r="M14" s="957"/>
      <c r="N14" s="957"/>
      <c r="O14" s="957"/>
      <c r="P14" s="957"/>
      <c r="Q14" s="957"/>
      <c r="R14" s="957"/>
      <c r="S14" s="957"/>
      <c r="T14" s="957"/>
    </row>
    <row r="15" spans="1:20">
      <c r="A15" s="1399">
        <v>31004</v>
      </c>
      <c r="B15" s="1400" t="s">
        <v>632</v>
      </c>
      <c r="C15" s="1397">
        <f>+VLOOKUP(A15,'Consolidated IS '!$A:$AG,32,FALSE)</f>
        <v>0</v>
      </c>
      <c r="D15" s="1397"/>
      <c r="E15" s="1397">
        <v>0</v>
      </c>
      <c r="F15" s="1397">
        <v>0</v>
      </c>
      <c r="G15" s="1397">
        <f t="shared" si="0"/>
        <v>0</v>
      </c>
      <c r="H15" s="1397">
        <v>0</v>
      </c>
      <c r="I15" s="1397">
        <v>0</v>
      </c>
      <c r="J15" s="1402" t="s">
        <v>348</v>
      </c>
      <c r="K15" s="958">
        <f t="shared" si="1"/>
        <v>0</v>
      </c>
      <c r="L15" s="958">
        <f t="shared" si="2"/>
        <v>0</v>
      </c>
      <c r="M15" s="957"/>
      <c r="N15" s="957"/>
      <c r="O15" s="957"/>
      <c r="P15" s="957"/>
      <c r="Q15" s="957"/>
      <c r="R15" s="957"/>
      <c r="S15" s="957"/>
      <c r="T15" s="957"/>
    </row>
    <row r="16" spans="1:20">
      <c r="A16" s="1399">
        <v>31005</v>
      </c>
      <c r="B16" s="1400" t="s">
        <v>7</v>
      </c>
      <c r="C16" s="1397">
        <f>+VLOOKUP(A16,'Consolidated IS '!$A:$AG,32,FALSE)</f>
        <v>0</v>
      </c>
      <c r="D16" s="1397"/>
      <c r="E16" s="1397">
        <v>0</v>
      </c>
      <c r="F16" s="1397">
        <v>0</v>
      </c>
      <c r="G16" s="1397">
        <f t="shared" si="0"/>
        <v>0</v>
      </c>
      <c r="H16" s="1397">
        <v>0</v>
      </c>
      <c r="I16" s="1397">
        <v>0</v>
      </c>
      <c r="J16" s="1402" t="s">
        <v>348</v>
      </c>
      <c r="K16" s="958">
        <f t="shared" si="1"/>
        <v>0</v>
      </c>
      <c r="L16" s="958">
        <f t="shared" si="2"/>
        <v>0</v>
      </c>
      <c r="M16" s="957"/>
      <c r="N16" s="957"/>
      <c r="O16" s="957"/>
      <c r="P16" s="957"/>
      <c r="Q16" s="957"/>
      <c r="R16" s="957"/>
      <c r="S16" s="957"/>
      <c r="T16" s="957"/>
    </row>
    <row r="17" spans="1:20">
      <c r="A17" s="1399">
        <v>35000</v>
      </c>
      <c r="B17" s="1400" t="s">
        <v>8</v>
      </c>
      <c r="C17" s="1397">
        <f>+VLOOKUP(A17,'Consolidated IS '!$A:$AG,32,FALSE)</f>
        <v>6246611.8000000007</v>
      </c>
      <c r="D17" s="1397"/>
      <c r="E17" s="1397">
        <f>+C17</f>
        <v>6246611.8000000007</v>
      </c>
      <c r="F17" s="1397">
        <v>0</v>
      </c>
      <c r="G17" s="1397">
        <f t="shared" ref="G17:G20" si="3">+SUM(E17:F17)</f>
        <v>6246611.8000000007</v>
      </c>
      <c r="H17" s="1397">
        <f>+F17</f>
        <v>0</v>
      </c>
      <c r="I17" s="1397">
        <v>0</v>
      </c>
      <c r="J17" s="1402" t="s">
        <v>348</v>
      </c>
      <c r="K17" s="958">
        <f t="shared" si="1"/>
        <v>0</v>
      </c>
      <c r="L17" s="958">
        <f t="shared" si="2"/>
        <v>0</v>
      </c>
      <c r="M17" s="957"/>
      <c r="N17" s="957"/>
      <c r="O17" s="957"/>
      <c r="P17" s="957"/>
      <c r="Q17" s="957"/>
      <c r="R17" s="957"/>
      <c r="S17" s="957"/>
      <c r="T17" s="957"/>
    </row>
    <row r="18" spans="1:20">
      <c r="A18" s="1399">
        <v>33020</v>
      </c>
      <c r="B18" s="1400" t="s">
        <v>9</v>
      </c>
      <c r="C18" s="1397">
        <f>+VLOOKUP(A18,'Consolidated IS '!$A:$AG,32,FALSE)</f>
        <v>0</v>
      </c>
      <c r="D18" s="1397"/>
      <c r="E18" s="1397">
        <v>0</v>
      </c>
      <c r="F18" s="1397">
        <v>0</v>
      </c>
      <c r="G18" s="1397">
        <f t="shared" si="3"/>
        <v>0</v>
      </c>
      <c r="H18" s="1397">
        <f>+F18</f>
        <v>0</v>
      </c>
      <c r="I18" s="1397">
        <v>0</v>
      </c>
      <c r="J18" s="1402" t="s">
        <v>348</v>
      </c>
      <c r="K18" s="958">
        <f t="shared" si="1"/>
        <v>0</v>
      </c>
      <c r="L18" s="958">
        <f t="shared" si="2"/>
        <v>0</v>
      </c>
      <c r="M18" s="957"/>
      <c r="N18" s="957"/>
      <c r="O18" s="957"/>
      <c r="P18" s="957"/>
      <c r="Q18" s="957"/>
      <c r="R18" s="957"/>
      <c r="S18" s="957"/>
      <c r="T18" s="957"/>
    </row>
    <row r="19" spans="1:20">
      <c r="A19" s="1399">
        <v>35500</v>
      </c>
      <c r="B19" s="1400" t="s">
        <v>10</v>
      </c>
      <c r="C19" s="1397">
        <f>+VLOOKUP(A19,'Consolidated IS '!$A:$AG,32,FALSE)</f>
        <v>374856.88</v>
      </c>
      <c r="D19" s="1397"/>
      <c r="E19" s="1397">
        <v>0</v>
      </c>
      <c r="F19" s="1397">
        <f>+C19</f>
        <v>374856.88</v>
      </c>
      <c r="G19" s="1397">
        <f t="shared" si="3"/>
        <v>374856.88</v>
      </c>
      <c r="H19" s="1397">
        <f>+F19</f>
        <v>374856.88</v>
      </c>
      <c r="I19" s="1397">
        <v>0</v>
      </c>
      <c r="J19" s="1402" t="s">
        <v>348</v>
      </c>
      <c r="K19" s="958">
        <f t="shared" si="1"/>
        <v>0</v>
      </c>
      <c r="L19" s="958">
        <f t="shared" si="2"/>
        <v>0</v>
      </c>
      <c r="M19" s="957"/>
      <c r="N19" s="957"/>
      <c r="O19" s="957"/>
      <c r="P19" s="957"/>
      <c r="Q19" s="957"/>
      <c r="R19" s="957"/>
      <c r="S19" s="957"/>
      <c r="T19" s="957"/>
    </row>
    <row r="20" spans="1:20">
      <c r="A20" s="1399">
        <v>38000</v>
      </c>
      <c r="B20" s="1400" t="s">
        <v>11</v>
      </c>
      <c r="C20" s="1397">
        <f>+VLOOKUP(A20,'Consolidated IS '!$A:$AG,32,FALSE)</f>
        <v>9810</v>
      </c>
      <c r="D20" s="1397"/>
      <c r="E20" s="1397">
        <f>C20</f>
        <v>9810</v>
      </c>
      <c r="F20" s="1397"/>
      <c r="G20" s="1397">
        <f t="shared" si="3"/>
        <v>9810</v>
      </c>
      <c r="H20" s="1397">
        <f>+$F20*'2184 Ratios'!G$40</f>
        <v>0</v>
      </c>
      <c r="I20" s="1397">
        <f>+$F20*'2184 Ratios'!H$40</f>
        <v>0</v>
      </c>
      <c r="J20" s="1402" t="s">
        <v>2513</v>
      </c>
      <c r="K20" s="958">
        <f t="shared" si="1"/>
        <v>0</v>
      </c>
      <c r="L20" s="958">
        <f t="shared" si="2"/>
        <v>0</v>
      </c>
      <c r="M20" s="957"/>
      <c r="N20" s="957"/>
      <c r="O20" s="957"/>
      <c r="P20" s="957"/>
      <c r="Q20" s="957"/>
      <c r="R20" s="957"/>
      <c r="S20" s="957"/>
      <c r="T20" s="957"/>
    </row>
    <row r="21" spans="1:20">
      <c r="A21" s="1399">
        <v>38001</v>
      </c>
      <c r="B21" s="1400" t="s">
        <v>12</v>
      </c>
      <c r="C21" s="1397">
        <f>+VLOOKUP(A21,'Consolidated IS '!$A:$AG,32,FALSE)</f>
        <v>7190.93</v>
      </c>
      <c r="D21" s="1397"/>
      <c r="E21" s="1397">
        <f>+$C21*'2184 Ratios'!D$15</f>
        <v>4954.2310955531084</v>
      </c>
      <c r="F21" s="1397">
        <f>+$C21*'2184 Ratios'!E$15</f>
        <v>2236.6989044468914</v>
      </c>
      <c r="G21" s="1397">
        <f t="shared" ref="G21" si="4">+SUM(E21:F21)</f>
        <v>7190.93</v>
      </c>
      <c r="H21" s="1397">
        <f>+$F21*'2184 Ratios'!G$40</f>
        <v>1395.462355173064</v>
      </c>
      <c r="I21" s="1397">
        <f>+$F21*'2184 Ratios'!H$40</f>
        <v>841.23654927382756</v>
      </c>
      <c r="J21" s="1402" t="s">
        <v>2513</v>
      </c>
      <c r="K21" s="958">
        <f t="shared" si="1"/>
        <v>0</v>
      </c>
      <c r="L21" s="958">
        <f t="shared" si="2"/>
        <v>0</v>
      </c>
      <c r="M21" s="957"/>
      <c r="N21" s="957"/>
      <c r="O21" s="957"/>
      <c r="P21" s="957"/>
      <c r="Q21" s="957"/>
      <c r="R21" s="957"/>
      <c r="S21" s="957"/>
      <c r="T21" s="957"/>
    </row>
    <row r="22" spans="1:20">
      <c r="A22" s="1399"/>
      <c r="B22" s="1400"/>
      <c r="C22" s="1397"/>
      <c r="D22" s="1397"/>
      <c r="E22" s="1397"/>
      <c r="F22" s="1397"/>
      <c r="G22" s="1397"/>
      <c r="H22" s="1397"/>
      <c r="I22" s="1397"/>
      <c r="J22" s="1402"/>
      <c r="K22" s="958">
        <f t="shared" si="1"/>
        <v>0</v>
      </c>
      <c r="L22" s="958">
        <f t="shared" si="2"/>
        <v>0</v>
      </c>
      <c r="M22" s="957"/>
      <c r="N22" s="957"/>
      <c r="O22" s="957"/>
      <c r="P22" s="957"/>
      <c r="Q22" s="957"/>
      <c r="R22" s="957"/>
      <c r="S22" s="957"/>
      <c r="T22" s="957"/>
    </row>
    <row r="23" spans="1:20">
      <c r="A23" s="1399"/>
      <c r="B23" s="1395" t="s">
        <v>13</v>
      </c>
      <c r="C23" s="1403">
        <f>SUM(C9:C22)</f>
        <v>6638469.6100000003</v>
      </c>
      <c r="D23" s="1403"/>
      <c r="E23" s="1403">
        <f>SUM(E9:E22)</f>
        <v>6261376.0310955541</v>
      </c>
      <c r="F23" s="1403">
        <f>SUM(F9:F22)</f>
        <v>377093.57890444691</v>
      </c>
      <c r="G23" s="1403">
        <f t="shared" ref="G23:I23" si="5">SUM(G9:G22)</f>
        <v>6638469.6100000003</v>
      </c>
      <c r="H23" s="1403">
        <f t="shared" si="5"/>
        <v>376252.34235517308</v>
      </c>
      <c r="I23" s="1403">
        <f t="shared" si="5"/>
        <v>841.23654927382756</v>
      </c>
      <c r="J23" s="1402"/>
      <c r="K23" s="957"/>
      <c r="L23" s="957"/>
      <c r="M23" s="957"/>
      <c r="N23" s="957"/>
      <c r="O23" s="957"/>
      <c r="P23" s="957"/>
      <c r="Q23" s="957"/>
    </row>
    <row r="24" spans="1:20">
      <c r="A24" s="1399"/>
      <c r="B24" s="1400"/>
      <c r="C24" s="1397">
        <f>+C23-'Consolidated IS '!AF24</f>
        <v>0</v>
      </c>
      <c r="D24" s="1397"/>
      <c r="E24" s="1404">
        <f>E23/C23</f>
        <v>0.94319570608014791</v>
      </c>
      <c r="F24" s="1404">
        <f>F23/C23</f>
        <v>5.6804293919852242E-2</v>
      </c>
      <c r="G24" s="1397"/>
      <c r="H24" s="1404">
        <f>+$H23/$F$23</f>
        <v>0.99776915705720093</v>
      </c>
      <c r="I24" s="1404">
        <f>+$I23/$F$23</f>
        <v>2.2308429427990643E-3</v>
      </c>
      <c r="J24" s="1402"/>
      <c r="K24" s="957"/>
      <c r="L24" s="957"/>
      <c r="M24" s="957"/>
      <c r="N24" s="957"/>
      <c r="O24" s="957"/>
      <c r="P24" s="957"/>
      <c r="Q24" s="957"/>
    </row>
    <row r="25" spans="1:20">
      <c r="A25" s="1399"/>
      <c r="B25" s="1400"/>
      <c r="C25" s="1397"/>
      <c r="D25" s="1397"/>
      <c r="E25" s="1397"/>
      <c r="F25" s="1397"/>
      <c r="G25" s="1397"/>
      <c r="H25" s="1397"/>
      <c r="I25" s="1397"/>
      <c r="J25" s="1402"/>
      <c r="K25" s="957"/>
      <c r="L25" s="957"/>
      <c r="M25" s="957"/>
      <c r="N25" s="957"/>
      <c r="O25" s="957"/>
      <c r="P25" s="957"/>
      <c r="Q25" s="957"/>
    </row>
    <row r="26" spans="1:20">
      <c r="A26" s="1399"/>
      <c r="B26" s="1395" t="s">
        <v>14</v>
      </c>
      <c r="C26" s="1397"/>
      <c r="D26" s="1397"/>
      <c r="E26" s="1397"/>
      <c r="F26" s="1397"/>
      <c r="G26" s="1397"/>
      <c r="H26" s="1397"/>
      <c r="I26" s="1397"/>
      <c r="J26" s="1402"/>
      <c r="K26" s="957"/>
      <c r="L26" s="957"/>
      <c r="M26" s="957"/>
      <c r="N26" s="957"/>
      <c r="O26" s="957"/>
      <c r="P26" s="957"/>
      <c r="Q26" s="957"/>
    </row>
    <row r="27" spans="1:20">
      <c r="A27" s="1405">
        <v>57125</v>
      </c>
      <c r="B27" s="1406" t="s">
        <v>15</v>
      </c>
      <c r="C27" s="1397">
        <f>+VLOOKUP(A27,'Consolidated IS '!$A:$AG,32,FALSE)</f>
        <v>1078.1199999999999</v>
      </c>
      <c r="D27" s="1397"/>
      <c r="E27" s="1397">
        <f>+$C27*'2184 Ratios'!D$15</f>
        <v>742.77675192745812</v>
      </c>
      <c r="F27" s="1397">
        <f>+$C27*'2184 Ratios'!E$15</f>
        <v>335.34324807254171</v>
      </c>
      <c r="G27" s="1397">
        <f>+SUM(E27:F27)</f>
        <v>1078.1199999999999</v>
      </c>
      <c r="H27" s="1397">
        <f>+$F27*'2184 Ratios'!G$40</f>
        <v>209.2185397937657</v>
      </c>
      <c r="I27" s="1397">
        <f>+$F27*'2184 Ratios'!H$40</f>
        <v>126.12470827877603</v>
      </c>
      <c r="J27" s="1402" t="s">
        <v>2513</v>
      </c>
      <c r="K27" s="958">
        <f>+G27-C27</f>
        <v>0</v>
      </c>
      <c r="L27" s="958">
        <f>+SUM(H27:I27)-F27</f>
        <v>0</v>
      </c>
      <c r="M27" s="957"/>
      <c r="N27" s="957"/>
      <c r="O27" s="957"/>
      <c r="P27" s="957"/>
      <c r="Q27" s="957"/>
    </row>
    <row r="28" spans="1:20">
      <c r="A28" s="1405">
        <v>57147</v>
      </c>
      <c r="B28" s="1406" t="s">
        <v>16</v>
      </c>
      <c r="C28" s="1397">
        <f>+VLOOKUP(A28,'Consolidated IS '!$A:$AG,32,FALSE)</f>
        <v>87555.08</v>
      </c>
      <c r="D28" s="1397"/>
      <c r="E28" s="1397">
        <f>+'2184 Ratios'!D29</f>
        <v>55872.507555933851</v>
      </c>
      <c r="F28" s="1397">
        <f>+'2184 Ratios'!E29</f>
        <v>31682.572444066154</v>
      </c>
      <c r="G28" s="1397">
        <f>+SUM(E28:F28)</f>
        <v>87555.08</v>
      </c>
      <c r="H28" s="1397">
        <f>+'2184 Ratios'!G29</f>
        <v>19766.557346113077</v>
      </c>
      <c r="I28" s="1397">
        <f>+'2184 Ratios'!H29</f>
        <v>11916.015097953079</v>
      </c>
      <c r="J28" s="1402" t="s">
        <v>1920</v>
      </c>
      <c r="K28" s="958">
        <f>+G28-C28</f>
        <v>0</v>
      </c>
      <c r="L28" s="958">
        <f>+SUM(H28:I28)-F28</f>
        <v>0</v>
      </c>
      <c r="M28" s="957"/>
      <c r="N28" s="957"/>
      <c r="O28" s="957"/>
      <c r="P28" s="957"/>
      <c r="Q28" s="957"/>
    </row>
    <row r="29" spans="1:20" s="960" customFormat="1">
      <c r="A29" s="1405"/>
      <c r="B29" s="1406"/>
      <c r="C29" s="1397"/>
      <c r="D29" s="1397"/>
      <c r="E29" s="1397"/>
      <c r="F29" s="1397"/>
      <c r="G29" s="1397"/>
      <c r="H29" s="1397"/>
      <c r="I29" s="1397"/>
      <c r="J29" s="1402"/>
      <c r="K29" s="959"/>
      <c r="L29" s="959"/>
      <c r="M29" s="957"/>
      <c r="N29" s="959"/>
      <c r="O29" s="959"/>
      <c r="P29" s="959"/>
      <c r="Q29" s="959"/>
    </row>
    <row r="30" spans="1:20">
      <c r="A30" s="1407">
        <v>41200</v>
      </c>
      <c r="B30" s="1395" t="s">
        <v>13</v>
      </c>
      <c r="C30" s="1403">
        <f>SUM(C27:C29)</f>
        <v>88633.2</v>
      </c>
      <c r="D30" s="1403"/>
      <c r="E30" s="1403">
        <f>SUM(E27:E29)</f>
        <v>56615.284307861308</v>
      </c>
      <c r="F30" s="1403">
        <f>SUM(F27:F29)</f>
        <v>32017.915692138697</v>
      </c>
      <c r="G30" s="1403">
        <f t="shared" ref="G30:H30" si="6">SUM(G27:G29)</f>
        <v>88633.2</v>
      </c>
      <c r="H30" s="1403">
        <f t="shared" si="6"/>
        <v>19975.775885906842</v>
      </c>
      <c r="I30" s="1403">
        <f>SUM(I27:I29)</f>
        <v>12042.139806231855</v>
      </c>
      <c r="J30" s="1402"/>
      <c r="K30" s="957"/>
      <c r="L30" s="957"/>
      <c r="M30" s="957"/>
      <c r="N30" s="957"/>
      <c r="O30" s="957"/>
      <c r="P30" s="957"/>
      <c r="Q30" s="957"/>
    </row>
    <row r="31" spans="1:20">
      <c r="A31" s="1399"/>
      <c r="B31" s="1400"/>
      <c r="C31" s="1397"/>
      <c r="D31" s="1397"/>
      <c r="E31" s="1397"/>
      <c r="F31" s="1397"/>
      <c r="G31" s="1397"/>
      <c r="H31" s="1397"/>
      <c r="I31" s="1397"/>
      <c r="J31" s="1402"/>
      <c r="K31" s="957"/>
      <c r="L31" s="957"/>
      <c r="M31" s="957"/>
      <c r="N31" s="957"/>
      <c r="O31" s="957"/>
      <c r="P31" s="957"/>
      <c r="Q31" s="957"/>
    </row>
    <row r="32" spans="1:20">
      <c r="A32" s="1408">
        <v>52010</v>
      </c>
      <c r="B32" s="1400" t="s">
        <v>17</v>
      </c>
      <c r="C32" s="1397">
        <f>+VLOOKUP(A32,'Consolidated IS '!$A:$AG,32,FALSE)</f>
        <v>11359.505924913832</v>
      </c>
      <c r="D32" s="1397"/>
      <c r="E32" s="1397">
        <f>+$C32*'2184 Ratios'!D$8</f>
        <v>5950.217389240579</v>
      </c>
      <c r="F32" s="1397">
        <f>+$C32*'2184 Ratios'!E$8</f>
        <v>5409.2885356732531</v>
      </c>
      <c r="G32" s="1397">
        <f t="shared" ref="G32" si="7">+SUM(E32:F32)</f>
        <v>11359.505924913832</v>
      </c>
      <c r="H32" s="1397">
        <f>+$F32*'2184 Ratios'!G$40</f>
        <v>3374.8210386269648</v>
      </c>
      <c r="I32" s="1397">
        <f>+$F32*'2184 Ratios'!H$40</f>
        <v>2034.4674970462886</v>
      </c>
      <c r="J32" s="1402" t="s">
        <v>1922</v>
      </c>
      <c r="K32" s="958">
        <f t="shared" ref="K32:K37" si="8">+G32-C32</f>
        <v>0</v>
      </c>
      <c r="L32" s="958">
        <f t="shared" ref="L32:L37" si="9">+SUM(H32:I32)-F32</f>
        <v>0</v>
      </c>
      <c r="M32" s="957"/>
      <c r="N32" s="957"/>
      <c r="O32" s="957"/>
      <c r="P32" s="957"/>
      <c r="Q32" s="957"/>
    </row>
    <row r="33" spans="1:17">
      <c r="A33" s="1408">
        <v>52020</v>
      </c>
      <c r="B33" s="1406" t="s">
        <v>18</v>
      </c>
      <c r="C33" s="1397">
        <f>+VLOOKUP(A33,'Consolidated IS '!$A:$AG,32,FALSE)</f>
        <v>67831.863635263857</v>
      </c>
      <c r="D33" s="1397"/>
      <c r="E33" s="1397">
        <f>+$C33*'2184 Ratios'!D$8</f>
        <v>35530.976189900117</v>
      </c>
      <c r="F33" s="1397">
        <f>+$C33*'2184 Ratios'!E$8</f>
        <v>32300.88744536374</v>
      </c>
      <c r="G33" s="1397">
        <f t="shared" ref="G33:G37" si="10">+SUM(E33:F33)</f>
        <v>67831.863635263857</v>
      </c>
      <c r="H33" s="1397">
        <f>+$F33*'2184 Ratios'!G$40</f>
        <v>20152.320180008206</v>
      </c>
      <c r="I33" s="1397">
        <f>+$F33*'2184 Ratios'!H$40</f>
        <v>12148.567265355534</v>
      </c>
      <c r="J33" s="1402" t="s">
        <v>1922</v>
      </c>
      <c r="K33" s="958">
        <f t="shared" si="8"/>
        <v>0</v>
      </c>
      <c r="L33" s="958">
        <f t="shared" si="9"/>
        <v>0</v>
      </c>
      <c r="M33" s="957"/>
      <c r="N33" s="957"/>
      <c r="O33" s="957"/>
      <c r="P33" s="957"/>
      <c r="Q33" s="957"/>
    </row>
    <row r="34" spans="1:17">
      <c r="A34" s="1408">
        <v>52025</v>
      </c>
      <c r="B34" s="1400" t="s">
        <v>19</v>
      </c>
      <c r="C34" s="1397">
        <f>+VLOOKUP(A34,'Consolidated IS '!$A:$AG,32,FALSE)</f>
        <v>9795.3039471531993</v>
      </c>
      <c r="D34" s="1397"/>
      <c r="E34" s="1397">
        <f>+$C34*'2184 Ratios'!D$8</f>
        <v>5130.8734961278669</v>
      </c>
      <c r="F34" s="1397">
        <f>+$C34*'2184 Ratios'!E$8</f>
        <v>4664.4304510253323</v>
      </c>
      <c r="G34" s="1397">
        <f t="shared" si="10"/>
        <v>9795.3039471531993</v>
      </c>
      <c r="H34" s="1397">
        <f>+$F34*'2184 Ratios'!G$40</f>
        <v>2910.1087722571106</v>
      </c>
      <c r="I34" s="1397">
        <f>+$F34*'2184 Ratios'!H$40</f>
        <v>1754.321678768222</v>
      </c>
      <c r="J34" s="1402" t="s">
        <v>1922</v>
      </c>
      <c r="K34" s="958">
        <f t="shared" si="8"/>
        <v>0</v>
      </c>
      <c r="L34" s="958">
        <f t="shared" si="9"/>
        <v>0</v>
      </c>
      <c r="M34" s="957"/>
      <c r="N34" s="957"/>
      <c r="O34" s="957"/>
      <c r="P34" s="957"/>
      <c r="Q34" s="957"/>
    </row>
    <row r="35" spans="1:17">
      <c r="A35" s="1408">
        <v>52035</v>
      </c>
      <c r="B35" s="1400" t="s">
        <v>20</v>
      </c>
      <c r="C35" s="1397">
        <f>+VLOOKUP(A35,'Consolidated IS '!$A:$AG,32,FALSE)</f>
        <v>798.3419224035847</v>
      </c>
      <c r="D35" s="1397"/>
      <c r="E35" s="1397">
        <f>+$C35*'2184 Ratios'!D$8</f>
        <v>418.17910221140153</v>
      </c>
      <c r="F35" s="1397">
        <f>+$C35*'2184 Ratios'!E$8</f>
        <v>380.16282019218318</v>
      </c>
      <c r="G35" s="1397">
        <f t="shared" si="10"/>
        <v>798.3419224035847</v>
      </c>
      <c r="H35" s="1397">
        <f>+$F35*'2184 Ratios'!G$40</f>
        <v>237.18118847373643</v>
      </c>
      <c r="I35" s="1397">
        <f>+$F35*'2184 Ratios'!H$40</f>
        <v>142.98163171844675</v>
      </c>
      <c r="J35" s="1402" t="s">
        <v>1922</v>
      </c>
      <c r="K35" s="958">
        <f t="shared" si="8"/>
        <v>0</v>
      </c>
      <c r="L35" s="958">
        <f t="shared" si="9"/>
        <v>0</v>
      </c>
      <c r="M35" s="957"/>
      <c r="N35" s="957"/>
      <c r="O35" s="957"/>
      <c r="P35" s="957"/>
      <c r="Q35" s="957"/>
    </row>
    <row r="36" spans="1:17">
      <c r="A36" s="1399">
        <v>52065</v>
      </c>
      <c r="B36" s="1400" t="s">
        <v>21</v>
      </c>
      <c r="C36" s="1397">
        <f>+VLOOKUP(A36,'Consolidated IS '!$A:$AG,32,FALSE)</f>
        <v>2225.4052919107316</v>
      </c>
      <c r="D36" s="1397"/>
      <c r="E36" s="1397">
        <f>+$C36*'2184 Ratios'!D$8</f>
        <v>1165.6884862389547</v>
      </c>
      <c r="F36" s="1397">
        <f>+$C36*'2184 Ratios'!E$8</f>
        <v>1059.7168056717769</v>
      </c>
      <c r="G36" s="1397">
        <f t="shared" si="10"/>
        <v>2225.4052919107316</v>
      </c>
      <c r="H36" s="1397">
        <f>+$F36*'2184 Ratios'!G$40</f>
        <v>661.1506387914568</v>
      </c>
      <c r="I36" s="1397">
        <f>+$F36*'2184 Ratios'!H$40</f>
        <v>398.56616688032011</v>
      </c>
      <c r="J36" s="1402" t="s">
        <v>1922</v>
      </c>
      <c r="K36" s="958">
        <f t="shared" si="8"/>
        <v>0</v>
      </c>
      <c r="L36" s="958">
        <f t="shared" si="9"/>
        <v>0</v>
      </c>
      <c r="M36" s="957"/>
      <c r="N36" s="957"/>
      <c r="O36" s="957"/>
      <c r="P36" s="957"/>
      <c r="Q36" s="957"/>
    </row>
    <row r="37" spans="1:17">
      <c r="A37" s="1399">
        <v>52070</v>
      </c>
      <c r="B37" s="1400" t="s">
        <v>22</v>
      </c>
      <c r="C37" s="1397">
        <f>+VLOOKUP(A37,'Consolidated IS '!$A:$AG,32,FALSE)</f>
        <v>2721.1930192986092</v>
      </c>
      <c r="D37" s="1397"/>
      <c r="E37" s="1397">
        <f>+$C37*'2184 Ratios'!D$8</f>
        <v>1425.386819632605</v>
      </c>
      <c r="F37" s="1397">
        <f>+$C37*'2184 Ratios'!E$8</f>
        <v>1295.8061996660042</v>
      </c>
      <c r="G37" s="1397">
        <f t="shared" si="10"/>
        <v>2721.1930192986092</v>
      </c>
      <c r="H37" s="1397">
        <f>+$F37*'2184 Ratios'!G$40</f>
        <v>808.44532432984658</v>
      </c>
      <c r="I37" s="1397">
        <f>+$F37*'2184 Ratios'!H$40</f>
        <v>487.36087533615762</v>
      </c>
      <c r="J37" s="1402" t="s">
        <v>1922</v>
      </c>
      <c r="K37" s="958">
        <f t="shared" si="8"/>
        <v>0</v>
      </c>
      <c r="L37" s="958">
        <f t="shared" si="9"/>
        <v>0</v>
      </c>
      <c r="M37" s="957"/>
      <c r="N37" s="957"/>
      <c r="O37" s="957"/>
      <c r="P37" s="957"/>
      <c r="Q37" s="957"/>
    </row>
    <row r="38" spans="1:17" s="960" customFormat="1">
      <c r="A38" s="1399"/>
      <c r="B38" s="1400"/>
      <c r="C38" s="1397"/>
      <c r="D38" s="1397"/>
      <c r="E38" s="1397"/>
      <c r="F38" s="1397"/>
      <c r="G38" s="1397"/>
      <c r="H38" s="1397"/>
      <c r="I38" s="1397"/>
      <c r="J38" s="1402"/>
      <c r="K38" s="959"/>
      <c r="L38" s="959"/>
      <c r="M38" s="957"/>
      <c r="N38" s="959"/>
      <c r="O38" s="959"/>
      <c r="P38" s="959"/>
      <c r="Q38" s="959"/>
    </row>
    <row r="39" spans="1:17">
      <c r="A39" s="1407">
        <v>41310</v>
      </c>
      <c r="B39" s="1395" t="s">
        <v>23</v>
      </c>
      <c r="C39" s="1403">
        <f>SUM(C32:C38)</f>
        <v>94731.613740943809</v>
      </c>
      <c r="D39" s="1403"/>
      <c r="E39" s="1403">
        <f>SUM(E32:E38)</f>
        <v>49621.32148335153</v>
      </c>
      <c r="F39" s="1403">
        <f>SUM(F32:F38)</f>
        <v>45110.292257592293</v>
      </c>
      <c r="G39" s="1403">
        <f t="shared" ref="G39:H39" si="11">SUM(G32:G38)</f>
        <v>94731.613740943809</v>
      </c>
      <c r="H39" s="1403">
        <f t="shared" si="11"/>
        <v>28144.027142487317</v>
      </c>
      <c r="I39" s="1403">
        <f>SUM(I32:I38)</f>
        <v>16966.265115104969</v>
      </c>
      <c r="J39" s="1402"/>
      <c r="K39" s="957"/>
      <c r="L39" s="957"/>
      <c r="M39" s="957"/>
      <c r="N39" s="957"/>
      <c r="O39" s="957"/>
      <c r="P39" s="957"/>
      <c r="Q39" s="957"/>
    </row>
    <row r="40" spans="1:17">
      <c r="A40" s="1407"/>
      <c r="B40" s="1395"/>
      <c r="C40" s="1397"/>
      <c r="D40" s="1397"/>
      <c r="E40" s="1397"/>
      <c r="F40" s="1397"/>
      <c r="G40" s="1397"/>
      <c r="H40" s="1397"/>
      <c r="I40" s="1397"/>
      <c r="J40" s="1402"/>
      <c r="K40" s="957"/>
      <c r="L40" s="957"/>
      <c r="M40" s="957"/>
      <c r="N40" s="957"/>
      <c r="O40" s="957"/>
      <c r="P40" s="957"/>
      <c r="Q40" s="957"/>
    </row>
    <row r="41" spans="1:17">
      <c r="A41" s="1399">
        <v>55020</v>
      </c>
      <c r="B41" s="1400" t="s">
        <v>24</v>
      </c>
      <c r="C41" s="1397">
        <f>+VLOOKUP(A41,'Consolidated IS '!$A:$AG,32,FALSE)</f>
        <v>0</v>
      </c>
      <c r="D41" s="1397"/>
      <c r="E41" s="1397">
        <v>0</v>
      </c>
      <c r="F41" s="1397">
        <v>0</v>
      </c>
      <c r="G41" s="1397">
        <f t="shared" ref="G41:G43" si="12">+SUM(E41:F41)</f>
        <v>0</v>
      </c>
      <c r="H41" s="1397">
        <v>0</v>
      </c>
      <c r="I41" s="1397">
        <v>0</v>
      </c>
      <c r="J41" s="1402" t="s">
        <v>348</v>
      </c>
      <c r="K41" s="958">
        <f t="shared" ref="K41:K43" si="13">+G41-C41</f>
        <v>0</v>
      </c>
      <c r="L41" s="958">
        <f t="shared" ref="L41:L43" si="14">+SUM(H41:I41)-F41</f>
        <v>0</v>
      </c>
      <c r="M41" s="957"/>
      <c r="N41" s="957"/>
      <c r="O41" s="957"/>
      <c r="P41" s="957"/>
      <c r="Q41" s="957"/>
    </row>
    <row r="42" spans="1:17">
      <c r="A42" s="1399">
        <v>55025</v>
      </c>
      <c r="B42" s="1400" t="s">
        <v>25</v>
      </c>
      <c r="C42" s="1397">
        <f>+VLOOKUP(A42,'Consolidated IS '!$A:$AG,32,FALSE)</f>
        <v>0</v>
      </c>
      <c r="D42" s="1397"/>
      <c r="E42" s="1397">
        <v>0</v>
      </c>
      <c r="F42" s="1397">
        <v>0</v>
      </c>
      <c r="G42" s="1397">
        <f t="shared" si="12"/>
        <v>0</v>
      </c>
      <c r="H42" s="1397">
        <v>0</v>
      </c>
      <c r="I42" s="1397">
        <v>0</v>
      </c>
      <c r="J42" s="1402" t="s">
        <v>348</v>
      </c>
      <c r="K42" s="958">
        <f t="shared" si="13"/>
        <v>0</v>
      </c>
      <c r="L42" s="958">
        <f t="shared" si="14"/>
        <v>0</v>
      </c>
      <c r="M42" s="957"/>
      <c r="N42" s="957"/>
      <c r="O42" s="957"/>
      <c r="P42" s="957"/>
      <c r="Q42" s="957"/>
    </row>
    <row r="43" spans="1:17">
      <c r="A43" s="1399">
        <v>55065</v>
      </c>
      <c r="B43" s="1400" t="s">
        <v>21</v>
      </c>
      <c r="C43" s="1397">
        <f>+VLOOKUP(A43,'Consolidated IS '!$A:$AG,32,FALSE)</f>
        <v>0</v>
      </c>
      <c r="D43" s="1397"/>
      <c r="E43" s="1397">
        <v>0</v>
      </c>
      <c r="F43" s="1397">
        <v>0</v>
      </c>
      <c r="G43" s="1397">
        <f t="shared" si="12"/>
        <v>0</v>
      </c>
      <c r="H43" s="1397">
        <v>0</v>
      </c>
      <c r="I43" s="1397">
        <v>0</v>
      </c>
      <c r="J43" s="1402" t="s">
        <v>348</v>
      </c>
      <c r="K43" s="958">
        <f t="shared" si="13"/>
        <v>0</v>
      </c>
      <c r="L43" s="958">
        <f t="shared" si="14"/>
        <v>0</v>
      </c>
      <c r="M43" s="957"/>
      <c r="N43" s="957"/>
      <c r="O43" s="957"/>
      <c r="P43" s="957"/>
      <c r="Q43" s="957"/>
    </row>
    <row r="44" spans="1:17" s="960" customFormat="1">
      <c r="A44" s="1399"/>
      <c r="B44" s="1400"/>
      <c r="C44" s="1397"/>
      <c r="D44" s="1397"/>
      <c r="E44" s="1397"/>
      <c r="F44" s="1397"/>
      <c r="G44" s="1397"/>
      <c r="H44" s="1397"/>
      <c r="I44" s="1397"/>
      <c r="J44" s="1402"/>
      <c r="K44" s="959"/>
      <c r="L44" s="959"/>
      <c r="M44" s="957"/>
      <c r="N44" s="959"/>
      <c r="O44" s="959"/>
      <c r="P44" s="959"/>
      <c r="Q44" s="959"/>
    </row>
    <row r="45" spans="1:17">
      <c r="A45" s="1407">
        <v>41311</v>
      </c>
      <c r="B45" s="1395" t="s">
        <v>28</v>
      </c>
      <c r="C45" s="1403">
        <f>SUM(C41:C44)</f>
        <v>0</v>
      </c>
      <c r="D45" s="1403"/>
      <c r="E45" s="1403">
        <f>SUM(E41:E44)</f>
        <v>0</v>
      </c>
      <c r="F45" s="1403">
        <f>SUM(F41:F44)</f>
        <v>0</v>
      </c>
      <c r="G45" s="1403">
        <f t="shared" ref="G45:H45" si="15">SUM(G41:G44)</f>
        <v>0</v>
      </c>
      <c r="H45" s="1403">
        <f t="shared" si="15"/>
        <v>0</v>
      </c>
      <c r="I45" s="1403">
        <f>SUM(I41:I44)</f>
        <v>0</v>
      </c>
      <c r="J45" s="1402"/>
      <c r="K45" s="957"/>
      <c r="L45" s="957"/>
      <c r="M45" s="957"/>
      <c r="N45" s="957"/>
      <c r="O45" s="957"/>
      <c r="P45" s="957"/>
      <c r="Q45" s="957"/>
    </row>
    <row r="46" spans="1:17">
      <c r="A46" s="1399"/>
      <c r="B46" s="1400"/>
      <c r="C46" s="1397"/>
      <c r="D46" s="1397"/>
      <c r="E46" s="1397"/>
      <c r="F46" s="1397"/>
      <c r="G46" s="1397"/>
      <c r="H46" s="1397"/>
      <c r="I46" s="1397"/>
      <c r="J46" s="1402"/>
      <c r="K46" s="957"/>
      <c r="L46" s="957"/>
      <c r="M46" s="957"/>
      <c r="N46" s="957"/>
      <c r="O46" s="957"/>
      <c r="P46" s="957"/>
      <c r="Q46" s="957"/>
    </row>
    <row r="47" spans="1:17">
      <c r="A47" s="1408">
        <v>52120</v>
      </c>
      <c r="B47" s="1400" t="s">
        <v>29</v>
      </c>
      <c r="C47" s="1397">
        <f>+VLOOKUP(A47,'Consolidated IS '!$A:$AG,32,FALSE)</f>
        <v>15238</v>
      </c>
      <c r="D47" s="1397"/>
      <c r="E47" s="1397">
        <f>+C47</f>
        <v>15238</v>
      </c>
      <c r="F47" s="1397">
        <v>0</v>
      </c>
      <c r="G47" s="1397">
        <f t="shared" ref="G47:G51" si="16">+SUM(E47:F47)</f>
        <v>15238</v>
      </c>
      <c r="H47" s="1397">
        <v>0</v>
      </c>
      <c r="I47" s="1397">
        <v>0</v>
      </c>
      <c r="J47" s="1402" t="s">
        <v>348</v>
      </c>
      <c r="K47" s="958">
        <f t="shared" ref="K47:K51" si="17">+G47-C47</f>
        <v>0</v>
      </c>
      <c r="L47" s="958">
        <f t="shared" ref="L47:L51" si="18">+SUM(H47:I47)-F47</f>
        <v>0</v>
      </c>
      <c r="M47" s="957"/>
      <c r="N47" s="957"/>
      <c r="O47" s="957"/>
      <c r="P47" s="957"/>
      <c r="Q47" s="957"/>
    </row>
    <row r="48" spans="1:17">
      <c r="A48" s="1408">
        <v>52125</v>
      </c>
      <c r="B48" s="1400" t="s">
        <v>30</v>
      </c>
      <c r="C48" s="1397">
        <f>+VLOOKUP(A48,'Consolidated IS '!$A:$AG,32,FALSE)</f>
        <v>3076.4565374748067</v>
      </c>
      <c r="D48" s="1397"/>
      <c r="E48" s="1397">
        <f>+$C48*'2184 Ratios'!D$8</f>
        <v>1611.4772339153751</v>
      </c>
      <c r="F48" s="1397">
        <f>+$C48*'2184 Ratios'!E$8</f>
        <v>1464.9793035594316</v>
      </c>
      <c r="G48" s="1397">
        <f t="shared" si="16"/>
        <v>3076.4565374748067</v>
      </c>
      <c r="H48" s="1397">
        <f>+$F48*'2184 Ratios'!G$40</f>
        <v>913.99135805021365</v>
      </c>
      <c r="I48" s="1397">
        <f>+$F48*'2184 Ratios'!H$40</f>
        <v>550.98794550921798</v>
      </c>
      <c r="J48" s="1402" t="s">
        <v>1922</v>
      </c>
      <c r="K48" s="958">
        <f t="shared" si="17"/>
        <v>0</v>
      </c>
      <c r="L48" s="958">
        <f t="shared" si="18"/>
        <v>0</v>
      </c>
      <c r="M48" s="957"/>
      <c r="N48" s="957"/>
      <c r="O48" s="957"/>
      <c r="P48" s="957"/>
      <c r="Q48" s="957"/>
    </row>
    <row r="49" spans="1:17">
      <c r="A49" s="1408">
        <v>52135</v>
      </c>
      <c r="B49" s="1400" t="s">
        <v>31</v>
      </c>
      <c r="C49" s="1397">
        <f>+VLOOKUP(A49,'Consolidated IS '!$A:$AG,32,FALSE)</f>
        <v>115755.37999999999</v>
      </c>
      <c r="D49" s="1397"/>
      <c r="E49" s="1397">
        <f>+'2184 Ratios'!D30</f>
        <v>89750.53511340516</v>
      </c>
      <c r="F49" s="1397">
        <f>+'2184 Ratios'!E30</f>
        <v>26004.84488659483</v>
      </c>
      <c r="G49" s="1397">
        <f t="shared" si="16"/>
        <v>115755.37999999999</v>
      </c>
      <c r="H49" s="1397">
        <f>+$F49*'2184 Ratios'!G$40</f>
        <v>16224.258892965125</v>
      </c>
      <c r="I49" s="1397">
        <f>+$F49*'2184 Ratios'!H$40</f>
        <v>9780.5859936297056</v>
      </c>
      <c r="J49" s="1402" t="s">
        <v>1920</v>
      </c>
      <c r="K49" s="958">
        <f t="shared" si="17"/>
        <v>0</v>
      </c>
      <c r="L49" s="958">
        <f t="shared" si="18"/>
        <v>0</v>
      </c>
      <c r="M49" s="957"/>
      <c r="N49" s="957"/>
      <c r="O49" s="957"/>
      <c r="P49" s="957"/>
      <c r="Q49" s="957"/>
    </row>
    <row r="50" spans="1:17">
      <c r="A50" s="1408">
        <v>55120</v>
      </c>
      <c r="B50" s="1400" t="s">
        <v>29</v>
      </c>
      <c r="C50" s="1397">
        <f>+VLOOKUP(A50,'Consolidated IS '!$A:$AG,32,FALSE)</f>
        <v>3234</v>
      </c>
      <c r="D50" s="1397"/>
      <c r="E50" s="1397"/>
      <c r="F50" s="1397">
        <f>C50</f>
        <v>3234</v>
      </c>
      <c r="G50" s="1397">
        <f t="shared" si="16"/>
        <v>3234</v>
      </c>
      <c r="H50" s="1397">
        <f>+$F50*'2184 Ratios'!G$40</f>
        <v>2017.6722256434782</v>
      </c>
      <c r="I50" s="1397">
        <f>+$F50*'2184 Ratios'!H$40</f>
        <v>1216.3277743565218</v>
      </c>
      <c r="J50" s="1402" t="s">
        <v>1920</v>
      </c>
      <c r="K50" s="958">
        <f t="shared" si="17"/>
        <v>0</v>
      </c>
      <c r="L50" s="958">
        <f t="shared" si="18"/>
        <v>0</v>
      </c>
      <c r="M50" s="957"/>
      <c r="N50" s="957"/>
      <c r="O50" s="957"/>
      <c r="P50" s="957"/>
      <c r="Q50" s="957"/>
    </row>
    <row r="51" spans="1:17">
      <c r="A51" s="1408">
        <v>55125</v>
      </c>
      <c r="B51" s="1400" t="s">
        <v>30</v>
      </c>
      <c r="C51" s="1397">
        <f>+VLOOKUP(A51,'Consolidated IS '!$A:$AG,32,FALSE)</f>
        <v>535.75</v>
      </c>
      <c r="D51" s="1397"/>
      <c r="E51" s="1397"/>
      <c r="F51" s="1397">
        <f>C51</f>
        <v>535.75</v>
      </c>
      <c r="G51" s="1397">
        <f t="shared" si="16"/>
        <v>535.75</v>
      </c>
      <c r="H51" s="1397">
        <f>+$F51*'2184 Ratios'!G$40</f>
        <v>334.25104974907032</v>
      </c>
      <c r="I51" s="1397">
        <f>+$F51*'2184 Ratios'!H$40</f>
        <v>201.49895025092968</v>
      </c>
      <c r="J51" s="1402" t="s">
        <v>1920</v>
      </c>
      <c r="K51" s="958">
        <f t="shared" si="17"/>
        <v>0</v>
      </c>
      <c r="L51" s="958">
        <f t="shared" si="18"/>
        <v>0</v>
      </c>
      <c r="M51" s="957"/>
      <c r="N51" s="957"/>
      <c r="O51" s="957"/>
      <c r="P51" s="957"/>
      <c r="Q51" s="957"/>
    </row>
    <row r="52" spans="1:17">
      <c r="A52" s="1408"/>
      <c r="B52" s="1400"/>
      <c r="C52" s="1397"/>
      <c r="D52" s="1397"/>
      <c r="E52" s="1397"/>
      <c r="F52" s="1397"/>
      <c r="G52" s="1397"/>
      <c r="H52" s="1397"/>
      <c r="I52" s="1397"/>
      <c r="J52" s="1402"/>
      <c r="K52" s="957"/>
      <c r="L52" s="957"/>
      <c r="M52" s="957"/>
      <c r="N52" s="957"/>
      <c r="O52" s="957"/>
      <c r="P52" s="957"/>
      <c r="Q52" s="957"/>
    </row>
    <row r="53" spans="1:17">
      <c r="A53" s="1407">
        <v>41320</v>
      </c>
      <c r="B53" s="1395" t="s">
        <v>32</v>
      </c>
      <c r="C53" s="1403">
        <f>SUM(C47:C52)</f>
        <v>137839.5865374748</v>
      </c>
      <c r="D53" s="1403"/>
      <c r="E53" s="1403">
        <f>SUM(E47:E52)</f>
        <v>106600.01234732053</v>
      </c>
      <c r="F53" s="1403">
        <f>SUM(F47:F52)</f>
        <v>31239.574190154261</v>
      </c>
      <c r="G53" s="1403">
        <f t="shared" ref="G53:H53" si="19">SUM(G47:G52)</f>
        <v>137839.5865374748</v>
      </c>
      <c r="H53" s="1403">
        <f t="shared" si="19"/>
        <v>19490.173526407885</v>
      </c>
      <c r="I53" s="1403">
        <f>SUM(I47:I52)</f>
        <v>11749.400663746374</v>
      </c>
      <c r="J53" s="1402"/>
      <c r="K53" s="957"/>
      <c r="L53" s="957"/>
      <c r="M53" s="957"/>
      <c r="N53" s="957"/>
      <c r="O53" s="957"/>
      <c r="P53" s="957"/>
      <c r="Q53" s="957"/>
    </row>
    <row r="54" spans="1:17">
      <c r="A54" s="1399"/>
      <c r="B54" s="1400"/>
      <c r="C54" s="1397"/>
      <c r="D54" s="1397"/>
      <c r="E54" s="1397"/>
      <c r="F54" s="1397"/>
      <c r="G54" s="1397"/>
      <c r="H54" s="1397"/>
      <c r="I54" s="1397"/>
      <c r="J54" s="1402"/>
      <c r="K54" s="957"/>
      <c r="L54" s="957"/>
      <c r="M54" s="957"/>
      <c r="N54" s="957"/>
      <c r="O54" s="957"/>
      <c r="P54" s="957"/>
      <c r="Q54" s="957"/>
    </row>
    <row r="55" spans="1:17">
      <c r="A55" s="1399">
        <v>52147</v>
      </c>
      <c r="B55" s="1400" t="s">
        <v>33</v>
      </c>
      <c r="C55" s="1397">
        <f>+VLOOKUP(A55,'Consolidated IS '!$A:$AG,32,FALSE)</f>
        <v>29127.379999999997</v>
      </c>
      <c r="D55" s="1397"/>
      <c r="E55" s="1397">
        <f>+C55</f>
        <v>29127.379999999997</v>
      </c>
      <c r="F55" s="1397">
        <v>0</v>
      </c>
      <c r="G55" s="1397">
        <f t="shared" ref="G55:G56" si="20">+SUM(E55:F55)</f>
        <v>29127.379999999997</v>
      </c>
      <c r="H55" s="1397">
        <v>0</v>
      </c>
      <c r="I55" s="1397">
        <v>0</v>
      </c>
      <c r="J55" s="1402" t="s">
        <v>348</v>
      </c>
      <c r="K55" s="958">
        <f t="shared" ref="K55:K56" si="21">+G55-C55</f>
        <v>0</v>
      </c>
      <c r="L55" s="958">
        <f t="shared" ref="L55:L56" si="22">+SUM(H55:I55)-F55</f>
        <v>0</v>
      </c>
      <c r="M55" s="957"/>
      <c r="N55" s="957"/>
      <c r="O55" s="957"/>
      <c r="P55" s="957"/>
      <c r="Q55" s="957"/>
    </row>
    <row r="56" spans="1:17">
      <c r="A56" s="1399">
        <v>55147</v>
      </c>
      <c r="B56" s="1400" t="s">
        <v>33</v>
      </c>
      <c r="C56" s="1397">
        <f>+VLOOKUP(A56,'Consolidated IS '!$A:$AG,32,FALSE)</f>
        <v>0</v>
      </c>
      <c r="D56" s="1397"/>
      <c r="E56" s="1397">
        <v>0</v>
      </c>
      <c r="F56" s="1397">
        <v>0</v>
      </c>
      <c r="G56" s="1397">
        <f t="shared" si="20"/>
        <v>0</v>
      </c>
      <c r="H56" s="1397">
        <v>0</v>
      </c>
      <c r="I56" s="1397">
        <v>0</v>
      </c>
      <c r="J56" s="1402" t="s">
        <v>348</v>
      </c>
      <c r="K56" s="958">
        <f t="shared" si="21"/>
        <v>0</v>
      </c>
      <c r="L56" s="958">
        <f t="shared" si="22"/>
        <v>0</v>
      </c>
      <c r="M56" s="957"/>
      <c r="N56" s="957"/>
      <c r="O56" s="957"/>
      <c r="P56" s="957"/>
      <c r="Q56" s="957"/>
    </row>
    <row r="57" spans="1:17" s="960" customFormat="1">
      <c r="A57" s="1399"/>
      <c r="B57" s="1400"/>
      <c r="C57" s="1397"/>
      <c r="D57" s="1397"/>
      <c r="E57" s="1397"/>
      <c r="F57" s="1397"/>
      <c r="G57" s="1397"/>
      <c r="H57" s="1397"/>
      <c r="I57" s="1397"/>
      <c r="J57" s="1402"/>
      <c r="K57" s="959"/>
      <c r="L57" s="959"/>
      <c r="M57" s="957"/>
      <c r="N57" s="959"/>
      <c r="O57" s="959"/>
      <c r="P57" s="959"/>
      <c r="Q57" s="959"/>
    </row>
    <row r="58" spans="1:17">
      <c r="A58" s="1407">
        <v>41330</v>
      </c>
      <c r="B58" s="1395" t="s">
        <v>13</v>
      </c>
      <c r="C58" s="1403">
        <f>SUM(C55:C57)</f>
        <v>29127.379999999997</v>
      </c>
      <c r="D58" s="1403"/>
      <c r="E58" s="1403">
        <f t="shared" ref="E58:I58" si="23">SUM(E55:E57)</f>
        <v>29127.379999999997</v>
      </c>
      <c r="F58" s="1403">
        <f t="shared" si="23"/>
        <v>0</v>
      </c>
      <c r="G58" s="1403">
        <f t="shared" si="23"/>
        <v>29127.379999999997</v>
      </c>
      <c r="H58" s="1403">
        <f t="shared" si="23"/>
        <v>0</v>
      </c>
      <c r="I58" s="1403">
        <f t="shared" si="23"/>
        <v>0</v>
      </c>
      <c r="J58" s="1402"/>
      <c r="K58" s="957"/>
      <c r="L58" s="957"/>
      <c r="M58" s="957"/>
      <c r="N58" s="957"/>
      <c r="O58" s="957"/>
      <c r="P58" s="957"/>
      <c r="Q58" s="957"/>
    </row>
    <row r="59" spans="1:17">
      <c r="A59" s="1399"/>
      <c r="B59" s="1400"/>
      <c r="C59" s="1397"/>
      <c r="D59" s="1397"/>
      <c r="E59" s="1397"/>
      <c r="F59" s="1397"/>
      <c r="G59" s="1397"/>
      <c r="H59" s="1397"/>
      <c r="I59" s="1397"/>
      <c r="J59" s="1402"/>
      <c r="K59" s="957"/>
      <c r="L59" s="957"/>
      <c r="M59" s="957"/>
      <c r="N59" s="957"/>
      <c r="O59" s="957"/>
      <c r="P59" s="957"/>
      <c r="Q59" s="957"/>
    </row>
    <row r="60" spans="1:17">
      <c r="A60" s="1399">
        <v>59400</v>
      </c>
      <c r="B60" s="1400" t="s">
        <v>34</v>
      </c>
      <c r="C60" s="1397">
        <f>+VLOOKUP(A60,'Consolidated IS '!$A:$AG,32,FALSE)</f>
        <v>0</v>
      </c>
      <c r="D60" s="1397"/>
      <c r="E60" s="1397">
        <v>0</v>
      </c>
      <c r="F60" s="1397">
        <v>0</v>
      </c>
      <c r="G60" s="1397">
        <f t="shared" ref="G60:G61" si="24">+SUM(E60:F60)</f>
        <v>0</v>
      </c>
      <c r="H60" s="1397">
        <v>0</v>
      </c>
      <c r="I60" s="1397">
        <v>0</v>
      </c>
      <c r="J60" s="1402" t="s">
        <v>348</v>
      </c>
      <c r="K60" s="958">
        <f t="shared" ref="K60:K61" si="25">+G60-C60</f>
        <v>0</v>
      </c>
      <c r="L60" s="958">
        <f t="shared" ref="L60:L61" si="26">+SUM(H60:I60)-F60</f>
        <v>0</v>
      </c>
      <c r="M60" s="957"/>
      <c r="N60" s="957"/>
      <c r="O60" s="957"/>
      <c r="P60" s="957"/>
      <c r="Q60" s="957"/>
    </row>
    <row r="61" spans="1:17">
      <c r="A61" s="1399">
        <v>59401</v>
      </c>
      <c r="B61" s="1400" t="s">
        <v>35</v>
      </c>
      <c r="C61" s="1397">
        <f>+VLOOKUP(A61,'Consolidated IS '!$A:$AG,32,FALSE)</f>
        <v>0</v>
      </c>
      <c r="D61" s="1397"/>
      <c r="E61" s="1397">
        <v>0</v>
      </c>
      <c r="F61" s="1397">
        <v>0</v>
      </c>
      <c r="G61" s="1397">
        <f t="shared" si="24"/>
        <v>0</v>
      </c>
      <c r="H61" s="1397">
        <v>0</v>
      </c>
      <c r="I61" s="1397">
        <v>0</v>
      </c>
      <c r="J61" s="1402" t="s">
        <v>348</v>
      </c>
      <c r="K61" s="958">
        <f t="shared" si="25"/>
        <v>0</v>
      </c>
      <c r="L61" s="958">
        <f t="shared" si="26"/>
        <v>0</v>
      </c>
      <c r="M61" s="957"/>
      <c r="N61" s="957"/>
      <c r="O61" s="957"/>
      <c r="P61" s="957"/>
      <c r="Q61" s="957"/>
    </row>
    <row r="62" spans="1:17" s="960" customFormat="1">
      <c r="A62" s="1399"/>
      <c r="B62" s="1400"/>
      <c r="C62" s="1397"/>
      <c r="D62" s="1397"/>
      <c r="E62" s="1397"/>
      <c r="F62" s="1397"/>
      <c r="G62" s="1397"/>
      <c r="H62" s="1397"/>
      <c r="I62" s="1397"/>
      <c r="J62" s="1402"/>
      <c r="K62" s="959"/>
      <c r="L62" s="959"/>
      <c r="M62" s="957"/>
      <c r="N62" s="959"/>
      <c r="O62" s="959"/>
      <c r="P62" s="959"/>
      <c r="Q62" s="959"/>
    </row>
    <row r="63" spans="1:17">
      <c r="A63" s="1407">
        <v>41340</v>
      </c>
      <c r="B63" s="1395" t="s">
        <v>36</v>
      </c>
      <c r="C63" s="1403">
        <f>SUM(C60:C62)</f>
        <v>0</v>
      </c>
      <c r="D63" s="1403"/>
      <c r="E63" s="1403">
        <f t="shared" ref="E63:I63" si="27">SUM(E60:E62)</f>
        <v>0</v>
      </c>
      <c r="F63" s="1403">
        <f t="shared" si="27"/>
        <v>0</v>
      </c>
      <c r="G63" s="1403">
        <f t="shared" si="27"/>
        <v>0</v>
      </c>
      <c r="H63" s="1403">
        <f t="shared" si="27"/>
        <v>0</v>
      </c>
      <c r="I63" s="1403">
        <f t="shared" si="27"/>
        <v>0</v>
      </c>
      <c r="J63" s="1402"/>
      <c r="K63" s="957"/>
      <c r="L63" s="957"/>
      <c r="M63" s="957"/>
      <c r="N63" s="957"/>
      <c r="O63" s="957"/>
      <c r="P63" s="957"/>
      <c r="Q63" s="957"/>
    </row>
    <row r="64" spans="1:17">
      <c r="A64" s="1399"/>
      <c r="B64" s="1400"/>
      <c r="C64" s="1397"/>
      <c r="D64" s="1397"/>
      <c r="E64" s="1397"/>
      <c r="F64" s="1397"/>
      <c r="G64" s="1397"/>
      <c r="H64" s="1397"/>
      <c r="I64" s="1397"/>
      <c r="J64" s="1402"/>
      <c r="K64" s="957"/>
      <c r="L64" s="957"/>
      <c r="M64" s="957"/>
      <c r="N64" s="957"/>
      <c r="O64" s="957"/>
      <c r="P64" s="957"/>
      <c r="Q64" s="957"/>
    </row>
    <row r="65" spans="1:17">
      <c r="A65" s="1399">
        <v>52140</v>
      </c>
      <c r="B65" s="1400" t="s">
        <v>37</v>
      </c>
      <c r="C65" s="1397">
        <f>+VLOOKUP(A65,'Consolidated IS '!$A:$AG,32,FALSE)</f>
        <v>2696.54</v>
      </c>
      <c r="D65" s="1397"/>
      <c r="E65" s="1397">
        <f>+$C65*'2184 Ratios'!D$8</f>
        <v>1412.4733333333334</v>
      </c>
      <c r="F65" s="1397">
        <f>+$C65*'2184 Ratios'!E$8</f>
        <v>1284.0666666666666</v>
      </c>
      <c r="G65" s="1397">
        <f t="shared" ref="G65" si="28">+SUM(E65:F65)</f>
        <v>2696.54</v>
      </c>
      <c r="H65" s="1397">
        <f>+$F65*'2184 Ratios'!G$40</f>
        <v>801.12110365118599</v>
      </c>
      <c r="I65" s="1397">
        <f>+$F65*'2184 Ratios'!H$40</f>
        <v>482.94556301548067</v>
      </c>
      <c r="J65" s="1402" t="s">
        <v>1922</v>
      </c>
      <c r="K65" s="958">
        <f>+G65-C65</f>
        <v>0</v>
      </c>
      <c r="L65" s="958">
        <f>+SUM(H65:I65)-F65</f>
        <v>0</v>
      </c>
      <c r="M65" s="957"/>
      <c r="N65" s="957"/>
      <c r="O65" s="957"/>
      <c r="P65" s="957"/>
      <c r="Q65" s="957"/>
    </row>
    <row r="66" spans="1:17" s="960" customFormat="1">
      <c r="A66" s="1399"/>
      <c r="B66" s="1400"/>
      <c r="C66" s="1397"/>
      <c r="D66" s="1397"/>
      <c r="E66" s="1397"/>
      <c r="F66" s="1397"/>
      <c r="G66" s="1397"/>
      <c r="H66" s="1397"/>
      <c r="I66" s="1397"/>
      <c r="J66" s="1402"/>
      <c r="K66" s="959"/>
      <c r="L66" s="959"/>
      <c r="M66" s="957"/>
      <c r="N66" s="959"/>
      <c r="O66" s="959"/>
      <c r="P66" s="959"/>
      <c r="Q66" s="959"/>
    </row>
    <row r="67" spans="1:17">
      <c r="A67" s="1407">
        <v>41600</v>
      </c>
      <c r="B67" s="1395" t="s">
        <v>13</v>
      </c>
      <c r="C67" s="1403">
        <f>SUM(C65:C66)</f>
        <v>2696.54</v>
      </c>
      <c r="D67" s="1403"/>
      <c r="E67" s="1403">
        <f t="shared" ref="E67:I67" si="29">SUM(E65:E66)</f>
        <v>1412.4733333333334</v>
      </c>
      <c r="F67" s="1403">
        <f t="shared" si="29"/>
        <v>1284.0666666666666</v>
      </c>
      <c r="G67" s="1403">
        <f t="shared" si="29"/>
        <v>2696.54</v>
      </c>
      <c r="H67" s="1403">
        <f t="shared" si="29"/>
        <v>801.12110365118599</v>
      </c>
      <c r="I67" s="1403">
        <f t="shared" si="29"/>
        <v>482.94556301548067</v>
      </c>
      <c r="J67" s="1402"/>
      <c r="K67" s="957"/>
      <c r="L67" s="957"/>
      <c r="M67" s="957"/>
      <c r="N67" s="957"/>
      <c r="O67" s="957"/>
      <c r="P67" s="957"/>
      <c r="Q67" s="957"/>
    </row>
    <row r="68" spans="1:17">
      <c r="A68" s="1407"/>
      <c r="B68" s="1395"/>
      <c r="C68" s="1397"/>
      <c r="D68" s="1397"/>
      <c r="E68" s="1397"/>
      <c r="F68" s="1397"/>
      <c r="G68" s="1397"/>
      <c r="H68" s="1397"/>
      <c r="I68" s="1397"/>
      <c r="J68" s="1402"/>
      <c r="K68" s="957"/>
      <c r="L68" s="957"/>
      <c r="M68" s="957"/>
      <c r="N68" s="957"/>
      <c r="O68" s="957"/>
      <c r="P68" s="957"/>
      <c r="Q68" s="957"/>
    </row>
    <row r="69" spans="1:17">
      <c r="A69" s="1408">
        <v>52086</v>
      </c>
      <c r="B69" s="1400" t="s">
        <v>38</v>
      </c>
      <c r="C69" s="1397">
        <f>+VLOOKUP(A69,'Consolidated IS '!$A:$AG,32,FALSE)</f>
        <v>2033.857946519483</v>
      </c>
      <c r="D69" s="1397"/>
      <c r="E69" s="1397">
        <f>+$C69*'2184 Ratios'!D$8</f>
        <v>1065.3541624625864</v>
      </c>
      <c r="F69" s="1397">
        <f>+$C69*'2184 Ratios'!E$8</f>
        <v>968.50378405689662</v>
      </c>
      <c r="G69" s="1397">
        <f t="shared" ref="G69:G71" si="30">+SUM(E69:F69)</f>
        <v>2033.857946519483</v>
      </c>
      <c r="H69" s="1397">
        <f>+$F69*'2184 Ratios'!G$40</f>
        <v>604.2434092523838</v>
      </c>
      <c r="I69" s="1397">
        <f>+$F69*'2184 Ratios'!H$40</f>
        <v>364.26037480451282</v>
      </c>
      <c r="J69" s="1402" t="s">
        <v>1922</v>
      </c>
      <c r="K69" s="958">
        <f t="shared" ref="K69:K73" si="31">+G69-C69</f>
        <v>0</v>
      </c>
      <c r="L69" s="958">
        <f t="shared" ref="L69:L73" si="32">+SUM(H69:I69)-F69</f>
        <v>0</v>
      </c>
      <c r="M69" s="957"/>
      <c r="N69" s="957"/>
      <c r="O69" s="957"/>
      <c r="P69" s="957"/>
      <c r="Q69" s="957"/>
    </row>
    <row r="70" spans="1:17">
      <c r="A70" s="1408">
        <v>52090</v>
      </c>
      <c r="B70" s="1400" t="s">
        <v>39</v>
      </c>
      <c r="C70" s="1397">
        <f>+VLOOKUP(A70,'Consolidated IS '!$A:$AG,32,FALSE)</f>
        <v>824.11399793957332</v>
      </c>
      <c r="D70" s="1397"/>
      <c r="E70" s="1397">
        <f>+$C70*'2184 Ratios'!D$8</f>
        <v>431.67876082549083</v>
      </c>
      <c r="F70" s="1397">
        <f>+$C70*'2184 Ratios'!E$8</f>
        <v>392.4352371140825</v>
      </c>
      <c r="G70" s="1397">
        <f t="shared" si="30"/>
        <v>824.11399793957332</v>
      </c>
      <c r="H70" s="1397">
        <f>+$F70*'2184 Ratios'!G$40</f>
        <v>244.83787207448884</v>
      </c>
      <c r="I70" s="1397">
        <f>+$F70*'2184 Ratios'!H$40</f>
        <v>147.59736503959365</v>
      </c>
      <c r="J70" s="1402" t="s">
        <v>1922</v>
      </c>
      <c r="K70" s="958">
        <f t="shared" si="31"/>
        <v>0</v>
      </c>
      <c r="L70" s="958">
        <f t="shared" si="32"/>
        <v>0</v>
      </c>
      <c r="M70" s="957"/>
      <c r="N70" s="957"/>
      <c r="O70" s="957"/>
      <c r="P70" s="957"/>
      <c r="Q70" s="957"/>
    </row>
    <row r="71" spans="1:17">
      <c r="A71" s="1408">
        <v>52182</v>
      </c>
      <c r="B71" s="1400" t="s">
        <v>41</v>
      </c>
      <c r="C71" s="1397">
        <f>+VLOOKUP(A71,'Consolidated IS '!$A:$AG,32,FALSE)</f>
        <v>1294.8000000000002</v>
      </c>
      <c r="D71" s="1397"/>
      <c r="E71" s="1397">
        <f>+$C71*'2184 Ratios'!D$8</f>
        <v>678.22857142857151</v>
      </c>
      <c r="F71" s="1397">
        <f>+$C71*'2184 Ratios'!E$8</f>
        <v>616.57142857142867</v>
      </c>
      <c r="G71" s="1397">
        <f t="shared" si="30"/>
        <v>1294.8000000000002</v>
      </c>
      <c r="H71" s="1397">
        <f>+$F71*'2184 Ratios'!G$40</f>
        <v>384.67502985587299</v>
      </c>
      <c r="I71" s="1397">
        <f>+$F71*'2184 Ratios'!H$40</f>
        <v>231.89639871555568</v>
      </c>
      <c r="J71" s="1402" t="s">
        <v>1922</v>
      </c>
      <c r="K71" s="958">
        <f t="shared" si="31"/>
        <v>0</v>
      </c>
      <c r="L71" s="958">
        <f t="shared" si="32"/>
        <v>0</v>
      </c>
      <c r="M71" s="957"/>
      <c r="N71" s="957"/>
      <c r="O71" s="957"/>
      <c r="P71" s="957"/>
      <c r="Q71" s="957"/>
    </row>
    <row r="72" spans="1:17">
      <c r="A72" s="1408">
        <v>57254</v>
      </c>
      <c r="B72" s="1400" t="s">
        <v>42</v>
      </c>
      <c r="C72" s="1397">
        <f>+VLOOKUP(A72,'Consolidated IS '!$A:$AG,32,FALSE)</f>
        <v>6356</v>
      </c>
      <c r="D72" s="1397"/>
      <c r="E72" s="1397">
        <f>C72</f>
        <v>6356</v>
      </c>
      <c r="F72" s="1397"/>
      <c r="G72" s="1397">
        <f t="shared" ref="G72:G73" si="33">+SUM(E72:F72)</f>
        <v>6356</v>
      </c>
      <c r="H72" s="1397"/>
      <c r="I72" s="1397"/>
      <c r="J72" s="1402" t="s">
        <v>348</v>
      </c>
      <c r="K72" s="958">
        <f t="shared" si="31"/>
        <v>0</v>
      </c>
      <c r="L72" s="958">
        <f t="shared" si="32"/>
        <v>0</v>
      </c>
      <c r="M72" s="957"/>
      <c r="N72" s="957"/>
      <c r="O72" s="957"/>
      <c r="P72" s="957"/>
      <c r="Q72" s="957"/>
    </row>
    <row r="73" spans="1:17">
      <c r="A73" s="1408">
        <v>55335</v>
      </c>
      <c r="B73" s="1400" t="s">
        <v>43</v>
      </c>
      <c r="C73" s="1397">
        <f>+VLOOKUP(A73,'Consolidated IS '!$A:$AG,32,FALSE)</f>
        <v>0</v>
      </c>
      <c r="D73" s="1397"/>
      <c r="E73" s="1397">
        <v>0</v>
      </c>
      <c r="F73" s="1397">
        <v>0</v>
      </c>
      <c r="G73" s="1397">
        <f t="shared" si="33"/>
        <v>0</v>
      </c>
      <c r="H73" s="1397">
        <v>0</v>
      </c>
      <c r="I73" s="1397">
        <v>0</v>
      </c>
      <c r="J73" s="1402"/>
      <c r="K73" s="958">
        <f t="shared" si="31"/>
        <v>0</v>
      </c>
      <c r="L73" s="958">
        <f t="shared" si="32"/>
        <v>0</v>
      </c>
      <c r="M73" s="957"/>
      <c r="N73" s="957"/>
      <c r="O73" s="957"/>
      <c r="P73" s="957"/>
      <c r="Q73" s="957"/>
    </row>
    <row r="74" spans="1:17" s="960" customFormat="1">
      <c r="A74" s="1408"/>
      <c r="B74" s="1400"/>
      <c r="C74" s="1397"/>
      <c r="D74" s="1397"/>
      <c r="E74" s="1397"/>
      <c r="F74" s="1397"/>
      <c r="G74" s="1397"/>
      <c r="H74" s="1397"/>
      <c r="I74" s="1397"/>
      <c r="J74" s="1402"/>
      <c r="K74" s="959"/>
      <c r="L74" s="959"/>
      <c r="M74" s="957"/>
      <c r="N74" s="959"/>
      <c r="O74" s="959"/>
      <c r="P74" s="959"/>
      <c r="Q74" s="959"/>
    </row>
    <row r="75" spans="1:17">
      <c r="A75" s="1407">
        <v>41800</v>
      </c>
      <c r="B75" s="1395" t="s">
        <v>46</v>
      </c>
      <c r="C75" s="1403">
        <f>SUM(C69:C74)</f>
        <v>10508.771944459057</v>
      </c>
      <c r="D75" s="1403"/>
      <c r="E75" s="1403">
        <f>SUM(E69:E74)</f>
        <v>8531.2614947166476</v>
      </c>
      <c r="F75" s="1403">
        <f>SUM(F69:F74)</f>
        <v>1977.5104497424079</v>
      </c>
      <c r="G75" s="1403">
        <f t="shared" ref="G75:H75" si="34">SUM(G69:G74)</f>
        <v>10508.771944459057</v>
      </c>
      <c r="H75" s="1403">
        <f t="shared" si="34"/>
        <v>1233.7563111827455</v>
      </c>
      <c r="I75" s="1403">
        <f>SUM(I69:I74)</f>
        <v>743.75413855966212</v>
      </c>
      <c r="J75" s="1402"/>
      <c r="K75" s="957"/>
      <c r="L75" s="957"/>
      <c r="M75" s="957"/>
      <c r="N75" s="957"/>
      <c r="O75" s="957"/>
      <c r="P75" s="957"/>
      <c r="Q75" s="957"/>
    </row>
    <row r="76" spans="1:17">
      <c r="A76" s="1399"/>
      <c r="B76" s="1400"/>
      <c r="C76" s="1397"/>
      <c r="D76" s="1397"/>
      <c r="E76" s="1397"/>
      <c r="F76" s="1397"/>
      <c r="G76" s="1397"/>
      <c r="H76" s="1397"/>
      <c r="I76" s="1397"/>
      <c r="J76" s="1402"/>
      <c r="K76" s="957"/>
      <c r="L76" s="957"/>
      <c r="M76" s="957"/>
      <c r="N76" s="957"/>
      <c r="O76" s="957"/>
      <c r="P76" s="957"/>
      <c r="Q76" s="957"/>
    </row>
    <row r="77" spans="1:17">
      <c r="A77" s="1399">
        <v>50010</v>
      </c>
      <c r="B77" s="1400" t="s">
        <v>47</v>
      </c>
      <c r="C77" s="1397">
        <f>+VLOOKUP(A77,'Consolidated IS '!$A:$AG,32,FALSE)</f>
        <v>0</v>
      </c>
      <c r="D77" s="1397"/>
      <c r="E77" s="1397">
        <v>0</v>
      </c>
      <c r="F77" s="1397">
        <v>0</v>
      </c>
      <c r="G77" s="1397">
        <f t="shared" ref="G77:G79" si="35">+SUM(E77:F77)</f>
        <v>0</v>
      </c>
      <c r="H77" s="1397">
        <v>0</v>
      </c>
      <c r="I77" s="1397">
        <v>0</v>
      </c>
      <c r="J77" s="1402" t="s">
        <v>348</v>
      </c>
      <c r="K77" s="958">
        <f t="shared" ref="K77:K79" si="36">+G77-C77</f>
        <v>0</v>
      </c>
      <c r="L77" s="958">
        <f t="shared" ref="L77:L79" si="37">+SUM(H77:I77)-F77</f>
        <v>0</v>
      </c>
      <c r="M77" s="957"/>
      <c r="N77" s="957"/>
      <c r="O77" s="957"/>
      <c r="P77" s="957"/>
      <c r="Q77" s="957"/>
    </row>
    <row r="78" spans="1:17">
      <c r="A78" s="1408">
        <v>56010</v>
      </c>
      <c r="B78" s="1400" t="s">
        <v>47</v>
      </c>
      <c r="C78" s="1397">
        <f>+VLOOKUP(A78,'Consolidated IS '!$A:$AG,32,FALSE)</f>
        <v>0</v>
      </c>
      <c r="D78" s="1397"/>
      <c r="E78" s="1397">
        <v>0</v>
      </c>
      <c r="F78" s="1397">
        <v>0</v>
      </c>
      <c r="G78" s="1397">
        <f t="shared" si="35"/>
        <v>0</v>
      </c>
      <c r="H78" s="1397">
        <v>0</v>
      </c>
      <c r="I78" s="1397">
        <v>0</v>
      </c>
      <c r="J78" s="1402" t="s">
        <v>348</v>
      </c>
      <c r="K78" s="958">
        <f t="shared" si="36"/>
        <v>0</v>
      </c>
      <c r="L78" s="958">
        <f t="shared" si="37"/>
        <v>0</v>
      </c>
      <c r="M78" s="957"/>
      <c r="N78" s="957"/>
      <c r="O78" s="957"/>
      <c r="P78" s="957"/>
      <c r="Q78" s="957"/>
    </row>
    <row r="79" spans="1:17">
      <c r="A79" s="1408">
        <v>56065</v>
      </c>
      <c r="B79" s="1400" t="s">
        <v>21</v>
      </c>
      <c r="C79" s="1397">
        <f>+VLOOKUP(A79,'Consolidated IS '!$A:$AG,32,FALSE)</f>
        <v>0</v>
      </c>
      <c r="D79" s="1397"/>
      <c r="E79" s="1397">
        <v>0</v>
      </c>
      <c r="F79" s="1397">
        <v>0</v>
      </c>
      <c r="G79" s="1397">
        <f t="shared" si="35"/>
        <v>0</v>
      </c>
      <c r="H79" s="1397">
        <v>0</v>
      </c>
      <c r="I79" s="1397">
        <v>0</v>
      </c>
      <c r="J79" s="1402" t="s">
        <v>348</v>
      </c>
      <c r="K79" s="958">
        <f t="shared" si="36"/>
        <v>0</v>
      </c>
      <c r="L79" s="958">
        <f t="shared" si="37"/>
        <v>0</v>
      </c>
      <c r="M79" s="957"/>
      <c r="N79" s="957"/>
      <c r="O79" s="957"/>
      <c r="P79" s="957"/>
      <c r="Q79" s="957"/>
    </row>
    <row r="80" spans="1:17" s="960" customFormat="1">
      <c r="A80" s="1408"/>
      <c r="B80" s="1400"/>
      <c r="C80" s="1397"/>
      <c r="D80" s="1397"/>
      <c r="E80" s="1397"/>
      <c r="F80" s="1397"/>
      <c r="G80" s="1397"/>
      <c r="H80" s="1397"/>
      <c r="I80" s="1397"/>
      <c r="J80" s="1402"/>
      <c r="K80" s="959"/>
      <c r="L80" s="959"/>
      <c r="M80" s="957"/>
      <c r="N80" s="959"/>
      <c r="O80" s="959"/>
      <c r="P80" s="959"/>
      <c r="Q80" s="959"/>
    </row>
    <row r="81" spans="1:17">
      <c r="A81" s="1407">
        <v>42100</v>
      </c>
      <c r="B81" s="1395" t="s">
        <v>48</v>
      </c>
      <c r="C81" s="1403">
        <f>SUM(C77:C80)</f>
        <v>0</v>
      </c>
      <c r="D81" s="1403"/>
      <c r="E81" s="1403">
        <f>SUM(E77:E80)</f>
        <v>0</v>
      </c>
      <c r="F81" s="1403">
        <f>SUM(F77:F80)</f>
        <v>0</v>
      </c>
      <c r="G81" s="1403">
        <f t="shared" ref="G81:H81" si="38">SUM(G77:G80)</f>
        <v>0</v>
      </c>
      <c r="H81" s="1403">
        <f t="shared" si="38"/>
        <v>0</v>
      </c>
      <c r="I81" s="1403">
        <f>SUM(I77:I80)</f>
        <v>0</v>
      </c>
      <c r="J81" s="1402"/>
      <c r="K81" s="957"/>
      <c r="L81" s="957"/>
      <c r="M81" s="957"/>
      <c r="N81" s="957"/>
      <c r="O81" s="957"/>
      <c r="P81" s="957"/>
      <c r="Q81" s="957"/>
    </row>
    <row r="82" spans="1:17">
      <c r="A82" s="1399"/>
      <c r="B82" s="1400"/>
      <c r="C82" s="1397"/>
      <c r="D82" s="1397"/>
      <c r="E82" s="1397"/>
      <c r="F82" s="1397"/>
      <c r="G82" s="1397"/>
      <c r="H82" s="1397"/>
      <c r="I82" s="1397"/>
      <c r="J82" s="1402"/>
      <c r="K82" s="957"/>
      <c r="L82" s="957"/>
      <c r="M82" s="957"/>
      <c r="N82" s="957"/>
      <c r="O82" s="957"/>
      <c r="P82" s="957"/>
      <c r="Q82" s="957"/>
    </row>
    <row r="83" spans="1:17">
      <c r="A83" s="1408">
        <v>50020</v>
      </c>
      <c r="B83" s="1400" t="s">
        <v>24</v>
      </c>
      <c r="C83" s="1397">
        <f>+VLOOKUP(A83,'Consolidated IS '!$A:$AG,32,FALSE)</f>
        <v>1057342.8999999999</v>
      </c>
      <c r="D83" s="1397"/>
      <c r="E83" s="1397">
        <f>+$C83*'2184 Ratios'!D$15</f>
        <v>728462.25367821695</v>
      </c>
      <c r="F83" s="1397">
        <f>+$C83*'2184 Ratios'!E$15</f>
        <v>328880.64632178302</v>
      </c>
      <c r="G83" s="1397">
        <f t="shared" ref="G83" si="39">+SUM(E83:F83)</f>
        <v>1057342.8999999999</v>
      </c>
      <c r="H83" s="1397">
        <f>+$F83*'2184 Ratios'!G$40</f>
        <v>205186.56327617116</v>
      </c>
      <c r="I83" s="1397">
        <f>+$F83*'2184 Ratios'!H$40</f>
        <v>123694.08304561186</v>
      </c>
      <c r="J83" s="1402" t="s">
        <v>2513</v>
      </c>
      <c r="K83" s="958">
        <f t="shared" ref="K83:K87" si="40">+G83-C83</f>
        <v>0</v>
      </c>
      <c r="L83" s="958">
        <f t="shared" ref="L83:L87" si="41">+SUM(H83:I83)-F83</f>
        <v>0</v>
      </c>
      <c r="M83" s="957"/>
      <c r="N83" s="957"/>
      <c r="O83" s="957"/>
      <c r="P83" s="957"/>
      <c r="Q83" s="957"/>
    </row>
    <row r="84" spans="1:17">
      <c r="A84" s="1408">
        <v>50025</v>
      </c>
      <c r="B84" s="1400" t="s">
        <v>49</v>
      </c>
      <c r="C84" s="1397">
        <f>+VLOOKUP(A84,'Consolidated IS '!$A:$AG,32,FALSE)</f>
        <v>155657.19</v>
      </c>
      <c r="D84" s="1397"/>
      <c r="E84" s="1397">
        <f>+$C84*'2184 Ratios'!D$15</f>
        <v>107240.88413382114</v>
      </c>
      <c r="F84" s="1397">
        <f>+$C84*'2184 Ratios'!E$15</f>
        <v>48416.305866178875</v>
      </c>
      <c r="G84" s="1397">
        <f t="shared" ref="G84:G87" si="42">+SUM(E84:F84)</f>
        <v>155657.19</v>
      </c>
      <c r="H84" s="1397">
        <f>+$F84*'2184 Ratios'!G$40</f>
        <v>30206.628204838751</v>
      </c>
      <c r="I84" s="1397">
        <f>+$F84*'2184 Ratios'!H$40</f>
        <v>18209.677661340123</v>
      </c>
      <c r="J84" s="1402" t="s">
        <v>2513</v>
      </c>
      <c r="K84" s="958">
        <f t="shared" si="40"/>
        <v>0</v>
      </c>
      <c r="L84" s="958">
        <f t="shared" si="41"/>
        <v>0</v>
      </c>
      <c r="M84" s="957"/>
      <c r="N84" s="957"/>
      <c r="O84" s="957"/>
      <c r="P84" s="957"/>
      <c r="Q84" s="957"/>
    </row>
    <row r="85" spans="1:17">
      <c r="A85" s="1409">
        <v>50035</v>
      </c>
      <c r="B85" s="1400" t="s">
        <v>20</v>
      </c>
      <c r="C85" s="1397">
        <f>+VLOOKUP(A85,'Consolidated IS '!$A:$AG,32,FALSE)</f>
        <v>12333.17</v>
      </c>
      <c r="D85" s="1397"/>
      <c r="E85" s="1397">
        <f>+$C85*'2184 Ratios'!D$15</f>
        <v>8497.0058560913167</v>
      </c>
      <c r="F85" s="1397">
        <f>+$C85*'2184 Ratios'!E$15</f>
        <v>3836.1641439086834</v>
      </c>
      <c r="G85" s="1397">
        <f t="shared" si="42"/>
        <v>12333.17</v>
      </c>
      <c r="H85" s="1397">
        <f>+$F85*'2184 Ratios'!G$40</f>
        <v>2393.358641364855</v>
      </c>
      <c r="I85" s="1397">
        <f>+$F85*'2184 Ratios'!H$40</f>
        <v>1442.8055025438284</v>
      </c>
      <c r="J85" s="1402" t="s">
        <v>2513</v>
      </c>
      <c r="K85" s="958">
        <f t="shared" si="40"/>
        <v>0</v>
      </c>
      <c r="L85" s="958">
        <f t="shared" si="41"/>
        <v>0</v>
      </c>
      <c r="M85" s="957"/>
      <c r="N85" s="957"/>
      <c r="O85" s="957"/>
      <c r="P85" s="957"/>
      <c r="Q85" s="957"/>
    </row>
    <row r="86" spans="1:17">
      <c r="A86" s="1408">
        <v>50065</v>
      </c>
      <c r="B86" s="1400" t="s">
        <v>21</v>
      </c>
      <c r="C86" s="1397">
        <f>+VLOOKUP(A86,'Consolidated IS '!$A:$AG,32,FALSE)</f>
        <v>68589.48000000001</v>
      </c>
      <c r="D86" s="1397"/>
      <c r="E86" s="1397">
        <f>+$C86*'2184 Ratios'!D$15</f>
        <v>47255.102558892671</v>
      </c>
      <c r="F86" s="1397">
        <f>+$C86*'2184 Ratios'!E$15</f>
        <v>21334.377441107339</v>
      </c>
      <c r="G86" s="1397">
        <f t="shared" si="42"/>
        <v>68589.48000000001</v>
      </c>
      <c r="H86" s="1397">
        <f>+$F86*'2184 Ratios'!G$40</f>
        <v>13310.383677896431</v>
      </c>
      <c r="I86" s="1397">
        <f>+$F86*'2184 Ratios'!H$40</f>
        <v>8023.9937632109086</v>
      </c>
      <c r="J86" s="1402" t="s">
        <v>2513</v>
      </c>
      <c r="K86" s="958">
        <f t="shared" si="40"/>
        <v>0</v>
      </c>
      <c r="L86" s="958">
        <f t="shared" si="41"/>
        <v>0</v>
      </c>
      <c r="M86" s="957"/>
      <c r="N86" s="957"/>
      <c r="O86" s="957"/>
      <c r="P86" s="957"/>
      <c r="Q86" s="957"/>
    </row>
    <row r="87" spans="1:17">
      <c r="A87" s="1408">
        <v>50070</v>
      </c>
      <c r="B87" s="1400" t="s">
        <v>22</v>
      </c>
      <c r="C87" s="1397">
        <f>+VLOOKUP(A87,'Consolidated IS '!$A:$AG,32,FALSE)</f>
        <v>51093.91</v>
      </c>
      <c r="D87" s="1397"/>
      <c r="E87" s="1397">
        <f>+$C87*'2184 Ratios'!D$15</f>
        <v>35201.432598480576</v>
      </c>
      <c r="F87" s="1397">
        <f>+$C87*'2184 Ratios'!E$15</f>
        <v>15892.477401519425</v>
      </c>
      <c r="G87" s="1397">
        <f t="shared" si="42"/>
        <v>51093.91</v>
      </c>
      <c r="H87" s="1397">
        <f>+$F87*'2184 Ratios'!G$40</f>
        <v>9915.2165274311628</v>
      </c>
      <c r="I87" s="1397">
        <f>+$F87*'2184 Ratios'!H$40</f>
        <v>5977.2608740882633</v>
      </c>
      <c r="J87" s="1402" t="s">
        <v>2513</v>
      </c>
      <c r="K87" s="958">
        <f t="shared" si="40"/>
        <v>0</v>
      </c>
      <c r="L87" s="958">
        <f t="shared" si="41"/>
        <v>0</v>
      </c>
      <c r="M87" s="957"/>
      <c r="N87" s="957"/>
      <c r="O87" s="957"/>
      <c r="P87" s="957"/>
      <c r="Q87" s="957"/>
    </row>
    <row r="88" spans="1:17" s="960" customFormat="1">
      <c r="A88" s="1408"/>
      <c r="B88" s="1400"/>
      <c r="C88" s="1397"/>
      <c r="D88" s="1397"/>
      <c r="E88" s="1397"/>
      <c r="F88" s="1397"/>
      <c r="G88" s="1397"/>
      <c r="H88" s="1397"/>
      <c r="I88" s="1397"/>
      <c r="J88" s="1402"/>
      <c r="K88" s="959"/>
      <c r="L88" s="959"/>
      <c r="M88" s="957"/>
      <c r="N88" s="959"/>
      <c r="O88" s="959"/>
      <c r="P88" s="959"/>
      <c r="Q88" s="959"/>
    </row>
    <row r="89" spans="1:17">
      <c r="A89" s="1407">
        <v>42300</v>
      </c>
      <c r="B89" s="1395" t="s">
        <v>50</v>
      </c>
      <c r="C89" s="1403">
        <f>SUM(C83:C88)</f>
        <v>1345016.6499999997</v>
      </c>
      <c r="D89" s="1403"/>
      <c r="E89" s="1403">
        <f>SUM(E83:E88)</f>
        <v>926656.67882550263</v>
      </c>
      <c r="F89" s="1403">
        <f>SUM(F83:F88)</f>
        <v>418359.97117449739</v>
      </c>
      <c r="G89" s="1403">
        <f t="shared" ref="G89:H89" si="43">SUM(G83:G88)</f>
        <v>1345016.6499999997</v>
      </c>
      <c r="H89" s="1403">
        <f t="shared" si="43"/>
        <v>261012.15032770234</v>
      </c>
      <c r="I89" s="1403">
        <f>SUM(I83:I88)</f>
        <v>157347.82084679502</v>
      </c>
      <c r="J89" s="1402"/>
      <c r="K89" s="957"/>
      <c r="L89" s="957"/>
      <c r="M89" s="957"/>
      <c r="N89" s="957"/>
      <c r="O89" s="957"/>
      <c r="P89" s="957"/>
      <c r="Q89" s="957"/>
    </row>
    <row r="90" spans="1:17">
      <c r="A90" s="1410"/>
      <c r="B90" s="1395"/>
      <c r="C90" s="1397"/>
      <c r="D90" s="1397"/>
      <c r="E90" s="1397"/>
      <c r="F90" s="1397"/>
      <c r="G90" s="1397"/>
      <c r="H90" s="1397"/>
      <c r="I90" s="1397"/>
      <c r="J90" s="1402"/>
      <c r="K90" s="957"/>
      <c r="L90" s="957"/>
      <c r="M90" s="957"/>
      <c r="N90" s="957"/>
      <c r="O90" s="957"/>
      <c r="P90" s="957"/>
      <c r="Q90" s="957"/>
    </row>
    <row r="91" spans="1:17">
      <c r="A91" s="1405">
        <v>50045</v>
      </c>
      <c r="B91" s="1400" t="s">
        <v>27</v>
      </c>
      <c r="C91" s="1397">
        <f>+VLOOKUP(A91,'Consolidated IS '!$A:$AG,32,FALSE)</f>
        <v>566.54999999999995</v>
      </c>
      <c r="D91" s="1397"/>
      <c r="E91" s="1397"/>
      <c r="F91" s="1397">
        <f>C91</f>
        <v>566.54999999999995</v>
      </c>
      <c r="G91" s="1397">
        <f t="shared" ref="G91" si="44">+SUM(E91:F91)</f>
        <v>566.54999999999995</v>
      </c>
      <c r="H91" s="1397">
        <f>+$F91*'2184 Ratios'!G$40</f>
        <v>353.46697570757959</v>
      </c>
      <c r="I91" s="1397">
        <f>+$F91*'2184 Ratios'!H$40</f>
        <v>213.08302429242036</v>
      </c>
      <c r="J91" s="1402" t="s">
        <v>1920</v>
      </c>
      <c r="K91" s="958">
        <f>+G91-C91</f>
        <v>0</v>
      </c>
      <c r="L91" s="958">
        <f>+SUM(H91:I91)-F91</f>
        <v>0</v>
      </c>
      <c r="M91" s="957"/>
      <c r="N91" s="957"/>
      <c r="O91" s="957"/>
      <c r="P91" s="957"/>
      <c r="Q91" s="957"/>
    </row>
    <row r="92" spans="1:17" s="960" customFormat="1">
      <c r="A92" s="1405"/>
      <c r="B92" s="1400"/>
      <c r="C92" s="1397"/>
      <c r="D92" s="1397"/>
      <c r="E92" s="1397"/>
      <c r="F92" s="1397"/>
      <c r="G92" s="1397"/>
      <c r="H92" s="1397"/>
      <c r="I92" s="1397"/>
      <c r="J92" s="1402"/>
      <c r="K92" s="959"/>
      <c r="L92" s="959"/>
      <c r="M92" s="957"/>
      <c r="N92" s="959"/>
      <c r="O92" s="959"/>
      <c r="P92" s="959"/>
      <c r="Q92" s="959"/>
    </row>
    <row r="93" spans="1:17">
      <c r="A93" s="1407">
        <v>42315</v>
      </c>
      <c r="B93" s="1395" t="s">
        <v>27</v>
      </c>
      <c r="C93" s="1403">
        <f>SUM(C91:C92)</f>
        <v>566.54999999999995</v>
      </c>
      <c r="D93" s="1403"/>
      <c r="E93" s="1403">
        <f t="shared" ref="E93:I93" si="45">SUM(E91:E92)</f>
        <v>0</v>
      </c>
      <c r="F93" s="1403">
        <f t="shared" si="45"/>
        <v>566.54999999999995</v>
      </c>
      <c r="G93" s="1403">
        <f t="shared" si="45"/>
        <v>566.54999999999995</v>
      </c>
      <c r="H93" s="1403">
        <f t="shared" si="45"/>
        <v>353.46697570757959</v>
      </c>
      <c r="I93" s="1403">
        <f t="shared" si="45"/>
        <v>213.08302429242036</v>
      </c>
      <c r="J93" s="1402"/>
      <c r="K93" s="957"/>
      <c r="L93" s="957"/>
      <c r="M93" s="957"/>
      <c r="N93" s="957"/>
      <c r="O93" s="957"/>
      <c r="P93" s="957"/>
      <c r="Q93" s="957"/>
    </row>
    <row r="94" spans="1:17">
      <c r="A94" s="1399"/>
      <c r="B94" s="1400"/>
      <c r="C94" s="1397"/>
      <c r="D94" s="1397"/>
      <c r="E94" s="1397"/>
      <c r="F94" s="1397"/>
      <c r="G94" s="1397"/>
      <c r="H94" s="1397"/>
      <c r="I94" s="1397"/>
      <c r="J94" s="1402"/>
      <c r="K94" s="957"/>
      <c r="L94" s="957"/>
      <c r="M94" s="957"/>
      <c r="N94" s="957"/>
      <c r="O94" s="957"/>
      <c r="P94" s="957"/>
      <c r="Q94" s="957"/>
    </row>
    <row r="95" spans="1:17">
      <c r="A95" s="1408">
        <v>52142</v>
      </c>
      <c r="B95" s="1400" t="s">
        <v>51</v>
      </c>
      <c r="C95" s="1397">
        <f>+VLOOKUP(A95,'Consolidated IS '!$A:$AG,32,FALSE)</f>
        <v>106178.02</v>
      </c>
      <c r="D95" s="1397"/>
      <c r="E95" s="1397">
        <f>+C95</f>
        <v>106178.02</v>
      </c>
      <c r="F95" s="1397">
        <v>0</v>
      </c>
      <c r="G95" s="1397">
        <f t="shared" ref="G95:G98" si="46">+SUM(E95:F95)</f>
        <v>106178.02</v>
      </c>
      <c r="H95" s="1397">
        <v>0</v>
      </c>
      <c r="I95" s="1397">
        <v>0</v>
      </c>
      <c r="J95" s="1402" t="s">
        <v>348</v>
      </c>
      <c r="K95" s="958">
        <f t="shared" ref="K95:K98" si="47">+G95-C95</f>
        <v>0</v>
      </c>
      <c r="L95" s="958">
        <f t="shared" ref="L95:L98" si="48">+SUM(H95:I95)-F95</f>
        <v>0</v>
      </c>
      <c r="M95" s="957"/>
      <c r="N95" s="957"/>
      <c r="O95" s="957"/>
      <c r="P95" s="957"/>
      <c r="Q95" s="957"/>
    </row>
    <row r="96" spans="1:17">
      <c r="A96" s="1408">
        <v>52144</v>
      </c>
      <c r="B96" s="1400" t="s">
        <v>52</v>
      </c>
      <c r="C96" s="1397">
        <f>+VLOOKUP(A96,'Consolidated IS '!$A:$AG,32,FALSE)</f>
        <v>508.36</v>
      </c>
      <c r="D96" s="1397"/>
      <c r="E96" s="1397">
        <f>C96</f>
        <v>508.36</v>
      </c>
      <c r="F96" s="1397"/>
      <c r="G96" s="1397">
        <f t="shared" si="46"/>
        <v>508.36</v>
      </c>
      <c r="H96" s="1397"/>
      <c r="I96" s="1397"/>
      <c r="J96" s="1402" t="s">
        <v>348</v>
      </c>
      <c r="K96" s="958">
        <f t="shared" si="47"/>
        <v>0</v>
      </c>
      <c r="L96" s="958">
        <f t="shared" si="48"/>
        <v>0</v>
      </c>
      <c r="M96" s="957"/>
      <c r="N96" s="957"/>
      <c r="O96" s="957"/>
      <c r="P96" s="957"/>
      <c r="Q96" s="957"/>
    </row>
    <row r="97" spans="1:17">
      <c r="A97" s="1408">
        <v>52146</v>
      </c>
      <c r="B97" s="1400" t="s">
        <v>53</v>
      </c>
      <c r="C97" s="1397">
        <f>+VLOOKUP(A97,'Consolidated IS '!$A:$AG,32,FALSE)</f>
        <v>7304.32</v>
      </c>
      <c r="D97" s="1397"/>
      <c r="E97" s="1397">
        <f>+$C97*'2184 Ratios'!D$8</f>
        <v>3826.0723809523811</v>
      </c>
      <c r="F97" s="1397">
        <f>+$C97*'2184 Ratios'!E$8</f>
        <v>3478.2476190476186</v>
      </c>
      <c r="G97" s="1397">
        <f t="shared" si="46"/>
        <v>7304.32</v>
      </c>
      <c r="H97" s="1397">
        <f>+$F97*'2184 Ratios'!G$40</f>
        <v>2170.0567763954659</v>
      </c>
      <c r="I97" s="1397">
        <f>+$F97*'2184 Ratios'!H$40</f>
        <v>1308.1908426521525</v>
      </c>
      <c r="J97" s="1402" t="s">
        <v>1924</v>
      </c>
      <c r="K97" s="958">
        <f t="shared" si="47"/>
        <v>0</v>
      </c>
      <c r="L97" s="958">
        <f t="shared" si="48"/>
        <v>0</v>
      </c>
      <c r="M97" s="957"/>
      <c r="N97" s="957"/>
      <c r="O97" s="957"/>
      <c r="P97" s="957"/>
      <c r="Q97" s="957"/>
    </row>
    <row r="98" spans="1:17">
      <c r="A98" s="1408">
        <v>56142</v>
      </c>
      <c r="B98" s="1400" t="s">
        <v>51</v>
      </c>
      <c r="C98" s="1397">
        <f>+VLOOKUP(A98,'Consolidated IS '!$A:$AG,32,FALSE)</f>
        <v>0</v>
      </c>
      <c r="D98" s="1397"/>
      <c r="E98" s="1397">
        <v>0</v>
      </c>
      <c r="F98" s="1397">
        <v>0</v>
      </c>
      <c r="G98" s="1397">
        <f t="shared" si="46"/>
        <v>0</v>
      </c>
      <c r="H98" s="1397">
        <v>0</v>
      </c>
      <c r="I98" s="1397">
        <v>0</v>
      </c>
      <c r="J98" s="1402" t="s">
        <v>348</v>
      </c>
      <c r="K98" s="958">
        <f t="shared" si="47"/>
        <v>0</v>
      </c>
      <c r="L98" s="958">
        <f t="shared" si="48"/>
        <v>0</v>
      </c>
      <c r="M98" s="957"/>
      <c r="N98" s="957"/>
      <c r="O98" s="957"/>
      <c r="P98" s="957"/>
      <c r="Q98" s="957"/>
    </row>
    <row r="99" spans="1:17">
      <c r="A99" s="1408"/>
      <c r="B99" s="1400"/>
      <c r="C99" s="1397"/>
      <c r="D99" s="1397"/>
      <c r="E99" s="1397"/>
      <c r="F99" s="1397"/>
      <c r="G99" s="1397"/>
      <c r="H99" s="1397"/>
      <c r="I99" s="1397"/>
      <c r="J99" s="1402"/>
      <c r="K99" s="957"/>
      <c r="L99" s="957"/>
      <c r="M99" s="957"/>
      <c r="N99" s="957"/>
      <c r="O99" s="957"/>
      <c r="P99" s="957"/>
      <c r="Q99" s="957"/>
    </row>
    <row r="100" spans="1:17">
      <c r="A100" s="1407">
        <v>42400</v>
      </c>
      <c r="B100" s="1395" t="s">
        <v>54</v>
      </c>
      <c r="C100" s="1403">
        <f>SUM(C95:C99)</f>
        <v>113990.70000000001</v>
      </c>
      <c r="D100" s="1403"/>
      <c r="E100" s="1403">
        <f>SUM(E95:E99)</f>
        <v>110512.45238095238</v>
      </c>
      <c r="F100" s="1403">
        <f>SUM(F95:F99)</f>
        <v>3478.2476190476186</v>
      </c>
      <c r="G100" s="1403">
        <f t="shared" ref="G100:H100" si="49">SUM(G95:G99)</f>
        <v>113990.70000000001</v>
      </c>
      <c r="H100" s="1403">
        <f t="shared" si="49"/>
        <v>2170.0567763954659</v>
      </c>
      <c r="I100" s="1403">
        <f>SUM(I95:I99)</f>
        <v>1308.1908426521525</v>
      </c>
      <c r="J100" s="1402"/>
      <c r="K100" s="957"/>
      <c r="L100" s="957"/>
      <c r="M100" s="957"/>
      <c r="N100" s="957"/>
      <c r="O100" s="957"/>
      <c r="P100" s="957"/>
      <c r="Q100" s="957"/>
    </row>
    <row r="101" spans="1:17">
      <c r="A101" s="1399"/>
      <c r="B101" s="1400"/>
      <c r="C101" s="1397"/>
      <c r="D101" s="1397"/>
      <c r="E101" s="1397"/>
      <c r="F101" s="1397"/>
      <c r="G101" s="1397"/>
      <c r="H101" s="1397"/>
      <c r="I101" s="1397"/>
      <c r="J101" s="1402"/>
      <c r="K101" s="957"/>
      <c r="L101" s="957"/>
      <c r="M101" s="957"/>
      <c r="N101" s="957"/>
      <c r="O101" s="957"/>
      <c r="P101" s="957"/>
      <c r="Q101" s="957"/>
    </row>
    <row r="102" spans="1:17">
      <c r="A102" s="1399">
        <v>41121</v>
      </c>
      <c r="B102" s="1400" t="s">
        <v>55</v>
      </c>
      <c r="C102" s="1397">
        <f>+VLOOKUP(A102,'Consolidated IS '!$A:$AG,32,FALSE)</f>
        <v>147602.5</v>
      </c>
      <c r="D102" s="1397"/>
      <c r="E102" s="1397">
        <f>+C102</f>
        <v>147602.5</v>
      </c>
      <c r="F102" s="1397">
        <v>0</v>
      </c>
      <c r="G102" s="1397">
        <f t="shared" ref="G102:G104" si="50">+SUM(E102:F102)</f>
        <v>147602.5</v>
      </c>
      <c r="H102" s="1397">
        <v>0</v>
      </c>
      <c r="I102" s="1397">
        <v>0</v>
      </c>
      <c r="J102" s="1402" t="s">
        <v>348</v>
      </c>
      <c r="K102" s="958">
        <f t="shared" ref="K102:K113" si="51">+G102-C102</f>
        <v>0</v>
      </c>
      <c r="L102" s="958">
        <f t="shared" ref="L102:L113" si="52">+SUM(H102:I102)-F102</f>
        <v>0</v>
      </c>
      <c r="M102" s="957"/>
      <c r="N102" s="957"/>
      <c r="O102" s="957"/>
      <c r="P102" s="957"/>
      <c r="Q102" s="957"/>
    </row>
    <row r="103" spans="1:17">
      <c r="A103" s="1399">
        <v>41129</v>
      </c>
      <c r="B103" s="1400" t="s">
        <v>56</v>
      </c>
      <c r="C103" s="1397">
        <f>+VLOOKUP(A103,'Consolidated IS '!$A:$AG,32,FALSE)</f>
        <v>180375</v>
      </c>
      <c r="D103" s="1397"/>
      <c r="E103" s="1397">
        <v>0</v>
      </c>
      <c r="F103" s="1397">
        <f>+C103</f>
        <v>180375</v>
      </c>
      <c r="G103" s="1397">
        <f t="shared" si="50"/>
        <v>180375</v>
      </c>
      <c r="H103" s="1397">
        <f>+F103</f>
        <v>180375</v>
      </c>
      <c r="I103" s="1397">
        <v>0</v>
      </c>
      <c r="J103" s="1402" t="s">
        <v>348</v>
      </c>
      <c r="K103" s="958">
        <f t="shared" si="51"/>
        <v>0</v>
      </c>
      <c r="L103" s="958">
        <f t="shared" si="52"/>
        <v>0</v>
      </c>
      <c r="M103" s="957"/>
      <c r="N103" s="957"/>
      <c r="O103" s="957"/>
      <c r="P103" s="957"/>
      <c r="Q103" s="957"/>
    </row>
    <row r="104" spans="1:17">
      <c r="A104" s="1399">
        <v>44168</v>
      </c>
      <c r="B104" s="1400" t="s">
        <v>57</v>
      </c>
      <c r="C104" s="1397">
        <f>+VLOOKUP(A104,'Consolidated IS '!$A:$AG,32,FALSE)</f>
        <v>-71405.339999999982</v>
      </c>
      <c r="D104" s="1397"/>
      <c r="E104" s="1397">
        <v>0</v>
      </c>
      <c r="F104" s="1397">
        <f>+C104</f>
        <v>-71405.339999999982</v>
      </c>
      <c r="G104" s="1397">
        <f t="shared" si="50"/>
        <v>-71405.339999999982</v>
      </c>
      <c r="H104" s="1397">
        <f>+F104</f>
        <v>-71405.339999999982</v>
      </c>
      <c r="I104" s="1397">
        <v>0</v>
      </c>
      <c r="J104" s="1402" t="s">
        <v>348</v>
      </c>
      <c r="K104" s="958">
        <f t="shared" si="51"/>
        <v>0</v>
      </c>
      <c r="L104" s="958">
        <f t="shared" si="52"/>
        <v>0</v>
      </c>
      <c r="M104" s="957"/>
      <c r="N104" s="957"/>
      <c r="O104" s="957"/>
      <c r="P104" s="957"/>
      <c r="Q104" s="957"/>
    </row>
    <row r="105" spans="1:17">
      <c r="A105" s="1399">
        <v>44169</v>
      </c>
      <c r="B105" s="1400" t="s">
        <v>58</v>
      </c>
      <c r="C105" s="1397">
        <f>+VLOOKUP(A105,'Consolidated IS '!$A:$AG,32,FALSE)</f>
        <v>-19939.789999999997</v>
      </c>
      <c r="D105" s="1397"/>
      <c r="E105" s="1397">
        <v>0</v>
      </c>
      <c r="F105" s="1397">
        <f>+C105</f>
        <v>-19939.789999999997</v>
      </c>
      <c r="G105" s="1397">
        <f t="shared" ref="G105:G112" si="53">+SUM(E105:F105)</f>
        <v>-19939.789999999997</v>
      </c>
      <c r="H105" s="1397">
        <f>+F105</f>
        <v>-19939.789999999997</v>
      </c>
      <c r="I105" s="1397">
        <v>0</v>
      </c>
      <c r="J105" s="1402" t="s">
        <v>348</v>
      </c>
      <c r="K105" s="958">
        <f t="shared" si="51"/>
        <v>0</v>
      </c>
      <c r="L105" s="958">
        <f t="shared" si="52"/>
        <v>0</v>
      </c>
      <c r="M105" s="957"/>
      <c r="N105" s="957"/>
      <c r="O105" s="957"/>
      <c r="P105" s="957"/>
      <c r="Q105" s="957"/>
    </row>
    <row r="106" spans="1:17">
      <c r="A106" s="1408">
        <v>50086</v>
      </c>
      <c r="B106" s="1400" t="s">
        <v>38</v>
      </c>
      <c r="C106" s="1397">
        <f>+VLOOKUP(A106,'Consolidated IS '!$A:$AG,32,FALSE)</f>
        <v>18549.57</v>
      </c>
      <c r="D106" s="1397"/>
      <c r="E106" s="1397">
        <f>+$C106*'2184 Ratios'!D$15</f>
        <v>12779.829104599694</v>
      </c>
      <c r="F106" s="1397">
        <f>+$C106*'2184 Ratios'!E$15</f>
        <v>5769.7408954003067</v>
      </c>
      <c r="G106" s="1397">
        <f t="shared" si="53"/>
        <v>18549.57</v>
      </c>
      <c r="H106" s="1397">
        <f>+$F106*'2184 Ratios'!G$40</f>
        <v>3599.7049949933617</v>
      </c>
      <c r="I106" s="1397">
        <f>+$F106*'2184 Ratios'!H$40</f>
        <v>2170.0359004069451</v>
      </c>
      <c r="J106" s="1402" t="s">
        <v>2513</v>
      </c>
      <c r="K106" s="958">
        <f t="shared" si="51"/>
        <v>0</v>
      </c>
      <c r="L106" s="958">
        <f t="shared" si="52"/>
        <v>0</v>
      </c>
      <c r="M106" s="957"/>
      <c r="N106" s="957"/>
      <c r="O106" s="957"/>
      <c r="P106" s="957"/>
      <c r="Q106" s="957"/>
    </row>
    <row r="107" spans="1:17">
      <c r="A107" s="1408">
        <v>50090</v>
      </c>
      <c r="B107" s="1400" t="s">
        <v>39</v>
      </c>
      <c r="C107" s="1397">
        <f>+VLOOKUP(A107,'Consolidated IS '!$A:$AG,32,FALSE)</f>
        <v>16378.45</v>
      </c>
      <c r="D107" s="1397"/>
      <c r="E107" s="1397">
        <f>+$C107*'2184 Ratios'!D$15</f>
        <v>11284.0239422386</v>
      </c>
      <c r="F107" s="1397">
        <f>+$C107*'2184 Ratios'!E$15</f>
        <v>5094.4260577614014</v>
      </c>
      <c r="G107" s="1397">
        <f t="shared" si="53"/>
        <v>16378.45</v>
      </c>
      <c r="H107" s="1397">
        <f>+$F107*'2184 Ratios'!G$40</f>
        <v>3178.3803223066102</v>
      </c>
      <c r="I107" s="1397">
        <f>+$F107*'2184 Ratios'!H$40</f>
        <v>1916.0457354547914</v>
      </c>
      <c r="J107" s="1402" t="s">
        <v>2513</v>
      </c>
      <c r="K107" s="958">
        <f t="shared" si="51"/>
        <v>0</v>
      </c>
      <c r="L107" s="958">
        <f t="shared" si="52"/>
        <v>0</v>
      </c>
      <c r="M107" s="957"/>
      <c r="N107" s="957"/>
      <c r="O107" s="957"/>
      <c r="P107" s="957"/>
      <c r="Q107" s="957"/>
    </row>
    <row r="108" spans="1:17">
      <c r="A108" s="1408">
        <v>52185</v>
      </c>
      <c r="B108" s="1400" t="s">
        <v>59</v>
      </c>
      <c r="C108" s="1397">
        <f>+VLOOKUP(A108,'Consolidated IS '!$A:$AG,32,FALSE)</f>
        <v>0</v>
      </c>
      <c r="D108" s="1397"/>
      <c r="E108" s="1397">
        <v>0</v>
      </c>
      <c r="F108" s="1397">
        <v>0</v>
      </c>
      <c r="G108" s="1397">
        <f t="shared" si="53"/>
        <v>0</v>
      </c>
      <c r="H108" s="1397">
        <v>0</v>
      </c>
      <c r="I108" s="1397">
        <v>0</v>
      </c>
      <c r="J108" s="1402" t="s">
        <v>348</v>
      </c>
      <c r="K108" s="958">
        <f t="shared" si="51"/>
        <v>0</v>
      </c>
      <c r="L108" s="958">
        <f t="shared" si="52"/>
        <v>0</v>
      </c>
      <c r="M108" s="957"/>
      <c r="N108" s="957"/>
      <c r="O108" s="957"/>
      <c r="P108" s="957"/>
      <c r="Q108" s="957"/>
    </row>
    <row r="109" spans="1:17">
      <c r="A109" s="1408">
        <v>56200</v>
      </c>
      <c r="B109" s="1400" t="s">
        <v>59</v>
      </c>
      <c r="C109" s="1397">
        <f>+VLOOKUP(A109,'Consolidated IS '!$A:$AG,32,FALSE)</f>
        <v>0</v>
      </c>
      <c r="D109" s="1397"/>
      <c r="E109" s="1397">
        <v>0</v>
      </c>
      <c r="F109" s="1397">
        <v>0</v>
      </c>
      <c r="G109" s="1397">
        <f t="shared" si="53"/>
        <v>0</v>
      </c>
      <c r="H109" s="1397">
        <v>0</v>
      </c>
      <c r="I109" s="1397">
        <v>0</v>
      </c>
      <c r="J109" s="1402" t="s">
        <v>348</v>
      </c>
      <c r="K109" s="958">
        <f t="shared" si="51"/>
        <v>0</v>
      </c>
      <c r="L109" s="958">
        <f t="shared" si="52"/>
        <v>0</v>
      </c>
      <c r="M109" s="957"/>
      <c r="N109" s="957"/>
      <c r="O109" s="957"/>
      <c r="P109" s="957"/>
      <c r="Q109" s="957"/>
    </row>
    <row r="110" spans="1:17">
      <c r="A110" s="1408">
        <v>57255</v>
      </c>
      <c r="B110" s="1400" t="s">
        <v>63</v>
      </c>
      <c r="C110" s="1397">
        <f>+VLOOKUP(A110,'Consolidated IS '!$A:$AG,32,FALSE)</f>
        <v>47</v>
      </c>
      <c r="D110" s="1397"/>
      <c r="E110" s="1397">
        <f>+$C110*'2184 Ratios'!D$15</f>
        <v>32.380910604191129</v>
      </c>
      <c r="F110" s="1397">
        <f>+$C110*'2184 Ratios'!E$15</f>
        <v>14.619089395808874</v>
      </c>
      <c r="G110" s="1397">
        <f t="shared" ref="G110" si="54">+SUM(E110:F110)</f>
        <v>47</v>
      </c>
      <c r="H110" s="1397">
        <f>+$F110*'2184 Ratios'!G$40</f>
        <v>9.1207577730744163</v>
      </c>
      <c r="I110" s="1397">
        <f>+$F110*'2184 Ratios'!H$40</f>
        <v>5.4983316227344581</v>
      </c>
      <c r="J110" s="1402" t="s">
        <v>2513</v>
      </c>
      <c r="K110" s="958">
        <f t="shared" si="51"/>
        <v>0</v>
      </c>
      <c r="L110" s="958">
        <f t="shared" si="52"/>
        <v>0</v>
      </c>
      <c r="M110" s="957"/>
      <c r="N110" s="957"/>
      <c r="O110" s="957"/>
      <c r="P110" s="957"/>
      <c r="Q110" s="957"/>
    </row>
    <row r="111" spans="1:17">
      <c r="A111" s="1408">
        <v>57324</v>
      </c>
      <c r="B111" s="1400" t="s">
        <v>64</v>
      </c>
      <c r="C111" s="1397">
        <f>+VLOOKUP(A111,'Consolidated IS '!$A:$AG,32,FALSE)</f>
        <v>208</v>
      </c>
      <c r="D111" s="1397"/>
      <c r="E111" s="1397">
        <f>C111</f>
        <v>208</v>
      </c>
      <c r="F111" s="1397"/>
      <c r="G111" s="1397">
        <f t="shared" si="53"/>
        <v>208</v>
      </c>
      <c r="H111" s="1397"/>
      <c r="I111" s="1397"/>
      <c r="J111" s="1402" t="s">
        <v>348</v>
      </c>
      <c r="K111" s="958">
        <f t="shared" si="51"/>
        <v>0</v>
      </c>
      <c r="L111" s="958">
        <f t="shared" si="52"/>
        <v>0</v>
      </c>
      <c r="M111" s="957"/>
      <c r="N111" s="957"/>
      <c r="O111" s="957"/>
      <c r="P111" s="957"/>
      <c r="Q111" s="957"/>
    </row>
    <row r="112" spans="1:17">
      <c r="A112" s="1408">
        <v>57353</v>
      </c>
      <c r="B112" s="1400" t="s">
        <v>65</v>
      </c>
      <c r="C112" s="1397">
        <f>+VLOOKUP(A112,'Consolidated IS '!$A:$AG,32,FALSE)</f>
        <v>333</v>
      </c>
      <c r="D112" s="1397"/>
      <c r="E112" s="1397"/>
      <c r="F112" s="1397">
        <f>C112</f>
        <v>333</v>
      </c>
      <c r="G112" s="1397">
        <f t="shared" si="53"/>
        <v>333</v>
      </c>
      <c r="H112" s="1397">
        <f>+$F112*'2184 Ratios'!G$40</f>
        <v>207.75660208388319</v>
      </c>
      <c r="I112" s="1397">
        <f>+$F112*'2184 Ratios'!H$40</f>
        <v>125.24339791611682</v>
      </c>
      <c r="J112" s="1402" t="s">
        <v>1920</v>
      </c>
      <c r="K112" s="958">
        <f t="shared" si="51"/>
        <v>0</v>
      </c>
      <c r="L112" s="958">
        <f t="shared" si="52"/>
        <v>0</v>
      </c>
      <c r="M112" s="957"/>
      <c r="N112" s="957"/>
      <c r="O112" s="957"/>
      <c r="P112" s="957"/>
      <c r="Q112" s="957"/>
    </row>
    <row r="113" spans="1:17">
      <c r="A113" s="1408">
        <v>60205</v>
      </c>
      <c r="B113" s="1400" t="s">
        <v>59</v>
      </c>
      <c r="C113" s="1397">
        <f>+VLOOKUP(A113,'Consolidated IS '!$A:$AG,32,FALSE)</f>
        <v>0</v>
      </c>
      <c r="D113" s="1397"/>
      <c r="E113" s="1397">
        <v>0</v>
      </c>
      <c r="F113" s="1397">
        <v>0</v>
      </c>
      <c r="G113" s="1397">
        <f t="shared" ref="G113" si="55">+SUM(E113:F113)</f>
        <v>0</v>
      </c>
      <c r="H113" s="1397">
        <v>0</v>
      </c>
      <c r="I113" s="1397">
        <v>0</v>
      </c>
      <c r="J113" s="1402" t="s">
        <v>348</v>
      </c>
      <c r="K113" s="958">
        <f t="shared" si="51"/>
        <v>0</v>
      </c>
      <c r="L113" s="958">
        <f t="shared" si="52"/>
        <v>0</v>
      </c>
      <c r="M113" s="957"/>
      <c r="N113" s="957"/>
      <c r="O113" s="957"/>
      <c r="P113" s="957"/>
      <c r="Q113" s="957"/>
    </row>
    <row r="114" spans="1:17" s="960" customFormat="1">
      <c r="A114" s="1408"/>
      <c r="B114" s="1400"/>
      <c r="C114" s="1397"/>
      <c r="D114" s="1397"/>
      <c r="E114" s="1397"/>
      <c r="F114" s="1397"/>
      <c r="G114" s="1397"/>
      <c r="H114" s="1397"/>
      <c r="I114" s="1397"/>
      <c r="J114" s="1402"/>
      <c r="K114" s="959"/>
      <c r="L114" s="959"/>
      <c r="M114" s="957"/>
      <c r="N114" s="959"/>
      <c r="O114" s="959"/>
      <c r="P114" s="959"/>
      <c r="Q114" s="959"/>
    </row>
    <row r="115" spans="1:17">
      <c r="A115" s="1407">
        <v>42800</v>
      </c>
      <c r="B115" s="1395" t="s">
        <v>66</v>
      </c>
      <c r="C115" s="1403">
        <f>SUM(C102:C114)</f>
        <v>272148.39</v>
      </c>
      <c r="D115" s="1403"/>
      <c r="E115" s="1403">
        <f>SUM(E102:E114)</f>
        <v>171906.73395744248</v>
      </c>
      <c r="F115" s="1403">
        <f>SUM(F102:F114)</f>
        <v>100241.65604255754</v>
      </c>
      <c r="G115" s="1403">
        <f t="shared" ref="G115:H115" si="56">SUM(G102:G114)</f>
        <v>272148.39</v>
      </c>
      <c r="H115" s="1403">
        <f t="shared" si="56"/>
        <v>96024.832677156941</v>
      </c>
      <c r="I115" s="1403">
        <f>SUM(I102:I114)</f>
        <v>4216.823365400588</v>
      </c>
      <c r="J115" s="1402"/>
      <c r="K115" s="957"/>
      <c r="L115" s="957"/>
      <c r="M115" s="957"/>
      <c r="N115" s="957"/>
      <c r="O115" s="957"/>
      <c r="P115" s="957"/>
      <c r="Q115" s="957"/>
    </row>
    <row r="116" spans="1:17">
      <c r="A116" s="1399"/>
      <c r="B116" s="1400"/>
      <c r="C116" s="1397"/>
      <c r="D116" s="1397"/>
      <c r="E116" s="1397"/>
      <c r="F116" s="1397"/>
      <c r="G116" s="1397"/>
      <c r="H116" s="1397"/>
      <c r="I116" s="1397"/>
      <c r="J116" s="1402"/>
      <c r="K116" s="957"/>
      <c r="L116" s="957"/>
      <c r="M116" s="957"/>
      <c r="N116" s="957"/>
      <c r="O116" s="957"/>
      <c r="P116" s="957"/>
      <c r="Q116" s="957"/>
    </row>
    <row r="117" spans="1:17">
      <c r="A117" s="1408">
        <v>40101</v>
      </c>
      <c r="B117" s="1400" t="s">
        <v>67</v>
      </c>
      <c r="C117" s="1397">
        <f>+VLOOKUP(A117,'Consolidated IS '!$A:$AG,32,FALSE)</f>
        <v>0</v>
      </c>
      <c r="D117" s="1397"/>
      <c r="E117" s="1397">
        <v>0</v>
      </c>
      <c r="F117" s="1397">
        <v>0</v>
      </c>
      <c r="G117" s="1397">
        <f t="shared" ref="G117" si="57">+SUM(E117:F117)</f>
        <v>0</v>
      </c>
      <c r="H117" s="1397">
        <v>0</v>
      </c>
      <c r="I117" s="1397">
        <v>0</v>
      </c>
      <c r="J117" s="1402" t="s">
        <v>348</v>
      </c>
      <c r="K117" s="958">
        <f t="shared" ref="K117:K120" si="58">+G117-C117</f>
        <v>0</v>
      </c>
      <c r="L117" s="958">
        <f t="shared" ref="L117:L120" si="59">+SUM(H117:I117)-F117</f>
        <v>0</v>
      </c>
      <c r="M117" s="957"/>
      <c r="N117" s="957"/>
      <c r="O117" s="957"/>
      <c r="P117" s="957"/>
      <c r="Q117" s="957"/>
    </row>
    <row r="118" spans="1:17">
      <c r="A118" s="1408"/>
      <c r="B118" s="1400" t="s">
        <v>942</v>
      </c>
      <c r="C118" s="1397">
        <f>+'Consolidated IS '!AF133</f>
        <v>0</v>
      </c>
      <c r="D118" s="1397"/>
      <c r="E118" s="1397">
        <v>0</v>
      </c>
      <c r="F118" s="1397">
        <v>0</v>
      </c>
      <c r="G118" s="1397">
        <f t="shared" ref="G118:G119" si="60">+SUM(E118:F118)</f>
        <v>0</v>
      </c>
      <c r="H118" s="1397">
        <v>0</v>
      </c>
      <c r="I118" s="1397">
        <v>0</v>
      </c>
      <c r="J118" s="1402" t="s">
        <v>348</v>
      </c>
      <c r="K118" s="958">
        <f t="shared" si="58"/>
        <v>0</v>
      </c>
      <c r="L118" s="958">
        <f t="shared" si="59"/>
        <v>0</v>
      </c>
      <c r="M118" s="957"/>
      <c r="N118" s="957"/>
      <c r="O118" s="957"/>
      <c r="P118" s="957"/>
      <c r="Q118" s="957"/>
    </row>
    <row r="119" spans="1:17">
      <c r="A119" s="1408">
        <v>40109</v>
      </c>
      <c r="B119" s="1400" t="s">
        <v>68</v>
      </c>
      <c r="C119" s="1397">
        <f>+VLOOKUP(A119,'Consolidated IS '!$A:$AG,32,FALSE)</f>
        <v>7846.7999999999993</v>
      </c>
      <c r="D119" s="1397"/>
      <c r="E119" s="1397">
        <f>+C119</f>
        <v>7846.7999999999993</v>
      </c>
      <c r="F119" s="1397">
        <v>0</v>
      </c>
      <c r="G119" s="1397">
        <f t="shared" si="60"/>
        <v>7846.7999999999993</v>
      </c>
      <c r="H119" s="1397">
        <v>0</v>
      </c>
      <c r="I119" s="1397">
        <v>0</v>
      </c>
      <c r="J119" s="1402" t="s">
        <v>348</v>
      </c>
      <c r="K119" s="958">
        <f t="shared" si="58"/>
        <v>0</v>
      </c>
      <c r="L119" s="958">
        <f t="shared" si="59"/>
        <v>0</v>
      </c>
      <c r="M119" s="957"/>
      <c r="N119" s="957"/>
      <c r="O119" s="957"/>
      <c r="P119" s="957"/>
      <c r="Q119" s="957"/>
    </row>
    <row r="120" spans="1:17">
      <c r="A120" s="1408">
        <v>40122</v>
      </c>
      <c r="B120" s="1400" t="s">
        <v>69</v>
      </c>
      <c r="C120" s="1397">
        <f>+VLOOKUP(A120,'Consolidated IS '!$A:$AG,32,FALSE)</f>
        <v>104229.96</v>
      </c>
      <c r="D120" s="1397"/>
      <c r="E120" s="1397">
        <f>+C120</f>
        <v>104229.96</v>
      </c>
      <c r="F120" s="1397">
        <v>0</v>
      </c>
      <c r="G120" s="1397">
        <f t="shared" ref="G120:G121" si="61">+SUM(E120:F120)</f>
        <v>104229.96</v>
      </c>
      <c r="H120" s="1397">
        <v>0</v>
      </c>
      <c r="I120" s="1397">
        <v>0</v>
      </c>
      <c r="J120" s="1402" t="s">
        <v>348</v>
      </c>
      <c r="K120" s="958">
        <f t="shared" si="58"/>
        <v>0</v>
      </c>
      <c r="L120" s="958">
        <f t="shared" si="59"/>
        <v>0</v>
      </c>
      <c r="M120" s="957"/>
      <c r="N120" s="957"/>
      <c r="O120" s="957"/>
      <c r="P120" s="957"/>
      <c r="Q120" s="957"/>
    </row>
    <row r="121" spans="1:17">
      <c r="A121" s="1408">
        <v>40139</v>
      </c>
      <c r="B121" s="1400" t="s">
        <v>70</v>
      </c>
      <c r="C121" s="1397">
        <f>+VLOOKUP(A121,'Consolidated IS '!$A:$AG,32,FALSE)</f>
        <v>1036254.94</v>
      </c>
      <c r="D121" s="1397"/>
      <c r="E121" s="1397">
        <f>+C121</f>
        <v>1036254.94</v>
      </c>
      <c r="F121" s="1397">
        <v>0</v>
      </c>
      <c r="G121" s="1397">
        <f t="shared" si="61"/>
        <v>1036254.94</v>
      </c>
      <c r="H121" s="1397">
        <v>0</v>
      </c>
      <c r="I121" s="1397">
        <v>0</v>
      </c>
      <c r="J121" s="1402" t="s">
        <v>348</v>
      </c>
      <c r="K121" s="957"/>
      <c r="L121" s="957"/>
      <c r="M121" s="957"/>
      <c r="N121" s="957"/>
      <c r="O121" s="957"/>
      <c r="P121" s="957"/>
      <c r="Q121" s="957"/>
    </row>
    <row r="122" spans="1:17">
      <c r="A122" s="1408"/>
      <c r="B122" s="1400"/>
      <c r="C122" s="1397"/>
      <c r="D122" s="1397"/>
      <c r="E122" s="1397"/>
      <c r="F122" s="1397"/>
      <c r="G122" s="1397"/>
      <c r="H122" s="1397"/>
      <c r="I122" s="1397"/>
      <c r="J122" s="1402"/>
      <c r="K122" s="957"/>
      <c r="L122" s="957"/>
      <c r="M122" s="957"/>
      <c r="N122" s="957"/>
      <c r="O122" s="957"/>
      <c r="P122" s="957"/>
      <c r="Q122" s="957"/>
    </row>
    <row r="123" spans="1:17">
      <c r="A123" s="1407">
        <v>43600</v>
      </c>
      <c r="B123" s="1395" t="s">
        <v>71</v>
      </c>
      <c r="C123" s="1403">
        <f>SUM(C117:C122)</f>
        <v>1148331.7</v>
      </c>
      <c r="D123" s="1403"/>
      <c r="E123" s="1403">
        <f>SUM(E117:E122)</f>
        <v>1148331.7</v>
      </c>
      <c r="F123" s="1403">
        <f>SUM(F117:F122)</f>
        <v>0</v>
      </c>
      <c r="G123" s="1403">
        <f t="shared" ref="G123:H123" si="62">SUM(G117:G122)</f>
        <v>1148331.7</v>
      </c>
      <c r="H123" s="1403">
        <f t="shared" si="62"/>
        <v>0</v>
      </c>
      <c r="I123" s="1403">
        <f>SUM(I117:I122)</f>
        <v>0</v>
      </c>
      <c r="J123" s="1402"/>
      <c r="K123" s="957"/>
      <c r="L123" s="957"/>
      <c r="M123" s="957"/>
      <c r="N123" s="957"/>
      <c r="O123" s="957"/>
      <c r="P123" s="957"/>
      <c r="Q123" s="957"/>
    </row>
    <row r="124" spans="1:17">
      <c r="A124" s="1407"/>
      <c r="B124" s="1395"/>
      <c r="C124" s="1397"/>
      <c r="D124" s="1397"/>
      <c r="E124" s="1397"/>
      <c r="F124" s="1397"/>
      <c r="G124" s="1397"/>
      <c r="H124" s="1397"/>
      <c r="I124" s="1397"/>
      <c r="J124" s="1402"/>
      <c r="K124" s="957"/>
      <c r="L124" s="957"/>
      <c r="M124" s="957"/>
      <c r="N124" s="957"/>
      <c r="O124" s="957"/>
      <c r="P124" s="957"/>
      <c r="Q124" s="957"/>
    </row>
    <row r="125" spans="1:17">
      <c r="A125" s="1399">
        <v>40861</v>
      </c>
      <c r="B125" s="1400" t="s">
        <v>72</v>
      </c>
      <c r="C125" s="1397">
        <f>+VLOOKUP(A125,'Consolidated IS '!$A:$AG,32,FALSE)</f>
        <v>0</v>
      </c>
      <c r="D125" s="1397"/>
      <c r="E125" s="1397">
        <v>0</v>
      </c>
      <c r="F125" s="1397">
        <v>0</v>
      </c>
      <c r="G125" s="1397">
        <f t="shared" ref="G125:G126" si="63">+SUM(E125:F125)</f>
        <v>0</v>
      </c>
      <c r="H125" s="1397">
        <v>0</v>
      </c>
      <c r="I125" s="1397">
        <v>0</v>
      </c>
      <c r="J125" s="1402" t="s">
        <v>348</v>
      </c>
      <c r="K125" s="958">
        <f t="shared" ref="K125:K126" si="64">+G125-C125</f>
        <v>0</v>
      </c>
      <c r="L125" s="958">
        <f t="shared" ref="L125:L126" si="65">+SUM(H125:I125)-F125</f>
        <v>0</v>
      </c>
      <c r="M125" s="957"/>
      <c r="N125" s="957"/>
      <c r="O125" s="957"/>
      <c r="P125" s="957"/>
      <c r="Q125" s="957"/>
    </row>
    <row r="126" spans="1:17">
      <c r="A126" s="1399">
        <v>40869</v>
      </c>
      <c r="B126" s="1400" t="s">
        <v>73</v>
      </c>
      <c r="C126" s="1397">
        <f>+VLOOKUP(A126,'Consolidated IS '!$A:$AG,32,FALSE)</f>
        <v>0</v>
      </c>
      <c r="D126" s="1397"/>
      <c r="E126" s="1397">
        <v>0</v>
      </c>
      <c r="F126" s="1397">
        <v>0</v>
      </c>
      <c r="G126" s="1397">
        <f t="shared" si="63"/>
        <v>0</v>
      </c>
      <c r="H126" s="1397">
        <v>0</v>
      </c>
      <c r="I126" s="1397">
        <v>0</v>
      </c>
      <c r="J126" s="1402" t="s">
        <v>348</v>
      </c>
      <c r="K126" s="958">
        <f t="shared" si="64"/>
        <v>0</v>
      </c>
      <c r="L126" s="958">
        <f t="shared" si="65"/>
        <v>0</v>
      </c>
      <c r="M126" s="957"/>
      <c r="N126" s="957"/>
      <c r="O126" s="957"/>
      <c r="P126" s="957"/>
      <c r="Q126" s="957"/>
    </row>
    <row r="127" spans="1:17">
      <c r="A127" s="1399"/>
      <c r="B127" s="1400"/>
      <c r="C127" s="1397"/>
      <c r="D127" s="1397"/>
      <c r="E127" s="1397"/>
      <c r="F127" s="1397"/>
      <c r="G127" s="1397"/>
      <c r="H127" s="1397"/>
      <c r="I127" s="1397"/>
      <c r="J127" s="1402"/>
      <c r="K127" s="957"/>
      <c r="L127" s="957"/>
      <c r="M127" s="957"/>
      <c r="N127" s="957"/>
      <c r="O127" s="957"/>
      <c r="P127" s="957"/>
      <c r="Q127" s="957"/>
    </row>
    <row r="128" spans="1:17">
      <c r="A128" s="1407">
        <v>43800</v>
      </c>
      <c r="B128" s="1395" t="s">
        <v>72</v>
      </c>
      <c r="C128" s="1403">
        <f>SUM(C125:C127)</f>
        <v>0</v>
      </c>
      <c r="D128" s="1403"/>
      <c r="E128" s="1403">
        <f t="shared" ref="E128:I128" si="66">SUM(E125:E127)</f>
        <v>0</v>
      </c>
      <c r="F128" s="1403">
        <f t="shared" si="66"/>
        <v>0</v>
      </c>
      <c r="G128" s="1403">
        <f t="shared" si="66"/>
        <v>0</v>
      </c>
      <c r="H128" s="1403">
        <f t="shared" si="66"/>
        <v>0</v>
      </c>
      <c r="I128" s="1403">
        <f t="shared" si="66"/>
        <v>0</v>
      </c>
      <c r="J128" s="1402"/>
      <c r="K128" s="957"/>
      <c r="L128" s="957"/>
      <c r="M128" s="957"/>
      <c r="N128" s="957"/>
      <c r="O128" s="957"/>
      <c r="P128" s="957"/>
      <c r="Q128" s="957"/>
    </row>
    <row r="129" spans="1:17">
      <c r="A129" s="1407"/>
      <c r="B129" s="1395"/>
      <c r="C129" s="1397"/>
      <c r="D129" s="1397"/>
      <c r="E129" s="1397"/>
      <c r="F129" s="1397"/>
      <c r="G129" s="1397"/>
      <c r="H129" s="1397"/>
      <c r="I129" s="1397"/>
      <c r="J129" s="1402"/>
      <c r="K129" s="957"/>
      <c r="L129" s="957"/>
      <c r="M129" s="957"/>
      <c r="N129" s="957"/>
      <c r="O129" s="957"/>
      <c r="P129" s="957"/>
      <c r="Q129" s="957"/>
    </row>
    <row r="130" spans="1:17">
      <c r="A130" s="1399">
        <v>60010</v>
      </c>
      <c r="B130" s="1400" t="s">
        <v>17</v>
      </c>
      <c r="C130" s="1397">
        <f>+VLOOKUP(A130,'Consolidated IS '!$A:$AG,32,FALSE)</f>
        <v>0</v>
      </c>
      <c r="D130" s="1397"/>
      <c r="E130" s="1397">
        <v>0</v>
      </c>
      <c r="F130" s="1397">
        <v>0</v>
      </c>
      <c r="G130" s="1397">
        <f t="shared" ref="G130:G136" si="67">+SUM(E130:F130)</f>
        <v>0</v>
      </c>
      <c r="H130" s="1397">
        <v>0</v>
      </c>
      <c r="I130" s="1397">
        <v>0</v>
      </c>
      <c r="J130" s="1402" t="s">
        <v>348</v>
      </c>
      <c r="K130" s="958">
        <f t="shared" ref="K130:K136" si="68">+G130-C130</f>
        <v>0</v>
      </c>
      <c r="L130" s="958">
        <f t="shared" ref="L130:L136" si="69">+SUM(H130:I130)-F130</f>
        <v>0</v>
      </c>
      <c r="M130" s="957"/>
      <c r="N130" s="957"/>
      <c r="O130" s="957"/>
      <c r="P130" s="957"/>
      <c r="Q130" s="957"/>
    </row>
    <row r="131" spans="1:17">
      <c r="A131" s="1399">
        <v>60030</v>
      </c>
      <c r="B131" s="1400" t="s">
        <v>74</v>
      </c>
      <c r="C131" s="1397">
        <f>+VLOOKUP(A131,'Consolidated IS '!$A:$AG,32,FALSE)</f>
        <v>0</v>
      </c>
      <c r="D131" s="1397"/>
      <c r="E131" s="1397">
        <v>0</v>
      </c>
      <c r="F131" s="1397">
        <v>0</v>
      </c>
      <c r="G131" s="1397">
        <f t="shared" si="67"/>
        <v>0</v>
      </c>
      <c r="H131" s="1397">
        <v>0</v>
      </c>
      <c r="I131" s="1397">
        <v>0</v>
      </c>
      <c r="J131" s="1402" t="s">
        <v>348</v>
      </c>
      <c r="K131" s="958">
        <f t="shared" si="68"/>
        <v>0</v>
      </c>
      <c r="L131" s="958">
        <f t="shared" si="69"/>
        <v>0</v>
      </c>
      <c r="M131" s="957"/>
      <c r="N131" s="957"/>
      <c r="O131" s="957"/>
      <c r="P131" s="957"/>
      <c r="Q131" s="957"/>
    </row>
    <row r="132" spans="1:17">
      <c r="A132" s="1399">
        <v>60060</v>
      </c>
      <c r="B132" s="1400" t="s">
        <v>75</v>
      </c>
      <c r="C132" s="1397">
        <f>+VLOOKUP(A132,'Consolidated IS '!$A:$AG,32,FALSE)</f>
        <v>0</v>
      </c>
      <c r="D132" s="1397"/>
      <c r="E132" s="1397">
        <v>0</v>
      </c>
      <c r="F132" s="1397">
        <v>0</v>
      </c>
      <c r="G132" s="1397">
        <f t="shared" si="67"/>
        <v>0</v>
      </c>
      <c r="H132" s="1397">
        <v>0</v>
      </c>
      <c r="I132" s="1397">
        <v>0</v>
      </c>
      <c r="J132" s="1402" t="s">
        <v>348</v>
      </c>
      <c r="K132" s="958">
        <f t="shared" si="68"/>
        <v>0</v>
      </c>
      <c r="L132" s="958">
        <f t="shared" si="69"/>
        <v>0</v>
      </c>
      <c r="M132" s="957"/>
      <c r="N132" s="957"/>
      <c r="O132" s="957"/>
      <c r="P132" s="957"/>
      <c r="Q132" s="957"/>
    </row>
    <row r="133" spans="1:17">
      <c r="A133" s="1399">
        <v>60065</v>
      </c>
      <c r="B133" s="1400" t="s">
        <v>21</v>
      </c>
      <c r="C133" s="1397">
        <f>+VLOOKUP(A133,'Consolidated IS '!$A:$AG,32,FALSE)</f>
        <v>0</v>
      </c>
      <c r="D133" s="1397"/>
      <c r="E133" s="1397">
        <v>0</v>
      </c>
      <c r="F133" s="1397">
        <v>0</v>
      </c>
      <c r="G133" s="1397">
        <f t="shared" si="67"/>
        <v>0</v>
      </c>
      <c r="H133" s="1397">
        <v>0</v>
      </c>
      <c r="I133" s="1397">
        <v>0</v>
      </c>
      <c r="J133" s="1402" t="s">
        <v>348</v>
      </c>
      <c r="K133" s="958">
        <f t="shared" si="68"/>
        <v>0</v>
      </c>
      <c r="L133" s="958">
        <f t="shared" si="69"/>
        <v>0</v>
      </c>
      <c r="M133" s="957"/>
      <c r="N133" s="957"/>
      <c r="O133" s="957"/>
      <c r="P133" s="957"/>
      <c r="Q133" s="957"/>
    </row>
    <row r="134" spans="1:17">
      <c r="A134" s="1399">
        <v>60070</v>
      </c>
      <c r="B134" s="1400" t="s">
        <v>22</v>
      </c>
      <c r="C134" s="1397">
        <f>+VLOOKUP(A134,'Consolidated IS '!$A:$AG,32,FALSE)</f>
        <v>0</v>
      </c>
      <c r="D134" s="1397"/>
      <c r="E134" s="1397">
        <v>0</v>
      </c>
      <c r="F134" s="1397">
        <v>0</v>
      </c>
      <c r="G134" s="1397">
        <f t="shared" si="67"/>
        <v>0</v>
      </c>
      <c r="H134" s="1397">
        <v>0</v>
      </c>
      <c r="I134" s="1397">
        <v>0</v>
      </c>
      <c r="J134" s="1402" t="s">
        <v>348</v>
      </c>
      <c r="K134" s="958">
        <f t="shared" si="68"/>
        <v>0</v>
      </c>
      <c r="L134" s="958">
        <f t="shared" si="69"/>
        <v>0</v>
      </c>
      <c r="M134" s="957"/>
      <c r="N134" s="957"/>
      <c r="O134" s="957"/>
      <c r="P134" s="957"/>
      <c r="Q134" s="957"/>
    </row>
    <row r="135" spans="1:17">
      <c r="A135" s="1408">
        <v>60201</v>
      </c>
      <c r="B135" s="1400" t="s">
        <v>77</v>
      </c>
      <c r="C135" s="1397">
        <f>+VLOOKUP(A135,'Consolidated IS '!$A:$AG,32,FALSE)</f>
        <v>0</v>
      </c>
      <c r="D135" s="1397"/>
      <c r="E135" s="1397">
        <v>0</v>
      </c>
      <c r="F135" s="1397">
        <v>0</v>
      </c>
      <c r="G135" s="1397">
        <f t="shared" si="67"/>
        <v>0</v>
      </c>
      <c r="H135" s="1397">
        <v>0</v>
      </c>
      <c r="I135" s="1397">
        <v>0</v>
      </c>
      <c r="J135" s="1402" t="s">
        <v>348</v>
      </c>
      <c r="K135" s="958">
        <f t="shared" si="68"/>
        <v>0</v>
      </c>
      <c r="L135" s="958">
        <f t="shared" si="69"/>
        <v>0</v>
      </c>
      <c r="M135" s="957"/>
      <c r="N135" s="957"/>
      <c r="O135" s="957"/>
      <c r="P135" s="957"/>
      <c r="Q135" s="957"/>
    </row>
    <row r="136" spans="1:17">
      <c r="A136" s="1408">
        <v>60095</v>
      </c>
      <c r="B136" s="1400" t="s">
        <v>61</v>
      </c>
      <c r="C136" s="1397">
        <f>+VLOOKUP(A136,'Consolidated IS '!$A:$AG,32,FALSE)</f>
        <v>0</v>
      </c>
      <c r="D136" s="1397"/>
      <c r="E136" s="1397">
        <v>0</v>
      </c>
      <c r="F136" s="1397">
        <v>0</v>
      </c>
      <c r="G136" s="1397">
        <f t="shared" si="67"/>
        <v>0</v>
      </c>
      <c r="H136" s="1397">
        <v>0</v>
      </c>
      <c r="I136" s="1397">
        <v>0</v>
      </c>
      <c r="J136" s="1402" t="s">
        <v>348</v>
      </c>
      <c r="K136" s="958">
        <f t="shared" si="68"/>
        <v>0</v>
      </c>
      <c r="L136" s="958">
        <f t="shared" si="69"/>
        <v>0</v>
      </c>
      <c r="M136" s="957"/>
      <c r="N136" s="957"/>
      <c r="O136" s="957"/>
      <c r="P136" s="957"/>
      <c r="Q136" s="957"/>
    </row>
    <row r="137" spans="1:17">
      <c r="A137" s="1408"/>
      <c r="B137" s="1400"/>
      <c r="C137" s="1397"/>
      <c r="D137" s="1397"/>
      <c r="E137" s="1397"/>
      <c r="F137" s="1397"/>
      <c r="G137" s="1397"/>
      <c r="H137" s="1397"/>
      <c r="I137" s="1397"/>
      <c r="J137" s="1402"/>
      <c r="K137" s="957"/>
      <c r="L137" s="957"/>
      <c r="M137" s="957"/>
      <c r="N137" s="957"/>
      <c r="O137" s="957"/>
      <c r="P137" s="957"/>
      <c r="Q137" s="957"/>
    </row>
    <row r="138" spans="1:17">
      <c r="A138" s="1407">
        <v>44000</v>
      </c>
      <c r="B138" s="1395" t="s">
        <v>78</v>
      </c>
      <c r="C138" s="1403">
        <f>SUM(C130:C137)</f>
        <v>0</v>
      </c>
      <c r="D138" s="1403"/>
      <c r="E138" s="1403">
        <f>SUM(E130:E137)</f>
        <v>0</v>
      </c>
      <c r="F138" s="1403">
        <f>SUM(F130:F137)</f>
        <v>0</v>
      </c>
      <c r="G138" s="1403">
        <f t="shared" ref="G138:H138" si="70">SUM(G130:G137)</f>
        <v>0</v>
      </c>
      <c r="H138" s="1403">
        <f t="shared" si="70"/>
        <v>0</v>
      </c>
      <c r="I138" s="1403">
        <f>SUM(I130:I137)</f>
        <v>0</v>
      </c>
      <c r="J138" s="1402"/>
      <c r="K138" s="957"/>
      <c r="L138" s="957"/>
      <c r="M138" s="957"/>
      <c r="N138" s="957"/>
      <c r="O138" s="957"/>
      <c r="P138" s="957"/>
      <c r="Q138" s="957"/>
    </row>
    <row r="139" spans="1:17">
      <c r="A139" s="1407"/>
      <c r="B139" s="1395"/>
      <c r="C139" s="1397"/>
      <c r="D139" s="1397"/>
      <c r="E139" s="1397"/>
      <c r="F139" s="1397"/>
      <c r="G139" s="1397"/>
      <c r="H139" s="1397"/>
      <c r="I139" s="1397"/>
      <c r="J139" s="1402"/>
      <c r="K139" s="957"/>
      <c r="L139" s="957"/>
      <c r="M139" s="957"/>
      <c r="N139" s="957"/>
      <c r="O139" s="957"/>
      <c r="P139" s="957"/>
      <c r="Q139" s="957"/>
    </row>
    <row r="140" spans="1:17">
      <c r="A140" s="1408">
        <v>43002</v>
      </c>
      <c r="B140" s="1400" t="s">
        <v>79</v>
      </c>
      <c r="C140" s="1397">
        <f>+VLOOKUP(A140,'Consolidated IS '!$A:$AG,32,FALSE)</f>
        <v>0</v>
      </c>
      <c r="D140" s="1397"/>
      <c r="E140" s="1397">
        <v>0</v>
      </c>
      <c r="F140" s="1397">
        <v>0</v>
      </c>
      <c r="G140" s="1397">
        <f t="shared" ref="G140" si="71">+SUM(E140:F140)</f>
        <v>0</v>
      </c>
      <c r="H140" s="1397">
        <v>0</v>
      </c>
      <c r="I140" s="1397">
        <v>0</v>
      </c>
      <c r="J140" s="1402" t="s">
        <v>348</v>
      </c>
      <c r="K140" s="958">
        <f t="shared" ref="K140" si="72">+G140-C140</f>
        <v>0</v>
      </c>
      <c r="L140" s="958">
        <f t="shared" ref="L140" si="73">+SUM(H140:I140)-F140</f>
        <v>0</v>
      </c>
      <c r="M140" s="957"/>
      <c r="N140" s="957"/>
      <c r="O140" s="957"/>
      <c r="P140" s="957"/>
      <c r="Q140" s="957"/>
    </row>
    <row r="141" spans="1:17">
      <c r="A141" s="1408"/>
      <c r="B141" s="1400"/>
      <c r="C141" s="1397"/>
      <c r="D141" s="1397"/>
      <c r="E141" s="1397"/>
      <c r="F141" s="1397"/>
      <c r="G141" s="1397"/>
      <c r="H141" s="1397"/>
      <c r="I141" s="1397"/>
      <c r="J141" s="1402"/>
      <c r="K141" s="957"/>
      <c r="L141" s="957"/>
      <c r="M141" s="957"/>
      <c r="N141" s="957"/>
      <c r="O141" s="957"/>
      <c r="P141" s="957"/>
      <c r="Q141" s="957"/>
    </row>
    <row r="142" spans="1:17">
      <c r="A142" s="1407">
        <v>44300</v>
      </c>
      <c r="B142" s="1395" t="s">
        <v>80</v>
      </c>
      <c r="C142" s="1403">
        <f>SUM(C140:C141)</f>
        <v>0</v>
      </c>
      <c r="D142" s="1403"/>
      <c r="E142" s="1403">
        <f t="shared" ref="E142:I142" si="74">SUM(E140:E141)</f>
        <v>0</v>
      </c>
      <c r="F142" s="1403">
        <f t="shared" si="74"/>
        <v>0</v>
      </c>
      <c r="G142" s="1403">
        <f t="shared" si="74"/>
        <v>0</v>
      </c>
      <c r="H142" s="1403">
        <f t="shared" si="74"/>
        <v>0</v>
      </c>
      <c r="I142" s="1403">
        <f t="shared" si="74"/>
        <v>0</v>
      </c>
      <c r="J142" s="1402"/>
      <c r="K142" s="957"/>
      <c r="L142" s="957"/>
      <c r="M142" s="957"/>
      <c r="N142" s="957"/>
      <c r="O142" s="957"/>
      <c r="P142" s="957"/>
      <c r="Q142" s="957"/>
    </row>
    <row r="143" spans="1:17">
      <c r="A143" s="1399"/>
      <c r="B143" s="1400"/>
      <c r="C143" s="1397"/>
      <c r="D143" s="1397"/>
      <c r="E143" s="1397"/>
      <c r="F143" s="1397"/>
      <c r="G143" s="1397"/>
      <c r="H143" s="1397"/>
      <c r="I143" s="1397"/>
      <c r="J143" s="1402"/>
      <c r="K143" s="957"/>
      <c r="L143" s="957"/>
      <c r="M143" s="957"/>
      <c r="N143" s="957"/>
      <c r="O143" s="957"/>
      <c r="P143" s="957"/>
      <c r="Q143" s="957"/>
    </row>
    <row r="144" spans="1:17">
      <c r="A144" s="1399">
        <v>60195</v>
      </c>
      <c r="B144" s="1400" t="s">
        <v>81</v>
      </c>
      <c r="C144" s="1397">
        <f>+VLOOKUP(A144,'Consolidated IS '!$A:$AG,32,FALSE)</f>
        <v>0</v>
      </c>
      <c r="D144" s="1397"/>
      <c r="E144" s="1397">
        <v>0</v>
      </c>
      <c r="F144" s="1397">
        <v>0</v>
      </c>
      <c r="G144" s="1397">
        <f t="shared" ref="G144:G146" si="75">+SUM(E144:F144)</f>
        <v>0</v>
      </c>
      <c r="H144" s="1397">
        <v>0</v>
      </c>
      <c r="I144" s="1397">
        <v>0</v>
      </c>
      <c r="J144" s="1402" t="s">
        <v>348</v>
      </c>
      <c r="K144" s="958">
        <f t="shared" ref="K144:K146" si="76">+G144-C144</f>
        <v>0</v>
      </c>
      <c r="L144" s="958">
        <f t="shared" ref="L144:L146" si="77">+SUM(H144:I144)-F144</f>
        <v>0</v>
      </c>
      <c r="M144" s="957"/>
      <c r="N144" s="957"/>
      <c r="O144" s="957"/>
      <c r="P144" s="957"/>
      <c r="Q144" s="957"/>
    </row>
    <row r="145" spans="1:17">
      <c r="A145" s="1408">
        <v>60225</v>
      </c>
      <c r="B145" s="1400" t="s">
        <v>82</v>
      </c>
      <c r="C145" s="1397">
        <f>+VLOOKUP(A145,'Consolidated IS '!$A:$AG,32,FALSE)</f>
        <v>0</v>
      </c>
      <c r="D145" s="1397"/>
      <c r="E145" s="1397">
        <v>0</v>
      </c>
      <c r="F145" s="1397">
        <v>0</v>
      </c>
      <c r="G145" s="1397">
        <f t="shared" si="75"/>
        <v>0</v>
      </c>
      <c r="H145" s="1397">
        <v>0</v>
      </c>
      <c r="I145" s="1397">
        <v>0</v>
      </c>
      <c r="J145" s="1402" t="s">
        <v>348</v>
      </c>
      <c r="K145" s="958">
        <f t="shared" si="76"/>
        <v>0</v>
      </c>
      <c r="L145" s="958">
        <f t="shared" si="77"/>
        <v>0</v>
      </c>
      <c r="M145" s="957"/>
      <c r="N145" s="957"/>
      <c r="O145" s="957"/>
      <c r="P145" s="957"/>
      <c r="Q145" s="957"/>
    </row>
    <row r="146" spans="1:17">
      <c r="A146" s="1408">
        <v>70225</v>
      </c>
      <c r="B146" s="1400" t="s">
        <v>83</v>
      </c>
      <c r="C146" s="1397">
        <f>+VLOOKUP(A146,'Consolidated IS '!$A:$AG,32,FALSE)</f>
        <v>0</v>
      </c>
      <c r="D146" s="1397"/>
      <c r="E146" s="1397">
        <v>0</v>
      </c>
      <c r="F146" s="1397">
        <v>0</v>
      </c>
      <c r="G146" s="1397">
        <f t="shared" si="75"/>
        <v>0</v>
      </c>
      <c r="H146" s="1397">
        <v>0</v>
      </c>
      <c r="I146" s="1397">
        <v>0</v>
      </c>
      <c r="J146" s="1402" t="s">
        <v>348</v>
      </c>
      <c r="K146" s="958">
        <f t="shared" si="76"/>
        <v>0</v>
      </c>
      <c r="L146" s="958">
        <f t="shared" si="77"/>
        <v>0</v>
      </c>
      <c r="M146" s="957"/>
      <c r="N146" s="957"/>
      <c r="O146" s="957"/>
      <c r="P146" s="957"/>
      <c r="Q146" s="957"/>
    </row>
    <row r="147" spans="1:17" s="960" customFormat="1">
      <c r="A147" s="1408"/>
      <c r="B147" s="1400"/>
      <c r="C147" s="1397"/>
      <c r="D147" s="1397"/>
      <c r="E147" s="1397"/>
      <c r="F147" s="1397"/>
      <c r="G147" s="1397"/>
      <c r="H147" s="1397"/>
      <c r="I147" s="1397"/>
      <c r="J147" s="1402"/>
      <c r="K147" s="959"/>
      <c r="L147" s="959"/>
      <c r="M147" s="957"/>
      <c r="N147" s="959"/>
      <c r="O147" s="959"/>
      <c r="P147" s="959"/>
      <c r="Q147" s="959"/>
    </row>
    <row r="148" spans="1:17">
      <c r="A148" s="1407">
        <v>44500</v>
      </c>
      <c r="B148" s="1395" t="s">
        <v>84</v>
      </c>
      <c r="C148" s="1403">
        <f>SUM(C144:C147)</f>
        <v>0</v>
      </c>
      <c r="D148" s="1403"/>
      <c r="E148" s="1403">
        <f t="shared" ref="E148:I148" si="78">SUM(E144:E147)</f>
        <v>0</v>
      </c>
      <c r="F148" s="1403">
        <f t="shared" si="78"/>
        <v>0</v>
      </c>
      <c r="G148" s="1403">
        <f t="shared" si="78"/>
        <v>0</v>
      </c>
      <c r="H148" s="1403">
        <f t="shared" si="78"/>
        <v>0</v>
      </c>
      <c r="I148" s="1403">
        <f t="shared" si="78"/>
        <v>0</v>
      </c>
      <c r="J148" s="1402"/>
      <c r="K148" s="957"/>
      <c r="L148" s="957"/>
      <c r="M148" s="957"/>
      <c r="N148" s="957"/>
      <c r="O148" s="957"/>
      <c r="P148" s="957"/>
      <c r="Q148" s="957"/>
    </row>
    <row r="149" spans="1:17">
      <c r="A149" s="1399"/>
      <c r="B149" s="1400"/>
      <c r="C149" s="1397"/>
      <c r="D149" s="1397"/>
      <c r="E149" s="1397"/>
      <c r="F149" s="1397"/>
      <c r="G149" s="1397"/>
      <c r="H149" s="1397"/>
      <c r="I149" s="1397"/>
      <c r="J149" s="1402"/>
      <c r="K149" s="957"/>
      <c r="L149" s="957"/>
      <c r="M149" s="957"/>
      <c r="N149" s="957"/>
      <c r="O149" s="957"/>
      <c r="P149" s="957"/>
      <c r="Q149" s="957"/>
    </row>
    <row r="150" spans="1:17">
      <c r="A150" s="1408">
        <v>59340</v>
      </c>
      <c r="B150" s="1400" t="s">
        <v>85</v>
      </c>
      <c r="C150" s="1397">
        <f>+VLOOKUP(A150,'Consolidated IS '!$A:$AG,32,FALSE)</f>
        <v>24549.819999999996</v>
      </c>
      <c r="D150" s="1397"/>
      <c r="E150" s="1397">
        <f>+$C150*'2184 Ratios'!D$15</f>
        <v>16913.734612106025</v>
      </c>
      <c r="F150" s="1397">
        <f>+$C150*'2184 Ratios'!E$15</f>
        <v>7636.0853878939688</v>
      </c>
      <c r="G150" s="1397">
        <f t="shared" ref="G150:G152" si="79">+SUM(E150:F150)</f>
        <v>24549.819999999992</v>
      </c>
      <c r="H150" s="1397">
        <f>+$F150*'2184 Ratios'!G$40</f>
        <v>4764.1055657995257</v>
      </c>
      <c r="I150" s="1397">
        <f>+$F150*'2184 Ratios'!H$40</f>
        <v>2871.9798220944431</v>
      </c>
      <c r="J150" s="1402" t="s">
        <v>2513</v>
      </c>
      <c r="K150" s="958">
        <f t="shared" ref="K150:K152" si="80">+G150-C150</f>
        <v>0</v>
      </c>
      <c r="L150" s="958">
        <f t="shared" ref="L150:L152" si="81">+SUM(H150:I150)-F150</f>
        <v>0</v>
      </c>
      <c r="M150" s="957"/>
      <c r="N150" s="957"/>
      <c r="O150" s="957"/>
      <c r="P150" s="957"/>
      <c r="Q150" s="957"/>
    </row>
    <row r="151" spans="1:17">
      <c r="A151" s="1408">
        <v>59341</v>
      </c>
      <c r="B151" s="1400" t="s">
        <v>86</v>
      </c>
      <c r="C151" s="1397">
        <f>+VLOOKUP(A151,'Consolidated IS '!$A:$AG,32,FALSE)</f>
        <v>16870</v>
      </c>
      <c r="D151" s="1397"/>
      <c r="E151" s="1397">
        <f>+$C151*'2184 Ratios'!D$15</f>
        <v>11622.680040270305</v>
      </c>
      <c r="F151" s="1397">
        <f>+$C151*'2184 Ratios'!E$15</f>
        <v>5247.3199597296962</v>
      </c>
      <c r="G151" s="1397">
        <f t="shared" si="79"/>
        <v>16870</v>
      </c>
      <c r="H151" s="1397">
        <f>+$F151*'2184 Ratios'!G$40</f>
        <v>3273.7698645056471</v>
      </c>
      <c r="I151" s="1397">
        <f>+$F151*'2184 Ratios'!H$40</f>
        <v>1973.5500952240493</v>
      </c>
      <c r="J151" s="1402" t="s">
        <v>2513</v>
      </c>
      <c r="K151" s="958">
        <f t="shared" si="80"/>
        <v>0</v>
      </c>
      <c r="L151" s="958">
        <f t="shared" si="81"/>
        <v>0</v>
      </c>
      <c r="M151" s="957"/>
      <c r="N151" s="957"/>
      <c r="O151" s="957"/>
      <c r="P151" s="957"/>
      <c r="Q151" s="957"/>
    </row>
    <row r="152" spans="1:17">
      <c r="A152" s="1408">
        <v>59342</v>
      </c>
      <c r="B152" s="1400" t="s">
        <v>87</v>
      </c>
      <c r="C152" s="1397">
        <f>+VLOOKUP(A152,'Consolidated IS '!$A:$AG,32,FALSE)</f>
        <v>0</v>
      </c>
      <c r="D152" s="1397"/>
      <c r="E152" s="1397">
        <v>0</v>
      </c>
      <c r="F152" s="1397">
        <v>0</v>
      </c>
      <c r="G152" s="1397">
        <f t="shared" si="79"/>
        <v>0</v>
      </c>
      <c r="H152" s="1397">
        <v>0</v>
      </c>
      <c r="I152" s="1397">
        <v>0</v>
      </c>
      <c r="J152" s="1402" t="s">
        <v>348</v>
      </c>
      <c r="K152" s="958">
        <f t="shared" si="80"/>
        <v>0</v>
      </c>
      <c r="L152" s="958">
        <f t="shared" si="81"/>
        <v>0</v>
      </c>
      <c r="M152" s="957"/>
      <c r="N152" s="957"/>
      <c r="O152" s="957"/>
      <c r="P152" s="957"/>
      <c r="Q152" s="957"/>
    </row>
    <row r="153" spans="1:17" s="960" customFormat="1">
      <c r="A153" s="1408"/>
      <c r="B153" s="1400"/>
      <c r="C153" s="1397"/>
      <c r="D153" s="1397"/>
      <c r="E153" s="1397"/>
      <c r="F153" s="1397"/>
      <c r="G153" s="1397"/>
      <c r="H153" s="1397"/>
      <c r="I153" s="1397"/>
      <c r="J153" s="1402"/>
      <c r="K153" s="959"/>
      <c r="L153" s="959"/>
      <c r="M153" s="957"/>
      <c r="N153" s="959"/>
      <c r="O153" s="959"/>
      <c r="P153" s="959"/>
      <c r="Q153" s="959"/>
    </row>
    <row r="154" spans="1:17">
      <c r="A154" s="1407">
        <v>45300</v>
      </c>
      <c r="B154" s="1395" t="s">
        <v>88</v>
      </c>
      <c r="C154" s="1403">
        <f>SUM(C150:C153)</f>
        <v>41419.819999999992</v>
      </c>
      <c r="D154" s="1403"/>
      <c r="E154" s="1403">
        <f>SUM(E150:E153)</f>
        <v>28536.41465237633</v>
      </c>
      <c r="F154" s="1403">
        <f>SUM(F150:F153)</f>
        <v>12883.405347623666</v>
      </c>
      <c r="G154" s="1403">
        <f>SUM(G150:G153)</f>
        <v>41419.819999999992</v>
      </c>
      <c r="H154" s="1403">
        <f>SUM(H150:H153)</f>
        <v>8037.8754303051728</v>
      </c>
      <c r="I154" s="1403">
        <f>SUM(I150:I153)</f>
        <v>4845.5299173184922</v>
      </c>
      <c r="J154" s="1402"/>
      <c r="K154" s="957"/>
      <c r="L154" s="957"/>
      <c r="M154" s="957"/>
      <c r="N154" s="957"/>
      <c r="O154" s="957"/>
      <c r="P154" s="957"/>
      <c r="Q154" s="957"/>
    </row>
    <row r="155" spans="1:17">
      <c r="A155" s="1408"/>
      <c r="B155" s="1400"/>
      <c r="C155" s="1397"/>
      <c r="D155" s="1397"/>
      <c r="E155" s="1397"/>
      <c r="F155" s="1397"/>
      <c r="G155" s="1397"/>
      <c r="H155" s="1397"/>
      <c r="I155" s="1397"/>
      <c r="J155" s="1402"/>
      <c r="K155" s="957"/>
      <c r="L155" s="957"/>
      <c r="M155" s="957"/>
      <c r="N155" s="957"/>
      <c r="O155" s="957"/>
      <c r="P155" s="957"/>
      <c r="Q155" s="957"/>
    </row>
    <row r="156" spans="1:17">
      <c r="A156" s="1408">
        <v>59343</v>
      </c>
      <c r="B156" s="1400" t="s">
        <v>89</v>
      </c>
      <c r="C156" s="1397">
        <f>+VLOOKUP(A156,'Consolidated IS '!$A:$AG,32,FALSE)</f>
        <v>0</v>
      </c>
      <c r="D156" s="1397"/>
      <c r="E156" s="1397">
        <v>0</v>
      </c>
      <c r="F156" s="1397">
        <v>0</v>
      </c>
      <c r="G156" s="1397">
        <f t="shared" ref="G156:G159" si="82">+SUM(E156:F156)</f>
        <v>0</v>
      </c>
      <c r="H156" s="1397">
        <v>0</v>
      </c>
      <c r="I156" s="1397">
        <v>0</v>
      </c>
      <c r="J156" s="1402" t="s">
        <v>348</v>
      </c>
      <c r="K156" s="958">
        <f t="shared" ref="K156:K159" si="83">+G156-C156</f>
        <v>0</v>
      </c>
      <c r="L156" s="958">
        <f t="shared" ref="L156:L159" si="84">+SUM(H156:I156)-F156</f>
        <v>0</v>
      </c>
      <c r="M156" s="957"/>
      <c r="N156" s="957"/>
      <c r="O156" s="957"/>
      <c r="P156" s="957"/>
      <c r="Q156" s="957"/>
    </row>
    <row r="157" spans="1:17">
      <c r="A157" s="1408">
        <v>59344</v>
      </c>
      <c r="B157" s="1400" t="s">
        <v>90</v>
      </c>
      <c r="C157" s="1397">
        <f>+VLOOKUP(A157,'Consolidated IS '!$A:$AG,32,FALSE)</f>
        <v>0</v>
      </c>
      <c r="D157" s="1397"/>
      <c r="E157" s="1397">
        <v>0</v>
      </c>
      <c r="F157" s="1397">
        <v>0</v>
      </c>
      <c r="G157" s="1397">
        <f t="shared" si="82"/>
        <v>0</v>
      </c>
      <c r="H157" s="1397">
        <v>0</v>
      </c>
      <c r="I157" s="1397">
        <v>0</v>
      </c>
      <c r="J157" s="1402" t="s">
        <v>348</v>
      </c>
      <c r="K157" s="958">
        <f t="shared" si="83"/>
        <v>0</v>
      </c>
      <c r="L157" s="958">
        <f t="shared" si="84"/>
        <v>0</v>
      </c>
      <c r="M157" s="957"/>
      <c r="N157" s="957"/>
      <c r="O157" s="957"/>
      <c r="P157" s="957"/>
      <c r="Q157" s="957"/>
    </row>
    <row r="158" spans="1:17">
      <c r="A158" s="1408">
        <v>59500</v>
      </c>
      <c r="B158" s="1400" t="s">
        <v>91</v>
      </c>
      <c r="C158" s="1397">
        <f>+VLOOKUP(A158,'Consolidated IS '!$A:$AG,32,FALSE)</f>
        <v>3092.3799999999997</v>
      </c>
      <c r="D158" s="1397"/>
      <c r="E158" s="1397">
        <f>+$C158*'2184 Ratios'!D$15</f>
        <v>2130.5123475359264</v>
      </c>
      <c r="F158" s="1397">
        <f>+$C158*'2184 Ratios'!E$15</f>
        <v>961.86765246407322</v>
      </c>
      <c r="G158" s="1397">
        <f t="shared" si="82"/>
        <v>3092.3799999999997</v>
      </c>
      <c r="H158" s="1397">
        <f>+$F158*'2184 Ratios'!G$40</f>
        <v>600.10316855957149</v>
      </c>
      <c r="I158" s="1397">
        <f>+$F158*'2184 Ratios'!H$40</f>
        <v>361.76448390450173</v>
      </c>
      <c r="J158" s="1402" t="s">
        <v>2513</v>
      </c>
      <c r="K158" s="958">
        <f t="shared" si="83"/>
        <v>0</v>
      </c>
      <c r="L158" s="958">
        <f t="shared" si="84"/>
        <v>0</v>
      </c>
      <c r="M158" s="957"/>
      <c r="N158" s="957"/>
      <c r="O158" s="957"/>
      <c r="P158" s="957"/>
      <c r="Q158" s="957"/>
    </row>
    <row r="159" spans="1:17">
      <c r="A159" s="1399">
        <v>57370</v>
      </c>
      <c r="B159" s="1400" t="s">
        <v>92</v>
      </c>
      <c r="C159" s="1397">
        <f>+VLOOKUP(A159,'Consolidated IS '!$A:$AG,32,FALSE)</f>
        <v>247.92</v>
      </c>
      <c r="D159" s="1397"/>
      <c r="E159" s="1397">
        <f>C159</f>
        <v>247.92</v>
      </c>
      <c r="F159" s="1397"/>
      <c r="G159" s="1397">
        <f t="shared" si="82"/>
        <v>247.92</v>
      </c>
      <c r="H159" s="1397"/>
      <c r="I159" s="1397"/>
      <c r="J159" s="1402" t="s">
        <v>348</v>
      </c>
      <c r="K159" s="958">
        <f t="shared" si="83"/>
        <v>0</v>
      </c>
      <c r="L159" s="958">
        <f t="shared" si="84"/>
        <v>0</v>
      </c>
      <c r="M159" s="957"/>
      <c r="N159" s="957"/>
      <c r="O159" s="957"/>
      <c r="P159" s="957"/>
      <c r="Q159" s="957"/>
    </row>
    <row r="160" spans="1:17" s="960" customFormat="1">
      <c r="A160" s="1399"/>
      <c r="B160" s="1400"/>
      <c r="C160" s="1397"/>
      <c r="D160" s="1397"/>
      <c r="E160" s="1397"/>
      <c r="F160" s="1397"/>
      <c r="G160" s="1397"/>
      <c r="H160" s="1397"/>
      <c r="I160" s="1397"/>
      <c r="J160" s="1402"/>
      <c r="K160" s="959"/>
      <c r="L160" s="959"/>
      <c r="M160" s="957"/>
      <c r="N160" s="959"/>
      <c r="O160" s="959"/>
      <c r="P160" s="959"/>
      <c r="Q160" s="959"/>
    </row>
    <row r="161" spans="1:17">
      <c r="A161" s="1407">
        <v>45400</v>
      </c>
      <c r="B161" s="1395" t="s">
        <v>93</v>
      </c>
      <c r="C161" s="1403">
        <f>SUM(C156:C160)</f>
        <v>3340.2999999999997</v>
      </c>
      <c r="D161" s="1403"/>
      <c r="E161" s="1403">
        <f t="shared" ref="E161:I161" si="85">SUM(E156:E160)</f>
        <v>2378.4323475359265</v>
      </c>
      <c r="F161" s="1403">
        <f t="shared" si="85"/>
        <v>961.86765246407322</v>
      </c>
      <c r="G161" s="1403">
        <f t="shared" si="85"/>
        <v>3340.2999999999997</v>
      </c>
      <c r="H161" s="1403">
        <f t="shared" si="85"/>
        <v>600.10316855957149</v>
      </c>
      <c r="I161" s="1403">
        <f t="shared" si="85"/>
        <v>361.76448390450173</v>
      </c>
      <c r="J161" s="1402"/>
      <c r="K161" s="957"/>
      <c r="L161" s="957"/>
      <c r="M161" s="957"/>
      <c r="N161" s="957"/>
      <c r="O161" s="957"/>
      <c r="P161" s="957"/>
      <c r="Q161" s="957"/>
    </row>
    <row r="162" spans="1:17">
      <c r="A162" s="1399"/>
      <c r="B162" s="1400"/>
      <c r="C162" s="1397"/>
      <c r="D162" s="1397"/>
      <c r="E162" s="1397"/>
      <c r="F162" s="1397"/>
      <c r="G162" s="1397"/>
      <c r="H162" s="1397"/>
      <c r="I162" s="1397"/>
      <c r="J162" s="1402"/>
      <c r="K162" s="957"/>
      <c r="L162" s="957"/>
      <c r="M162" s="957"/>
      <c r="N162" s="957"/>
      <c r="O162" s="957"/>
      <c r="P162" s="957"/>
      <c r="Q162" s="957"/>
    </row>
    <row r="163" spans="1:17">
      <c r="A163" s="1408">
        <v>70010</v>
      </c>
      <c r="B163" s="1400" t="s">
        <v>17</v>
      </c>
      <c r="C163" s="1397">
        <f>+VLOOKUP(A163,'Consolidated IS '!$A:$AG,32,FALSE)</f>
        <v>117361.49013456212</v>
      </c>
      <c r="D163" s="1397"/>
      <c r="E163" s="1397">
        <f>+C163-F163</f>
        <v>111011.45013456211</v>
      </c>
      <c r="F163" s="1397">
        <f>+'[37]70010'!$E$220</f>
        <v>6350.0400000000027</v>
      </c>
      <c r="G163" s="1397">
        <f t="shared" ref="G163:G164" si="86">+SUM(E163:F163)</f>
        <v>117361.49013456212</v>
      </c>
      <c r="H163" s="1397">
        <f>+$F163*'2184 Ratios'!G$40</f>
        <v>3961.7499504406669</v>
      </c>
      <c r="I163" s="1397">
        <f>+$F163*'2184 Ratios'!H$40</f>
        <v>2388.2900495593358</v>
      </c>
      <c r="J163" s="1402" t="s">
        <v>1920</v>
      </c>
      <c r="K163" s="958">
        <f t="shared" ref="K163:K170" si="87">+G163-C163</f>
        <v>0</v>
      </c>
      <c r="L163" s="958">
        <f t="shared" ref="L163:L170" si="88">+SUM(H163:I163)-F163</f>
        <v>0</v>
      </c>
      <c r="M163" s="957"/>
      <c r="N163" s="957"/>
      <c r="O163" s="957"/>
      <c r="P163" s="957"/>
      <c r="Q163" s="957"/>
    </row>
    <row r="164" spans="1:17">
      <c r="A164" s="1408">
        <v>70020</v>
      </c>
      <c r="B164" s="1400" t="s">
        <v>24</v>
      </c>
      <c r="C164" s="1397">
        <f>+VLOOKUP(A164,'Consolidated IS '!$A:$AG,32,FALSE)</f>
        <v>38733.320000000007</v>
      </c>
      <c r="D164" s="1397"/>
      <c r="E164" s="1397">
        <f>+C164</f>
        <v>38733.320000000007</v>
      </c>
      <c r="F164" s="1397">
        <v>0</v>
      </c>
      <c r="G164" s="1397">
        <f t="shared" si="86"/>
        <v>38733.320000000007</v>
      </c>
      <c r="H164" s="1397">
        <v>0</v>
      </c>
      <c r="I164" s="1397">
        <v>0</v>
      </c>
      <c r="J164" s="1402" t="s">
        <v>348</v>
      </c>
      <c r="K164" s="958">
        <f t="shared" si="87"/>
        <v>0</v>
      </c>
      <c r="L164" s="958">
        <f t="shared" si="88"/>
        <v>0</v>
      </c>
      <c r="M164" s="957"/>
      <c r="N164" s="957"/>
      <c r="O164" s="957"/>
      <c r="P164" s="957"/>
      <c r="Q164" s="957"/>
    </row>
    <row r="165" spans="1:17">
      <c r="A165" s="1408">
        <v>70025</v>
      </c>
      <c r="B165" s="1400" t="s">
        <v>49</v>
      </c>
      <c r="C165" s="1397">
        <f>+VLOOKUP(A165,'Consolidated IS '!$A:$AG,32,FALSE)</f>
        <v>1042.96</v>
      </c>
      <c r="D165" s="1397"/>
      <c r="E165" s="1397">
        <f>+C165</f>
        <v>1042.96</v>
      </c>
      <c r="F165" s="1397">
        <v>0</v>
      </c>
      <c r="G165" s="1397">
        <f t="shared" ref="G165:G168" si="89">+SUM(E165:F165)</f>
        <v>1042.96</v>
      </c>
      <c r="H165" s="1397">
        <v>0</v>
      </c>
      <c r="I165" s="1397">
        <v>0</v>
      </c>
      <c r="J165" s="1402" t="s">
        <v>348</v>
      </c>
      <c r="K165" s="958">
        <f t="shared" si="87"/>
        <v>0</v>
      </c>
      <c r="L165" s="958">
        <f t="shared" si="88"/>
        <v>0</v>
      </c>
      <c r="M165" s="957"/>
      <c r="N165" s="957"/>
      <c r="O165" s="957"/>
      <c r="P165" s="957"/>
      <c r="Q165" s="957"/>
    </row>
    <row r="166" spans="1:17">
      <c r="A166" s="1408">
        <v>70035</v>
      </c>
      <c r="B166" s="1400" t="s">
        <v>26</v>
      </c>
      <c r="C166" s="1397">
        <f>+VLOOKUP(A166,'Consolidated IS '!$A:$AG,32,FALSE)</f>
        <v>0</v>
      </c>
      <c r="D166" s="1397"/>
      <c r="E166" s="1397">
        <f>+C166</f>
        <v>0</v>
      </c>
      <c r="F166" s="1397">
        <v>0</v>
      </c>
      <c r="G166" s="1397">
        <f t="shared" si="89"/>
        <v>0</v>
      </c>
      <c r="H166" s="1397">
        <v>0</v>
      </c>
      <c r="I166" s="1397">
        <v>0</v>
      </c>
      <c r="J166" s="1402" t="s">
        <v>348</v>
      </c>
      <c r="K166" s="958">
        <f t="shared" si="87"/>
        <v>0</v>
      </c>
      <c r="L166" s="958">
        <f t="shared" si="88"/>
        <v>0</v>
      </c>
      <c r="M166" s="957"/>
      <c r="N166" s="957"/>
      <c r="O166" s="957"/>
      <c r="P166" s="957"/>
      <c r="Q166" s="957"/>
    </row>
    <row r="167" spans="1:17">
      <c r="A167" s="1408">
        <v>70036</v>
      </c>
      <c r="B167" s="1400" t="s">
        <v>95</v>
      </c>
      <c r="C167" s="1397">
        <f>+VLOOKUP(A167,'Consolidated IS '!$A:$AG,32,FALSE)</f>
        <v>42.66</v>
      </c>
      <c r="D167" s="1397"/>
      <c r="E167" s="1397">
        <f>+C167</f>
        <v>42.66</v>
      </c>
      <c r="F167" s="1397">
        <v>0</v>
      </c>
      <c r="G167" s="1397">
        <f t="shared" si="89"/>
        <v>42.66</v>
      </c>
      <c r="H167" s="1397">
        <v>0</v>
      </c>
      <c r="I167" s="1397">
        <v>0</v>
      </c>
      <c r="J167" s="1402" t="s">
        <v>348</v>
      </c>
      <c r="K167" s="958">
        <f t="shared" si="87"/>
        <v>0</v>
      </c>
      <c r="L167" s="958">
        <f t="shared" si="88"/>
        <v>0</v>
      </c>
      <c r="M167" s="957"/>
      <c r="N167" s="957"/>
      <c r="O167" s="957"/>
      <c r="P167" s="957"/>
      <c r="Q167" s="957"/>
    </row>
    <row r="168" spans="1:17">
      <c r="A168" s="1408">
        <v>70045</v>
      </c>
      <c r="B168" s="1400" t="s">
        <v>27</v>
      </c>
      <c r="C168" s="1397">
        <f>+VLOOKUP(A168,'Consolidated IS '!$A:$AG,32,FALSE)</f>
        <v>0</v>
      </c>
      <c r="D168" s="1397"/>
      <c r="E168" s="1397">
        <v>0</v>
      </c>
      <c r="F168" s="1397">
        <v>0</v>
      </c>
      <c r="G168" s="1397">
        <f t="shared" si="89"/>
        <v>0</v>
      </c>
      <c r="H168" s="1397">
        <v>0</v>
      </c>
      <c r="I168" s="1397">
        <v>0</v>
      </c>
      <c r="J168" s="1402" t="s">
        <v>348</v>
      </c>
      <c r="K168" s="958">
        <f t="shared" si="87"/>
        <v>0</v>
      </c>
      <c r="L168" s="958">
        <f t="shared" si="88"/>
        <v>0</v>
      </c>
      <c r="M168" s="957"/>
      <c r="N168" s="957"/>
      <c r="O168" s="957"/>
      <c r="P168" s="957"/>
      <c r="Q168" s="957"/>
    </row>
    <row r="169" spans="1:17">
      <c r="A169" s="1408">
        <v>70065</v>
      </c>
      <c r="B169" s="1400" t="s">
        <v>96</v>
      </c>
      <c r="C169" s="1397">
        <f>+VLOOKUP(A169,'Consolidated IS '!$A:$AG,32,FALSE)</f>
        <v>-827.59000000000015</v>
      </c>
      <c r="D169" s="1397"/>
      <c r="E169" s="1397">
        <f>+C169</f>
        <v>-827.59000000000015</v>
      </c>
      <c r="F169" s="1397">
        <v>0</v>
      </c>
      <c r="G169" s="1397">
        <f t="shared" ref="G169:G170" si="90">+SUM(E169:F169)</f>
        <v>-827.59000000000015</v>
      </c>
      <c r="H169" s="1397">
        <v>0</v>
      </c>
      <c r="I169" s="1397">
        <v>0</v>
      </c>
      <c r="J169" s="1402" t="s">
        <v>348</v>
      </c>
      <c r="K169" s="958">
        <f t="shared" si="87"/>
        <v>0</v>
      </c>
      <c r="L169" s="958">
        <f t="shared" si="88"/>
        <v>0</v>
      </c>
      <c r="M169" s="957"/>
      <c r="N169" s="957"/>
      <c r="O169" s="957"/>
      <c r="P169" s="957"/>
      <c r="Q169" s="957"/>
    </row>
    <row r="170" spans="1:17">
      <c r="A170" s="1399">
        <v>70070</v>
      </c>
      <c r="B170" s="1400" t="s">
        <v>97</v>
      </c>
      <c r="C170" s="1397">
        <f>+VLOOKUP(A170,'Consolidated IS '!$A:$AG,32,FALSE)</f>
        <v>908.08</v>
      </c>
      <c r="D170" s="1397"/>
      <c r="E170" s="1397">
        <f>+C170</f>
        <v>908.08</v>
      </c>
      <c r="F170" s="1397">
        <v>0</v>
      </c>
      <c r="G170" s="1397">
        <f t="shared" si="90"/>
        <v>908.08</v>
      </c>
      <c r="H170" s="1397">
        <v>0</v>
      </c>
      <c r="I170" s="1397">
        <v>0</v>
      </c>
      <c r="J170" s="1402" t="s">
        <v>348</v>
      </c>
      <c r="K170" s="958">
        <f t="shared" si="87"/>
        <v>0</v>
      </c>
      <c r="L170" s="958">
        <f t="shared" si="88"/>
        <v>0</v>
      </c>
      <c r="M170" s="957"/>
      <c r="N170" s="957"/>
      <c r="O170" s="957"/>
      <c r="P170" s="957"/>
      <c r="Q170" s="957"/>
    </row>
    <row r="171" spans="1:17" s="960" customFormat="1">
      <c r="A171" s="1399"/>
      <c r="B171" s="1400"/>
      <c r="C171" s="1397"/>
      <c r="D171" s="1397"/>
      <c r="E171" s="1397"/>
      <c r="F171" s="1397"/>
      <c r="G171" s="1397"/>
      <c r="H171" s="1397"/>
      <c r="I171" s="1397"/>
      <c r="J171" s="1402"/>
      <c r="K171" s="959"/>
      <c r="L171" s="959"/>
      <c r="M171" s="957"/>
      <c r="N171" s="959"/>
      <c r="O171" s="959"/>
      <c r="P171" s="959"/>
      <c r="Q171" s="959"/>
    </row>
    <row r="172" spans="1:17">
      <c r="A172" s="1407">
        <v>46130</v>
      </c>
      <c r="B172" s="1395" t="s">
        <v>98</v>
      </c>
      <c r="C172" s="1403">
        <f>SUM(C163:C171)</f>
        <v>157260.92013456213</v>
      </c>
      <c r="D172" s="1403"/>
      <c r="E172" s="1403">
        <f>SUM(E163:E171)</f>
        <v>150910.88013456209</v>
      </c>
      <c r="F172" s="1403">
        <f>SUM(F163:F171)</f>
        <v>6350.0400000000027</v>
      </c>
      <c r="G172" s="1403">
        <f>SUM(G163:G171)</f>
        <v>157260.92013456213</v>
      </c>
      <c r="H172" s="1403">
        <f>SUM(H163:H171)</f>
        <v>3961.7499504406669</v>
      </c>
      <c r="I172" s="1403">
        <f>SUM(I163:I171)</f>
        <v>2388.2900495593358</v>
      </c>
      <c r="J172" s="1402"/>
      <c r="K172" s="957"/>
      <c r="L172" s="957"/>
      <c r="M172" s="957"/>
      <c r="N172" s="957"/>
      <c r="O172" s="957"/>
      <c r="P172" s="957"/>
      <c r="Q172" s="957"/>
    </row>
    <row r="173" spans="1:17">
      <c r="A173" s="1399"/>
      <c r="B173" s="1400"/>
      <c r="C173" s="1397"/>
      <c r="D173" s="1397"/>
      <c r="E173" s="1397"/>
      <c r="F173" s="1397"/>
      <c r="G173" s="1397"/>
      <c r="H173" s="1397"/>
      <c r="I173" s="1397"/>
      <c r="J173" s="1402"/>
      <c r="K173" s="957"/>
      <c r="L173" s="957"/>
      <c r="M173" s="957"/>
      <c r="N173" s="957"/>
      <c r="O173" s="957"/>
      <c r="P173" s="957"/>
      <c r="Q173" s="957"/>
    </row>
    <row r="174" spans="1:17">
      <c r="A174" s="1399">
        <v>70149</v>
      </c>
      <c r="B174" s="1400" t="s">
        <v>99</v>
      </c>
      <c r="C174" s="1397">
        <f>+VLOOKUP(A174,'Consolidated IS '!$A:$AG,32,FALSE)</f>
        <v>111096.8142109193</v>
      </c>
      <c r="D174" s="1397"/>
      <c r="E174" s="1397">
        <f>+$C174*'2184 Ratios'!D$15</f>
        <v>76540.76615689804</v>
      </c>
      <c r="F174" s="1397">
        <f>+$C174*'2184 Ratios'!E$15</f>
        <v>34556.048054021252</v>
      </c>
      <c r="G174" s="1397">
        <f t="shared" ref="G174" si="91">+SUM(E174:F174)</f>
        <v>111096.81421091928</v>
      </c>
      <c r="H174" s="1397">
        <f>+$F174*'2184 Ratios'!G$40</f>
        <v>21559.300676128645</v>
      </c>
      <c r="I174" s="1397">
        <f>+$F174*'2184 Ratios'!H$40</f>
        <v>12996.747377892607</v>
      </c>
      <c r="J174" s="1402" t="s">
        <v>2513</v>
      </c>
      <c r="K174" s="958">
        <f t="shared" ref="K174" si="92">+G174-C174</f>
        <v>0</v>
      </c>
      <c r="L174" s="958">
        <f t="shared" ref="L174" si="93">+SUM(H174:I174)-F174</f>
        <v>0</v>
      </c>
      <c r="M174" s="957"/>
      <c r="N174" s="957"/>
      <c r="O174" s="957"/>
      <c r="P174" s="957"/>
      <c r="Q174" s="957"/>
    </row>
    <row r="175" spans="1:17">
      <c r="A175" s="1399"/>
      <c r="B175" s="1400"/>
      <c r="C175" s="1397"/>
      <c r="D175" s="1397"/>
      <c r="E175" s="1397"/>
      <c r="F175" s="1397"/>
      <c r="G175" s="1397"/>
      <c r="H175" s="1397"/>
      <c r="I175" s="1397"/>
      <c r="J175" s="1402"/>
      <c r="K175" s="957"/>
      <c r="L175" s="957"/>
      <c r="M175" s="957"/>
      <c r="N175" s="957"/>
      <c r="O175" s="957"/>
      <c r="P175" s="957"/>
      <c r="Q175" s="957"/>
    </row>
    <row r="176" spans="1:17">
      <c r="A176" s="1407">
        <v>46100</v>
      </c>
      <c r="B176" s="1395" t="s">
        <v>100</v>
      </c>
      <c r="C176" s="1403">
        <f>SUM(C174:C175)</f>
        <v>111096.8142109193</v>
      </c>
      <c r="D176" s="1403"/>
      <c r="E176" s="1403">
        <f t="shared" ref="E176:I176" si="94">SUM(E174:E175)</f>
        <v>76540.76615689804</v>
      </c>
      <c r="F176" s="1403">
        <f t="shared" si="94"/>
        <v>34556.048054021252</v>
      </c>
      <c r="G176" s="1403">
        <f t="shared" si="94"/>
        <v>111096.81421091928</v>
      </c>
      <c r="H176" s="1403">
        <f t="shared" si="94"/>
        <v>21559.300676128645</v>
      </c>
      <c r="I176" s="1403">
        <f t="shared" si="94"/>
        <v>12996.747377892607</v>
      </c>
      <c r="J176" s="1402"/>
      <c r="K176" s="957"/>
      <c r="L176" s="957"/>
      <c r="M176" s="957"/>
      <c r="N176" s="957"/>
      <c r="O176" s="957"/>
      <c r="P176" s="957"/>
      <c r="Q176" s="957"/>
    </row>
    <row r="177" spans="1:17">
      <c r="A177" s="1399"/>
      <c r="B177" s="1400"/>
      <c r="C177" s="1397"/>
      <c r="D177" s="1397"/>
      <c r="E177" s="1397"/>
      <c r="F177" s="1397"/>
      <c r="G177" s="1397"/>
      <c r="H177" s="1397"/>
      <c r="I177" s="1397"/>
      <c r="J177" s="1402"/>
      <c r="K177" s="957"/>
      <c r="L177" s="957"/>
      <c r="M177" s="957"/>
      <c r="N177" s="957"/>
      <c r="O177" s="957"/>
      <c r="P177" s="957"/>
      <c r="Q177" s="957"/>
    </row>
    <row r="178" spans="1:17">
      <c r="A178" s="1399">
        <v>52181</v>
      </c>
      <c r="B178" s="1400" t="s">
        <v>45</v>
      </c>
      <c r="C178" s="1397">
        <f>+VLOOKUP(A178,'Consolidated IS '!$A:$AG,32,FALSE)</f>
        <v>0</v>
      </c>
      <c r="D178" s="1397"/>
      <c r="E178" s="1397">
        <v>0</v>
      </c>
      <c r="F178" s="1397">
        <v>0</v>
      </c>
      <c r="G178" s="1397">
        <f t="shared" ref="G178" si="95">+SUM(E178:F178)</f>
        <v>0</v>
      </c>
      <c r="H178" s="1397">
        <v>0</v>
      </c>
      <c r="I178" s="1397">
        <v>0</v>
      </c>
      <c r="J178" s="1402" t="s">
        <v>348</v>
      </c>
      <c r="K178" s="958">
        <f t="shared" ref="K178" si="96">+G178-C178</f>
        <v>0</v>
      </c>
      <c r="L178" s="958">
        <f t="shared" ref="L178" si="97">+SUM(H178:I178)-F178</f>
        <v>0</v>
      </c>
      <c r="M178" s="957"/>
      <c r="N178" s="957"/>
      <c r="O178" s="957"/>
      <c r="P178" s="957"/>
      <c r="Q178" s="957"/>
    </row>
    <row r="179" spans="1:17">
      <c r="A179" s="1399">
        <v>52200</v>
      </c>
      <c r="B179" s="1400" t="s">
        <v>101</v>
      </c>
      <c r="C179" s="1397">
        <f>+VLOOKUP(A179,'Consolidated IS '!$A:$AG,32,FALSE)</f>
        <v>0</v>
      </c>
      <c r="D179" s="1397"/>
      <c r="E179" s="1397">
        <v>0</v>
      </c>
      <c r="F179" s="1397">
        <v>0</v>
      </c>
      <c r="G179" s="1397">
        <f t="shared" ref="G179" si="98">+SUM(E179:F179)</f>
        <v>0</v>
      </c>
      <c r="H179" s="1397">
        <v>0</v>
      </c>
      <c r="I179" s="1397">
        <v>0</v>
      </c>
      <c r="J179" s="1402" t="s">
        <v>348</v>
      </c>
      <c r="K179" s="958">
        <f t="shared" ref="K179:K190" si="99">+G179-C179</f>
        <v>0</v>
      </c>
      <c r="L179" s="958">
        <f t="shared" ref="L179:L190" si="100">+SUM(H179:I179)-F179</f>
        <v>0</v>
      </c>
      <c r="M179" s="957"/>
      <c r="N179" s="957"/>
      <c r="O179" s="957"/>
      <c r="P179" s="957"/>
      <c r="Q179" s="957"/>
    </row>
    <row r="180" spans="1:17">
      <c r="A180" s="1399">
        <v>57175</v>
      </c>
      <c r="B180" s="1400" t="s">
        <v>102</v>
      </c>
      <c r="C180" s="1397">
        <f>+VLOOKUP(A180,'Consolidated IS '!$A:$AG,32,FALSE)</f>
        <v>16014.350000000002</v>
      </c>
      <c r="D180" s="1397"/>
      <c r="E180" s="1397">
        <v>0</v>
      </c>
      <c r="F180" s="1397">
        <f>+C180</f>
        <v>16014.350000000002</v>
      </c>
      <c r="G180" s="1397">
        <f t="shared" ref="G180:G190" si="101">+SUM(E180:F180)</f>
        <v>16014.350000000002</v>
      </c>
      <c r="H180" s="1397">
        <f>+$F180*'2184 Ratios'!G$40</f>
        <v>9991.2520738199255</v>
      </c>
      <c r="I180" s="1397">
        <f>+$F180*'2184 Ratios'!H$40</f>
        <v>6023.0979261800767</v>
      </c>
      <c r="J180" s="1402" t="s">
        <v>1920</v>
      </c>
      <c r="K180" s="958">
        <f t="shared" si="99"/>
        <v>0</v>
      </c>
      <c r="L180" s="958">
        <f t="shared" si="100"/>
        <v>0</v>
      </c>
      <c r="M180" s="957"/>
      <c r="N180" s="957"/>
      <c r="O180" s="957"/>
      <c r="P180" s="957"/>
      <c r="Q180" s="957"/>
    </row>
    <row r="181" spans="1:17">
      <c r="A181" s="1399">
        <v>57345</v>
      </c>
      <c r="B181" s="1400" t="s">
        <v>103</v>
      </c>
      <c r="C181" s="1397">
        <f>+VLOOKUP(A181,'Consolidated IS '!$A:$AG,32,FALSE)</f>
        <v>3900</v>
      </c>
      <c r="D181" s="1397"/>
      <c r="E181" s="1397">
        <f>+C181</f>
        <v>3900</v>
      </c>
      <c r="F181" s="1397">
        <v>0</v>
      </c>
      <c r="G181" s="1397">
        <f t="shared" si="101"/>
        <v>3900</v>
      </c>
      <c r="H181" s="1397">
        <v>0</v>
      </c>
      <c r="I181" s="1397">
        <v>0</v>
      </c>
      <c r="J181" s="1402" t="s">
        <v>348</v>
      </c>
      <c r="K181" s="958">
        <f t="shared" si="99"/>
        <v>0</v>
      </c>
      <c r="L181" s="958">
        <f t="shared" si="100"/>
        <v>0</v>
      </c>
      <c r="M181" s="957"/>
      <c r="N181" s="957"/>
      <c r="O181" s="957"/>
      <c r="P181" s="957"/>
      <c r="Q181" s="957"/>
    </row>
    <row r="182" spans="1:17">
      <c r="A182" s="1399">
        <v>70185</v>
      </c>
      <c r="B182" s="1400" t="s">
        <v>76</v>
      </c>
      <c r="C182" s="1397">
        <f>+VLOOKUP(A182,'Consolidated IS '!$A:$AG,32,FALSE)</f>
        <v>805.16000000000008</v>
      </c>
      <c r="D182" s="1397"/>
      <c r="E182" s="1397">
        <f>+C182</f>
        <v>805.16000000000008</v>
      </c>
      <c r="F182" s="1397">
        <v>0</v>
      </c>
      <c r="G182" s="1397">
        <f t="shared" si="101"/>
        <v>805.16000000000008</v>
      </c>
      <c r="H182" s="1397">
        <v>0</v>
      </c>
      <c r="I182" s="1397">
        <v>0</v>
      </c>
      <c r="J182" s="1402" t="s">
        <v>348</v>
      </c>
      <c r="K182" s="958">
        <f t="shared" si="99"/>
        <v>0</v>
      </c>
      <c r="L182" s="958">
        <f t="shared" si="100"/>
        <v>0</v>
      </c>
      <c r="M182" s="957"/>
      <c r="N182" s="957"/>
      <c r="O182" s="957"/>
      <c r="P182" s="957"/>
      <c r="Q182" s="957"/>
    </row>
    <row r="183" spans="1:17">
      <c r="A183" s="1408">
        <v>70210</v>
      </c>
      <c r="B183" s="1400" t="s">
        <v>101</v>
      </c>
      <c r="C183" s="1397">
        <f>+VLOOKUP(A183,'Consolidated IS '!$A:$AG,32,FALSE)</f>
        <v>4361.51</v>
      </c>
      <c r="D183" s="1397"/>
      <c r="E183" s="1397">
        <f>+$C183*'2184 Ratios'!D$15</f>
        <v>3004.8864980699072</v>
      </c>
      <c r="F183" s="1397">
        <f>+$C183*'2184 Ratios'!E$15</f>
        <v>1356.6235019300927</v>
      </c>
      <c r="G183" s="1397">
        <f t="shared" si="101"/>
        <v>4361.51</v>
      </c>
      <c r="H183" s="1397">
        <f>+$F183*'2184 Ratios'!G$40</f>
        <v>846.3888560604637</v>
      </c>
      <c r="I183" s="1397">
        <f>+$F183*'2184 Ratios'!H$40</f>
        <v>510.23464586962905</v>
      </c>
      <c r="J183" s="1402" t="s">
        <v>2513</v>
      </c>
      <c r="K183" s="958">
        <f t="shared" si="99"/>
        <v>0</v>
      </c>
      <c r="L183" s="958">
        <f t="shared" si="100"/>
        <v>0</v>
      </c>
      <c r="M183" s="957"/>
      <c r="N183" s="957"/>
      <c r="O183" s="957"/>
      <c r="P183" s="957"/>
      <c r="Q183" s="957"/>
    </row>
    <row r="184" spans="1:17">
      <c r="A184" s="1408"/>
      <c r="B184" s="1400" t="s">
        <v>104</v>
      </c>
      <c r="C184" s="1397">
        <v>0</v>
      </c>
      <c r="D184" s="1397"/>
      <c r="E184" s="1397">
        <v>0</v>
      </c>
      <c r="F184" s="1397">
        <v>0</v>
      </c>
      <c r="G184" s="1397">
        <f t="shared" si="101"/>
        <v>0</v>
      </c>
      <c r="H184" s="1397">
        <v>0</v>
      </c>
      <c r="I184" s="1397">
        <v>0</v>
      </c>
      <c r="J184" s="1402" t="s">
        <v>348</v>
      </c>
      <c r="K184" s="958">
        <f t="shared" si="99"/>
        <v>0</v>
      </c>
      <c r="L184" s="958">
        <f t="shared" si="100"/>
        <v>0</v>
      </c>
      <c r="M184" s="957"/>
      <c r="N184" s="957"/>
      <c r="O184" s="957"/>
      <c r="P184" s="957"/>
      <c r="Q184" s="957"/>
    </row>
    <row r="185" spans="1:17">
      <c r="A185" s="1408">
        <v>70214</v>
      </c>
      <c r="B185" s="1400" t="s">
        <v>105</v>
      </c>
      <c r="C185" s="1397">
        <f>+VLOOKUP(A185,'Consolidated IS '!$A:$AG,32,FALSE)</f>
        <v>0</v>
      </c>
      <c r="D185" s="1397"/>
      <c r="E185" s="1397">
        <v>0</v>
      </c>
      <c r="F185" s="1397">
        <v>0</v>
      </c>
      <c r="G185" s="1397">
        <f t="shared" si="101"/>
        <v>0</v>
      </c>
      <c r="H185" s="1397">
        <v>0</v>
      </c>
      <c r="I185" s="1397">
        <v>0</v>
      </c>
      <c r="J185" s="1402" t="s">
        <v>348</v>
      </c>
      <c r="K185" s="958">
        <f t="shared" si="99"/>
        <v>0</v>
      </c>
      <c r="L185" s="958">
        <f t="shared" si="100"/>
        <v>0</v>
      </c>
      <c r="M185" s="957"/>
      <c r="N185" s="957"/>
      <c r="O185" s="957"/>
      <c r="P185" s="957"/>
      <c r="Q185" s="957"/>
    </row>
    <row r="186" spans="1:17">
      <c r="A186" s="1408">
        <v>70215</v>
      </c>
      <c r="B186" s="1400" t="s">
        <v>106</v>
      </c>
      <c r="C186" s="1397">
        <f>+VLOOKUP(A186,'Consolidated IS '!$A:$AG,32,FALSE)</f>
        <v>0</v>
      </c>
      <c r="D186" s="1397"/>
      <c r="E186" s="1397">
        <v>0</v>
      </c>
      <c r="F186" s="1397">
        <v>0</v>
      </c>
      <c r="G186" s="1397">
        <f t="shared" si="101"/>
        <v>0</v>
      </c>
      <c r="H186" s="1397">
        <v>0</v>
      </c>
      <c r="I186" s="1397">
        <v>0</v>
      </c>
      <c r="J186" s="1402" t="s">
        <v>348</v>
      </c>
      <c r="K186" s="958">
        <f t="shared" si="99"/>
        <v>0</v>
      </c>
      <c r="L186" s="958">
        <f t="shared" si="100"/>
        <v>0</v>
      </c>
      <c r="M186" s="957"/>
      <c r="N186" s="957"/>
      <c r="O186" s="957"/>
      <c r="P186" s="957"/>
      <c r="Q186" s="957"/>
    </row>
    <row r="187" spans="1:17">
      <c r="A187" s="1399">
        <v>70300</v>
      </c>
      <c r="B187" s="1400" t="s">
        <v>107</v>
      </c>
      <c r="C187" s="1397">
        <f>+VLOOKUP(A187,'Consolidated IS '!$A:$AG,32,FALSE)</f>
        <v>0</v>
      </c>
      <c r="D187" s="1397"/>
      <c r="E187" s="1397">
        <v>0</v>
      </c>
      <c r="F187" s="1397">
        <v>0</v>
      </c>
      <c r="G187" s="1397">
        <f t="shared" si="101"/>
        <v>0</v>
      </c>
      <c r="H187" s="1397">
        <v>0</v>
      </c>
      <c r="I187" s="1397">
        <v>0</v>
      </c>
      <c r="J187" s="1402" t="s">
        <v>348</v>
      </c>
      <c r="K187" s="958">
        <f t="shared" si="99"/>
        <v>0</v>
      </c>
      <c r="L187" s="958">
        <f t="shared" si="100"/>
        <v>0</v>
      </c>
      <c r="M187" s="957"/>
      <c r="N187" s="957"/>
      <c r="O187" s="957"/>
      <c r="P187" s="957"/>
      <c r="Q187" s="957"/>
    </row>
    <row r="188" spans="1:17">
      <c r="A188" s="1399">
        <v>70302</v>
      </c>
      <c r="B188" s="1400" t="s">
        <v>109</v>
      </c>
      <c r="C188" s="1397">
        <f>+VLOOKUP(A188,'Consolidated IS '!$A:$AG,32,FALSE)</f>
        <v>0</v>
      </c>
      <c r="D188" s="1397"/>
      <c r="E188" s="1397">
        <v>0</v>
      </c>
      <c r="F188" s="1397">
        <v>0</v>
      </c>
      <c r="G188" s="1397">
        <f t="shared" si="101"/>
        <v>0</v>
      </c>
      <c r="H188" s="1397">
        <v>0</v>
      </c>
      <c r="I188" s="1397">
        <v>0</v>
      </c>
      <c r="J188" s="1402" t="s">
        <v>348</v>
      </c>
      <c r="K188" s="958">
        <f t="shared" si="99"/>
        <v>0</v>
      </c>
      <c r="L188" s="958">
        <f t="shared" si="100"/>
        <v>0</v>
      </c>
      <c r="M188" s="957"/>
      <c r="N188" s="957"/>
      <c r="O188" s="957"/>
      <c r="P188" s="957"/>
      <c r="Q188" s="957"/>
    </row>
    <row r="189" spans="1:17">
      <c r="A189" s="1399">
        <v>70320</v>
      </c>
      <c r="B189" s="1400" t="s">
        <v>110</v>
      </c>
      <c r="C189" s="1397">
        <f>+VLOOKUP(A189,'Consolidated IS '!$A:$AG,32,FALSE)</f>
        <v>0</v>
      </c>
      <c r="D189" s="1397"/>
      <c r="E189" s="1397">
        <v>0</v>
      </c>
      <c r="F189" s="1397">
        <v>0</v>
      </c>
      <c r="G189" s="1397">
        <f t="shared" si="101"/>
        <v>0</v>
      </c>
      <c r="H189" s="1397">
        <v>0</v>
      </c>
      <c r="I189" s="1397">
        <v>0</v>
      </c>
      <c r="J189" s="1402" t="s">
        <v>348</v>
      </c>
      <c r="K189" s="958">
        <f t="shared" si="99"/>
        <v>0</v>
      </c>
      <c r="L189" s="958">
        <f t="shared" si="100"/>
        <v>0</v>
      </c>
      <c r="M189" s="957"/>
      <c r="N189" s="957"/>
      <c r="O189" s="957"/>
      <c r="P189" s="957"/>
      <c r="Q189" s="957"/>
    </row>
    <row r="190" spans="1:17">
      <c r="A190" s="1399">
        <v>70345</v>
      </c>
      <c r="B190" s="1400" t="s">
        <v>103</v>
      </c>
      <c r="C190" s="1397">
        <f>+VLOOKUP(A190,'Consolidated IS '!$A:$AG,32,FALSE)</f>
        <v>0</v>
      </c>
      <c r="D190" s="1397"/>
      <c r="E190" s="1397">
        <v>0</v>
      </c>
      <c r="F190" s="1397">
        <v>0</v>
      </c>
      <c r="G190" s="1397">
        <f t="shared" si="101"/>
        <v>0</v>
      </c>
      <c r="H190" s="1397">
        <v>0</v>
      </c>
      <c r="I190" s="1397">
        <v>0</v>
      </c>
      <c r="J190" s="1402" t="s">
        <v>348</v>
      </c>
      <c r="K190" s="958">
        <f t="shared" si="99"/>
        <v>0</v>
      </c>
      <c r="L190" s="958">
        <f t="shared" si="100"/>
        <v>0</v>
      </c>
      <c r="M190" s="957"/>
      <c r="N190" s="957"/>
      <c r="O190" s="957"/>
      <c r="P190" s="957"/>
      <c r="Q190" s="957"/>
    </row>
    <row r="191" spans="1:17" s="960" customFormat="1">
      <c r="A191" s="1399"/>
      <c r="B191" s="1400"/>
      <c r="C191" s="1397"/>
      <c r="D191" s="1397"/>
      <c r="E191" s="1397"/>
      <c r="F191" s="1397"/>
      <c r="G191" s="1397"/>
      <c r="H191" s="1397"/>
      <c r="I191" s="1397"/>
      <c r="J191" s="1402"/>
      <c r="K191" s="959"/>
      <c r="L191" s="959"/>
      <c r="M191" s="957"/>
      <c r="N191" s="959"/>
      <c r="O191" s="959"/>
      <c r="P191" s="959"/>
      <c r="Q191" s="959"/>
    </row>
    <row r="192" spans="1:17">
      <c r="A192" s="1407">
        <v>46200</v>
      </c>
      <c r="B192" s="1395" t="s">
        <v>111</v>
      </c>
      <c r="C192" s="1403">
        <f>SUM(C178:C191)</f>
        <v>25081.020000000004</v>
      </c>
      <c r="D192" s="1403"/>
      <c r="E192" s="1403">
        <f>SUM(E178:E191)</f>
        <v>7710.0464980699071</v>
      </c>
      <c r="F192" s="1403">
        <f>SUM(F178:F191)</f>
        <v>17370.973501930093</v>
      </c>
      <c r="G192" s="1403">
        <f>SUM(G178:G191)</f>
        <v>25081.020000000004</v>
      </c>
      <c r="H192" s="1403">
        <f>SUM(H178:H191)</f>
        <v>10837.640929880388</v>
      </c>
      <c r="I192" s="1403">
        <f>SUM(I178:I191)</f>
        <v>6533.332572049706</v>
      </c>
      <c r="J192" s="1402"/>
      <c r="K192" s="957"/>
      <c r="L192" s="957"/>
      <c r="M192" s="957"/>
      <c r="N192" s="957"/>
      <c r="O192" s="957"/>
      <c r="P192" s="957"/>
      <c r="Q192" s="957"/>
    </row>
    <row r="193" spans="1:17">
      <c r="A193" s="1399"/>
      <c r="B193" s="1400"/>
      <c r="C193" s="1397"/>
      <c r="D193" s="1397"/>
      <c r="E193" s="1397"/>
      <c r="F193" s="1397"/>
      <c r="G193" s="1397"/>
      <c r="H193" s="1397"/>
      <c r="I193" s="1397"/>
      <c r="J193" s="1402"/>
      <c r="K193" s="957"/>
      <c r="L193" s="957"/>
      <c r="M193" s="957"/>
      <c r="N193" s="957"/>
      <c r="O193" s="957"/>
      <c r="P193" s="957"/>
      <c r="Q193" s="957"/>
    </row>
    <row r="194" spans="1:17">
      <c r="A194" s="1399">
        <v>70235</v>
      </c>
      <c r="B194" s="1400" t="s">
        <v>112</v>
      </c>
      <c r="C194" s="1397">
        <f>+VLOOKUP(A194,'Consolidated IS '!$A:$AG,32,FALSE)</f>
        <v>1844.49</v>
      </c>
      <c r="D194" s="1397"/>
      <c r="E194" s="1397">
        <f>+$C194*'2184 Ratios'!D$15</f>
        <v>1270.7716127728615</v>
      </c>
      <c r="F194" s="1397">
        <f>+$C194*'2184 Ratios'!E$15</f>
        <v>573.71838722713846</v>
      </c>
      <c r="G194" s="1397">
        <f t="shared" ref="G194" si="102">+SUM(E194:F194)</f>
        <v>1844.49</v>
      </c>
      <c r="H194" s="1397">
        <f>+$F194*'2184 Ratios'!G$40</f>
        <v>357.93928733740483</v>
      </c>
      <c r="I194" s="1397">
        <f>+$F194*'2184 Ratios'!H$40</f>
        <v>215.7790998897336</v>
      </c>
      <c r="J194" s="1402" t="s">
        <v>2513</v>
      </c>
      <c r="K194" s="958">
        <f t="shared" ref="K194" si="103">+G194-C194</f>
        <v>0</v>
      </c>
      <c r="L194" s="958">
        <f t="shared" ref="L194" si="104">+SUM(H194:I194)-F194</f>
        <v>0</v>
      </c>
      <c r="M194" s="957"/>
      <c r="N194" s="957"/>
      <c r="O194" s="957"/>
      <c r="P194" s="957"/>
      <c r="Q194" s="957"/>
    </row>
    <row r="195" spans="1:17" s="960" customFormat="1">
      <c r="A195" s="1399"/>
      <c r="B195" s="1400"/>
      <c r="C195" s="1397"/>
      <c r="D195" s="1397"/>
      <c r="E195" s="1397"/>
      <c r="F195" s="1397"/>
      <c r="G195" s="1397"/>
      <c r="H195" s="1397"/>
      <c r="I195" s="1397"/>
      <c r="J195" s="1402"/>
      <c r="K195" s="959"/>
      <c r="L195" s="959"/>
      <c r="M195" s="957"/>
      <c r="N195" s="959"/>
      <c r="O195" s="959"/>
      <c r="P195" s="959"/>
      <c r="Q195" s="959"/>
    </row>
    <row r="196" spans="1:17">
      <c r="A196" s="1407">
        <v>46300</v>
      </c>
      <c r="B196" s="1395" t="s">
        <v>113</v>
      </c>
      <c r="C196" s="1403">
        <f>SUM(C194:C195)</f>
        <v>1844.49</v>
      </c>
      <c r="D196" s="1403"/>
      <c r="E196" s="1403">
        <f t="shared" ref="E196:I196" si="105">SUM(E194:E195)</f>
        <v>1270.7716127728615</v>
      </c>
      <c r="F196" s="1403">
        <f t="shared" si="105"/>
        <v>573.71838722713846</v>
      </c>
      <c r="G196" s="1403">
        <f t="shared" si="105"/>
        <v>1844.49</v>
      </c>
      <c r="H196" s="1403">
        <f t="shared" si="105"/>
        <v>357.93928733740483</v>
      </c>
      <c r="I196" s="1403">
        <f t="shared" si="105"/>
        <v>215.7790998897336</v>
      </c>
      <c r="J196" s="1402"/>
      <c r="K196" s="957"/>
      <c r="L196" s="957"/>
      <c r="M196" s="957"/>
      <c r="N196" s="957"/>
      <c r="O196" s="957"/>
      <c r="P196" s="957"/>
      <c r="Q196" s="957"/>
    </row>
    <row r="197" spans="1:17">
      <c r="A197" s="1399"/>
      <c r="B197" s="1400"/>
      <c r="C197" s="1397"/>
      <c r="D197" s="1397"/>
      <c r="E197" s="1397"/>
      <c r="F197" s="1397"/>
      <c r="G197" s="1397"/>
      <c r="H197" s="1397"/>
      <c r="I197" s="1397"/>
      <c r="J197" s="1402"/>
      <c r="K197" s="957"/>
      <c r="L197" s="957"/>
      <c r="M197" s="957"/>
      <c r="N197" s="957"/>
      <c r="O197" s="957"/>
      <c r="P197" s="957"/>
      <c r="Q197" s="957"/>
    </row>
    <row r="198" spans="1:17">
      <c r="A198" s="1399">
        <v>57150</v>
      </c>
      <c r="B198" s="1400" t="s">
        <v>44</v>
      </c>
      <c r="C198" s="1397">
        <f>+VLOOKUP(A198,'Consolidated IS '!$A:$AG,32,FALSE)</f>
        <v>112083.83</v>
      </c>
      <c r="D198" s="1397"/>
      <c r="E198" s="1397">
        <f>+C198-F198</f>
        <v>61070.8</v>
      </c>
      <c r="F198" s="1397">
        <f>+'[37]57150'!$D$136</f>
        <v>51013.03</v>
      </c>
      <c r="G198" s="1397">
        <f t="shared" ref="G198" si="106">+SUM(E198:F198)</f>
        <v>112083.83</v>
      </c>
      <c r="H198" s="1397">
        <f>+$F198*'2184 Ratios'!G$40</f>
        <v>31826.708032442028</v>
      </c>
      <c r="I198" s="1397">
        <f>+$F198*'2184 Ratios'!H$40</f>
        <v>19186.321967557971</v>
      </c>
      <c r="J198" s="1402" t="s">
        <v>1920</v>
      </c>
      <c r="K198" s="958">
        <f t="shared" ref="K198:K199" si="107">+G198-C198</f>
        <v>0</v>
      </c>
      <c r="L198" s="958">
        <f t="shared" ref="L198:L199" si="108">+SUM(H198:I198)-F198</f>
        <v>0</v>
      </c>
      <c r="M198" s="957"/>
      <c r="N198" s="957"/>
      <c r="O198" s="957"/>
      <c r="P198" s="957"/>
      <c r="Q198" s="957"/>
    </row>
    <row r="199" spans="1:17">
      <c r="A199" s="1399">
        <v>70150</v>
      </c>
      <c r="B199" s="1400" t="s">
        <v>44</v>
      </c>
      <c r="C199" s="1397">
        <f>+VLOOKUP(A199,'Consolidated IS '!$A:$AG,32,FALSE)</f>
        <v>1987.1100000000001</v>
      </c>
      <c r="D199" s="1397"/>
      <c r="E199" s="1397">
        <f>+C199-F199</f>
        <v>0</v>
      </c>
      <c r="F199" s="1397">
        <f>+C199</f>
        <v>1987.1100000000001</v>
      </c>
      <c r="G199" s="1397">
        <f t="shared" ref="G199" si="109">+SUM(E199:F199)</f>
        <v>1987.1100000000001</v>
      </c>
      <c r="H199" s="1397">
        <f>+$F199*'2184 Ratios'!G$40</f>
        <v>1239.7454101108262</v>
      </c>
      <c r="I199" s="1397">
        <f>+$F199*'2184 Ratios'!H$40</f>
        <v>747.36458988917389</v>
      </c>
      <c r="J199" s="1402" t="s">
        <v>1920</v>
      </c>
      <c r="K199" s="958">
        <f t="shared" si="107"/>
        <v>0</v>
      </c>
      <c r="L199" s="958">
        <f t="shared" si="108"/>
        <v>0</v>
      </c>
      <c r="M199" s="957"/>
      <c r="N199" s="957"/>
      <c r="O199" s="957"/>
      <c r="P199" s="957"/>
      <c r="Q199" s="957"/>
    </row>
    <row r="200" spans="1:17" s="960" customFormat="1">
      <c r="A200" s="1399"/>
      <c r="B200" s="1400"/>
      <c r="C200" s="1397"/>
      <c r="D200" s="1397"/>
      <c r="E200" s="1397"/>
      <c r="F200" s="1397"/>
      <c r="G200" s="1397"/>
      <c r="H200" s="1397"/>
      <c r="I200" s="1397"/>
      <c r="J200" s="1402"/>
      <c r="K200" s="959"/>
      <c r="L200" s="959"/>
      <c r="M200" s="957"/>
      <c r="N200" s="959"/>
      <c r="O200" s="959"/>
      <c r="P200" s="959"/>
      <c r="Q200" s="959"/>
    </row>
    <row r="201" spans="1:17">
      <c r="A201" s="1407">
        <v>46400</v>
      </c>
      <c r="B201" s="1395" t="s">
        <v>44</v>
      </c>
      <c r="C201" s="1403">
        <f>SUM(C198:C200)</f>
        <v>114070.94</v>
      </c>
      <c r="D201" s="1403"/>
      <c r="E201" s="1403">
        <f>SUM(E198:E200)</f>
        <v>61070.8</v>
      </c>
      <c r="F201" s="1403">
        <f>SUM(F198:F200)</f>
        <v>53000.14</v>
      </c>
      <c r="G201" s="1403">
        <f>SUM(G198:G200)</f>
        <v>114070.94</v>
      </c>
      <c r="H201" s="1403">
        <f>SUM(H198:H200)</f>
        <v>33066.453442552855</v>
      </c>
      <c r="I201" s="1403">
        <f>SUM(I198:I200)</f>
        <v>19933.686557447145</v>
      </c>
      <c r="J201" s="1402"/>
      <c r="K201" s="957"/>
      <c r="L201" s="957"/>
      <c r="M201" s="957"/>
      <c r="N201" s="957"/>
      <c r="O201" s="957"/>
      <c r="P201" s="957"/>
      <c r="Q201" s="957"/>
    </row>
    <row r="202" spans="1:17">
      <c r="A202" s="1399"/>
      <c r="B202" s="1400"/>
      <c r="C202" s="1397"/>
      <c r="D202" s="1397"/>
      <c r="E202" s="1397"/>
      <c r="F202" s="1397"/>
      <c r="G202" s="1397"/>
      <c r="H202" s="1397"/>
      <c r="I202" s="1397"/>
      <c r="J202" s="1402"/>
      <c r="K202" s="957"/>
      <c r="L202" s="957"/>
      <c r="M202" s="957"/>
      <c r="N202" s="957"/>
      <c r="O202" s="957"/>
      <c r="P202" s="957"/>
      <c r="Q202" s="957"/>
    </row>
    <row r="203" spans="1:17">
      <c r="A203" s="1399">
        <v>52165</v>
      </c>
      <c r="B203" s="1400" t="s">
        <v>114</v>
      </c>
      <c r="C203" s="1397">
        <f>+VLOOKUP(A203,'Consolidated IS '!$A:$AG,32,FALSE)</f>
        <v>1622.61</v>
      </c>
      <c r="D203" s="1397"/>
      <c r="E203" s="1397">
        <f>+$C203*'2184 Ratios'!D$8</f>
        <v>849.93857142857144</v>
      </c>
      <c r="F203" s="1397">
        <f>+$C203*'2184 Ratios'!E$8</f>
        <v>772.67142857142846</v>
      </c>
      <c r="G203" s="1397">
        <f t="shared" ref="G203:G206" si="110">+SUM(E203:F203)</f>
        <v>1622.61</v>
      </c>
      <c r="H203" s="1397">
        <f>+$F203*'2184 Ratios'!G$40</f>
        <v>482.06483641831784</v>
      </c>
      <c r="I203" s="1397">
        <f>+$F203*'2184 Ratios'!H$40</f>
        <v>290.60659215311063</v>
      </c>
      <c r="J203" s="1402" t="s">
        <v>1922</v>
      </c>
      <c r="K203" s="958">
        <f t="shared" ref="K203:K206" si="111">+G203-C203</f>
        <v>0</v>
      </c>
      <c r="L203" s="958">
        <f t="shared" ref="L203:L206" si="112">+SUM(H203:I203)-F203</f>
        <v>0</v>
      </c>
      <c r="M203" s="957"/>
      <c r="N203" s="957"/>
      <c r="O203" s="957"/>
      <c r="P203" s="957"/>
      <c r="Q203" s="957"/>
    </row>
    <row r="204" spans="1:17">
      <c r="A204" s="1399">
        <v>57165</v>
      </c>
      <c r="B204" s="1400" t="s">
        <v>114</v>
      </c>
      <c r="C204" s="1397">
        <f>+VLOOKUP(A204,'Consolidated IS '!$A:$AG,32,FALSE)</f>
        <v>0</v>
      </c>
      <c r="D204" s="1397"/>
      <c r="E204" s="1397">
        <v>0</v>
      </c>
      <c r="F204" s="1397">
        <v>0</v>
      </c>
      <c r="G204" s="1397">
        <f t="shared" si="110"/>
        <v>0</v>
      </c>
      <c r="H204" s="1397">
        <v>0</v>
      </c>
      <c r="I204" s="1397">
        <v>0</v>
      </c>
      <c r="J204" s="1402" t="s">
        <v>348</v>
      </c>
      <c r="K204" s="958">
        <f t="shared" si="111"/>
        <v>0</v>
      </c>
      <c r="L204" s="958">
        <f t="shared" si="112"/>
        <v>0</v>
      </c>
      <c r="M204" s="957"/>
      <c r="N204" s="957"/>
      <c r="O204" s="957"/>
      <c r="P204" s="957"/>
      <c r="Q204" s="957"/>
    </row>
    <row r="205" spans="1:17">
      <c r="A205" s="1399">
        <v>70165</v>
      </c>
      <c r="B205" s="1400" t="s">
        <v>114</v>
      </c>
      <c r="C205" s="1397">
        <f>+VLOOKUP(A205,'Consolidated IS '!$A:$AG,32,FALSE)</f>
        <v>5581.63</v>
      </c>
      <c r="D205" s="1397"/>
      <c r="E205" s="1397">
        <f>C205</f>
        <v>5581.63</v>
      </c>
      <c r="F205" s="1397"/>
      <c r="G205" s="1397">
        <f t="shared" si="110"/>
        <v>5581.63</v>
      </c>
      <c r="H205" s="1397"/>
      <c r="I205" s="1397"/>
      <c r="J205" s="1402" t="s">
        <v>348</v>
      </c>
      <c r="K205" s="958">
        <f t="shared" si="111"/>
        <v>0</v>
      </c>
      <c r="L205" s="958">
        <f t="shared" si="112"/>
        <v>0</v>
      </c>
      <c r="M205" s="957"/>
      <c r="N205" s="957"/>
      <c r="O205" s="957"/>
      <c r="P205" s="957"/>
      <c r="Q205" s="957"/>
    </row>
    <row r="206" spans="1:17">
      <c r="A206" s="1399">
        <v>70167</v>
      </c>
      <c r="B206" s="1400" t="s">
        <v>115</v>
      </c>
      <c r="C206" s="1397">
        <f>+VLOOKUP(A206,'Consolidated IS '!$A:$AG,32,FALSE)</f>
        <v>1904.0200000000002</v>
      </c>
      <c r="D206" s="1397"/>
      <c r="E206" s="1397">
        <f>C206</f>
        <v>1904.0200000000002</v>
      </c>
      <c r="F206" s="1397"/>
      <c r="G206" s="1397">
        <f t="shared" si="110"/>
        <v>1904.0200000000002</v>
      </c>
      <c r="H206" s="1397"/>
      <c r="I206" s="1397"/>
      <c r="J206" s="1402" t="s">
        <v>348</v>
      </c>
      <c r="K206" s="958">
        <f t="shared" si="111"/>
        <v>0</v>
      </c>
      <c r="L206" s="958">
        <f t="shared" si="112"/>
        <v>0</v>
      </c>
      <c r="M206" s="957"/>
      <c r="N206" s="957"/>
      <c r="O206" s="957"/>
      <c r="P206" s="957"/>
      <c r="Q206" s="957"/>
    </row>
    <row r="207" spans="1:17" s="960" customFormat="1">
      <c r="A207" s="1399"/>
      <c r="B207" s="1400"/>
      <c r="C207" s="1397"/>
      <c r="D207" s="1397"/>
      <c r="E207" s="1397"/>
      <c r="F207" s="1397"/>
      <c r="G207" s="1397"/>
      <c r="H207" s="1397"/>
      <c r="I207" s="1397"/>
      <c r="J207" s="1402"/>
      <c r="K207" s="959"/>
      <c r="L207" s="959"/>
      <c r="M207" s="957"/>
      <c r="N207" s="959"/>
      <c r="O207" s="959"/>
      <c r="P207" s="959"/>
      <c r="Q207" s="959"/>
    </row>
    <row r="208" spans="1:17">
      <c r="A208" s="1407">
        <v>46410</v>
      </c>
      <c r="B208" s="1395" t="s">
        <v>114</v>
      </c>
      <c r="C208" s="1403">
        <f>SUM(C203:C207)</f>
        <v>9108.26</v>
      </c>
      <c r="D208" s="1403"/>
      <c r="E208" s="1403">
        <f>SUM(E203:E207)</f>
        <v>8335.5885714285723</v>
      </c>
      <c r="F208" s="1403">
        <f>SUM(F203:F207)</f>
        <v>772.67142857142846</v>
      </c>
      <c r="G208" s="1403">
        <f t="shared" ref="G208:H208" si="113">SUM(G203:G207)</f>
        <v>9108.26</v>
      </c>
      <c r="H208" s="1403">
        <f t="shared" si="113"/>
        <v>482.06483641831784</v>
      </c>
      <c r="I208" s="1403">
        <f>SUM(I203:I207)</f>
        <v>290.60659215311063</v>
      </c>
      <c r="J208" s="1402"/>
      <c r="K208" s="957"/>
      <c r="L208" s="957"/>
      <c r="M208" s="957"/>
      <c r="N208" s="957"/>
      <c r="O208" s="957"/>
      <c r="P208" s="957"/>
      <c r="Q208" s="957"/>
    </row>
    <row r="209" spans="1:17">
      <c r="A209" s="1399"/>
      <c r="B209" s="1400"/>
      <c r="C209" s="1397"/>
      <c r="D209" s="1397"/>
      <c r="E209" s="1397"/>
      <c r="F209" s="1397"/>
      <c r="G209" s="1397"/>
      <c r="H209" s="1397"/>
      <c r="I209" s="1397"/>
      <c r="J209" s="1402"/>
      <c r="K209" s="957"/>
      <c r="L209" s="957"/>
      <c r="M209" s="957"/>
      <c r="N209" s="957"/>
      <c r="O209" s="957"/>
      <c r="P209" s="957"/>
      <c r="Q209" s="957"/>
    </row>
    <row r="210" spans="1:17">
      <c r="A210" s="1399">
        <v>50060</v>
      </c>
      <c r="B210" s="1400" t="s">
        <v>75</v>
      </c>
      <c r="C210" s="1397">
        <f>+VLOOKUP(A210,'Consolidated IS '!$A:$AG,32,FALSE)</f>
        <v>320848.01</v>
      </c>
      <c r="D210" s="1397"/>
      <c r="E210" s="1397">
        <f>+$C210*'2184 Ratios'!D$15</f>
        <v>221050.01551792811</v>
      </c>
      <c r="F210" s="1397">
        <f>+$C210*'2184 Ratios'!E$15</f>
        <v>99797.99448207191</v>
      </c>
      <c r="G210" s="1397">
        <f t="shared" ref="G210:G212" si="114">+SUM(E210:F210)</f>
        <v>320848.01</v>
      </c>
      <c r="H210" s="1397">
        <f>+$F210*'2184 Ratios'!G$40</f>
        <v>62263.340025169317</v>
      </c>
      <c r="I210" s="1397">
        <f>+$F210*'2184 Ratios'!H$40</f>
        <v>37534.654456902594</v>
      </c>
      <c r="J210" s="1402" t="s">
        <v>2513</v>
      </c>
      <c r="K210" s="958">
        <f t="shared" ref="K210:K215" si="115">+G210-C210</f>
        <v>0</v>
      </c>
      <c r="L210" s="958">
        <f t="shared" ref="L210:L215" si="116">+SUM(H210:I210)-F210</f>
        <v>0</v>
      </c>
      <c r="M210" s="957"/>
      <c r="N210" s="957"/>
      <c r="O210" s="957"/>
      <c r="P210" s="957"/>
      <c r="Q210" s="957"/>
    </row>
    <row r="211" spans="1:17">
      <c r="A211" s="1399">
        <v>50116</v>
      </c>
      <c r="B211" s="1400" t="s">
        <v>116</v>
      </c>
      <c r="C211" s="1397">
        <f>+VLOOKUP(A211,'Consolidated IS '!$A:$AG,32,FALSE)</f>
        <v>0</v>
      </c>
      <c r="D211" s="1397"/>
      <c r="E211" s="1397">
        <v>0</v>
      </c>
      <c r="F211" s="1397">
        <v>0</v>
      </c>
      <c r="G211" s="1397">
        <f t="shared" si="114"/>
        <v>0</v>
      </c>
      <c r="H211" s="1397">
        <v>0</v>
      </c>
      <c r="I211" s="1397">
        <v>0</v>
      </c>
      <c r="J211" s="1402" t="s">
        <v>348</v>
      </c>
      <c r="K211" s="958">
        <f t="shared" si="115"/>
        <v>0</v>
      </c>
      <c r="L211" s="958">
        <f t="shared" si="116"/>
        <v>0</v>
      </c>
      <c r="M211" s="957"/>
      <c r="N211" s="957"/>
      <c r="O211" s="957"/>
      <c r="P211" s="957"/>
      <c r="Q211" s="957"/>
    </row>
    <row r="212" spans="1:17">
      <c r="A212" s="1399">
        <v>52060</v>
      </c>
      <c r="B212" s="1400" t="s">
        <v>75</v>
      </c>
      <c r="C212" s="1397">
        <f>+VLOOKUP(A212,'Consolidated IS '!$A:$AG,32,FALSE)</f>
        <v>18692.363302882117</v>
      </c>
      <c r="D212" s="1397"/>
      <c r="E212" s="1397">
        <f>+$C212*'2184 Ratios'!D$8</f>
        <v>9791.2379205572997</v>
      </c>
      <c r="F212" s="1397">
        <f>+$C212*'2184 Ratios'!E$8</f>
        <v>8901.1253823248171</v>
      </c>
      <c r="G212" s="1397">
        <f t="shared" si="114"/>
        <v>18692.363302882117</v>
      </c>
      <c r="H212" s="1397">
        <f>+$F212*'2184 Ratios'!G$40</f>
        <v>5553.3560485117405</v>
      </c>
      <c r="I212" s="1397">
        <f>+$F212*'2184 Ratios'!H$40</f>
        <v>3347.7693338130766</v>
      </c>
      <c r="J212" s="1402" t="s">
        <v>1922</v>
      </c>
      <c r="K212" s="958">
        <f t="shared" si="115"/>
        <v>0</v>
      </c>
      <c r="L212" s="958">
        <f t="shared" si="116"/>
        <v>0</v>
      </c>
      <c r="M212" s="957"/>
      <c r="N212" s="957"/>
      <c r="O212" s="957"/>
      <c r="P212" s="957"/>
      <c r="Q212" s="957"/>
    </row>
    <row r="213" spans="1:17">
      <c r="A213" s="1399">
        <v>55060</v>
      </c>
      <c r="B213" s="1400" t="s">
        <v>75</v>
      </c>
      <c r="C213" s="1397">
        <f>+VLOOKUP(A213,'Consolidated IS '!$A:$AG,32,FALSE)</f>
        <v>0</v>
      </c>
      <c r="D213" s="1397"/>
      <c r="E213" s="1397">
        <v>0</v>
      </c>
      <c r="F213" s="1397">
        <v>0</v>
      </c>
      <c r="G213" s="1397">
        <f t="shared" ref="G213:G215" si="117">+SUM(E213:F213)</f>
        <v>0</v>
      </c>
      <c r="H213" s="1397">
        <v>0</v>
      </c>
      <c r="I213" s="1397">
        <v>0</v>
      </c>
      <c r="J213" s="1402" t="s">
        <v>348</v>
      </c>
      <c r="K213" s="958">
        <f t="shared" si="115"/>
        <v>0</v>
      </c>
      <c r="L213" s="958">
        <f t="shared" si="116"/>
        <v>0</v>
      </c>
      <c r="M213" s="957"/>
      <c r="N213" s="957"/>
      <c r="O213" s="957"/>
      <c r="P213" s="957"/>
      <c r="Q213" s="957"/>
    </row>
    <row r="214" spans="1:17">
      <c r="A214" s="1399">
        <v>56060</v>
      </c>
      <c r="B214" s="1400" t="s">
        <v>75</v>
      </c>
      <c r="C214" s="1397">
        <f>+VLOOKUP(A214,'Consolidated IS '!$A:$AG,32,FALSE)</f>
        <v>0</v>
      </c>
      <c r="D214" s="1397"/>
      <c r="E214" s="1397">
        <v>0</v>
      </c>
      <c r="F214" s="1397">
        <v>0</v>
      </c>
      <c r="G214" s="1397">
        <f t="shared" si="117"/>
        <v>0</v>
      </c>
      <c r="H214" s="1397">
        <v>0</v>
      </c>
      <c r="I214" s="1397">
        <v>0</v>
      </c>
      <c r="J214" s="1402" t="s">
        <v>348</v>
      </c>
      <c r="K214" s="958">
        <f t="shared" si="115"/>
        <v>0</v>
      </c>
      <c r="L214" s="958">
        <f t="shared" si="116"/>
        <v>0</v>
      </c>
      <c r="M214" s="957"/>
      <c r="N214" s="957"/>
      <c r="O214" s="957"/>
      <c r="P214" s="957"/>
      <c r="Q214" s="957"/>
    </row>
    <row r="215" spans="1:17">
      <c r="A215" s="1399">
        <v>70060</v>
      </c>
      <c r="B215" s="1400" t="s">
        <v>75</v>
      </c>
      <c r="C215" s="1397">
        <f>+VLOOKUP(A215,'Consolidated IS '!$A:$AG,32,FALSE)</f>
        <v>24657.42</v>
      </c>
      <c r="D215" s="1397"/>
      <c r="E215" s="1397">
        <f>+C215</f>
        <v>24657.42</v>
      </c>
      <c r="F215" s="1397">
        <v>0</v>
      </c>
      <c r="G215" s="1397">
        <f t="shared" si="117"/>
        <v>24657.42</v>
      </c>
      <c r="H215" s="1397">
        <v>0</v>
      </c>
      <c r="I215" s="1397">
        <v>0</v>
      </c>
      <c r="J215" s="1402" t="s">
        <v>348</v>
      </c>
      <c r="K215" s="958">
        <f t="shared" si="115"/>
        <v>0</v>
      </c>
      <c r="L215" s="958">
        <f t="shared" si="116"/>
        <v>0</v>
      </c>
      <c r="M215" s="957"/>
      <c r="N215" s="957"/>
      <c r="O215" s="957"/>
      <c r="P215" s="957"/>
      <c r="Q215" s="957"/>
    </row>
    <row r="216" spans="1:17" s="960" customFormat="1">
      <c r="A216" s="1399"/>
      <c r="B216" s="1400"/>
      <c r="C216" s="1397"/>
      <c r="D216" s="1397"/>
      <c r="E216" s="1397"/>
      <c r="F216" s="1397"/>
      <c r="G216" s="1397"/>
      <c r="H216" s="1397"/>
      <c r="I216" s="1397"/>
      <c r="J216" s="1402"/>
      <c r="K216" s="959"/>
      <c r="L216" s="959"/>
      <c r="M216" s="957"/>
      <c r="N216" s="959"/>
      <c r="O216" s="959"/>
      <c r="P216" s="959"/>
      <c r="Q216" s="959"/>
    </row>
    <row r="217" spans="1:17">
      <c r="A217" s="1407">
        <v>46500</v>
      </c>
      <c r="B217" s="1395" t="s">
        <v>117</v>
      </c>
      <c r="C217" s="1403">
        <f>SUM(C210:C216)</f>
        <v>364197.79330288211</v>
      </c>
      <c r="D217" s="1403"/>
      <c r="E217" s="1403">
        <f>SUM(E210:E216)</f>
        <v>255498.67343848542</v>
      </c>
      <c r="F217" s="1403">
        <f>SUM(F210:F216)</f>
        <v>108699.11986439672</v>
      </c>
      <c r="G217" s="1403">
        <f>SUM(G210:G216)</f>
        <v>364197.79330288211</v>
      </c>
      <c r="H217" s="1403">
        <f>SUM(H210:H216)</f>
        <v>67816.696073681058</v>
      </c>
      <c r="I217" s="1403">
        <f>SUM(I210:I216)</f>
        <v>40882.423790715671</v>
      </c>
      <c r="J217" s="1402"/>
      <c r="K217" s="957"/>
      <c r="L217" s="957"/>
      <c r="M217" s="957"/>
      <c r="N217" s="957"/>
      <c r="O217" s="957"/>
      <c r="P217" s="957"/>
      <c r="Q217" s="957"/>
    </row>
    <row r="218" spans="1:17">
      <c r="A218" s="1399"/>
      <c r="B218" s="1400"/>
      <c r="C218" s="1397"/>
      <c r="D218" s="1397"/>
      <c r="E218" s="1397"/>
      <c r="F218" s="1397"/>
      <c r="G218" s="1397"/>
      <c r="H218" s="1397"/>
      <c r="I218" s="1397"/>
      <c r="J218" s="1402"/>
      <c r="K218" s="957"/>
      <c r="L218" s="957"/>
      <c r="M218" s="957"/>
      <c r="N218" s="957"/>
      <c r="O218" s="957"/>
      <c r="P218" s="957"/>
      <c r="Q218" s="957"/>
    </row>
    <row r="219" spans="1:17">
      <c r="A219" s="1399">
        <v>50115</v>
      </c>
      <c r="B219" s="1400" t="s">
        <v>118</v>
      </c>
      <c r="C219" s="1397">
        <f>+VLOOKUP(A219,'Consolidated IS '!$A:$AG,32,FALSE)</f>
        <v>30193.83</v>
      </c>
      <c r="D219" s="1397"/>
      <c r="E219" s="1397">
        <f>+$C219*'2184 Ratios'!D$15</f>
        <v>20802.206596343494</v>
      </c>
      <c r="F219" s="1397">
        <f>+$C219*'2184 Ratios'!E$15</f>
        <v>9391.6234036565074</v>
      </c>
      <c r="G219" s="1397">
        <f t="shared" ref="G219:G223" si="118">+SUM(E219:F219)</f>
        <v>30193.83</v>
      </c>
      <c r="H219" s="1397">
        <f>+$F219*'2184 Ratios'!G$40</f>
        <v>5859.3746738593081</v>
      </c>
      <c r="I219" s="1397">
        <f>+$F219*'2184 Ratios'!H$40</f>
        <v>3532.2487297971993</v>
      </c>
      <c r="J219" s="1402" t="s">
        <v>2513</v>
      </c>
      <c r="K219" s="958">
        <f t="shared" ref="K219:K225" si="119">+G219-C219</f>
        <v>0</v>
      </c>
      <c r="L219" s="958">
        <f t="shared" ref="L219:L225" si="120">+SUM(H219:I219)-F219</f>
        <v>0</v>
      </c>
      <c r="M219" s="957"/>
      <c r="N219" s="957"/>
      <c r="O219" s="957"/>
      <c r="P219" s="957"/>
      <c r="Q219" s="957"/>
    </row>
    <row r="220" spans="1:17">
      <c r="A220" s="1399">
        <v>50117</v>
      </c>
      <c r="B220" s="1400" t="s">
        <v>119</v>
      </c>
      <c r="C220" s="1397">
        <f>+VLOOKUP(A220,'Consolidated IS '!$A:$AG,32,FALSE)</f>
        <v>0</v>
      </c>
      <c r="D220" s="1397"/>
      <c r="E220" s="1397">
        <v>0</v>
      </c>
      <c r="F220" s="1397">
        <v>0</v>
      </c>
      <c r="G220" s="1397">
        <f t="shared" si="118"/>
        <v>0</v>
      </c>
      <c r="H220" s="1397">
        <v>0</v>
      </c>
      <c r="I220" s="1397">
        <v>0</v>
      </c>
      <c r="J220" s="1402" t="s">
        <v>348</v>
      </c>
      <c r="K220" s="958">
        <f t="shared" si="119"/>
        <v>0</v>
      </c>
      <c r="L220" s="958">
        <f t="shared" si="120"/>
        <v>0</v>
      </c>
      <c r="M220" s="957"/>
      <c r="N220" s="957"/>
      <c r="O220" s="957"/>
      <c r="P220" s="957"/>
      <c r="Q220" s="957"/>
    </row>
    <row r="221" spans="1:17">
      <c r="A221" s="1399">
        <v>52115</v>
      </c>
      <c r="B221" s="1400" t="s">
        <v>118</v>
      </c>
      <c r="C221" s="1397">
        <f>+VLOOKUP(A221,'Consolidated IS '!$A:$AG,32,FALSE)</f>
        <v>2122.8385762469638</v>
      </c>
      <c r="D221" s="1397"/>
      <c r="E221" s="1397">
        <f>+$C221*'2184 Ratios'!D$8</f>
        <v>1111.9630637484097</v>
      </c>
      <c r="F221" s="1397">
        <f>+$C221*'2184 Ratios'!E$8</f>
        <v>1010.8755124985541</v>
      </c>
      <c r="G221" s="1397">
        <f t="shared" si="118"/>
        <v>2122.8385762469638</v>
      </c>
      <c r="H221" s="1397">
        <f>+$F221*'2184 Ratios'!G$40</f>
        <v>630.67886368319398</v>
      </c>
      <c r="I221" s="1397">
        <f>+$F221*'2184 Ratios'!H$40</f>
        <v>380.19664881536016</v>
      </c>
      <c r="J221" s="1402" t="s">
        <v>1922</v>
      </c>
      <c r="K221" s="958">
        <f t="shared" si="119"/>
        <v>0</v>
      </c>
      <c r="L221" s="958">
        <f t="shared" si="120"/>
        <v>0</v>
      </c>
      <c r="M221" s="957"/>
      <c r="N221" s="957"/>
      <c r="O221" s="957"/>
      <c r="P221" s="957"/>
      <c r="Q221" s="957"/>
    </row>
    <row r="222" spans="1:17">
      <c r="A222" s="1399">
        <v>55115</v>
      </c>
      <c r="B222" s="1400" t="s">
        <v>120</v>
      </c>
      <c r="C222" s="1397">
        <f>+VLOOKUP(A222,'Consolidated IS '!$A:$AG,32,FALSE)</f>
        <v>0</v>
      </c>
      <c r="D222" s="1397"/>
      <c r="E222" s="1397">
        <v>0</v>
      </c>
      <c r="F222" s="1397">
        <v>0</v>
      </c>
      <c r="G222" s="1397">
        <f t="shared" si="118"/>
        <v>0</v>
      </c>
      <c r="H222" s="1397">
        <v>0</v>
      </c>
      <c r="I222" s="1397">
        <v>0</v>
      </c>
      <c r="J222" s="1402" t="s">
        <v>348</v>
      </c>
      <c r="K222" s="958">
        <f t="shared" si="119"/>
        <v>0</v>
      </c>
      <c r="L222" s="958">
        <f t="shared" si="120"/>
        <v>0</v>
      </c>
      <c r="M222" s="957"/>
      <c r="N222" s="957"/>
      <c r="O222" s="957"/>
      <c r="P222" s="957"/>
      <c r="Q222" s="957"/>
    </row>
    <row r="223" spans="1:17">
      <c r="A223" s="1399">
        <v>56115</v>
      </c>
      <c r="B223" s="1400" t="s">
        <v>118</v>
      </c>
      <c r="C223" s="1397">
        <f>+VLOOKUP(A223,'Consolidated IS '!$A:$AG,32,FALSE)</f>
        <v>0</v>
      </c>
      <c r="D223" s="1397"/>
      <c r="E223" s="1397">
        <v>0</v>
      </c>
      <c r="F223" s="1397">
        <v>0</v>
      </c>
      <c r="G223" s="1397">
        <f t="shared" si="118"/>
        <v>0</v>
      </c>
      <c r="H223" s="1397">
        <v>0</v>
      </c>
      <c r="I223" s="1397">
        <v>0</v>
      </c>
      <c r="J223" s="1402" t="s">
        <v>348</v>
      </c>
      <c r="K223" s="958">
        <f t="shared" si="119"/>
        <v>0</v>
      </c>
      <c r="L223" s="958">
        <f t="shared" si="120"/>
        <v>0</v>
      </c>
      <c r="M223" s="957"/>
      <c r="N223" s="957"/>
      <c r="O223" s="957"/>
      <c r="P223" s="957"/>
      <c r="Q223" s="957"/>
    </row>
    <row r="224" spans="1:17">
      <c r="A224" s="1399">
        <v>60116</v>
      </c>
      <c r="B224" s="1400" t="s">
        <v>118</v>
      </c>
      <c r="C224" s="1397">
        <f>+VLOOKUP(A224,'Consolidated IS '!$A:$AG,32,FALSE)</f>
        <v>0</v>
      </c>
      <c r="D224" s="1397"/>
      <c r="E224" s="1397">
        <v>0</v>
      </c>
      <c r="F224" s="1397">
        <v>0</v>
      </c>
      <c r="G224" s="1397">
        <f t="shared" ref="G224:G225" si="121">+SUM(E224:F224)</f>
        <v>0</v>
      </c>
      <c r="H224" s="1397">
        <v>0</v>
      </c>
      <c r="I224" s="1397">
        <v>0</v>
      </c>
      <c r="J224" s="1402" t="s">
        <v>348</v>
      </c>
      <c r="K224" s="958">
        <f t="shared" si="119"/>
        <v>0</v>
      </c>
      <c r="L224" s="958">
        <f t="shared" si="120"/>
        <v>0</v>
      </c>
      <c r="M224" s="957"/>
      <c r="N224" s="957"/>
      <c r="O224" s="957"/>
      <c r="P224" s="957"/>
      <c r="Q224" s="957"/>
    </row>
    <row r="225" spans="1:17">
      <c r="A225" s="1399">
        <v>70116</v>
      </c>
      <c r="B225" s="1400" t="s">
        <v>118</v>
      </c>
      <c r="C225" s="1397">
        <f>+VLOOKUP(A225,'Consolidated IS '!$A:$AG,32,FALSE)</f>
        <v>4604.66</v>
      </c>
      <c r="D225" s="1397"/>
      <c r="E225" s="1397">
        <f>+C225</f>
        <v>4604.66</v>
      </c>
      <c r="F225" s="1397">
        <v>0</v>
      </c>
      <c r="G225" s="1397">
        <f t="shared" si="121"/>
        <v>4604.66</v>
      </c>
      <c r="H225" s="1397">
        <v>0</v>
      </c>
      <c r="I225" s="1397">
        <v>0</v>
      </c>
      <c r="J225" s="1402" t="s">
        <v>348</v>
      </c>
      <c r="K225" s="958">
        <f t="shared" si="119"/>
        <v>0</v>
      </c>
      <c r="L225" s="958">
        <f t="shared" si="120"/>
        <v>0</v>
      </c>
      <c r="M225" s="957"/>
      <c r="N225" s="957"/>
      <c r="O225" s="957"/>
      <c r="P225" s="957"/>
      <c r="Q225" s="957"/>
    </row>
    <row r="226" spans="1:17" s="960" customFormat="1">
      <c r="A226" s="1399"/>
      <c r="B226" s="1400"/>
      <c r="C226" s="1397"/>
      <c r="D226" s="1397"/>
      <c r="E226" s="1397"/>
      <c r="F226" s="1397"/>
      <c r="G226" s="1397"/>
      <c r="H226" s="1397"/>
      <c r="I226" s="1397"/>
      <c r="J226" s="1402"/>
      <c r="K226" s="959"/>
      <c r="L226" s="959"/>
      <c r="M226" s="957"/>
      <c r="N226" s="959"/>
      <c r="O226" s="959"/>
      <c r="P226" s="959"/>
      <c r="Q226" s="959"/>
    </row>
    <row r="227" spans="1:17">
      <c r="A227" s="1407">
        <v>46510</v>
      </c>
      <c r="B227" s="1395" t="s">
        <v>118</v>
      </c>
      <c r="C227" s="1403">
        <f>SUM(C219:C226)</f>
        <v>36921.32857624696</v>
      </c>
      <c r="D227" s="1403"/>
      <c r="E227" s="1403">
        <f>SUM(E219:E226)</f>
        <v>26518.829660091902</v>
      </c>
      <c r="F227" s="1403">
        <f>SUM(F219:F226)</f>
        <v>10402.498916155062</v>
      </c>
      <c r="G227" s="1403">
        <f>SUM(G219:G226)</f>
        <v>36921.32857624696</v>
      </c>
      <c r="H227" s="1403">
        <f>SUM(H219:H226)</f>
        <v>6490.0535375425025</v>
      </c>
      <c r="I227" s="1403">
        <f>SUM(I219:I226)</f>
        <v>3912.4453786125596</v>
      </c>
      <c r="J227" s="1402"/>
      <c r="K227" s="957"/>
      <c r="L227" s="957"/>
      <c r="M227" s="957"/>
      <c r="N227" s="957"/>
      <c r="O227" s="957"/>
      <c r="P227" s="957"/>
      <c r="Q227" s="957"/>
    </row>
    <row r="228" spans="1:17">
      <c r="A228" s="1399"/>
      <c r="B228" s="1400"/>
      <c r="C228" s="1397"/>
      <c r="D228" s="1397"/>
      <c r="E228" s="1397"/>
      <c r="F228" s="1397"/>
      <c r="G228" s="1397"/>
      <c r="H228" s="1397"/>
      <c r="I228" s="1397"/>
      <c r="J228" s="1402"/>
      <c r="K228" s="957"/>
      <c r="L228" s="957"/>
      <c r="M228" s="957"/>
      <c r="N228" s="957"/>
      <c r="O228" s="957"/>
      <c r="P228" s="957"/>
      <c r="Q228" s="957"/>
    </row>
    <row r="229" spans="1:17">
      <c r="A229" s="1399">
        <v>70310</v>
      </c>
      <c r="B229" s="1400" t="s">
        <v>121</v>
      </c>
      <c r="C229" s="1397">
        <f>+VLOOKUP(A229,'Consolidated IS '!$A:$AG,32,FALSE)</f>
        <v>35.039999999999964</v>
      </c>
      <c r="D229" s="1397"/>
      <c r="E229" s="1397">
        <f>C229</f>
        <v>35.039999999999964</v>
      </c>
      <c r="F229" s="1397"/>
      <c r="G229" s="1397">
        <f t="shared" ref="G229" si="122">+SUM(E229:F229)</f>
        <v>35.039999999999964</v>
      </c>
      <c r="H229" s="1397"/>
      <c r="I229" s="1397"/>
      <c r="J229" s="1402" t="s">
        <v>348</v>
      </c>
      <c r="K229" s="958">
        <f t="shared" ref="K229" si="123">+G229-C229</f>
        <v>0</v>
      </c>
      <c r="L229" s="958">
        <f t="shared" ref="L229" si="124">+SUM(H229:I229)-F229</f>
        <v>0</v>
      </c>
      <c r="M229" s="957"/>
      <c r="N229" s="957"/>
      <c r="O229" s="957"/>
      <c r="P229" s="957"/>
      <c r="Q229" s="957"/>
    </row>
    <row r="230" spans="1:17" s="960" customFormat="1">
      <c r="A230" s="1399"/>
      <c r="B230" s="1400"/>
      <c r="C230" s="1397"/>
      <c r="D230" s="1397"/>
      <c r="E230" s="1397"/>
      <c r="F230" s="1397"/>
      <c r="G230" s="1397"/>
      <c r="H230" s="1397"/>
      <c r="I230" s="1397"/>
      <c r="J230" s="1402"/>
      <c r="K230" s="959"/>
      <c r="L230" s="959"/>
      <c r="M230" s="957"/>
      <c r="N230" s="959"/>
      <c r="O230" s="959"/>
      <c r="P230" s="959"/>
      <c r="Q230" s="959"/>
    </row>
    <row r="231" spans="1:17">
      <c r="A231" s="1407">
        <v>46700</v>
      </c>
      <c r="B231" s="1395" t="s">
        <v>122</v>
      </c>
      <c r="C231" s="1403">
        <f>SUM(C229:C230)</f>
        <v>35.039999999999964</v>
      </c>
      <c r="D231" s="1403"/>
      <c r="E231" s="1403">
        <f t="shared" ref="E231:I231" si="125">SUM(E229:E230)</f>
        <v>35.039999999999964</v>
      </c>
      <c r="F231" s="1403">
        <f t="shared" si="125"/>
        <v>0</v>
      </c>
      <c r="G231" s="1403">
        <f t="shared" si="125"/>
        <v>35.039999999999964</v>
      </c>
      <c r="H231" s="1403">
        <f t="shared" si="125"/>
        <v>0</v>
      </c>
      <c r="I231" s="1403">
        <f t="shared" si="125"/>
        <v>0</v>
      </c>
      <c r="J231" s="1402"/>
      <c r="K231" s="957"/>
      <c r="L231" s="957"/>
      <c r="M231" s="957"/>
      <c r="N231" s="957"/>
      <c r="O231" s="957"/>
      <c r="P231" s="957"/>
      <c r="Q231" s="957"/>
    </row>
    <row r="232" spans="1:17">
      <c r="A232" s="1399"/>
      <c r="B232" s="1400"/>
      <c r="C232" s="1397"/>
      <c r="D232" s="1397"/>
      <c r="E232" s="1397"/>
      <c r="F232" s="1397"/>
      <c r="G232" s="1397"/>
      <c r="H232" s="1397"/>
      <c r="I232" s="1397"/>
      <c r="J232" s="1402"/>
      <c r="K232" s="957"/>
      <c r="L232" s="957"/>
      <c r="M232" s="957"/>
      <c r="N232" s="957"/>
      <c r="O232" s="957"/>
      <c r="P232" s="957"/>
      <c r="Q232" s="957"/>
    </row>
    <row r="233" spans="1:17">
      <c r="A233" s="1399">
        <v>57252</v>
      </c>
      <c r="B233" s="1400" t="s">
        <v>123</v>
      </c>
      <c r="C233" s="1397">
        <f>+VLOOKUP(A233,'Consolidated IS '!$A:$AG,32,FALSE)</f>
        <v>0</v>
      </c>
      <c r="D233" s="1397"/>
      <c r="E233" s="1397">
        <v>0</v>
      </c>
      <c r="F233" s="1397">
        <v>0</v>
      </c>
      <c r="G233" s="1397">
        <f t="shared" ref="G233:G237" si="126">+SUM(E233:F233)</f>
        <v>0</v>
      </c>
      <c r="H233" s="1397">
        <v>0</v>
      </c>
      <c r="I233" s="1397">
        <v>0</v>
      </c>
      <c r="J233" s="1402" t="s">
        <v>348</v>
      </c>
      <c r="K233" s="957"/>
      <c r="L233" s="957"/>
      <c r="M233" s="957"/>
      <c r="N233" s="957"/>
      <c r="O233" s="957"/>
      <c r="P233" s="957"/>
      <c r="Q233" s="957"/>
    </row>
    <row r="234" spans="1:17">
      <c r="A234" s="1399">
        <v>70037</v>
      </c>
      <c r="B234" s="1400" t="s">
        <v>124</v>
      </c>
      <c r="C234" s="1397">
        <f>+VLOOKUP(A234,'Consolidated IS '!$A:$AG,32,FALSE)</f>
        <v>0</v>
      </c>
      <c r="D234" s="1397"/>
      <c r="E234" s="1397">
        <v>0</v>
      </c>
      <c r="F234" s="1397">
        <v>0</v>
      </c>
      <c r="G234" s="1397">
        <f t="shared" si="126"/>
        <v>0</v>
      </c>
      <c r="H234" s="1397">
        <v>0</v>
      </c>
      <c r="I234" s="1397">
        <v>0</v>
      </c>
      <c r="J234" s="1402" t="s">
        <v>348</v>
      </c>
      <c r="K234" s="958">
        <f t="shared" ref="K234:K255" si="127">+G234-C234</f>
        <v>0</v>
      </c>
      <c r="L234" s="958">
        <f t="shared" ref="L234:L255" si="128">+SUM(H234:I234)-F234</f>
        <v>0</v>
      </c>
      <c r="M234" s="957"/>
      <c r="N234" s="957"/>
      <c r="O234" s="957"/>
      <c r="P234" s="957"/>
      <c r="Q234" s="957"/>
    </row>
    <row r="235" spans="1:17">
      <c r="A235" s="1399">
        <v>70086</v>
      </c>
      <c r="B235" s="1400" t="s">
        <v>125</v>
      </c>
      <c r="C235" s="1397">
        <f>+VLOOKUP(A235,'Consolidated IS '!$A:$AG,32,FALSE)</f>
        <v>188.72</v>
      </c>
      <c r="D235" s="1397"/>
      <c r="E235" s="1397">
        <f>+$C235*'2184 Ratios'!D$15</f>
        <v>130.01969040899891</v>
      </c>
      <c r="F235" s="1397">
        <f>+$C235*'2184 Ratios'!E$15</f>
        <v>58.70030959100108</v>
      </c>
      <c r="G235" s="1397">
        <f t="shared" ref="G235:G236" si="129">+SUM(E235:F235)</f>
        <v>188.72</v>
      </c>
      <c r="H235" s="1397">
        <f>+$F235*'2184 Ratios'!G$40</f>
        <v>36.622753339034126</v>
      </c>
      <c r="I235" s="1397">
        <f>+$F235*'2184 Ratios'!H$40</f>
        <v>22.077556251966957</v>
      </c>
      <c r="J235" s="1402" t="s">
        <v>2513</v>
      </c>
      <c r="K235" s="958">
        <f t="shared" si="127"/>
        <v>0</v>
      </c>
      <c r="L235" s="958">
        <f t="shared" si="128"/>
        <v>0</v>
      </c>
      <c r="M235" s="957"/>
      <c r="N235" s="957"/>
      <c r="O235" s="957"/>
      <c r="P235" s="957"/>
      <c r="Q235" s="957"/>
    </row>
    <row r="236" spans="1:17">
      <c r="A236" s="1408">
        <v>70090</v>
      </c>
      <c r="B236" s="1400" t="s">
        <v>126</v>
      </c>
      <c r="C236" s="1397">
        <f>+VLOOKUP(A236,'Consolidated IS '!$A:$AG,32,FALSE)</f>
        <v>142.35999999999999</v>
      </c>
      <c r="D236" s="1397"/>
      <c r="E236" s="1397">
        <f>+$C236*'2184 Ratios'!D$15</f>
        <v>98.079711353460596</v>
      </c>
      <c r="F236" s="1397">
        <f>+$C236*'2184 Ratios'!E$15</f>
        <v>44.280288646539383</v>
      </c>
      <c r="G236" s="1397">
        <f t="shared" si="129"/>
        <v>142.35999999999999</v>
      </c>
      <c r="H236" s="1397">
        <f>+$F236*'2184 Ratios'!G$40</f>
        <v>27.626193118614331</v>
      </c>
      <c r="I236" s="1397">
        <f>+$F236*'2184 Ratios'!H$40</f>
        <v>16.654095527925051</v>
      </c>
      <c r="J236" s="1402" t="s">
        <v>2513</v>
      </c>
      <c r="K236" s="958">
        <f t="shared" si="127"/>
        <v>0</v>
      </c>
      <c r="L236" s="958">
        <f t="shared" si="128"/>
        <v>0</v>
      </c>
      <c r="M236" s="957"/>
      <c r="N236" s="957"/>
      <c r="O236" s="957"/>
      <c r="P236" s="957"/>
      <c r="Q236" s="957"/>
    </row>
    <row r="237" spans="1:17">
      <c r="A237" s="1408">
        <v>70095</v>
      </c>
      <c r="B237" s="1400" t="s">
        <v>61</v>
      </c>
      <c r="C237" s="1397">
        <f>+VLOOKUP(A237,'Consolidated IS '!$A:$AG,32,FALSE)</f>
        <v>8065.420000000001</v>
      </c>
      <c r="D237" s="1397"/>
      <c r="E237" s="1397">
        <f>+$C237*'2184 Ratios'!D$15</f>
        <v>5556.7158298990471</v>
      </c>
      <c r="F237" s="1397">
        <f>+$C237*'2184 Ratios'!E$15</f>
        <v>2508.7041701009534</v>
      </c>
      <c r="G237" s="1397">
        <f t="shared" si="126"/>
        <v>8065.42</v>
      </c>
      <c r="H237" s="1397">
        <f>+$F237*'2184 Ratios'!G$40</f>
        <v>1565.1647267682949</v>
      </c>
      <c r="I237" s="1397">
        <f>+$F237*'2184 Ratios'!H$40</f>
        <v>943.53944333265861</v>
      </c>
      <c r="J237" s="1402" t="s">
        <v>2513</v>
      </c>
      <c r="K237" s="958">
        <f t="shared" si="127"/>
        <v>0</v>
      </c>
      <c r="L237" s="958">
        <f t="shared" si="128"/>
        <v>0</v>
      </c>
      <c r="M237" s="957"/>
      <c r="N237" s="957"/>
      <c r="O237" s="957"/>
      <c r="P237" s="957"/>
      <c r="Q237" s="957"/>
    </row>
    <row r="238" spans="1:17">
      <c r="A238" s="1408">
        <v>70110</v>
      </c>
      <c r="B238" s="1400" t="s">
        <v>128</v>
      </c>
      <c r="C238" s="1397">
        <f>+VLOOKUP(A238,'Consolidated IS '!$A:$AG,32,FALSE)</f>
        <v>0</v>
      </c>
      <c r="D238" s="1397"/>
      <c r="E238" s="1397">
        <v>0</v>
      </c>
      <c r="F238" s="1397">
        <v>0</v>
      </c>
      <c r="G238" s="1397">
        <f t="shared" ref="G238:G240" si="130">+SUM(E238:F238)</f>
        <v>0</v>
      </c>
      <c r="H238" s="1397">
        <v>0</v>
      </c>
      <c r="I238" s="1397">
        <v>0</v>
      </c>
      <c r="J238" s="1402" t="s">
        <v>348</v>
      </c>
      <c r="K238" s="958">
        <f t="shared" si="127"/>
        <v>0</v>
      </c>
      <c r="L238" s="958">
        <f t="shared" si="128"/>
        <v>0</v>
      </c>
      <c r="M238" s="957"/>
      <c r="N238" s="957"/>
      <c r="O238" s="957"/>
      <c r="P238" s="957"/>
      <c r="Q238" s="957"/>
    </row>
    <row r="239" spans="1:17">
      <c r="A239" s="1408">
        <v>70112</v>
      </c>
      <c r="B239" s="1400" t="s">
        <v>129</v>
      </c>
      <c r="C239" s="1397">
        <f>+VLOOKUP(A239,'Consolidated IS '!$A:$AG,32,FALSE)</f>
        <v>0</v>
      </c>
      <c r="D239" s="1397"/>
      <c r="E239" s="1397">
        <v>0</v>
      </c>
      <c r="F239" s="1397">
        <v>0</v>
      </c>
      <c r="G239" s="1397">
        <f t="shared" si="130"/>
        <v>0</v>
      </c>
      <c r="H239" s="1397">
        <v>0</v>
      </c>
      <c r="I239" s="1397">
        <v>0</v>
      </c>
      <c r="J239" s="1402" t="s">
        <v>348</v>
      </c>
      <c r="K239" s="958">
        <f t="shared" si="127"/>
        <v>0</v>
      </c>
      <c r="L239" s="958">
        <f t="shared" si="128"/>
        <v>0</v>
      </c>
      <c r="M239" s="957"/>
      <c r="N239" s="957"/>
      <c r="O239" s="957"/>
      <c r="P239" s="957"/>
      <c r="Q239" s="957"/>
    </row>
    <row r="240" spans="1:17">
      <c r="A240" s="1399">
        <v>70148</v>
      </c>
      <c r="B240" s="1400" t="s">
        <v>130</v>
      </c>
      <c r="C240" s="1397">
        <f>+VLOOKUP(A240,'Consolidated IS '!$A:$AG,32,FALSE)</f>
        <v>1.74</v>
      </c>
      <c r="D240" s="1397"/>
      <c r="E240" s="1397">
        <f>+$C240*'2184 Ratios'!D$15</f>
        <v>1.1987826478998418</v>
      </c>
      <c r="F240" s="1397">
        <f>+$C240*'2184 Ratios'!E$15</f>
        <v>0.54121735210015831</v>
      </c>
      <c r="G240" s="1397">
        <f t="shared" si="130"/>
        <v>1.7400000000000002</v>
      </c>
      <c r="H240" s="1397">
        <f>+$F240*'2184 Ratios'!G$40</f>
        <v>0.33766209627977622</v>
      </c>
      <c r="I240" s="1397">
        <f>+$F240*'2184 Ratios'!H$40</f>
        <v>0.20355525582038206</v>
      </c>
      <c r="J240" s="1402" t="s">
        <v>2513</v>
      </c>
      <c r="K240" s="958">
        <f t="shared" si="127"/>
        <v>0</v>
      </c>
      <c r="L240" s="958">
        <f t="shared" si="128"/>
        <v>0</v>
      </c>
      <c r="M240" s="957"/>
      <c r="N240" s="957"/>
      <c r="O240" s="957"/>
      <c r="P240" s="957"/>
      <c r="Q240" s="957"/>
    </row>
    <row r="241" spans="1:17">
      <c r="A241" s="1399">
        <v>70175</v>
      </c>
      <c r="B241" s="1400" t="s">
        <v>131</v>
      </c>
      <c r="C241" s="1397">
        <f>+VLOOKUP(A241,'Consolidated IS '!$A:$AG,32,FALSE)</f>
        <v>0</v>
      </c>
      <c r="D241" s="1397"/>
      <c r="E241" s="1397">
        <v>0</v>
      </c>
      <c r="F241" s="1397">
        <v>0</v>
      </c>
      <c r="G241" s="1397">
        <f t="shared" ref="G241:G244" si="131">+SUM(E241:F241)</f>
        <v>0</v>
      </c>
      <c r="H241" s="1397">
        <v>0</v>
      </c>
      <c r="I241" s="1397">
        <v>0</v>
      </c>
      <c r="J241" s="1402" t="s">
        <v>348</v>
      </c>
      <c r="K241" s="958">
        <f t="shared" si="127"/>
        <v>0</v>
      </c>
      <c r="L241" s="958">
        <f t="shared" si="128"/>
        <v>0</v>
      </c>
      <c r="M241" s="957"/>
      <c r="N241" s="957"/>
      <c r="O241" s="957"/>
      <c r="P241" s="957"/>
      <c r="Q241" s="957"/>
    </row>
    <row r="242" spans="1:17">
      <c r="A242" s="1399">
        <v>70190</v>
      </c>
      <c r="B242" s="1400" t="s">
        <v>132</v>
      </c>
      <c r="C242" s="1397">
        <f>+VLOOKUP(A242,'Consolidated IS '!$A:$AG,32,FALSE)</f>
        <v>0</v>
      </c>
      <c r="D242" s="1397"/>
      <c r="E242" s="1397">
        <v>0</v>
      </c>
      <c r="F242" s="1397">
        <v>0</v>
      </c>
      <c r="G242" s="1397">
        <f t="shared" si="131"/>
        <v>0</v>
      </c>
      <c r="H242" s="1397">
        <v>0</v>
      </c>
      <c r="I242" s="1397">
        <v>0</v>
      </c>
      <c r="J242" s="1402" t="s">
        <v>348</v>
      </c>
      <c r="K242" s="958">
        <f t="shared" si="127"/>
        <v>0</v>
      </c>
      <c r="L242" s="958">
        <f t="shared" si="128"/>
        <v>0</v>
      </c>
      <c r="M242" s="957"/>
      <c r="N242" s="957"/>
      <c r="O242" s="957"/>
      <c r="P242" s="957"/>
      <c r="Q242" s="957"/>
    </row>
    <row r="243" spans="1:17">
      <c r="A243" s="1399">
        <v>70195</v>
      </c>
      <c r="B243" s="1400" t="s">
        <v>133</v>
      </c>
      <c r="C243" s="1397">
        <f>+VLOOKUP(A243,'Consolidated IS '!$A:$AG,32,FALSE)</f>
        <v>0</v>
      </c>
      <c r="D243" s="1397"/>
      <c r="E243" s="1397">
        <v>0</v>
      </c>
      <c r="F243" s="1397">
        <v>0</v>
      </c>
      <c r="G243" s="1397">
        <f t="shared" si="131"/>
        <v>0</v>
      </c>
      <c r="H243" s="1397">
        <v>0</v>
      </c>
      <c r="I243" s="1397">
        <v>0</v>
      </c>
      <c r="J243" s="1402" t="s">
        <v>348</v>
      </c>
      <c r="K243" s="958">
        <f t="shared" si="127"/>
        <v>0</v>
      </c>
      <c r="L243" s="958">
        <f t="shared" si="128"/>
        <v>0</v>
      </c>
      <c r="M243" s="957"/>
      <c r="N243" s="957"/>
      <c r="O243" s="957"/>
      <c r="P243" s="957"/>
      <c r="Q243" s="957"/>
    </row>
    <row r="244" spans="1:17">
      <c r="A244" s="1408">
        <v>70200</v>
      </c>
      <c r="B244" s="1400" t="s">
        <v>59</v>
      </c>
      <c r="C244" s="1397">
        <f>+VLOOKUP(A244,'Consolidated IS '!$A:$AG,32,FALSE)</f>
        <v>25</v>
      </c>
      <c r="D244" s="1397"/>
      <c r="E244" s="1397">
        <f>+$C244*'2184 Ratios'!D$15</f>
        <v>17.223888619250598</v>
      </c>
      <c r="F244" s="1397">
        <f>+$C244*'2184 Ratios'!E$15</f>
        <v>7.7761113807494011</v>
      </c>
      <c r="G244" s="1397">
        <f t="shared" si="131"/>
        <v>25</v>
      </c>
      <c r="H244" s="1397">
        <f>+$F244*'2184 Ratios'!G$40</f>
        <v>4.8514669005714977</v>
      </c>
      <c r="I244" s="1397">
        <f>+$F244*'2184 Ratios'!H$40</f>
        <v>2.9246444801779035</v>
      </c>
      <c r="J244" s="1402" t="s">
        <v>2513</v>
      </c>
      <c r="K244" s="958">
        <f t="shared" si="127"/>
        <v>0</v>
      </c>
      <c r="L244" s="958">
        <f t="shared" si="128"/>
        <v>0</v>
      </c>
      <c r="M244" s="957"/>
      <c r="N244" s="957"/>
      <c r="O244" s="957"/>
      <c r="P244" s="957"/>
      <c r="Q244" s="957"/>
    </row>
    <row r="245" spans="1:17">
      <c r="A245" s="1408">
        <v>70201</v>
      </c>
      <c r="B245" s="1400" t="s">
        <v>77</v>
      </c>
      <c r="C245" s="1397">
        <f>+VLOOKUP(A245,'Consolidated IS '!$A:$AG,32,FALSE)</f>
        <v>0</v>
      </c>
      <c r="D245" s="1397"/>
      <c r="E245" s="1397">
        <v>0</v>
      </c>
      <c r="F245" s="1397">
        <v>0</v>
      </c>
      <c r="G245" s="1397">
        <f t="shared" ref="G245:G246" si="132">+SUM(E245:F245)</f>
        <v>0</v>
      </c>
      <c r="H245" s="1397">
        <v>0</v>
      </c>
      <c r="I245" s="1397">
        <v>0</v>
      </c>
      <c r="J245" s="1402" t="s">
        <v>348</v>
      </c>
      <c r="K245" s="958">
        <f t="shared" si="127"/>
        <v>0</v>
      </c>
      <c r="L245" s="958">
        <f t="shared" si="128"/>
        <v>0</v>
      </c>
      <c r="M245" s="957"/>
      <c r="N245" s="957"/>
      <c r="O245" s="957"/>
      <c r="P245" s="957"/>
      <c r="Q245" s="957"/>
    </row>
    <row r="246" spans="1:17">
      <c r="A246" s="1408">
        <v>70202</v>
      </c>
      <c r="B246" s="1400" t="s">
        <v>135</v>
      </c>
      <c r="C246" s="1397">
        <f>+VLOOKUP(A246,'Consolidated IS '!$A:$AG,32,FALSE)</f>
        <v>669.69999999999993</v>
      </c>
      <c r="D246" s="1397"/>
      <c r="E246" s="1397">
        <f>+$C246*'2184 Ratios'!D$15</f>
        <v>461.393528332485</v>
      </c>
      <c r="F246" s="1397">
        <f>+$C246*'2184 Ratios'!E$15</f>
        <v>208.30647166751493</v>
      </c>
      <c r="G246" s="1397">
        <f t="shared" si="132"/>
        <v>669.69999999999993</v>
      </c>
      <c r="H246" s="1397">
        <f>+$F246*'2184 Ratios'!G$40</f>
        <v>129.96109533250927</v>
      </c>
      <c r="I246" s="1397">
        <f>+$F246*'2184 Ratios'!H$40</f>
        <v>78.345376335005668</v>
      </c>
      <c r="J246" s="1402" t="s">
        <v>2513</v>
      </c>
      <c r="K246" s="958">
        <f t="shared" si="127"/>
        <v>0</v>
      </c>
      <c r="L246" s="958">
        <f t="shared" si="128"/>
        <v>0</v>
      </c>
      <c r="M246" s="957"/>
      <c r="N246" s="957"/>
      <c r="O246" s="957"/>
      <c r="P246" s="957"/>
      <c r="Q246" s="957"/>
    </row>
    <row r="247" spans="1:17">
      <c r="A247" s="1408">
        <v>70203</v>
      </c>
      <c r="B247" s="1400" t="s">
        <v>136</v>
      </c>
      <c r="C247" s="1397">
        <f>+VLOOKUP(A247,'Consolidated IS '!$A:$AG,32,FALSE)</f>
        <v>0</v>
      </c>
      <c r="D247" s="1397"/>
      <c r="E247" s="1397">
        <v>0</v>
      </c>
      <c r="F247" s="1397">
        <v>0</v>
      </c>
      <c r="G247" s="1397">
        <f t="shared" ref="G247:G248" si="133">+SUM(E247:F247)</f>
        <v>0</v>
      </c>
      <c r="H247" s="1397">
        <v>0</v>
      </c>
      <c r="I247" s="1397">
        <v>0</v>
      </c>
      <c r="J247" s="1402" t="s">
        <v>348</v>
      </c>
      <c r="K247" s="958">
        <f t="shared" si="127"/>
        <v>0</v>
      </c>
      <c r="L247" s="958">
        <f t="shared" si="128"/>
        <v>0</v>
      </c>
      <c r="M247" s="957"/>
      <c r="N247" s="957"/>
      <c r="O247" s="957"/>
      <c r="P247" s="957"/>
      <c r="Q247" s="957"/>
    </row>
    <row r="248" spans="1:17">
      <c r="A248" s="1408">
        <v>70205</v>
      </c>
      <c r="B248" s="1400" t="s">
        <v>137</v>
      </c>
      <c r="C248" s="1397">
        <f>+VLOOKUP(A248,'Consolidated IS '!$A:$AG,32,FALSE)</f>
        <v>4.3600000000000003</v>
      </c>
      <c r="D248" s="1397"/>
      <c r="E248" s="1397">
        <f>+$C248*'2184 Ratios'!D$15</f>
        <v>3.0038461751973049</v>
      </c>
      <c r="F248" s="1397">
        <f>+$C248*'2184 Ratios'!E$15</f>
        <v>1.3561538248026956</v>
      </c>
      <c r="G248" s="1397">
        <f t="shared" si="133"/>
        <v>4.3600000000000003</v>
      </c>
      <c r="H248" s="1397">
        <f>+$F248*'2184 Ratios'!G$40</f>
        <v>0.84609582745966927</v>
      </c>
      <c r="I248" s="1397">
        <f>+$F248*'2184 Ratios'!H$40</f>
        <v>0.51005799734302637</v>
      </c>
      <c r="J248" s="1402" t="s">
        <v>2513</v>
      </c>
      <c r="K248" s="958">
        <f t="shared" si="127"/>
        <v>0</v>
      </c>
      <c r="L248" s="958">
        <f t="shared" si="128"/>
        <v>0</v>
      </c>
      <c r="M248" s="957"/>
      <c r="N248" s="957"/>
      <c r="O248" s="957"/>
      <c r="P248" s="957"/>
      <c r="Q248" s="957"/>
    </row>
    <row r="249" spans="1:17">
      <c r="A249" s="1408">
        <v>70206</v>
      </c>
      <c r="B249" s="1400" t="s">
        <v>138</v>
      </c>
      <c r="C249" s="1397">
        <f>+VLOOKUP(A249,'Consolidated IS '!$A:$AG,32,FALSE)</f>
        <v>0</v>
      </c>
      <c r="D249" s="1397"/>
      <c r="E249" s="1397">
        <v>0</v>
      </c>
      <c r="F249" s="1397">
        <v>0</v>
      </c>
      <c r="G249" s="1397">
        <f t="shared" ref="G249:G253" si="134">+SUM(E249:F249)</f>
        <v>0</v>
      </c>
      <c r="H249" s="1397">
        <v>0</v>
      </c>
      <c r="I249" s="1397">
        <v>0</v>
      </c>
      <c r="J249" s="1402" t="s">
        <v>348</v>
      </c>
      <c r="K249" s="958">
        <f t="shared" si="127"/>
        <v>0</v>
      </c>
      <c r="L249" s="958">
        <f t="shared" si="128"/>
        <v>0</v>
      </c>
      <c r="M249" s="957"/>
      <c r="N249" s="957"/>
      <c r="O249" s="957"/>
      <c r="P249" s="957"/>
      <c r="Q249" s="957"/>
    </row>
    <row r="250" spans="1:17">
      <c r="A250" s="1408">
        <v>70231</v>
      </c>
      <c r="B250" s="1400" t="s">
        <v>141</v>
      </c>
      <c r="C250" s="1397">
        <f>+VLOOKUP(A250,'Consolidated IS '!$A:$AG,32,FALSE)</f>
        <v>0</v>
      </c>
      <c r="D250" s="1397"/>
      <c r="E250" s="1397">
        <v>0</v>
      </c>
      <c r="F250" s="1397">
        <v>0</v>
      </c>
      <c r="G250" s="1397">
        <f t="shared" si="134"/>
        <v>0</v>
      </c>
      <c r="H250" s="1397">
        <v>0</v>
      </c>
      <c r="I250" s="1397">
        <v>0</v>
      </c>
      <c r="J250" s="1402" t="s">
        <v>348</v>
      </c>
      <c r="K250" s="958">
        <f t="shared" si="127"/>
        <v>0</v>
      </c>
      <c r="L250" s="958">
        <f t="shared" si="128"/>
        <v>0</v>
      </c>
      <c r="M250" s="957"/>
      <c r="N250" s="957"/>
      <c r="O250" s="957"/>
      <c r="P250" s="957"/>
      <c r="Q250" s="957"/>
    </row>
    <row r="251" spans="1:17">
      <c r="A251" s="1408">
        <v>70255</v>
      </c>
      <c r="B251" s="1400" t="s">
        <v>143</v>
      </c>
      <c r="C251" s="1397">
        <f>+VLOOKUP(A251,'Consolidated IS '!$A:$AG,32,FALSE)</f>
        <v>0.01</v>
      </c>
      <c r="D251" s="1397"/>
      <c r="E251" s="1397">
        <v>0</v>
      </c>
      <c r="F251" s="1397">
        <v>0</v>
      </c>
      <c r="G251" s="1397">
        <f t="shared" si="134"/>
        <v>0</v>
      </c>
      <c r="H251" s="1397">
        <v>0</v>
      </c>
      <c r="I251" s="1397">
        <v>0</v>
      </c>
      <c r="J251" s="1402" t="s">
        <v>348</v>
      </c>
      <c r="K251" s="958">
        <f t="shared" si="127"/>
        <v>-0.01</v>
      </c>
      <c r="L251" s="958">
        <f t="shared" si="128"/>
        <v>0</v>
      </c>
      <c r="M251" s="957"/>
      <c r="N251" s="957"/>
      <c r="O251" s="957"/>
      <c r="P251" s="957"/>
      <c r="Q251" s="957"/>
    </row>
    <row r="252" spans="1:17">
      <c r="A252" s="1408">
        <v>70330</v>
      </c>
      <c r="B252" s="1400" t="s">
        <v>1908</v>
      </c>
      <c r="C252" s="1397">
        <f>+VLOOKUP(A252,'Consolidated IS '!$A:$AG,32,FALSE)</f>
        <v>2230.9700000000003</v>
      </c>
      <c r="D252" s="1397"/>
      <c r="E252" s="1397">
        <f>+$C252*'2184 Ratios'!D$15</f>
        <v>1537.0391517155806</v>
      </c>
      <c r="F252" s="1397">
        <f>+$C252*'2184 Ratios'!E$15</f>
        <v>693.93084828441977</v>
      </c>
      <c r="G252" s="1397">
        <f t="shared" si="134"/>
        <v>2230.9700000000003</v>
      </c>
      <c r="H252" s="1397">
        <f>+$F252*'2184 Ratios'!G$40</f>
        <v>432.93908444671985</v>
      </c>
      <c r="I252" s="1397">
        <f>+$F252*'2184 Ratios'!H$40</f>
        <v>260.99176383769992</v>
      </c>
      <c r="J252" s="1402" t="s">
        <v>2513</v>
      </c>
      <c r="K252" s="958">
        <f t="shared" si="127"/>
        <v>0</v>
      </c>
      <c r="L252" s="958">
        <f t="shared" si="128"/>
        <v>0</v>
      </c>
      <c r="M252" s="957"/>
      <c r="N252" s="957"/>
      <c r="O252" s="957"/>
      <c r="P252" s="957"/>
      <c r="Q252" s="957"/>
    </row>
    <row r="253" spans="1:17">
      <c r="A253" s="1408">
        <v>70335</v>
      </c>
      <c r="B253" s="1400" t="s">
        <v>43</v>
      </c>
      <c r="C253" s="1397">
        <f>+VLOOKUP(A253,'Consolidated IS '!$A:$AG,32,FALSE)</f>
        <v>0.62</v>
      </c>
      <c r="D253" s="1397"/>
      <c r="E253" s="1397">
        <f>+$C253*'2184 Ratios'!D$15</f>
        <v>0.42715243775741485</v>
      </c>
      <c r="F253" s="1397">
        <f>+$C253*'2184 Ratios'!E$15</f>
        <v>0.19284756224258515</v>
      </c>
      <c r="G253" s="1397">
        <f t="shared" si="134"/>
        <v>0.62</v>
      </c>
      <c r="H253" s="1397">
        <f>+$F253*'2184 Ratios'!G$40</f>
        <v>0.12031637913417315</v>
      </c>
      <c r="I253" s="1397">
        <f>+$F253*'2184 Ratios'!H$40</f>
        <v>7.2531183108412001E-2</v>
      </c>
      <c r="J253" s="1402" t="s">
        <v>2513</v>
      </c>
      <c r="K253" s="958">
        <f t="shared" si="127"/>
        <v>0</v>
      </c>
      <c r="L253" s="958">
        <f t="shared" si="128"/>
        <v>0</v>
      </c>
      <c r="M253" s="957"/>
      <c r="N253" s="957"/>
      <c r="O253" s="957"/>
      <c r="P253" s="957"/>
      <c r="Q253" s="957"/>
    </row>
    <row r="254" spans="1:17">
      <c r="A254" s="1408">
        <v>70336</v>
      </c>
      <c r="B254" s="1400" t="s">
        <v>145</v>
      </c>
      <c r="C254" s="1397">
        <f>+VLOOKUP(A254,'Consolidated IS '!$A:$AG,32,FALSE)</f>
        <v>0</v>
      </c>
      <c r="D254" s="1397"/>
      <c r="E254" s="1397">
        <v>0</v>
      </c>
      <c r="F254" s="1397">
        <v>0</v>
      </c>
      <c r="G254" s="1397">
        <f t="shared" ref="G254:G255" si="135">+SUM(E254:F254)</f>
        <v>0</v>
      </c>
      <c r="H254" s="1397">
        <v>0</v>
      </c>
      <c r="I254" s="1397">
        <v>0</v>
      </c>
      <c r="J254" s="1402" t="s">
        <v>348</v>
      </c>
      <c r="K254" s="958">
        <f t="shared" si="127"/>
        <v>0</v>
      </c>
      <c r="L254" s="958">
        <f t="shared" si="128"/>
        <v>0</v>
      </c>
      <c r="M254" s="957"/>
      <c r="N254" s="957"/>
      <c r="O254" s="957"/>
      <c r="P254" s="957"/>
      <c r="Q254" s="957"/>
    </row>
    <row r="255" spans="1:17">
      <c r="A255" s="1408">
        <v>70357</v>
      </c>
      <c r="B255" s="1400" t="s">
        <v>146</v>
      </c>
      <c r="C255" s="1397">
        <f>+VLOOKUP(A255,'Consolidated IS '!$A:$AG,32,FALSE)</f>
        <v>0</v>
      </c>
      <c r="D255" s="1397"/>
      <c r="E255" s="1397">
        <v>0</v>
      </c>
      <c r="F255" s="1397">
        <v>0</v>
      </c>
      <c r="G255" s="1397">
        <f t="shared" si="135"/>
        <v>0</v>
      </c>
      <c r="H255" s="1397">
        <v>0</v>
      </c>
      <c r="I255" s="1397">
        <v>0</v>
      </c>
      <c r="J255" s="1402" t="s">
        <v>348</v>
      </c>
      <c r="K255" s="958">
        <f t="shared" si="127"/>
        <v>0</v>
      </c>
      <c r="L255" s="958">
        <f t="shared" si="128"/>
        <v>0</v>
      </c>
      <c r="M255" s="957"/>
      <c r="N255" s="957"/>
      <c r="O255" s="957"/>
      <c r="P255" s="957"/>
      <c r="Q255" s="957"/>
    </row>
    <row r="256" spans="1:17" s="960" customFormat="1">
      <c r="A256" s="1408"/>
      <c r="B256" s="1400"/>
      <c r="C256" s="1397"/>
      <c r="D256" s="1397"/>
      <c r="E256" s="1397"/>
      <c r="F256" s="1397"/>
      <c r="G256" s="1397"/>
      <c r="H256" s="1397"/>
      <c r="I256" s="1397"/>
      <c r="J256" s="1402"/>
      <c r="K256" s="959"/>
      <c r="L256" s="959"/>
      <c r="M256" s="957"/>
      <c r="N256" s="959"/>
      <c r="O256" s="959"/>
      <c r="P256" s="959"/>
      <c r="Q256" s="959"/>
    </row>
    <row r="257" spans="1:17">
      <c r="A257" s="1407">
        <v>46900</v>
      </c>
      <c r="B257" s="1395" t="s">
        <v>148</v>
      </c>
      <c r="C257" s="1403">
        <f>SUM(C233:C256)</f>
        <v>11328.900000000003</v>
      </c>
      <c r="D257" s="1403"/>
      <c r="E257" s="1403">
        <f>SUM(E233:E256)</f>
        <v>7805.1015815896781</v>
      </c>
      <c r="F257" s="1403">
        <f>SUM(F233:F256)</f>
        <v>3523.7884184103241</v>
      </c>
      <c r="G257" s="1403">
        <f>SUM(G233:G256)</f>
        <v>11328.890000000001</v>
      </c>
      <c r="H257" s="1403">
        <f>SUM(H233:H256)</f>
        <v>2198.4693942086178</v>
      </c>
      <c r="I257" s="1403">
        <f>SUM(I233:I256)</f>
        <v>1325.3190242017058</v>
      </c>
      <c r="J257" s="1402"/>
      <c r="K257" s="957"/>
      <c r="L257" s="957"/>
      <c r="M257" s="957"/>
      <c r="N257" s="957"/>
      <c r="O257" s="957"/>
      <c r="P257" s="957"/>
      <c r="Q257" s="957"/>
    </row>
    <row r="258" spans="1:17">
      <c r="A258" s="1399"/>
      <c r="B258" s="1400"/>
      <c r="C258" s="1397"/>
      <c r="D258" s="1397"/>
      <c r="E258" s="1397"/>
      <c r="F258" s="1397"/>
      <c r="G258" s="1397"/>
      <c r="H258" s="1397"/>
      <c r="I258" s="1397"/>
      <c r="J258" s="1402"/>
      <c r="K258" s="957"/>
      <c r="L258" s="957"/>
      <c r="M258" s="957"/>
      <c r="N258" s="957"/>
      <c r="O258" s="957"/>
      <c r="P258" s="957"/>
      <c r="Q258" s="957"/>
    </row>
    <row r="259" spans="1:17">
      <c r="A259" s="1399">
        <v>51260</v>
      </c>
      <c r="B259" s="1400" t="s">
        <v>149</v>
      </c>
      <c r="C259" s="1397">
        <f>+VLOOKUP(A259,'Consolidated IS '!$A:$AG,32,FALSE)</f>
        <v>112376.77000000002</v>
      </c>
      <c r="D259" s="1397"/>
      <c r="E259" s="1397">
        <f>+C259-F259</f>
        <v>20003.096333333349</v>
      </c>
      <c r="F259" s="1397">
        <f>+'2184 Ratios'!E23</f>
        <v>92373.673666666669</v>
      </c>
      <c r="G259" s="1397">
        <f t="shared" ref="G259:G262" si="136">+SUM(E259:F259)</f>
        <v>112376.77000000002</v>
      </c>
      <c r="H259" s="1397">
        <f>+$F259*'2184 Ratios'!G$40</f>
        <v>57631.353042018454</v>
      </c>
      <c r="I259" s="1397">
        <f>+$F259*'2184 Ratios'!H$40</f>
        <v>34742.320624648215</v>
      </c>
      <c r="J259" s="1402" t="s">
        <v>2513</v>
      </c>
      <c r="K259" s="958">
        <f t="shared" ref="K259:K267" si="137">+G259-C259</f>
        <v>0</v>
      </c>
      <c r="L259" s="958">
        <f t="shared" ref="L259:L267" si="138">+SUM(H259:I259)-F259</f>
        <v>0</v>
      </c>
      <c r="M259" s="957"/>
      <c r="N259" s="957"/>
      <c r="O259" s="957"/>
      <c r="P259" s="957"/>
      <c r="Q259" s="957"/>
    </row>
    <row r="260" spans="1:17">
      <c r="A260" s="1399">
        <v>54260</v>
      </c>
      <c r="B260" s="1400" t="s">
        <v>150</v>
      </c>
      <c r="C260" s="1397">
        <f>+VLOOKUP(A260,'Consolidated IS '!$A:$AG,32,FALSE)</f>
        <v>0</v>
      </c>
      <c r="D260" s="1397"/>
      <c r="E260" s="1397">
        <v>0</v>
      </c>
      <c r="F260" s="1397">
        <v>0</v>
      </c>
      <c r="G260" s="1397">
        <f t="shared" si="136"/>
        <v>0</v>
      </c>
      <c r="H260" s="1397">
        <v>0</v>
      </c>
      <c r="I260" s="1397">
        <v>0</v>
      </c>
      <c r="J260" s="1402" t="s">
        <v>348</v>
      </c>
      <c r="K260" s="958">
        <f t="shared" si="137"/>
        <v>0</v>
      </c>
      <c r="L260" s="958">
        <f t="shared" si="138"/>
        <v>0</v>
      </c>
      <c r="M260" s="957"/>
      <c r="N260" s="957"/>
      <c r="O260" s="957"/>
      <c r="P260" s="957"/>
      <c r="Q260" s="957"/>
    </row>
    <row r="261" spans="1:17">
      <c r="A261" s="1399"/>
      <c r="B261" s="1400" t="s">
        <v>151</v>
      </c>
      <c r="C261" s="1397">
        <f>+'Consolidated IS '!AF297</f>
        <v>0</v>
      </c>
      <c r="D261" s="1397"/>
      <c r="E261" s="1397">
        <v>0</v>
      </c>
      <c r="F261" s="1397">
        <v>0</v>
      </c>
      <c r="G261" s="1397">
        <f t="shared" si="136"/>
        <v>0</v>
      </c>
      <c r="H261" s="1397">
        <v>0</v>
      </c>
      <c r="I261" s="1397">
        <v>0</v>
      </c>
      <c r="J261" s="1402" t="s">
        <v>348</v>
      </c>
      <c r="K261" s="958">
        <f t="shared" si="137"/>
        <v>0</v>
      </c>
      <c r="L261" s="958">
        <f t="shared" si="138"/>
        <v>0</v>
      </c>
      <c r="M261" s="957"/>
      <c r="N261" s="957"/>
      <c r="O261" s="957"/>
      <c r="P261" s="957"/>
      <c r="Q261" s="957"/>
    </row>
    <row r="262" spans="1:17">
      <c r="A262" s="1399">
        <v>57260</v>
      </c>
      <c r="B262" s="1400" t="s">
        <v>152</v>
      </c>
      <c r="C262" s="1397">
        <f>+VLOOKUP(A262,'Consolidated IS '!$A:$AG,32,FALSE)</f>
        <v>0</v>
      </c>
      <c r="D262" s="1397"/>
      <c r="E262" s="1397">
        <v>0</v>
      </c>
      <c r="F262" s="1397">
        <v>0</v>
      </c>
      <c r="G262" s="1397">
        <f t="shared" si="136"/>
        <v>0</v>
      </c>
      <c r="H262" s="1397">
        <v>0</v>
      </c>
      <c r="I262" s="1397">
        <v>0</v>
      </c>
      <c r="J262" s="1402" t="s">
        <v>348</v>
      </c>
      <c r="K262" s="958">
        <f t="shared" si="137"/>
        <v>0</v>
      </c>
      <c r="L262" s="958">
        <f t="shared" si="138"/>
        <v>0</v>
      </c>
      <c r="M262" s="957"/>
      <c r="N262" s="957"/>
      <c r="O262" s="957"/>
      <c r="P262" s="957"/>
      <c r="Q262" s="957"/>
    </row>
    <row r="263" spans="1:17">
      <c r="A263" s="1399">
        <v>70260</v>
      </c>
      <c r="B263" s="1400" t="s">
        <v>153</v>
      </c>
      <c r="C263" s="1397">
        <f>+VLOOKUP(A263,'Consolidated IS '!$A:$AG,32,FALSE)</f>
        <v>11966.189999999999</v>
      </c>
      <c r="D263" s="1397"/>
      <c r="E263" s="1397">
        <f>+C263</f>
        <v>11966.189999999999</v>
      </c>
      <c r="F263" s="1397">
        <v>0</v>
      </c>
      <c r="G263" s="1397">
        <f t="shared" ref="G263:G267" si="139">+SUM(E263:F263)</f>
        <v>11966.189999999999</v>
      </c>
      <c r="H263" s="1397">
        <v>0</v>
      </c>
      <c r="I263" s="1397">
        <v>0</v>
      </c>
      <c r="J263" s="1402" t="s">
        <v>348</v>
      </c>
      <c r="K263" s="958">
        <f t="shared" si="137"/>
        <v>0</v>
      </c>
      <c r="L263" s="958">
        <f t="shared" si="138"/>
        <v>0</v>
      </c>
      <c r="M263" s="957"/>
      <c r="N263" s="957"/>
      <c r="O263" s="957"/>
      <c r="P263" s="957"/>
      <c r="Q263" s="957"/>
    </row>
    <row r="264" spans="1:17">
      <c r="A264" s="1399"/>
      <c r="B264" s="1400" t="s">
        <v>154</v>
      </c>
      <c r="C264" s="1397">
        <f>+'Consolidated IS '!AF301</f>
        <v>0</v>
      </c>
      <c r="D264" s="1397"/>
      <c r="E264" s="1397">
        <v>0</v>
      </c>
      <c r="F264" s="1397">
        <v>0</v>
      </c>
      <c r="G264" s="1397">
        <f t="shared" si="139"/>
        <v>0</v>
      </c>
      <c r="H264" s="1397">
        <v>0</v>
      </c>
      <c r="I264" s="1397">
        <v>0</v>
      </c>
      <c r="J264" s="1402" t="s">
        <v>348</v>
      </c>
      <c r="K264" s="958">
        <f t="shared" si="137"/>
        <v>0</v>
      </c>
      <c r="L264" s="958">
        <f t="shared" si="138"/>
        <v>0</v>
      </c>
      <c r="M264" s="957"/>
      <c r="N264" s="957"/>
      <c r="O264" s="957"/>
      <c r="P264" s="957"/>
      <c r="Q264" s="957"/>
    </row>
    <row r="265" spans="1:17">
      <c r="A265" s="1399"/>
      <c r="B265" s="1400" t="s">
        <v>155</v>
      </c>
      <c r="C265" s="1397">
        <f>+'Consolidated IS '!AF302</f>
        <v>0</v>
      </c>
      <c r="D265" s="1397"/>
      <c r="E265" s="1397">
        <v>0</v>
      </c>
      <c r="F265" s="1397">
        <v>0</v>
      </c>
      <c r="G265" s="1397">
        <f t="shared" si="139"/>
        <v>0</v>
      </c>
      <c r="H265" s="1397">
        <v>0</v>
      </c>
      <c r="I265" s="1397">
        <v>0</v>
      </c>
      <c r="J265" s="1402" t="s">
        <v>348</v>
      </c>
      <c r="K265" s="958">
        <f t="shared" si="137"/>
        <v>0</v>
      </c>
      <c r="L265" s="958">
        <f t="shared" si="138"/>
        <v>0</v>
      </c>
      <c r="M265" s="957"/>
      <c r="N265" s="957"/>
      <c r="O265" s="957"/>
      <c r="P265" s="957"/>
      <c r="Q265" s="957"/>
    </row>
    <row r="266" spans="1:17">
      <c r="A266" s="1399">
        <v>70264</v>
      </c>
      <c r="B266" s="1400" t="s">
        <v>156</v>
      </c>
      <c r="C266" s="1397">
        <f>+VLOOKUP(A266,'Consolidated IS '!$A:$AG,32,FALSE)</f>
        <v>0</v>
      </c>
      <c r="D266" s="1397"/>
      <c r="E266" s="1397">
        <v>0</v>
      </c>
      <c r="F266" s="1397">
        <v>0</v>
      </c>
      <c r="G266" s="1397">
        <f t="shared" si="139"/>
        <v>0</v>
      </c>
      <c r="H266" s="1397">
        <v>0</v>
      </c>
      <c r="I266" s="1397">
        <v>0</v>
      </c>
      <c r="J266" s="1402" t="s">
        <v>348</v>
      </c>
      <c r="K266" s="958">
        <f t="shared" si="137"/>
        <v>0</v>
      </c>
      <c r="L266" s="958">
        <f t="shared" si="138"/>
        <v>0</v>
      </c>
      <c r="M266" s="957"/>
      <c r="N266" s="957"/>
      <c r="O266" s="957"/>
      <c r="P266" s="957"/>
      <c r="Q266" s="957"/>
    </row>
    <row r="267" spans="1:17">
      <c r="A267" s="1399">
        <v>91010</v>
      </c>
      <c r="B267" s="1400" t="s">
        <v>157</v>
      </c>
      <c r="C267" s="1397">
        <f>+VLOOKUP(A267,'Consolidated IS '!$A:$AG,32,FALSE)</f>
        <v>0</v>
      </c>
      <c r="D267" s="1397"/>
      <c r="E267" s="1397">
        <v>0</v>
      </c>
      <c r="F267" s="1397">
        <v>0</v>
      </c>
      <c r="G267" s="1397">
        <f t="shared" si="139"/>
        <v>0</v>
      </c>
      <c r="H267" s="1397">
        <v>0</v>
      </c>
      <c r="I267" s="1397">
        <v>0</v>
      </c>
      <c r="J267" s="1402" t="s">
        <v>348</v>
      </c>
      <c r="K267" s="958">
        <f t="shared" si="137"/>
        <v>0</v>
      </c>
      <c r="L267" s="958">
        <f t="shared" si="138"/>
        <v>0</v>
      </c>
      <c r="M267" s="957"/>
      <c r="N267" s="957"/>
      <c r="O267" s="957"/>
      <c r="P267" s="957"/>
      <c r="Q267" s="957"/>
    </row>
    <row r="268" spans="1:17" s="960" customFormat="1">
      <c r="A268" s="1399"/>
      <c r="B268" s="1400"/>
      <c r="C268" s="1397"/>
      <c r="D268" s="1397"/>
      <c r="E268" s="1397"/>
      <c r="F268" s="1397"/>
      <c r="G268" s="1397"/>
      <c r="H268" s="1397"/>
      <c r="I268" s="1397"/>
      <c r="J268" s="1402"/>
      <c r="K268" s="959"/>
      <c r="L268" s="959"/>
      <c r="M268" s="957"/>
      <c r="N268" s="959"/>
      <c r="O268" s="959"/>
      <c r="P268" s="959"/>
      <c r="Q268" s="959"/>
    </row>
    <row r="269" spans="1:17">
      <c r="A269" s="1407"/>
      <c r="B269" s="1395" t="s">
        <v>13</v>
      </c>
      <c r="C269" s="1403">
        <f>SUM(C259:C268)</f>
        <v>124342.96000000002</v>
      </c>
      <c r="D269" s="1403"/>
      <c r="E269" s="1403">
        <f t="shared" ref="E269:I269" si="140">SUM(E259:E268)</f>
        <v>31969.286333333348</v>
      </c>
      <c r="F269" s="1403">
        <f t="shared" si="140"/>
        <v>92373.673666666669</v>
      </c>
      <c r="G269" s="1403">
        <f t="shared" si="140"/>
        <v>124342.96000000002</v>
      </c>
      <c r="H269" s="1403">
        <f t="shared" si="140"/>
        <v>57631.353042018454</v>
      </c>
      <c r="I269" s="1403">
        <f t="shared" si="140"/>
        <v>34742.320624648215</v>
      </c>
      <c r="J269" s="1402"/>
      <c r="K269" s="957"/>
      <c r="L269" s="957"/>
      <c r="M269" s="957"/>
      <c r="N269" s="957"/>
      <c r="O269" s="957"/>
      <c r="P269" s="957"/>
      <c r="Q269" s="957"/>
    </row>
    <row r="270" spans="1:17">
      <c r="A270" s="1399"/>
      <c r="B270" s="1400"/>
      <c r="C270" s="1397"/>
      <c r="D270" s="1397"/>
      <c r="E270" s="1397"/>
      <c r="F270" s="1397"/>
      <c r="G270" s="1397"/>
      <c r="H270" s="1397"/>
      <c r="I270" s="1397"/>
      <c r="J270" s="1402"/>
      <c r="K270" s="958">
        <f t="shared" ref="K270:K272" si="141">+G270-C270</f>
        <v>0</v>
      </c>
      <c r="L270" s="958">
        <f t="shared" ref="L270:L272" si="142">+SUM(H270:I270)-F270</f>
        <v>0</v>
      </c>
      <c r="M270" s="957"/>
      <c r="N270" s="957"/>
      <c r="O270" s="957"/>
      <c r="P270" s="957"/>
      <c r="Q270" s="957"/>
    </row>
    <row r="271" spans="1:17">
      <c r="A271" s="1399">
        <v>41201</v>
      </c>
      <c r="B271" s="1400" t="s">
        <v>158</v>
      </c>
      <c r="C271" s="1397">
        <f>+VLOOKUP(A271,'Consolidated IS '!$A:$AG,32,FALSE)</f>
        <v>0</v>
      </c>
      <c r="D271" s="1397"/>
      <c r="E271" s="1397">
        <v>0</v>
      </c>
      <c r="F271" s="1397">
        <v>0</v>
      </c>
      <c r="G271" s="1397">
        <f t="shared" ref="G271:G272" si="143">+SUM(E271:F271)</f>
        <v>0</v>
      </c>
      <c r="H271" s="1397">
        <v>0</v>
      </c>
      <c r="I271" s="1397">
        <v>0</v>
      </c>
      <c r="J271" s="1402" t="s">
        <v>348</v>
      </c>
      <c r="K271" s="958">
        <f t="shared" si="141"/>
        <v>0</v>
      </c>
      <c r="L271" s="958">
        <f t="shared" si="142"/>
        <v>0</v>
      </c>
      <c r="M271" s="957"/>
      <c r="N271" s="957"/>
      <c r="O271" s="957"/>
      <c r="P271" s="957"/>
      <c r="Q271" s="957"/>
    </row>
    <row r="272" spans="1:17">
      <c r="A272" s="1399">
        <v>57280</v>
      </c>
      <c r="B272" s="1400" t="s">
        <v>159</v>
      </c>
      <c r="C272" s="1397">
        <f>+VLOOKUP(A272,'Consolidated IS '!$A:$AG,32,FALSE)</f>
        <v>0</v>
      </c>
      <c r="D272" s="1397"/>
      <c r="E272" s="1397">
        <v>0</v>
      </c>
      <c r="F272" s="1397">
        <v>0</v>
      </c>
      <c r="G272" s="1397">
        <f t="shared" si="143"/>
        <v>0</v>
      </c>
      <c r="H272" s="1397">
        <v>0</v>
      </c>
      <c r="I272" s="1397">
        <v>0</v>
      </c>
      <c r="J272" s="1402" t="s">
        <v>348</v>
      </c>
      <c r="K272" s="958">
        <f t="shared" si="141"/>
        <v>0</v>
      </c>
      <c r="L272" s="958">
        <f t="shared" si="142"/>
        <v>0</v>
      </c>
      <c r="M272" s="957"/>
      <c r="N272" s="957"/>
      <c r="O272" s="957"/>
      <c r="P272" s="957"/>
      <c r="Q272" s="957"/>
    </row>
    <row r="273" spans="1:17">
      <c r="A273" s="1399"/>
      <c r="B273" s="1400"/>
      <c r="C273" s="1397"/>
      <c r="D273" s="1397"/>
      <c r="E273" s="1397"/>
      <c r="F273" s="1397"/>
      <c r="G273" s="1397"/>
      <c r="H273" s="1397"/>
      <c r="I273" s="1397"/>
      <c r="J273" s="1402"/>
      <c r="K273" s="958"/>
      <c r="L273" s="958"/>
      <c r="M273" s="957"/>
      <c r="N273" s="957"/>
      <c r="O273" s="957"/>
      <c r="P273" s="957"/>
      <c r="Q273" s="957"/>
    </row>
    <row r="274" spans="1:17">
      <c r="A274" s="1407">
        <v>52000</v>
      </c>
      <c r="B274" s="1395" t="s">
        <v>160</v>
      </c>
      <c r="C274" s="1403">
        <f>SUM(C271:C273)</f>
        <v>0</v>
      </c>
      <c r="D274" s="1403"/>
      <c r="E274" s="1403">
        <f t="shared" ref="E274:I274" si="144">SUM(E271:E273)</f>
        <v>0</v>
      </c>
      <c r="F274" s="1403">
        <f t="shared" si="144"/>
        <v>0</v>
      </c>
      <c r="G274" s="1403">
        <f t="shared" si="144"/>
        <v>0</v>
      </c>
      <c r="H274" s="1403">
        <f t="shared" si="144"/>
        <v>0</v>
      </c>
      <c r="I274" s="1403">
        <f t="shared" si="144"/>
        <v>0</v>
      </c>
      <c r="J274" s="1402"/>
      <c r="K274" s="957"/>
      <c r="L274" s="957"/>
      <c r="M274" s="957"/>
      <c r="N274" s="957"/>
      <c r="O274" s="957"/>
      <c r="P274" s="957"/>
      <c r="Q274" s="957"/>
    </row>
    <row r="275" spans="1:17">
      <c r="A275" s="1399"/>
      <c r="B275" s="1400"/>
      <c r="C275" s="1397"/>
      <c r="D275" s="1397"/>
      <c r="E275" s="1397"/>
      <c r="F275" s="1397"/>
      <c r="G275" s="1397"/>
      <c r="H275" s="1397"/>
      <c r="I275" s="1397"/>
      <c r="J275" s="1402"/>
      <c r="K275" s="957"/>
      <c r="L275" s="957"/>
      <c r="M275" s="957"/>
      <c r="N275" s="957"/>
      <c r="O275" s="957"/>
      <c r="P275" s="957"/>
      <c r="Q275" s="957"/>
    </row>
    <row r="276" spans="1:17">
      <c r="A276" s="1399">
        <v>43001</v>
      </c>
      <c r="B276" s="1400" t="s">
        <v>161</v>
      </c>
      <c r="C276" s="1397">
        <f>+VLOOKUP(A276,'Consolidated IS '!$A:$AG,32,FALSE)</f>
        <v>92903.3</v>
      </c>
      <c r="D276" s="1397"/>
      <c r="E276" s="1397">
        <f>+$C276*E$24</f>
        <v>87625.993640675806</v>
      </c>
      <c r="F276" s="1397">
        <f>+$C276*F$24</f>
        <v>5277.3063593242086</v>
      </c>
      <c r="G276" s="1397">
        <f t="shared" ref="G276" si="145">+SUM(E276:F276)</f>
        <v>92903.300000000017</v>
      </c>
      <c r="H276" s="1397">
        <f>+$F276*'2184 Ratios'!G$40</f>
        <v>3292.4781902968944</v>
      </c>
      <c r="I276" s="1397">
        <f>+$F276*'2184 Ratios'!H$40</f>
        <v>1984.8281690273141</v>
      </c>
      <c r="J276" s="1402" t="s">
        <v>1926</v>
      </c>
      <c r="K276" s="958">
        <f t="shared" ref="K276" si="146">+G276-C276</f>
        <v>0</v>
      </c>
      <c r="L276" s="958">
        <f t="shared" ref="L276" si="147">+SUM(H276:I276)-F276</f>
        <v>0</v>
      </c>
      <c r="M276" s="957"/>
      <c r="N276" s="957"/>
      <c r="O276" s="957"/>
      <c r="P276" s="957"/>
      <c r="Q276" s="957"/>
    </row>
    <row r="277" spans="1:17">
      <c r="A277" s="1399"/>
      <c r="B277" s="1400"/>
      <c r="C277" s="1397"/>
      <c r="D277" s="1397"/>
      <c r="E277" s="1397"/>
      <c r="F277" s="1397"/>
      <c r="G277" s="1397"/>
      <c r="H277" s="1397"/>
      <c r="I277" s="1397"/>
      <c r="J277" s="1402"/>
      <c r="K277" s="957"/>
      <c r="L277" s="957"/>
      <c r="M277" s="957"/>
      <c r="N277" s="957"/>
      <c r="O277" s="957"/>
      <c r="P277" s="957"/>
      <c r="Q277" s="957"/>
    </row>
    <row r="278" spans="1:17">
      <c r="A278" s="1407">
        <v>52030</v>
      </c>
      <c r="B278" s="1395" t="s">
        <v>162</v>
      </c>
      <c r="C278" s="1403">
        <f>SUM(C276:C277)</f>
        <v>92903.3</v>
      </c>
      <c r="D278" s="1403"/>
      <c r="E278" s="1403">
        <f t="shared" ref="E278:I278" si="148">SUM(E276:E277)</f>
        <v>87625.993640675806</v>
      </c>
      <c r="F278" s="1403">
        <f t="shared" si="148"/>
        <v>5277.3063593242086</v>
      </c>
      <c r="G278" s="1403">
        <f t="shared" si="148"/>
        <v>92903.300000000017</v>
      </c>
      <c r="H278" s="1403">
        <f t="shared" si="148"/>
        <v>3292.4781902968944</v>
      </c>
      <c r="I278" s="1403">
        <f t="shared" si="148"/>
        <v>1984.8281690273141</v>
      </c>
      <c r="J278" s="1402"/>
      <c r="K278" s="957"/>
      <c r="L278" s="957"/>
      <c r="M278" s="957"/>
      <c r="N278" s="957"/>
      <c r="O278" s="957"/>
      <c r="P278" s="957"/>
      <c r="Q278" s="957"/>
    </row>
    <row r="279" spans="1:17">
      <c r="A279" s="1399"/>
      <c r="B279" s="1400"/>
      <c r="C279" s="1397"/>
      <c r="D279" s="1397"/>
      <c r="E279" s="1397"/>
      <c r="F279" s="1397"/>
      <c r="G279" s="1397"/>
      <c r="H279" s="1397"/>
      <c r="I279" s="1397"/>
      <c r="J279" s="1402"/>
      <c r="K279" s="957"/>
      <c r="L279" s="957"/>
      <c r="M279" s="957"/>
      <c r="N279" s="957"/>
      <c r="O279" s="957"/>
      <c r="P279" s="957"/>
      <c r="Q279" s="957"/>
    </row>
    <row r="280" spans="1:17">
      <c r="A280" s="1399">
        <v>51295</v>
      </c>
      <c r="B280" s="1400" t="s">
        <v>163</v>
      </c>
      <c r="C280" s="1397">
        <f>+VLOOKUP(A280,'Consolidated IS '!$A:$AG,32,FALSE)</f>
        <v>48696.310000000005</v>
      </c>
      <c r="D280" s="1397"/>
      <c r="E280" s="1397">
        <f>+C280</f>
        <v>48696.310000000005</v>
      </c>
      <c r="F280" s="1397">
        <v>0</v>
      </c>
      <c r="G280" s="1397">
        <f t="shared" ref="G280:G281" si="149">+SUM(E280:F280)</f>
        <v>48696.310000000005</v>
      </c>
      <c r="H280" s="1397">
        <v>0</v>
      </c>
      <c r="I280" s="1397">
        <v>0</v>
      </c>
      <c r="J280" s="1402" t="s">
        <v>348</v>
      </c>
      <c r="K280" s="958">
        <f t="shared" ref="K280:K281" si="150">+G280-C280</f>
        <v>0</v>
      </c>
      <c r="L280" s="958">
        <f t="shared" ref="L280:L281" si="151">+SUM(H280:I280)-F280</f>
        <v>0</v>
      </c>
      <c r="M280" s="957"/>
      <c r="N280" s="957"/>
      <c r="O280" s="957"/>
      <c r="P280" s="957"/>
      <c r="Q280" s="957"/>
    </row>
    <row r="281" spans="1:17">
      <c r="A281" s="1399">
        <v>57357</v>
      </c>
      <c r="B281" s="1400" t="s">
        <v>146</v>
      </c>
      <c r="C281" s="1397">
        <f>+VLOOKUP(A281,'Consolidated IS '!$A:$AG,32,FALSE)</f>
        <v>3083.59</v>
      </c>
      <c r="D281" s="1397"/>
      <c r="E281" s="1397">
        <f>+C281-F281</f>
        <v>3083.59</v>
      </c>
      <c r="F281" s="1397">
        <f>+'2184 Ratios'!E45</f>
        <v>0</v>
      </c>
      <c r="G281" s="1397">
        <f t="shared" si="149"/>
        <v>3083.59</v>
      </c>
      <c r="H281" s="1397">
        <f>+$F281*'2184 Ratios'!G$40</f>
        <v>0</v>
      </c>
      <c r="I281" s="1397">
        <f>+$F281*'2184 Ratios'!H$40</f>
        <v>0</v>
      </c>
      <c r="J281" s="1402" t="s">
        <v>2513</v>
      </c>
      <c r="K281" s="958">
        <f t="shared" si="150"/>
        <v>0</v>
      </c>
      <c r="L281" s="958">
        <f t="shared" si="151"/>
        <v>0</v>
      </c>
      <c r="M281" s="957"/>
      <c r="N281" s="957"/>
      <c r="O281" s="957"/>
      <c r="P281" s="957"/>
      <c r="Q281" s="957"/>
    </row>
    <row r="282" spans="1:17" s="960" customFormat="1">
      <c r="A282" s="1399"/>
      <c r="B282" s="1400"/>
      <c r="C282" s="1397"/>
      <c r="D282" s="1397"/>
      <c r="E282" s="1397"/>
      <c r="F282" s="1397"/>
      <c r="G282" s="1397"/>
      <c r="H282" s="1397"/>
      <c r="I282" s="1397"/>
      <c r="J282" s="1402"/>
      <c r="K282" s="959"/>
      <c r="L282" s="959"/>
      <c r="M282" s="957"/>
      <c r="N282" s="959"/>
      <c r="O282" s="959"/>
      <c r="P282" s="959"/>
      <c r="Q282" s="959"/>
    </row>
    <row r="283" spans="1:17">
      <c r="A283" s="1407">
        <v>52200</v>
      </c>
      <c r="B283" s="1395" t="s">
        <v>164</v>
      </c>
      <c r="C283" s="1403">
        <f>SUM(C280:C282)</f>
        <v>51779.900000000009</v>
      </c>
      <c r="D283" s="1403"/>
      <c r="E283" s="1403">
        <f t="shared" ref="E283:I283" si="152">SUM(E280:E282)</f>
        <v>51779.900000000009</v>
      </c>
      <c r="F283" s="1403">
        <f t="shared" si="152"/>
        <v>0</v>
      </c>
      <c r="G283" s="1403">
        <f t="shared" si="152"/>
        <v>51779.900000000009</v>
      </c>
      <c r="H283" s="1403">
        <f t="shared" si="152"/>
        <v>0</v>
      </c>
      <c r="I283" s="1403">
        <f t="shared" si="152"/>
        <v>0</v>
      </c>
      <c r="J283" s="1402"/>
      <c r="K283" s="957"/>
      <c r="L283" s="957"/>
      <c r="M283" s="957"/>
      <c r="N283" s="957"/>
      <c r="O283" s="957"/>
      <c r="P283" s="957"/>
      <c r="Q283" s="957"/>
    </row>
    <row r="284" spans="1:17">
      <c r="A284" s="1399"/>
      <c r="B284" s="1400"/>
      <c r="C284" s="1397"/>
      <c r="D284" s="1397"/>
      <c r="E284" s="1397"/>
      <c r="F284" s="1397"/>
      <c r="G284" s="1397"/>
      <c r="H284" s="1397"/>
      <c r="I284" s="1397"/>
      <c r="J284" s="1402"/>
      <c r="K284" s="957"/>
      <c r="L284" s="957"/>
      <c r="M284" s="957"/>
      <c r="N284" s="957"/>
      <c r="O284" s="957"/>
      <c r="P284" s="957"/>
      <c r="Q284" s="957"/>
    </row>
    <row r="285" spans="1:17">
      <c r="A285" s="1399">
        <v>57275</v>
      </c>
      <c r="B285" s="1400" t="s">
        <v>165</v>
      </c>
      <c r="C285" s="1397">
        <f>+VLOOKUP(A285,'Consolidated IS '!$A:$AG,32,FALSE)</f>
        <v>0</v>
      </c>
      <c r="D285" s="1397"/>
      <c r="E285" s="1397">
        <v>0</v>
      </c>
      <c r="F285" s="1397">
        <v>0</v>
      </c>
      <c r="G285" s="1397">
        <f t="shared" ref="G285" si="153">+SUM(E285:F285)</f>
        <v>0</v>
      </c>
      <c r="H285" s="1397">
        <v>0</v>
      </c>
      <c r="I285" s="1397">
        <v>0</v>
      </c>
      <c r="J285" s="1402" t="s">
        <v>348</v>
      </c>
      <c r="K285" s="958">
        <f t="shared" ref="K285" si="154">+G285-C285</f>
        <v>0</v>
      </c>
      <c r="L285" s="958">
        <f t="shared" ref="L285" si="155">+SUM(H285:I285)-F285</f>
        <v>0</v>
      </c>
      <c r="M285" s="957"/>
      <c r="N285" s="957"/>
      <c r="O285" s="957"/>
      <c r="P285" s="957"/>
      <c r="Q285" s="957"/>
    </row>
    <row r="286" spans="1:17">
      <c r="A286" s="1399"/>
      <c r="B286" s="1400"/>
      <c r="C286" s="1397"/>
      <c r="D286" s="1397"/>
      <c r="E286" s="1397"/>
      <c r="F286" s="1397"/>
      <c r="G286" s="1397"/>
      <c r="H286" s="1397"/>
      <c r="I286" s="1397"/>
      <c r="J286" s="1402"/>
      <c r="K286" s="957"/>
      <c r="L286" s="957"/>
      <c r="M286" s="957"/>
      <c r="N286" s="957"/>
      <c r="O286" s="957"/>
      <c r="P286" s="957"/>
      <c r="Q286" s="957"/>
    </row>
    <row r="287" spans="1:17">
      <c r="A287" s="1407">
        <v>52300</v>
      </c>
      <c r="B287" s="1395" t="s">
        <v>165</v>
      </c>
      <c r="C287" s="1403">
        <f>SUM(C285:C286)</f>
        <v>0</v>
      </c>
      <c r="D287" s="1403"/>
      <c r="E287" s="1403">
        <f>SUM(E285:E286)</f>
        <v>0</v>
      </c>
      <c r="F287" s="1403">
        <f>SUM(F285:F286)</f>
        <v>0</v>
      </c>
      <c r="G287" s="1411"/>
      <c r="H287" s="1411"/>
      <c r="I287" s="1403">
        <f>SUM(I285:I286)</f>
        <v>0</v>
      </c>
      <c r="J287" s="1402"/>
      <c r="K287" s="957"/>
      <c r="L287" s="957"/>
      <c r="M287" s="957"/>
      <c r="N287" s="957"/>
      <c r="O287" s="957"/>
      <c r="P287" s="957"/>
      <c r="Q287" s="957"/>
    </row>
    <row r="288" spans="1:17">
      <c r="A288" s="1399"/>
      <c r="B288" s="1400"/>
      <c r="C288" s="1397"/>
      <c r="D288" s="1397"/>
      <c r="E288" s="1397"/>
      <c r="F288" s="1397"/>
      <c r="G288" s="1397"/>
      <c r="H288" s="1397"/>
      <c r="I288" s="1397"/>
      <c r="J288" s="1402"/>
      <c r="K288" s="957"/>
      <c r="L288" s="957"/>
      <c r="M288" s="957"/>
      <c r="N288" s="957"/>
      <c r="O288" s="957"/>
      <c r="P288" s="957"/>
      <c r="Q288" s="957"/>
    </row>
    <row r="289" spans="1:17">
      <c r="A289" s="1399">
        <v>50050</v>
      </c>
      <c r="B289" s="1400" t="s">
        <v>166</v>
      </c>
      <c r="C289" s="1397">
        <f>+VLOOKUP(A289,'Consolidated IS '!$A:$AG,32,FALSE)</f>
        <v>107146.46</v>
      </c>
      <c r="D289" s="1397"/>
      <c r="E289" s="1397">
        <f>+$C289*'2184 Ratios'!D$15</f>
        <v>73819.147719479588</v>
      </c>
      <c r="F289" s="1397">
        <f>+$C289*'2184 Ratios'!E$15</f>
        <v>33327.312280520418</v>
      </c>
      <c r="G289" s="1397">
        <f t="shared" ref="G289:G293" si="156">+SUM(E289:F289)</f>
        <v>107146.46</v>
      </c>
      <c r="H289" s="1397">
        <f>+$F289*'2184 Ratios'!G$40</f>
        <v>20792.700168136318</v>
      </c>
      <c r="I289" s="1397">
        <f>+$F289*'2184 Ratios'!H$40</f>
        <v>12534.6121123841</v>
      </c>
      <c r="J289" s="1402" t="s">
        <v>2513</v>
      </c>
      <c r="K289" s="958">
        <f t="shared" ref="K289:K294" si="157">+G289-C289</f>
        <v>0</v>
      </c>
      <c r="L289" s="958">
        <f t="shared" ref="L289:L294" si="158">+SUM(H289:I289)-F289</f>
        <v>0</v>
      </c>
      <c r="M289" s="957"/>
      <c r="N289" s="957"/>
      <c r="O289" s="957"/>
      <c r="P289" s="957"/>
      <c r="Q289" s="957"/>
    </row>
    <row r="290" spans="1:17">
      <c r="A290" s="1399">
        <v>52050</v>
      </c>
      <c r="B290" s="1400" t="s">
        <v>166</v>
      </c>
      <c r="C290" s="1397">
        <f>+VLOOKUP(A290,'Consolidated IS '!$A:$AG,32,FALSE)</f>
        <v>7276.653904987762</v>
      </c>
      <c r="D290" s="1397"/>
      <c r="E290" s="1397">
        <f>+$C290*'2184 Ratios'!D$8</f>
        <v>3811.5806168983518</v>
      </c>
      <c r="F290" s="1397">
        <f>+$C290*'2184 Ratios'!E$8</f>
        <v>3465.0732880894102</v>
      </c>
      <c r="G290" s="1397">
        <f t="shared" si="156"/>
        <v>7276.653904987762</v>
      </c>
      <c r="H290" s="1397">
        <f>+$F290*'2184 Ratios'!G$40</f>
        <v>2161.8373943095626</v>
      </c>
      <c r="I290" s="1397">
        <f>+$F290*'2184 Ratios'!H$40</f>
        <v>1303.2358937798476</v>
      </c>
      <c r="J290" s="1402" t="s">
        <v>1922</v>
      </c>
      <c r="K290" s="958">
        <f t="shared" si="157"/>
        <v>0</v>
      </c>
      <c r="L290" s="958">
        <f t="shared" si="158"/>
        <v>0</v>
      </c>
      <c r="M290" s="957"/>
      <c r="N290" s="957"/>
      <c r="O290" s="957"/>
      <c r="P290" s="957"/>
      <c r="Q290" s="957"/>
    </row>
    <row r="291" spans="1:17">
      <c r="A291" s="1399">
        <v>55050</v>
      </c>
      <c r="B291" s="1400" t="s">
        <v>166</v>
      </c>
      <c r="C291" s="1397">
        <f>+VLOOKUP(A291,'Consolidated IS '!$A:$AG,32,FALSE)</f>
        <v>0</v>
      </c>
      <c r="D291" s="1397"/>
      <c r="E291" s="1397">
        <v>0</v>
      </c>
      <c r="F291" s="1397">
        <v>0</v>
      </c>
      <c r="G291" s="1397">
        <f t="shared" si="156"/>
        <v>0</v>
      </c>
      <c r="H291" s="1397">
        <v>0</v>
      </c>
      <c r="I291" s="1397">
        <v>0</v>
      </c>
      <c r="J291" s="1402" t="s">
        <v>348</v>
      </c>
      <c r="K291" s="958">
        <f t="shared" si="157"/>
        <v>0</v>
      </c>
      <c r="L291" s="958">
        <f t="shared" si="158"/>
        <v>0</v>
      </c>
      <c r="M291" s="957"/>
      <c r="N291" s="957"/>
      <c r="O291" s="957"/>
      <c r="P291" s="957"/>
      <c r="Q291" s="957"/>
    </row>
    <row r="292" spans="1:17">
      <c r="A292" s="1399">
        <v>56050</v>
      </c>
      <c r="B292" s="1400" t="s">
        <v>166</v>
      </c>
      <c r="C292" s="1397">
        <f>+VLOOKUP(A292,'Consolidated IS '!$A:$AG,32,FALSE)</f>
        <v>0</v>
      </c>
      <c r="D292" s="1397"/>
      <c r="E292" s="1397">
        <v>0</v>
      </c>
      <c r="F292" s="1397">
        <v>0</v>
      </c>
      <c r="G292" s="1397">
        <f t="shared" si="156"/>
        <v>0</v>
      </c>
      <c r="H292" s="1397">
        <v>0</v>
      </c>
      <c r="I292" s="1397">
        <v>0</v>
      </c>
      <c r="J292" s="1402" t="s">
        <v>348</v>
      </c>
      <c r="K292" s="958">
        <f t="shared" si="157"/>
        <v>0</v>
      </c>
      <c r="L292" s="958">
        <f t="shared" si="158"/>
        <v>0</v>
      </c>
      <c r="M292" s="957"/>
      <c r="N292" s="957"/>
      <c r="O292" s="957"/>
      <c r="P292" s="957"/>
      <c r="Q292" s="957"/>
    </row>
    <row r="293" spans="1:17">
      <c r="A293" s="1399">
        <v>60050</v>
      </c>
      <c r="B293" s="1400" t="s">
        <v>166</v>
      </c>
      <c r="C293" s="1397">
        <f>+VLOOKUP(A293,'Consolidated IS '!$A:$AG,32,FALSE)</f>
        <v>0</v>
      </c>
      <c r="D293" s="1397"/>
      <c r="E293" s="1397">
        <v>0</v>
      </c>
      <c r="F293" s="1397">
        <v>0</v>
      </c>
      <c r="G293" s="1397">
        <f t="shared" si="156"/>
        <v>0</v>
      </c>
      <c r="H293" s="1397">
        <v>0</v>
      </c>
      <c r="I293" s="1397">
        <v>0</v>
      </c>
      <c r="J293" s="1402" t="s">
        <v>348</v>
      </c>
      <c r="K293" s="958">
        <f t="shared" si="157"/>
        <v>0</v>
      </c>
      <c r="L293" s="958">
        <f t="shared" si="158"/>
        <v>0</v>
      </c>
      <c r="M293" s="957"/>
      <c r="N293" s="957"/>
      <c r="O293" s="957"/>
      <c r="P293" s="957"/>
      <c r="Q293" s="957"/>
    </row>
    <row r="294" spans="1:17">
      <c r="A294" s="1399">
        <v>70050</v>
      </c>
      <c r="B294" s="1400" t="s">
        <v>166</v>
      </c>
      <c r="C294" s="1397">
        <f>+VLOOKUP(A294,'Consolidated IS '!$A:$AG,32,FALSE)</f>
        <v>11353.063040294004</v>
      </c>
      <c r="D294" s="1397"/>
      <c r="E294" s="1397">
        <f>+C294</f>
        <v>11353.063040294004</v>
      </c>
      <c r="F294" s="1397">
        <v>0</v>
      </c>
      <c r="G294" s="1397">
        <f t="shared" ref="G294" si="159">+SUM(E294:F294)</f>
        <v>11353.063040294004</v>
      </c>
      <c r="H294" s="1397">
        <v>0</v>
      </c>
      <c r="I294" s="1397">
        <v>0</v>
      </c>
      <c r="J294" s="1402" t="s">
        <v>348</v>
      </c>
      <c r="K294" s="958">
        <f t="shared" si="157"/>
        <v>0</v>
      </c>
      <c r="L294" s="958">
        <f t="shared" si="158"/>
        <v>0</v>
      </c>
      <c r="M294" s="957"/>
      <c r="N294" s="957"/>
      <c r="O294" s="957"/>
      <c r="P294" s="957"/>
      <c r="Q294" s="957"/>
    </row>
    <row r="295" spans="1:17" s="960" customFormat="1">
      <c r="A295" s="1399"/>
      <c r="B295" s="1400"/>
      <c r="C295" s="1397"/>
      <c r="D295" s="1397"/>
      <c r="E295" s="1397"/>
      <c r="F295" s="1397"/>
      <c r="G295" s="1397"/>
      <c r="H295" s="1397"/>
      <c r="I295" s="1397"/>
      <c r="J295" s="1402"/>
      <c r="K295" s="959"/>
      <c r="L295" s="959"/>
      <c r="M295" s="957"/>
      <c r="N295" s="959"/>
      <c r="O295" s="959"/>
      <c r="P295" s="959"/>
      <c r="Q295" s="959"/>
    </row>
    <row r="296" spans="1:17">
      <c r="A296" s="1407">
        <v>52400</v>
      </c>
      <c r="B296" s="1395" t="s">
        <v>166</v>
      </c>
      <c r="C296" s="1403">
        <f>SUM(C289:C295)</f>
        <v>125776.17694528177</v>
      </c>
      <c r="D296" s="1403"/>
      <c r="E296" s="1403">
        <f t="shared" ref="E296:I296" si="160">SUM(E289:E295)</f>
        <v>88983.791376671943</v>
      </c>
      <c r="F296" s="1403">
        <f t="shared" si="160"/>
        <v>36792.385568609825</v>
      </c>
      <c r="G296" s="1403">
        <f t="shared" si="160"/>
        <v>125776.17694528177</v>
      </c>
      <c r="H296" s="1403">
        <f t="shared" si="160"/>
        <v>22954.537562445879</v>
      </c>
      <c r="I296" s="1403">
        <f t="shared" si="160"/>
        <v>13837.848006163948</v>
      </c>
      <c r="J296" s="1402"/>
      <c r="K296" s="957"/>
      <c r="L296" s="957"/>
      <c r="M296" s="957"/>
      <c r="N296" s="957"/>
      <c r="O296" s="957"/>
      <c r="P296" s="957"/>
      <c r="Q296" s="957"/>
    </row>
    <row r="297" spans="1:17">
      <c r="A297" s="1399"/>
      <c r="B297" s="1400"/>
      <c r="C297" s="1397"/>
      <c r="D297" s="1397"/>
      <c r="E297" s="1397"/>
      <c r="F297" s="1397"/>
      <c r="G297" s="1397"/>
      <c r="H297" s="1397"/>
      <c r="I297" s="1397"/>
      <c r="J297" s="1402"/>
      <c r="K297" s="957"/>
      <c r="L297" s="957"/>
      <c r="M297" s="957"/>
      <c r="N297" s="957"/>
      <c r="O297" s="957"/>
      <c r="P297" s="957"/>
      <c r="Q297" s="957"/>
    </row>
    <row r="298" spans="1:17">
      <c r="A298" s="1399">
        <v>57170</v>
      </c>
      <c r="B298" s="1400" t="s">
        <v>167</v>
      </c>
      <c r="C298" s="1397">
        <f>+VLOOKUP(A298,'Consolidated IS '!$A:$AG,32,FALSE)</f>
        <v>1500.76</v>
      </c>
      <c r="D298" s="1397"/>
      <c r="E298" s="1397"/>
      <c r="F298" s="1397">
        <f>C298</f>
        <v>1500.76</v>
      </c>
      <c r="G298" s="1397">
        <f t="shared" ref="G298" si="161">+SUM(E298:F298)</f>
        <v>1500.76</v>
      </c>
      <c r="H298" s="1397">
        <f>+$F298*'2184 Ratios'!G$40</f>
        <v>936.31470913936494</v>
      </c>
      <c r="I298" s="1397">
        <f>+$F298*'2184 Ratios'!H$40</f>
        <v>564.44529086063505</v>
      </c>
      <c r="J298" s="1402" t="s">
        <v>1920</v>
      </c>
      <c r="K298" s="958">
        <f t="shared" ref="K298" si="162">+G298-C298</f>
        <v>0</v>
      </c>
      <c r="L298" s="958">
        <f t="shared" ref="L298" si="163">+SUM(H298:I298)-F298</f>
        <v>0</v>
      </c>
      <c r="M298" s="957"/>
      <c r="N298" s="957"/>
      <c r="O298" s="957"/>
      <c r="P298" s="957"/>
      <c r="Q298" s="957"/>
    </row>
    <row r="299" spans="1:17">
      <c r="A299" s="1399"/>
      <c r="B299" s="1400"/>
      <c r="C299" s="1397"/>
      <c r="D299" s="1397"/>
      <c r="E299" s="1397"/>
      <c r="F299" s="1397"/>
      <c r="G299" s="1397"/>
      <c r="H299" s="1397"/>
      <c r="I299" s="1397"/>
      <c r="J299" s="1402"/>
      <c r="K299" s="957"/>
      <c r="L299" s="957"/>
      <c r="M299" s="957"/>
      <c r="N299" s="957"/>
      <c r="O299" s="957"/>
      <c r="P299" s="957"/>
      <c r="Q299" s="957"/>
    </row>
    <row r="300" spans="1:17">
      <c r="A300" s="1407">
        <v>53200</v>
      </c>
      <c r="B300" s="1395" t="s">
        <v>168</v>
      </c>
      <c r="C300" s="1403">
        <f>SUM(C298:C299)</f>
        <v>1500.76</v>
      </c>
      <c r="D300" s="1403"/>
      <c r="E300" s="1403">
        <f>SUM(E298:E299)</f>
        <v>0</v>
      </c>
      <c r="F300" s="1403">
        <f>SUM(F298:F299)</f>
        <v>1500.76</v>
      </c>
      <c r="G300" s="1403">
        <f>SUM(G298:G299)</f>
        <v>1500.76</v>
      </c>
      <c r="H300" s="1403">
        <f>SUM(H298:H299)</f>
        <v>936.31470913936494</v>
      </c>
      <c r="I300" s="1403">
        <f>SUM(I298:I299)</f>
        <v>564.44529086063505</v>
      </c>
      <c r="J300" s="1402"/>
      <c r="K300" s="957"/>
      <c r="L300" s="957"/>
      <c r="M300" s="957"/>
      <c r="N300" s="957"/>
      <c r="O300" s="957"/>
      <c r="P300" s="957"/>
      <c r="Q300" s="957"/>
    </row>
    <row r="301" spans="1:17">
      <c r="A301" s="1407"/>
      <c r="B301" s="1395"/>
      <c r="C301" s="1397"/>
      <c r="D301" s="1397"/>
      <c r="E301" s="1397"/>
      <c r="F301" s="1397"/>
      <c r="G301" s="1397"/>
      <c r="H301" s="1397"/>
      <c r="I301" s="1397"/>
      <c r="J301" s="1402"/>
      <c r="K301" s="957"/>
      <c r="L301" s="957"/>
      <c r="M301" s="957"/>
      <c r="N301" s="957"/>
      <c r="O301" s="957"/>
      <c r="P301" s="957"/>
      <c r="Q301" s="957"/>
    </row>
    <row r="302" spans="1:17">
      <c r="A302" s="1399">
        <v>70269</v>
      </c>
      <c r="B302" s="1400" t="s">
        <v>169</v>
      </c>
      <c r="C302" s="1397">
        <f>+VLOOKUP(A302,'Consolidated IS '!$A:$AG,32,FALSE)</f>
        <v>250450.13</v>
      </c>
      <c r="D302" s="1397"/>
      <c r="E302" s="1397">
        <f>+C302</f>
        <v>250450.13</v>
      </c>
      <c r="F302" s="1397">
        <v>0</v>
      </c>
      <c r="G302" s="1397">
        <f t="shared" ref="G302" si="164">+SUM(E302:F302)</f>
        <v>250450.13</v>
      </c>
      <c r="H302" s="1397">
        <v>0</v>
      </c>
      <c r="I302" s="1397">
        <v>0</v>
      </c>
      <c r="J302" s="1402" t="s">
        <v>348</v>
      </c>
      <c r="K302" s="958">
        <f t="shared" ref="K302" si="165">+G302-C302</f>
        <v>0</v>
      </c>
      <c r="L302" s="958">
        <f t="shared" ref="L302" si="166">+SUM(H302:I302)-F302</f>
        <v>0</v>
      </c>
      <c r="M302" s="957"/>
      <c r="N302" s="957"/>
      <c r="O302" s="957"/>
      <c r="P302" s="957"/>
      <c r="Q302" s="957"/>
    </row>
    <row r="303" spans="1:17">
      <c r="A303" s="1399"/>
      <c r="B303" s="1400"/>
      <c r="C303" s="1397"/>
      <c r="D303" s="1397"/>
      <c r="E303" s="1397"/>
      <c r="F303" s="1397"/>
      <c r="G303" s="1397"/>
      <c r="H303" s="1397"/>
      <c r="I303" s="1397"/>
      <c r="J303" s="1402"/>
      <c r="K303" s="957"/>
      <c r="L303" s="957"/>
      <c r="M303" s="957"/>
      <c r="N303" s="957"/>
      <c r="O303" s="957"/>
      <c r="P303" s="957"/>
      <c r="Q303" s="957"/>
    </row>
    <row r="304" spans="1:17">
      <c r="A304" s="1407"/>
      <c r="B304" s="1395" t="s">
        <v>170</v>
      </c>
      <c r="C304" s="1403">
        <f>SUM(C302:C303)</f>
        <v>250450.13</v>
      </c>
      <c r="D304" s="1403"/>
      <c r="E304" s="1403">
        <f t="shared" ref="E304:I304" si="167">SUM(E302:E303)</f>
        <v>250450.13</v>
      </c>
      <c r="F304" s="1403">
        <f t="shared" si="167"/>
        <v>0</v>
      </c>
      <c r="G304" s="1403">
        <f t="shared" si="167"/>
        <v>250450.13</v>
      </c>
      <c r="H304" s="1403">
        <f t="shared" si="167"/>
        <v>0</v>
      </c>
      <c r="I304" s="1403">
        <f t="shared" si="167"/>
        <v>0</v>
      </c>
      <c r="J304" s="1402"/>
      <c r="K304" s="957"/>
      <c r="L304" s="957"/>
      <c r="M304" s="957"/>
      <c r="N304" s="957"/>
      <c r="O304" s="957"/>
      <c r="P304" s="957"/>
      <c r="Q304" s="957"/>
    </row>
    <row r="305" spans="1:17">
      <c r="A305" s="1407"/>
      <c r="B305" s="1395"/>
      <c r="C305" s="1397"/>
      <c r="D305" s="1397"/>
      <c r="E305" s="1397"/>
      <c r="F305" s="1397"/>
      <c r="G305" s="1397"/>
      <c r="H305" s="1397"/>
      <c r="I305" s="1397"/>
      <c r="J305" s="1402"/>
      <c r="K305" s="957"/>
      <c r="L305" s="957"/>
      <c r="M305" s="957"/>
      <c r="N305" s="957"/>
      <c r="O305" s="957"/>
      <c r="P305" s="957"/>
      <c r="Q305" s="957"/>
    </row>
    <row r="306" spans="1:17">
      <c r="A306" s="1407">
        <v>91000</v>
      </c>
      <c r="B306" s="1395" t="s">
        <v>171</v>
      </c>
      <c r="C306" s="1403">
        <f>+VLOOKUP($A306,'Consolidated IS '!$A$10:$AB$882,18,FALSE)</f>
        <v>0</v>
      </c>
      <c r="D306" s="1403"/>
      <c r="E306" s="1403"/>
      <c r="F306" s="1403"/>
      <c r="G306" s="1403"/>
      <c r="H306" s="1403"/>
      <c r="I306" s="1403"/>
      <c r="J306" s="1402"/>
      <c r="K306" s="957"/>
      <c r="L306" s="957"/>
      <c r="M306" s="957"/>
      <c r="N306" s="957"/>
      <c r="O306" s="957"/>
      <c r="P306" s="957"/>
      <c r="Q306" s="957"/>
    </row>
    <row r="307" spans="1:17">
      <c r="A307" s="1399"/>
      <c r="B307" s="1400"/>
      <c r="C307" s="1397"/>
      <c r="D307" s="1397"/>
      <c r="E307" s="1397"/>
      <c r="F307" s="1397"/>
      <c r="G307" s="1397"/>
      <c r="H307" s="1397"/>
      <c r="I307" s="1397"/>
      <c r="J307" s="1402"/>
      <c r="K307" s="957"/>
      <c r="L307" s="957"/>
      <c r="M307" s="957"/>
      <c r="N307" s="959"/>
      <c r="O307" s="957"/>
      <c r="P307" s="957"/>
      <c r="Q307" s="957"/>
    </row>
    <row r="308" spans="1:17">
      <c r="A308" s="1407"/>
      <c r="B308" s="1395" t="s">
        <v>13</v>
      </c>
      <c r="C308" s="1403">
        <f>C30+C39+C45+C53+C58+C63+C67+C75+C81+C89+C93+C100+C115+C123+C128+C138+C142+C148+C154+C161+C172+C176+C192+C196+C201+C208+C217+C227+C231+C257+C269+C274+C278+C283+C287+C296+C300+C304+C306</f>
        <v>4766049.9353927691</v>
      </c>
      <c r="D308" s="1403"/>
      <c r="E308" s="1403">
        <f>E30+E39+E45+E53+E58+E63+E67+E75+E81+E89+E93+E100+E115+E123+E128+E138+E142+E148+E154+E161+E172+E176+E192+E196+E201+E208+E217+E227+E231+E257+E269+E274+E278+E283+E287+E296+E300+E304+E306</f>
        <v>3746735.7441349719</v>
      </c>
      <c r="F308" s="1403">
        <f>F30+F39+F45+F53+F58+F63+F67+F75+F81+F89+F93+F100+F115+F123+F128+F138+F142+F148+F154+F161+F172+F176+F192+F196+F201+F208+F217+F227+F231+F257+F269+F274+F278+F283+F287+F296+F300+F304+F306</f>
        <v>1019314.1812577976</v>
      </c>
      <c r="G308" s="1403">
        <f>G30+G39+G45+G53+G58+G63+G67+G75+G81+G89+G93+G100+G115+G123+G128+G138+G142+G148+G154+G161+G172+G176+G192+G196+G201+G208+G217+G227+G231+G257+G269+G274+G278+G283+G287+G296+G300+G304+G306</f>
        <v>4766049.9253927693</v>
      </c>
      <c r="H308" s="1403">
        <f>H30+H39+H45+H53+H58+H63+H67+H75+H81+H89+H93+H100+H115+H123+H128+H138+H142+H148+H154+H161+H172+H176+H192+H196+H201+H208+H217+H227+H231+H257+H269+H274+H278+H283+H287+H296+H300+H304+H306</f>
        <v>669428.3909575541</v>
      </c>
      <c r="I308" s="1403">
        <f>I30+I39+I45+I53+I58+I63+I67+I75+I81+I89+I93+I100+I115+I123+I128+I138+I142+I148+I154+I161+I172+I176+I192+I196+I201+I208+I217+I227+I231+I257+I269+I274+I278+I283+I287+I296+I300+I304+I306</f>
        <v>349885.79030024318</v>
      </c>
      <c r="J308" s="1402"/>
      <c r="K308" s="961">
        <f>+SUM(K27:K307)</f>
        <v>-0.01</v>
      </c>
      <c r="L308" s="961">
        <f>+SUM(L27:L307)</f>
        <v>0</v>
      </c>
      <c r="M308" s="957"/>
      <c r="N308" s="959"/>
      <c r="O308" s="957"/>
      <c r="P308" s="957"/>
      <c r="Q308" s="957"/>
    </row>
    <row r="309" spans="1:17">
      <c r="A309" s="1399"/>
      <c r="B309" s="1395"/>
      <c r="C309" s="1397">
        <f>+C308-'Consolidated IS '!AF353</f>
        <v>0</v>
      </c>
      <c r="D309" s="1397"/>
      <c r="E309" s="1397"/>
      <c r="F309" s="1397"/>
      <c r="G309" s="1397"/>
      <c r="H309" s="1397"/>
      <c r="I309" s="1397"/>
      <c r="J309" s="1402"/>
      <c r="K309" s="957"/>
      <c r="L309" s="957"/>
      <c r="M309" s="957"/>
      <c r="N309" s="959"/>
      <c r="O309" s="957"/>
      <c r="P309" s="957"/>
      <c r="Q309" s="957"/>
    </row>
    <row r="310" spans="1:17">
      <c r="A310" s="1399"/>
      <c r="B310" s="1395" t="s">
        <v>172</v>
      </c>
      <c r="C310" s="1397"/>
      <c r="D310" s="1397"/>
      <c r="E310" s="1404">
        <f>E308/E23</f>
        <v>0.59838855317549178</v>
      </c>
      <c r="F310" s="1404">
        <f>F308/F23</f>
        <v>2.7030801856111299</v>
      </c>
      <c r="G310" s="1404"/>
      <c r="H310" s="1404"/>
      <c r="I310" s="1397"/>
      <c r="J310" s="1402"/>
      <c r="K310" s="957"/>
      <c r="L310" s="957"/>
      <c r="M310" s="957"/>
      <c r="N310" s="959"/>
      <c r="O310" s="957"/>
      <c r="P310" s="957"/>
      <c r="Q310" s="957"/>
    </row>
    <row r="311" spans="1:17">
      <c r="A311" s="1399"/>
      <c r="B311" s="1400"/>
      <c r="C311" s="1397"/>
      <c r="D311" s="1397"/>
      <c r="E311" s="1397"/>
      <c r="F311" s="1397"/>
      <c r="G311" s="1397"/>
      <c r="H311" s="1397"/>
      <c r="I311" s="1397"/>
      <c r="J311" s="1402"/>
      <c r="K311" s="957"/>
      <c r="L311" s="957"/>
      <c r="M311" s="957"/>
      <c r="N311" s="959"/>
      <c r="O311" s="957"/>
      <c r="P311" s="957"/>
      <c r="Q311" s="957"/>
    </row>
    <row r="312" spans="1:17" ht="12.75" thickBot="1">
      <c r="A312" s="1399"/>
      <c r="B312" s="1395" t="s">
        <v>173</v>
      </c>
      <c r="C312" s="1412">
        <f>C23-C308</f>
        <v>1872419.6746072313</v>
      </c>
      <c r="D312" s="1413"/>
      <c r="E312" s="1412">
        <f>E23-E308</f>
        <v>2514640.2869605822</v>
      </c>
      <c r="F312" s="1412">
        <f>F23-F308</f>
        <v>-642220.60235335073</v>
      </c>
      <c r="G312" s="1412">
        <f>G23-G308</f>
        <v>1872419.6846072311</v>
      </c>
      <c r="H312" s="1412">
        <f>H23-H308</f>
        <v>-293176.04860238102</v>
      </c>
      <c r="I312" s="1412">
        <f>I23-I308</f>
        <v>-349044.55375096935</v>
      </c>
      <c r="J312" s="1402"/>
      <c r="K312" s="957"/>
      <c r="L312" s="957"/>
      <c r="M312" s="957"/>
      <c r="N312" s="957"/>
      <c r="O312" s="957"/>
      <c r="P312" s="957"/>
      <c r="Q312" s="957"/>
    </row>
    <row r="313" spans="1:17" ht="12.75" thickTop="1">
      <c r="A313" s="1399"/>
      <c r="B313" s="1400"/>
      <c r="C313" s="1397">
        <f>+C312-'Consolidated IS '!AF355</f>
        <v>0</v>
      </c>
      <c r="D313" s="1397"/>
      <c r="E313" s="1397"/>
      <c r="F313" s="1397"/>
      <c r="G313" s="1397"/>
      <c r="H313" s="1397"/>
      <c r="I313" s="1397"/>
      <c r="J313" s="1402"/>
      <c r="K313" s="957"/>
      <c r="L313" s="957"/>
      <c r="M313" s="957"/>
      <c r="N313" s="957"/>
      <c r="O313" s="957"/>
      <c r="P313" s="957"/>
      <c r="Q313" s="957"/>
    </row>
    <row r="314" spans="1:17">
      <c r="A314" s="1399"/>
      <c r="B314" s="1400"/>
      <c r="C314" s="1397"/>
      <c r="D314" s="1397"/>
      <c r="E314" s="1397"/>
      <c r="F314" s="1397"/>
      <c r="G314" s="1414" t="s">
        <v>2515</v>
      </c>
      <c r="H314" s="1397">
        <v>19</v>
      </c>
      <c r="I314" s="1397"/>
      <c r="J314" s="1402"/>
      <c r="K314" s="957"/>
      <c r="L314" s="957"/>
      <c r="M314" s="957"/>
      <c r="N314" s="957"/>
      <c r="O314" s="957"/>
      <c r="P314" s="957"/>
      <c r="Q314" s="957"/>
    </row>
    <row r="315" spans="1:17">
      <c r="A315" s="1399"/>
      <c r="B315" s="1400"/>
      <c r="C315" s="1397"/>
      <c r="D315" s="1397"/>
      <c r="E315" s="1397"/>
      <c r="F315" s="1397"/>
      <c r="G315" s="1414" t="s">
        <v>2516</v>
      </c>
      <c r="H315" s="1415">
        <f>I308/'2184 Ratios'!H39</f>
        <v>23.316781253868896</v>
      </c>
      <c r="I315" s="1397"/>
      <c r="J315" s="1402"/>
      <c r="K315" s="957"/>
      <c r="L315" s="957"/>
      <c r="M315" s="957"/>
      <c r="N315" s="957"/>
      <c r="O315" s="957"/>
      <c r="P315" s="957"/>
      <c r="Q315" s="957"/>
    </row>
    <row r="316" spans="1:17">
      <c r="A316" s="1399"/>
      <c r="B316" s="1400"/>
      <c r="C316" s="1397"/>
      <c r="D316" s="1397"/>
      <c r="E316" s="1397"/>
      <c r="F316" s="1416"/>
      <c r="G316" s="1417" t="s">
        <v>2517</v>
      </c>
      <c r="H316" s="1416">
        <f>(H315-H314)*'2184 Ratios'!H39</f>
        <v>64776.540300243192</v>
      </c>
      <c r="I316" s="1397"/>
      <c r="J316" s="1402"/>
      <c r="K316" s="957"/>
      <c r="L316" s="957"/>
      <c r="M316" s="957"/>
      <c r="N316" s="957"/>
      <c r="O316" s="957"/>
      <c r="P316" s="957"/>
      <c r="Q316" s="957"/>
    </row>
    <row r="317" spans="1:17">
      <c r="J317" s="957"/>
      <c r="K317" s="957"/>
      <c r="L317" s="957"/>
      <c r="M317" s="957"/>
      <c r="N317" s="957"/>
      <c r="O317" s="957"/>
      <c r="P317" s="957"/>
      <c r="Q317" s="957"/>
    </row>
    <row r="318" spans="1:17">
      <c r="J318" s="957"/>
      <c r="K318" s="957"/>
      <c r="L318" s="957"/>
      <c r="M318" s="957"/>
      <c r="N318" s="957"/>
      <c r="O318" s="957"/>
      <c r="P318" s="957"/>
      <c r="Q318" s="957"/>
    </row>
    <row r="319" spans="1:17">
      <c r="J319" s="957"/>
      <c r="K319" s="957"/>
      <c r="L319" s="957"/>
      <c r="M319" s="957"/>
      <c r="N319" s="957"/>
      <c r="O319" s="957"/>
      <c r="P319" s="957"/>
      <c r="Q319" s="957"/>
    </row>
    <row r="320" spans="1:17">
      <c r="J320" s="957"/>
      <c r="K320" s="957"/>
      <c r="L320" s="957"/>
      <c r="M320" s="957"/>
      <c r="N320" s="957"/>
      <c r="O320" s="957"/>
      <c r="P320" s="957"/>
      <c r="Q320" s="957"/>
    </row>
    <row r="321" spans="10:17">
      <c r="J321" s="957"/>
      <c r="K321" s="957"/>
      <c r="L321" s="957"/>
      <c r="M321" s="957"/>
      <c r="N321" s="957"/>
      <c r="O321" s="957"/>
      <c r="P321" s="957"/>
      <c r="Q321" s="957"/>
    </row>
    <row r="322" spans="10:17">
      <c r="J322" s="957"/>
      <c r="K322" s="957"/>
      <c r="L322" s="957"/>
      <c r="M322" s="957"/>
      <c r="N322" s="957"/>
      <c r="O322" s="957"/>
      <c r="P322" s="957"/>
      <c r="Q322" s="957"/>
    </row>
    <row r="323" spans="10:17">
      <c r="J323" s="957"/>
      <c r="K323" s="957"/>
      <c r="L323" s="957"/>
      <c r="M323" s="957"/>
      <c r="N323" s="957"/>
      <c r="O323" s="957"/>
      <c r="P323" s="957"/>
      <c r="Q323" s="957"/>
    </row>
    <row r="324" spans="10:17">
      <c r="J324" s="957"/>
      <c r="K324" s="957"/>
      <c r="L324" s="957"/>
      <c r="M324" s="957"/>
      <c r="N324" s="957"/>
      <c r="O324" s="957"/>
      <c r="P324" s="957"/>
      <c r="Q324" s="957"/>
    </row>
    <row r="325" spans="10:17">
      <c r="J325" s="957"/>
      <c r="K325" s="957"/>
      <c r="L325" s="957"/>
      <c r="M325" s="957"/>
      <c r="N325" s="957"/>
      <c r="O325" s="957"/>
      <c r="P325" s="957"/>
      <c r="Q325" s="957"/>
    </row>
    <row r="326" spans="10:17">
      <c r="J326" s="957"/>
      <c r="K326" s="957"/>
      <c r="L326" s="957"/>
      <c r="M326" s="957"/>
      <c r="N326" s="957"/>
      <c r="O326" s="957"/>
      <c r="P326" s="957"/>
      <c r="Q326" s="957"/>
    </row>
    <row r="327" spans="10:17">
      <c r="J327" s="957"/>
      <c r="K327" s="957"/>
      <c r="L327" s="957"/>
      <c r="M327" s="957"/>
      <c r="N327" s="957"/>
      <c r="O327" s="957"/>
      <c r="P327" s="957"/>
      <c r="Q327" s="957"/>
    </row>
    <row r="328" spans="10:17">
      <c r="J328" s="957"/>
      <c r="K328" s="957"/>
      <c r="L328" s="957"/>
      <c r="M328" s="957"/>
      <c r="N328" s="957"/>
      <c r="O328" s="957"/>
      <c r="P328" s="957"/>
      <c r="Q328" s="957"/>
    </row>
    <row r="329" spans="10:17">
      <c r="J329" s="957"/>
      <c r="K329" s="957"/>
      <c r="L329" s="957"/>
      <c r="M329" s="957"/>
      <c r="N329" s="957"/>
      <c r="O329" s="957"/>
      <c r="P329" s="957"/>
      <c r="Q329" s="957"/>
    </row>
    <row r="330" spans="10:17">
      <c r="J330" s="957"/>
      <c r="K330" s="957"/>
      <c r="L330" s="957"/>
      <c r="M330" s="957"/>
      <c r="N330" s="957"/>
      <c r="O330" s="957"/>
      <c r="P330" s="957"/>
      <c r="Q330" s="957"/>
    </row>
    <row r="331" spans="10:17">
      <c r="J331" s="957"/>
      <c r="K331" s="957"/>
      <c r="L331" s="957"/>
      <c r="M331" s="957"/>
      <c r="N331" s="957"/>
      <c r="O331" s="957"/>
      <c r="P331" s="957"/>
      <c r="Q331" s="957"/>
    </row>
    <row r="332" spans="10:17">
      <c r="J332" s="957"/>
      <c r="K332" s="957"/>
      <c r="L332" s="957"/>
      <c r="M332" s="957"/>
      <c r="N332" s="957"/>
      <c r="O332" s="957"/>
      <c r="P332" s="957"/>
      <c r="Q332" s="957"/>
    </row>
    <row r="333" spans="10:17">
      <c r="J333" s="957"/>
      <c r="K333" s="957"/>
      <c r="L333" s="957"/>
      <c r="M333" s="957"/>
      <c r="N333" s="957"/>
      <c r="O333" s="957"/>
      <c r="P333" s="957"/>
      <c r="Q333" s="957"/>
    </row>
    <row r="334" spans="10:17">
      <c r="J334" s="957"/>
      <c r="K334" s="957"/>
      <c r="L334" s="957"/>
      <c r="M334" s="957"/>
      <c r="N334" s="957"/>
      <c r="O334" s="957"/>
      <c r="P334" s="957"/>
      <c r="Q334" s="957"/>
    </row>
    <row r="335" spans="10:17">
      <c r="J335" s="957"/>
      <c r="K335" s="957"/>
      <c r="L335" s="957"/>
      <c r="M335" s="957"/>
      <c r="N335" s="957"/>
      <c r="O335" s="957"/>
      <c r="P335" s="957"/>
      <c r="Q335" s="957"/>
    </row>
    <row r="336" spans="10:17">
      <c r="J336" s="957"/>
      <c r="K336" s="957"/>
      <c r="L336" s="957"/>
      <c r="M336" s="957"/>
      <c r="N336" s="957"/>
      <c r="O336" s="957"/>
      <c r="P336" s="957"/>
      <c r="Q336" s="957"/>
    </row>
    <row r="337" spans="10:17">
      <c r="J337" s="957"/>
      <c r="K337" s="957"/>
      <c r="L337" s="957"/>
      <c r="M337" s="957"/>
      <c r="N337" s="957"/>
      <c r="O337" s="957"/>
      <c r="P337" s="957"/>
      <c r="Q337" s="957"/>
    </row>
    <row r="338" spans="10:17">
      <c r="J338" s="957"/>
      <c r="K338" s="957"/>
      <c r="L338" s="957"/>
      <c r="M338" s="957"/>
      <c r="N338" s="957"/>
      <c r="O338" s="957"/>
      <c r="P338" s="957"/>
      <c r="Q338" s="957"/>
    </row>
    <row r="339" spans="10:17">
      <c r="J339" s="957"/>
      <c r="K339" s="957"/>
      <c r="L339" s="957"/>
      <c r="M339" s="957"/>
      <c r="N339" s="957"/>
      <c r="O339" s="957"/>
      <c r="P339" s="957"/>
      <c r="Q339" s="957"/>
    </row>
    <row r="340" spans="10:17">
      <c r="J340" s="957"/>
      <c r="K340" s="957"/>
      <c r="L340" s="957"/>
      <c r="M340" s="957"/>
      <c r="N340" s="957"/>
      <c r="O340" s="957"/>
      <c r="P340" s="957"/>
      <c r="Q340" s="957"/>
    </row>
    <row r="341" spans="10:17">
      <c r="J341" s="957"/>
      <c r="K341" s="957"/>
      <c r="L341" s="957"/>
      <c r="M341" s="957"/>
      <c r="N341" s="957"/>
      <c r="O341" s="957"/>
      <c r="P341" s="957"/>
      <c r="Q341" s="957"/>
    </row>
    <row r="342" spans="10:17">
      <c r="J342" s="957"/>
      <c r="K342" s="957"/>
      <c r="L342" s="957"/>
      <c r="M342" s="957"/>
      <c r="N342" s="957"/>
      <c r="O342" s="957"/>
      <c r="P342" s="957"/>
      <c r="Q342" s="957"/>
    </row>
    <row r="343" spans="10:17">
      <c r="J343" s="957"/>
      <c r="K343" s="957"/>
      <c r="L343" s="957"/>
      <c r="M343" s="957"/>
      <c r="N343" s="957"/>
      <c r="O343" s="957"/>
      <c r="P343" s="957"/>
      <c r="Q343" s="957"/>
    </row>
    <row r="344" spans="10:17">
      <c r="J344" s="957"/>
      <c r="K344" s="957"/>
      <c r="L344" s="957"/>
      <c r="M344" s="957"/>
      <c r="N344" s="957"/>
      <c r="O344" s="957"/>
      <c r="P344" s="957"/>
      <c r="Q344" s="957"/>
    </row>
    <row r="345" spans="10:17">
      <c r="J345" s="957"/>
      <c r="K345" s="957"/>
      <c r="L345" s="957"/>
      <c r="M345" s="957"/>
      <c r="N345" s="957"/>
      <c r="O345" s="957"/>
      <c r="P345" s="957"/>
      <c r="Q345" s="957"/>
    </row>
    <row r="346" spans="10:17">
      <c r="J346" s="957"/>
      <c r="K346" s="957"/>
      <c r="L346" s="957"/>
      <c r="M346" s="957"/>
      <c r="N346" s="957"/>
      <c r="O346" s="957"/>
      <c r="P346" s="957"/>
      <c r="Q346" s="957"/>
    </row>
    <row r="347" spans="10:17">
      <c r="J347" s="957"/>
      <c r="K347" s="957"/>
      <c r="L347" s="957"/>
      <c r="M347" s="957"/>
      <c r="N347" s="957"/>
      <c r="O347" s="957"/>
      <c r="P347" s="957"/>
      <c r="Q347" s="957"/>
    </row>
    <row r="348" spans="10:17">
      <c r="J348" s="957"/>
      <c r="K348" s="957"/>
      <c r="L348" s="957"/>
      <c r="M348" s="957"/>
      <c r="N348" s="957"/>
      <c r="O348" s="957"/>
      <c r="P348" s="957"/>
      <c r="Q348" s="957"/>
    </row>
    <row r="349" spans="10:17">
      <c r="J349" s="957"/>
      <c r="K349" s="957"/>
      <c r="L349" s="957"/>
      <c r="M349" s="957"/>
      <c r="N349" s="957"/>
      <c r="O349" s="957"/>
      <c r="P349" s="957"/>
      <c r="Q349" s="957"/>
    </row>
    <row r="350" spans="10:17">
      <c r="J350" s="957"/>
      <c r="K350" s="957"/>
      <c r="L350" s="957"/>
      <c r="M350" s="957"/>
      <c r="N350" s="957"/>
      <c r="O350" s="957"/>
      <c r="P350" s="957"/>
      <c r="Q350" s="957"/>
    </row>
    <row r="351" spans="10:17">
      <c r="J351" s="957"/>
      <c r="K351" s="957"/>
      <c r="L351" s="957"/>
      <c r="M351" s="957"/>
      <c r="N351" s="957"/>
      <c r="O351" s="957"/>
      <c r="P351" s="957"/>
      <c r="Q351" s="957"/>
    </row>
    <row r="352" spans="10:17">
      <c r="J352" s="957"/>
      <c r="K352" s="957"/>
      <c r="L352" s="957"/>
      <c r="M352" s="957"/>
      <c r="N352" s="957"/>
      <c r="O352" s="957"/>
      <c r="P352" s="957"/>
      <c r="Q352" s="957"/>
    </row>
    <row r="353" spans="10:17">
      <c r="J353" s="957"/>
      <c r="K353" s="957"/>
      <c r="L353" s="957"/>
      <c r="M353" s="957"/>
      <c r="N353" s="957"/>
      <c r="O353" s="957"/>
      <c r="P353" s="957"/>
      <c r="Q353" s="957"/>
    </row>
    <row r="354" spans="10:17">
      <c r="J354" s="957"/>
      <c r="K354" s="957"/>
      <c r="L354" s="957"/>
      <c r="M354" s="957"/>
      <c r="N354" s="957"/>
      <c r="O354" s="957"/>
      <c r="P354" s="957"/>
      <c r="Q354" s="957"/>
    </row>
    <row r="355" spans="10:17">
      <c r="J355" s="957"/>
      <c r="K355" s="957"/>
      <c r="L355" s="957"/>
      <c r="M355" s="957"/>
      <c r="N355" s="957"/>
      <c r="O355" s="957"/>
      <c r="P355" s="957"/>
      <c r="Q355" s="957"/>
    </row>
    <row r="356" spans="10:17">
      <c r="J356" s="957"/>
      <c r="K356" s="957"/>
      <c r="L356" s="957"/>
      <c r="M356" s="957"/>
      <c r="N356" s="957"/>
      <c r="O356" s="957"/>
      <c r="P356" s="957"/>
      <c r="Q356" s="957"/>
    </row>
    <row r="357" spans="10:17">
      <c r="J357" s="957"/>
      <c r="K357" s="957"/>
      <c r="L357" s="957"/>
      <c r="M357" s="957"/>
      <c r="N357" s="957"/>
      <c r="O357" s="957"/>
      <c r="P357" s="957"/>
      <c r="Q357" s="957"/>
    </row>
    <row r="358" spans="10:17">
      <c r="J358" s="957"/>
      <c r="K358" s="957"/>
      <c r="L358" s="957"/>
      <c r="M358" s="957"/>
      <c r="N358" s="957"/>
      <c r="O358" s="957"/>
      <c r="P358" s="957"/>
      <c r="Q358" s="957"/>
    </row>
    <row r="359" spans="10:17">
      <c r="J359" s="957"/>
      <c r="K359" s="957"/>
      <c r="L359" s="957"/>
      <c r="M359" s="957"/>
      <c r="N359" s="957"/>
      <c r="O359" s="957"/>
      <c r="P359" s="957"/>
      <c r="Q359" s="957"/>
    </row>
    <row r="360" spans="10:17">
      <c r="J360" s="957"/>
      <c r="K360" s="957"/>
      <c r="L360" s="957"/>
      <c r="M360" s="957"/>
      <c r="N360" s="957"/>
      <c r="O360" s="957"/>
      <c r="P360" s="957"/>
      <c r="Q360" s="957"/>
    </row>
    <row r="361" spans="10:17">
      <c r="J361" s="957"/>
      <c r="K361" s="957"/>
      <c r="L361" s="957"/>
      <c r="M361" s="957"/>
      <c r="N361" s="957"/>
      <c r="O361" s="957"/>
      <c r="P361" s="957"/>
      <c r="Q361" s="957"/>
    </row>
    <row r="362" spans="10:17">
      <c r="J362" s="957"/>
      <c r="K362" s="957"/>
      <c r="L362" s="957"/>
      <c r="M362" s="957"/>
      <c r="N362" s="957"/>
      <c r="O362" s="957"/>
      <c r="P362" s="957"/>
      <c r="Q362" s="957"/>
    </row>
    <row r="363" spans="10:17">
      <c r="J363" s="957"/>
      <c r="K363" s="957"/>
      <c r="L363" s="957"/>
      <c r="M363" s="957"/>
      <c r="N363" s="957"/>
      <c r="O363" s="957"/>
      <c r="P363" s="957"/>
      <c r="Q363" s="957"/>
    </row>
    <row r="364" spans="10:17">
      <c r="J364" s="957"/>
      <c r="K364" s="957"/>
      <c r="L364" s="957"/>
      <c r="M364" s="957"/>
      <c r="N364" s="957"/>
      <c r="O364" s="957"/>
      <c r="P364" s="957"/>
      <c r="Q364" s="957"/>
    </row>
    <row r="365" spans="10:17">
      <c r="J365" s="957"/>
      <c r="K365" s="957"/>
      <c r="L365" s="957"/>
      <c r="M365" s="957"/>
      <c r="N365" s="957"/>
      <c r="O365" s="957"/>
      <c r="P365" s="957"/>
      <c r="Q365" s="957"/>
    </row>
    <row r="366" spans="10:17">
      <c r="J366" s="957"/>
      <c r="K366" s="957"/>
      <c r="L366" s="957"/>
      <c r="M366" s="957"/>
      <c r="N366" s="957"/>
      <c r="O366" s="957"/>
      <c r="P366" s="957"/>
      <c r="Q366" s="957"/>
    </row>
    <row r="367" spans="10:17">
      <c r="J367" s="957"/>
      <c r="K367" s="957"/>
      <c r="L367" s="957"/>
      <c r="M367" s="957"/>
      <c r="N367" s="957"/>
      <c r="O367" s="957"/>
      <c r="P367" s="957"/>
      <c r="Q367" s="957"/>
    </row>
    <row r="368" spans="10:17">
      <c r="J368" s="957"/>
      <c r="K368" s="957"/>
      <c r="L368" s="957"/>
      <c r="M368" s="957"/>
      <c r="N368" s="957"/>
      <c r="O368" s="957"/>
      <c r="P368" s="957"/>
      <c r="Q368" s="957"/>
    </row>
    <row r="369" spans="10:17">
      <c r="J369" s="957"/>
      <c r="K369" s="957"/>
      <c r="L369" s="957"/>
      <c r="M369" s="957"/>
      <c r="N369" s="957"/>
      <c r="O369" s="957"/>
      <c r="P369" s="957"/>
      <c r="Q369" s="957"/>
    </row>
    <row r="370" spans="10:17">
      <c r="J370" s="957"/>
      <c r="K370" s="957"/>
      <c r="L370" s="957"/>
      <c r="M370" s="957"/>
      <c r="N370" s="957"/>
      <c r="O370" s="957"/>
      <c r="P370" s="957"/>
      <c r="Q370" s="957"/>
    </row>
    <row r="371" spans="10:17">
      <c r="J371" s="957"/>
      <c r="K371" s="957"/>
      <c r="L371" s="957"/>
      <c r="M371" s="957"/>
      <c r="N371" s="957"/>
      <c r="O371" s="957"/>
      <c r="P371" s="957"/>
      <c r="Q371" s="957"/>
    </row>
    <row r="372" spans="10:17">
      <c r="J372" s="957"/>
      <c r="K372" s="957"/>
      <c r="L372" s="957"/>
      <c r="M372" s="957"/>
      <c r="N372" s="957"/>
      <c r="O372" s="957"/>
      <c r="P372" s="957"/>
      <c r="Q372" s="957"/>
    </row>
    <row r="373" spans="10:17">
      <c r="J373" s="957"/>
      <c r="K373" s="957"/>
      <c r="L373" s="957"/>
      <c r="M373" s="957"/>
      <c r="N373" s="957"/>
      <c r="O373" s="957"/>
      <c r="P373" s="957"/>
      <c r="Q373" s="957"/>
    </row>
    <row r="374" spans="10:17">
      <c r="J374" s="957"/>
      <c r="K374" s="957"/>
      <c r="L374" s="957"/>
      <c r="M374" s="957"/>
      <c r="N374" s="957"/>
      <c r="O374" s="957"/>
      <c r="P374" s="957"/>
      <c r="Q374" s="957"/>
    </row>
    <row r="375" spans="10:17">
      <c r="J375" s="957"/>
      <c r="K375" s="957"/>
      <c r="L375" s="957"/>
      <c r="M375" s="957"/>
      <c r="N375" s="957"/>
      <c r="O375" s="957"/>
      <c r="P375" s="957"/>
      <c r="Q375" s="957"/>
    </row>
    <row r="376" spans="10:17">
      <c r="J376" s="957"/>
      <c r="K376" s="957"/>
      <c r="L376" s="957"/>
      <c r="M376" s="957"/>
      <c r="N376" s="957"/>
      <c r="O376" s="957"/>
      <c r="P376" s="957"/>
      <c r="Q376" s="957"/>
    </row>
    <row r="377" spans="10:17">
      <c r="J377" s="957"/>
      <c r="K377" s="957"/>
      <c r="L377" s="957"/>
      <c r="M377" s="957"/>
      <c r="N377" s="957"/>
      <c r="O377" s="957"/>
      <c r="P377" s="957"/>
      <c r="Q377" s="957"/>
    </row>
    <row r="378" spans="10:17">
      <c r="J378" s="957"/>
      <c r="K378" s="957"/>
      <c r="L378" s="957"/>
      <c r="M378" s="957"/>
      <c r="N378" s="957"/>
      <c r="O378" s="957"/>
      <c r="P378" s="957"/>
      <c r="Q378" s="957"/>
    </row>
    <row r="379" spans="10:17">
      <c r="J379" s="957"/>
      <c r="K379" s="957"/>
      <c r="L379" s="957"/>
      <c r="M379" s="957"/>
      <c r="N379" s="957"/>
      <c r="O379" s="957"/>
      <c r="P379" s="957"/>
      <c r="Q379" s="957"/>
    </row>
    <row r="380" spans="10:17">
      <c r="J380" s="957"/>
      <c r="K380" s="957"/>
      <c r="L380" s="957"/>
      <c r="M380" s="957"/>
      <c r="N380" s="957"/>
      <c r="O380" s="957"/>
      <c r="P380" s="957"/>
      <c r="Q380" s="957"/>
    </row>
    <row r="381" spans="10:17">
      <c r="J381" s="957"/>
      <c r="K381" s="957"/>
      <c r="L381" s="957"/>
      <c r="M381" s="957"/>
      <c r="N381" s="957"/>
      <c r="O381" s="957"/>
      <c r="P381" s="957"/>
      <c r="Q381" s="957"/>
    </row>
    <row r="382" spans="10:17">
      <c r="J382" s="957"/>
      <c r="K382" s="957"/>
      <c r="L382" s="957"/>
      <c r="M382" s="957"/>
      <c r="N382" s="957"/>
      <c r="O382" s="957"/>
      <c r="P382" s="957"/>
      <c r="Q382" s="957"/>
    </row>
    <row r="383" spans="10:17">
      <c r="J383" s="957"/>
      <c r="K383" s="957"/>
      <c r="L383" s="957"/>
      <c r="M383" s="957"/>
      <c r="N383" s="957"/>
      <c r="O383" s="957"/>
      <c r="P383" s="957"/>
      <c r="Q383" s="957"/>
    </row>
    <row r="384" spans="10:17">
      <c r="J384" s="957"/>
      <c r="K384" s="957"/>
      <c r="L384" s="957"/>
      <c r="M384" s="957"/>
      <c r="N384" s="957"/>
      <c r="O384" s="957"/>
      <c r="P384" s="957"/>
      <c r="Q384" s="957"/>
    </row>
    <row r="385" spans="10:17">
      <c r="J385" s="957"/>
      <c r="K385" s="957"/>
      <c r="L385" s="957"/>
      <c r="M385" s="957"/>
      <c r="N385" s="957"/>
      <c r="O385" s="957"/>
      <c r="P385" s="957"/>
      <c r="Q385" s="957"/>
    </row>
    <row r="386" spans="10:17">
      <c r="J386" s="957"/>
      <c r="K386" s="957"/>
      <c r="L386" s="957"/>
      <c r="M386" s="957"/>
      <c r="N386" s="957"/>
      <c r="O386" s="957"/>
      <c r="P386" s="957"/>
      <c r="Q386" s="957"/>
    </row>
    <row r="387" spans="10:17">
      <c r="J387" s="957"/>
      <c r="K387" s="957"/>
      <c r="L387" s="957"/>
      <c r="M387" s="957"/>
      <c r="N387" s="957"/>
      <c r="O387" s="957"/>
      <c r="P387" s="957"/>
      <c r="Q387" s="957"/>
    </row>
    <row r="388" spans="10:17">
      <c r="J388" s="957"/>
      <c r="K388" s="957"/>
      <c r="L388" s="957"/>
      <c r="M388" s="957"/>
      <c r="N388" s="957"/>
      <c r="O388" s="957"/>
      <c r="P388" s="957"/>
      <c r="Q388" s="957"/>
    </row>
    <row r="389" spans="10:17">
      <c r="J389" s="957"/>
      <c r="K389" s="957"/>
      <c r="L389" s="957"/>
      <c r="M389" s="957"/>
      <c r="N389" s="957"/>
      <c r="O389" s="957"/>
      <c r="P389" s="957"/>
      <c r="Q389" s="957"/>
    </row>
    <row r="390" spans="10:17">
      <c r="J390" s="957"/>
      <c r="K390" s="957"/>
      <c r="L390" s="957"/>
      <c r="M390" s="957"/>
      <c r="N390" s="957"/>
      <c r="O390" s="957"/>
      <c r="P390" s="957"/>
      <c r="Q390" s="957"/>
    </row>
    <row r="391" spans="10:17">
      <c r="J391" s="957"/>
      <c r="K391" s="957"/>
      <c r="L391" s="957"/>
      <c r="M391" s="957"/>
      <c r="N391" s="957"/>
      <c r="O391" s="957"/>
      <c r="P391" s="957"/>
      <c r="Q391" s="957"/>
    </row>
    <row r="392" spans="10:17">
      <c r="J392" s="957"/>
      <c r="K392" s="957"/>
      <c r="L392" s="957"/>
      <c r="M392" s="957"/>
      <c r="N392" s="957"/>
      <c r="O392" s="957"/>
      <c r="P392" s="957"/>
      <c r="Q392" s="957"/>
    </row>
    <row r="393" spans="10:17">
      <c r="J393" s="957"/>
      <c r="K393" s="957"/>
      <c r="L393" s="957"/>
      <c r="M393" s="957"/>
      <c r="N393" s="957"/>
      <c r="O393" s="957"/>
      <c r="P393" s="957"/>
      <c r="Q393" s="957"/>
    </row>
    <row r="394" spans="10:17">
      <c r="J394" s="957"/>
      <c r="K394" s="957"/>
      <c r="L394" s="957"/>
      <c r="M394" s="957"/>
      <c r="N394" s="957"/>
      <c r="O394" s="957"/>
      <c r="P394" s="957"/>
      <c r="Q394" s="957"/>
    </row>
    <row r="395" spans="10:17">
      <c r="J395" s="957"/>
      <c r="K395" s="957"/>
      <c r="L395" s="957"/>
      <c r="M395" s="957"/>
      <c r="N395" s="957"/>
      <c r="O395" s="957"/>
      <c r="P395" s="957"/>
      <c r="Q395" s="957"/>
    </row>
    <row r="396" spans="10:17">
      <c r="J396" s="957"/>
      <c r="K396" s="957"/>
      <c r="L396" s="957"/>
      <c r="M396" s="957"/>
      <c r="N396" s="957"/>
      <c r="O396" s="957"/>
      <c r="P396" s="957"/>
      <c r="Q396" s="957"/>
    </row>
    <row r="397" spans="10:17">
      <c r="J397" s="957"/>
      <c r="K397" s="957"/>
      <c r="L397" s="957"/>
      <c r="M397" s="957"/>
      <c r="N397" s="957"/>
      <c r="O397" s="957"/>
      <c r="P397" s="957"/>
      <c r="Q397" s="957"/>
    </row>
    <row r="398" spans="10:17">
      <c r="J398" s="957"/>
      <c r="K398" s="957"/>
      <c r="L398" s="957"/>
      <c r="M398" s="957"/>
      <c r="N398" s="957"/>
      <c r="O398" s="957"/>
      <c r="P398" s="957"/>
      <c r="Q398" s="957"/>
    </row>
    <row r="399" spans="10:17">
      <c r="J399" s="957"/>
      <c r="K399" s="957"/>
      <c r="L399" s="957"/>
      <c r="M399" s="957"/>
      <c r="N399" s="957"/>
      <c r="O399" s="957"/>
      <c r="P399" s="957"/>
      <c r="Q399" s="957"/>
    </row>
    <row r="400" spans="10:17">
      <c r="J400" s="957"/>
      <c r="K400" s="957"/>
      <c r="L400" s="957"/>
      <c r="M400" s="957"/>
      <c r="N400" s="957"/>
      <c r="O400" s="957"/>
      <c r="P400" s="957"/>
      <c r="Q400" s="957"/>
    </row>
    <row r="401" spans="10:17">
      <c r="J401" s="957"/>
      <c r="K401" s="957"/>
      <c r="L401" s="957"/>
      <c r="M401" s="957"/>
      <c r="N401" s="957"/>
      <c r="O401" s="957"/>
      <c r="P401" s="957"/>
      <c r="Q401" s="957"/>
    </row>
    <row r="402" spans="10:17">
      <c r="J402" s="957"/>
      <c r="K402" s="957"/>
      <c r="L402" s="957"/>
      <c r="M402" s="957"/>
      <c r="N402" s="957"/>
      <c r="O402" s="957"/>
      <c r="P402" s="957"/>
      <c r="Q402" s="957"/>
    </row>
    <row r="403" spans="10:17">
      <c r="J403" s="957"/>
      <c r="K403" s="957"/>
      <c r="L403" s="957"/>
      <c r="M403" s="957"/>
      <c r="N403" s="957"/>
      <c r="O403" s="957"/>
      <c r="P403" s="957"/>
      <c r="Q403" s="957"/>
    </row>
    <row r="404" spans="10:17">
      <c r="J404" s="957"/>
      <c r="K404" s="957"/>
      <c r="L404" s="957"/>
      <c r="M404" s="957"/>
      <c r="N404" s="957"/>
      <c r="O404" s="957"/>
      <c r="P404" s="957"/>
      <c r="Q404" s="957"/>
    </row>
    <row r="405" spans="10:17">
      <c r="J405" s="957"/>
      <c r="K405" s="957"/>
      <c r="L405" s="957"/>
      <c r="M405" s="957"/>
      <c r="N405" s="957"/>
      <c r="O405" s="957"/>
      <c r="P405" s="957"/>
      <c r="Q405" s="957"/>
    </row>
    <row r="406" spans="10:17">
      <c r="J406" s="957"/>
      <c r="K406" s="957"/>
      <c r="L406" s="957"/>
      <c r="M406" s="957"/>
      <c r="N406" s="957"/>
      <c r="O406" s="957"/>
      <c r="P406" s="957"/>
      <c r="Q406" s="957"/>
    </row>
    <row r="407" spans="10:17">
      <c r="J407" s="957"/>
      <c r="K407" s="957"/>
      <c r="L407" s="957"/>
      <c r="M407" s="957"/>
      <c r="N407" s="957"/>
      <c r="O407" s="957"/>
      <c r="P407" s="957"/>
      <c r="Q407" s="957"/>
    </row>
    <row r="408" spans="10:17">
      <c r="J408" s="957"/>
      <c r="K408" s="957"/>
      <c r="L408" s="957"/>
      <c r="M408" s="957"/>
      <c r="N408" s="957"/>
      <c r="O408" s="957"/>
      <c r="P408" s="957"/>
      <c r="Q408" s="957"/>
    </row>
    <row r="409" spans="10:17">
      <c r="J409" s="957"/>
      <c r="K409" s="957"/>
      <c r="L409" s="957"/>
      <c r="M409" s="957"/>
      <c r="N409" s="957"/>
      <c r="O409" s="957"/>
      <c r="P409" s="957"/>
      <c r="Q409" s="957"/>
    </row>
    <row r="410" spans="10:17">
      <c r="J410" s="957"/>
      <c r="K410" s="957"/>
      <c r="L410" s="957"/>
      <c r="M410" s="957"/>
      <c r="N410" s="957"/>
      <c r="O410" s="957"/>
      <c r="P410" s="957"/>
      <c r="Q410" s="957"/>
    </row>
    <row r="411" spans="10:17">
      <c r="J411" s="957"/>
      <c r="K411" s="957"/>
      <c r="L411" s="957"/>
      <c r="M411" s="957"/>
      <c r="N411" s="957"/>
      <c r="O411" s="957"/>
      <c r="P411" s="957"/>
      <c r="Q411" s="957"/>
    </row>
    <row r="412" spans="10:17">
      <c r="J412" s="957"/>
      <c r="K412" s="957"/>
      <c r="L412" s="957"/>
      <c r="M412" s="957"/>
      <c r="N412" s="957"/>
      <c r="O412" s="957"/>
      <c r="P412" s="957"/>
      <c r="Q412" s="957"/>
    </row>
    <row r="413" spans="10:17">
      <c r="J413" s="957"/>
      <c r="K413" s="957"/>
      <c r="L413" s="957"/>
      <c r="M413" s="957"/>
      <c r="N413" s="957"/>
      <c r="O413" s="957"/>
      <c r="P413" s="957"/>
      <c r="Q413" s="957"/>
    </row>
    <row r="414" spans="10:17">
      <c r="J414" s="957"/>
      <c r="K414" s="957"/>
      <c r="L414" s="957"/>
      <c r="M414" s="957"/>
      <c r="N414" s="957"/>
      <c r="O414" s="957"/>
      <c r="P414" s="957"/>
      <c r="Q414" s="957"/>
    </row>
    <row r="415" spans="10:17">
      <c r="J415" s="957"/>
      <c r="K415" s="957"/>
      <c r="L415" s="957"/>
      <c r="M415" s="957"/>
      <c r="N415" s="957"/>
      <c r="O415" s="957"/>
      <c r="P415" s="957"/>
      <c r="Q415" s="957"/>
    </row>
    <row r="416" spans="10:17">
      <c r="J416" s="957"/>
      <c r="K416" s="957"/>
      <c r="L416" s="957"/>
      <c r="M416" s="957"/>
      <c r="N416" s="957"/>
      <c r="O416" s="957"/>
      <c r="P416" s="957"/>
      <c r="Q416" s="957"/>
    </row>
    <row r="417" spans="10:17">
      <c r="J417" s="957"/>
      <c r="K417" s="957"/>
      <c r="L417" s="957"/>
      <c r="M417" s="957"/>
      <c r="N417" s="957"/>
      <c r="O417" s="957"/>
      <c r="P417" s="957"/>
      <c r="Q417" s="957"/>
    </row>
    <row r="418" spans="10:17">
      <c r="J418" s="957"/>
      <c r="K418" s="957"/>
      <c r="L418" s="957"/>
      <c r="M418" s="957"/>
      <c r="N418" s="957"/>
      <c r="O418" s="957"/>
      <c r="P418" s="957"/>
      <c r="Q418" s="957"/>
    </row>
    <row r="419" spans="10:17">
      <c r="J419" s="957"/>
      <c r="K419" s="957"/>
      <c r="L419" s="957"/>
      <c r="M419" s="957"/>
      <c r="N419" s="957"/>
      <c r="O419" s="957"/>
      <c r="P419" s="957"/>
      <c r="Q419" s="957"/>
    </row>
    <row r="420" spans="10:17">
      <c r="J420" s="957"/>
      <c r="K420" s="957"/>
      <c r="L420" s="957"/>
      <c r="M420" s="957"/>
      <c r="N420" s="957"/>
      <c r="O420" s="957"/>
      <c r="P420" s="957"/>
      <c r="Q420" s="957"/>
    </row>
    <row r="421" spans="10:17">
      <c r="J421" s="957"/>
      <c r="K421" s="957"/>
      <c r="L421" s="957"/>
      <c r="M421" s="957"/>
      <c r="N421" s="957"/>
      <c r="O421" s="957"/>
      <c r="P421" s="957"/>
      <c r="Q421" s="957"/>
    </row>
    <row r="422" spans="10:17">
      <c r="J422" s="957"/>
      <c r="K422" s="957"/>
      <c r="L422" s="957"/>
      <c r="M422" s="957"/>
      <c r="N422" s="957"/>
      <c r="O422" s="957"/>
      <c r="P422" s="957"/>
      <c r="Q422" s="957"/>
    </row>
    <row r="423" spans="10:17">
      <c r="J423" s="957"/>
      <c r="K423" s="957"/>
      <c r="L423" s="957"/>
      <c r="M423" s="957"/>
      <c r="N423" s="957"/>
      <c r="O423" s="957"/>
      <c r="P423" s="957"/>
      <c r="Q423" s="957"/>
    </row>
    <row r="424" spans="10:17">
      <c r="J424" s="957"/>
      <c r="K424" s="957"/>
      <c r="L424" s="957"/>
      <c r="M424" s="957"/>
      <c r="N424" s="957"/>
      <c r="O424" s="957"/>
      <c r="P424" s="957"/>
      <c r="Q424" s="957"/>
    </row>
    <row r="425" spans="10:17">
      <c r="J425" s="957"/>
      <c r="K425" s="957"/>
      <c r="L425" s="957"/>
      <c r="M425" s="957"/>
      <c r="N425" s="957"/>
      <c r="O425" s="957"/>
      <c r="P425" s="957"/>
      <c r="Q425" s="957"/>
    </row>
    <row r="426" spans="10:17">
      <c r="J426" s="957"/>
      <c r="K426" s="957"/>
      <c r="L426" s="957"/>
      <c r="M426" s="957"/>
      <c r="N426" s="957"/>
      <c r="O426" s="957"/>
      <c r="P426" s="957"/>
      <c r="Q426" s="957"/>
    </row>
    <row r="427" spans="10:17">
      <c r="J427" s="957"/>
      <c r="K427" s="957"/>
      <c r="L427" s="957"/>
      <c r="M427" s="957"/>
      <c r="N427" s="957"/>
      <c r="O427" s="957"/>
      <c r="P427" s="957"/>
      <c r="Q427" s="957"/>
    </row>
    <row r="428" spans="10:17">
      <c r="J428" s="957"/>
      <c r="K428" s="957"/>
      <c r="L428" s="957"/>
      <c r="M428" s="957"/>
      <c r="N428" s="957"/>
      <c r="O428" s="957"/>
      <c r="P428" s="957"/>
      <c r="Q428" s="957"/>
    </row>
    <row r="429" spans="10:17">
      <c r="J429" s="957"/>
      <c r="K429" s="957"/>
      <c r="L429" s="957"/>
      <c r="M429" s="957"/>
      <c r="N429" s="957"/>
      <c r="O429" s="957"/>
      <c r="P429" s="957"/>
      <c r="Q429" s="957"/>
    </row>
    <row r="430" spans="10:17">
      <c r="J430" s="957"/>
      <c r="K430" s="957"/>
      <c r="L430" s="957"/>
      <c r="M430" s="957"/>
      <c r="N430" s="957"/>
      <c r="O430" s="957"/>
      <c r="P430" s="957"/>
      <c r="Q430" s="957"/>
    </row>
    <row r="431" spans="10:17">
      <c r="J431" s="957"/>
      <c r="K431" s="957"/>
      <c r="L431" s="957"/>
      <c r="M431" s="957"/>
      <c r="N431" s="957"/>
      <c r="O431" s="957"/>
      <c r="P431" s="957"/>
      <c r="Q431" s="957"/>
    </row>
    <row r="432" spans="10:17">
      <c r="J432" s="957"/>
      <c r="K432" s="957"/>
      <c r="L432" s="957"/>
      <c r="M432" s="957"/>
      <c r="N432" s="957"/>
      <c r="O432" s="957"/>
      <c r="P432" s="957"/>
      <c r="Q432" s="957"/>
    </row>
    <row r="433" spans="10:17">
      <c r="J433" s="957"/>
      <c r="K433" s="957"/>
      <c r="L433" s="957"/>
      <c r="M433" s="957"/>
      <c r="N433" s="957"/>
      <c r="O433" s="957"/>
      <c r="P433" s="957"/>
      <c r="Q433" s="957"/>
    </row>
    <row r="434" spans="10:17">
      <c r="J434" s="957"/>
      <c r="K434" s="957"/>
      <c r="L434" s="957"/>
      <c r="M434" s="957"/>
      <c r="N434" s="957"/>
      <c r="O434" s="957"/>
      <c r="P434" s="957"/>
      <c r="Q434" s="957"/>
    </row>
    <row r="435" spans="10:17">
      <c r="J435" s="957"/>
      <c r="K435" s="957"/>
      <c r="L435" s="957"/>
      <c r="M435" s="957"/>
      <c r="N435" s="957"/>
      <c r="O435" s="957"/>
      <c r="P435" s="957"/>
      <c r="Q435" s="957"/>
    </row>
    <row r="436" spans="10:17">
      <c r="J436" s="957"/>
      <c r="K436" s="957"/>
      <c r="L436" s="957"/>
      <c r="M436" s="957"/>
      <c r="N436" s="957"/>
      <c r="O436" s="957"/>
      <c r="P436" s="957"/>
      <c r="Q436" s="957"/>
    </row>
    <row r="437" spans="10:17">
      <c r="J437" s="957"/>
      <c r="K437" s="957"/>
      <c r="L437" s="957"/>
      <c r="M437" s="957"/>
      <c r="N437" s="957"/>
      <c r="O437" s="957"/>
      <c r="P437" s="957"/>
      <c r="Q437" s="957"/>
    </row>
    <row r="438" spans="10:17">
      <c r="J438" s="957"/>
      <c r="K438" s="957"/>
      <c r="L438" s="957"/>
      <c r="M438" s="957"/>
      <c r="N438" s="957"/>
      <c r="O438" s="957"/>
      <c r="P438" s="957"/>
      <c r="Q438" s="957"/>
    </row>
    <row r="439" spans="10:17">
      <c r="J439" s="957"/>
      <c r="K439" s="957"/>
      <c r="L439" s="957"/>
      <c r="M439" s="957"/>
      <c r="N439" s="957"/>
      <c r="O439" s="957"/>
      <c r="P439" s="957"/>
      <c r="Q439" s="957"/>
    </row>
    <row r="440" spans="10:17">
      <c r="J440" s="957"/>
      <c r="K440" s="957"/>
      <c r="L440" s="957"/>
      <c r="M440" s="957"/>
      <c r="N440" s="957"/>
      <c r="O440" s="957"/>
      <c r="P440" s="957"/>
      <c r="Q440" s="957"/>
    </row>
    <row r="441" spans="10:17">
      <c r="J441" s="957"/>
      <c r="K441" s="957"/>
      <c r="L441" s="957"/>
      <c r="M441" s="957"/>
      <c r="N441" s="957"/>
      <c r="O441" s="957"/>
      <c r="P441" s="957"/>
      <c r="Q441" s="957"/>
    </row>
    <row r="442" spans="10:17">
      <c r="J442" s="957"/>
      <c r="K442" s="957"/>
      <c r="L442" s="957"/>
      <c r="M442" s="957"/>
      <c r="N442" s="957"/>
      <c r="O442" s="957"/>
      <c r="P442" s="957"/>
      <c r="Q442" s="957"/>
    </row>
    <row r="443" spans="10:17">
      <c r="J443" s="957"/>
      <c r="K443" s="957"/>
      <c r="L443" s="957"/>
      <c r="M443" s="957"/>
      <c r="N443" s="957"/>
      <c r="O443" s="957"/>
      <c r="P443" s="957"/>
      <c r="Q443" s="957"/>
    </row>
    <row r="444" spans="10:17">
      <c r="J444" s="957"/>
      <c r="K444" s="957"/>
      <c r="L444" s="957"/>
      <c r="M444" s="957"/>
      <c r="N444" s="957"/>
      <c r="O444" s="957"/>
      <c r="P444" s="957"/>
      <c r="Q444" s="957"/>
    </row>
    <row r="445" spans="10:17">
      <c r="J445" s="957"/>
      <c r="K445" s="957"/>
      <c r="L445" s="957"/>
      <c r="M445" s="957"/>
      <c r="N445" s="957"/>
      <c r="O445" s="957"/>
      <c r="P445" s="957"/>
      <c r="Q445" s="957"/>
    </row>
    <row r="446" spans="10:17">
      <c r="J446" s="957"/>
      <c r="K446" s="957"/>
      <c r="L446" s="957"/>
      <c r="M446" s="957"/>
      <c r="N446" s="957"/>
      <c r="O446" s="957"/>
      <c r="P446" s="957"/>
      <c r="Q446" s="957"/>
    </row>
    <row r="447" spans="10:17">
      <c r="J447" s="957"/>
      <c r="K447" s="957"/>
      <c r="L447" s="957"/>
      <c r="M447" s="957"/>
      <c r="N447" s="957"/>
      <c r="O447" s="957"/>
      <c r="P447" s="957"/>
      <c r="Q447" s="957"/>
    </row>
    <row r="448" spans="10:17">
      <c r="J448" s="957"/>
      <c r="K448" s="957"/>
      <c r="L448" s="957"/>
      <c r="M448" s="957"/>
      <c r="N448" s="957"/>
      <c r="O448" s="957"/>
      <c r="P448" s="957"/>
      <c r="Q448" s="957"/>
    </row>
    <row r="449" spans="10:17">
      <c r="J449" s="957"/>
      <c r="K449" s="957"/>
      <c r="L449" s="957"/>
      <c r="M449" s="957"/>
      <c r="N449" s="957"/>
      <c r="O449" s="957"/>
      <c r="P449" s="957"/>
      <c r="Q449" s="957"/>
    </row>
    <row r="450" spans="10:17">
      <c r="J450" s="957"/>
      <c r="K450" s="957"/>
      <c r="L450" s="957"/>
      <c r="M450" s="957"/>
      <c r="N450" s="957"/>
      <c r="O450" s="957"/>
      <c r="P450" s="957"/>
      <c r="Q450" s="957"/>
    </row>
    <row r="451" spans="10:17">
      <c r="J451" s="957"/>
      <c r="K451" s="957"/>
      <c r="L451" s="957"/>
      <c r="M451" s="957"/>
      <c r="N451" s="957"/>
      <c r="O451" s="957"/>
      <c r="P451" s="957"/>
      <c r="Q451" s="957"/>
    </row>
    <row r="452" spans="10:17">
      <c r="J452" s="957"/>
      <c r="K452" s="957"/>
      <c r="L452" s="957"/>
      <c r="M452" s="957"/>
      <c r="N452" s="957"/>
      <c r="O452" s="957"/>
      <c r="P452" s="957"/>
      <c r="Q452" s="957"/>
    </row>
    <row r="453" spans="10:17">
      <c r="J453" s="957"/>
      <c r="K453" s="957"/>
      <c r="L453" s="957"/>
      <c r="M453" s="957"/>
      <c r="N453" s="957"/>
      <c r="O453" s="957"/>
      <c r="P453" s="957"/>
      <c r="Q453" s="957"/>
    </row>
    <row r="454" spans="10:17">
      <c r="J454" s="957"/>
      <c r="K454" s="957"/>
      <c r="L454" s="957"/>
      <c r="M454" s="957"/>
      <c r="N454" s="957"/>
      <c r="O454" s="957"/>
      <c r="P454" s="957"/>
      <c r="Q454" s="957"/>
    </row>
    <row r="455" spans="10:17">
      <c r="J455" s="957"/>
      <c r="K455" s="957"/>
      <c r="L455" s="957"/>
      <c r="M455" s="957"/>
      <c r="N455" s="957"/>
      <c r="O455" s="957"/>
      <c r="P455" s="957"/>
      <c r="Q455" s="957"/>
    </row>
    <row r="456" spans="10:17">
      <c r="J456" s="957"/>
      <c r="K456" s="957"/>
      <c r="L456" s="957"/>
      <c r="M456" s="957"/>
      <c r="N456" s="957"/>
      <c r="O456" s="957"/>
      <c r="P456" s="957"/>
      <c r="Q456" s="957"/>
    </row>
    <row r="457" spans="10:17">
      <c r="J457" s="957"/>
      <c r="K457" s="957"/>
      <c r="L457" s="957"/>
      <c r="M457" s="957"/>
      <c r="N457" s="957"/>
      <c r="O457" s="957"/>
      <c r="P457" s="957"/>
      <c r="Q457" s="957"/>
    </row>
    <row r="458" spans="10:17">
      <c r="J458" s="957"/>
      <c r="K458" s="957"/>
      <c r="L458" s="957"/>
      <c r="M458" s="957"/>
      <c r="N458" s="957"/>
      <c r="O458" s="957"/>
      <c r="P458" s="957"/>
      <c r="Q458" s="957"/>
    </row>
    <row r="459" spans="10:17">
      <c r="J459" s="957"/>
      <c r="K459" s="957"/>
      <c r="L459" s="957"/>
      <c r="M459" s="957"/>
      <c r="N459" s="957"/>
      <c r="O459" s="957"/>
      <c r="P459" s="957"/>
      <c r="Q459" s="957"/>
    </row>
    <row r="460" spans="10:17">
      <c r="J460" s="957"/>
      <c r="K460" s="957"/>
      <c r="L460" s="957"/>
      <c r="M460" s="957"/>
      <c r="N460" s="957"/>
      <c r="O460" s="957"/>
      <c r="P460" s="957"/>
      <c r="Q460" s="957"/>
    </row>
    <row r="461" spans="10:17">
      <c r="J461" s="957"/>
      <c r="K461" s="957"/>
      <c r="L461" s="957"/>
      <c r="M461" s="957"/>
      <c r="N461" s="957"/>
      <c r="O461" s="957"/>
      <c r="P461" s="957"/>
      <c r="Q461" s="957"/>
    </row>
    <row r="462" spans="10:17">
      <c r="J462" s="957"/>
      <c r="K462" s="957"/>
      <c r="L462" s="957"/>
      <c r="M462" s="957"/>
      <c r="N462" s="957"/>
      <c r="O462" s="957"/>
      <c r="P462" s="957"/>
      <c r="Q462" s="957"/>
    </row>
    <row r="463" spans="10:17">
      <c r="J463" s="957"/>
      <c r="K463" s="957"/>
      <c r="L463" s="957"/>
      <c r="M463" s="957"/>
      <c r="N463" s="957"/>
      <c r="O463" s="957"/>
      <c r="P463" s="957"/>
      <c r="Q463" s="957"/>
    </row>
    <row r="464" spans="10:17">
      <c r="J464" s="957"/>
      <c r="K464" s="957"/>
      <c r="L464" s="957"/>
      <c r="M464" s="957"/>
      <c r="N464" s="957"/>
      <c r="O464" s="957"/>
      <c r="P464" s="957"/>
      <c r="Q464" s="957"/>
    </row>
    <row r="465" spans="10:17">
      <c r="J465" s="957"/>
      <c r="K465" s="957"/>
      <c r="L465" s="957"/>
      <c r="M465" s="957"/>
      <c r="N465" s="957"/>
      <c r="O465" s="957"/>
      <c r="P465" s="957"/>
      <c r="Q465" s="957"/>
    </row>
    <row r="466" spans="10:17">
      <c r="J466" s="957"/>
      <c r="K466" s="957"/>
      <c r="L466" s="957"/>
      <c r="M466" s="957"/>
      <c r="N466" s="957"/>
      <c r="O466" s="957"/>
      <c r="P466" s="957"/>
      <c r="Q466" s="957"/>
    </row>
    <row r="467" spans="10:17">
      <c r="J467" s="957"/>
      <c r="K467" s="957"/>
      <c r="L467" s="957"/>
      <c r="M467" s="957"/>
      <c r="N467" s="957"/>
      <c r="O467" s="957"/>
      <c r="P467" s="957"/>
      <c r="Q467" s="957"/>
    </row>
    <row r="468" spans="10:17">
      <c r="J468" s="957"/>
      <c r="K468" s="957"/>
      <c r="L468" s="957"/>
      <c r="M468" s="957"/>
      <c r="N468" s="957"/>
      <c r="O468" s="957"/>
      <c r="P468" s="957"/>
      <c r="Q468" s="957"/>
    </row>
    <row r="469" spans="10:17">
      <c r="J469" s="957"/>
      <c r="K469" s="957"/>
      <c r="L469" s="957"/>
      <c r="M469" s="957"/>
      <c r="N469" s="957"/>
      <c r="O469" s="957"/>
      <c r="P469" s="957"/>
      <c r="Q469" s="957"/>
    </row>
    <row r="470" spans="10:17">
      <c r="J470" s="957"/>
      <c r="K470" s="957"/>
      <c r="L470" s="957"/>
      <c r="M470" s="957"/>
      <c r="N470" s="957"/>
      <c r="O470" s="957"/>
      <c r="P470" s="957"/>
      <c r="Q470" s="957"/>
    </row>
    <row r="471" spans="10:17">
      <c r="J471" s="957"/>
      <c r="K471" s="957"/>
      <c r="L471" s="957"/>
      <c r="M471" s="957"/>
      <c r="N471" s="957"/>
      <c r="O471" s="957"/>
      <c r="P471" s="957"/>
      <c r="Q471" s="957"/>
    </row>
    <row r="472" spans="10:17">
      <c r="J472" s="957"/>
      <c r="K472" s="957"/>
      <c r="L472" s="957"/>
      <c r="M472" s="957"/>
      <c r="N472" s="957"/>
      <c r="O472" s="957"/>
      <c r="P472" s="957"/>
      <c r="Q472" s="957"/>
    </row>
    <row r="473" spans="10:17">
      <c r="J473" s="957"/>
      <c r="K473" s="957"/>
      <c r="L473" s="957"/>
      <c r="M473" s="957"/>
      <c r="N473" s="957"/>
      <c r="O473" s="957"/>
      <c r="P473" s="957"/>
      <c r="Q473" s="957"/>
    </row>
    <row r="474" spans="10:17">
      <c r="J474" s="957"/>
      <c r="K474" s="957"/>
      <c r="L474" s="957"/>
      <c r="M474" s="957"/>
      <c r="N474" s="957"/>
      <c r="O474" s="957"/>
      <c r="P474" s="957"/>
      <c r="Q474" s="957"/>
    </row>
    <row r="475" spans="10:17">
      <c r="J475" s="957"/>
      <c r="K475" s="957"/>
      <c r="L475" s="957"/>
      <c r="M475" s="957"/>
      <c r="N475" s="957"/>
      <c r="O475" s="957"/>
      <c r="P475" s="957"/>
      <c r="Q475" s="957"/>
    </row>
    <row r="476" spans="10:17">
      <c r="J476" s="957"/>
      <c r="K476" s="957"/>
      <c r="L476" s="957"/>
      <c r="M476" s="957"/>
      <c r="N476" s="957"/>
      <c r="O476" s="957"/>
      <c r="P476" s="957"/>
      <c r="Q476" s="957"/>
    </row>
    <row r="477" spans="10:17">
      <c r="J477" s="957"/>
      <c r="K477" s="957"/>
      <c r="L477" s="957"/>
      <c r="M477" s="957"/>
      <c r="N477" s="957"/>
      <c r="O477" s="957"/>
      <c r="P477" s="957"/>
      <c r="Q477" s="957"/>
    </row>
    <row r="478" spans="10:17">
      <c r="J478" s="957"/>
      <c r="K478" s="957"/>
      <c r="L478" s="957"/>
      <c r="M478" s="957"/>
      <c r="N478" s="957"/>
      <c r="O478" s="957"/>
      <c r="P478" s="957"/>
      <c r="Q478" s="957"/>
    </row>
    <row r="479" spans="10:17">
      <c r="J479" s="957"/>
      <c r="K479" s="957"/>
      <c r="L479" s="957"/>
      <c r="M479" s="957"/>
      <c r="N479" s="957"/>
      <c r="O479" s="957"/>
      <c r="P479" s="957"/>
      <c r="Q479" s="957"/>
    </row>
    <row r="480" spans="10:17">
      <c r="J480" s="957"/>
      <c r="K480" s="957"/>
      <c r="L480" s="957"/>
      <c r="M480" s="957"/>
      <c r="N480" s="957"/>
      <c r="O480" s="957"/>
      <c r="P480" s="957"/>
      <c r="Q480" s="957"/>
    </row>
    <row r="481" spans="10:17">
      <c r="J481" s="957"/>
      <c r="K481" s="957"/>
      <c r="L481" s="957"/>
      <c r="M481" s="957"/>
      <c r="N481" s="957"/>
      <c r="O481" s="957"/>
      <c r="P481" s="957"/>
      <c r="Q481" s="957"/>
    </row>
    <row r="482" spans="10:17">
      <c r="J482" s="957"/>
      <c r="K482" s="957"/>
      <c r="L482" s="957"/>
      <c r="M482" s="957"/>
      <c r="N482" s="957"/>
      <c r="O482" s="957"/>
      <c r="P482" s="957"/>
      <c r="Q482" s="957"/>
    </row>
    <row r="483" spans="10:17">
      <c r="J483" s="957"/>
      <c r="K483" s="957"/>
      <c r="L483" s="957"/>
      <c r="M483" s="957"/>
      <c r="N483" s="957"/>
      <c r="O483" s="957"/>
      <c r="P483" s="957"/>
      <c r="Q483" s="957"/>
    </row>
    <row r="484" spans="10:17">
      <c r="J484" s="957"/>
      <c r="K484" s="957"/>
      <c r="L484" s="957"/>
      <c r="M484" s="957"/>
      <c r="N484" s="957"/>
      <c r="O484" s="957"/>
      <c r="P484" s="957"/>
      <c r="Q484" s="957"/>
    </row>
    <row r="485" spans="10:17">
      <c r="J485" s="957"/>
      <c r="K485" s="957"/>
      <c r="L485" s="957"/>
      <c r="M485" s="957"/>
      <c r="N485" s="957"/>
      <c r="O485" s="957"/>
      <c r="P485" s="957"/>
      <c r="Q485" s="957"/>
    </row>
    <row r="486" spans="10:17">
      <c r="J486" s="957"/>
      <c r="K486" s="957"/>
      <c r="L486" s="957"/>
      <c r="M486" s="957"/>
      <c r="N486" s="957"/>
      <c r="O486" s="957"/>
      <c r="P486" s="957"/>
      <c r="Q486" s="957"/>
    </row>
    <row r="487" spans="10:17">
      <c r="J487" s="957"/>
      <c r="K487" s="957"/>
      <c r="L487" s="957"/>
      <c r="M487" s="957"/>
      <c r="N487" s="957"/>
      <c r="O487" s="957"/>
      <c r="P487" s="957"/>
      <c r="Q487" s="957"/>
    </row>
    <row r="488" spans="10:17">
      <c r="J488" s="957"/>
      <c r="K488" s="957"/>
      <c r="L488" s="957"/>
      <c r="M488" s="957"/>
      <c r="N488" s="957"/>
      <c r="O488" s="957"/>
      <c r="P488" s="957"/>
      <c r="Q488" s="957"/>
    </row>
    <row r="489" spans="10:17">
      <c r="J489" s="957"/>
      <c r="K489" s="957"/>
      <c r="L489" s="957"/>
      <c r="M489" s="957"/>
      <c r="N489" s="957"/>
      <c r="O489" s="957"/>
      <c r="P489" s="957"/>
      <c r="Q489" s="957"/>
    </row>
    <row r="490" spans="10:17">
      <c r="J490" s="957"/>
      <c r="K490" s="957"/>
      <c r="L490" s="957"/>
      <c r="M490" s="957"/>
      <c r="N490" s="957"/>
      <c r="O490" s="957"/>
      <c r="P490" s="957"/>
      <c r="Q490" s="957"/>
    </row>
    <row r="491" spans="10:17">
      <c r="J491" s="957"/>
      <c r="K491" s="957"/>
      <c r="L491" s="957"/>
      <c r="M491" s="957"/>
      <c r="N491" s="957"/>
      <c r="O491" s="957"/>
      <c r="P491" s="957"/>
      <c r="Q491" s="957"/>
    </row>
    <row r="492" spans="10:17">
      <c r="J492" s="957"/>
      <c r="K492" s="957"/>
      <c r="L492" s="957"/>
      <c r="M492" s="957"/>
      <c r="N492" s="957"/>
      <c r="O492" s="957"/>
      <c r="P492" s="957"/>
      <c r="Q492" s="957"/>
    </row>
    <row r="493" spans="10:17">
      <c r="J493" s="957"/>
      <c r="K493" s="957"/>
      <c r="L493" s="957"/>
      <c r="M493" s="957"/>
      <c r="N493" s="957"/>
      <c r="O493" s="957"/>
      <c r="P493" s="957"/>
      <c r="Q493" s="957"/>
    </row>
    <row r="494" spans="10:17">
      <c r="J494" s="957"/>
      <c r="K494" s="957"/>
      <c r="L494" s="957"/>
      <c r="M494" s="957"/>
      <c r="N494" s="957"/>
      <c r="O494" s="957"/>
      <c r="P494" s="957"/>
      <c r="Q494" s="957"/>
    </row>
    <row r="495" spans="10:17">
      <c r="J495" s="957"/>
      <c r="K495" s="957"/>
      <c r="L495" s="957"/>
      <c r="M495" s="957"/>
      <c r="N495" s="957"/>
      <c r="O495" s="957"/>
      <c r="P495" s="957"/>
      <c r="Q495" s="957"/>
    </row>
    <row r="496" spans="10:17">
      <c r="J496" s="957"/>
      <c r="K496" s="957"/>
      <c r="L496" s="957"/>
      <c r="M496" s="957"/>
      <c r="N496" s="957"/>
      <c r="O496" s="957"/>
      <c r="P496" s="957"/>
      <c r="Q496" s="957"/>
    </row>
    <row r="497" spans="10:17">
      <c r="J497" s="957"/>
      <c r="K497" s="957"/>
      <c r="L497" s="957"/>
      <c r="M497" s="957"/>
      <c r="N497" s="957"/>
      <c r="O497" s="957"/>
      <c r="P497" s="957"/>
      <c r="Q497" s="957"/>
    </row>
    <row r="498" spans="10:17">
      <c r="J498" s="957"/>
      <c r="K498" s="957"/>
      <c r="L498" s="957"/>
      <c r="M498" s="957"/>
      <c r="N498" s="957"/>
      <c r="O498" s="957"/>
      <c r="P498" s="957"/>
      <c r="Q498" s="957"/>
    </row>
    <row r="499" spans="10:17">
      <c r="J499" s="957"/>
      <c r="K499" s="957"/>
      <c r="L499" s="957"/>
      <c r="M499" s="957"/>
      <c r="N499" s="957"/>
      <c r="O499" s="957"/>
      <c r="P499" s="957"/>
      <c r="Q499" s="957"/>
    </row>
    <row r="500" spans="10:17">
      <c r="J500" s="957"/>
      <c r="K500" s="957"/>
      <c r="L500" s="957"/>
      <c r="M500" s="957"/>
      <c r="N500" s="957"/>
      <c r="O500" s="957"/>
      <c r="P500" s="957"/>
      <c r="Q500" s="957"/>
    </row>
    <row r="501" spans="10:17">
      <c r="J501" s="957"/>
      <c r="K501" s="957"/>
      <c r="L501" s="957"/>
      <c r="M501" s="957"/>
      <c r="N501" s="957"/>
      <c r="O501" s="957"/>
      <c r="P501" s="957"/>
      <c r="Q501" s="957"/>
    </row>
    <row r="502" spans="10:17">
      <c r="J502" s="957"/>
      <c r="K502" s="957"/>
      <c r="L502" s="957"/>
      <c r="M502" s="957"/>
      <c r="N502" s="957"/>
      <c r="O502" s="957"/>
      <c r="P502" s="957"/>
      <c r="Q502" s="957"/>
    </row>
    <row r="503" spans="10:17">
      <c r="J503" s="957"/>
      <c r="K503" s="957"/>
      <c r="L503" s="957"/>
      <c r="M503" s="957"/>
      <c r="N503" s="957"/>
      <c r="O503" s="957"/>
      <c r="P503" s="957"/>
      <c r="Q503" s="957"/>
    </row>
    <row r="504" spans="10:17">
      <c r="J504" s="957"/>
      <c r="K504" s="957"/>
      <c r="L504" s="957"/>
      <c r="M504" s="957"/>
      <c r="N504" s="957"/>
      <c r="O504" s="957"/>
      <c r="P504" s="957"/>
      <c r="Q504" s="957"/>
    </row>
    <row r="505" spans="10:17">
      <c r="J505" s="957"/>
      <c r="K505" s="957"/>
      <c r="L505" s="957"/>
      <c r="M505" s="957"/>
      <c r="N505" s="957"/>
      <c r="O505" s="957"/>
      <c r="P505" s="957"/>
      <c r="Q505" s="957"/>
    </row>
    <row r="506" spans="10:17">
      <c r="J506" s="957"/>
      <c r="K506" s="957"/>
      <c r="L506" s="957"/>
      <c r="M506" s="957"/>
      <c r="N506" s="957"/>
      <c r="O506" s="957"/>
      <c r="P506" s="957"/>
      <c r="Q506" s="957"/>
    </row>
    <row r="507" spans="10:17">
      <c r="J507" s="957"/>
      <c r="K507" s="957"/>
      <c r="L507" s="957"/>
      <c r="M507" s="957"/>
      <c r="N507" s="957"/>
      <c r="O507" s="957"/>
      <c r="P507" s="957"/>
      <c r="Q507" s="957"/>
    </row>
    <row r="508" spans="10:17">
      <c r="J508" s="957"/>
      <c r="K508" s="957"/>
      <c r="L508" s="957"/>
      <c r="M508" s="957"/>
      <c r="N508" s="957"/>
      <c r="O508" s="957"/>
      <c r="P508" s="957"/>
      <c r="Q508" s="957"/>
    </row>
    <row r="509" spans="10:17">
      <c r="J509" s="957"/>
      <c r="K509" s="957"/>
      <c r="L509" s="957"/>
      <c r="M509" s="957"/>
      <c r="N509" s="957"/>
      <c r="O509" s="957"/>
      <c r="P509" s="957"/>
      <c r="Q509" s="957"/>
    </row>
    <row r="510" spans="10:17">
      <c r="J510" s="957"/>
      <c r="K510" s="957"/>
      <c r="L510" s="957"/>
      <c r="M510" s="957"/>
      <c r="N510" s="957"/>
      <c r="O510" s="957"/>
      <c r="P510" s="957"/>
      <c r="Q510" s="957"/>
    </row>
    <row r="511" spans="10:17">
      <c r="J511" s="957"/>
      <c r="K511" s="957"/>
      <c r="L511" s="957"/>
      <c r="M511" s="957"/>
      <c r="N511" s="957"/>
      <c r="O511" s="957"/>
      <c r="P511" s="957"/>
      <c r="Q511" s="957"/>
    </row>
    <row r="512" spans="10:17">
      <c r="J512" s="957"/>
      <c r="K512" s="957"/>
      <c r="L512" s="957"/>
      <c r="M512" s="957"/>
      <c r="N512" s="957"/>
      <c r="O512" s="957"/>
      <c r="P512" s="957"/>
      <c r="Q512" s="957"/>
    </row>
    <row r="513" spans="10:17">
      <c r="J513" s="957"/>
      <c r="K513" s="957"/>
      <c r="L513" s="957"/>
      <c r="M513" s="957"/>
      <c r="N513" s="957"/>
      <c r="O513" s="957"/>
      <c r="P513" s="957"/>
      <c r="Q513" s="957"/>
    </row>
    <row r="514" spans="10:17">
      <c r="J514" s="957"/>
      <c r="K514" s="957"/>
      <c r="L514" s="957"/>
      <c r="M514" s="957"/>
      <c r="N514" s="957"/>
      <c r="O514" s="957"/>
      <c r="P514" s="957"/>
      <c r="Q514" s="957"/>
    </row>
    <row r="515" spans="10:17">
      <c r="J515" s="957"/>
      <c r="K515" s="957"/>
      <c r="L515" s="957"/>
      <c r="M515" s="957"/>
      <c r="N515" s="957"/>
      <c r="O515" s="957"/>
      <c r="P515" s="957"/>
      <c r="Q515" s="957"/>
    </row>
    <row r="516" spans="10:17">
      <c r="J516" s="957"/>
      <c r="K516" s="957"/>
      <c r="L516" s="957"/>
      <c r="M516" s="957"/>
      <c r="N516" s="957"/>
      <c r="O516" s="957"/>
      <c r="P516" s="957"/>
      <c r="Q516" s="957"/>
    </row>
    <row r="517" spans="10:17">
      <c r="J517" s="957"/>
      <c r="K517" s="957"/>
      <c r="L517" s="957"/>
      <c r="M517" s="957"/>
      <c r="N517" s="957"/>
      <c r="O517" s="957"/>
      <c r="P517" s="957"/>
      <c r="Q517" s="957"/>
    </row>
    <row r="518" spans="10:17">
      <c r="J518" s="957"/>
      <c r="K518" s="957"/>
      <c r="L518" s="957"/>
      <c r="M518" s="957"/>
      <c r="N518" s="957"/>
      <c r="O518" s="957"/>
      <c r="P518" s="957"/>
      <c r="Q518" s="957"/>
    </row>
    <row r="519" spans="10:17">
      <c r="J519" s="957"/>
      <c r="K519" s="957"/>
      <c r="L519" s="957"/>
      <c r="M519" s="957"/>
      <c r="N519" s="957"/>
      <c r="O519" s="957"/>
      <c r="P519" s="957"/>
      <c r="Q519" s="957"/>
    </row>
    <row r="520" spans="10:17">
      <c r="J520" s="957"/>
      <c r="K520" s="957"/>
      <c r="L520" s="957"/>
      <c r="M520" s="957"/>
      <c r="N520" s="957"/>
      <c r="O520" s="957"/>
      <c r="P520" s="957"/>
      <c r="Q520" s="957"/>
    </row>
    <row r="521" spans="10:17">
      <c r="J521" s="957"/>
      <c r="K521" s="957"/>
      <c r="L521" s="957"/>
      <c r="M521" s="957"/>
      <c r="N521" s="957"/>
      <c r="O521" s="957"/>
      <c r="P521" s="957"/>
      <c r="Q521" s="957"/>
    </row>
    <row r="522" spans="10:17">
      <c r="J522" s="957"/>
      <c r="K522" s="957"/>
      <c r="L522" s="957"/>
      <c r="M522" s="957"/>
      <c r="N522" s="957"/>
      <c r="O522" s="957"/>
      <c r="P522" s="957"/>
      <c r="Q522" s="957"/>
    </row>
    <row r="523" spans="10:17">
      <c r="J523" s="957"/>
      <c r="K523" s="957"/>
      <c r="L523" s="957"/>
      <c r="M523" s="957"/>
      <c r="N523" s="957"/>
      <c r="O523" s="957"/>
      <c r="P523" s="957"/>
      <c r="Q523" s="957"/>
    </row>
    <row r="524" spans="10:17">
      <c r="J524" s="957"/>
      <c r="K524" s="957"/>
      <c r="L524" s="957"/>
      <c r="M524" s="957"/>
      <c r="N524" s="957"/>
      <c r="O524" s="957"/>
      <c r="P524" s="957"/>
      <c r="Q524" s="957"/>
    </row>
    <row r="525" spans="10:17">
      <c r="J525" s="957"/>
      <c r="K525" s="957"/>
      <c r="L525" s="957"/>
      <c r="M525" s="957"/>
      <c r="N525" s="957"/>
      <c r="O525" s="957"/>
      <c r="P525" s="957"/>
      <c r="Q525" s="957"/>
    </row>
    <row r="526" spans="10:17">
      <c r="J526" s="957"/>
      <c r="K526" s="957"/>
      <c r="L526" s="957"/>
      <c r="M526" s="957"/>
      <c r="N526" s="957"/>
      <c r="O526" s="957"/>
      <c r="P526" s="957"/>
      <c r="Q526" s="957"/>
    </row>
    <row r="527" spans="10:17">
      <c r="J527" s="957"/>
      <c r="K527" s="957"/>
      <c r="L527" s="957"/>
      <c r="M527" s="957"/>
      <c r="N527" s="957"/>
      <c r="O527" s="957"/>
      <c r="P527" s="957"/>
      <c r="Q527" s="957"/>
    </row>
    <row r="528" spans="10:17">
      <c r="J528" s="957"/>
      <c r="K528" s="957"/>
      <c r="L528" s="957"/>
      <c r="M528" s="957"/>
      <c r="N528" s="957"/>
      <c r="O528" s="957"/>
      <c r="P528" s="957"/>
      <c r="Q528" s="957"/>
    </row>
    <row r="529" spans="10:17">
      <c r="J529" s="957"/>
      <c r="K529" s="957"/>
      <c r="L529" s="957"/>
      <c r="M529" s="957"/>
      <c r="N529" s="957"/>
      <c r="O529" s="957"/>
      <c r="P529" s="957"/>
      <c r="Q529" s="957"/>
    </row>
    <row r="530" spans="10:17">
      <c r="J530" s="957"/>
      <c r="K530" s="957"/>
      <c r="L530" s="957"/>
      <c r="M530" s="957"/>
      <c r="N530" s="957"/>
      <c r="O530" s="957"/>
      <c r="P530" s="957"/>
      <c r="Q530" s="957"/>
    </row>
    <row r="531" spans="10:17">
      <c r="J531" s="957"/>
      <c r="K531" s="957"/>
      <c r="L531" s="957"/>
      <c r="M531" s="957"/>
      <c r="N531" s="957"/>
      <c r="O531" s="957"/>
      <c r="P531" s="957"/>
      <c r="Q531" s="957"/>
    </row>
    <row r="532" spans="10:17">
      <c r="J532" s="957"/>
      <c r="K532" s="957"/>
      <c r="L532" s="957"/>
      <c r="M532" s="957"/>
      <c r="N532" s="957"/>
      <c r="O532" s="957"/>
      <c r="P532" s="957"/>
      <c r="Q532" s="957"/>
    </row>
    <row r="533" spans="10:17">
      <c r="J533" s="957"/>
      <c r="K533" s="957"/>
      <c r="L533" s="957"/>
      <c r="M533" s="957"/>
      <c r="N533" s="957"/>
      <c r="O533" s="957"/>
      <c r="P533" s="957"/>
      <c r="Q533" s="957"/>
    </row>
    <row r="534" spans="10:17">
      <c r="J534" s="957"/>
      <c r="K534" s="957"/>
      <c r="L534" s="957"/>
      <c r="M534" s="957"/>
      <c r="N534" s="957"/>
      <c r="O534" s="957"/>
      <c r="P534" s="957"/>
      <c r="Q534" s="957"/>
    </row>
    <row r="535" spans="10:17">
      <c r="J535" s="957"/>
      <c r="K535" s="957"/>
      <c r="L535" s="957"/>
      <c r="M535" s="957"/>
      <c r="N535" s="957"/>
      <c r="O535" s="957"/>
      <c r="P535" s="957"/>
      <c r="Q535" s="957"/>
    </row>
    <row r="536" spans="10:17">
      <c r="J536" s="957"/>
      <c r="K536" s="957"/>
      <c r="L536" s="957"/>
      <c r="M536" s="957"/>
      <c r="N536" s="957"/>
      <c r="O536" s="957"/>
      <c r="P536" s="957"/>
      <c r="Q536" s="957"/>
    </row>
    <row r="537" spans="10:17">
      <c r="J537" s="957"/>
      <c r="K537" s="957"/>
      <c r="L537" s="957"/>
      <c r="M537" s="957"/>
      <c r="N537" s="957"/>
      <c r="O537" s="957"/>
      <c r="P537" s="957"/>
      <c r="Q537" s="957"/>
    </row>
    <row r="538" spans="10:17">
      <c r="J538" s="957"/>
      <c r="K538" s="957"/>
      <c r="L538" s="957"/>
      <c r="M538" s="957"/>
      <c r="N538" s="957"/>
      <c r="O538" s="957"/>
      <c r="P538" s="957"/>
      <c r="Q538" s="957"/>
    </row>
    <row r="539" spans="10:17">
      <c r="J539" s="957"/>
      <c r="K539" s="957"/>
      <c r="L539" s="957"/>
      <c r="M539" s="957"/>
      <c r="N539" s="957"/>
      <c r="O539" s="957"/>
      <c r="P539" s="957"/>
      <c r="Q539" s="957"/>
    </row>
    <row r="540" spans="10:17">
      <c r="J540" s="957"/>
      <c r="K540" s="957"/>
      <c r="L540" s="957"/>
      <c r="M540" s="957"/>
      <c r="N540" s="957"/>
      <c r="O540" s="957"/>
      <c r="P540" s="957"/>
      <c r="Q540" s="957"/>
    </row>
    <row r="541" spans="10:17">
      <c r="J541" s="957"/>
      <c r="K541" s="957"/>
      <c r="L541" s="957"/>
      <c r="M541" s="957"/>
      <c r="N541" s="957"/>
      <c r="O541" s="957"/>
      <c r="P541" s="957"/>
      <c r="Q541" s="957"/>
    </row>
    <row r="542" spans="10:17">
      <c r="J542" s="957"/>
      <c r="K542" s="957"/>
      <c r="L542" s="957"/>
      <c r="M542" s="957"/>
      <c r="N542" s="957"/>
      <c r="O542" s="957"/>
      <c r="P542" s="957"/>
      <c r="Q542" s="957"/>
    </row>
    <row r="543" spans="10:17">
      <c r="J543" s="957"/>
      <c r="K543" s="957"/>
      <c r="L543" s="957"/>
      <c r="M543" s="957"/>
      <c r="N543" s="957"/>
      <c r="O543" s="957"/>
      <c r="P543" s="957"/>
      <c r="Q543" s="957"/>
    </row>
    <row r="544" spans="10:17">
      <c r="J544" s="957"/>
      <c r="K544" s="957"/>
      <c r="L544" s="957"/>
      <c r="M544" s="957"/>
      <c r="N544" s="957"/>
      <c r="O544" s="957"/>
      <c r="P544" s="957"/>
      <c r="Q544" s="957"/>
    </row>
    <row r="545" spans="10:17">
      <c r="J545" s="957"/>
      <c r="K545" s="957"/>
      <c r="L545" s="957"/>
      <c r="M545" s="957"/>
      <c r="N545" s="957"/>
      <c r="O545" s="957"/>
      <c r="P545" s="957"/>
      <c r="Q545" s="957"/>
    </row>
    <row r="546" spans="10:17">
      <c r="J546" s="957"/>
      <c r="K546" s="957"/>
      <c r="L546" s="957"/>
      <c r="M546" s="957"/>
      <c r="N546" s="957"/>
      <c r="O546" s="957"/>
      <c r="P546" s="957"/>
      <c r="Q546" s="957"/>
    </row>
    <row r="547" spans="10:17">
      <c r="J547" s="957"/>
      <c r="K547" s="957"/>
      <c r="L547" s="957"/>
      <c r="M547" s="957"/>
      <c r="N547" s="957"/>
      <c r="O547" s="957"/>
      <c r="P547" s="957"/>
      <c r="Q547" s="957"/>
    </row>
    <row r="548" spans="10:17">
      <c r="J548" s="957"/>
      <c r="K548" s="957"/>
      <c r="L548" s="957"/>
      <c r="M548" s="957"/>
      <c r="N548" s="957"/>
      <c r="O548" s="957"/>
      <c r="P548" s="957"/>
      <c r="Q548" s="957"/>
    </row>
    <row r="549" spans="10:17">
      <c r="J549" s="957"/>
      <c r="K549" s="957"/>
      <c r="L549" s="957"/>
      <c r="M549" s="957"/>
      <c r="N549" s="957"/>
      <c r="O549" s="957"/>
      <c r="P549" s="957"/>
      <c r="Q549" s="957"/>
    </row>
    <row r="550" spans="10:17">
      <c r="J550" s="957"/>
      <c r="K550" s="957"/>
      <c r="L550" s="957"/>
      <c r="M550" s="957"/>
      <c r="N550" s="957"/>
      <c r="O550" s="957"/>
      <c r="P550" s="957"/>
      <c r="Q550" s="957"/>
    </row>
    <row r="551" spans="10:17">
      <c r="J551" s="957"/>
      <c r="K551" s="957"/>
      <c r="L551" s="957"/>
      <c r="M551" s="957"/>
      <c r="N551" s="957"/>
      <c r="O551" s="957"/>
      <c r="P551" s="957"/>
      <c r="Q551" s="957"/>
    </row>
    <row r="1048571" spans="11:11">
      <c r="K1048571" s="957"/>
    </row>
  </sheetData>
  <mergeCells count="1">
    <mergeCell ref="A4:I4"/>
  </mergeCells>
  <pageMargins left="0.7" right="0.7" top="0.75" bottom="0.75" header="0.3" footer="0.3"/>
  <pageSetup scale="55" fitToHeight="3" orientation="portrait" r:id="rId1"/>
  <headerFooter>
    <oddHeader>&amp;CDESIGNATED INFORMATION IS CONFIDENTIAL PER WAC 480-07-160</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A1:AG150"/>
  <sheetViews>
    <sheetView showGridLines="0" tabSelected="1" zoomScale="85" zoomScaleNormal="85" workbookViewId="0">
      <selection activeCell="AR41" sqref="AR41"/>
    </sheetView>
  </sheetViews>
  <sheetFormatPr defaultRowHeight="15"/>
  <cols>
    <col min="1" max="1" width="31.42578125" customWidth="1"/>
    <col min="2" max="2" width="21.5703125" customWidth="1"/>
    <col min="3" max="3" width="19" customWidth="1"/>
    <col min="4" max="8" width="17.5703125" customWidth="1"/>
    <col min="9" max="9" width="5.7109375" customWidth="1"/>
    <col min="10" max="12" width="3" customWidth="1"/>
    <col min="13" max="15" width="2" customWidth="1"/>
    <col min="17" max="17" width="25.7109375" style="401" bestFit="1" customWidth="1"/>
    <col min="18" max="24" width="18.5703125" customWidth="1"/>
    <col min="25" max="26" width="18.5703125" style="704" customWidth="1"/>
    <col min="27" max="28" width="18.5703125" customWidth="1"/>
    <col min="29" max="29" width="28.85546875" customWidth="1"/>
  </cols>
  <sheetData>
    <row r="1" spans="1:29">
      <c r="A1" s="402" t="str">
        <f>'Consolidated IS '!A2</f>
        <v>LeMay Enterprises - Pacific/Rural Disposal</v>
      </c>
    </row>
    <row r="2" spans="1:29">
      <c r="A2" s="708" t="s">
        <v>567</v>
      </c>
      <c r="C2" s="403"/>
    </row>
    <row r="3" spans="1:29" ht="9.75" customHeight="1">
      <c r="A3" s="399"/>
    </row>
    <row r="4" spans="1:29" ht="9.75" customHeight="1"/>
    <row r="5" spans="1:29">
      <c r="A5" s="1634" t="s">
        <v>568</v>
      </c>
      <c r="B5" s="1634"/>
      <c r="C5" s="1634"/>
      <c r="D5" s="1634"/>
      <c r="E5" s="1634"/>
      <c r="F5" s="1634"/>
      <c r="G5" s="1634"/>
      <c r="H5" s="1634"/>
      <c r="I5" s="1634"/>
      <c r="J5" s="1634"/>
      <c r="K5" s="1634"/>
      <c r="L5" s="1634"/>
      <c r="M5" s="1634"/>
      <c r="N5" s="1634"/>
      <c r="O5" s="1634"/>
      <c r="P5" s="1421"/>
      <c r="Q5" s="1635"/>
      <c r="R5" s="1636" t="s">
        <v>569</v>
      </c>
      <c r="S5" s="1637"/>
      <c r="T5" s="1637"/>
      <c r="U5" s="1637"/>
      <c r="V5" s="1637"/>
      <c r="W5" s="1637"/>
      <c r="X5" s="1637"/>
      <c r="Y5" s="1637"/>
      <c r="Z5" s="1637"/>
      <c r="AA5" s="1637"/>
      <c r="AB5" s="1637"/>
    </row>
    <row r="6" spans="1:29">
      <c r="A6" s="1421"/>
      <c r="B6" s="1421"/>
      <c r="C6" s="1421"/>
      <c r="D6" s="1421"/>
      <c r="E6" s="1421"/>
      <c r="F6" s="1421"/>
      <c r="G6" s="1421"/>
      <c r="H6" s="1421"/>
      <c r="I6" s="1421"/>
      <c r="J6" s="1421"/>
      <c r="K6" s="1421"/>
      <c r="L6" s="1421"/>
      <c r="M6" s="1421"/>
      <c r="N6" s="1421"/>
      <c r="O6" s="1421"/>
      <c r="P6" s="1421"/>
      <c r="Q6" s="1635"/>
      <c r="R6" s="1638" t="s">
        <v>570</v>
      </c>
      <c r="S6" s="1638" t="s">
        <v>571</v>
      </c>
      <c r="T6" s="1638" t="s">
        <v>572</v>
      </c>
      <c r="U6" s="1638" t="s">
        <v>573</v>
      </c>
      <c r="V6" s="1638" t="s">
        <v>574</v>
      </c>
      <c r="W6" s="1638" t="s">
        <v>575</v>
      </c>
      <c r="X6" s="1638" t="s">
        <v>576</v>
      </c>
      <c r="Y6" s="1638" t="s">
        <v>577</v>
      </c>
      <c r="Z6" s="1638" t="s">
        <v>2440</v>
      </c>
      <c r="AA6" s="1638" t="s">
        <v>2520</v>
      </c>
      <c r="AB6" s="1421"/>
    </row>
    <row r="7" spans="1:29" ht="48" customHeight="1">
      <c r="A7" s="1421"/>
      <c r="B7" s="1421"/>
      <c r="C7" s="1421"/>
      <c r="D7" s="1421"/>
      <c r="E7" s="1421"/>
      <c r="F7" s="1421"/>
      <c r="G7" s="1421"/>
      <c r="H7" s="1421"/>
      <c r="I7" s="1421"/>
      <c r="J7" s="1421"/>
      <c r="K7" s="1421"/>
      <c r="L7" s="1421"/>
      <c r="M7" s="1421"/>
      <c r="N7" s="1421"/>
      <c r="O7" s="1421"/>
      <c r="P7" s="1421"/>
      <c r="Q7" s="1635"/>
      <c r="R7" s="1639" t="s">
        <v>578</v>
      </c>
      <c r="S7" s="1639" t="s">
        <v>965</v>
      </c>
      <c r="T7" s="1639" t="s">
        <v>966</v>
      </c>
      <c r="U7" s="1639" t="s">
        <v>80</v>
      </c>
      <c r="V7" s="1639" t="s">
        <v>579</v>
      </c>
      <c r="W7" s="1639" t="s">
        <v>580</v>
      </c>
      <c r="X7" s="1639" t="s">
        <v>581</v>
      </c>
      <c r="Y7" s="1639" t="s">
        <v>1764</v>
      </c>
      <c r="Z7" s="1639" t="s">
        <v>2441</v>
      </c>
      <c r="AA7" s="1639" t="s">
        <v>2521</v>
      </c>
      <c r="AB7" s="1421"/>
    </row>
    <row r="8" spans="1:29" ht="150">
      <c r="A8" s="1421"/>
      <c r="B8" s="1639" t="s">
        <v>615</v>
      </c>
      <c r="C8" s="1639" t="s">
        <v>616</v>
      </c>
      <c r="D8" s="1639" t="s">
        <v>617</v>
      </c>
      <c r="E8" s="1639" t="s">
        <v>618</v>
      </c>
      <c r="F8" s="1639" t="s">
        <v>619</v>
      </c>
      <c r="G8" s="1639" t="s">
        <v>620</v>
      </c>
      <c r="H8" s="1639" t="s">
        <v>621</v>
      </c>
      <c r="I8" s="1639" t="s">
        <v>622</v>
      </c>
      <c r="J8" s="1639" t="s">
        <v>623</v>
      </c>
      <c r="K8" s="1639" t="s">
        <v>611</v>
      </c>
      <c r="L8" s="1639" t="s">
        <v>393</v>
      </c>
      <c r="M8" s="1421"/>
      <c r="N8" s="1421"/>
      <c r="O8" s="1421"/>
      <c r="P8" s="1418"/>
      <c r="Q8" s="1419"/>
      <c r="R8" s="1421"/>
      <c r="S8" s="1421"/>
      <c r="T8" s="1421"/>
      <c r="U8" s="1421"/>
      <c r="V8" s="1421"/>
      <c r="W8" s="1421"/>
      <c r="X8" s="1421"/>
      <c r="Y8" s="1421"/>
      <c r="Z8" s="1421"/>
      <c r="AA8" s="1421"/>
      <c r="AB8" s="1421"/>
    </row>
    <row r="9" spans="1:29">
      <c r="A9" s="1635" t="s">
        <v>624</v>
      </c>
      <c r="B9" s="1557">
        <v>9932884.9499999974</v>
      </c>
      <c r="C9" s="1557">
        <v>1006509.32</v>
      </c>
      <c r="D9" s="1422">
        <f>SUM(B9:C9)</f>
        <v>10939394.269999998</v>
      </c>
      <c r="E9" s="1422">
        <v>149545.04500000004</v>
      </c>
      <c r="F9" s="1422">
        <v>532581.3949999999</v>
      </c>
      <c r="G9" s="1422">
        <v>0</v>
      </c>
      <c r="H9" s="1422">
        <v>0</v>
      </c>
      <c r="I9" s="1422">
        <v>0</v>
      </c>
      <c r="J9" s="1422">
        <f>+SUM(D9:I9)</f>
        <v>11621520.709999997</v>
      </c>
      <c r="K9" s="1640">
        <f>+'Consolidated IS '!C10</f>
        <v>11626242.600000001</v>
      </c>
      <c r="L9" s="1422">
        <f>+J9-K9</f>
        <v>-4721.8900000043213</v>
      </c>
      <c r="M9" s="1641" t="s">
        <v>570</v>
      </c>
      <c r="N9" s="1421"/>
      <c r="O9" s="1421"/>
      <c r="P9" s="1418"/>
      <c r="Q9" s="1420" t="s">
        <v>2</v>
      </c>
      <c r="R9" s="1422">
        <f t="shared" ref="R9:R19" si="0">L9</f>
        <v>-4721.8900000043213</v>
      </c>
      <c r="S9" s="1422"/>
      <c r="T9" s="1421"/>
      <c r="U9" s="1421"/>
      <c r="V9" s="1421"/>
      <c r="W9" s="1421"/>
      <c r="X9" s="1421"/>
      <c r="Y9" s="1421"/>
      <c r="Z9" s="1422">
        <f>+B127</f>
        <v>-2141.2492516906341</v>
      </c>
      <c r="AA9" s="1421"/>
      <c r="AB9" s="1422">
        <f t="shared" ref="AB9:AB20" si="1">SUM(R9:AA9)</f>
        <v>-6863.1392516949554</v>
      </c>
    </row>
    <row r="10" spans="1:29">
      <c r="A10" s="1635" t="s">
        <v>437</v>
      </c>
      <c r="B10" s="1557">
        <v>3905657.1549999989</v>
      </c>
      <c r="C10" s="1557">
        <v>390789.38500000001</v>
      </c>
      <c r="D10" s="1422">
        <f t="shared" ref="D10:D19" si="2">SUM(B10:C10)</f>
        <v>4296446.5399999991</v>
      </c>
      <c r="E10" s="1422">
        <v>59173.985000000001</v>
      </c>
      <c r="F10" s="1422">
        <v>188381.49</v>
      </c>
      <c r="G10" s="1422">
        <v>0</v>
      </c>
      <c r="H10" s="1422">
        <v>0</v>
      </c>
      <c r="I10" s="1422">
        <v>0</v>
      </c>
      <c r="J10" s="1422">
        <f t="shared" ref="J10:J19" si="3">+SUM(D10:I10)</f>
        <v>4544002.0149999997</v>
      </c>
      <c r="K10" s="1640">
        <f>+'Consolidated IS '!C11</f>
        <v>4544415.74</v>
      </c>
      <c r="L10" s="1422">
        <f t="shared" ref="L10:L19" si="4">+J10-K10</f>
        <v>-413.72500000055879</v>
      </c>
      <c r="M10" s="1641" t="s">
        <v>570</v>
      </c>
      <c r="N10" s="1421"/>
      <c r="O10" s="1421"/>
      <c r="P10" s="1418"/>
      <c r="Q10" s="1420" t="s">
        <v>3</v>
      </c>
      <c r="R10" s="1422">
        <f t="shared" si="0"/>
        <v>-413.72500000055879</v>
      </c>
      <c r="S10" s="1421"/>
      <c r="T10" s="1421"/>
      <c r="U10" s="1421"/>
      <c r="V10" s="1421"/>
      <c r="W10" s="1421"/>
      <c r="X10" s="1421"/>
      <c r="Y10" s="1642">
        <f>+F116</f>
        <v>-116785.93849808724</v>
      </c>
      <c r="Z10" s="1422">
        <f>+B128</f>
        <v>-26497.492667772174</v>
      </c>
      <c r="AA10" s="1421"/>
      <c r="AB10" s="1422">
        <f t="shared" si="1"/>
        <v>-143697.15616585998</v>
      </c>
    </row>
    <row r="11" spans="1:29">
      <c r="A11" s="1635" t="s">
        <v>625</v>
      </c>
      <c r="B11" s="1557">
        <v>1793347.89</v>
      </c>
      <c r="C11" s="1557">
        <v>67820.244999999995</v>
      </c>
      <c r="D11" s="1422">
        <f t="shared" si="2"/>
        <v>1861168.1349999998</v>
      </c>
      <c r="E11" s="1422">
        <v>12569.055000000002</v>
      </c>
      <c r="F11" s="1422">
        <v>78447.225000000006</v>
      </c>
      <c r="G11" s="1422">
        <v>0</v>
      </c>
      <c r="H11" s="1422">
        <v>0</v>
      </c>
      <c r="I11" s="1422">
        <v>0</v>
      </c>
      <c r="J11" s="1422">
        <f t="shared" si="3"/>
        <v>1952184.4149999998</v>
      </c>
      <c r="K11" s="1640">
        <f>+'Consolidated IS '!C12</f>
        <v>1952407.25</v>
      </c>
      <c r="L11" s="1422">
        <f t="shared" si="4"/>
        <v>-222.83500000019558</v>
      </c>
      <c r="M11" s="1641" t="s">
        <v>570</v>
      </c>
      <c r="N11" s="1421"/>
      <c r="O11" s="1421"/>
      <c r="P11" s="1418"/>
      <c r="Q11" s="1420" t="s">
        <v>4</v>
      </c>
      <c r="R11" s="1422">
        <f t="shared" si="0"/>
        <v>-222.83500000019558</v>
      </c>
      <c r="S11" s="1421"/>
      <c r="T11" s="1421"/>
      <c r="U11" s="1421"/>
      <c r="V11" s="1421"/>
      <c r="W11" s="1421"/>
      <c r="X11" s="1421"/>
      <c r="Y11" s="1421"/>
      <c r="Z11" s="1422">
        <f>+B129</f>
        <v>-21004.189187102638</v>
      </c>
      <c r="AA11" s="1421"/>
      <c r="AB11" s="1422">
        <f t="shared" si="1"/>
        <v>-21227.024187102834</v>
      </c>
    </row>
    <row r="12" spans="1:29">
      <c r="A12" s="1635" t="s">
        <v>626</v>
      </c>
      <c r="B12" s="1557">
        <v>5760850.6900000051</v>
      </c>
      <c r="C12" s="1557">
        <v>481757.99</v>
      </c>
      <c r="D12" s="1422">
        <f t="shared" si="2"/>
        <v>6242608.6800000053</v>
      </c>
      <c r="E12" s="1422">
        <v>74160.280000000013</v>
      </c>
      <c r="F12" s="1422">
        <v>286439.10999999993</v>
      </c>
      <c r="G12" s="1422">
        <v>0</v>
      </c>
      <c r="H12" s="1422">
        <v>0</v>
      </c>
      <c r="I12" s="1422">
        <v>0</v>
      </c>
      <c r="J12" s="1422">
        <f t="shared" si="3"/>
        <v>6603208.0700000059</v>
      </c>
      <c r="K12" s="1640">
        <f>+'Consolidated IS '!C14</f>
        <v>6604245.79</v>
      </c>
      <c r="L12" s="1422">
        <f t="shared" si="4"/>
        <v>-1037.7199999941513</v>
      </c>
      <c r="M12" s="1641" t="s">
        <v>570</v>
      </c>
      <c r="N12" s="1421"/>
      <c r="O12" s="1421"/>
      <c r="P12" s="1418"/>
      <c r="Q12" s="1420" t="s">
        <v>583</v>
      </c>
      <c r="R12" s="1422">
        <f t="shared" si="0"/>
        <v>-1037.7199999941513</v>
      </c>
      <c r="S12" s="1421"/>
      <c r="T12" s="1421"/>
      <c r="U12" s="1421"/>
      <c r="V12" s="1421"/>
      <c r="W12" s="1421"/>
      <c r="X12" s="1421"/>
      <c r="Y12" s="1421"/>
      <c r="Z12" s="1422">
        <f>+B132</f>
        <v>-15715.997143461123</v>
      </c>
      <c r="AA12" s="1421"/>
      <c r="AB12" s="1422">
        <f t="shared" si="1"/>
        <v>-16753.717143455273</v>
      </c>
    </row>
    <row r="13" spans="1:29">
      <c r="A13" s="1635" t="s">
        <v>627</v>
      </c>
      <c r="B13" s="1557">
        <v>0</v>
      </c>
      <c r="C13" s="1557">
        <v>0</v>
      </c>
      <c r="D13" s="1422">
        <f t="shared" si="2"/>
        <v>0</v>
      </c>
      <c r="E13" s="1422">
        <v>0</v>
      </c>
      <c r="F13" s="1422">
        <v>0</v>
      </c>
      <c r="G13" s="1422">
        <v>0</v>
      </c>
      <c r="H13" s="1422">
        <v>0</v>
      </c>
      <c r="I13" s="1422">
        <v>0</v>
      </c>
      <c r="J13" s="1422">
        <f t="shared" si="3"/>
        <v>0</v>
      </c>
      <c r="K13" s="1640">
        <f>+'Consolidated IS '!C13</f>
        <v>0</v>
      </c>
      <c r="L13" s="1422">
        <f t="shared" si="4"/>
        <v>0</v>
      </c>
      <c r="M13" s="1641" t="s">
        <v>570</v>
      </c>
      <c r="N13" s="1421"/>
      <c r="O13" s="1421"/>
      <c r="P13" s="1418"/>
      <c r="Q13" s="1420" t="s">
        <v>627</v>
      </c>
      <c r="R13" s="1422">
        <f t="shared" si="0"/>
        <v>0</v>
      </c>
      <c r="S13" s="1421"/>
      <c r="T13" s="1421"/>
      <c r="U13" s="1421"/>
      <c r="V13" s="1421"/>
      <c r="W13" s="1421"/>
      <c r="X13" s="1421"/>
      <c r="Y13" s="1421"/>
      <c r="Z13" s="1421">
        <v>0</v>
      </c>
      <c r="AA13" s="1421"/>
      <c r="AB13" s="1422">
        <f t="shared" si="1"/>
        <v>0</v>
      </c>
    </row>
    <row r="14" spans="1:29">
      <c r="A14" s="1635" t="s">
        <v>308</v>
      </c>
      <c r="B14" s="1557">
        <v>522537.62000000005</v>
      </c>
      <c r="C14" s="1557">
        <v>0</v>
      </c>
      <c r="D14" s="1422">
        <f t="shared" si="2"/>
        <v>522537.62000000005</v>
      </c>
      <c r="E14" s="1422">
        <v>962.42000000000019</v>
      </c>
      <c r="F14" s="1422">
        <v>10640.06</v>
      </c>
      <c r="G14" s="1422">
        <v>0</v>
      </c>
      <c r="H14" s="1422">
        <v>0</v>
      </c>
      <c r="I14" s="1422">
        <v>0</v>
      </c>
      <c r="J14" s="1422">
        <f t="shared" si="3"/>
        <v>534140.10000000009</v>
      </c>
      <c r="K14" s="1640">
        <v>0</v>
      </c>
      <c r="L14" s="1422">
        <f t="shared" si="4"/>
        <v>534140.10000000009</v>
      </c>
      <c r="M14" s="1641" t="s">
        <v>570</v>
      </c>
      <c r="N14" s="1421"/>
      <c r="O14" s="1421"/>
      <c r="P14" s="1418"/>
      <c r="Q14" s="1420" t="s">
        <v>308</v>
      </c>
      <c r="R14" s="1422">
        <f t="shared" si="0"/>
        <v>534140.10000000009</v>
      </c>
      <c r="S14" s="1422"/>
      <c r="T14" s="1421"/>
      <c r="U14" s="1421"/>
      <c r="V14" s="1421"/>
      <c r="W14" s="1421"/>
      <c r="X14" s="1421"/>
      <c r="Y14" s="1642">
        <f>+F119</f>
        <v>-15743.671487461947</v>
      </c>
      <c r="Z14" s="1643">
        <f>+B130</f>
        <v>0</v>
      </c>
      <c r="AA14" s="1421"/>
      <c r="AB14" s="1422">
        <f t="shared" si="1"/>
        <v>518396.42851253814</v>
      </c>
    </row>
    <row r="15" spans="1:29">
      <c r="A15" s="1635" t="s">
        <v>558</v>
      </c>
      <c r="B15" s="1557">
        <v>0</v>
      </c>
      <c r="C15" s="1557">
        <v>0</v>
      </c>
      <c r="D15" s="1422">
        <f t="shared" si="2"/>
        <v>0</v>
      </c>
      <c r="E15" s="1422">
        <v>7171.5800000000008</v>
      </c>
      <c r="F15" s="1422">
        <v>53270.419999999991</v>
      </c>
      <c r="G15" s="1422">
        <v>2223029.04</v>
      </c>
      <c r="H15" s="1422">
        <v>0</v>
      </c>
      <c r="I15" s="1422">
        <v>2385.36</v>
      </c>
      <c r="J15" s="1422">
        <f t="shared" si="3"/>
        <v>2285856.4</v>
      </c>
      <c r="K15" s="1640">
        <f>+'Consolidated IS '!C19</f>
        <v>3837392.7999999993</v>
      </c>
      <c r="L15" s="1422">
        <f t="shared" si="4"/>
        <v>-1551536.3999999994</v>
      </c>
      <c r="M15" s="1641" t="s">
        <v>570</v>
      </c>
      <c r="N15" s="1644"/>
      <c r="O15" s="1421"/>
      <c r="P15" s="1418"/>
      <c r="Q15" s="1635" t="s">
        <v>558</v>
      </c>
      <c r="R15" s="1422">
        <f t="shared" si="0"/>
        <v>-1551536.3999999994</v>
      </c>
      <c r="S15" s="1629"/>
      <c r="T15" s="1629"/>
      <c r="U15" s="1629"/>
      <c r="V15" s="1629"/>
      <c r="W15" s="1629"/>
      <c r="X15" s="1629"/>
      <c r="Y15" s="1629"/>
      <c r="Z15" s="1643">
        <v>0</v>
      </c>
      <c r="AA15" s="1629"/>
      <c r="AB15" s="1422">
        <f t="shared" si="1"/>
        <v>-1551536.3999999994</v>
      </c>
      <c r="AC15" s="101"/>
    </row>
    <row r="16" spans="1:29">
      <c r="A16" s="1635" t="s">
        <v>628</v>
      </c>
      <c r="B16" s="1557">
        <v>1355422.2600000002</v>
      </c>
      <c r="C16" s="1557">
        <v>128922.76</v>
      </c>
      <c r="D16" s="1422">
        <f t="shared" si="2"/>
        <v>1484345.0200000003</v>
      </c>
      <c r="E16" s="1422">
        <v>16148.779999999999</v>
      </c>
      <c r="F16" s="1422">
        <v>116586.29</v>
      </c>
      <c r="G16" s="1422">
        <v>0</v>
      </c>
      <c r="H16" s="1422">
        <v>0</v>
      </c>
      <c r="I16" s="1422">
        <v>0</v>
      </c>
      <c r="J16" s="1422">
        <f t="shared" si="3"/>
        <v>1617080.0900000003</v>
      </c>
      <c r="K16" s="1640">
        <f>+'Consolidated IS '!C15</f>
        <v>1696872.3599999999</v>
      </c>
      <c r="L16" s="1422">
        <f t="shared" si="4"/>
        <v>-79792.269999999553</v>
      </c>
      <c r="M16" s="1641" t="s">
        <v>570</v>
      </c>
      <c r="N16" s="1644"/>
      <c r="O16" s="1421"/>
      <c r="P16" s="1418"/>
      <c r="Q16" s="1635" t="s">
        <v>628</v>
      </c>
      <c r="R16" s="1422">
        <f t="shared" si="0"/>
        <v>-79792.269999999553</v>
      </c>
      <c r="S16" s="1629"/>
      <c r="T16" s="1629"/>
      <c r="U16" s="1629"/>
      <c r="V16" s="1629"/>
      <c r="W16" s="1629"/>
      <c r="X16" s="1629"/>
      <c r="Y16" s="1629"/>
      <c r="Z16" s="1643">
        <f>+B131</f>
        <v>-29058.838456727502</v>
      </c>
      <c r="AA16" s="1629"/>
      <c r="AB16" s="1422">
        <f t="shared" si="1"/>
        <v>-108851.10845672706</v>
      </c>
      <c r="AC16" s="101"/>
    </row>
    <row r="17" spans="1:29">
      <c r="A17" s="1635" t="s">
        <v>629</v>
      </c>
      <c r="B17" s="1557">
        <v>0</v>
      </c>
      <c r="C17" s="1557">
        <v>0</v>
      </c>
      <c r="D17" s="1422">
        <f t="shared" si="2"/>
        <v>0</v>
      </c>
      <c r="E17" s="1422">
        <v>846</v>
      </c>
      <c r="F17" s="1422">
        <v>64386.320000000007</v>
      </c>
      <c r="G17" s="1422">
        <v>994545.20000000007</v>
      </c>
      <c r="H17" s="1422">
        <v>36587.75</v>
      </c>
      <c r="I17" s="1422">
        <v>2892.92</v>
      </c>
      <c r="J17" s="1422">
        <f t="shared" si="3"/>
        <v>1099258.19</v>
      </c>
      <c r="K17" s="1640">
        <v>0</v>
      </c>
      <c r="L17" s="1422">
        <f t="shared" si="4"/>
        <v>1099258.19</v>
      </c>
      <c r="M17" s="1641" t="s">
        <v>570</v>
      </c>
      <c r="N17" s="1644"/>
      <c r="O17" s="1421"/>
      <c r="P17" s="1418"/>
      <c r="Q17" s="1635" t="s">
        <v>629</v>
      </c>
      <c r="R17" s="1422">
        <f t="shared" si="0"/>
        <v>1099258.19</v>
      </c>
      <c r="S17" s="1629"/>
      <c r="T17" s="1629"/>
      <c r="U17" s="1629"/>
      <c r="V17" s="1629"/>
      <c r="W17" s="1629"/>
      <c r="X17" s="1629"/>
      <c r="Y17" s="1629"/>
      <c r="Z17" s="1629"/>
      <c r="AA17" s="1629"/>
      <c r="AB17" s="1422">
        <f t="shared" si="1"/>
        <v>1099258.19</v>
      </c>
      <c r="AC17" s="101"/>
    </row>
    <row r="18" spans="1:29">
      <c r="A18" s="1635" t="s">
        <v>630</v>
      </c>
      <c r="B18" s="1557">
        <v>2399714.5</v>
      </c>
      <c r="C18" s="1557">
        <v>213544.47000000003</v>
      </c>
      <c r="D18" s="1422">
        <f t="shared" si="2"/>
        <v>2613258.9700000002</v>
      </c>
      <c r="E18" s="1422">
        <v>14933.349999999999</v>
      </c>
      <c r="F18" s="1422">
        <v>242370.78000000003</v>
      </c>
      <c r="G18" s="1422">
        <v>551403.81999999983</v>
      </c>
      <c r="H18" s="1422">
        <v>0</v>
      </c>
      <c r="I18" s="1422">
        <v>0</v>
      </c>
      <c r="J18" s="1422">
        <f t="shared" si="3"/>
        <v>3421966.9200000004</v>
      </c>
      <c r="K18" s="1640">
        <f>+'Consolidated IS '!C17</f>
        <v>3422552.4200000004</v>
      </c>
      <c r="L18" s="1422">
        <f t="shared" si="4"/>
        <v>-585.5</v>
      </c>
      <c r="M18" s="1641" t="s">
        <v>570</v>
      </c>
      <c r="N18" s="1644"/>
      <c r="O18" s="1422"/>
      <c r="P18" s="1418"/>
      <c r="Q18" s="1635" t="s">
        <v>630</v>
      </c>
      <c r="R18" s="1422">
        <f t="shared" si="0"/>
        <v>-585.5</v>
      </c>
      <c r="S18" s="1629"/>
      <c r="T18" s="1629"/>
      <c r="U18" s="1629"/>
      <c r="V18" s="1629"/>
      <c r="W18" s="1629"/>
      <c r="X18" s="1629"/>
      <c r="Y18" s="1629"/>
      <c r="Z18" s="1629"/>
      <c r="AA18" s="1629"/>
      <c r="AB18" s="1422">
        <f t="shared" si="1"/>
        <v>-585.5</v>
      </c>
      <c r="AC18" s="101"/>
    </row>
    <row r="19" spans="1:29">
      <c r="A19" s="1635" t="s">
        <v>631</v>
      </c>
      <c r="B19" s="1557">
        <v>33425.75</v>
      </c>
      <c r="C19" s="1557">
        <v>3033.6499999999996</v>
      </c>
      <c r="D19" s="1422">
        <f t="shared" si="2"/>
        <v>36459.4</v>
      </c>
      <c r="E19" s="1422">
        <v>324.46000000000004</v>
      </c>
      <c r="F19" s="1422">
        <v>2442.7499999999995</v>
      </c>
      <c r="G19" s="1422">
        <v>0</v>
      </c>
      <c r="H19" s="1422">
        <v>1</v>
      </c>
      <c r="I19" s="1422">
        <v>4.24</v>
      </c>
      <c r="J19" s="1422">
        <f t="shared" si="3"/>
        <v>39231.85</v>
      </c>
      <c r="K19" s="1640">
        <f>+'Consolidated IS '!C21</f>
        <v>38519.33</v>
      </c>
      <c r="L19" s="1422">
        <f t="shared" si="4"/>
        <v>712.5199999999968</v>
      </c>
      <c r="M19" s="1641" t="s">
        <v>570</v>
      </c>
      <c r="N19" s="1644"/>
      <c r="O19" s="1421"/>
      <c r="P19" s="1418"/>
      <c r="Q19" s="1635" t="s">
        <v>631</v>
      </c>
      <c r="R19" s="1422">
        <f t="shared" si="0"/>
        <v>712.5199999999968</v>
      </c>
      <c r="S19" s="1549"/>
      <c r="T19" s="1549"/>
      <c r="U19" s="1549"/>
      <c r="V19" s="1549"/>
      <c r="W19" s="1549"/>
      <c r="X19" s="1549"/>
      <c r="Y19" s="1549"/>
      <c r="Z19" s="1549"/>
      <c r="AA19" s="1549"/>
      <c r="AB19" s="1422">
        <f t="shared" si="1"/>
        <v>712.5199999999968</v>
      </c>
    </row>
    <row r="20" spans="1:29" ht="11.25" customHeight="1">
      <c r="A20" s="1635"/>
      <c r="B20" s="1645"/>
      <c r="C20" s="1645"/>
      <c r="D20" s="1646"/>
      <c r="E20" s="1646"/>
      <c r="F20" s="1646"/>
      <c r="G20" s="1646"/>
      <c r="H20" s="1646"/>
      <c r="I20" s="1646"/>
      <c r="J20" s="1646"/>
      <c r="K20" s="1647"/>
      <c r="L20" s="1646"/>
      <c r="M20" s="1648"/>
      <c r="N20" s="1644"/>
      <c r="O20" s="1421"/>
      <c r="P20" s="1418"/>
      <c r="Q20" s="1420" t="s">
        <v>584</v>
      </c>
      <c r="R20" s="1646"/>
      <c r="S20" s="1645"/>
      <c r="T20" s="1645"/>
      <c r="U20" s="1645"/>
      <c r="V20" s="1645"/>
      <c r="W20" s="1645"/>
      <c r="X20" s="1645"/>
      <c r="Y20" s="1645"/>
      <c r="Z20" s="1645"/>
      <c r="AA20" s="1645"/>
      <c r="AB20" s="1646">
        <f t="shared" si="1"/>
        <v>0</v>
      </c>
    </row>
    <row r="21" spans="1:29">
      <c r="A21" s="1421"/>
      <c r="B21" s="1649">
        <f>SUM(B9:B20)</f>
        <v>25703840.815000005</v>
      </c>
      <c r="C21" s="1649">
        <f t="shared" ref="C21:J21" si="5">SUM(C9:C20)</f>
        <v>2292377.8200000003</v>
      </c>
      <c r="D21" s="1649">
        <f t="shared" si="5"/>
        <v>27996218.634999998</v>
      </c>
      <c r="E21" s="1649">
        <f t="shared" si="5"/>
        <v>335834.95500000002</v>
      </c>
      <c r="F21" s="1649">
        <f t="shared" si="5"/>
        <v>1575545.8399999999</v>
      </c>
      <c r="G21" s="1649">
        <f t="shared" si="5"/>
        <v>3768978.06</v>
      </c>
      <c r="H21" s="1649">
        <f t="shared" si="5"/>
        <v>36588.75</v>
      </c>
      <c r="I21" s="1649">
        <f t="shared" si="5"/>
        <v>5282.52</v>
      </c>
      <c r="J21" s="1649">
        <f t="shared" si="5"/>
        <v>33718448.760000005</v>
      </c>
      <c r="K21" s="1650">
        <f>SUM(K9:K20)</f>
        <v>33722648.289999999</v>
      </c>
      <c r="L21" s="1650">
        <f>SUM(L9:L20)</f>
        <v>-4199.5299999981871</v>
      </c>
      <c r="M21" s="1648"/>
      <c r="N21" s="1644"/>
      <c r="O21" s="1421"/>
      <c r="P21" s="1421"/>
      <c r="Q21" s="1635"/>
      <c r="R21" s="1650">
        <f t="shared" ref="R21:AB21" si="6">SUM(R9:R20)</f>
        <v>-4199.5299999981871</v>
      </c>
      <c r="S21" s="1650">
        <f t="shared" si="6"/>
        <v>0</v>
      </c>
      <c r="T21" s="1650">
        <f t="shared" si="6"/>
        <v>0</v>
      </c>
      <c r="U21" s="1650">
        <f t="shared" si="6"/>
        <v>0</v>
      </c>
      <c r="V21" s="1650">
        <f t="shared" si="6"/>
        <v>0</v>
      </c>
      <c r="W21" s="1650">
        <f t="shared" si="6"/>
        <v>0</v>
      </c>
      <c r="X21" s="1650">
        <f t="shared" si="6"/>
        <v>0</v>
      </c>
      <c r="Y21" s="1650">
        <f t="shared" si="6"/>
        <v>-132529.60998554918</v>
      </c>
      <c r="Z21" s="1650">
        <f t="shared" si="6"/>
        <v>-94417.766706754075</v>
      </c>
      <c r="AA21" s="1650">
        <f t="shared" si="6"/>
        <v>0</v>
      </c>
      <c r="AB21" s="1650">
        <f t="shared" si="6"/>
        <v>-231146.90669230142</v>
      </c>
    </row>
    <row r="22" spans="1:29">
      <c r="A22" s="1421"/>
      <c r="B22" s="1650"/>
      <c r="C22" s="1650"/>
      <c r="D22" s="1650"/>
      <c r="E22" s="1650"/>
      <c r="F22" s="1650"/>
      <c r="G22" s="1650"/>
      <c r="H22" s="1650"/>
      <c r="I22" s="1650"/>
      <c r="J22" s="1650"/>
      <c r="K22" s="1650"/>
      <c r="L22" s="1421"/>
      <c r="M22" s="1648"/>
      <c r="N22" s="1644"/>
      <c r="O22" s="1421"/>
      <c r="P22" s="1421"/>
      <c r="Q22" s="1635"/>
      <c r="R22" s="1421"/>
      <c r="S22" s="1421"/>
      <c r="T22" s="1421"/>
      <c r="U22" s="1421"/>
      <c r="V22" s="1421"/>
      <c r="W22" s="1421"/>
      <c r="X22" s="1421"/>
      <c r="Y22" s="1421"/>
      <c r="Z22" s="1421"/>
      <c r="AA22" s="1421"/>
      <c r="AB22" s="1421"/>
    </row>
    <row r="23" spans="1:29">
      <c r="A23" s="1421"/>
      <c r="B23" s="1650"/>
      <c r="C23" s="1650"/>
      <c r="D23" s="1650"/>
      <c r="E23" s="1650"/>
      <c r="F23" s="1650"/>
      <c r="G23" s="1650"/>
      <c r="H23" s="1650"/>
      <c r="I23" s="1650"/>
      <c r="J23" s="1635"/>
      <c r="K23" s="1650"/>
      <c r="L23" s="1421"/>
      <c r="M23" s="1651"/>
      <c r="N23" s="1421"/>
      <c r="O23" s="1421"/>
      <c r="P23" s="1421"/>
      <c r="Q23" s="1635"/>
      <c r="R23" s="1421"/>
      <c r="S23" s="1421"/>
      <c r="T23" s="1421"/>
      <c r="U23" s="1421"/>
      <c r="V23" s="1421"/>
      <c r="W23" s="1421"/>
      <c r="X23" s="1421"/>
      <c r="Y23" s="1421"/>
      <c r="Z23" s="1421"/>
      <c r="AA23" s="1421"/>
      <c r="AB23" s="1421"/>
    </row>
    <row r="24" spans="1:29">
      <c r="A24" s="1421"/>
      <c r="B24" s="1421"/>
      <c r="C24" s="1421"/>
      <c r="D24" s="1421"/>
      <c r="E24" s="1421"/>
      <c r="F24" s="1421"/>
      <c r="G24" s="1421"/>
      <c r="H24" s="1421"/>
      <c r="I24" s="1421"/>
      <c r="J24" s="1421"/>
      <c r="K24" s="1421"/>
      <c r="L24" s="1421"/>
      <c r="M24" s="1641"/>
      <c r="N24" s="1421"/>
      <c r="O24" s="1421"/>
      <c r="P24" s="1421"/>
      <c r="Q24" s="1635"/>
      <c r="R24" s="1421"/>
      <c r="S24" s="1421"/>
      <c r="T24" s="1421"/>
      <c r="U24" s="1421"/>
      <c r="V24" s="1421"/>
      <c r="W24" s="1421"/>
      <c r="X24" s="1421"/>
      <c r="Y24" s="1421"/>
      <c r="Z24" s="1421"/>
      <c r="AA24" s="1421"/>
      <c r="AB24" s="1421"/>
    </row>
    <row r="25" spans="1:29">
      <c r="A25" s="1421"/>
      <c r="B25" s="1421"/>
      <c r="C25" s="1421"/>
      <c r="D25" s="1421"/>
      <c r="E25" s="1421"/>
      <c r="F25" s="1421"/>
      <c r="G25" s="1421"/>
      <c r="H25" s="1421"/>
      <c r="I25" s="1421"/>
      <c r="J25" s="1421"/>
      <c r="K25" s="1421"/>
      <c r="L25" s="1421"/>
      <c r="M25" s="1421"/>
      <c r="N25" s="1421"/>
      <c r="O25" s="1421"/>
      <c r="P25" s="1421"/>
      <c r="Q25" s="1635"/>
      <c r="R25" s="1421"/>
      <c r="S25" s="1421"/>
      <c r="T25" s="1421"/>
      <c r="U25" s="1421"/>
      <c r="V25" s="1421"/>
      <c r="W25" s="1421"/>
      <c r="X25" s="1421"/>
      <c r="Y25" s="1421"/>
      <c r="Z25" s="1421"/>
      <c r="AA25" s="1421"/>
      <c r="AB25" s="1421"/>
    </row>
    <row r="26" spans="1:29">
      <c r="A26" s="1421"/>
      <c r="B26" s="1421"/>
      <c r="C26" s="1421"/>
      <c r="D26" s="1421"/>
      <c r="E26" s="1421"/>
      <c r="F26" s="1421"/>
      <c r="G26" s="1421"/>
      <c r="H26" s="1421"/>
      <c r="I26" s="1421"/>
      <c r="J26" s="1421"/>
      <c r="K26" s="1421"/>
      <c r="L26" s="1421"/>
      <c r="M26" s="1421"/>
      <c r="N26" s="1421"/>
      <c r="O26" s="1421"/>
      <c r="P26" s="1418">
        <v>40131</v>
      </c>
      <c r="Q26" s="1420" t="s">
        <v>585</v>
      </c>
      <c r="R26" s="1421"/>
      <c r="S26" s="1421"/>
      <c r="T26" s="1421"/>
      <c r="U26" s="1421"/>
      <c r="V26" s="1421"/>
      <c r="W26" s="1421"/>
      <c r="X26" s="1421"/>
      <c r="Y26" s="1421"/>
      <c r="Z26" s="1421"/>
      <c r="AA26" s="1421"/>
      <c r="AB26" s="1650">
        <f t="shared" ref="AB26:AB57" si="7">SUM(R26:AA26)</f>
        <v>0</v>
      </c>
    </row>
    <row r="27" spans="1:29">
      <c r="A27" s="1421"/>
      <c r="B27" s="1421"/>
      <c r="C27" s="1421"/>
      <c r="D27" s="1421"/>
      <c r="E27" s="1421"/>
      <c r="F27" s="1421"/>
      <c r="G27" s="1421"/>
      <c r="H27" s="1421"/>
      <c r="I27" s="1421"/>
      <c r="J27" s="1421"/>
      <c r="K27" s="1421"/>
      <c r="L27" s="1421"/>
      <c r="M27" s="1421"/>
      <c r="N27" s="1421"/>
      <c r="O27" s="1421"/>
      <c r="P27" s="1418">
        <v>43600</v>
      </c>
      <c r="Q27" s="1420" t="s">
        <v>71</v>
      </c>
      <c r="R27" s="1421"/>
      <c r="S27" s="1421"/>
      <c r="T27" s="1421"/>
      <c r="U27" s="1421"/>
      <c r="V27" s="1421"/>
      <c r="W27" s="1421"/>
      <c r="X27" s="1421"/>
      <c r="Y27" s="1421"/>
      <c r="Z27" s="1421"/>
      <c r="AA27" s="1421"/>
      <c r="AB27" s="1650">
        <f t="shared" si="7"/>
        <v>0</v>
      </c>
    </row>
    <row r="28" spans="1:29">
      <c r="A28" s="1421"/>
      <c r="B28" s="1421"/>
      <c r="C28" s="1421"/>
      <c r="D28" s="1421"/>
      <c r="E28" s="1421"/>
      <c r="F28" s="1421"/>
      <c r="G28" s="1421"/>
      <c r="H28" s="1421"/>
      <c r="I28" s="1421"/>
      <c r="J28" s="1421"/>
      <c r="K28" s="1421"/>
      <c r="L28" s="1421"/>
      <c r="M28" s="1421"/>
      <c r="N28" s="1421"/>
      <c r="O28" s="1421"/>
      <c r="P28" s="1418">
        <v>43800</v>
      </c>
      <c r="Q28" s="1420" t="s">
        <v>586</v>
      </c>
      <c r="R28" s="1421"/>
      <c r="S28" s="1421"/>
      <c r="T28" s="1421"/>
      <c r="U28" s="1421"/>
      <c r="V28" s="1421"/>
      <c r="W28" s="1421"/>
      <c r="X28" s="1421"/>
      <c r="Y28" s="1642">
        <f>B121</f>
        <v>-122765.85</v>
      </c>
      <c r="Z28" s="1421"/>
      <c r="AA28" s="1422">
        <f>A138</f>
        <v>64776.540300243192</v>
      </c>
      <c r="AB28" s="1650">
        <f t="shared" si="7"/>
        <v>-57989.309699756814</v>
      </c>
    </row>
    <row r="29" spans="1:29">
      <c r="A29" s="1634" t="s">
        <v>634</v>
      </c>
      <c r="B29" s="1634"/>
      <c r="C29" s="1634"/>
      <c r="D29" s="1634"/>
      <c r="E29" s="1634"/>
      <c r="F29" s="1634"/>
      <c r="G29" s="1634"/>
      <c r="H29" s="1634"/>
      <c r="I29" s="1634"/>
      <c r="J29" s="1634"/>
      <c r="K29" s="1634"/>
      <c r="L29" s="1634"/>
      <c r="M29" s="1634"/>
      <c r="N29" s="1634"/>
      <c r="O29" s="1634"/>
      <c r="P29" s="1418">
        <v>44000</v>
      </c>
      <c r="Q29" s="1420" t="s">
        <v>78</v>
      </c>
      <c r="R29" s="1421"/>
      <c r="S29" s="1421"/>
      <c r="T29" s="1421"/>
      <c r="U29" s="1421"/>
      <c r="V29" s="1421"/>
      <c r="W29" s="1421"/>
      <c r="X29" s="1421"/>
      <c r="Y29" s="1421"/>
      <c r="Z29" s="1421"/>
      <c r="AA29" s="1421"/>
      <c r="AB29" s="1650">
        <f t="shared" si="7"/>
        <v>0</v>
      </c>
    </row>
    <row r="30" spans="1:29">
      <c r="A30" s="1421"/>
      <c r="B30" s="1421"/>
      <c r="C30" s="1421"/>
      <c r="D30" s="1421"/>
      <c r="E30" s="1421"/>
      <c r="F30" s="1421"/>
      <c r="G30" s="1421"/>
      <c r="H30" s="1421"/>
      <c r="I30" s="1421"/>
      <c r="J30" s="1421"/>
      <c r="K30" s="1421"/>
      <c r="L30" s="1421"/>
      <c r="M30" s="1421"/>
      <c r="N30" s="1421"/>
      <c r="O30" s="1421"/>
      <c r="P30" s="1418">
        <v>44300</v>
      </c>
      <c r="Q30" s="1420" t="s">
        <v>80</v>
      </c>
      <c r="R30" s="1421"/>
      <c r="S30" s="1421"/>
      <c r="T30" s="1421"/>
      <c r="U30" s="1652">
        <f>B68</f>
        <v>-7069.7279014999804</v>
      </c>
      <c r="V30" s="1421"/>
      <c r="W30" s="1421"/>
      <c r="X30" s="1421"/>
      <c r="Y30" s="1421"/>
      <c r="Z30" s="1421"/>
      <c r="AA30" s="1421"/>
      <c r="AB30" s="1650">
        <f t="shared" si="7"/>
        <v>-7069.7279014999804</v>
      </c>
    </row>
    <row r="31" spans="1:29">
      <c r="A31" s="1653" t="s">
        <v>587</v>
      </c>
      <c r="B31" s="1421"/>
      <c r="C31" s="1421"/>
      <c r="D31" s="1421"/>
      <c r="E31" s="1421"/>
      <c r="F31" s="1421"/>
      <c r="G31" s="1421"/>
      <c r="H31" s="1421"/>
      <c r="I31" s="1421"/>
      <c r="J31" s="1421"/>
      <c r="K31" s="1421"/>
      <c r="L31" s="1421"/>
      <c r="M31" s="1421"/>
      <c r="N31" s="1421"/>
      <c r="O31" s="1421"/>
      <c r="P31" s="1418">
        <v>44500</v>
      </c>
      <c r="Q31" s="1420" t="s">
        <v>588</v>
      </c>
      <c r="R31" s="1421"/>
      <c r="S31" s="1421"/>
      <c r="T31" s="1421"/>
      <c r="U31" s="1421"/>
      <c r="V31" s="1421"/>
      <c r="W31" s="1421"/>
      <c r="X31" s="1421"/>
      <c r="Y31" s="1421"/>
      <c r="Z31" s="1421"/>
      <c r="AA31" s="1421"/>
      <c r="AB31" s="1650">
        <f t="shared" si="7"/>
        <v>0</v>
      </c>
    </row>
    <row r="32" spans="1:29">
      <c r="A32" s="1421"/>
      <c r="B32" s="1554">
        <v>2183</v>
      </c>
      <c r="C32" s="1554">
        <v>2184</v>
      </c>
      <c r="D32" s="1554">
        <v>2185</v>
      </c>
      <c r="E32" s="1421"/>
      <c r="F32" s="1421"/>
      <c r="G32" s="1421"/>
      <c r="H32" s="1421"/>
      <c r="I32" s="1421"/>
      <c r="J32" s="1421"/>
      <c r="K32" s="1421"/>
      <c r="L32" s="1421"/>
      <c r="M32" s="1421"/>
      <c r="N32" s="1421"/>
      <c r="O32" s="1421"/>
      <c r="P32" s="1418">
        <v>45300</v>
      </c>
      <c r="Q32" s="1420" t="s">
        <v>88</v>
      </c>
      <c r="R32" s="1421"/>
      <c r="S32" s="1421"/>
      <c r="T32" s="1421"/>
      <c r="U32" s="1421"/>
      <c r="V32" s="1421"/>
      <c r="W32" s="1421"/>
      <c r="X32" s="1421"/>
      <c r="Y32" s="1421"/>
      <c r="Z32" s="1421"/>
      <c r="AA32" s="1421"/>
      <c r="AB32" s="1650">
        <f t="shared" si="7"/>
        <v>0</v>
      </c>
    </row>
    <row r="33" spans="1:28">
      <c r="A33" s="1635" t="s">
        <v>174</v>
      </c>
      <c r="B33" s="1557">
        <f>'Consolidated IS '!C24</f>
        <v>34204305.890000001</v>
      </c>
      <c r="C33" s="1557">
        <f>'Consolidated IS '!D24</f>
        <v>6638469.6100000003</v>
      </c>
      <c r="D33" s="1557">
        <f>'Consolidated IS '!E24</f>
        <v>4391057.9399999995</v>
      </c>
      <c r="E33" s="1421"/>
      <c r="F33" s="1421"/>
      <c r="G33" s="1421"/>
      <c r="H33" s="1421"/>
      <c r="I33" s="1421"/>
      <c r="J33" s="1421"/>
      <c r="K33" s="1421"/>
      <c r="L33" s="1421"/>
      <c r="M33" s="1421"/>
      <c r="N33" s="1421"/>
      <c r="O33" s="1421"/>
      <c r="P33" s="1418">
        <v>45400</v>
      </c>
      <c r="Q33" s="1420" t="s">
        <v>93</v>
      </c>
      <c r="R33" s="1421"/>
      <c r="S33" s="1421"/>
      <c r="T33" s="1421"/>
      <c r="U33" s="1421"/>
      <c r="V33" s="1421"/>
      <c r="W33" s="1421"/>
      <c r="X33" s="1421"/>
      <c r="Y33" s="1421"/>
      <c r="Z33" s="1421"/>
      <c r="AA33" s="1421"/>
      <c r="AB33" s="1650">
        <f t="shared" si="7"/>
        <v>0</v>
      </c>
    </row>
    <row r="34" spans="1:28">
      <c r="A34" s="1635" t="s">
        <v>589</v>
      </c>
      <c r="B34" s="1654">
        <f>+'Corp OH'!$E$87</f>
        <v>1.6735305083503921E-2</v>
      </c>
      <c r="C34" s="1654">
        <f>+'Corp OH'!$E$87</f>
        <v>1.6735305083503921E-2</v>
      </c>
      <c r="D34" s="1654">
        <f>+'Corp OH'!$E$87</f>
        <v>1.6735305083503921E-2</v>
      </c>
      <c r="E34" s="1421"/>
      <c r="F34" s="1421"/>
      <c r="G34" s="1421"/>
      <c r="H34" s="1421"/>
      <c r="I34" s="1421"/>
      <c r="J34" s="1421"/>
      <c r="K34" s="1421"/>
      <c r="L34" s="1421"/>
      <c r="M34" s="1421"/>
      <c r="N34" s="1421"/>
      <c r="O34" s="1421"/>
      <c r="P34" s="1418">
        <v>46100</v>
      </c>
      <c r="Q34" s="1420" t="s">
        <v>100</v>
      </c>
      <c r="R34" s="1421"/>
      <c r="S34" s="1421"/>
      <c r="T34" s="1421"/>
      <c r="U34" s="1421"/>
      <c r="V34" s="1421"/>
      <c r="W34" s="1421"/>
      <c r="X34" s="1421"/>
      <c r="Y34" s="1421"/>
      <c r="Z34" s="1421"/>
      <c r="AA34" s="1421"/>
      <c r="AB34" s="1650">
        <f t="shared" si="7"/>
        <v>0</v>
      </c>
    </row>
    <row r="35" spans="1:28">
      <c r="A35" s="1635"/>
      <c r="B35" s="1652">
        <f>B33*B34</f>
        <v>572419.49423864018</v>
      </c>
      <c r="C35" s="1652">
        <f>C33*C34</f>
        <v>111096.8142109193</v>
      </c>
      <c r="D35" s="1652">
        <f>D33*D34</f>
        <v>73485.694265242244</v>
      </c>
      <c r="E35" s="1421"/>
      <c r="F35" s="1421"/>
      <c r="G35" s="1421"/>
      <c r="H35" s="1421"/>
      <c r="I35" s="1421"/>
      <c r="J35" s="1421"/>
      <c r="K35" s="1421"/>
      <c r="L35" s="1421"/>
      <c r="M35" s="1421"/>
      <c r="N35" s="1421"/>
      <c r="O35" s="1421"/>
      <c r="P35" s="1418">
        <v>46130</v>
      </c>
      <c r="Q35" s="1420" t="s">
        <v>98</v>
      </c>
      <c r="R35" s="1421"/>
      <c r="S35" s="1421"/>
      <c r="T35" s="1421"/>
      <c r="U35" s="1421"/>
      <c r="V35" s="1421"/>
      <c r="W35" s="1421"/>
      <c r="X35" s="1422">
        <f>B105+C105+D105+B106+C106+D106</f>
        <v>41094.45513628034</v>
      </c>
      <c r="Y35" s="1422"/>
      <c r="Z35" s="1422"/>
      <c r="AA35" s="1421"/>
      <c r="AB35" s="1650">
        <f t="shared" si="7"/>
        <v>41094.45513628034</v>
      </c>
    </row>
    <row r="36" spans="1:28">
      <c r="A36" s="1421"/>
      <c r="B36" s="1421"/>
      <c r="C36" s="1421"/>
      <c r="D36" s="1421"/>
      <c r="E36" s="1421"/>
      <c r="F36" s="1421"/>
      <c r="G36" s="1421"/>
      <c r="H36" s="1421"/>
      <c r="I36" s="1421"/>
      <c r="J36" s="1421"/>
      <c r="K36" s="1421"/>
      <c r="L36" s="1421"/>
      <c r="M36" s="1421"/>
      <c r="N36" s="1421"/>
      <c r="O36" s="1421"/>
      <c r="P36" s="1418">
        <v>46200</v>
      </c>
      <c r="Q36" s="1420" t="s">
        <v>111</v>
      </c>
      <c r="R36" s="1421"/>
      <c r="S36" s="1421"/>
      <c r="T36" s="1421"/>
      <c r="U36" s="1421"/>
      <c r="V36" s="1421"/>
      <c r="W36" s="1421"/>
      <c r="X36" s="1421"/>
      <c r="Y36" s="1421"/>
      <c r="Z36" s="1421"/>
      <c r="AA36" s="1421"/>
      <c r="AB36" s="1650">
        <f t="shared" si="7"/>
        <v>0</v>
      </c>
    </row>
    <row r="37" spans="1:28">
      <c r="A37" s="1635" t="s">
        <v>582</v>
      </c>
      <c r="B37" s="1560">
        <f>'Consolidated IS '!C201</f>
        <v>807565.70000000007</v>
      </c>
      <c r="C37" s="1560">
        <f>'Consolidated IS '!D201</f>
        <v>188065.86000000002</v>
      </c>
      <c r="D37" s="1560">
        <f>'Consolidated IS '!E201</f>
        <v>133188.23000000001</v>
      </c>
      <c r="E37" s="1421"/>
      <c r="F37" s="1421"/>
      <c r="G37" s="1421"/>
      <c r="H37" s="1421"/>
      <c r="I37" s="1421"/>
      <c r="J37" s="1421"/>
      <c r="K37" s="1421"/>
      <c r="L37" s="1421"/>
      <c r="M37" s="1421"/>
      <c r="N37" s="1421"/>
      <c r="O37" s="1421"/>
      <c r="P37" s="1418">
        <v>46300</v>
      </c>
      <c r="Q37" s="1420" t="s">
        <v>113</v>
      </c>
      <c r="R37" s="1421"/>
      <c r="S37" s="1421"/>
      <c r="T37" s="1421"/>
      <c r="U37" s="1421"/>
      <c r="V37" s="1421"/>
      <c r="W37" s="1421"/>
      <c r="X37" s="1421"/>
      <c r="Y37" s="1421"/>
      <c r="Z37" s="1421"/>
      <c r="AA37" s="1421"/>
      <c r="AB37" s="1650">
        <f t="shared" si="7"/>
        <v>0</v>
      </c>
    </row>
    <row r="38" spans="1:28">
      <c r="A38" s="1655" t="s">
        <v>393</v>
      </c>
      <c r="B38" s="1649">
        <f>B35-B37</f>
        <v>-235146.20576135989</v>
      </c>
      <c r="C38" s="1649">
        <f>C35-C37</f>
        <v>-76969.045789080716</v>
      </c>
      <c r="D38" s="1649">
        <f>D35-D37</f>
        <v>-59702.535734757766</v>
      </c>
      <c r="E38" s="1641" t="s">
        <v>571</v>
      </c>
      <c r="F38" s="1421"/>
      <c r="G38" s="1421"/>
      <c r="H38" s="1421"/>
      <c r="I38" s="1421"/>
      <c r="J38" s="1421"/>
      <c r="K38" s="1421"/>
      <c r="L38" s="1421"/>
      <c r="M38" s="1421"/>
      <c r="N38" s="1421"/>
      <c r="O38" s="1421"/>
      <c r="P38" s="1418">
        <v>46400</v>
      </c>
      <c r="Q38" s="1420" t="s">
        <v>44</v>
      </c>
      <c r="R38" s="1421"/>
      <c r="S38" s="1421"/>
      <c r="T38" s="1421"/>
      <c r="U38" s="1421"/>
      <c r="V38" s="1421"/>
      <c r="W38" s="1421"/>
      <c r="X38" s="1421"/>
      <c r="Y38" s="1421"/>
      <c r="Z38" s="1421"/>
      <c r="AA38" s="1421"/>
      <c r="AB38" s="1650">
        <f t="shared" si="7"/>
        <v>0</v>
      </c>
    </row>
    <row r="39" spans="1:28">
      <c r="A39" s="1421"/>
      <c r="B39" s="1421"/>
      <c r="C39" s="1421"/>
      <c r="D39" s="1421"/>
      <c r="E39" s="1421"/>
      <c r="F39" s="1421"/>
      <c r="G39" s="1421"/>
      <c r="H39" s="1421"/>
      <c r="I39" s="1421"/>
      <c r="J39" s="1421"/>
      <c r="K39" s="1421"/>
      <c r="L39" s="1421"/>
      <c r="M39" s="1421"/>
      <c r="N39" s="1421"/>
      <c r="O39" s="1421"/>
      <c r="P39" s="1418">
        <v>46410</v>
      </c>
      <c r="Q39" s="1420" t="s">
        <v>114</v>
      </c>
      <c r="R39" s="1421"/>
      <c r="S39" s="1421"/>
      <c r="T39" s="1421"/>
      <c r="U39" s="1421"/>
      <c r="V39" s="1421"/>
      <c r="W39" s="1421"/>
      <c r="X39" s="1421"/>
      <c r="Y39" s="1421"/>
      <c r="Z39" s="1421"/>
      <c r="AA39" s="1421"/>
      <c r="AB39" s="1650">
        <f t="shared" si="7"/>
        <v>0</v>
      </c>
    </row>
    <row r="40" spans="1:28">
      <c r="A40" s="1653" t="s">
        <v>590</v>
      </c>
      <c r="B40" s="1421"/>
      <c r="C40" s="1421"/>
      <c r="D40" s="1421"/>
      <c r="E40" s="1421"/>
      <c r="F40" s="1421"/>
      <c r="G40" s="1421"/>
      <c r="H40" s="1421"/>
      <c r="I40" s="1421"/>
      <c r="J40" s="1421"/>
      <c r="K40" s="1421"/>
      <c r="L40" s="1421"/>
      <c r="M40" s="1421"/>
      <c r="N40" s="1421"/>
      <c r="O40" s="1421"/>
      <c r="P40" s="1418">
        <v>46500</v>
      </c>
      <c r="Q40" s="1420" t="s">
        <v>117</v>
      </c>
      <c r="R40" s="1421"/>
      <c r="S40" s="1421"/>
      <c r="T40" s="1421"/>
      <c r="U40" s="1421"/>
      <c r="V40" s="1421"/>
      <c r="W40" s="1421"/>
      <c r="X40" s="1421"/>
      <c r="Y40" s="1421"/>
      <c r="Z40" s="1421"/>
      <c r="AA40" s="1421"/>
      <c r="AB40" s="1650">
        <f t="shared" si="7"/>
        <v>0</v>
      </c>
    </row>
    <row r="41" spans="1:28">
      <c r="A41" s="1421"/>
      <c r="B41" s="1421"/>
      <c r="C41" s="1421"/>
      <c r="D41" s="1421"/>
      <c r="E41" s="1421"/>
      <c r="F41" s="1421"/>
      <c r="G41" s="1421"/>
      <c r="H41" s="1421"/>
      <c r="I41" s="1421"/>
      <c r="J41" s="1421"/>
      <c r="K41" s="1421"/>
      <c r="L41" s="1421"/>
      <c r="M41" s="1421"/>
      <c r="N41" s="1421"/>
      <c r="O41" s="1421"/>
      <c r="P41" s="1418">
        <v>46510</v>
      </c>
      <c r="Q41" s="1420" t="s">
        <v>118</v>
      </c>
      <c r="R41" s="1421"/>
      <c r="S41" s="1421"/>
      <c r="T41" s="1421"/>
      <c r="U41" s="1421"/>
      <c r="V41" s="1421"/>
      <c r="W41" s="1421"/>
      <c r="X41" s="1421"/>
      <c r="Y41" s="1421"/>
      <c r="Z41" s="1421"/>
      <c r="AA41" s="1421"/>
      <c r="AB41" s="1650">
        <f t="shared" si="7"/>
        <v>0</v>
      </c>
    </row>
    <row r="42" spans="1:28">
      <c r="A42" s="1421" t="s">
        <v>582</v>
      </c>
      <c r="B42" s="1640">
        <f>+'Consolidated IS '!C275</f>
        <v>114984.61000000002</v>
      </c>
      <c r="C42" s="1421"/>
      <c r="D42" s="1421"/>
      <c r="E42" s="1421"/>
      <c r="F42" s="1421"/>
      <c r="G42" s="1421"/>
      <c r="H42" s="1421"/>
      <c r="I42" s="1421"/>
      <c r="J42" s="1421"/>
      <c r="K42" s="1421"/>
      <c r="L42" s="1421"/>
      <c r="M42" s="1421"/>
      <c r="N42" s="1421"/>
      <c r="O42" s="1421"/>
      <c r="P42" s="1418">
        <v>46700</v>
      </c>
      <c r="Q42" s="1420" t="s">
        <v>591</v>
      </c>
      <c r="R42" s="1421"/>
      <c r="S42" s="1421"/>
      <c r="T42" s="1421"/>
      <c r="U42" s="1421"/>
      <c r="V42" s="1421"/>
      <c r="W42" s="1656">
        <f>B99</f>
        <v>-3970.0300000000061</v>
      </c>
      <c r="X42" s="1421"/>
      <c r="Y42" s="1421"/>
      <c r="Z42" s="1421"/>
      <c r="AA42" s="1421"/>
      <c r="AB42" s="1650">
        <f t="shared" si="7"/>
        <v>-3970.0300000000061</v>
      </c>
    </row>
    <row r="43" spans="1:28">
      <c r="A43" s="1421" t="s">
        <v>592</v>
      </c>
      <c r="B43" s="1646">
        <f>+'Region OH 4.30.19'!AK52</f>
        <v>102717.02845860827</v>
      </c>
      <c r="C43" s="1421"/>
      <c r="D43" s="1421"/>
      <c r="E43" s="1421"/>
      <c r="F43" s="1421"/>
      <c r="G43" s="1421"/>
      <c r="H43" s="1421"/>
      <c r="I43" s="1421"/>
      <c r="J43" s="1421"/>
      <c r="K43" s="1421"/>
      <c r="L43" s="1421"/>
      <c r="M43" s="1421"/>
      <c r="N43" s="1421"/>
      <c r="O43" s="1421"/>
      <c r="P43" s="1418">
        <v>46900</v>
      </c>
      <c r="Q43" s="1420" t="s">
        <v>148</v>
      </c>
      <c r="R43" s="1421"/>
      <c r="S43" s="1421"/>
      <c r="T43" s="1657">
        <f>D55</f>
        <v>-37973.306000000004</v>
      </c>
      <c r="U43" s="1421"/>
      <c r="V43" s="1421"/>
      <c r="W43" s="1421"/>
      <c r="X43" s="1421"/>
      <c r="Y43" s="1421"/>
      <c r="Z43" s="1421"/>
      <c r="AA43" s="1421"/>
      <c r="AB43" s="1650">
        <f t="shared" si="7"/>
        <v>-37973.306000000004</v>
      </c>
    </row>
    <row r="44" spans="1:28">
      <c r="A44" s="1655" t="s">
        <v>593</v>
      </c>
      <c r="B44" s="1650">
        <f>B43-B42</f>
        <v>-12267.581541391744</v>
      </c>
      <c r="C44" s="1641" t="s">
        <v>571</v>
      </c>
      <c r="D44" s="1421"/>
      <c r="E44" s="1421"/>
      <c r="F44" s="1421"/>
      <c r="G44" s="1421"/>
      <c r="H44" s="1421"/>
      <c r="I44" s="1421"/>
      <c r="J44" s="1421"/>
      <c r="K44" s="1421"/>
      <c r="L44" s="1421"/>
      <c r="M44" s="1421"/>
      <c r="N44" s="1421"/>
      <c r="O44" s="1421"/>
      <c r="P44" s="1418">
        <v>51260</v>
      </c>
      <c r="Q44" s="1420" t="s">
        <v>149</v>
      </c>
      <c r="R44" s="1421"/>
      <c r="S44" s="1421"/>
      <c r="T44" s="1421"/>
      <c r="U44" s="1421"/>
      <c r="V44" s="1422">
        <f t="shared" ref="V44:V50" si="8">E73</f>
        <v>799534.72365555563</v>
      </c>
      <c r="W44" s="1421"/>
      <c r="X44" s="1421"/>
      <c r="Y44" s="1421"/>
      <c r="Z44" s="1421"/>
      <c r="AA44" s="1421"/>
      <c r="AB44" s="1650">
        <f t="shared" si="7"/>
        <v>799534.72365555563</v>
      </c>
    </row>
    <row r="45" spans="1:28">
      <c r="A45" s="1421"/>
      <c r="B45" s="1421"/>
      <c r="C45" s="1421"/>
      <c r="D45" s="1421"/>
      <c r="E45" s="1421"/>
      <c r="F45" s="1421"/>
      <c r="G45" s="1421"/>
      <c r="H45" s="1421"/>
      <c r="I45" s="1421"/>
      <c r="J45" s="1421"/>
      <c r="K45" s="1421"/>
      <c r="L45" s="1421"/>
      <c r="M45" s="1421"/>
      <c r="N45" s="1421"/>
      <c r="O45" s="1421"/>
      <c r="P45" s="1418">
        <v>54260</v>
      </c>
      <c r="Q45" s="1420" t="s">
        <v>150</v>
      </c>
      <c r="R45" s="1421"/>
      <c r="S45" s="1421"/>
      <c r="T45" s="1421"/>
      <c r="U45" s="1421"/>
      <c r="V45" s="1422">
        <f t="shared" si="8"/>
        <v>89692.0875291673</v>
      </c>
      <c r="W45" s="1421"/>
      <c r="X45" s="1421"/>
      <c r="Y45" s="1421"/>
      <c r="Z45" s="1421"/>
      <c r="AA45" s="1421"/>
      <c r="AB45" s="1650">
        <f t="shared" si="7"/>
        <v>89692.0875291673</v>
      </c>
    </row>
    <row r="46" spans="1:28">
      <c r="A46" s="1634" t="s">
        <v>647</v>
      </c>
      <c r="B46" s="1634"/>
      <c r="C46" s="1634"/>
      <c r="D46" s="1634"/>
      <c r="E46" s="1634"/>
      <c r="F46" s="1634"/>
      <c r="G46" s="1634"/>
      <c r="H46" s="1634"/>
      <c r="I46" s="1634"/>
      <c r="J46" s="1634"/>
      <c r="K46" s="1634"/>
      <c r="L46" s="1634"/>
      <c r="M46" s="1634"/>
      <c r="N46" s="1634"/>
      <c r="O46" s="1634"/>
      <c r="P46" s="1418"/>
      <c r="Q46" s="1420" t="s">
        <v>151</v>
      </c>
      <c r="R46" s="1421"/>
      <c r="S46" s="1421"/>
      <c r="T46" s="1421"/>
      <c r="U46" s="1421"/>
      <c r="V46" s="1422">
        <f t="shared" si="8"/>
        <v>22408.812114145428</v>
      </c>
      <c r="W46" s="1421"/>
      <c r="X46" s="1421"/>
      <c r="Y46" s="1421"/>
      <c r="Z46" s="1421"/>
      <c r="AA46" s="1421"/>
      <c r="AB46" s="1650">
        <f t="shared" si="7"/>
        <v>22408.812114145428</v>
      </c>
    </row>
    <row r="47" spans="1:28">
      <c r="A47" s="1421"/>
      <c r="B47" s="1421"/>
      <c r="C47" s="1421"/>
      <c r="D47" s="1421"/>
      <c r="E47" s="1421"/>
      <c r="F47" s="1421"/>
      <c r="G47" s="1421"/>
      <c r="H47" s="1421"/>
      <c r="I47" s="1421"/>
      <c r="J47" s="1421"/>
      <c r="K47" s="1421"/>
      <c r="L47" s="1421"/>
      <c r="M47" s="1421"/>
      <c r="N47" s="1421"/>
      <c r="O47" s="1421"/>
      <c r="P47" s="1418">
        <v>57260</v>
      </c>
      <c r="Q47" s="1420" t="s">
        <v>152</v>
      </c>
      <c r="R47" s="1421"/>
      <c r="S47" s="1421"/>
      <c r="T47" s="1421"/>
      <c r="U47" s="1421"/>
      <c r="V47" s="1422">
        <f t="shared" si="8"/>
        <v>-152540.79740011191</v>
      </c>
      <c r="W47" s="1421"/>
      <c r="X47" s="1421"/>
      <c r="Y47" s="1421"/>
      <c r="Z47" s="1421"/>
      <c r="AA47" s="1421"/>
      <c r="AB47" s="1650">
        <f t="shared" si="7"/>
        <v>-152540.79740011191</v>
      </c>
    </row>
    <row r="48" spans="1:28">
      <c r="A48" s="1421"/>
      <c r="B48" s="1421"/>
      <c r="C48" s="1554" t="s">
        <v>582</v>
      </c>
      <c r="D48" s="1554" t="s">
        <v>594</v>
      </c>
      <c r="E48" s="1554" t="s">
        <v>595</v>
      </c>
      <c r="F48" s="1421"/>
      <c r="G48" s="1421"/>
      <c r="H48" s="1421"/>
      <c r="I48" s="1421"/>
      <c r="J48" s="1421"/>
      <c r="K48" s="1421"/>
      <c r="L48" s="1421"/>
      <c r="M48" s="1421"/>
      <c r="N48" s="1421"/>
      <c r="O48" s="1421"/>
      <c r="P48" s="1418">
        <v>70260</v>
      </c>
      <c r="Q48" s="1420" t="s">
        <v>153</v>
      </c>
      <c r="R48" s="1421"/>
      <c r="S48" s="1421"/>
      <c r="T48" s="1421"/>
      <c r="U48" s="1421"/>
      <c r="V48" s="1422">
        <f t="shared" si="8"/>
        <v>-1463.0167423993776</v>
      </c>
      <c r="W48" s="1421"/>
      <c r="X48" s="1421"/>
      <c r="Y48" s="1421"/>
      <c r="Z48" s="1421"/>
      <c r="AA48" s="1421"/>
      <c r="AB48" s="1650">
        <f t="shared" si="7"/>
        <v>-1463.0167423993776</v>
      </c>
    </row>
    <row r="49" spans="1:33">
      <c r="A49" s="1421">
        <v>60225</v>
      </c>
      <c r="B49" s="1336" t="s">
        <v>82</v>
      </c>
      <c r="C49" s="1557">
        <f>+VLOOKUP(A49,'Consolidated IS '!$A:$F,3,FALSE)</f>
        <v>8287.25</v>
      </c>
      <c r="D49" s="1658">
        <f>-'JE Query 60225'!D96</f>
        <v>-2775</v>
      </c>
      <c r="E49" s="1659"/>
      <c r="F49" s="1641"/>
      <c r="G49" s="1421"/>
      <c r="H49" s="1421"/>
      <c r="I49" s="1421"/>
      <c r="J49" s="1421"/>
      <c r="K49" s="1421"/>
      <c r="L49" s="1421"/>
      <c r="M49" s="1421"/>
      <c r="N49" s="1421"/>
      <c r="O49" s="1421"/>
      <c r="P49" s="1418"/>
      <c r="Q49" s="1420" t="s">
        <v>1760</v>
      </c>
      <c r="R49" s="1421"/>
      <c r="S49" s="1421"/>
      <c r="T49" s="1421"/>
      <c r="U49" s="1421"/>
      <c r="V49" s="1422">
        <f t="shared" si="8"/>
        <v>67750.238386653262</v>
      </c>
      <c r="W49" s="1421"/>
      <c r="X49" s="1421"/>
      <c r="Y49" s="1421"/>
      <c r="Z49" s="1421"/>
      <c r="AA49" s="1421"/>
      <c r="AB49" s="1650">
        <f t="shared" si="7"/>
        <v>67750.238386653262</v>
      </c>
      <c r="AC49" s="704"/>
      <c r="AD49" s="704"/>
      <c r="AE49" s="704"/>
      <c r="AF49" s="704"/>
      <c r="AG49" s="704"/>
    </row>
    <row r="50" spans="1:33">
      <c r="A50" s="1660">
        <v>70095</v>
      </c>
      <c r="B50" s="1660" t="s">
        <v>61</v>
      </c>
      <c r="C50" s="1557">
        <f>+VLOOKUP(A50,'Consolidated IS '!$A:$F,3,FALSE)</f>
        <v>93381.04</v>
      </c>
      <c r="D50" s="1557">
        <f>-'JE Query 70095'!D582</f>
        <v>-29000.02</v>
      </c>
      <c r="E50" s="1661" t="s">
        <v>596</v>
      </c>
      <c r="F50" s="1641"/>
      <c r="G50" s="1421"/>
      <c r="H50" s="1421"/>
      <c r="I50" s="1421"/>
      <c r="J50" s="1421"/>
      <c r="K50" s="1421"/>
      <c r="L50" s="1421"/>
      <c r="M50" s="1421"/>
      <c r="N50" s="1421"/>
      <c r="O50" s="1421"/>
      <c r="P50" s="1418"/>
      <c r="Q50" s="1420" t="s">
        <v>1761</v>
      </c>
      <c r="R50" s="1421"/>
      <c r="S50" s="1421"/>
      <c r="T50" s="1421"/>
      <c r="U50" s="1421"/>
      <c r="V50" s="1422">
        <f t="shared" si="8"/>
        <v>58605.341282051282</v>
      </c>
      <c r="W50" s="1421"/>
      <c r="X50" s="1421"/>
      <c r="Y50" s="1421"/>
      <c r="Z50" s="1421"/>
      <c r="AA50" s="1421"/>
      <c r="AB50" s="1650">
        <f t="shared" si="7"/>
        <v>58605.341282051282</v>
      </c>
      <c r="AC50" s="704"/>
      <c r="AD50" s="704"/>
      <c r="AE50" s="704"/>
      <c r="AF50" s="704"/>
      <c r="AG50" s="704"/>
    </row>
    <row r="51" spans="1:33">
      <c r="A51" s="1660">
        <v>70110</v>
      </c>
      <c r="B51" s="1660" t="s">
        <v>128</v>
      </c>
      <c r="C51" s="1557">
        <f>+VLOOKUP(A51,'Consolidated IS '!$A:$F,3,FALSE)</f>
        <v>1533</v>
      </c>
      <c r="D51" s="1557">
        <f>-'Consolidated IS '!C273</f>
        <v>-1533</v>
      </c>
      <c r="E51" s="1661" t="s">
        <v>596</v>
      </c>
      <c r="F51" s="1641"/>
      <c r="G51" s="1421"/>
      <c r="H51" s="1421"/>
      <c r="I51" s="1421"/>
      <c r="J51" s="1421"/>
      <c r="K51" s="1421"/>
      <c r="L51" s="1421"/>
      <c r="M51" s="1421"/>
      <c r="N51" s="1421"/>
      <c r="O51" s="1421"/>
      <c r="P51" s="1418">
        <v>52000</v>
      </c>
      <c r="Q51" s="1420" t="s">
        <v>597</v>
      </c>
      <c r="R51" s="1421"/>
      <c r="S51" s="1421"/>
      <c r="T51" s="1421"/>
      <c r="U51" s="1421"/>
      <c r="V51" s="1421"/>
      <c r="W51" s="1421"/>
      <c r="X51" s="1421"/>
      <c r="Y51" s="1421"/>
      <c r="Z51" s="1421"/>
      <c r="AA51" s="1421"/>
      <c r="AB51" s="1650">
        <f t="shared" si="7"/>
        <v>0</v>
      </c>
    </row>
    <row r="52" spans="1:33">
      <c r="A52" s="1660">
        <v>70112</v>
      </c>
      <c r="B52" s="1660" t="s">
        <v>129</v>
      </c>
      <c r="C52" s="1557">
        <f>+VLOOKUP(A52,'Consolidated IS '!$A:$F,3,FALSE)</f>
        <v>450</v>
      </c>
      <c r="D52" s="1557">
        <f>-'Consolidated IS '!C274</f>
        <v>-450</v>
      </c>
      <c r="E52" s="1661" t="s">
        <v>596</v>
      </c>
      <c r="F52" s="1641"/>
      <c r="G52" s="1421"/>
      <c r="H52" s="1421"/>
      <c r="I52" s="1421"/>
      <c r="J52" s="1421"/>
      <c r="K52" s="1421"/>
      <c r="L52" s="1421"/>
      <c r="M52" s="1421"/>
      <c r="N52" s="1421"/>
      <c r="O52" s="1421"/>
      <c r="P52" s="1418">
        <v>52030</v>
      </c>
      <c r="Q52" s="1420" t="s">
        <v>162</v>
      </c>
      <c r="R52" s="1421"/>
      <c r="S52" s="1421"/>
      <c r="T52" s="1421"/>
      <c r="U52" s="1421"/>
      <c r="V52" s="1421"/>
      <c r="W52" s="1421"/>
      <c r="X52" s="1421"/>
      <c r="Y52" s="1421"/>
      <c r="Z52" s="1421"/>
      <c r="AA52" s="1421"/>
      <c r="AB52" s="1650">
        <f t="shared" si="7"/>
        <v>0</v>
      </c>
    </row>
    <row r="53" spans="1:33">
      <c r="A53" s="1660">
        <v>70195</v>
      </c>
      <c r="B53" s="1660" t="s">
        <v>133</v>
      </c>
      <c r="C53" s="1557">
        <f>+VLOOKUP(A53,'Consolidated IS '!$A:$F,3,FALSE)</f>
        <v>16160.020000000002</v>
      </c>
      <c r="D53" s="1557">
        <f>-'JE Query 70195'!D79</f>
        <v>-4215.2860000000001</v>
      </c>
      <c r="E53" s="1661" t="s">
        <v>596</v>
      </c>
      <c r="F53" s="1421"/>
      <c r="G53" s="1421"/>
      <c r="H53" s="1421"/>
      <c r="I53" s="1421"/>
      <c r="J53" s="1421"/>
      <c r="K53" s="1421"/>
      <c r="L53" s="1421"/>
      <c r="M53" s="1421"/>
      <c r="N53" s="1421"/>
      <c r="O53" s="1421"/>
      <c r="P53" s="1418">
        <v>52200</v>
      </c>
      <c r="Q53" s="1420" t="s">
        <v>164</v>
      </c>
      <c r="R53" s="1421"/>
      <c r="S53" s="1421"/>
      <c r="T53" s="1421"/>
      <c r="U53" s="1421"/>
      <c r="V53" s="1421"/>
      <c r="W53" s="1421"/>
      <c r="X53" s="1421"/>
      <c r="Y53" s="1421"/>
      <c r="Z53" s="1421"/>
      <c r="AA53" s="1421"/>
      <c r="AB53" s="1650">
        <f t="shared" si="7"/>
        <v>0</v>
      </c>
    </row>
    <row r="54" spans="1:33">
      <c r="A54" s="1660">
        <v>70255</v>
      </c>
      <c r="B54" s="1660" t="s">
        <v>143</v>
      </c>
      <c r="C54" s="1662">
        <f>+VLOOKUP(A54,'Consolidated IS '!$A:$F,3,FALSE)</f>
        <v>5347.12</v>
      </c>
      <c r="D54" s="1662">
        <v>0</v>
      </c>
      <c r="E54" s="1661" t="s">
        <v>596</v>
      </c>
      <c r="F54" s="1421"/>
      <c r="G54" s="1421"/>
      <c r="H54" s="1421"/>
      <c r="I54" s="1421"/>
      <c r="J54" s="1421"/>
      <c r="K54" s="1421"/>
      <c r="L54" s="1421"/>
      <c r="M54" s="1421"/>
      <c r="N54" s="1421"/>
      <c r="O54" s="1421"/>
      <c r="P54" s="1418">
        <v>52700</v>
      </c>
      <c r="Q54" s="1420" t="s">
        <v>598</v>
      </c>
      <c r="R54" s="1421"/>
      <c r="S54" s="1421"/>
      <c r="T54" s="1421"/>
      <c r="U54" s="1421"/>
      <c r="V54" s="1421"/>
      <c r="W54" s="1421"/>
      <c r="X54" s="1421"/>
      <c r="Y54" s="1421"/>
      <c r="Z54" s="1421"/>
      <c r="AA54" s="1421"/>
      <c r="AB54" s="1650">
        <f t="shared" si="7"/>
        <v>0</v>
      </c>
    </row>
    <row r="55" spans="1:33">
      <c r="A55" s="1421"/>
      <c r="B55" s="1421"/>
      <c r="C55" s="1663">
        <f>SUM(C49:C54)</f>
        <v>125158.43</v>
      </c>
      <c r="D55" s="1663">
        <f>SUM(D49:D54)</f>
        <v>-37973.306000000004</v>
      </c>
      <c r="E55" s="1641" t="s">
        <v>572</v>
      </c>
      <c r="F55" s="1421"/>
      <c r="G55" s="1421"/>
      <c r="H55" s="1421"/>
      <c r="I55" s="1421"/>
      <c r="J55" s="1421"/>
      <c r="K55" s="1421"/>
      <c r="L55" s="1421"/>
      <c r="M55" s="1421"/>
      <c r="N55" s="1421"/>
      <c r="O55" s="1421"/>
      <c r="P55" s="1418">
        <v>53200</v>
      </c>
      <c r="Q55" s="1420" t="s">
        <v>168</v>
      </c>
      <c r="R55" s="1421"/>
      <c r="S55" s="1421"/>
      <c r="T55" s="1421"/>
      <c r="U55" s="1421"/>
      <c r="V55" s="1421"/>
      <c r="W55" s="1421"/>
      <c r="X55" s="1421"/>
      <c r="Y55" s="1421"/>
      <c r="Z55" s="1421"/>
      <c r="AA55" s="1421"/>
      <c r="AB55" s="1650">
        <f t="shared" si="7"/>
        <v>0</v>
      </c>
    </row>
    <row r="56" spans="1:33">
      <c r="A56" s="1421"/>
      <c r="B56" s="1421"/>
      <c r="C56" s="1557"/>
      <c r="D56" s="1557"/>
      <c r="E56" s="1664"/>
      <c r="F56" s="1421"/>
      <c r="G56" s="1421"/>
      <c r="H56" s="1421"/>
      <c r="I56" s="1421"/>
      <c r="J56" s="1421"/>
      <c r="K56" s="1421"/>
      <c r="L56" s="1421"/>
      <c r="M56" s="1421"/>
      <c r="N56" s="1421"/>
      <c r="O56" s="1421"/>
      <c r="P56" s="1418">
        <v>70148</v>
      </c>
      <c r="Q56" s="1420" t="s">
        <v>963</v>
      </c>
      <c r="R56" s="1421"/>
      <c r="S56" s="1652">
        <f>+B44</f>
        <v>-12267.581541391744</v>
      </c>
      <c r="T56" s="1421"/>
      <c r="U56" s="1421"/>
      <c r="V56" s="1421"/>
      <c r="W56" s="1421"/>
      <c r="X56" s="1421"/>
      <c r="Y56" s="1421"/>
      <c r="Z56" s="1421"/>
      <c r="AA56" s="1421"/>
      <c r="AB56" s="1650">
        <f t="shared" si="7"/>
        <v>-12267.581541391744</v>
      </c>
    </row>
    <row r="57" spans="1:33">
      <c r="A57" s="1660"/>
      <c r="B57" s="1660"/>
      <c r="C57" s="1557"/>
      <c r="D57" s="1557"/>
      <c r="E57" s="1641"/>
      <c r="F57" s="1641"/>
      <c r="G57" s="1421"/>
      <c r="H57" s="1421"/>
      <c r="I57" s="1421"/>
      <c r="J57" s="1421"/>
      <c r="K57" s="1421"/>
      <c r="L57" s="1421"/>
      <c r="M57" s="1421"/>
      <c r="N57" s="1421"/>
      <c r="O57" s="1421"/>
      <c r="P57" s="1418">
        <v>70149</v>
      </c>
      <c r="Q57" s="1420" t="s">
        <v>964</v>
      </c>
      <c r="R57" s="1421"/>
      <c r="S57" s="1652">
        <f>SUM(B38:D38)</f>
        <v>-371817.7872851984</v>
      </c>
      <c r="T57" s="1421"/>
      <c r="U57" s="1421"/>
      <c r="V57" s="1421"/>
      <c r="W57" s="1421"/>
      <c r="X57" s="1421"/>
      <c r="Y57" s="1421"/>
      <c r="Z57" s="1421"/>
      <c r="AA57" s="1421"/>
      <c r="AB57" s="1650">
        <f t="shared" si="7"/>
        <v>-371817.7872851984</v>
      </c>
    </row>
    <row r="58" spans="1:33">
      <c r="A58" s="1421"/>
      <c r="B58" s="1421"/>
      <c r="C58" s="1557"/>
      <c r="D58" s="1557"/>
      <c r="E58" s="1421"/>
      <c r="F58" s="1641"/>
      <c r="G58" s="1421"/>
      <c r="H58" s="1421"/>
      <c r="I58" s="1421"/>
      <c r="J58" s="1421"/>
      <c r="K58" s="1421"/>
      <c r="L58" s="1421"/>
      <c r="M58" s="1421"/>
      <c r="N58" s="1421"/>
      <c r="O58" s="1421"/>
      <c r="P58" s="1418">
        <v>70269</v>
      </c>
      <c r="Q58" s="1420" t="s">
        <v>156</v>
      </c>
      <c r="R58" s="1645"/>
      <c r="S58" s="1645"/>
      <c r="T58" s="1645"/>
      <c r="U58" s="1645"/>
      <c r="V58" s="1646">
        <f>+E80</f>
        <v>-50527.73</v>
      </c>
      <c r="W58" s="1645"/>
      <c r="X58" s="1645"/>
      <c r="Y58" s="1645"/>
      <c r="Z58" s="1645"/>
      <c r="AA58" s="1645"/>
      <c r="AB58" s="1650">
        <f>SUM(R58:AA58)</f>
        <v>-50527.73</v>
      </c>
    </row>
    <row r="59" spans="1:33" s="400" customFormat="1">
      <c r="A59" s="1660"/>
      <c r="B59" s="1660"/>
      <c r="C59" s="1557"/>
      <c r="D59" s="1557"/>
      <c r="E59" s="1660"/>
      <c r="F59" s="1641"/>
      <c r="G59" s="1421"/>
      <c r="H59" s="1421"/>
      <c r="I59" s="1421"/>
      <c r="J59" s="1421"/>
      <c r="K59" s="1421"/>
      <c r="L59" s="1421"/>
      <c r="M59" s="1421"/>
      <c r="N59" s="1421"/>
      <c r="O59" s="1421"/>
      <c r="P59" s="1421"/>
      <c r="Q59" s="1635"/>
      <c r="R59" s="1640">
        <f t="shared" ref="R59:Z59" si="9">SUM(R20:R58)</f>
        <v>-4199.5299999981871</v>
      </c>
      <c r="S59" s="1640">
        <f t="shared" si="9"/>
        <v>-384085.36882659013</v>
      </c>
      <c r="T59" s="1640">
        <f t="shared" si="9"/>
        <v>-37973.306000000004</v>
      </c>
      <c r="U59" s="1640">
        <f t="shared" si="9"/>
        <v>-7069.7279014999804</v>
      </c>
      <c r="V59" s="1640">
        <f t="shared" si="9"/>
        <v>833459.65882506152</v>
      </c>
      <c r="W59" s="1640">
        <f t="shared" si="9"/>
        <v>-3970.0300000000061</v>
      </c>
      <c r="X59" s="1640">
        <f t="shared" si="9"/>
        <v>41094.45513628034</v>
      </c>
      <c r="Y59" s="1640">
        <f t="shared" si="9"/>
        <v>-255295.45998554918</v>
      </c>
      <c r="Z59" s="1640">
        <f t="shared" si="9"/>
        <v>-94417.766706754075</v>
      </c>
      <c r="AA59" s="1640">
        <f>SUM(AA20:AA58)</f>
        <v>64776.540300243192</v>
      </c>
      <c r="AB59" s="1650">
        <f>SUM(R59:AA59)</f>
        <v>152319.46484119352</v>
      </c>
      <c r="AC59"/>
      <c r="AD59"/>
      <c r="AE59"/>
      <c r="AF59"/>
      <c r="AG59"/>
    </row>
    <row r="60" spans="1:33" s="400" customFormat="1">
      <c r="A60" s="1421"/>
      <c r="B60" s="1421"/>
      <c r="C60" s="1421"/>
      <c r="D60" s="1421"/>
      <c r="E60" s="1421"/>
      <c r="F60" s="1421"/>
      <c r="G60" s="1421"/>
      <c r="H60" s="1421"/>
      <c r="I60" s="1421"/>
      <c r="J60" s="1421"/>
      <c r="K60" s="1423"/>
      <c r="L60" s="1424"/>
      <c r="M60" s="1421"/>
      <c r="N60" s="1421"/>
      <c r="O60" s="1635"/>
      <c r="P60" s="1421"/>
      <c r="Q60" s="1635"/>
      <c r="R60" s="1421"/>
      <c r="S60" s="1421"/>
      <c r="T60" s="1421"/>
      <c r="U60" s="1421"/>
      <c r="V60" s="1421"/>
      <c r="W60" s="1421"/>
      <c r="X60" s="1421"/>
      <c r="Y60" s="1421"/>
      <c r="Z60" s="1421"/>
      <c r="AA60" s="1421"/>
      <c r="AB60" s="1421"/>
      <c r="AC60"/>
      <c r="AD60"/>
      <c r="AE60"/>
      <c r="AF60"/>
      <c r="AG60"/>
    </row>
    <row r="61" spans="1:33" s="400" customFormat="1">
      <c r="A61" s="1634" t="s">
        <v>648</v>
      </c>
      <c r="B61" s="1634"/>
      <c r="C61" s="1634"/>
      <c r="D61" s="1634"/>
      <c r="E61" s="1634"/>
      <c r="F61" s="1634"/>
      <c r="G61" s="1634"/>
      <c r="H61" s="1634"/>
      <c r="I61" s="1634"/>
      <c r="J61" s="1634"/>
      <c r="K61" s="1634"/>
      <c r="L61" s="1634"/>
      <c r="M61" s="1634"/>
      <c r="N61" s="1634"/>
      <c r="O61" s="1634"/>
      <c r="P61" s="1421"/>
      <c r="Q61" s="1635"/>
      <c r="R61" s="1421"/>
      <c r="S61" s="1421"/>
      <c r="T61" s="1421"/>
      <c r="U61" s="1421"/>
      <c r="V61" s="1421"/>
      <c r="W61" s="1421"/>
      <c r="X61" s="1421"/>
      <c r="Y61" s="1421"/>
      <c r="Z61" s="1421"/>
      <c r="AA61" s="1421"/>
      <c r="AB61" s="1421"/>
      <c r="AC61"/>
    </row>
    <row r="62" spans="1:33" s="400" customFormat="1">
      <c r="A62" s="1421"/>
      <c r="B62" s="1421"/>
      <c r="C62" s="1421"/>
      <c r="D62" s="1421"/>
      <c r="E62" s="1421"/>
      <c r="F62" s="1421"/>
      <c r="G62" s="1421"/>
      <c r="H62" s="1421"/>
      <c r="I62" s="1421"/>
      <c r="J62" s="1421"/>
      <c r="K62" s="1421"/>
      <c r="L62" s="1421"/>
      <c r="M62" s="1421"/>
      <c r="N62" s="1421"/>
      <c r="O62" s="1421"/>
      <c r="P62" s="1421"/>
      <c r="Q62" s="1421"/>
      <c r="R62" s="1421"/>
      <c r="S62" s="1421"/>
      <c r="T62" s="1421"/>
      <c r="U62" s="1421"/>
      <c r="V62" s="1421"/>
      <c r="W62" s="1421"/>
      <c r="X62" s="1421"/>
      <c r="Y62" s="1421"/>
      <c r="Z62" s="1421"/>
      <c r="AA62" s="1421"/>
      <c r="AB62" s="1421"/>
      <c r="AC62"/>
    </row>
    <row r="63" spans="1:33" s="400" customFormat="1">
      <c r="A63" s="1635" t="s">
        <v>599</v>
      </c>
      <c r="B63" s="1557">
        <f>SUM(B9:C18)</f>
        <v>27959759.235000003</v>
      </c>
      <c r="C63" s="1421"/>
      <c r="D63" s="1421"/>
      <c r="E63" s="1421"/>
      <c r="F63" s="1421"/>
      <c r="G63" s="1421"/>
      <c r="H63" s="1421"/>
      <c r="I63" s="1421"/>
      <c r="J63" s="1421"/>
      <c r="K63" s="1421"/>
      <c r="L63" s="1421"/>
      <c r="M63" s="1421"/>
      <c r="N63" s="1421"/>
      <c r="O63" s="1421"/>
      <c r="P63" s="1421"/>
      <c r="Q63" s="1635"/>
      <c r="R63" s="1421"/>
      <c r="S63" s="1421"/>
      <c r="T63" s="1421"/>
      <c r="U63" s="1421"/>
      <c r="V63" s="1421"/>
      <c r="W63" s="1421"/>
      <c r="X63" s="1421"/>
      <c r="Y63" s="1421"/>
      <c r="Z63" s="1421"/>
      <c r="AA63" s="1421"/>
      <c r="AB63" s="1421"/>
      <c r="AC63"/>
    </row>
    <row r="64" spans="1:33" s="400" customFormat="1">
      <c r="A64" s="1635" t="s">
        <v>79</v>
      </c>
      <c r="B64" s="1665">
        <v>5.1000000000000004E-3</v>
      </c>
      <c r="C64" s="1421"/>
      <c r="D64" s="1421"/>
      <c r="E64" s="1421"/>
      <c r="F64" s="1421"/>
      <c r="G64" s="1421"/>
      <c r="H64" s="1421"/>
      <c r="I64" s="1421"/>
      <c r="J64" s="1421"/>
      <c r="K64" s="1421"/>
      <c r="L64" s="1421"/>
      <c r="M64" s="1421"/>
      <c r="N64" s="1421"/>
      <c r="O64" s="1421"/>
      <c r="P64" s="1421"/>
      <c r="Q64" s="1635"/>
      <c r="R64" s="1421"/>
      <c r="S64" s="1421"/>
      <c r="T64" s="1421"/>
      <c r="U64" s="1421"/>
      <c r="V64" s="1421"/>
      <c r="W64" s="1421"/>
      <c r="X64" s="1421"/>
      <c r="Y64" s="1421"/>
      <c r="Z64" s="1421"/>
      <c r="AA64" s="1421"/>
      <c r="AB64" s="1421"/>
      <c r="AC64"/>
    </row>
    <row r="65" spans="1:29" s="400" customFormat="1">
      <c r="A65" s="1635" t="s">
        <v>600</v>
      </c>
      <c r="B65" s="1557">
        <f>B63*B64</f>
        <v>142594.77209850002</v>
      </c>
      <c r="C65" s="1421"/>
      <c r="D65" s="1421"/>
      <c r="E65" s="1421"/>
      <c r="F65" s="1421"/>
      <c r="G65" s="1421"/>
      <c r="H65" s="1421"/>
      <c r="I65" s="1421"/>
      <c r="J65" s="1421"/>
      <c r="K65" s="1421"/>
      <c r="L65" s="1421"/>
      <c r="M65" s="1421"/>
      <c r="N65" s="1421"/>
      <c r="O65" s="1421"/>
      <c r="P65" s="1421"/>
      <c r="Q65" s="1635"/>
      <c r="R65" s="1421"/>
      <c r="S65" s="1421"/>
      <c r="T65" s="1421"/>
      <c r="U65" s="1421"/>
      <c r="V65" s="1421"/>
      <c r="W65" s="1421"/>
      <c r="X65" s="1421"/>
      <c r="Y65" s="1421"/>
      <c r="Z65" s="1421"/>
      <c r="AA65" s="1421"/>
      <c r="AB65" s="1421"/>
      <c r="AC65"/>
    </row>
    <row r="66" spans="1:29" s="400" customFormat="1">
      <c r="A66" s="1421"/>
      <c r="B66" s="1421"/>
      <c r="C66" s="1421"/>
      <c r="D66" s="1421"/>
      <c r="E66" s="1421"/>
      <c r="F66" s="1421"/>
      <c r="G66" s="1421"/>
      <c r="H66" s="1421"/>
      <c r="I66" s="1421"/>
      <c r="J66" s="1421"/>
      <c r="K66" s="1421"/>
      <c r="L66" s="1421"/>
      <c r="M66" s="1421"/>
      <c r="N66" s="1421"/>
      <c r="O66" s="1421"/>
      <c r="P66" s="1421"/>
      <c r="Q66" s="1635"/>
      <c r="R66" s="1421"/>
      <c r="S66" s="1421"/>
      <c r="T66" s="1421"/>
      <c r="U66" s="1421"/>
      <c r="V66" s="1421"/>
      <c r="W66" s="1421"/>
      <c r="X66" s="1421"/>
      <c r="Y66" s="1421"/>
      <c r="Z66" s="1421"/>
      <c r="AA66" s="1421"/>
      <c r="AB66" s="1421"/>
      <c r="AC66"/>
    </row>
    <row r="67" spans="1:29" s="400" customFormat="1">
      <c r="A67" s="1635" t="s">
        <v>601</v>
      </c>
      <c r="B67" s="1647">
        <f>+'Consolidated IS '!C164</f>
        <v>149664.5</v>
      </c>
      <c r="C67" s="1421"/>
      <c r="D67" s="1421"/>
      <c r="E67" s="1421"/>
      <c r="F67" s="1421"/>
      <c r="G67" s="1421"/>
      <c r="H67" s="1421"/>
      <c r="I67" s="1421"/>
      <c r="J67" s="1421"/>
      <c r="K67" s="1421"/>
      <c r="L67" s="1421"/>
      <c r="M67" s="1421"/>
      <c r="N67" s="1421"/>
      <c r="O67" s="1421"/>
      <c r="P67" s="1421"/>
      <c r="Q67" s="1635"/>
      <c r="R67" s="1421"/>
      <c r="S67" s="1421"/>
      <c r="T67" s="1421"/>
      <c r="U67" s="1421"/>
      <c r="V67" s="1421"/>
      <c r="W67" s="1421"/>
      <c r="X67" s="1421"/>
      <c r="Y67" s="1421"/>
      <c r="Z67" s="1421"/>
      <c r="AA67" s="1421"/>
      <c r="AB67" s="1421"/>
      <c r="AC67"/>
    </row>
    <row r="68" spans="1:29" s="400" customFormat="1">
      <c r="A68" s="1655" t="s">
        <v>602</v>
      </c>
      <c r="B68" s="1649">
        <f>B65-B67</f>
        <v>-7069.7279014999804</v>
      </c>
      <c r="C68" s="1641" t="s">
        <v>575</v>
      </c>
      <c r="D68" s="1421"/>
      <c r="E68" s="1421"/>
      <c r="F68" s="1421"/>
      <c r="G68" s="1421"/>
      <c r="H68" s="1421"/>
      <c r="I68" s="1421"/>
      <c r="J68" s="1421"/>
      <c r="K68" s="1421"/>
      <c r="L68" s="1421"/>
      <c r="M68" s="1421"/>
      <c r="N68" s="1421"/>
      <c r="O68" s="1421"/>
      <c r="P68" s="1421"/>
      <c r="Q68" s="1635"/>
      <c r="R68" s="1421"/>
      <c r="S68" s="1421"/>
      <c r="T68" s="1421"/>
      <c r="U68" s="1421"/>
      <c r="V68" s="1421"/>
      <c r="W68" s="1421"/>
      <c r="X68" s="1421"/>
      <c r="Y68" s="1421"/>
      <c r="Z68" s="1421"/>
      <c r="AA68" s="1421"/>
      <c r="AB68" s="1421"/>
      <c r="AC68"/>
    </row>
    <row r="69" spans="1:29" s="400" customFormat="1">
      <c r="A69" s="1421"/>
      <c r="B69" s="1421"/>
      <c r="C69" s="1666" t="s">
        <v>603</v>
      </c>
      <c r="D69" s="1421"/>
      <c r="E69" s="1421"/>
      <c r="F69" s="1421"/>
      <c r="G69" s="1421"/>
      <c r="H69" s="1421"/>
      <c r="I69" s="1421"/>
      <c r="J69" s="1421"/>
      <c r="K69" s="1421"/>
      <c r="L69" s="1421"/>
      <c r="M69" s="1421"/>
      <c r="N69" s="1421"/>
      <c r="O69" s="1421"/>
      <c r="P69" s="1421"/>
      <c r="Q69" s="1635"/>
      <c r="R69" s="1421"/>
      <c r="S69" s="1421"/>
      <c r="T69" s="1421"/>
      <c r="U69" s="1421"/>
      <c r="V69" s="1421"/>
      <c r="W69" s="1421"/>
      <c r="X69" s="1421"/>
      <c r="Y69" s="1421"/>
      <c r="Z69" s="1421"/>
      <c r="AA69" s="1421"/>
      <c r="AB69" s="1421"/>
      <c r="AC69"/>
    </row>
    <row r="70" spans="1:29" s="400" customFormat="1">
      <c r="A70" s="1634" t="s">
        <v>649</v>
      </c>
      <c r="B70" s="1634"/>
      <c r="C70" s="1634"/>
      <c r="D70" s="1634"/>
      <c r="E70" s="1634"/>
      <c r="F70" s="1634"/>
      <c r="G70" s="1634"/>
      <c r="H70" s="1634"/>
      <c r="I70" s="1634"/>
      <c r="J70" s="1634"/>
      <c r="K70" s="1634"/>
      <c r="L70" s="1634"/>
      <c r="M70" s="1634"/>
      <c r="N70" s="1634"/>
      <c r="O70" s="1634"/>
      <c r="P70" s="1421"/>
      <c r="Q70" s="1635"/>
      <c r="R70" s="1421"/>
      <c r="S70" s="1421"/>
      <c r="T70" s="1421"/>
      <c r="U70" s="1421"/>
      <c r="V70" s="1421"/>
      <c r="W70" s="1421"/>
      <c r="X70" s="1421"/>
      <c r="Y70" s="1421"/>
      <c r="Z70" s="1421"/>
      <c r="AA70" s="1421"/>
      <c r="AB70" s="1421"/>
      <c r="AC70"/>
    </row>
    <row r="71" spans="1:29" s="400" customFormat="1">
      <c r="A71" s="1421"/>
      <c r="B71" s="1421"/>
      <c r="C71" s="1421"/>
      <c r="D71" s="1421"/>
      <c r="E71" s="1421"/>
      <c r="F71" s="1421"/>
      <c r="G71" s="1421"/>
      <c r="H71" s="1421"/>
      <c r="I71" s="1421"/>
      <c r="J71" s="1421"/>
      <c r="K71" s="1421"/>
      <c r="L71" s="1421"/>
      <c r="M71" s="1421"/>
      <c r="N71" s="1421"/>
      <c r="O71" s="1421"/>
      <c r="P71" s="1421"/>
      <c r="Q71" s="1635"/>
      <c r="R71" s="1421"/>
      <c r="S71" s="1421"/>
      <c r="T71" s="1421"/>
      <c r="U71" s="1421"/>
      <c r="V71" s="1421"/>
      <c r="W71" s="1421"/>
      <c r="X71" s="1421"/>
      <c r="Y71" s="1421"/>
      <c r="Z71" s="1421"/>
      <c r="AA71" s="1421"/>
      <c r="AB71" s="1421"/>
      <c r="AC71"/>
    </row>
    <row r="72" spans="1:29" s="400" customFormat="1">
      <c r="A72" s="1421"/>
      <c r="B72" s="1421"/>
      <c r="C72" s="1667" t="s">
        <v>582</v>
      </c>
      <c r="D72" s="1667" t="s">
        <v>604</v>
      </c>
      <c r="E72" s="1667" t="s">
        <v>602</v>
      </c>
      <c r="F72" s="1421"/>
      <c r="G72" s="1667"/>
      <c r="H72" s="1421"/>
      <c r="I72" s="1421"/>
      <c r="J72" s="1421"/>
      <c r="K72" s="1423"/>
      <c r="L72" s="1424"/>
      <c r="M72" s="1421"/>
      <c r="N72" s="1421"/>
      <c r="O72" s="1635"/>
      <c r="P72" s="1421"/>
      <c r="Q72" s="1635"/>
      <c r="R72" s="1421"/>
      <c r="S72" s="1421"/>
      <c r="T72" s="1421"/>
      <c r="U72" s="1421"/>
      <c r="V72" s="1421"/>
      <c r="W72" s="1421"/>
      <c r="X72" s="1421"/>
      <c r="Y72" s="1421"/>
      <c r="Z72" s="1421"/>
      <c r="AA72" s="1421"/>
      <c r="AB72" s="1421"/>
    </row>
    <row r="73" spans="1:29" s="400" customFormat="1">
      <c r="A73" s="1635">
        <v>51260</v>
      </c>
      <c r="B73" s="1635" t="s">
        <v>149</v>
      </c>
      <c r="C73" s="1640">
        <f>+'Consolidated IS '!C295</f>
        <v>1088045.23</v>
      </c>
      <c r="D73" s="1640">
        <f>+SUM('2183-2184-2185 Ratios'!C80:F80)</f>
        <v>1887579.9536555556</v>
      </c>
      <c r="E73" s="1422">
        <f>D73-C73</f>
        <v>799534.72365555563</v>
      </c>
      <c r="F73" s="1421"/>
      <c r="G73" s="1421"/>
      <c r="H73" s="1421"/>
      <c r="I73" s="1421"/>
      <c r="J73" s="1421"/>
      <c r="K73" s="1421"/>
      <c r="L73" s="1421"/>
      <c r="M73" s="1421"/>
      <c r="N73" s="1421"/>
      <c r="O73" s="1635"/>
      <c r="P73" s="1421"/>
      <c r="Q73" s="1635"/>
      <c r="R73" s="1421"/>
      <c r="S73" s="1421"/>
      <c r="T73" s="1421"/>
      <c r="U73" s="1421"/>
      <c r="V73" s="1421"/>
      <c r="W73" s="1421"/>
      <c r="X73" s="1421"/>
      <c r="Y73" s="1421"/>
      <c r="Z73" s="1421"/>
      <c r="AA73" s="1421"/>
      <c r="AB73" s="1421"/>
    </row>
    <row r="74" spans="1:29" s="400" customFormat="1">
      <c r="A74" s="1635">
        <v>54260</v>
      </c>
      <c r="B74" s="1635" t="s">
        <v>150</v>
      </c>
      <c r="C74" s="1640">
        <f>+'Consolidated IS '!C296</f>
        <v>470654.28</v>
      </c>
      <c r="D74" s="1640">
        <f>+SUM('2183-2184-2185 Ratios'!C87:F87)</f>
        <v>560346.36752916733</v>
      </c>
      <c r="E74" s="1422">
        <f t="shared" ref="E74:E81" si="10">D74-C74</f>
        <v>89692.0875291673</v>
      </c>
      <c r="F74" s="1421"/>
      <c r="G74" s="1421"/>
      <c r="H74" s="1421"/>
      <c r="I74" s="1421"/>
      <c r="J74" s="1421"/>
      <c r="K74" s="1421"/>
      <c r="L74" s="1421"/>
      <c r="M74" s="1421"/>
      <c r="N74" s="1421"/>
      <c r="O74" s="1635"/>
      <c r="P74" s="1421"/>
      <c r="Q74" s="1421"/>
      <c r="R74" s="1421"/>
      <c r="S74" s="1421"/>
      <c r="T74" s="1421"/>
      <c r="U74" s="1421"/>
      <c r="V74" s="1421"/>
      <c r="W74" s="1421"/>
      <c r="X74" s="1421"/>
      <c r="Y74" s="1421"/>
      <c r="Z74" s="1421"/>
      <c r="AA74" s="1421"/>
      <c r="AB74" s="1421"/>
    </row>
    <row r="75" spans="1:29" s="400" customFormat="1">
      <c r="A75" s="1635"/>
      <c r="B75" s="1635" t="s">
        <v>151</v>
      </c>
      <c r="C75" s="1640">
        <f>+'Consolidated IS '!C297</f>
        <v>0</v>
      </c>
      <c r="D75" s="1640">
        <f>+SUM('2183-2184-2185 Ratios'!C89:F89)</f>
        <v>22408.812114145428</v>
      </c>
      <c r="E75" s="1422">
        <f t="shared" si="10"/>
        <v>22408.812114145428</v>
      </c>
      <c r="F75" s="1421"/>
      <c r="G75" s="1421"/>
      <c r="H75" s="1421"/>
      <c r="I75" s="1421"/>
      <c r="J75" s="1421"/>
      <c r="K75" s="1421"/>
      <c r="L75" s="1421"/>
      <c r="M75" s="1421"/>
      <c r="N75" s="1421"/>
      <c r="O75" s="1635"/>
      <c r="P75" s="1421"/>
      <c r="Q75" s="1421"/>
      <c r="R75" s="1421"/>
      <c r="S75" s="1421"/>
      <c r="T75" s="1421"/>
      <c r="U75" s="1421"/>
      <c r="V75" s="1421"/>
      <c r="W75" s="1421"/>
      <c r="X75" s="1421"/>
      <c r="Y75" s="1421"/>
      <c r="Z75" s="1421"/>
      <c r="AA75" s="1421"/>
      <c r="AB75" s="1421"/>
    </row>
    <row r="76" spans="1:29" s="400" customFormat="1">
      <c r="A76" s="1635">
        <v>57260</v>
      </c>
      <c r="B76" s="1635" t="s">
        <v>152</v>
      </c>
      <c r="C76" s="1640">
        <f>+'Consolidated IS '!C298</f>
        <v>177519.85</v>
      </c>
      <c r="D76" s="1640">
        <f>+SUM('2183-2184-2185 Ratios'!C90:F90)</f>
        <v>24979.052599888084</v>
      </c>
      <c r="E76" s="1422">
        <f t="shared" si="10"/>
        <v>-152540.79740011191</v>
      </c>
      <c r="F76" s="1421"/>
      <c r="G76" s="1421"/>
      <c r="H76" s="1421"/>
      <c r="I76" s="1421"/>
      <c r="J76" s="1421"/>
      <c r="K76" s="1421"/>
      <c r="L76" s="1421"/>
      <c r="M76" s="1421"/>
      <c r="N76" s="1421"/>
      <c r="O76" s="1635"/>
      <c r="P76" s="1421"/>
      <c r="Q76" s="1421"/>
      <c r="R76" s="1421"/>
      <c r="S76" s="1421"/>
      <c r="T76" s="1421"/>
      <c r="U76" s="1421"/>
      <c r="V76" s="1421"/>
      <c r="W76" s="1421"/>
      <c r="X76" s="1421"/>
      <c r="Y76" s="1421"/>
      <c r="Z76" s="1421"/>
      <c r="AA76" s="1421"/>
      <c r="AB76" s="1421"/>
    </row>
    <row r="77" spans="1:29" s="400" customFormat="1">
      <c r="A77" s="1635">
        <v>70260</v>
      </c>
      <c r="B77" s="1635" t="s">
        <v>153</v>
      </c>
      <c r="C77" s="1640">
        <f>+'Consolidated IS '!C299</f>
        <v>3253.25</v>
      </c>
      <c r="D77" s="1640">
        <f>+SUM('2183-2184-2185 Ratios'!C91:F91)</f>
        <v>1790.2332576006224</v>
      </c>
      <c r="E77" s="1422">
        <f t="shared" si="10"/>
        <v>-1463.0167423993776</v>
      </c>
      <c r="F77" s="1421"/>
      <c r="G77" s="1421"/>
      <c r="H77" s="1421"/>
      <c r="I77" s="1421"/>
      <c r="J77" s="1421"/>
      <c r="K77" s="1421"/>
      <c r="L77" s="1421"/>
      <c r="M77" s="1421"/>
      <c r="N77" s="1421"/>
      <c r="O77" s="1635"/>
      <c r="P77" s="1421"/>
      <c r="Q77" s="1421"/>
      <c r="R77" s="1421"/>
      <c r="S77" s="1421"/>
      <c r="T77" s="1421"/>
      <c r="U77" s="1421"/>
      <c r="V77" s="1421"/>
      <c r="W77" s="1421"/>
      <c r="X77" s="1421"/>
      <c r="Y77" s="1421"/>
      <c r="Z77" s="1421"/>
      <c r="AA77" s="1421"/>
      <c r="AB77" s="1421"/>
    </row>
    <row r="78" spans="1:29" s="400" customFormat="1">
      <c r="A78" s="1635"/>
      <c r="B78" s="1635" t="s">
        <v>155</v>
      </c>
      <c r="C78" s="1640">
        <f>+'Consolidated IS '!C302</f>
        <v>0</v>
      </c>
      <c r="D78" s="1640">
        <f>+SUM('2183-2184-2185 Ratios'!C95:F95)</f>
        <v>67750.238386653262</v>
      </c>
      <c r="E78" s="1422">
        <f t="shared" si="10"/>
        <v>67750.238386653262</v>
      </c>
      <c r="F78" s="1421"/>
      <c r="G78" s="1421"/>
      <c r="H78" s="1421"/>
      <c r="I78" s="1421"/>
      <c r="J78" s="1421"/>
      <c r="K78" s="1421"/>
      <c r="L78" s="1421"/>
      <c r="M78" s="1421"/>
      <c r="N78" s="1421"/>
      <c r="O78" s="1635"/>
      <c r="P78" s="1421"/>
      <c r="Q78" s="1421"/>
      <c r="R78" s="1421"/>
      <c r="S78" s="1421"/>
      <c r="T78" s="1421"/>
      <c r="U78" s="1421"/>
      <c r="V78" s="1421"/>
      <c r="W78" s="1421"/>
      <c r="X78" s="1421"/>
      <c r="Y78" s="1421"/>
      <c r="Z78" s="1421"/>
      <c r="AA78" s="1421"/>
      <c r="AB78" s="1421"/>
    </row>
    <row r="79" spans="1:29" s="400" customFormat="1">
      <c r="A79" s="1635"/>
      <c r="B79" s="1635" t="s">
        <v>154</v>
      </c>
      <c r="C79" s="1640">
        <f>+'Consolidated IS '!C301</f>
        <v>0</v>
      </c>
      <c r="D79" s="1623">
        <f>+SUM('2183-2184-2185 Ratios'!C96:H96,'2183-2184-2185 Ratios'!C97:F97)</f>
        <v>58605.341282051282</v>
      </c>
      <c r="E79" s="1643">
        <f t="shared" si="10"/>
        <v>58605.341282051282</v>
      </c>
      <c r="F79" s="1668"/>
      <c r="G79" s="1421"/>
      <c r="H79" s="1421"/>
      <c r="I79" s="1421"/>
      <c r="J79" s="1421"/>
      <c r="K79" s="1421"/>
      <c r="L79" s="1421"/>
      <c r="M79" s="1421"/>
      <c r="N79" s="1421"/>
      <c r="O79" s="1635"/>
      <c r="P79" s="1421"/>
      <c r="Q79" s="1421"/>
      <c r="R79" s="1421"/>
      <c r="S79" s="1421"/>
      <c r="T79" s="1421"/>
      <c r="U79" s="1421"/>
      <c r="V79" s="1421"/>
      <c r="W79" s="1421"/>
      <c r="X79" s="1421"/>
      <c r="Y79" s="1421"/>
      <c r="Z79" s="1421"/>
      <c r="AA79" s="1421"/>
      <c r="AB79" s="1421"/>
    </row>
    <row r="80" spans="1:29" s="400" customFormat="1">
      <c r="A80" s="1660"/>
      <c r="B80" s="1660" t="s">
        <v>156</v>
      </c>
      <c r="C80" s="1647">
        <f>+'Consolidated IS '!C303</f>
        <v>50527.73</v>
      </c>
      <c r="D80" s="1647">
        <v>0</v>
      </c>
      <c r="E80" s="1646">
        <f t="shared" si="10"/>
        <v>-50527.73</v>
      </c>
      <c r="F80" s="1668"/>
      <c r="G80" s="1421"/>
      <c r="H80" s="1421"/>
      <c r="I80" s="1421"/>
      <c r="J80" s="1421"/>
      <c r="K80" s="1421"/>
      <c r="L80" s="1421"/>
      <c r="M80" s="1421"/>
      <c r="N80" s="1421"/>
      <c r="O80" s="1635"/>
      <c r="P80" s="1421"/>
      <c r="Q80" s="1421"/>
      <c r="R80" s="1421"/>
      <c r="S80" s="1421"/>
      <c r="T80" s="1421"/>
      <c r="U80" s="1421"/>
      <c r="V80" s="1421"/>
      <c r="W80" s="1421"/>
      <c r="X80" s="1421"/>
      <c r="Y80" s="1421"/>
      <c r="Z80" s="1421"/>
      <c r="AA80" s="1421"/>
      <c r="AB80" s="1421"/>
    </row>
    <row r="81" spans="1:29" s="400" customFormat="1">
      <c r="A81" s="1660"/>
      <c r="B81" s="1660"/>
      <c r="C81" s="1640">
        <f>SUM(C73:C80)</f>
        <v>1790000.34</v>
      </c>
      <c r="D81" s="1640">
        <f>SUM(D73:D80)</f>
        <v>2623459.9988250616</v>
      </c>
      <c r="E81" s="1422">
        <f t="shared" si="10"/>
        <v>833459.65882506152</v>
      </c>
      <c r="F81" s="1641" t="s">
        <v>576</v>
      </c>
      <c r="G81" s="1421"/>
      <c r="H81" s="1421"/>
      <c r="I81" s="1421"/>
      <c r="J81" s="1421"/>
      <c r="K81" s="1421"/>
      <c r="L81" s="1421"/>
      <c r="M81" s="1421"/>
      <c r="N81" s="1421"/>
      <c r="O81" s="1635"/>
      <c r="P81" s="1421"/>
      <c r="Q81" s="1421"/>
      <c r="R81" s="1421"/>
      <c r="S81" s="1421"/>
      <c r="T81" s="1421"/>
      <c r="U81" s="1421"/>
      <c r="V81" s="1421"/>
      <c r="W81" s="1421"/>
      <c r="X81" s="1421"/>
      <c r="Y81" s="1421"/>
      <c r="Z81" s="1421"/>
      <c r="AA81" s="1421"/>
      <c r="AB81" s="1421"/>
    </row>
    <row r="82" spans="1:29" s="400" customFormat="1">
      <c r="A82" s="1660"/>
      <c r="B82" s="1660"/>
      <c r="C82" s="1660"/>
      <c r="D82" s="1422">
        <f>+SUM('Deprec 2183 4.30.19'!K50:N50)-'Restating Adj''s'!D81</f>
        <v>-595.35503490036353</v>
      </c>
      <c r="E82" s="1421"/>
      <c r="F82" s="1421"/>
      <c r="G82" s="1421"/>
      <c r="H82" s="1421"/>
      <c r="I82" s="1421"/>
      <c r="J82" s="1421"/>
      <c r="K82" s="1421"/>
      <c r="L82" s="1421"/>
      <c r="M82" s="1421"/>
      <c r="N82" s="1421"/>
      <c r="O82" s="1421"/>
      <c r="P82" s="1421"/>
      <c r="Q82" s="1421"/>
      <c r="R82" s="1421"/>
      <c r="S82" s="1421"/>
      <c r="T82" s="1421"/>
      <c r="U82" s="1421"/>
      <c r="V82" s="1421"/>
      <c r="W82" s="1421"/>
      <c r="X82" s="1421"/>
      <c r="Y82" s="1421"/>
      <c r="Z82" s="1421"/>
      <c r="AA82" s="1421"/>
      <c r="AB82" s="1421"/>
      <c r="AC82"/>
    </row>
    <row r="83" spans="1:29" s="400" customFormat="1">
      <c r="A83" s="1634" t="s">
        <v>650</v>
      </c>
      <c r="B83" s="1634"/>
      <c r="C83" s="1634"/>
      <c r="D83" s="1634"/>
      <c r="E83" s="1634"/>
      <c r="F83" s="1634"/>
      <c r="G83" s="1634"/>
      <c r="H83" s="1634"/>
      <c r="I83" s="1634"/>
      <c r="J83" s="1634"/>
      <c r="K83" s="1634"/>
      <c r="L83" s="1634"/>
      <c r="M83" s="1634"/>
      <c r="N83" s="1634"/>
      <c r="O83" s="1634"/>
      <c r="P83" s="1421"/>
      <c r="Q83" s="1421"/>
      <c r="R83" s="1421"/>
      <c r="S83" s="1421"/>
      <c r="T83" s="1421"/>
      <c r="U83" s="1421"/>
      <c r="V83" s="1421"/>
      <c r="W83" s="1421"/>
      <c r="X83" s="1421"/>
      <c r="Y83" s="1421"/>
      <c r="Z83" s="1421"/>
      <c r="AA83" s="1421"/>
      <c r="AB83" s="1421"/>
      <c r="AC83"/>
    </row>
    <row r="84" spans="1:29" s="400" customFormat="1">
      <c r="A84" s="1660"/>
      <c r="B84" s="1660"/>
      <c r="C84" s="1660"/>
      <c r="D84" s="1421"/>
      <c r="E84" s="1421"/>
      <c r="F84" s="1421"/>
      <c r="G84" s="1421"/>
      <c r="H84" s="1421"/>
      <c r="I84" s="1421"/>
      <c r="J84" s="1421"/>
      <c r="K84" s="1421"/>
      <c r="L84" s="1421"/>
      <c r="M84" s="1421"/>
      <c r="N84" s="1421"/>
      <c r="O84" s="1421"/>
      <c r="P84" s="1421"/>
      <c r="Q84" s="1635"/>
      <c r="R84" s="1421"/>
      <c r="S84" s="1421"/>
      <c r="T84" s="1421"/>
      <c r="U84" s="1421"/>
      <c r="V84" s="1421"/>
      <c r="W84" s="1421"/>
      <c r="X84" s="1421"/>
      <c r="Y84" s="1421"/>
      <c r="Z84" s="1421"/>
      <c r="AA84" s="1421"/>
      <c r="AB84" s="1421"/>
      <c r="AC84"/>
    </row>
    <row r="85" spans="1:29" s="400" customFormat="1">
      <c r="A85" s="1426" t="s">
        <v>605</v>
      </c>
      <c r="B85" s="1427"/>
      <c r="C85" s="1669"/>
      <c r="D85" s="1421"/>
      <c r="E85" s="1421"/>
      <c r="F85" s="1421"/>
      <c r="G85" s="1421"/>
      <c r="H85" s="1421"/>
      <c r="I85" s="1421"/>
      <c r="J85" s="1421"/>
      <c r="K85" s="1421"/>
      <c r="L85" s="1421"/>
      <c r="M85" s="1421"/>
      <c r="N85" s="1421"/>
      <c r="O85" s="1635"/>
      <c r="P85" s="1421"/>
      <c r="Q85" s="1635"/>
      <c r="R85" s="1421"/>
      <c r="S85" s="1421"/>
      <c r="T85" s="1421"/>
      <c r="U85" s="1421"/>
      <c r="V85" s="1421"/>
      <c r="W85" s="1421"/>
      <c r="X85" s="1421"/>
      <c r="Y85" s="1421"/>
      <c r="Z85" s="1421"/>
      <c r="AA85" s="1421"/>
      <c r="AB85" s="1421"/>
    </row>
    <row r="86" spans="1:29" s="400" customFormat="1">
      <c r="A86" s="1426" t="s">
        <v>606</v>
      </c>
      <c r="B86" s="1429" t="s">
        <v>191</v>
      </c>
      <c r="C86" s="1429"/>
      <c r="D86" s="1670"/>
      <c r="E86" s="1655"/>
      <c r="F86" s="1671"/>
      <c r="G86" s="1421"/>
      <c r="H86" s="1421"/>
      <c r="I86" s="1421"/>
      <c r="J86" s="1421"/>
      <c r="K86" s="1421"/>
      <c r="L86" s="1421"/>
      <c r="M86" s="1421"/>
      <c r="N86" s="1421"/>
      <c r="O86" s="1635"/>
      <c r="P86" s="1421"/>
      <c r="Q86" s="1635"/>
      <c r="R86" s="1421"/>
      <c r="S86" s="1421"/>
      <c r="T86" s="1421"/>
      <c r="U86" s="1421"/>
      <c r="V86" s="1421"/>
      <c r="W86" s="1421"/>
      <c r="X86" s="1421"/>
      <c r="Y86" s="1421"/>
      <c r="Z86" s="1421"/>
      <c r="AA86" s="1421"/>
      <c r="AB86" s="1421"/>
    </row>
    <row r="87" spans="1:29" s="400" customFormat="1">
      <c r="A87" s="1672" t="s">
        <v>607</v>
      </c>
      <c r="B87" s="1435">
        <f>+'04.30.18 2183 BS'!T35</f>
        <v>1339075.43</v>
      </c>
      <c r="C87" s="1669"/>
      <c r="D87" s="1421" t="s">
        <v>2705</v>
      </c>
      <c r="E87" s="1673">
        <f>+B95/SUM('Consolidated IS '!C10:C17)</f>
        <v>1.4602347059444768E-3</v>
      </c>
      <c r="F87" s="1421"/>
      <c r="G87" s="1421"/>
      <c r="H87" s="1421"/>
      <c r="I87" s="1421"/>
      <c r="J87" s="1421"/>
      <c r="K87" s="1421"/>
      <c r="L87" s="1421"/>
      <c r="M87" s="1421"/>
      <c r="N87" s="1421"/>
      <c r="O87" s="1635"/>
      <c r="P87" s="1421"/>
      <c r="Q87" s="1421"/>
      <c r="R87" s="1421"/>
      <c r="S87" s="1421"/>
      <c r="T87" s="1421"/>
      <c r="U87" s="1421"/>
      <c r="V87" s="1421"/>
      <c r="W87" s="1421"/>
      <c r="X87" s="1421"/>
      <c r="Y87" s="1421"/>
      <c r="Z87" s="1421"/>
      <c r="AA87" s="1421"/>
      <c r="AB87" s="1421"/>
    </row>
    <row r="88" spans="1:29" s="400" customFormat="1">
      <c r="A88" s="1432" t="s">
        <v>608</v>
      </c>
      <c r="B88" s="1674">
        <f>+'04.30.19 2183 BS'!T36</f>
        <v>1442553.95</v>
      </c>
      <c r="C88" s="1433"/>
      <c r="D88" s="1421"/>
      <c r="E88" s="1421"/>
      <c r="F88" s="1421"/>
      <c r="G88" s="1421"/>
      <c r="H88" s="1421"/>
      <c r="I88" s="1421"/>
      <c r="J88" s="1421"/>
      <c r="K88" s="1421"/>
      <c r="L88" s="1421"/>
      <c r="M88" s="1421"/>
      <c r="N88" s="1421"/>
      <c r="O88" s="1635"/>
      <c r="P88" s="1421"/>
      <c r="Q88" s="1421"/>
      <c r="R88" s="1421"/>
      <c r="S88" s="1421"/>
      <c r="T88" s="1421"/>
      <c r="U88" s="1421"/>
      <c r="V88" s="1421"/>
      <c r="W88" s="1421"/>
      <c r="X88" s="1421"/>
      <c r="Y88" s="1421"/>
      <c r="Z88" s="1421"/>
      <c r="AA88" s="1421"/>
      <c r="AB88" s="1421"/>
    </row>
    <row r="89" spans="1:29" s="400" customFormat="1">
      <c r="A89" s="1426"/>
      <c r="B89" s="1434">
        <f>B88-B87</f>
        <v>103478.52000000002</v>
      </c>
      <c r="C89" s="1433"/>
      <c r="D89" s="1421"/>
      <c r="E89" s="1421"/>
      <c r="F89" s="1421"/>
      <c r="G89" s="1421"/>
      <c r="H89" s="1421"/>
      <c r="I89" s="1421"/>
      <c r="J89" s="1421"/>
      <c r="K89" s="1421"/>
      <c r="L89" s="1421"/>
      <c r="M89" s="1421"/>
      <c r="N89" s="1421"/>
      <c r="O89" s="1635"/>
      <c r="P89" s="1421"/>
      <c r="Q89" s="1421"/>
      <c r="R89" s="1421"/>
      <c r="S89" s="1421"/>
      <c r="T89" s="1421"/>
      <c r="U89" s="1421"/>
      <c r="V89" s="1421"/>
      <c r="W89" s="1421"/>
      <c r="X89" s="1421"/>
      <c r="Y89" s="1421"/>
      <c r="Z89" s="1421"/>
      <c r="AA89" s="1421"/>
      <c r="AB89" s="1421"/>
    </row>
    <row r="90" spans="1:29" s="400" customFormat="1">
      <c r="A90" s="1426" t="s">
        <v>609</v>
      </c>
      <c r="B90" s="1435"/>
      <c r="C90" s="1433"/>
      <c r="D90" s="1421"/>
      <c r="E90" s="1421"/>
      <c r="F90" s="1421"/>
      <c r="G90" s="1421"/>
      <c r="H90" s="1421"/>
      <c r="I90" s="1421"/>
      <c r="J90" s="1421"/>
      <c r="K90" s="1421"/>
      <c r="L90" s="1421"/>
      <c r="M90" s="1421"/>
      <c r="N90" s="1421"/>
      <c r="O90" s="1635"/>
      <c r="P90" s="1421"/>
      <c r="Q90" s="1421"/>
      <c r="R90" s="1421"/>
      <c r="S90" s="1421"/>
      <c r="T90" s="1421"/>
      <c r="U90" s="1421"/>
      <c r="V90" s="1421"/>
      <c r="W90" s="1421"/>
      <c r="X90" s="1421"/>
      <c r="Y90" s="1421"/>
      <c r="Z90" s="1421"/>
      <c r="AA90" s="1421"/>
      <c r="AB90" s="1421"/>
    </row>
    <row r="91" spans="1:29" s="400" customFormat="1">
      <c r="A91" s="1672" t="s">
        <v>607</v>
      </c>
      <c r="B91" s="1675">
        <f>-'04.30.18 2183 BS'!T36</f>
        <v>529643.89</v>
      </c>
      <c r="C91" s="1433"/>
      <c r="D91" s="1421"/>
      <c r="E91" s="1421"/>
      <c r="F91" s="1421"/>
      <c r="G91" s="1421"/>
      <c r="H91" s="1421"/>
      <c r="I91" s="1421"/>
      <c r="J91" s="1421"/>
      <c r="K91" s="1421"/>
      <c r="L91" s="1421"/>
      <c r="M91" s="1421"/>
      <c r="N91" s="1421"/>
      <c r="O91" s="1635"/>
      <c r="P91" s="1421"/>
      <c r="Q91" s="1421"/>
      <c r="R91" s="1421"/>
      <c r="S91" s="1421"/>
      <c r="T91" s="1421"/>
      <c r="U91" s="1421"/>
      <c r="V91" s="1421"/>
      <c r="W91" s="1421"/>
      <c r="X91" s="1421"/>
      <c r="Y91" s="1421"/>
      <c r="Z91" s="1421"/>
      <c r="AA91" s="1421"/>
      <c r="AB91" s="1421"/>
    </row>
    <row r="92" spans="1:29" s="400" customFormat="1">
      <c r="A92" s="1432" t="s">
        <v>608</v>
      </c>
      <c r="B92" s="1676">
        <f>-'04.30.19 2183 BS'!T37</f>
        <v>589539.17000000004</v>
      </c>
      <c r="C92" s="1433"/>
      <c r="D92" s="1421"/>
      <c r="E92" s="1421"/>
      <c r="F92" s="1421"/>
      <c r="G92" s="1421"/>
      <c r="H92" s="1421"/>
      <c r="I92" s="1421"/>
      <c r="J92" s="1421"/>
      <c r="K92" s="1421"/>
      <c r="L92" s="1421"/>
      <c r="M92" s="1421"/>
      <c r="N92" s="1421"/>
      <c r="O92" s="1635"/>
      <c r="P92" s="1421"/>
      <c r="Q92" s="1421"/>
      <c r="R92" s="1421"/>
      <c r="S92" s="1421"/>
      <c r="T92" s="1421"/>
      <c r="U92" s="1421"/>
      <c r="V92" s="1421"/>
      <c r="W92" s="1421"/>
      <c r="X92" s="1421"/>
      <c r="Y92" s="1421"/>
      <c r="Z92" s="1421"/>
      <c r="AA92" s="1421"/>
      <c r="AB92" s="1421"/>
    </row>
    <row r="93" spans="1:29" s="400" customFormat="1">
      <c r="A93" s="1432"/>
      <c r="B93" s="1436">
        <f>B92-B91</f>
        <v>59895.280000000028</v>
      </c>
      <c r="C93" s="1433"/>
      <c r="D93" s="1421"/>
      <c r="E93" s="1421"/>
      <c r="F93" s="1421"/>
      <c r="G93" s="1421"/>
      <c r="H93" s="1421"/>
      <c r="I93" s="1421"/>
      <c r="J93" s="1421"/>
      <c r="K93" s="1421"/>
      <c r="L93" s="1421"/>
      <c r="M93" s="1421"/>
      <c r="N93" s="1421"/>
      <c r="O93" s="1635"/>
      <c r="P93" s="1421"/>
      <c r="Q93" s="1421"/>
      <c r="R93" s="1421"/>
      <c r="S93" s="1421"/>
      <c r="T93" s="1421"/>
      <c r="U93" s="1421"/>
      <c r="V93" s="1421"/>
      <c r="W93" s="1421"/>
      <c r="X93" s="1421"/>
      <c r="Y93" s="1421"/>
      <c r="Z93" s="1421"/>
      <c r="AA93" s="1421"/>
      <c r="AB93" s="1421"/>
    </row>
    <row r="94" spans="1:29" s="400" customFormat="1">
      <c r="A94" s="1432"/>
      <c r="B94" s="1435"/>
      <c r="C94" s="1433"/>
      <c r="D94" s="1421"/>
      <c r="E94" s="1421"/>
      <c r="F94" s="1421"/>
      <c r="G94" s="1421"/>
      <c r="H94" s="1421"/>
      <c r="I94" s="1421"/>
      <c r="J94" s="1421"/>
      <c r="K94" s="1421"/>
      <c r="L94" s="1421"/>
      <c r="M94" s="1421"/>
      <c r="N94" s="1421"/>
      <c r="O94" s="1635"/>
      <c r="P94" s="1421"/>
      <c r="Q94" s="1421"/>
      <c r="R94" s="1421"/>
      <c r="S94" s="1421"/>
      <c r="T94" s="1421"/>
      <c r="U94" s="1421"/>
      <c r="V94" s="1421"/>
      <c r="W94" s="1421"/>
      <c r="X94" s="1421"/>
      <c r="Y94" s="1421"/>
      <c r="Z94" s="1421"/>
      <c r="AA94" s="1421"/>
      <c r="AB94" s="1421"/>
    </row>
    <row r="95" spans="1:29" s="400" customFormat="1">
      <c r="A95" s="1426" t="s">
        <v>610</v>
      </c>
      <c r="B95" s="1434">
        <f>B89-B93</f>
        <v>43583.239999999991</v>
      </c>
      <c r="C95" s="1433"/>
      <c r="D95" s="1421"/>
      <c r="E95" s="1421"/>
      <c r="F95" s="1421"/>
      <c r="G95" s="1421"/>
      <c r="H95" s="1421"/>
      <c r="I95" s="1421"/>
      <c r="J95" s="1421"/>
      <c r="K95" s="1421"/>
      <c r="L95" s="1421"/>
      <c r="M95" s="1421"/>
      <c r="N95" s="1421"/>
      <c r="O95" s="1635"/>
      <c r="P95" s="1421"/>
      <c r="Q95" s="1421"/>
      <c r="R95" s="1421"/>
      <c r="S95" s="1421"/>
      <c r="T95" s="1421"/>
      <c r="U95" s="1421"/>
      <c r="V95" s="1421"/>
      <c r="W95" s="1421"/>
      <c r="X95" s="1421"/>
      <c r="Y95" s="1421"/>
      <c r="Z95" s="1421"/>
      <c r="AA95" s="1421"/>
      <c r="AB95" s="1421"/>
    </row>
    <row r="96" spans="1:29" s="400" customFormat="1">
      <c r="A96" s="1432"/>
      <c r="B96" s="1435"/>
      <c r="C96" s="1433"/>
      <c r="D96" s="1421"/>
      <c r="E96" s="1421"/>
      <c r="F96" s="1421"/>
      <c r="G96" s="1421"/>
      <c r="H96" s="1421"/>
      <c r="I96" s="1421"/>
      <c r="J96" s="1421"/>
      <c r="K96" s="1421"/>
      <c r="L96" s="1421"/>
      <c r="M96" s="1421"/>
      <c r="N96" s="1421"/>
      <c r="O96" s="1635"/>
      <c r="P96" s="1421"/>
      <c r="Q96" s="1421"/>
      <c r="R96" s="1421"/>
      <c r="S96" s="1421"/>
      <c r="T96" s="1421"/>
      <c r="U96" s="1421"/>
      <c r="V96" s="1421"/>
      <c r="W96" s="1421"/>
      <c r="X96" s="1421"/>
      <c r="Y96" s="1421"/>
      <c r="Z96" s="1421"/>
      <c r="AA96" s="1421"/>
      <c r="AB96" s="1421"/>
    </row>
    <row r="97" spans="1:33" s="400" customFormat="1">
      <c r="A97" s="1432" t="s">
        <v>611</v>
      </c>
      <c r="B97" s="1435">
        <f>+'Consolidated IS '!C263</f>
        <v>47553.27</v>
      </c>
      <c r="C97" s="1433"/>
      <c r="D97" s="1421"/>
      <c r="E97" s="1421"/>
      <c r="F97" s="1421"/>
      <c r="G97" s="1421"/>
      <c r="H97" s="1421"/>
      <c r="I97" s="1421"/>
      <c r="J97" s="1421"/>
      <c r="K97" s="1421"/>
      <c r="L97" s="1421"/>
      <c r="M97" s="1421"/>
      <c r="N97" s="1421"/>
      <c r="O97" s="1635"/>
      <c r="P97" s="1421"/>
      <c r="Q97" s="1421"/>
      <c r="R97" s="1421"/>
      <c r="S97" s="1421"/>
      <c r="T97" s="1421"/>
      <c r="U97" s="1421"/>
      <c r="V97" s="1421"/>
      <c r="W97" s="1421"/>
      <c r="X97" s="1421"/>
      <c r="Y97" s="1421"/>
      <c r="Z97" s="1421"/>
      <c r="AA97" s="1421"/>
      <c r="AB97" s="1421"/>
    </row>
    <row r="98" spans="1:33" s="400" customFormat="1">
      <c r="A98" s="1432"/>
      <c r="B98" s="1435"/>
      <c r="C98" s="1433"/>
      <c r="D98" s="1421"/>
      <c r="E98" s="1421"/>
      <c r="F98" s="1421"/>
      <c r="G98" s="1421"/>
      <c r="H98" s="1421"/>
      <c r="I98" s="1421"/>
      <c r="J98" s="1421"/>
      <c r="K98" s="1421"/>
      <c r="L98" s="1421"/>
      <c r="M98" s="1421"/>
      <c r="N98" s="1421"/>
      <c r="O98" s="1635"/>
      <c r="P98" s="1421"/>
      <c r="Q98" s="1421"/>
      <c r="R98" s="1421"/>
      <c r="S98" s="1421"/>
      <c r="T98" s="1421"/>
      <c r="U98" s="1421"/>
      <c r="V98" s="1421"/>
      <c r="W98" s="1421"/>
      <c r="X98" s="1421"/>
      <c r="Y98" s="1421"/>
      <c r="Z98" s="1421"/>
      <c r="AA98" s="1421"/>
      <c r="AB98" s="1421"/>
    </row>
    <row r="99" spans="1:33">
      <c r="A99" s="1437" t="s">
        <v>602</v>
      </c>
      <c r="B99" s="1436">
        <f>B95-B97</f>
        <v>-3970.0300000000061</v>
      </c>
      <c r="C99" s="1641" t="s">
        <v>577</v>
      </c>
      <c r="D99" s="1421"/>
      <c r="E99" s="1421"/>
      <c r="F99" s="1421"/>
      <c r="G99" s="1421"/>
      <c r="H99" s="1421"/>
      <c r="I99" s="1421"/>
      <c r="J99" s="1421"/>
      <c r="K99" s="1421"/>
      <c r="L99" s="1421"/>
      <c r="M99" s="1421"/>
      <c r="N99" s="1421"/>
      <c r="O99" s="1635"/>
      <c r="P99" s="1421"/>
      <c r="Q99" s="1421"/>
      <c r="R99" s="1421"/>
      <c r="S99" s="1421"/>
      <c r="T99" s="1421"/>
      <c r="U99" s="1421"/>
      <c r="V99" s="1421"/>
      <c r="W99" s="1421"/>
      <c r="X99" s="1421"/>
      <c r="Y99" s="1421"/>
      <c r="Z99" s="1421"/>
      <c r="AA99" s="1421"/>
      <c r="AB99" s="1421"/>
      <c r="AC99" s="400"/>
      <c r="AD99" s="400"/>
      <c r="AE99" s="400"/>
      <c r="AF99" s="400"/>
      <c r="AG99" s="400"/>
    </row>
    <row r="100" spans="1:33">
      <c r="A100" s="1437"/>
      <c r="B100" s="1434"/>
      <c r="C100" s="1438" t="s">
        <v>612</v>
      </c>
      <c r="D100" s="1421"/>
      <c r="E100" s="1421"/>
      <c r="F100" s="1421"/>
      <c r="G100" s="1421"/>
      <c r="H100" s="1421"/>
      <c r="I100" s="1421"/>
      <c r="J100" s="1421"/>
      <c r="K100" s="1421"/>
      <c r="L100" s="1421"/>
      <c r="M100" s="1421"/>
      <c r="N100" s="1421"/>
      <c r="O100" s="1635"/>
      <c r="P100" s="1421"/>
      <c r="Q100" s="1421"/>
      <c r="R100" s="1421"/>
      <c r="S100" s="1421"/>
      <c r="T100" s="1421"/>
      <c r="U100" s="1421"/>
      <c r="V100" s="1421"/>
      <c r="W100" s="1421"/>
      <c r="X100" s="1421"/>
      <c r="Y100" s="1421"/>
      <c r="Z100" s="1421"/>
      <c r="AA100" s="1421"/>
      <c r="AB100" s="1421"/>
      <c r="AC100" s="400"/>
      <c r="AD100" s="400"/>
      <c r="AE100" s="400"/>
      <c r="AF100" s="400"/>
      <c r="AG100" s="400"/>
    </row>
    <row r="101" spans="1:33" s="400" customFormat="1">
      <c r="A101" s="1421"/>
      <c r="B101" s="1421"/>
      <c r="C101" s="1421"/>
      <c r="D101" s="1421"/>
      <c r="E101" s="1421"/>
      <c r="F101" s="1421"/>
      <c r="G101" s="1421"/>
      <c r="H101" s="1421"/>
      <c r="I101" s="1421"/>
      <c r="J101" s="1421"/>
      <c r="K101" s="1421"/>
      <c r="L101" s="1421"/>
      <c r="M101" s="1421"/>
      <c r="N101" s="1421"/>
      <c r="O101" s="1635"/>
      <c r="P101" s="1421"/>
      <c r="Q101" s="1421"/>
      <c r="R101" s="1421"/>
      <c r="S101" s="1421"/>
      <c r="T101" s="1421"/>
      <c r="U101" s="1421"/>
      <c r="V101" s="1421"/>
      <c r="W101" s="1421"/>
      <c r="X101" s="1421"/>
      <c r="Y101" s="1421"/>
      <c r="Z101" s="1421"/>
      <c r="AA101" s="1421"/>
      <c r="AB101" s="1421"/>
      <c r="AC101"/>
      <c r="AD101"/>
      <c r="AE101"/>
      <c r="AF101"/>
      <c r="AG101"/>
    </row>
    <row r="102" spans="1:33">
      <c r="A102" s="1421"/>
      <c r="B102" s="1421"/>
      <c r="C102" s="1421"/>
      <c r="D102" s="1421"/>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row>
    <row r="103" spans="1:33" s="400" customFormat="1">
      <c r="A103" s="1634" t="s">
        <v>1762</v>
      </c>
      <c r="B103" s="1634"/>
      <c r="C103" s="1634"/>
      <c r="D103" s="1634"/>
      <c r="E103" s="1634"/>
      <c r="F103" s="1634"/>
      <c r="G103" s="1634"/>
      <c r="H103" s="1634"/>
      <c r="I103" s="1634"/>
      <c r="J103" s="1634"/>
      <c r="K103" s="1634"/>
      <c r="L103" s="1634"/>
      <c r="M103" s="1634"/>
      <c r="N103" s="1634"/>
      <c r="O103" s="1634"/>
      <c r="P103" s="1421"/>
      <c r="Q103" s="1421"/>
      <c r="R103" s="1421"/>
      <c r="S103" s="1421"/>
      <c r="T103" s="1421"/>
      <c r="U103" s="1421"/>
      <c r="V103" s="1421"/>
      <c r="W103" s="1421"/>
      <c r="X103" s="1421"/>
      <c r="Y103" s="1421"/>
      <c r="Z103" s="1421"/>
      <c r="AA103" s="1421"/>
      <c r="AB103" s="1421"/>
      <c r="AC103"/>
    </row>
    <row r="104" spans="1:33" s="400" customFormat="1">
      <c r="A104" s="1421"/>
      <c r="B104" s="1549">
        <v>2183</v>
      </c>
      <c r="C104" s="1549">
        <v>2184</v>
      </c>
      <c r="D104" s="1549">
        <v>2185</v>
      </c>
      <c r="E104" s="1421"/>
      <c r="F104" s="1421"/>
      <c r="G104" s="1421"/>
      <c r="H104" s="1421"/>
      <c r="I104" s="1421"/>
      <c r="J104" s="1421"/>
      <c r="K104" s="1421"/>
      <c r="L104" s="1421"/>
      <c r="M104" s="1421"/>
      <c r="N104" s="1421"/>
      <c r="O104" s="1421"/>
      <c r="P104" s="1421"/>
      <c r="Q104" s="1635"/>
      <c r="R104" s="1421"/>
      <c r="S104" s="1421"/>
      <c r="T104" s="1421"/>
      <c r="U104" s="1421"/>
      <c r="V104" s="1421"/>
      <c r="W104" s="1421"/>
      <c r="X104" s="1421"/>
      <c r="Y104" s="1421"/>
      <c r="Z104" s="1421"/>
      <c r="AA104" s="1421"/>
      <c r="AB104" s="1421"/>
      <c r="AC104"/>
      <c r="AD104"/>
      <c r="AE104"/>
      <c r="AF104"/>
      <c r="AG104"/>
    </row>
    <row r="105" spans="1:33" s="400" customFormat="1">
      <c r="A105" s="1421" t="s">
        <v>613</v>
      </c>
      <c r="B105" s="1652">
        <f>'DVP-DivCon Allocs'!G19+'DVP-DivCon Allocs'!Q19</f>
        <v>28916.560523027612</v>
      </c>
      <c r="C105" s="1652">
        <f>+'DVP-DivCon Allocs'!G20+'DVP-DivCon Allocs'!Q20</f>
        <v>5711.0201345621226</v>
      </c>
      <c r="D105" s="1652">
        <f>+'DVP-DivCon Allocs'!G21+'DVP-DivCon Allocs'!Q21</f>
        <v>3546.5532358430019</v>
      </c>
      <c r="E105" s="1641" t="s">
        <v>576</v>
      </c>
      <c r="F105" s="1652">
        <f>SUM(B105:D106)-'DVP-DivCon Allocs'!G31-'DVP-DivCon Allocs'!Q31</f>
        <v>0</v>
      </c>
      <c r="G105" s="1421"/>
      <c r="H105" s="1421"/>
      <c r="I105" s="1421"/>
      <c r="J105" s="1421"/>
      <c r="K105" s="1421"/>
      <c r="L105" s="1421"/>
      <c r="M105" s="1421"/>
      <c r="N105" s="1421"/>
      <c r="O105" s="1421"/>
      <c r="P105" s="1421"/>
      <c r="Q105" s="1635"/>
      <c r="R105" s="1421"/>
      <c r="S105" s="1421"/>
      <c r="T105" s="1421"/>
      <c r="U105" s="1421"/>
      <c r="V105" s="1421"/>
      <c r="W105" s="1421"/>
      <c r="X105" s="1421"/>
      <c r="Y105" s="1421"/>
      <c r="Z105" s="1421"/>
      <c r="AA105" s="1421"/>
      <c r="AB105" s="1421"/>
      <c r="AC105"/>
    </row>
    <row r="106" spans="1:33">
      <c r="A106" s="1421" t="s">
        <v>614</v>
      </c>
      <c r="B106" s="1652">
        <f>+'DVP-DivCon Allocs'!H19+'DVP-DivCon Allocs'!R19</f>
        <v>2212.116880011612</v>
      </c>
      <c r="C106" s="1652">
        <f>+'DVP-DivCon Allocs'!H20+'DVP-DivCon Allocs'!R20</f>
        <v>436.89304029400239</v>
      </c>
      <c r="D106" s="1652">
        <f>+'DVP-DivCon Allocs'!H21+'DVP-DivCon Allocs'!R21</f>
        <v>271.31132254198963</v>
      </c>
      <c r="E106" s="1641" t="s">
        <v>576</v>
      </c>
      <c r="F106" s="1421"/>
      <c r="G106" s="1421"/>
      <c r="H106" s="1421"/>
      <c r="I106" s="1421"/>
      <c r="J106" s="1421"/>
      <c r="K106" s="1421"/>
      <c r="L106" s="1421"/>
      <c r="M106" s="1421"/>
      <c r="N106" s="1421"/>
      <c r="O106" s="1421"/>
      <c r="P106" s="1421"/>
      <c r="Q106" s="1635"/>
      <c r="R106" s="1421"/>
      <c r="S106" s="1421"/>
      <c r="T106" s="1421"/>
      <c r="U106" s="1421"/>
      <c r="V106" s="1421"/>
      <c r="W106" s="1421"/>
      <c r="X106" s="1421"/>
      <c r="Y106" s="1421"/>
      <c r="Z106" s="1421"/>
      <c r="AA106" s="1421"/>
      <c r="AB106" s="1421"/>
      <c r="AD106" s="400"/>
      <c r="AE106" s="400"/>
      <c r="AF106" s="400"/>
      <c r="AG106" s="400"/>
    </row>
    <row r="107" spans="1:33" s="400" customFormat="1">
      <c r="A107" s="1645"/>
      <c r="B107" s="1645"/>
      <c r="C107" s="1421"/>
      <c r="D107" s="1645"/>
      <c r="E107" s="1645"/>
      <c r="F107" s="1629"/>
      <c r="G107" s="1629"/>
      <c r="H107" s="1629"/>
      <c r="I107" s="1629"/>
      <c r="J107" s="1629"/>
      <c r="K107" s="1421"/>
      <c r="L107" s="1421"/>
      <c r="M107" s="1421"/>
      <c r="N107" s="1421"/>
      <c r="O107" s="1421"/>
      <c r="P107" s="1421"/>
      <c r="Q107" s="1635"/>
      <c r="R107" s="1421"/>
      <c r="S107" s="1421"/>
      <c r="T107" s="1421"/>
      <c r="U107" s="1421"/>
      <c r="V107" s="1421"/>
      <c r="W107" s="1421"/>
      <c r="X107" s="1421"/>
      <c r="Y107" s="1421"/>
      <c r="Z107" s="1421"/>
      <c r="AA107" s="1421"/>
      <c r="AB107" s="1421"/>
      <c r="AC107"/>
    </row>
    <row r="108" spans="1:33">
      <c r="A108" s="1421"/>
      <c r="B108" s="1421"/>
      <c r="C108" s="1421"/>
      <c r="D108" s="1421"/>
      <c r="E108" s="1421"/>
      <c r="F108" s="1421"/>
      <c r="G108" s="1421"/>
      <c r="H108" s="1421"/>
      <c r="I108" s="1421"/>
      <c r="J108" s="1421"/>
      <c r="K108" s="1421"/>
      <c r="L108" s="1421"/>
      <c r="M108" s="1421"/>
      <c r="N108" s="1421"/>
      <c r="O108" s="1421"/>
      <c r="P108" s="1421"/>
      <c r="Q108" s="1635"/>
      <c r="R108" s="1421"/>
      <c r="S108" s="1421"/>
      <c r="T108" s="1421"/>
      <c r="U108" s="1421"/>
      <c r="V108" s="1421"/>
      <c r="W108" s="1421"/>
      <c r="X108" s="1421"/>
      <c r="Y108" s="1421"/>
      <c r="Z108" s="1421"/>
      <c r="AA108" s="1421"/>
      <c r="AB108" s="1421"/>
    </row>
    <row r="109" spans="1:33">
      <c r="A109" s="1421"/>
      <c r="B109" s="1421"/>
      <c r="C109" s="1421"/>
      <c r="D109" s="1421"/>
      <c r="E109" s="1421"/>
      <c r="F109" s="1421"/>
      <c r="G109" s="1421"/>
      <c r="H109" s="1421"/>
      <c r="I109" s="1421"/>
      <c r="J109" s="1421"/>
      <c r="K109" s="1421"/>
      <c r="L109" s="1421"/>
      <c r="M109" s="1421"/>
      <c r="N109" s="1421"/>
      <c r="O109" s="1421"/>
      <c r="P109" s="1421"/>
      <c r="Q109" s="1635"/>
      <c r="R109" s="1421"/>
      <c r="S109" s="1421"/>
      <c r="T109" s="1421"/>
      <c r="U109" s="1421"/>
      <c r="V109" s="1421"/>
      <c r="W109" s="1421"/>
      <c r="X109" s="1421"/>
      <c r="Y109" s="1421"/>
      <c r="Z109" s="1421"/>
      <c r="AA109" s="1421"/>
      <c r="AB109" s="1421"/>
    </row>
    <row r="110" spans="1:33">
      <c r="A110" s="1634" t="s">
        <v>1763</v>
      </c>
      <c r="B110" s="1634"/>
      <c r="C110" s="1634"/>
      <c r="D110" s="1634"/>
      <c r="E110" s="1634"/>
      <c r="F110" s="1634"/>
      <c r="G110" s="1634"/>
      <c r="H110" s="1634"/>
      <c r="I110" s="1634"/>
      <c r="J110" s="1634"/>
      <c r="K110" s="1634"/>
      <c r="L110" s="1634"/>
      <c r="M110" s="1634"/>
      <c r="N110" s="1634"/>
      <c r="O110" s="1634"/>
      <c r="P110" s="1421"/>
      <c r="Q110" s="1635"/>
      <c r="R110" s="1421"/>
      <c r="S110" s="1421"/>
      <c r="T110" s="1421"/>
      <c r="U110" s="1421"/>
      <c r="V110" s="1421"/>
      <c r="W110" s="1421"/>
      <c r="X110" s="1421"/>
      <c r="Y110" s="1421"/>
      <c r="Z110" s="1421"/>
      <c r="AA110" s="1421"/>
      <c r="AB110" s="1421"/>
    </row>
    <row r="111" spans="1:33" ht="45" customHeight="1">
      <c r="A111" s="1677" t="s">
        <v>2702</v>
      </c>
      <c r="B111" s="1678"/>
      <c r="C111" s="1678"/>
      <c r="D111" s="1678"/>
      <c r="E111" s="1678"/>
      <c r="F111" s="1678"/>
      <c r="G111" s="1421"/>
      <c r="H111" s="1421"/>
      <c r="I111" s="1421"/>
      <c r="J111" s="1421"/>
      <c r="K111" s="1421"/>
      <c r="L111" s="1421"/>
      <c r="M111" s="1421"/>
      <c r="N111" s="1421"/>
      <c r="O111" s="1421"/>
      <c r="P111" s="1421"/>
      <c r="Q111" s="1635"/>
      <c r="R111" s="1421"/>
      <c r="S111" s="1421"/>
      <c r="T111" s="1421"/>
      <c r="U111" s="1421"/>
      <c r="V111" s="1421"/>
      <c r="W111" s="1421"/>
      <c r="X111" s="1421"/>
      <c r="Y111" s="1421"/>
      <c r="Z111" s="1421"/>
      <c r="AA111" s="1421"/>
      <c r="AB111" s="1421"/>
    </row>
    <row r="112" spans="1:33">
      <c r="A112" s="1421"/>
      <c r="B112" s="1421"/>
      <c r="C112" s="1421"/>
      <c r="D112" s="1421"/>
      <c r="E112" s="1421"/>
      <c r="F112" s="1421"/>
      <c r="G112" s="1421"/>
      <c r="H112" s="1421"/>
      <c r="I112" s="1421"/>
      <c r="J112" s="1421"/>
      <c r="K112" s="1421"/>
      <c r="L112" s="1421"/>
      <c r="M112" s="1421"/>
      <c r="N112" s="1421"/>
      <c r="O112" s="1421"/>
      <c r="P112" s="1421"/>
      <c r="Q112" s="1635"/>
      <c r="R112" s="1421"/>
      <c r="S112" s="1421"/>
      <c r="T112" s="1421"/>
      <c r="U112" s="1421"/>
      <c r="V112" s="1421"/>
      <c r="W112" s="1421"/>
      <c r="X112" s="1421"/>
      <c r="Y112" s="1421"/>
      <c r="Z112" s="1421"/>
      <c r="AA112" s="1421"/>
      <c r="AB112" s="1421"/>
    </row>
    <row r="113" spans="1:28">
      <c r="A113" s="1421"/>
      <c r="B113" s="1638" t="s">
        <v>305</v>
      </c>
      <c r="C113" s="1638" t="s">
        <v>306</v>
      </c>
      <c r="D113" s="1638" t="s">
        <v>850</v>
      </c>
      <c r="E113" s="1638" t="s">
        <v>851</v>
      </c>
      <c r="F113" s="1638" t="s">
        <v>946</v>
      </c>
      <c r="G113" s="1421"/>
      <c r="H113" s="1421"/>
      <c r="I113" s="1421"/>
      <c r="J113" s="1421"/>
      <c r="K113" s="1421"/>
      <c r="L113" s="1421"/>
      <c r="M113" s="1421"/>
      <c r="N113" s="1421"/>
      <c r="O113" s="1421"/>
      <c r="P113" s="1421"/>
      <c r="Q113" s="1635"/>
      <c r="R113" s="1421"/>
      <c r="S113" s="1421"/>
      <c r="T113" s="1421"/>
      <c r="U113" s="1421"/>
      <c r="V113" s="1421"/>
      <c r="W113" s="1421"/>
      <c r="X113" s="1421"/>
      <c r="Y113" s="1421"/>
      <c r="Z113" s="1421"/>
      <c r="AA113" s="1421"/>
      <c r="AB113" s="1421"/>
    </row>
    <row r="114" spans="1:28">
      <c r="A114" s="1655" t="s">
        <v>2700</v>
      </c>
      <c r="B114" s="1679">
        <v>99507.323062068943</v>
      </c>
      <c r="C114" s="1679">
        <v>9557.0207269602142</v>
      </c>
      <c r="D114" s="1679">
        <v>4570.0804964359741</v>
      </c>
      <c r="E114" s="1679">
        <v>1316.1049046321525</v>
      </c>
      <c r="F114" s="1679"/>
      <c r="G114" s="1421"/>
      <c r="H114" s="1421"/>
      <c r="I114" s="1421"/>
      <c r="J114" s="1421"/>
      <c r="K114" s="1421"/>
      <c r="L114" s="1421"/>
      <c r="M114" s="1421"/>
      <c r="N114" s="1421"/>
      <c r="O114" s="1421"/>
      <c r="P114" s="1421"/>
      <c r="Q114" s="1635"/>
      <c r="R114" s="1421"/>
      <c r="S114" s="1421"/>
      <c r="T114" s="1421"/>
      <c r="U114" s="1421"/>
      <c r="V114" s="1421"/>
      <c r="W114" s="1421"/>
      <c r="X114" s="1421"/>
      <c r="Y114" s="1421"/>
      <c r="Z114" s="1421"/>
      <c r="AA114" s="1421"/>
      <c r="AB114" s="1421"/>
    </row>
    <row r="115" spans="1:28" s="1070" customFormat="1">
      <c r="A115" s="1655" t="s">
        <v>2701</v>
      </c>
      <c r="B115" s="1640">
        <f>'[38]Pacific Regulated - Price Out'!$W$53</f>
        <v>-1.0300000000000002</v>
      </c>
      <c r="C115" s="1640">
        <f>'[39]Settlement Rates'!$L$71</f>
        <v>-0.9376875160848569</v>
      </c>
      <c r="D115" s="1640">
        <f>'[39]Settlement Rates'!$L$71</f>
        <v>-0.9376875160848569</v>
      </c>
      <c r="E115" s="1640">
        <f>'[40]Settlement Rate Sheet'!$K$166</f>
        <v>-0.79521722381470661</v>
      </c>
      <c r="F115" s="1679"/>
      <c r="G115" s="1421"/>
      <c r="H115" s="1421"/>
      <c r="I115" s="1421"/>
      <c r="J115" s="1421"/>
      <c r="K115" s="1421"/>
      <c r="L115" s="1421"/>
      <c r="M115" s="1421"/>
      <c r="N115" s="1421"/>
      <c r="O115" s="1421"/>
      <c r="P115" s="1421"/>
      <c r="Q115" s="1635"/>
      <c r="R115" s="1421"/>
      <c r="S115" s="1421"/>
      <c r="T115" s="1421"/>
      <c r="U115" s="1421"/>
      <c r="V115" s="1421"/>
      <c r="W115" s="1421"/>
      <c r="X115" s="1421"/>
      <c r="Y115" s="1421"/>
      <c r="Z115" s="1421"/>
      <c r="AA115" s="1421"/>
      <c r="AB115" s="1421"/>
    </row>
    <row r="116" spans="1:28">
      <c r="A116" s="1655" t="s">
        <v>947</v>
      </c>
      <c r="B116" s="1679">
        <f>B114*B115</f>
        <v>-102492.54275393103</v>
      </c>
      <c r="C116" s="1679">
        <f>C114*C115</f>
        <v>-8961.4990266348159</v>
      </c>
      <c r="D116" s="1679">
        <f>D114*D115</f>
        <v>-4285.307429010898</v>
      </c>
      <c r="E116" s="1679">
        <f>E114*E115</f>
        <v>-1046.5892885104995</v>
      </c>
      <c r="F116" s="1679">
        <f>+SUM(B116:E116)</f>
        <v>-116785.93849808724</v>
      </c>
      <c r="G116" s="1641" t="s">
        <v>577</v>
      </c>
      <c r="H116" s="1421"/>
      <c r="I116" s="1421"/>
      <c r="J116" s="1421"/>
      <c r="K116" s="1421"/>
      <c r="L116" s="1421"/>
      <c r="M116" s="1421"/>
      <c r="N116" s="1421"/>
      <c r="O116" s="1421"/>
      <c r="P116" s="1421"/>
      <c r="Q116" s="1635"/>
      <c r="R116" s="1421"/>
      <c r="S116" s="1421"/>
      <c r="T116" s="1421"/>
      <c r="U116" s="1421"/>
      <c r="V116" s="1421"/>
      <c r="W116" s="1421"/>
      <c r="X116" s="1421"/>
      <c r="Y116" s="1421"/>
      <c r="Z116" s="1421"/>
      <c r="AA116" s="1421"/>
      <c r="AB116" s="1421"/>
    </row>
    <row r="117" spans="1:28">
      <c r="A117" s="1655" t="s">
        <v>948</v>
      </c>
      <c r="B117" s="1679">
        <v>21950.955958549224</v>
      </c>
      <c r="C117" s="1679">
        <v>0</v>
      </c>
      <c r="D117" s="1679">
        <v>491</v>
      </c>
      <c r="E117" s="1679">
        <v>25.162977867203221</v>
      </c>
      <c r="F117" s="1679"/>
      <c r="G117" s="1421"/>
      <c r="H117" s="1421"/>
      <c r="I117" s="1421"/>
      <c r="J117" s="1421"/>
      <c r="K117" s="1421"/>
      <c r="L117" s="1421"/>
      <c r="M117" s="1421"/>
      <c r="N117" s="1421"/>
      <c r="O117" s="1421"/>
      <c r="P117" s="1421"/>
      <c r="Q117" s="1635"/>
      <c r="R117" s="1421"/>
      <c r="S117" s="1421"/>
      <c r="T117" s="1421"/>
      <c r="U117" s="1421"/>
      <c r="V117" s="1421"/>
      <c r="W117" s="1421"/>
      <c r="X117" s="1421"/>
      <c r="Y117" s="1421"/>
      <c r="Z117" s="1421"/>
      <c r="AA117" s="1421"/>
      <c r="AB117" s="1421"/>
    </row>
    <row r="118" spans="1:28" s="1070" customFormat="1">
      <c r="A118" s="1655" t="s">
        <v>2701</v>
      </c>
      <c r="B118" s="1640">
        <f>'[38]Pacific Regulated - Price Out'!$W$218</f>
        <v>-0.71092144214024655</v>
      </c>
      <c r="C118" s="1679"/>
      <c r="D118" s="1640">
        <f>'[39]Settlement Rates'!$L$74</f>
        <v>-0.27338278140857714</v>
      </c>
      <c r="E118" s="1640">
        <f>'[40]Settlement Rate Sheet'!$K$169</f>
        <v>-0.16036557369232921</v>
      </c>
      <c r="F118" s="1679"/>
      <c r="G118" s="1421"/>
      <c r="H118" s="1421"/>
      <c r="I118" s="1421"/>
      <c r="J118" s="1421"/>
      <c r="K118" s="1421"/>
      <c r="L118" s="1421"/>
      <c r="M118" s="1421"/>
      <c r="N118" s="1421"/>
      <c r="O118" s="1421"/>
      <c r="P118" s="1421"/>
      <c r="Q118" s="1635"/>
      <c r="R118" s="1421"/>
      <c r="S118" s="1421"/>
      <c r="T118" s="1421"/>
      <c r="U118" s="1421"/>
      <c r="V118" s="1421"/>
      <c r="W118" s="1421"/>
      <c r="X118" s="1421"/>
      <c r="Y118" s="1421"/>
      <c r="Z118" s="1421"/>
      <c r="AA118" s="1421"/>
      <c r="AB118" s="1421"/>
    </row>
    <row r="119" spans="1:28">
      <c r="A119" s="1655" t="s">
        <v>947</v>
      </c>
      <c r="B119" s="1679">
        <f>B117*B118</f>
        <v>-15605.405266408852</v>
      </c>
      <c r="C119" s="1679">
        <f>+C117*'[41]Settlement Rates'!$L$74</f>
        <v>0</v>
      </c>
      <c r="D119" s="1679">
        <f>D117*D118</f>
        <v>-134.23094567161138</v>
      </c>
      <c r="E119" s="1679">
        <f>E117*E118</f>
        <v>-4.0352753814814273</v>
      </c>
      <c r="F119" s="1679">
        <f>+SUM(B119:E119)</f>
        <v>-15743.671487461947</v>
      </c>
      <c r="G119" s="1641" t="s">
        <v>577</v>
      </c>
      <c r="H119" s="1421"/>
      <c r="I119" s="1421"/>
      <c r="J119" s="1421"/>
      <c r="K119" s="1421"/>
      <c r="L119" s="1421"/>
      <c r="M119" s="1421"/>
      <c r="N119" s="1421"/>
      <c r="O119" s="1421"/>
      <c r="P119" s="1421"/>
      <c r="Q119" s="1635"/>
      <c r="R119" s="1421"/>
      <c r="S119" s="1421"/>
      <c r="T119" s="1421"/>
      <c r="U119" s="1421"/>
      <c r="V119" s="1421"/>
      <c r="W119" s="1421"/>
      <c r="X119" s="1421"/>
      <c r="Y119" s="1421"/>
      <c r="Z119" s="1421"/>
      <c r="AA119" s="1421"/>
      <c r="AB119" s="1421"/>
    </row>
    <row r="120" spans="1:28">
      <c r="A120" s="1421"/>
      <c r="B120" s="1421"/>
      <c r="C120" s="1421"/>
      <c r="D120" s="1421"/>
      <c r="E120" s="1421"/>
      <c r="F120" s="1421"/>
      <c r="G120" s="1421"/>
      <c r="H120" s="1421"/>
      <c r="I120" s="1421"/>
      <c r="J120" s="1421"/>
      <c r="K120" s="1421"/>
      <c r="L120" s="1421"/>
      <c r="M120" s="1421"/>
      <c r="N120" s="1421"/>
      <c r="O120" s="1421"/>
      <c r="P120" s="1421"/>
      <c r="Q120" s="1635"/>
      <c r="R120" s="1421"/>
      <c r="S120" s="1421"/>
      <c r="T120" s="1421"/>
      <c r="U120" s="1421"/>
      <c r="V120" s="1421"/>
      <c r="W120" s="1421"/>
      <c r="X120" s="1421"/>
      <c r="Y120" s="1421"/>
      <c r="Z120" s="1421"/>
      <c r="AA120" s="1421"/>
      <c r="AB120" s="1421"/>
    </row>
    <row r="121" spans="1:28" s="1070" customFormat="1">
      <c r="A121" s="1655" t="s">
        <v>2710</v>
      </c>
      <c r="B121" s="1679">
        <f>-'Consolidated IS '!C142</f>
        <v>-122765.85</v>
      </c>
      <c r="C121" s="1421"/>
      <c r="D121" s="1421"/>
      <c r="E121" s="1421"/>
      <c r="F121" s="1421"/>
      <c r="G121" s="1421"/>
      <c r="H121" s="1421"/>
      <c r="I121" s="1421"/>
      <c r="J121" s="1421"/>
      <c r="K121" s="1421"/>
      <c r="L121" s="1421"/>
      <c r="M121" s="1421"/>
      <c r="N121" s="1421"/>
      <c r="O121" s="1421"/>
      <c r="P121" s="1421"/>
      <c r="Q121" s="1635"/>
      <c r="R121" s="1421"/>
      <c r="S121" s="1421"/>
      <c r="T121" s="1421"/>
      <c r="U121" s="1421"/>
      <c r="V121" s="1421"/>
      <c r="W121" s="1421"/>
      <c r="X121" s="1421"/>
      <c r="Y121" s="1421"/>
      <c r="Z121" s="1421"/>
      <c r="AA121" s="1421"/>
      <c r="AB121" s="1421"/>
    </row>
    <row r="122" spans="1:28" s="1070" customFormat="1">
      <c r="A122" s="1421"/>
      <c r="B122" s="1421"/>
      <c r="C122" s="1421"/>
      <c r="D122" s="1421"/>
      <c r="E122" s="1421"/>
      <c r="F122" s="1421"/>
      <c r="G122" s="1421"/>
      <c r="H122" s="1421"/>
      <c r="I122" s="1421"/>
      <c r="J122" s="1421"/>
      <c r="K122" s="1421"/>
      <c r="L122" s="1421"/>
      <c r="M122" s="1421"/>
      <c r="N122" s="1421"/>
      <c r="O122" s="1421"/>
      <c r="P122" s="1421"/>
      <c r="Q122" s="1635"/>
      <c r="R122" s="1421"/>
      <c r="S122" s="1421"/>
      <c r="T122" s="1421"/>
      <c r="U122" s="1421"/>
      <c r="V122" s="1421"/>
      <c r="W122" s="1421"/>
      <c r="X122" s="1421"/>
      <c r="Y122" s="1421"/>
      <c r="Z122" s="1421"/>
      <c r="AA122" s="1421"/>
      <c r="AB122" s="1421"/>
    </row>
    <row r="123" spans="1:28">
      <c r="A123" s="1421"/>
      <c r="B123" s="1421"/>
      <c r="C123" s="1421"/>
      <c r="D123" s="1421"/>
      <c r="E123" s="1421"/>
      <c r="F123" s="1421"/>
      <c r="G123" s="1421"/>
      <c r="H123" s="1421"/>
      <c r="I123" s="1421"/>
      <c r="J123" s="1421"/>
      <c r="K123" s="1421"/>
      <c r="L123" s="1421"/>
      <c r="M123" s="1421"/>
      <c r="N123" s="1421"/>
      <c r="O123" s="1421"/>
      <c r="P123" s="1421"/>
      <c r="Q123" s="1635"/>
      <c r="R123" s="1421"/>
      <c r="S123" s="1421"/>
      <c r="T123" s="1421"/>
      <c r="U123" s="1421"/>
      <c r="V123" s="1421"/>
      <c r="W123" s="1421"/>
      <c r="X123" s="1421"/>
      <c r="Y123" s="1421"/>
      <c r="Z123" s="1421"/>
      <c r="AA123" s="1421"/>
      <c r="AB123" s="1421"/>
    </row>
    <row r="124" spans="1:28">
      <c r="A124" s="1634" t="s">
        <v>2435</v>
      </c>
      <c r="B124" s="1634"/>
      <c r="C124" s="1634"/>
      <c r="D124" s="1634"/>
      <c r="E124" s="1634"/>
      <c r="F124" s="1634"/>
      <c r="G124" s="1634"/>
      <c r="H124" s="1634"/>
      <c r="I124" s="1634"/>
      <c r="J124" s="1634"/>
      <c r="K124" s="1634"/>
      <c r="L124" s="1634"/>
      <c r="M124" s="1634"/>
      <c r="N124" s="1634"/>
      <c r="O124" s="1634"/>
      <c r="P124" s="1421"/>
      <c r="Q124" s="1635"/>
      <c r="R124" s="1421"/>
      <c r="S124" s="1421"/>
      <c r="T124" s="1421"/>
      <c r="U124" s="1421"/>
      <c r="V124" s="1421"/>
      <c r="W124" s="1421"/>
      <c r="X124" s="1421"/>
      <c r="Y124" s="1421"/>
      <c r="Z124" s="1421"/>
      <c r="AA124" s="1421"/>
      <c r="AB124" s="1421"/>
    </row>
    <row r="125" spans="1:28">
      <c r="A125" s="1421" t="s">
        <v>2703</v>
      </c>
      <c r="B125" s="1421"/>
      <c r="C125" s="1421"/>
      <c r="D125" s="1421"/>
      <c r="E125" s="1421"/>
      <c r="F125" s="1421"/>
      <c r="G125" s="1421"/>
      <c r="H125" s="1421"/>
      <c r="I125" s="1421"/>
      <c r="J125" s="1421"/>
      <c r="K125" s="1421"/>
      <c r="L125" s="1421"/>
      <c r="M125" s="1421"/>
      <c r="N125" s="1421"/>
      <c r="O125" s="1421"/>
      <c r="P125" s="1421"/>
      <c r="Q125" s="1635"/>
      <c r="R125" s="1421"/>
      <c r="S125" s="1421"/>
      <c r="T125" s="1421"/>
      <c r="U125" s="1421"/>
      <c r="V125" s="1421"/>
      <c r="W125" s="1421"/>
      <c r="X125" s="1421"/>
      <c r="Y125" s="1421"/>
      <c r="Z125" s="1421"/>
      <c r="AA125" s="1421"/>
      <c r="AB125" s="1421"/>
    </row>
    <row r="126" spans="1:28">
      <c r="A126" s="1421"/>
      <c r="B126" s="1421"/>
      <c r="C126" s="1421"/>
      <c r="D126" s="1421"/>
      <c r="E126" s="1421"/>
      <c r="F126" s="1421"/>
      <c r="G126" s="1421"/>
      <c r="H126" s="1421"/>
      <c r="I126" s="1421"/>
      <c r="J126" s="1421"/>
      <c r="K126" s="1421"/>
      <c r="L126" s="1421"/>
      <c r="M126" s="1421"/>
      <c r="N126" s="1421"/>
      <c r="O126" s="1421"/>
      <c r="P126" s="1421"/>
      <c r="Q126" s="1635"/>
      <c r="R126" s="1421"/>
      <c r="S126" s="1421"/>
      <c r="T126" s="1421"/>
      <c r="U126" s="1421"/>
      <c r="V126" s="1421"/>
      <c r="W126" s="1421"/>
      <c r="X126" s="1421"/>
      <c r="Y126" s="1421"/>
      <c r="Z126" s="1421"/>
      <c r="AA126" s="1421"/>
      <c r="AB126" s="1421"/>
    </row>
    <row r="127" spans="1:28">
      <c r="A127" s="1655" t="s">
        <v>624</v>
      </c>
      <c r="B127" s="1640">
        <f>+'Rural - Price Out '!AN39</f>
        <v>-2141.2492516906341</v>
      </c>
      <c r="C127" s="1421"/>
      <c r="D127" s="1421"/>
      <c r="E127" s="1421"/>
      <c r="F127" s="1421"/>
      <c r="G127" s="1421"/>
      <c r="H127" s="1421"/>
      <c r="I127" s="1421"/>
      <c r="J127" s="1421"/>
      <c r="K127" s="1421"/>
      <c r="L127" s="1421"/>
      <c r="M127" s="1421"/>
      <c r="N127" s="1421"/>
      <c r="O127" s="1421"/>
      <c r="P127" s="1421"/>
      <c r="Q127" s="1635"/>
      <c r="R127" s="1421"/>
      <c r="S127" s="1421"/>
      <c r="T127" s="1421"/>
      <c r="U127" s="1421"/>
      <c r="V127" s="1421"/>
      <c r="W127" s="1421"/>
      <c r="X127" s="1421"/>
      <c r="Y127" s="1421"/>
      <c r="Z127" s="1421"/>
      <c r="AA127" s="1421"/>
      <c r="AB127" s="1421"/>
    </row>
    <row r="128" spans="1:28">
      <c r="A128" s="1655" t="s">
        <v>437</v>
      </c>
      <c r="B128" s="1640">
        <f>+'Rural - Price Out '!AN45</f>
        <v>-26497.492667772174</v>
      </c>
      <c r="C128" s="1421"/>
      <c r="D128" s="1421"/>
      <c r="E128" s="1421"/>
      <c r="F128" s="1421"/>
      <c r="G128" s="1421"/>
      <c r="H128" s="1421"/>
      <c r="I128" s="1421"/>
      <c r="J128" s="1421"/>
      <c r="K128" s="1421"/>
      <c r="L128" s="1421"/>
      <c r="M128" s="1421"/>
      <c r="N128" s="1421"/>
      <c r="O128" s="1421"/>
      <c r="P128" s="1421"/>
      <c r="Q128" s="1635"/>
      <c r="R128" s="1421"/>
      <c r="S128" s="1421"/>
      <c r="T128" s="1421"/>
      <c r="U128" s="1421"/>
      <c r="V128" s="1421"/>
      <c r="W128" s="1421"/>
      <c r="X128" s="1421"/>
      <c r="Y128" s="1421"/>
      <c r="Z128" s="1421"/>
      <c r="AA128" s="1421"/>
      <c r="AB128" s="1421"/>
    </row>
    <row r="129" spans="1:28">
      <c r="A129" s="1655" t="s">
        <v>2436</v>
      </c>
      <c r="B129" s="1640">
        <f>+'Rural - Price Out '!AN51</f>
        <v>-21004.189187102638</v>
      </c>
      <c r="C129" s="1421"/>
      <c r="D129" s="1421"/>
      <c r="E129" s="1421"/>
      <c r="F129" s="1421"/>
      <c r="G129" s="1421"/>
      <c r="H129" s="1421"/>
      <c r="I129" s="1421"/>
      <c r="J129" s="1421"/>
      <c r="K129" s="1421"/>
      <c r="L129" s="1421"/>
      <c r="M129" s="1421"/>
      <c r="N129" s="1421"/>
      <c r="O129" s="1421"/>
      <c r="P129" s="1421"/>
      <c r="Q129" s="1635"/>
      <c r="R129" s="1421"/>
      <c r="S129" s="1421"/>
      <c r="T129" s="1421"/>
      <c r="U129" s="1421"/>
      <c r="V129" s="1421"/>
      <c r="W129" s="1421"/>
      <c r="X129" s="1421"/>
      <c r="Y129" s="1421"/>
      <c r="Z129" s="1421"/>
      <c r="AA129" s="1421"/>
      <c r="AB129" s="1421"/>
    </row>
    <row r="130" spans="1:28">
      <c r="A130" s="1655" t="s">
        <v>2437</v>
      </c>
      <c r="B130" s="1640">
        <v>0</v>
      </c>
      <c r="C130" s="1421"/>
      <c r="D130" s="1421"/>
      <c r="E130" s="1421"/>
      <c r="F130" s="1421"/>
      <c r="G130" s="1421"/>
      <c r="H130" s="1421"/>
      <c r="I130" s="1421"/>
      <c r="J130" s="1421"/>
      <c r="K130" s="1421"/>
      <c r="L130" s="1421"/>
      <c r="M130" s="1421"/>
      <c r="N130" s="1421"/>
      <c r="O130" s="1421"/>
      <c r="P130" s="1421"/>
      <c r="Q130" s="1635"/>
      <c r="R130" s="1421"/>
      <c r="S130" s="1421"/>
      <c r="T130" s="1421"/>
      <c r="U130" s="1421"/>
      <c r="V130" s="1421"/>
      <c r="W130" s="1421"/>
      <c r="X130" s="1421"/>
      <c r="Y130" s="1421"/>
      <c r="Z130" s="1421"/>
      <c r="AA130" s="1421"/>
      <c r="AB130" s="1421"/>
    </row>
    <row r="131" spans="1:28">
      <c r="A131" s="1655" t="s">
        <v>2438</v>
      </c>
      <c r="B131" s="1640">
        <f>+'Rural - Price Out '!AN158</f>
        <v>-29058.838456727502</v>
      </c>
      <c r="C131" s="1421"/>
      <c r="D131" s="1421"/>
      <c r="E131" s="1421"/>
      <c r="F131" s="1421"/>
      <c r="G131" s="1421"/>
      <c r="H131" s="1421"/>
      <c r="I131" s="1421"/>
      <c r="J131" s="1421"/>
      <c r="K131" s="1421"/>
      <c r="L131" s="1421"/>
      <c r="M131" s="1421"/>
      <c r="N131" s="1421"/>
      <c r="O131" s="1421"/>
      <c r="P131" s="1421"/>
      <c r="Q131" s="1635"/>
      <c r="R131" s="1421"/>
      <c r="S131" s="1421"/>
      <c r="T131" s="1421"/>
      <c r="U131" s="1421"/>
      <c r="V131" s="1421"/>
      <c r="W131" s="1421"/>
      <c r="X131" s="1421"/>
      <c r="Y131" s="1421"/>
      <c r="Z131" s="1421"/>
      <c r="AA131" s="1421"/>
      <c r="AB131" s="1421"/>
    </row>
    <row r="132" spans="1:28">
      <c r="A132" s="1655" t="s">
        <v>2439</v>
      </c>
      <c r="B132" s="1647">
        <f>+'Rural - Price Out '!AN120</f>
        <v>-15715.997143461123</v>
      </c>
      <c r="C132" s="1421"/>
      <c r="D132" s="1421"/>
      <c r="E132" s="1421"/>
      <c r="F132" s="1421"/>
      <c r="G132" s="1421"/>
      <c r="H132" s="1421"/>
      <c r="I132" s="1421"/>
      <c r="J132" s="1421"/>
      <c r="K132" s="1421"/>
      <c r="L132" s="1421"/>
      <c r="M132" s="1421"/>
      <c r="N132" s="1421"/>
      <c r="O132" s="1421"/>
      <c r="P132" s="1421"/>
      <c r="Q132" s="1635"/>
      <c r="R132" s="1421"/>
      <c r="S132" s="1421"/>
      <c r="T132" s="1421"/>
      <c r="U132" s="1421"/>
      <c r="V132" s="1421"/>
      <c r="W132" s="1421"/>
      <c r="X132" s="1421"/>
      <c r="Y132" s="1421"/>
      <c r="Z132" s="1421"/>
      <c r="AA132" s="1421"/>
      <c r="AB132" s="1421"/>
    </row>
    <row r="133" spans="1:28">
      <c r="A133" s="1421"/>
      <c r="B133" s="1640">
        <f>+SUM(B127:B132)</f>
        <v>-94417.766706754075</v>
      </c>
      <c r="C133" s="1641" t="s">
        <v>2440</v>
      </c>
      <c r="D133" s="1421"/>
      <c r="E133" s="1421"/>
      <c r="F133" s="1421"/>
      <c r="G133" s="1421"/>
      <c r="H133" s="1421"/>
      <c r="I133" s="1421"/>
      <c r="J133" s="1421"/>
      <c r="K133" s="1421"/>
      <c r="L133" s="1421"/>
      <c r="M133" s="1421"/>
      <c r="N133" s="1421"/>
      <c r="O133" s="1421"/>
      <c r="P133" s="1421"/>
      <c r="Q133" s="1635"/>
      <c r="R133" s="1421"/>
      <c r="S133" s="1421"/>
      <c r="T133" s="1421"/>
      <c r="U133" s="1421"/>
      <c r="V133" s="1421"/>
      <c r="W133" s="1421"/>
      <c r="X133" s="1421"/>
      <c r="Y133" s="1421"/>
      <c r="Z133" s="1421"/>
      <c r="AA133" s="1421"/>
      <c r="AB133" s="1421"/>
    </row>
    <row r="134" spans="1:28">
      <c r="A134" s="1421"/>
      <c r="B134" s="1421"/>
      <c r="C134" s="1421"/>
      <c r="D134" s="1421"/>
      <c r="E134" s="1421"/>
      <c r="F134" s="1421"/>
      <c r="G134" s="1421"/>
      <c r="H134" s="1421"/>
      <c r="I134" s="1421"/>
      <c r="J134" s="1421"/>
      <c r="K134" s="1421"/>
      <c r="L134" s="1421"/>
      <c r="M134" s="1421"/>
      <c r="N134" s="1421"/>
      <c r="O134" s="1421"/>
      <c r="P134" s="1421"/>
      <c r="Q134" s="1635"/>
      <c r="R134" s="1421"/>
      <c r="S134" s="1421"/>
      <c r="T134" s="1421"/>
      <c r="U134" s="1421"/>
      <c r="V134" s="1421"/>
      <c r="W134" s="1421"/>
      <c r="X134" s="1421"/>
      <c r="Y134" s="1421"/>
      <c r="Z134" s="1421"/>
      <c r="AA134" s="1421"/>
      <c r="AB134" s="1421"/>
    </row>
    <row r="135" spans="1:28" s="704" customFormat="1">
      <c r="A135" s="1634" t="s">
        <v>2518</v>
      </c>
      <c r="B135" s="1634"/>
      <c r="C135" s="1634"/>
      <c r="D135" s="1634"/>
      <c r="E135" s="1634"/>
      <c r="F135" s="1634"/>
      <c r="G135" s="1634"/>
      <c r="H135" s="1634"/>
      <c r="I135" s="1634"/>
      <c r="J135" s="1634"/>
      <c r="K135" s="1634"/>
      <c r="L135" s="1634"/>
      <c r="M135" s="1634"/>
      <c r="N135" s="1634"/>
      <c r="O135" s="1634"/>
      <c r="P135" s="1421"/>
      <c r="Q135" s="1635"/>
      <c r="R135" s="1421"/>
      <c r="S135" s="1421"/>
      <c r="T135" s="1421"/>
      <c r="U135" s="1421"/>
      <c r="V135" s="1421"/>
      <c r="W135" s="1421"/>
      <c r="X135" s="1421"/>
      <c r="Y135" s="1421"/>
      <c r="Z135" s="1421"/>
      <c r="AA135" s="1421"/>
      <c r="AB135" s="1421"/>
    </row>
    <row r="136" spans="1:28">
      <c r="A136" s="1421" t="s">
        <v>2519</v>
      </c>
      <c r="B136" s="1421"/>
      <c r="C136" s="1421"/>
      <c r="D136" s="1421"/>
      <c r="E136" s="1421"/>
      <c r="F136" s="1421"/>
      <c r="G136" s="1421"/>
      <c r="H136" s="1421"/>
      <c r="I136" s="1421"/>
      <c r="J136" s="1421"/>
      <c r="K136" s="1421"/>
      <c r="L136" s="1421"/>
      <c r="M136" s="1421"/>
      <c r="N136" s="1421"/>
      <c r="O136" s="1421"/>
      <c r="P136" s="1421"/>
      <c r="Q136" s="1635"/>
      <c r="R136" s="1421"/>
      <c r="S136" s="1421"/>
      <c r="T136" s="1421"/>
      <c r="U136" s="1421"/>
      <c r="V136" s="1421"/>
      <c r="W136" s="1421"/>
      <c r="X136" s="1421"/>
      <c r="Y136" s="1421"/>
      <c r="Z136" s="1421"/>
      <c r="AA136" s="1421"/>
      <c r="AB136" s="1421"/>
    </row>
    <row r="137" spans="1:28">
      <c r="A137" s="1421"/>
      <c r="B137" s="1421"/>
      <c r="C137" s="1421"/>
      <c r="D137" s="1421"/>
      <c r="E137" s="1421"/>
      <c r="F137" s="1421"/>
      <c r="G137" s="1421"/>
      <c r="H137" s="1421"/>
      <c r="I137" s="1421"/>
      <c r="J137" s="1421"/>
      <c r="K137" s="1421"/>
      <c r="L137" s="1421"/>
      <c r="M137" s="1421"/>
      <c r="N137" s="1421"/>
      <c r="O137" s="1421"/>
      <c r="P137" s="1421"/>
      <c r="Q137" s="1635"/>
      <c r="R137" s="1421"/>
      <c r="S137" s="1421"/>
      <c r="T137" s="1421"/>
      <c r="U137" s="1421"/>
      <c r="V137" s="1421"/>
      <c r="W137" s="1421"/>
      <c r="X137" s="1421"/>
      <c r="Y137" s="1421"/>
      <c r="Z137" s="1421"/>
      <c r="AA137" s="1421"/>
      <c r="AB137" s="1421"/>
    </row>
    <row r="138" spans="1:28">
      <c r="A138" s="1640">
        <f>'2184 Pro Forma-Bale Fee'!H316</f>
        <v>64776.540300243192</v>
      </c>
      <c r="B138" s="1641" t="s">
        <v>2520</v>
      </c>
      <c r="C138" s="1421"/>
      <c r="D138" s="1421"/>
      <c r="E138" s="1421"/>
      <c r="F138" s="1421"/>
      <c r="G138" s="1421"/>
      <c r="H138" s="1421"/>
      <c r="I138" s="1421"/>
      <c r="J138" s="1421"/>
      <c r="K138" s="1421"/>
      <c r="L138" s="1421"/>
      <c r="M138" s="1421"/>
      <c r="N138" s="1421"/>
      <c r="O138" s="1421"/>
      <c r="P138" s="1421"/>
      <c r="Q138" s="1635"/>
      <c r="R138" s="1421"/>
      <c r="S138" s="1421"/>
      <c r="T138" s="1421"/>
      <c r="U138" s="1421"/>
      <c r="V138" s="1421"/>
      <c r="W138" s="1421"/>
      <c r="X138" s="1421"/>
      <c r="Y138" s="1421"/>
      <c r="Z138" s="1421"/>
      <c r="AA138" s="1421"/>
      <c r="AB138" s="1421"/>
    </row>
    <row r="139" spans="1:28">
      <c r="A139" s="1421"/>
      <c r="B139" s="1421"/>
      <c r="C139" s="1421"/>
      <c r="D139" s="1421"/>
      <c r="E139" s="1421"/>
      <c r="F139" s="1421"/>
      <c r="G139" s="1421"/>
      <c r="H139" s="1421"/>
      <c r="I139" s="1421"/>
      <c r="J139" s="1421"/>
      <c r="K139" s="1421"/>
      <c r="L139" s="1421"/>
      <c r="M139" s="1421"/>
      <c r="N139" s="1421"/>
      <c r="O139" s="1421"/>
      <c r="P139" s="1421"/>
      <c r="Q139" s="1635"/>
      <c r="R139" s="1421"/>
      <c r="S139" s="1421"/>
      <c r="T139" s="1421"/>
      <c r="U139" s="1421"/>
      <c r="V139" s="1421"/>
      <c r="W139" s="1421"/>
      <c r="X139" s="1421"/>
      <c r="Y139" s="1421"/>
      <c r="Z139" s="1421"/>
      <c r="AA139" s="1421"/>
      <c r="AB139" s="1421"/>
    </row>
    <row r="140" spans="1:28">
      <c r="A140" s="1421"/>
      <c r="B140" s="1421"/>
      <c r="C140" s="1421"/>
      <c r="D140" s="1421"/>
      <c r="E140" s="1421"/>
      <c r="F140" s="1421"/>
      <c r="G140" s="1421"/>
      <c r="H140" s="1421"/>
      <c r="I140" s="1421"/>
      <c r="J140" s="1421"/>
      <c r="K140" s="1421"/>
      <c r="L140" s="1421"/>
      <c r="M140" s="1421"/>
      <c r="N140" s="1421"/>
      <c r="O140" s="1421"/>
      <c r="P140" s="1421"/>
      <c r="Q140" s="1635"/>
      <c r="R140" s="1421"/>
      <c r="S140" s="1421"/>
      <c r="T140" s="1421"/>
      <c r="U140" s="1421"/>
      <c r="V140" s="1421"/>
      <c r="W140" s="1421"/>
      <c r="X140" s="1421"/>
      <c r="Y140" s="1421"/>
      <c r="Z140" s="1421"/>
      <c r="AA140" s="1421"/>
      <c r="AB140" s="1421"/>
    </row>
    <row r="141" spans="1:28">
      <c r="A141" s="1421"/>
      <c r="B141" s="1421"/>
      <c r="C141" s="1421"/>
      <c r="D141" s="1421"/>
      <c r="E141" s="1421"/>
      <c r="F141" s="1421"/>
      <c r="G141" s="1421"/>
      <c r="H141" s="1421"/>
      <c r="I141" s="1421"/>
      <c r="J141" s="1421"/>
      <c r="K141" s="1421"/>
      <c r="L141" s="1421"/>
      <c r="M141" s="1421"/>
      <c r="N141" s="1421"/>
      <c r="O141" s="1421"/>
      <c r="P141" s="1421"/>
      <c r="Q141" s="1635"/>
      <c r="R141" s="1421"/>
      <c r="S141" s="1421"/>
      <c r="T141" s="1421"/>
      <c r="U141" s="1421"/>
      <c r="V141" s="1421"/>
      <c r="W141" s="1421"/>
      <c r="X141" s="1421"/>
      <c r="Y141" s="1421"/>
      <c r="Z141" s="1421"/>
      <c r="AA141" s="1421"/>
      <c r="AB141" s="1421"/>
    </row>
    <row r="142" spans="1:28">
      <c r="A142" s="1421"/>
      <c r="B142" s="1421"/>
      <c r="C142" s="1421"/>
      <c r="D142" s="1421"/>
      <c r="E142" s="1421"/>
      <c r="F142" s="1421"/>
      <c r="G142" s="1421"/>
      <c r="H142" s="1421"/>
      <c r="I142" s="1421"/>
      <c r="J142" s="1421"/>
      <c r="K142" s="1421"/>
      <c r="L142" s="1421"/>
      <c r="M142" s="1421"/>
      <c r="N142" s="1421"/>
      <c r="O142" s="1421"/>
      <c r="P142" s="1421"/>
      <c r="Q142" s="1635"/>
      <c r="R142" s="1421"/>
      <c r="S142" s="1421"/>
      <c r="T142" s="1421"/>
      <c r="U142" s="1421"/>
      <c r="V142" s="1421"/>
      <c r="W142" s="1421"/>
      <c r="X142" s="1421"/>
      <c r="Y142" s="1421"/>
      <c r="Z142" s="1421"/>
      <c r="AA142" s="1421"/>
      <c r="AB142" s="1421"/>
    </row>
    <row r="143" spans="1:28">
      <c r="A143" s="1655" t="s">
        <v>2955</v>
      </c>
      <c r="B143" s="1422">
        <f>+A138+B133+B121+F119+F116+B105+C105+D105+B106+C106+D106+B99+E81+B68+D55+B44+B38+C38+D38+L21</f>
        <v>152319.46484119343</v>
      </c>
      <c r="C143" s="1421"/>
      <c r="D143" s="1421"/>
      <c r="E143" s="1421"/>
      <c r="F143" s="1421"/>
      <c r="G143" s="1421"/>
      <c r="H143" s="1421"/>
      <c r="I143" s="1421"/>
      <c r="J143" s="1421"/>
      <c r="K143" s="1421"/>
      <c r="L143" s="1421"/>
      <c r="M143" s="1421"/>
      <c r="N143" s="1421"/>
      <c r="O143" s="1421"/>
      <c r="P143" s="1421"/>
      <c r="Q143" s="1635"/>
      <c r="R143" s="1421"/>
      <c r="S143" s="1421"/>
      <c r="T143" s="1421"/>
      <c r="U143" s="1421"/>
      <c r="V143" s="1421"/>
      <c r="W143" s="1421"/>
      <c r="X143" s="1421"/>
      <c r="Y143" s="1421"/>
      <c r="Z143" s="1421"/>
      <c r="AA143" s="1421"/>
      <c r="AB143" s="1421"/>
    </row>
    <row r="144" spans="1:28">
      <c r="A144" s="1655" t="s">
        <v>2954</v>
      </c>
      <c r="B144" s="1657">
        <f>+'Consolidated IS '!H24+'Consolidated IS '!H142+'Consolidated IS '!H162+'Consolidated IS '!H168+'Consolidated IS '!H189+'Consolidated IS '!I189+'Consolidated IS '!J189+'Consolidated IS '!H201+'Consolidated IS '!I201+'Consolidated IS '!J201+'Consolidated IS '!H263+'Consolidated IS '!H272+'Consolidated IS '!H273+'Consolidated IS '!H274+'Consolidated IS '!H275+'Consolidated IS '!H278+'Consolidated IS '!H306+'Consolidated IS '!H336+'Consolidated IS '!I336+'Consolidated IS '!J336</f>
        <v>152319.4648411934</v>
      </c>
      <c r="C144" s="1421"/>
      <c r="D144" s="1421"/>
      <c r="E144" s="1421"/>
      <c r="F144" s="1421"/>
      <c r="G144" s="1421"/>
      <c r="H144" s="1421"/>
      <c r="I144" s="1421"/>
      <c r="J144" s="1421"/>
      <c r="K144" s="1421"/>
      <c r="L144" s="1421"/>
      <c r="M144" s="1421"/>
      <c r="N144" s="1421"/>
      <c r="O144" s="1421"/>
      <c r="P144" s="1421"/>
      <c r="Q144" s="1635"/>
      <c r="R144" s="1421"/>
      <c r="S144" s="1421"/>
      <c r="T144" s="1421"/>
      <c r="U144" s="1421"/>
      <c r="V144" s="1421"/>
      <c r="W144" s="1421"/>
      <c r="X144" s="1421"/>
      <c r="Y144" s="1421"/>
      <c r="Z144" s="1421"/>
      <c r="AA144" s="1421"/>
      <c r="AB144" s="1421"/>
    </row>
    <row r="145" spans="1:28">
      <c r="A145" s="1655" t="s">
        <v>2956</v>
      </c>
      <c r="B145" s="1664">
        <f>+B143-B144</f>
        <v>0</v>
      </c>
      <c r="C145" s="1421"/>
      <c r="D145" s="1421"/>
      <c r="E145" s="1421"/>
      <c r="F145" s="1421"/>
      <c r="G145" s="1421"/>
      <c r="H145" s="1421"/>
      <c r="I145" s="1421"/>
      <c r="J145" s="1421"/>
      <c r="K145" s="1421"/>
      <c r="L145" s="1421"/>
      <c r="M145" s="1421"/>
      <c r="N145" s="1421"/>
      <c r="O145" s="1421"/>
      <c r="P145" s="1421"/>
      <c r="Q145" s="1635"/>
      <c r="R145" s="1421"/>
      <c r="S145" s="1421"/>
      <c r="T145" s="1421"/>
      <c r="U145" s="1421"/>
      <c r="V145" s="1421"/>
      <c r="W145" s="1421"/>
      <c r="X145" s="1421"/>
      <c r="Y145" s="1421"/>
      <c r="Z145" s="1421"/>
      <c r="AA145" s="1421"/>
      <c r="AB145" s="1421"/>
    </row>
    <row r="146" spans="1:28">
      <c r="A146" s="1421"/>
      <c r="B146" s="1421"/>
      <c r="C146" s="1421"/>
      <c r="D146" s="1421"/>
      <c r="E146" s="1421"/>
      <c r="F146" s="1421"/>
      <c r="G146" s="1421"/>
      <c r="H146" s="1421"/>
      <c r="I146" s="1421"/>
      <c r="J146" s="1421"/>
      <c r="K146" s="1421"/>
      <c r="L146" s="1421"/>
      <c r="M146" s="1421"/>
      <c r="N146" s="1421"/>
      <c r="O146" s="1421"/>
      <c r="P146" s="1421"/>
      <c r="Q146" s="1635"/>
      <c r="R146" s="1421"/>
      <c r="S146" s="1421"/>
      <c r="T146" s="1421"/>
      <c r="U146" s="1421"/>
      <c r="V146" s="1421"/>
      <c r="W146" s="1421"/>
      <c r="X146" s="1421"/>
      <c r="Y146" s="1421"/>
      <c r="Z146" s="1421"/>
      <c r="AA146" s="1421"/>
      <c r="AB146" s="1421"/>
    </row>
    <row r="147" spans="1:28">
      <c r="A147" s="1421"/>
      <c r="B147" s="1421"/>
      <c r="C147" s="1421"/>
      <c r="D147" s="1421"/>
      <c r="E147" s="1421"/>
      <c r="F147" s="1421"/>
      <c r="G147" s="1421"/>
      <c r="H147" s="1421"/>
      <c r="I147" s="1421"/>
      <c r="J147" s="1421"/>
      <c r="K147" s="1421"/>
      <c r="L147" s="1421"/>
      <c r="M147" s="1421"/>
      <c r="N147" s="1421"/>
      <c r="O147" s="1421"/>
      <c r="P147" s="1421"/>
      <c r="Q147" s="1635"/>
      <c r="R147" s="1421"/>
      <c r="S147" s="1421"/>
      <c r="T147" s="1421"/>
      <c r="U147" s="1421"/>
      <c r="V147" s="1421"/>
      <c r="W147" s="1421"/>
      <c r="X147" s="1421"/>
      <c r="Y147" s="1421"/>
      <c r="Z147" s="1421"/>
      <c r="AA147" s="1421"/>
      <c r="AB147" s="1421"/>
    </row>
    <row r="148" spans="1:28">
      <c r="A148" s="1421"/>
      <c r="B148" s="1421"/>
      <c r="C148" s="1421"/>
      <c r="D148" s="1421"/>
      <c r="E148" s="1421"/>
      <c r="F148" s="1421"/>
      <c r="G148" s="1421"/>
      <c r="H148" s="1421"/>
      <c r="I148" s="1421"/>
      <c r="J148" s="1421"/>
      <c r="K148" s="1421"/>
      <c r="L148" s="1421"/>
      <c r="M148" s="1421"/>
      <c r="N148" s="1421"/>
      <c r="O148" s="1421"/>
      <c r="P148" s="1421"/>
      <c r="Q148" s="1635"/>
      <c r="R148" s="1421"/>
      <c r="S148" s="1421"/>
      <c r="T148" s="1421"/>
      <c r="U148" s="1421"/>
      <c r="V148" s="1421"/>
      <c r="W148" s="1421"/>
      <c r="X148" s="1421"/>
      <c r="Y148" s="1421"/>
      <c r="Z148" s="1421"/>
      <c r="AA148" s="1421"/>
      <c r="AB148" s="1421"/>
    </row>
    <row r="149" spans="1:28">
      <c r="A149" s="1421"/>
      <c r="B149" s="1421"/>
      <c r="C149" s="1421"/>
      <c r="D149" s="1421"/>
      <c r="E149" s="1421"/>
      <c r="F149" s="1421"/>
      <c r="G149" s="1421"/>
      <c r="H149" s="1421"/>
      <c r="I149" s="1421"/>
      <c r="J149" s="1421"/>
      <c r="K149" s="1421"/>
      <c r="L149" s="1421"/>
      <c r="M149" s="1421"/>
      <c r="N149" s="1421"/>
      <c r="O149" s="1421"/>
      <c r="P149" s="1421"/>
      <c r="Q149" s="1635"/>
      <c r="R149" s="1421"/>
      <c r="S149" s="1421"/>
      <c r="T149" s="1421"/>
      <c r="U149" s="1421"/>
      <c r="V149" s="1421"/>
      <c r="W149" s="1421"/>
      <c r="X149" s="1421"/>
      <c r="Y149" s="1421"/>
      <c r="Z149" s="1421"/>
      <c r="AA149" s="1421"/>
      <c r="AB149" s="1421"/>
    </row>
    <row r="150" spans="1:28">
      <c r="A150" s="1421"/>
      <c r="B150" s="1421"/>
      <c r="C150" s="1421"/>
      <c r="D150" s="1421"/>
      <c r="E150" s="1421"/>
      <c r="F150" s="1421"/>
      <c r="G150" s="1421"/>
      <c r="H150" s="1421"/>
      <c r="I150" s="1421"/>
      <c r="J150" s="1421"/>
      <c r="K150" s="1421"/>
      <c r="L150" s="1421"/>
      <c r="M150" s="1421"/>
      <c r="N150" s="1421"/>
      <c r="O150" s="1421"/>
      <c r="P150" s="1421"/>
      <c r="Q150" s="1635"/>
      <c r="R150" s="1421"/>
      <c r="S150" s="1421"/>
      <c r="T150" s="1421"/>
      <c r="U150" s="1421"/>
      <c r="V150" s="1421"/>
      <c r="W150" s="1421"/>
      <c r="X150" s="1421"/>
      <c r="Y150" s="1421"/>
      <c r="Z150" s="1421"/>
      <c r="AA150" s="1421"/>
      <c r="AB150" s="1421"/>
    </row>
  </sheetData>
  <mergeCells count="2">
    <mergeCell ref="R5:AB5"/>
    <mergeCell ref="A111:F111"/>
  </mergeCells>
  <pageMargins left="0.7" right="0.7" top="0.75" bottom="0.75" header="0.3" footer="0.3"/>
  <pageSetup scale="37" fitToWidth="2" fitToHeight="2" orientation="portrait" r:id="rId1"/>
  <headerFooter>
    <oddHeader>&amp;CDESIGNATED INFORMATION IS CONFIDENTIAL PER WAC 480-07-160</oddHeader>
  </headerFooter>
  <rowBreaks count="1" manualBreakCount="1">
    <brk id="82" max="27" man="1"/>
  </rowBreaks>
  <colBreaks count="1" manualBreakCount="1">
    <brk id="15" max="81"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J102"/>
  <sheetViews>
    <sheetView showGridLines="0" tabSelected="1" view="pageBreakPreview" topLeftCell="A25" zoomScaleNormal="100" zoomScaleSheetLayoutView="100" workbookViewId="0">
      <selection activeCell="AR41" sqref="AR41"/>
    </sheetView>
  </sheetViews>
  <sheetFormatPr defaultRowHeight="12.75"/>
  <cols>
    <col min="1" max="1" width="29.28515625" style="550" customWidth="1"/>
    <col min="2" max="2" width="17" style="550" customWidth="1"/>
    <col min="3" max="3" width="14.7109375" style="550" customWidth="1"/>
    <col min="4" max="4" width="11.7109375" style="550" customWidth="1"/>
    <col min="5" max="5" width="13.28515625" style="550" customWidth="1"/>
    <col min="6" max="6" width="18.140625" style="550" bestFit="1" customWidth="1"/>
    <col min="7" max="7" width="10" style="550" bestFit="1" customWidth="1"/>
    <col min="8" max="8" width="1.5703125" style="551" customWidth="1"/>
    <col min="9" max="256" width="9.140625" style="550"/>
    <col min="257" max="257" width="19.140625" style="550" customWidth="1"/>
    <col min="258" max="258" width="13" style="550" customWidth="1"/>
    <col min="259" max="259" width="9.140625" style="550"/>
    <col min="260" max="260" width="11.7109375" style="550" customWidth="1"/>
    <col min="261" max="512" width="9.140625" style="550"/>
    <col min="513" max="513" width="19.140625" style="550" customWidth="1"/>
    <col min="514" max="514" width="13" style="550" customWidth="1"/>
    <col min="515" max="515" width="9.140625" style="550"/>
    <col min="516" max="516" width="11.7109375" style="550" customWidth="1"/>
    <col min="517" max="768" width="9.140625" style="550"/>
    <col min="769" max="769" width="19.140625" style="550" customWidth="1"/>
    <col min="770" max="770" width="13" style="550" customWidth="1"/>
    <col min="771" max="771" width="9.140625" style="550"/>
    <col min="772" max="772" width="11.7109375" style="550" customWidth="1"/>
    <col min="773" max="1024" width="9.140625" style="550"/>
    <col min="1025" max="1025" width="19.140625" style="550" customWidth="1"/>
    <col min="1026" max="1026" width="13" style="550" customWidth="1"/>
    <col min="1027" max="1027" width="9.140625" style="550"/>
    <col min="1028" max="1028" width="11.7109375" style="550" customWidth="1"/>
    <col min="1029" max="1280" width="9.140625" style="550"/>
    <col min="1281" max="1281" width="19.140625" style="550" customWidth="1"/>
    <col min="1282" max="1282" width="13" style="550" customWidth="1"/>
    <col min="1283" max="1283" width="9.140625" style="550"/>
    <col min="1284" max="1284" width="11.7109375" style="550" customWidth="1"/>
    <col min="1285" max="1536" width="9.140625" style="550"/>
    <col min="1537" max="1537" width="19.140625" style="550" customWidth="1"/>
    <col min="1538" max="1538" width="13" style="550" customWidth="1"/>
    <col min="1539" max="1539" width="9.140625" style="550"/>
    <col min="1540" max="1540" width="11.7109375" style="550" customWidth="1"/>
    <col min="1541" max="1792" width="9.140625" style="550"/>
    <col min="1793" max="1793" width="19.140625" style="550" customWidth="1"/>
    <col min="1794" max="1794" width="13" style="550" customWidth="1"/>
    <col min="1795" max="1795" width="9.140625" style="550"/>
    <col min="1796" max="1796" width="11.7109375" style="550" customWidth="1"/>
    <col min="1797" max="2048" width="9.140625" style="550"/>
    <col min="2049" max="2049" width="19.140625" style="550" customWidth="1"/>
    <col min="2050" max="2050" width="13" style="550" customWidth="1"/>
    <col min="2051" max="2051" width="9.140625" style="550"/>
    <col min="2052" max="2052" width="11.7109375" style="550" customWidth="1"/>
    <col min="2053" max="2304" width="9.140625" style="550"/>
    <col min="2305" max="2305" width="19.140625" style="550" customWidth="1"/>
    <col min="2306" max="2306" width="13" style="550" customWidth="1"/>
    <col min="2307" max="2307" width="9.140625" style="550"/>
    <col min="2308" max="2308" width="11.7109375" style="550" customWidth="1"/>
    <col min="2309" max="2560" width="9.140625" style="550"/>
    <col min="2561" max="2561" width="19.140625" style="550" customWidth="1"/>
    <col min="2562" max="2562" width="13" style="550" customWidth="1"/>
    <col min="2563" max="2563" width="9.140625" style="550"/>
    <col min="2564" max="2564" width="11.7109375" style="550" customWidth="1"/>
    <col min="2565" max="2816" width="9.140625" style="550"/>
    <col min="2817" max="2817" width="19.140625" style="550" customWidth="1"/>
    <col min="2818" max="2818" width="13" style="550" customWidth="1"/>
    <col min="2819" max="2819" width="9.140625" style="550"/>
    <col min="2820" max="2820" width="11.7109375" style="550" customWidth="1"/>
    <col min="2821" max="3072" width="9.140625" style="550"/>
    <col min="3073" max="3073" width="19.140625" style="550" customWidth="1"/>
    <col min="3074" max="3074" width="13" style="550" customWidth="1"/>
    <col min="3075" max="3075" width="9.140625" style="550"/>
    <col min="3076" max="3076" width="11.7109375" style="550" customWidth="1"/>
    <col min="3077" max="3328" width="9.140625" style="550"/>
    <col min="3329" max="3329" width="19.140625" style="550" customWidth="1"/>
    <col min="3330" max="3330" width="13" style="550" customWidth="1"/>
    <col min="3331" max="3331" width="9.140625" style="550"/>
    <col min="3332" max="3332" width="11.7109375" style="550" customWidth="1"/>
    <col min="3333" max="3584" width="9.140625" style="550"/>
    <col min="3585" max="3585" width="19.140625" style="550" customWidth="1"/>
    <col min="3586" max="3586" width="13" style="550" customWidth="1"/>
    <col min="3587" max="3587" width="9.140625" style="550"/>
    <col min="3588" max="3588" width="11.7109375" style="550" customWidth="1"/>
    <col min="3589" max="3840" width="9.140625" style="550"/>
    <col min="3841" max="3841" width="19.140625" style="550" customWidth="1"/>
    <col min="3842" max="3842" width="13" style="550" customWidth="1"/>
    <col min="3843" max="3843" width="9.140625" style="550"/>
    <col min="3844" max="3844" width="11.7109375" style="550" customWidth="1"/>
    <col min="3845" max="4096" width="9.140625" style="550"/>
    <col min="4097" max="4097" width="19.140625" style="550" customWidth="1"/>
    <col min="4098" max="4098" width="13" style="550" customWidth="1"/>
    <col min="4099" max="4099" width="9.140625" style="550"/>
    <col min="4100" max="4100" width="11.7109375" style="550" customWidth="1"/>
    <col min="4101" max="4352" width="9.140625" style="550"/>
    <col min="4353" max="4353" width="19.140625" style="550" customWidth="1"/>
    <col min="4354" max="4354" width="13" style="550" customWidth="1"/>
    <col min="4355" max="4355" width="9.140625" style="550"/>
    <col min="4356" max="4356" width="11.7109375" style="550" customWidth="1"/>
    <col min="4357" max="4608" width="9.140625" style="550"/>
    <col min="4609" max="4609" width="19.140625" style="550" customWidth="1"/>
    <col min="4610" max="4610" width="13" style="550" customWidth="1"/>
    <col min="4611" max="4611" width="9.140625" style="550"/>
    <col min="4612" max="4612" width="11.7109375" style="550" customWidth="1"/>
    <col min="4613" max="4864" width="9.140625" style="550"/>
    <col min="4865" max="4865" width="19.140625" style="550" customWidth="1"/>
    <col min="4866" max="4866" width="13" style="550" customWidth="1"/>
    <col min="4867" max="4867" width="9.140625" style="550"/>
    <col min="4868" max="4868" width="11.7109375" style="550" customWidth="1"/>
    <col min="4869" max="5120" width="9.140625" style="550"/>
    <col min="5121" max="5121" width="19.140625" style="550" customWidth="1"/>
    <col min="5122" max="5122" width="13" style="550" customWidth="1"/>
    <col min="5123" max="5123" width="9.140625" style="550"/>
    <col min="5124" max="5124" width="11.7109375" style="550" customWidth="1"/>
    <col min="5125" max="5376" width="9.140625" style="550"/>
    <col min="5377" max="5377" width="19.140625" style="550" customWidth="1"/>
    <col min="5378" max="5378" width="13" style="550" customWidth="1"/>
    <col min="5379" max="5379" width="9.140625" style="550"/>
    <col min="5380" max="5380" width="11.7109375" style="550" customWidth="1"/>
    <col min="5381" max="5632" width="9.140625" style="550"/>
    <col min="5633" max="5633" width="19.140625" style="550" customWidth="1"/>
    <col min="5634" max="5634" width="13" style="550" customWidth="1"/>
    <col min="5635" max="5635" width="9.140625" style="550"/>
    <col min="5636" max="5636" width="11.7109375" style="550" customWidth="1"/>
    <col min="5637" max="5888" width="9.140625" style="550"/>
    <col min="5889" max="5889" width="19.140625" style="550" customWidth="1"/>
    <col min="5890" max="5890" width="13" style="550" customWidth="1"/>
    <col min="5891" max="5891" width="9.140625" style="550"/>
    <col min="5892" max="5892" width="11.7109375" style="550" customWidth="1"/>
    <col min="5893" max="6144" width="9.140625" style="550"/>
    <col min="6145" max="6145" width="19.140625" style="550" customWidth="1"/>
    <col min="6146" max="6146" width="13" style="550" customWidth="1"/>
    <col min="6147" max="6147" width="9.140625" style="550"/>
    <col min="6148" max="6148" width="11.7109375" style="550" customWidth="1"/>
    <col min="6149" max="6400" width="9.140625" style="550"/>
    <col min="6401" max="6401" width="19.140625" style="550" customWidth="1"/>
    <col min="6402" max="6402" width="13" style="550" customWidth="1"/>
    <col min="6403" max="6403" width="9.140625" style="550"/>
    <col min="6404" max="6404" width="11.7109375" style="550" customWidth="1"/>
    <col min="6405" max="6656" width="9.140625" style="550"/>
    <col min="6657" max="6657" width="19.140625" style="550" customWidth="1"/>
    <col min="6658" max="6658" width="13" style="550" customWidth="1"/>
    <col min="6659" max="6659" width="9.140625" style="550"/>
    <col min="6660" max="6660" width="11.7109375" style="550" customWidth="1"/>
    <col min="6661" max="6912" width="9.140625" style="550"/>
    <col min="6913" max="6913" width="19.140625" style="550" customWidth="1"/>
    <col min="6914" max="6914" width="13" style="550" customWidth="1"/>
    <col min="6915" max="6915" width="9.140625" style="550"/>
    <col min="6916" max="6916" width="11.7109375" style="550" customWidth="1"/>
    <col min="6917" max="7168" width="9.140625" style="550"/>
    <col min="7169" max="7169" width="19.140625" style="550" customWidth="1"/>
    <col min="7170" max="7170" width="13" style="550" customWidth="1"/>
    <col min="7171" max="7171" width="9.140625" style="550"/>
    <col min="7172" max="7172" width="11.7109375" style="550" customWidth="1"/>
    <col min="7173" max="7424" width="9.140625" style="550"/>
    <col min="7425" max="7425" width="19.140625" style="550" customWidth="1"/>
    <col min="7426" max="7426" width="13" style="550" customWidth="1"/>
    <col min="7427" max="7427" width="9.140625" style="550"/>
    <col min="7428" max="7428" width="11.7109375" style="550" customWidth="1"/>
    <col min="7429" max="7680" width="9.140625" style="550"/>
    <col min="7681" max="7681" width="19.140625" style="550" customWidth="1"/>
    <col min="7682" max="7682" width="13" style="550" customWidth="1"/>
    <col min="7683" max="7683" width="9.140625" style="550"/>
    <col min="7684" max="7684" width="11.7109375" style="550" customWidth="1"/>
    <col min="7685" max="7936" width="9.140625" style="550"/>
    <col min="7937" max="7937" width="19.140625" style="550" customWidth="1"/>
    <col min="7938" max="7938" width="13" style="550" customWidth="1"/>
    <col min="7939" max="7939" width="9.140625" style="550"/>
    <col min="7940" max="7940" width="11.7109375" style="550" customWidth="1"/>
    <col min="7941" max="8192" width="9.140625" style="550"/>
    <col min="8193" max="8193" width="19.140625" style="550" customWidth="1"/>
    <col min="8194" max="8194" width="13" style="550" customWidth="1"/>
    <col min="8195" max="8195" width="9.140625" style="550"/>
    <col min="8196" max="8196" width="11.7109375" style="550" customWidth="1"/>
    <col min="8197" max="8448" width="9.140625" style="550"/>
    <col min="8449" max="8449" width="19.140625" style="550" customWidth="1"/>
    <col min="8450" max="8450" width="13" style="550" customWidth="1"/>
    <col min="8451" max="8451" width="9.140625" style="550"/>
    <col min="8452" max="8452" width="11.7109375" style="550" customWidth="1"/>
    <col min="8453" max="8704" width="9.140625" style="550"/>
    <col min="8705" max="8705" width="19.140625" style="550" customWidth="1"/>
    <col min="8706" max="8706" width="13" style="550" customWidth="1"/>
    <col min="8707" max="8707" width="9.140625" style="550"/>
    <col min="8708" max="8708" width="11.7109375" style="550" customWidth="1"/>
    <col min="8709" max="8960" width="9.140625" style="550"/>
    <col min="8961" max="8961" width="19.140625" style="550" customWidth="1"/>
    <col min="8962" max="8962" width="13" style="550" customWidth="1"/>
    <col min="8963" max="8963" width="9.140625" style="550"/>
    <col min="8964" max="8964" width="11.7109375" style="550" customWidth="1"/>
    <col min="8965" max="9216" width="9.140625" style="550"/>
    <col min="9217" max="9217" width="19.140625" style="550" customWidth="1"/>
    <col min="9218" max="9218" width="13" style="550" customWidth="1"/>
    <col min="9219" max="9219" width="9.140625" style="550"/>
    <col min="9220" max="9220" width="11.7109375" style="550" customWidth="1"/>
    <col min="9221" max="9472" width="9.140625" style="550"/>
    <col min="9473" max="9473" width="19.140625" style="550" customWidth="1"/>
    <col min="9474" max="9474" width="13" style="550" customWidth="1"/>
    <col min="9475" max="9475" width="9.140625" style="550"/>
    <col min="9476" max="9476" width="11.7109375" style="550" customWidth="1"/>
    <col min="9477" max="9728" width="9.140625" style="550"/>
    <col min="9729" max="9729" width="19.140625" style="550" customWidth="1"/>
    <col min="9730" max="9730" width="13" style="550" customWidth="1"/>
    <col min="9731" max="9731" width="9.140625" style="550"/>
    <col min="9732" max="9732" width="11.7109375" style="550" customWidth="1"/>
    <col min="9733" max="9984" width="9.140625" style="550"/>
    <col min="9985" max="9985" width="19.140625" style="550" customWidth="1"/>
    <col min="9986" max="9986" width="13" style="550" customWidth="1"/>
    <col min="9987" max="9987" width="9.140625" style="550"/>
    <col min="9988" max="9988" width="11.7109375" style="550" customWidth="1"/>
    <col min="9989" max="10240" width="9.140625" style="550"/>
    <col min="10241" max="10241" width="19.140625" style="550" customWidth="1"/>
    <col min="10242" max="10242" width="13" style="550" customWidth="1"/>
    <col min="10243" max="10243" width="9.140625" style="550"/>
    <col min="10244" max="10244" width="11.7109375" style="550" customWidth="1"/>
    <col min="10245" max="10496" width="9.140625" style="550"/>
    <col min="10497" max="10497" width="19.140625" style="550" customWidth="1"/>
    <col min="10498" max="10498" width="13" style="550" customWidth="1"/>
    <col min="10499" max="10499" width="9.140625" style="550"/>
    <col min="10500" max="10500" width="11.7109375" style="550" customWidth="1"/>
    <col min="10501" max="10752" width="9.140625" style="550"/>
    <col min="10753" max="10753" width="19.140625" style="550" customWidth="1"/>
    <col min="10754" max="10754" width="13" style="550" customWidth="1"/>
    <col min="10755" max="10755" width="9.140625" style="550"/>
    <col min="10756" max="10756" width="11.7109375" style="550" customWidth="1"/>
    <col min="10757" max="11008" width="9.140625" style="550"/>
    <col min="11009" max="11009" width="19.140625" style="550" customWidth="1"/>
    <col min="11010" max="11010" width="13" style="550" customWidth="1"/>
    <col min="11011" max="11011" width="9.140625" style="550"/>
    <col min="11012" max="11012" width="11.7109375" style="550" customWidth="1"/>
    <col min="11013" max="11264" width="9.140625" style="550"/>
    <col min="11265" max="11265" width="19.140625" style="550" customWidth="1"/>
    <col min="11266" max="11266" width="13" style="550" customWidth="1"/>
    <col min="11267" max="11267" width="9.140625" style="550"/>
    <col min="11268" max="11268" width="11.7109375" style="550" customWidth="1"/>
    <col min="11269" max="11520" width="9.140625" style="550"/>
    <col min="11521" max="11521" width="19.140625" style="550" customWidth="1"/>
    <col min="11522" max="11522" width="13" style="550" customWidth="1"/>
    <col min="11523" max="11523" width="9.140625" style="550"/>
    <col min="11524" max="11524" width="11.7109375" style="550" customWidth="1"/>
    <col min="11525" max="11776" width="9.140625" style="550"/>
    <col min="11777" max="11777" width="19.140625" style="550" customWidth="1"/>
    <col min="11778" max="11778" width="13" style="550" customWidth="1"/>
    <col min="11779" max="11779" width="9.140625" style="550"/>
    <col min="11780" max="11780" width="11.7109375" style="550" customWidth="1"/>
    <col min="11781" max="12032" width="9.140625" style="550"/>
    <col min="12033" max="12033" width="19.140625" style="550" customWidth="1"/>
    <col min="12034" max="12034" width="13" style="550" customWidth="1"/>
    <col min="12035" max="12035" width="9.140625" style="550"/>
    <col min="12036" max="12036" width="11.7109375" style="550" customWidth="1"/>
    <col min="12037" max="12288" width="9.140625" style="550"/>
    <col min="12289" max="12289" width="19.140625" style="550" customWidth="1"/>
    <col min="12290" max="12290" width="13" style="550" customWidth="1"/>
    <col min="12291" max="12291" width="9.140625" style="550"/>
    <col min="12292" max="12292" width="11.7109375" style="550" customWidth="1"/>
    <col min="12293" max="12544" width="9.140625" style="550"/>
    <col min="12545" max="12545" width="19.140625" style="550" customWidth="1"/>
    <col min="12546" max="12546" width="13" style="550" customWidth="1"/>
    <col min="12547" max="12547" width="9.140625" style="550"/>
    <col min="12548" max="12548" width="11.7109375" style="550" customWidth="1"/>
    <col min="12549" max="12800" width="9.140625" style="550"/>
    <col min="12801" max="12801" width="19.140625" style="550" customWidth="1"/>
    <col min="12802" max="12802" width="13" style="550" customWidth="1"/>
    <col min="12803" max="12803" width="9.140625" style="550"/>
    <col min="12804" max="12804" width="11.7109375" style="550" customWidth="1"/>
    <col min="12805" max="13056" width="9.140625" style="550"/>
    <col min="13057" max="13057" width="19.140625" style="550" customWidth="1"/>
    <col min="13058" max="13058" width="13" style="550" customWidth="1"/>
    <col min="13059" max="13059" width="9.140625" style="550"/>
    <col min="13060" max="13060" width="11.7109375" style="550" customWidth="1"/>
    <col min="13061" max="13312" width="9.140625" style="550"/>
    <col min="13313" max="13313" width="19.140625" style="550" customWidth="1"/>
    <col min="13314" max="13314" width="13" style="550" customWidth="1"/>
    <col min="13315" max="13315" width="9.140625" style="550"/>
    <col min="13316" max="13316" width="11.7109375" style="550" customWidth="1"/>
    <col min="13317" max="13568" width="9.140625" style="550"/>
    <col min="13569" max="13569" width="19.140625" style="550" customWidth="1"/>
    <col min="13570" max="13570" width="13" style="550" customWidth="1"/>
    <col min="13571" max="13571" width="9.140625" style="550"/>
    <col min="13572" max="13572" width="11.7109375" style="550" customWidth="1"/>
    <col min="13573" max="13824" width="9.140625" style="550"/>
    <col min="13825" max="13825" width="19.140625" style="550" customWidth="1"/>
    <col min="13826" max="13826" width="13" style="550" customWidth="1"/>
    <col min="13827" max="13827" width="9.140625" style="550"/>
    <col min="13828" max="13828" width="11.7109375" style="550" customWidth="1"/>
    <col min="13829" max="14080" width="9.140625" style="550"/>
    <col min="14081" max="14081" width="19.140625" style="550" customWidth="1"/>
    <col min="14082" max="14082" width="13" style="550" customWidth="1"/>
    <col min="14083" max="14083" width="9.140625" style="550"/>
    <col min="14084" max="14084" width="11.7109375" style="550" customWidth="1"/>
    <col min="14085" max="14336" width="9.140625" style="550"/>
    <col min="14337" max="14337" width="19.140625" style="550" customWidth="1"/>
    <col min="14338" max="14338" width="13" style="550" customWidth="1"/>
    <col min="14339" max="14339" width="9.140625" style="550"/>
    <col min="14340" max="14340" width="11.7109375" style="550" customWidth="1"/>
    <col min="14341" max="14592" width="9.140625" style="550"/>
    <col min="14593" max="14593" width="19.140625" style="550" customWidth="1"/>
    <col min="14594" max="14594" width="13" style="550" customWidth="1"/>
    <col min="14595" max="14595" width="9.140625" style="550"/>
    <col min="14596" max="14596" width="11.7109375" style="550" customWidth="1"/>
    <col min="14597" max="14848" width="9.140625" style="550"/>
    <col min="14849" max="14849" width="19.140625" style="550" customWidth="1"/>
    <col min="14850" max="14850" width="13" style="550" customWidth="1"/>
    <col min="14851" max="14851" width="9.140625" style="550"/>
    <col min="14852" max="14852" width="11.7109375" style="550" customWidth="1"/>
    <col min="14853" max="15104" width="9.140625" style="550"/>
    <col min="15105" max="15105" width="19.140625" style="550" customWidth="1"/>
    <col min="15106" max="15106" width="13" style="550" customWidth="1"/>
    <col min="15107" max="15107" width="9.140625" style="550"/>
    <col min="15108" max="15108" width="11.7109375" style="550" customWidth="1"/>
    <col min="15109" max="15360" width="9.140625" style="550"/>
    <col min="15361" max="15361" width="19.140625" style="550" customWidth="1"/>
    <col min="15362" max="15362" width="13" style="550" customWidth="1"/>
    <col min="15363" max="15363" width="9.140625" style="550"/>
    <col min="15364" max="15364" width="11.7109375" style="550" customWidth="1"/>
    <col min="15365" max="15616" width="9.140625" style="550"/>
    <col min="15617" max="15617" width="19.140625" style="550" customWidth="1"/>
    <col min="15618" max="15618" width="13" style="550" customWidth="1"/>
    <col min="15619" max="15619" width="9.140625" style="550"/>
    <col min="15620" max="15620" width="11.7109375" style="550" customWidth="1"/>
    <col min="15621" max="15872" width="9.140625" style="550"/>
    <col min="15873" max="15873" width="19.140625" style="550" customWidth="1"/>
    <col min="15874" max="15874" width="13" style="550" customWidth="1"/>
    <col min="15875" max="15875" width="9.140625" style="550"/>
    <col min="15876" max="15876" width="11.7109375" style="550" customWidth="1"/>
    <col min="15877" max="16128" width="9.140625" style="550"/>
    <col min="16129" max="16129" width="19.140625" style="550" customWidth="1"/>
    <col min="16130" max="16130" width="13" style="550" customWidth="1"/>
    <col min="16131" max="16131" width="9.140625" style="550"/>
    <col min="16132" max="16132" width="11.7109375" style="550" customWidth="1"/>
    <col min="16133" max="16384" width="9.140625" style="550"/>
  </cols>
  <sheetData>
    <row r="1" spans="1:7">
      <c r="A1" s="552" t="str">
        <f>'Consolidated IS '!A2</f>
        <v>LeMay Enterprises - Pacific/Rural Disposal</v>
      </c>
    </row>
    <row r="2" spans="1:7">
      <c r="A2" s="552" t="s">
        <v>2961</v>
      </c>
    </row>
    <row r="3" spans="1:7">
      <c r="A3" s="552"/>
    </row>
    <row r="4" spans="1:7" s="551" customFormat="1"/>
    <row r="5" spans="1:7">
      <c r="A5" s="553" t="s">
        <v>869</v>
      </c>
      <c r="B5" s="554"/>
      <c r="C5" s="554"/>
      <c r="D5" s="554"/>
      <c r="E5" s="554"/>
      <c r="F5" s="554"/>
      <c r="G5" s="554"/>
    </row>
    <row r="6" spans="1:7">
      <c r="A6" s="555" t="s">
        <v>870</v>
      </c>
      <c r="B6" s="556"/>
      <c r="C6" s="556"/>
      <c r="D6" s="556"/>
      <c r="E6" s="556"/>
      <c r="F6" s="556"/>
      <c r="G6" s="556"/>
    </row>
    <row r="7" spans="1:7">
      <c r="A7" s="557" t="s">
        <v>871</v>
      </c>
      <c r="B7" s="558"/>
      <c r="C7" s="558"/>
      <c r="D7" s="559"/>
      <c r="E7" s="559"/>
      <c r="F7" s="559"/>
      <c r="G7" s="559"/>
    </row>
    <row r="8" spans="1:7">
      <c r="A8" s="1057" t="s">
        <v>872</v>
      </c>
      <c r="B8" s="560">
        <f>+'2018 Pacific Payroll'!S131</f>
        <v>156549.12147114417</v>
      </c>
      <c r="C8" s="561"/>
    </row>
    <row r="9" spans="1:7">
      <c r="A9" s="1057" t="s">
        <v>873</v>
      </c>
      <c r="B9" s="560">
        <f>+'2018 Pacific Payroll'!S150</f>
        <v>18988.395020793731</v>
      </c>
      <c r="C9" s="561"/>
    </row>
    <row r="10" spans="1:7">
      <c r="A10" s="1057" t="s">
        <v>874</v>
      </c>
      <c r="B10" s="560">
        <f>+'2018 Pacific Payroll'!S161</f>
        <v>725.48662181249892</v>
      </c>
      <c r="C10" s="561"/>
    </row>
    <row r="11" spans="1:7">
      <c r="A11" s="1057" t="s">
        <v>875</v>
      </c>
      <c r="B11" s="560">
        <f>+'2018 Pacific Payroll'!S214</f>
        <v>7431.469869230722</v>
      </c>
      <c r="C11" s="561"/>
    </row>
    <row r="12" spans="1:7">
      <c r="A12" s="1057" t="s">
        <v>332</v>
      </c>
      <c r="B12" s="560">
        <f>+'2018 Pacific Payroll'!S203</f>
        <v>24250.65530987793</v>
      </c>
      <c r="C12" s="561"/>
    </row>
    <row r="13" spans="1:7">
      <c r="A13" s="1057" t="s">
        <v>78</v>
      </c>
      <c r="B13" s="560">
        <f>+'2018 Pacific Payroll'!S155</f>
        <v>1601.5172538461484</v>
      </c>
      <c r="C13" s="561"/>
    </row>
    <row r="14" spans="1:7">
      <c r="A14" s="1057"/>
      <c r="B14" s="560"/>
      <c r="C14" s="561"/>
    </row>
    <row r="15" spans="1:7">
      <c r="A15" s="1057" t="s">
        <v>13</v>
      </c>
      <c r="B15" s="1058">
        <f>SUM(B8:B14)</f>
        <v>209546.64554670523</v>
      </c>
      <c r="C15" s="563" t="s">
        <v>876</v>
      </c>
    </row>
    <row r="16" spans="1:7">
      <c r="A16" s="562"/>
      <c r="B16" s="564"/>
      <c r="C16" s="564"/>
    </row>
    <row r="17" spans="1:10">
      <c r="A17" s="557" t="s">
        <v>877</v>
      </c>
      <c r="B17" s="558"/>
      <c r="C17" s="558"/>
      <c r="D17" s="565"/>
      <c r="E17" s="565"/>
      <c r="F17" s="565"/>
      <c r="G17" s="565"/>
    </row>
    <row r="18" spans="1:10">
      <c r="A18" s="1057" t="s">
        <v>872</v>
      </c>
      <c r="B18" s="560">
        <f t="shared" ref="B18:B23" si="0">B8*0.0765</f>
        <v>11976.007792542528</v>
      </c>
      <c r="C18" s="560"/>
    </row>
    <row r="19" spans="1:10">
      <c r="A19" s="1057" t="s">
        <v>873</v>
      </c>
      <c r="B19" s="560">
        <f t="shared" si="0"/>
        <v>1452.6122190907204</v>
      </c>
      <c r="C19" s="560"/>
    </row>
    <row r="20" spans="1:10">
      <c r="A20" s="1057" t="s">
        <v>874</v>
      </c>
      <c r="B20" s="560">
        <f t="shared" si="0"/>
        <v>55.499726568656165</v>
      </c>
      <c r="C20" s="560"/>
    </row>
    <row r="21" spans="1:10">
      <c r="A21" s="1057" t="s">
        <v>875</v>
      </c>
      <c r="B21" s="560">
        <f t="shared" si="0"/>
        <v>568.50744499615018</v>
      </c>
      <c r="C21" s="560"/>
    </row>
    <row r="22" spans="1:10">
      <c r="A22" s="1057" t="s">
        <v>332</v>
      </c>
      <c r="B22" s="560">
        <f t="shared" si="0"/>
        <v>1855.1751312056615</v>
      </c>
      <c r="C22" s="560"/>
    </row>
    <row r="23" spans="1:10">
      <c r="A23" s="1057" t="s">
        <v>78</v>
      </c>
      <c r="B23" s="560">
        <f t="shared" si="0"/>
        <v>122.51606991923035</v>
      </c>
      <c r="C23" s="560"/>
    </row>
    <row r="24" spans="1:10">
      <c r="A24" s="1057"/>
      <c r="B24" s="560"/>
      <c r="C24" s="560"/>
    </row>
    <row r="25" spans="1:10">
      <c r="A25" s="1057" t="s">
        <v>13</v>
      </c>
      <c r="B25" s="1058">
        <f>SUM(B18:B24)</f>
        <v>16030.318384322949</v>
      </c>
      <c r="C25" s="563" t="s">
        <v>876</v>
      </c>
    </row>
    <row r="26" spans="1:10" ht="13.5" customHeight="1">
      <c r="A26" s="1057"/>
      <c r="B26" s="1059"/>
      <c r="C26" s="566"/>
    </row>
    <row r="27" spans="1:10">
      <c r="A27" s="1057"/>
      <c r="B27" s="1059"/>
      <c r="C27" s="566"/>
    </row>
    <row r="28" spans="1:10" ht="13.5" thickBot="1">
      <c r="A28" s="1060" t="s">
        <v>878</v>
      </c>
      <c r="B28" s="1061">
        <f>B15+B25</f>
        <v>225576.96393102818</v>
      </c>
      <c r="C28" s="563" t="s">
        <v>876</v>
      </c>
    </row>
    <row r="29" spans="1:10" ht="13.5" thickTop="1">
      <c r="A29" s="567"/>
    </row>
    <row r="30" spans="1:10" s="551" customFormat="1">
      <c r="A30" s="570"/>
      <c r="B30" s="571"/>
      <c r="C30" s="571"/>
      <c r="D30" s="571"/>
      <c r="E30" s="570"/>
      <c r="F30" s="570"/>
      <c r="G30" s="570"/>
      <c r="I30" s="550"/>
      <c r="J30" s="550"/>
    </row>
    <row r="31" spans="1:10" s="551" customFormat="1">
      <c r="A31" s="568" t="s">
        <v>880</v>
      </c>
      <c r="B31" s="554"/>
      <c r="C31" s="554"/>
      <c r="D31" s="554"/>
      <c r="E31" s="554"/>
      <c r="F31" s="554"/>
      <c r="G31" s="554"/>
      <c r="I31" s="550"/>
      <c r="J31" s="550"/>
    </row>
    <row r="32" spans="1:10" s="551" customFormat="1">
      <c r="A32" s="569" t="s">
        <v>879</v>
      </c>
      <c r="B32" s="556"/>
      <c r="C32" s="556"/>
      <c r="D32" s="556"/>
      <c r="E32" s="556"/>
      <c r="F32" s="556"/>
      <c r="G32" s="556"/>
      <c r="I32" s="550"/>
      <c r="J32" s="550"/>
    </row>
    <row r="33" spans="1:10" s="551" customFormat="1">
      <c r="A33" s="557"/>
      <c r="B33" s="558"/>
      <c r="C33" s="558"/>
      <c r="D33" s="565"/>
      <c r="E33" s="565"/>
      <c r="F33" s="565"/>
      <c r="G33" s="565"/>
      <c r="I33" s="550"/>
      <c r="J33" s="550"/>
    </row>
    <row r="34" spans="1:10" s="551" customFormat="1">
      <c r="A34" s="1053"/>
      <c r="B34" s="1054" t="s">
        <v>881</v>
      </c>
      <c r="C34" s="1053"/>
      <c r="D34" s="571"/>
      <c r="E34" s="570"/>
      <c r="F34" s="570"/>
      <c r="G34" s="570"/>
    </row>
    <row r="35" spans="1:10" s="551" customFormat="1">
      <c r="A35" s="1055" t="s">
        <v>882</v>
      </c>
      <c r="B35" s="560">
        <v>24761.99</v>
      </c>
      <c r="C35" s="1053"/>
      <c r="D35" s="571"/>
      <c r="E35" s="570"/>
      <c r="F35" s="570"/>
      <c r="G35" s="570"/>
    </row>
    <row r="36" spans="1:10" s="551" customFormat="1">
      <c r="A36" s="1055" t="s">
        <v>593</v>
      </c>
      <c r="B36" s="1056">
        <f>B35/3</f>
        <v>8253.9966666666678</v>
      </c>
      <c r="C36" s="572" t="s">
        <v>883</v>
      </c>
      <c r="D36" s="571"/>
      <c r="E36" s="570"/>
      <c r="F36" s="570"/>
      <c r="G36" s="570"/>
    </row>
    <row r="37" spans="1:10" s="551" customFormat="1">
      <c r="A37" s="570"/>
      <c r="B37" s="571"/>
      <c r="C37" s="563" t="s">
        <v>884</v>
      </c>
      <c r="D37" s="571"/>
      <c r="E37" s="570"/>
      <c r="F37" s="570"/>
      <c r="G37" s="570"/>
      <c r="I37" s="550"/>
      <c r="J37" s="550"/>
    </row>
    <row r="38" spans="1:10">
      <c r="A38" s="563"/>
      <c r="B38" s="563"/>
      <c r="C38" s="563"/>
    </row>
    <row r="39" spans="1:10">
      <c r="A39" s="568" t="s">
        <v>888</v>
      </c>
      <c r="B39" s="554"/>
      <c r="C39" s="554"/>
      <c r="D39" s="554"/>
      <c r="E39" s="554"/>
      <c r="F39" s="554"/>
      <c r="G39" s="554"/>
    </row>
    <row r="40" spans="1:10">
      <c r="A40" s="569" t="s">
        <v>885</v>
      </c>
      <c r="B40" s="556"/>
      <c r="C40" s="556"/>
      <c r="D40" s="556"/>
      <c r="E40" s="556"/>
      <c r="F40" s="556"/>
      <c r="G40" s="556"/>
    </row>
    <row r="41" spans="1:10">
      <c r="A41" s="557"/>
      <c r="B41" s="558"/>
      <c r="C41" s="558"/>
      <c r="D41" s="565"/>
      <c r="E41" s="565"/>
      <c r="F41" s="565"/>
      <c r="G41" s="565"/>
    </row>
    <row r="42" spans="1:10">
      <c r="A42" s="1263" t="s">
        <v>2538</v>
      </c>
      <c r="B42" s="1263"/>
      <c r="C42" s="1263"/>
      <c r="D42" s="1263"/>
      <c r="E42" s="1263"/>
      <c r="F42" s="1263"/>
      <c r="G42" s="1263"/>
    </row>
    <row r="43" spans="1:10">
      <c r="A43" s="1263"/>
      <c r="B43" s="1263"/>
      <c r="C43" s="1263"/>
      <c r="D43" s="1263"/>
      <c r="E43" s="1263"/>
      <c r="F43" s="1263"/>
      <c r="G43" s="1263"/>
    </row>
    <row r="44" spans="1:10">
      <c r="A44" s="1263"/>
      <c r="B44" s="1263"/>
      <c r="C44" s="1263"/>
      <c r="D44" s="1263"/>
      <c r="E44" s="1263"/>
      <c r="F44" s="1263"/>
      <c r="G44" s="1263"/>
    </row>
    <row r="45" spans="1:10" ht="25.5">
      <c r="A45" s="563"/>
      <c r="B45" s="563"/>
      <c r="C45" s="593" t="s">
        <v>889</v>
      </c>
      <c r="D45" s="595" t="s">
        <v>602</v>
      </c>
    </row>
    <row r="46" spans="1:10">
      <c r="A46" s="54">
        <v>50115</v>
      </c>
      <c r="B46" s="53" t="s">
        <v>118</v>
      </c>
      <c r="C46" s="594">
        <f>+'Consolidated IS '!C252</f>
        <v>25671.23</v>
      </c>
      <c r="D46" s="599">
        <f>+C46*$G$49</f>
        <v>11409.435555555558</v>
      </c>
      <c r="E46" s="599"/>
      <c r="F46" s="550" t="s">
        <v>890</v>
      </c>
      <c r="G46" s="596">
        <v>0.03</v>
      </c>
    </row>
    <row r="47" spans="1:10">
      <c r="A47" s="54">
        <v>50117</v>
      </c>
      <c r="B47" s="53" t="s">
        <v>119</v>
      </c>
      <c r="C47" s="603">
        <f>+'Consolidated IS '!C253</f>
        <v>266436.46000000002</v>
      </c>
      <c r="D47" s="983">
        <f>+'2018 Pacific Payroll'!U131</f>
        <v>4310.6270001500006</v>
      </c>
      <c r="F47" s="550" t="s">
        <v>891</v>
      </c>
      <c r="G47" s="597">
        <v>0.05</v>
      </c>
    </row>
    <row r="48" spans="1:10">
      <c r="A48" s="54">
        <v>52115</v>
      </c>
      <c r="B48" s="53" t="s">
        <v>118</v>
      </c>
      <c r="C48" s="603">
        <f>+'Consolidated IS '!C254</f>
        <v>18921.77</v>
      </c>
      <c r="D48" s="599">
        <f>+C48*$G$49</f>
        <v>8409.6755555555574</v>
      </c>
      <c r="G48" s="598">
        <f>+(G47-G46)/G46</f>
        <v>0.66666666666666685</v>
      </c>
    </row>
    <row r="49" spans="1:7">
      <c r="A49" s="54">
        <v>55115</v>
      </c>
      <c r="B49" s="53" t="s">
        <v>120</v>
      </c>
      <c r="C49" s="603">
        <f>+'Consolidated IS '!C255</f>
        <v>127.17</v>
      </c>
      <c r="D49" s="599">
        <f>+C49*$G$49</f>
        <v>56.52000000000001</v>
      </c>
      <c r="F49" s="550" t="s">
        <v>892</v>
      </c>
      <c r="G49" s="598">
        <f>+G48*(8/12)</f>
        <v>0.44444444444444453</v>
      </c>
    </row>
    <row r="50" spans="1:7">
      <c r="A50" s="54">
        <v>56115</v>
      </c>
      <c r="B50" s="53" t="s">
        <v>118</v>
      </c>
      <c r="C50" s="603">
        <f>+'Consolidated IS '!C256</f>
        <v>11754.96</v>
      </c>
      <c r="D50" s="599">
        <f>+C50*$G$49</f>
        <v>5224.4266666666672</v>
      </c>
    </row>
    <row r="51" spans="1:7">
      <c r="A51" s="54">
        <v>60116</v>
      </c>
      <c r="B51" s="53" t="s">
        <v>118</v>
      </c>
      <c r="C51" s="603">
        <f>+'Consolidated IS '!C257</f>
        <v>2214.0200000000004</v>
      </c>
      <c r="D51" s="599">
        <f>+C51*$G$49</f>
        <v>984.00888888888926</v>
      </c>
    </row>
    <row r="52" spans="1:7">
      <c r="A52" s="54">
        <v>70116</v>
      </c>
      <c r="B52" s="53" t="s">
        <v>118</v>
      </c>
      <c r="C52" s="602">
        <f>+'Consolidated IS '!C258</f>
        <v>25072.300000000003</v>
      </c>
      <c r="D52" s="600">
        <f>+C52*$G$49</f>
        <v>11143.244444444448</v>
      </c>
    </row>
    <row r="53" spans="1:7">
      <c r="A53" s="563"/>
      <c r="B53" s="563"/>
      <c r="C53" s="601">
        <f>+SUM(C46:C52)</f>
        <v>350197.91000000003</v>
      </c>
      <c r="D53" s="601">
        <f>+SUM(D46:D52)</f>
        <v>41537.938111261115</v>
      </c>
      <c r="E53" s="563" t="s">
        <v>886</v>
      </c>
    </row>
    <row r="54" spans="1:7">
      <c r="A54" s="563"/>
      <c r="B54" s="563"/>
      <c r="C54" s="601"/>
      <c r="D54" s="601"/>
      <c r="E54" s="563"/>
    </row>
    <row r="55" spans="1:7">
      <c r="A55" s="563"/>
      <c r="B55" s="563"/>
      <c r="C55" s="601"/>
      <c r="D55" s="601"/>
      <c r="E55" s="563"/>
    </row>
    <row r="56" spans="1:7">
      <c r="A56" s="563"/>
      <c r="B56" s="563"/>
      <c r="C56" s="601"/>
      <c r="D56" s="601"/>
    </row>
    <row r="57" spans="1:7">
      <c r="A57" s="568" t="s">
        <v>895</v>
      </c>
      <c r="B57" s="554"/>
      <c r="C57" s="554"/>
      <c r="D57" s="554"/>
      <c r="E57" s="554"/>
      <c r="F57" s="554"/>
      <c r="G57" s="554"/>
    </row>
    <row r="58" spans="1:7">
      <c r="A58" s="569" t="s">
        <v>893</v>
      </c>
      <c r="B58" s="556"/>
      <c r="C58" s="556"/>
      <c r="D58" s="556"/>
      <c r="E58" s="556"/>
      <c r="F58" s="556"/>
      <c r="G58" s="556"/>
    </row>
    <row r="59" spans="1:7">
      <c r="A59" s="557"/>
      <c r="B59" s="558"/>
      <c r="C59" s="558"/>
      <c r="D59" s="565"/>
      <c r="E59" s="565"/>
      <c r="F59" s="565"/>
      <c r="G59" s="565"/>
    </row>
    <row r="60" spans="1:7">
      <c r="A60" s="1263" t="s">
        <v>897</v>
      </c>
      <c r="B60" s="1263"/>
      <c r="C60" s="1263"/>
      <c r="D60" s="1263"/>
      <c r="E60" s="1263"/>
      <c r="F60" s="1263"/>
      <c r="G60" s="1263"/>
    </row>
    <row r="61" spans="1:7">
      <c r="A61" s="1263"/>
      <c r="B61" s="1263"/>
      <c r="C61" s="1263"/>
      <c r="D61" s="1263"/>
      <c r="E61" s="1263"/>
      <c r="F61" s="1263"/>
      <c r="G61" s="1263"/>
    </row>
    <row r="62" spans="1:7">
      <c r="A62" s="563"/>
      <c r="B62" s="563"/>
      <c r="C62" s="601"/>
      <c r="D62" s="601"/>
    </row>
    <row r="63" spans="1:7">
      <c r="A63" s="54">
        <v>50060</v>
      </c>
      <c r="B63" s="53" t="s">
        <v>75</v>
      </c>
      <c r="C63" s="601">
        <f>+'Consolidated IS '!N242</f>
        <v>277016.84000000003</v>
      </c>
      <c r="D63" s="604">
        <f t="shared" ref="D63:D70" si="1">+C63*$G$66*(0.666666666666667)</f>
        <v>8029.4736231884099</v>
      </c>
      <c r="F63" s="606" t="s">
        <v>898</v>
      </c>
      <c r="G63" s="608">
        <v>1150</v>
      </c>
    </row>
    <row r="64" spans="1:7">
      <c r="A64" s="54">
        <v>50116</v>
      </c>
      <c r="B64" s="53" t="s">
        <v>116</v>
      </c>
      <c r="C64" s="601"/>
      <c r="D64" s="604"/>
      <c r="F64" s="606" t="s">
        <v>899</v>
      </c>
      <c r="G64" s="609">
        <v>1200</v>
      </c>
    </row>
    <row r="65" spans="1:10">
      <c r="A65" s="54">
        <v>52060</v>
      </c>
      <c r="B65" s="53" t="s">
        <v>75</v>
      </c>
      <c r="C65" s="601">
        <f>+'Consolidated IS '!N244</f>
        <v>163062.80760226332</v>
      </c>
      <c r="D65" s="604">
        <f t="shared" si="1"/>
        <v>4726.4581913699531</v>
      </c>
      <c r="G65" s="608">
        <f>+G64-G63</f>
        <v>50</v>
      </c>
    </row>
    <row r="66" spans="1:10">
      <c r="A66" s="54">
        <v>52116</v>
      </c>
      <c r="B66" s="53" t="s">
        <v>116</v>
      </c>
      <c r="C66" s="601"/>
      <c r="D66" s="604"/>
      <c r="G66" s="607">
        <f>+G65/G63</f>
        <v>4.3478260869565216E-2</v>
      </c>
    </row>
    <row r="67" spans="1:10">
      <c r="A67" s="54">
        <v>55060</v>
      </c>
      <c r="B67" s="53" t="s">
        <v>75</v>
      </c>
      <c r="C67" s="601">
        <f>+'Consolidated IS '!N245</f>
        <v>2099.9</v>
      </c>
      <c r="D67" s="604">
        <f t="shared" si="1"/>
        <v>60.866666666666688</v>
      </c>
    </row>
    <row r="68" spans="1:10">
      <c r="A68" s="54">
        <v>55116</v>
      </c>
      <c r="B68" s="53" t="s">
        <v>116</v>
      </c>
      <c r="C68" s="601"/>
      <c r="D68" s="604"/>
    </row>
    <row r="69" spans="1:10">
      <c r="A69" s="54">
        <v>56060</v>
      </c>
      <c r="B69" s="53" t="s">
        <v>75</v>
      </c>
      <c r="C69" s="601">
        <f>+'Consolidated IS '!N246</f>
        <v>61466.87</v>
      </c>
      <c r="D69" s="604">
        <f t="shared" si="1"/>
        <v>1781.6484057971022</v>
      </c>
    </row>
    <row r="70" spans="1:10">
      <c r="A70" s="54">
        <v>70060</v>
      </c>
      <c r="B70" s="53" t="s">
        <v>75</v>
      </c>
      <c r="C70" s="605">
        <f>+'Consolidated IS '!N247</f>
        <v>311514.41000000003</v>
      </c>
      <c r="D70" s="605">
        <f t="shared" si="1"/>
        <v>9029.4031884058022</v>
      </c>
    </row>
    <row r="71" spans="1:10">
      <c r="A71" s="573"/>
      <c r="B71" s="574"/>
      <c r="C71" s="601">
        <f>+SUM(C63:C70)</f>
        <v>815160.82760226342</v>
      </c>
      <c r="D71" s="601">
        <f>+SUM(D63:D70)</f>
        <v>23627.850075427938</v>
      </c>
      <c r="E71" s="563" t="s">
        <v>896</v>
      </c>
    </row>
    <row r="72" spans="1:10">
      <c r="A72" s="573"/>
      <c r="B72" s="574"/>
      <c r="C72" s="601"/>
      <c r="D72" s="601"/>
      <c r="E72" s="563"/>
    </row>
    <row r="73" spans="1:10">
      <c r="A73" s="568" t="s">
        <v>907</v>
      </c>
      <c r="B73" s="554"/>
      <c r="C73" s="554"/>
      <c r="D73" s="554"/>
      <c r="E73" s="554"/>
      <c r="F73" s="554"/>
      <c r="G73" s="554"/>
    </row>
    <row r="74" spans="1:10">
      <c r="A74" s="569" t="s">
        <v>894</v>
      </c>
      <c r="B74" s="556"/>
      <c r="C74" s="556"/>
      <c r="D74" s="556"/>
      <c r="E74" s="556"/>
      <c r="F74" s="556"/>
      <c r="G74" s="556"/>
    </row>
    <row r="75" spans="1:10">
      <c r="A75" s="557"/>
      <c r="B75" s="558"/>
      <c r="C75" s="558"/>
      <c r="D75" s="565"/>
      <c r="E75" s="565"/>
      <c r="F75" s="565"/>
      <c r="G75" s="565"/>
    </row>
    <row r="76" spans="1:10" ht="12.75" customHeight="1">
      <c r="A76" s="611" t="s">
        <v>909</v>
      </c>
      <c r="B76" s="610"/>
      <c r="C76" s="610"/>
      <c r="D76" s="610"/>
      <c r="E76" s="610"/>
      <c r="F76" s="610"/>
      <c r="G76" s="610"/>
    </row>
    <row r="77" spans="1:10">
      <c r="A77" s="573" t="s">
        <v>908</v>
      </c>
      <c r="B77" s="610"/>
      <c r="C77" s="610"/>
      <c r="D77" s="610"/>
      <c r="E77" s="610"/>
      <c r="F77" s="610"/>
      <c r="G77" s="610"/>
    </row>
    <row r="78" spans="1:10">
      <c r="A78" s="550" t="s">
        <v>910</v>
      </c>
      <c r="B78" s="612">
        <f>+'[42]2183 PDS Refuse'!$L$34</f>
        <v>101983.74</v>
      </c>
      <c r="C78" s="601"/>
      <c r="D78" s="601"/>
      <c r="E78" s="563"/>
    </row>
    <row r="79" spans="1:10">
      <c r="A79" s="550" t="s">
        <v>911</v>
      </c>
      <c r="B79" s="613">
        <f>+'[42]2183 PDC Recycle'!$L$21</f>
        <v>8128.32</v>
      </c>
      <c r="C79" s="551"/>
      <c r="D79" s="551"/>
      <c r="E79" s="551"/>
      <c r="F79" s="551"/>
      <c r="G79" s="551"/>
      <c r="I79" s="551"/>
      <c r="J79" s="551"/>
    </row>
    <row r="80" spans="1:10">
      <c r="B80" s="614">
        <f>+B78+B79</f>
        <v>110112.06</v>
      </c>
      <c r="C80" s="563"/>
      <c r="D80" s="551"/>
      <c r="E80" s="551"/>
      <c r="F80" s="551"/>
      <c r="G80" s="551"/>
      <c r="I80" s="551"/>
      <c r="J80" s="551"/>
    </row>
    <row r="81" spans="1:10">
      <c r="B81" s="614">
        <f>B80/3</f>
        <v>36704.019999999997</v>
      </c>
      <c r="C81" s="563" t="s">
        <v>900</v>
      </c>
      <c r="D81" s="551"/>
      <c r="E81" s="551"/>
      <c r="F81" s="551"/>
      <c r="G81" s="551"/>
      <c r="I81" s="551"/>
      <c r="J81" s="551"/>
    </row>
    <row r="82" spans="1:10">
      <c r="B82" s="614"/>
      <c r="C82" s="563"/>
      <c r="D82" s="551"/>
      <c r="E82" s="551"/>
      <c r="F82" s="551"/>
      <c r="G82" s="551"/>
      <c r="I82" s="551"/>
      <c r="J82" s="551"/>
    </row>
    <row r="83" spans="1:10">
      <c r="A83" s="568" t="s">
        <v>2536</v>
      </c>
      <c r="B83" s="554"/>
      <c r="C83" s="554"/>
      <c r="D83" s="554"/>
      <c r="E83" s="554"/>
      <c r="F83" s="554"/>
      <c r="G83" s="554"/>
      <c r="I83" s="551"/>
      <c r="J83" s="551"/>
    </row>
    <row r="84" spans="1:10">
      <c r="A84" s="569" t="s">
        <v>2535</v>
      </c>
      <c r="B84" s="556"/>
      <c r="C84" s="556"/>
      <c r="D84" s="556"/>
      <c r="E84" s="556"/>
      <c r="F84" s="556"/>
      <c r="G84" s="556"/>
      <c r="I84" s="551"/>
      <c r="J84" s="551"/>
    </row>
    <row r="85" spans="1:10">
      <c r="A85" s="557"/>
      <c r="B85" s="558"/>
      <c r="C85" s="558"/>
      <c r="D85" s="565"/>
      <c r="E85" s="565"/>
      <c r="F85" s="565"/>
      <c r="G85" s="565"/>
      <c r="I85" s="551"/>
      <c r="J85" s="551"/>
    </row>
    <row r="86" spans="1:10">
      <c r="A86" s="1263" t="s">
        <v>2539</v>
      </c>
      <c r="B86" s="1263"/>
      <c r="C86" s="1263"/>
      <c r="D86" s="1263"/>
      <c r="E86" s="1263"/>
      <c r="F86" s="1263"/>
      <c r="G86" s="1263"/>
      <c r="I86" s="551"/>
      <c r="J86" s="551"/>
    </row>
    <row r="87" spans="1:10">
      <c r="A87" s="1263"/>
      <c r="B87" s="1263"/>
      <c r="C87" s="1263"/>
      <c r="D87" s="1263"/>
      <c r="E87" s="1263"/>
      <c r="F87" s="1263"/>
      <c r="G87" s="1263"/>
      <c r="I87" s="551"/>
      <c r="J87" s="551"/>
    </row>
    <row r="88" spans="1:10">
      <c r="A88" s="550" t="s">
        <v>916</v>
      </c>
      <c r="B88" s="614">
        <f>27.16*2080</f>
        <v>56492.800000000003</v>
      </c>
      <c r="C88" s="563" t="s">
        <v>2712</v>
      </c>
      <c r="D88" s="551"/>
      <c r="E88" s="551"/>
      <c r="F88" s="551"/>
      <c r="G88" s="551"/>
      <c r="I88" s="551"/>
      <c r="J88" s="551"/>
    </row>
    <row r="89" spans="1:10">
      <c r="A89" s="550" t="s">
        <v>2537</v>
      </c>
      <c r="B89" s="614">
        <f>+B88*0.0765</f>
        <v>4321.6992</v>
      </c>
      <c r="C89" s="563" t="s">
        <v>2712</v>
      </c>
      <c r="D89" s="551"/>
      <c r="E89" s="551"/>
      <c r="F89" s="551"/>
      <c r="G89" s="551"/>
      <c r="I89" s="551"/>
      <c r="J89" s="551"/>
    </row>
    <row r="90" spans="1:10">
      <c r="A90" s="550" t="s">
        <v>75</v>
      </c>
      <c r="B90" s="614">
        <f>1361*12</f>
        <v>16332</v>
      </c>
      <c r="C90" s="563" t="s">
        <v>2712</v>
      </c>
      <c r="D90" s="551"/>
      <c r="E90" s="551"/>
      <c r="F90" s="551"/>
      <c r="G90" s="551"/>
      <c r="I90" s="551"/>
      <c r="J90" s="551"/>
    </row>
    <row r="91" spans="1:10">
      <c r="A91" s="550" t="s">
        <v>118</v>
      </c>
      <c r="B91" s="613">
        <f>3.45*2080</f>
        <v>7176</v>
      </c>
      <c r="C91" s="563" t="s">
        <v>2712</v>
      </c>
      <c r="D91" s="551"/>
      <c r="E91" s="551"/>
      <c r="F91" s="551"/>
      <c r="G91" s="551"/>
      <c r="I91" s="551"/>
      <c r="J91" s="551"/>
    </row>
    <row r="92" spans="1:10">
      <c r="B92" s="614">
        <f>+SUM(B88:B91)</f>
        <v>84322.499200000006</v>
      </c>
      <c r="C92" s="563"/>
      <c r="D92" s="551"/>
      <c r="E92" s="551"/>
      <c r="F92" s="551"/>
      <c r="G92" s="551"/>
      <c r="I92" s="551"/>
      <c r="J92" s="551"/>
    </row>
    <row r="93" spans="1:10">
      <c r="A93" s="575"/>
      <c r="B93" s="551"/>
      <c r="C93" s="551"/>
      <c r="D93" s="551"/>
      <c r="E93" s="551"/>
      <c r="F93" s="551"/>
      <c r="G93" s="551"/>
      <c r="I93" s="551"/>
      <c r="J93" s="551"/>
    </row>
    <row r="94" spans="1:10">
      <c r="A94" s="576" t="s">
        <v>887</v>
      </c>
      <c r="B94" s="1075">
        <f>B28+B36+D53+D71+B81+B92-'Consolidated IS '!S353</f>
        <v>0</v>
      </c>
      <c r="C94" s="577"/>
      <c r="D94" s="578"/>
      <c r="E94" s="578"/>
      <c r="F94" s="578"/>
      <c r="G94" s="578"/>
      <c r="I94" s="551"/>
      <c r="J94" s="551"/>
    </row>
    <row r="95" spans="1:10">
      <c r="A95" s="579"/>
      <c r="B95" s="580"/>
      <c r="C95" s="581"/>
      <c r="D95" s="551"/>
      <c r="E95" s="551"/>
      <c r="F95" s="551"/>
      <c r="G95" s="551"/>
      <c r="I95" s="551"/>
      <c r="J95" s="551"/>
    </row>
    <row r="96" spans="1:10">
      <c r="A96" s="582"/>
      <c r="B96" s="583"/>
      <c r="C96" s="584"/>
      <c r="E96" s="585"/>
    </row>
    <row r="97" spans="1:5">
      <c r="A97" s="586"/>
      <c r="B97" s="587"/>
      <c r="C97" s="584"/>
      <c r="E97" s="585"/>
    </row>
    <row r="98" spans="1:5">
      <c r="A98" s="586"/>
      <c r="B98" s="588"/>
      <c r="C98" s="584"/>
      <c r="E98" s="585"/>
    </row>
    <row r="99" spans="1:5">
      <c r="A99" s="582"/>
      <c r="B99" s="583"/>
      <c r="C99" s="589"/>
      <c r="E99" s="585"/>
    </row>
    <row r="100" spans="1:5">
      <c r="A100" s="582"/>
      <c r="B100" s="583"/>
      <c r="C100" s="590"/>
      <c r="D100" s="591"/>
      <c r="E100" s="585"/>
    </row>
    <row r="101" spans="1:5">
      <c r="A101" s="592"/>
      <c r="B101" s="592"/>
      <c r="C101" s="592"/>
    </row>
    <row r="102" spans="1:5">
      <c r="A102" s="562"/>
      <c r="B102" s="562"/>
      <c r="C102" s="562"/>
      <c r="D102" s="562"/>
      <c r="E102" s="562"/>
    </row>
  </sheetData>
  <mergeCells count="3">
    <mergeCell ref="A42:G44"/>
    <mergeCell ref="A60:G61"/>
    <mergeCell ref="A86:G87"/>
  </mergeCells>
  <pageMargins left="0.25" right="0.25" top="0.75" bottom="0.75" header="0.3" footer="0.3"/>
  <pageSetup scale="88" fitToHeight="2" orientation="portrait" r:id="rId1"/>
  <headerFooter alignWithMargins="0"/>
  <rowBreaks count="1" manualBreakCount="1">
    <brk id="38" max="6" man="1"/>
  </rowBreaks>
  <colBreaks count="1" manualBreakCount="1">
    <brk id="7" max="5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tint="-0.249977111117893"/>
  </sheetPr>
  <dimension ref="A1:M200"/>
  <sheetViews>
    <sheetView showGridLines="0" tabSelected="1" view="pageLayout" topLeftCell="A142" zoomScaleNormal="100" workbookViewId="0">
      <selection activeCell="AR41" sqref="AR41"/>
    </sheetView>
  </sheetViews>
  <sheetFormatPr defaultRowHeight="11.25"/>
  <cols>
    <col min="1" max="1" width="2.28515625" style="64" customWidth="1"/>
    <col min="2" max="2" width="23.28515625" style="64" customWidth="1"/>
    <col min="3" max="5" width="11.7109375" style="64" customWidth="1"/>
    <col min="6" max="6" width="12.28515625" style="64" customWidth="1"/>
    <col min="7" max="7" width="12.5703125" style="64" customWidth="1"/>
    <col min="8" max="8" width="12.140625" style="64" customWidth="1"/>
    <col min="9" max="9" width="11.42578125" style="64" customWidth="1"/>
    <col min="10" max="10" width="1.5703125" style="64" customWidth="1"/>
    <col min="11" max="11" width="12.42578125" style="64" customWidth="1"/>
    <col min="12" max="258" width="9.140625" style="64"/>
    <col min="259" max="259" width="2.28515625" style="64" customWidth="1"/>
    <col min="260" max="260" width="17.28515625" style="64" customWidth="1"/>
    <col min="261" max="261" width="11.7109375" style="64" customWidth="1"/>
    <col min="262" max="262" width="11.140625" style="64" customWidth="1"/>
    <col min="263" max="263" width="12.5703125" style="64" customWidth="1"/>
    <col min="264" max="264" width="12.140625" style="64" customWidth="1"/>
    <col min="265" max="265" width="11.42578125" style="64" customWidth="1"/>
    <col min="266" max="266" width="9.140625" style="64"/>
    <col min="267" max="267" width="12.42578125" style="64" customWidth="1"/>
    <col min="268" max="514" width="9.140625" style="64"/>
    <col min="515" max="515" width="2.28515625" style="64" customWidth="1"/>
    <col min="516" max="516" width="17.28515625" style="64" customWidth="1"/>
    <col min="517" max="517" width="11.7109375" style="64" customWidth="1"/>
    <col min="518" max="518" width="11.140625" style="64" customWidth="1"/>
    <col min="519" max="519" width="12.5703125" style="64" customWidth="1"/>
    <col min="520" max="520" width="12.140625" style="64" customWidth="1"/>
    <col min="521" max="521" width="11.42578125" style="64" customWidth="1"/>
    <col min="522" max="522" width="9.140625" style="64"/>
    <col min="523" max="523" width="12.42578125" style="64" customWidth="1"/>
    <col min="524" max="770" width="9.140625" style="64"/>
    <col min="771" max="771" width="2.28515625" style="64" customWidth="1"/>
    <col min="772" max="772" width="17.28515625" style="64" customWidth="1"/>
    <col min="773" max="773" width="11.7109375" style="64" customWidth="1"/>
    <col min="774" max="774" width="11.140625" style="64" customWidth="1"/>
    <col min="775" max="775" width="12.5703125" style="64" customWidth="1"/>
    <col min="776" max="776" width="12.140625" style="64" customWidth="1"/>
    <col min="777" max="777" width="11.42578125" style="64" customWidth="1"/>
    <col min="778" max="778" width="9.140625" style="64"/>
    <col min="779" max="779" width="12.42578125" style="64" customWidth="1"/>
    <col min="780" max="1026" width="9.140625" style="64"/>
    <col min="1027" max="1027" width="2.28515625" style="64" customWidth="1"/>
    <col min="1028" max="1028" width="17.28515625" style="64" customWidth="1"/>
    <col min="1029" max="1029" width="11.7109375" style="64" customWidth="1"/>
    <col min="1030" max="1030" width="11.140625" style="64" customWidth="1"/>
    <col min="1031" max="1031" width="12.5703125" style="64" customWidth="1"/>
    <col min="1032" max="1032" width="12.140625" style="64" customWidth="1"/>
    <col min="1033" max="1033" width="11.42578125" style="64" customWidth="1"/>
    <col min="1034" max="1034" width="9.140625" style="64"/>
    <col min="1035" max="1035" width="12.42578125" style="64" customWidth="1"/>
    <col min="1036" max="1282" width="9.140625" style="64"/>
    <col min="1283" max="1283" width="2.28515625" style="64" customWidth="1"/>
    <col min="1284" max="1284" width="17.28515625" style="64" customWidth="1"/>
    <col min="1285" max="1285" width="11.7109375" style="64" customWidth="1"/>
    <col min="1286" max="1286" width="11.140625" style="64" customWidth="1"/>
    <col min="1287" max="1287" width="12.5703125" style="64" customWidth="1"/>
    <col min="1288" max="1288" width="12.140625" style="64" customWidth="1"/>
    <col min="1289" max="1289" width="11.42578125" style="64" customWidth="1"/>
    <col min="1290" max="1290" width="9.140625" style="64"/>
    <col min="1291" max="1291" width="12.42578125" style="64" customWidth="1"/>
    <col min="1292" max="1538" width="9.140625" style="64"/>
    <col min="1539" max="1539" width="2.28515625" style="64" customWidth="1"/>
    <col min="1540" max="1540" width="17.28515625" style="64" customWidth="1"/>
    <col min="1541" max="1541" width="11.7109375" style="64" customWidth="1"/>
    <col min="1542" max="1542" width="11.140625" style="64" customWidth="1"/>
    <col min="1543" max="1543" width="12.5703125" style="64" customWidth="1"/>
    <col min="1544" max="1544" width="12.140625" style="64" customWidth="1"/>
    <col min="1545" max="1545" width="11.42578125" style="64" customWidth="1"/>
    <col min="1546" max="1546" width="9.140625" style="64"/>
    <col min="1547" max="1547" width="12.42578125" style="64" customWidth="1"/>
    <col min="1548" max="1794" width="9.140625" style="64"/>
    <col min="1795" max="1795" width="2.28515625" style="64" customWidth="1"/>
    <col min="1796" max="1796" width="17.28515625" style="64" customWidth="1"/>
    <col min="1797" max="1797" width="11.7109375" style="64" customWidth="1"/>
    <col min="1798" max="1798" width="11.140625" style="64" customWidth="1"/>
    <col min="1799" max="1799" width="12.5703125" style="64" customWidth="1"/>
    <col min="1800" max="1800" width="12.140625" style="64" customWidth="1"/>
    <col min="1801" max="1801" width="11.42578125" style="64" customWidth="1"/>
    <col min="1802" max="1802" width="9.140625" style="64"/>
    <col min="1803" max="1803" width="12.42578125" style="64" customWidth="1"/>
    <col min="1804" max="2050" width="9.140625" style="64"/>
    <col min="2051" max="2051" width="2.28515625" style="64" customWidth="1"/>
    <col min="2052" max="2052" width="17.28515625" style="64" customWidth="1"/>
    <col min="2053" max="2053" width="11.7109375" style="64" customWidth="1"/>
    <col min="2054" max="2054" width="11.140625" style="64" customWidth="1"/>
    <col min="2055" max="2055" width="12.5703125" style="64" customWidth="1"/>
    <col min="2056" max="2056" width="12.140625" style="64" customWidth="1"/>
    <col min="2057" max="2057" width="11.42578125" style="64" customWidth="1"/>
    <col min="2058" max="2058" width="9.140625" style="64"/>
    <col min="2059" max="2059" width="12.42578125" style="64" customWidth="1"/>
    <col min="2060" max="2306" width="9.140625" style="64"/>
    <col min="2307" max="2307" width="2.28515625" style="64" customWidth="1"/>
    <col min="2308" max="2308" width="17.28515625" style="64" customWidth="1"/>
    <col min="2309" max="2309" width="11.7109375" style="64" customWidth="1"/>
    <col min="2310" max="2310" width="11.140625" style="64" customWidth="1"/>
    <col min="2311" max="2311" width="12.5703125" style="64" customWidth="1"/>
    <col min="2312" max="2312" width="12.140625" style="64" customWidth="1"/>
    <col min="2313" max="2313" width="11.42578125" style="64" customWidth="1"/>
    <col min="2314" max="2314" width="9.140625" style="64"/>
    <col min="2315" max="2315" width="12.42578125" style="64" customWidth="1"/>
    <col min="2316" max="2562" width="9.140625" style="64"/>
    <col min="2563" max="2563" width="2.28515625" style="64" customWidth="1"/>
    <col min="2564" max="2564" width="17.28515625" style="64" customWidth="1"/>
    <col min="2565" max="2565" width="11.7109375" style="64" customWidth="1"/>
    <col min="2566" max="2566" width="11.140625" style="64" customWidth="1"/>
    <col min="2567" max="2567" width="12.5703125" style="64" customWidth="1"/>
    <col min="2568" max="2568" width="12.140625" style="64" customWidth="1"/>
    <col min="2569" max="2569" width="11.42578125" style="64" customWidth="1"/>
    <col min="2570" max="2570" width="9.140625" style="64"/>
    <col min="2571" max="2571" width="12.42578125" style="64" customWidth="1"/>
    <col min="2572" max="2818" width="9.140625" style="64"/>
    <col min="2819" max="2819" width="2.28515625" style="64" customWidth="1"/>
    <col min="2820" max="2820" width="17.28515625" style="64" customWidth="1"/>
    <col min="2821" max="2821" width="11.7109375" style="64" customWidth="1"/>
    <col min="2822" max="2822" width="11.140625" style="64" customWidth="1"/>
    <col min="2823" max="2823" width="12.5703125" style="64" customWidth="1"/>
    <col min="2824" max="2824" width="12.140625" style="64" customWidth="1"/>
    <col min="2825" max="2825" width="11.42578125" style="64" customWidth="1"/>
    <col min="2826" max="2826" width="9.140625" style="64"/>
    <col min="2827" max="2827" width="12.42578125" style="64" customWidth="1"/>
    <col min="2828" max="3074" width="9.140625" style="64"/>
    <col min="3075" max="3075" width="2.28515625" style="64" customWidth="1"/>
    <col min="3076" max="3076" width="17.28515625" style="64" customWidth="1"/>
    <col min="3077" max="3077" width="11.7109375" style="64" customWidth="1"/>
    <col min="3078" max="3078" width="11.140625" style="64" customWidth="1"/>
    <col min="3079" max="3079" width="12.5703125" style="64" customWidth="1"/>
    <col min="3080" max="3080" width="12.140625" style="64" customWidth="1"/>
    <col min="3081" max="3081" width="11.42578125" style="64" customWidth="1"/>
    <col min="3082" max="3082" width="9.140625" style="64"/>
    <col min="3083" max="3083" width="12.42578125" style="64" customWidth="1"/>
    <col min="3084" max="3330" width="9.140625" style="64"/>
    <col min="3331" max="3331" width="2.28515625" style="64" customWidth="1"/>
    <col min="3332" max="3332" width="17.28515625" style="64" customWidth="1"/>
    <col min="3333" max="3333" width="11.7109375" style="64" customWidth="1"/>
    <col min="3334" max="3334" width="11.140625" style="64" customWidth="1"/>
    <col min="3335" max="3335" width="12.5703125" style="64" customWidth="1"/>
    <col min="3336" max="3336" width="12.140625" style="64" customWidth="1"/>
    <col min="3337" max="3337" width="11.42578125" style="64" customWidth="1"/>
    <col min="3338" max="3338" width="9.140625" style="64"/>
    <col min="3339" max="3339" width="12.42578125" style="64" customWidth="1"/>
    <col min="3340" max="3586" width="9.140625" style="64"/>
    <col min="3587" max="3587" width="2.28515625" style="64" customWidth="1"/>
    <col min="3588" max="3588" width="17.28515625" style="64" customWidth="1"/>
    <col min="3589" max="3589" width="11.7109375" style="64" customWidth="1"/>
    <col min="3590" max="3590" width="11.140625" style="64" customWidth="1"/>
    <col min="3591" max="3591" width="12.5703125" style="64" customWidth="1"/>
    <col min="3592" max="3592" width="12.140625" style="64" customWidth="1"/>
    <col min="3593" max="3593" width="11.42578125" style="64" customWidth="1"/>
    <col min="3594" max="3594" width="9.140625" style="64"/>
    <col min="3595" max="3595" width="12.42578125" style="64" customWidth="1"/>
    <col min="3596" max="3842" width="9.140625" style="64"/>
    <col min="3843" max="3843" width="2.28515625" style="64" customWidth="1"/>
    <col min="3844" max="3844" width="17.28515625" style="64" customWidth="1"/>
    <col min="3845" max="3845" width="11.7109375" style="64" customWidth="1"/>
    <col min="3846" max="3846" width="11.140625" style="64" customWidth="1"/>
    <col min="3847" max="3847" width="12.5703125" style="64" customWidth="1"/>
    <col min="3848" max="3848" width="12.140625" style="64" customWidth="1"/>
    <col min="3849" max="3849" width="11.42578125" style="64" customWidth="1"/>
    <col min="3850" max="3850" width="9.140625" style="64"/>
    <col min="3851" max="3851" width="12.42578125" style="64" customWidth="1"/>
    <col min="3852" max="4098" width="9.140625" style="64"/>
    <col min="4099" max="4099" width="2.28515625" style="64" customWidth="1"/>
    <col min="4100" max="4100" width="17.28515625" style="64" customWidth="1"/>
    <col min="4101" max="4101" width="11.7109375" style="64" customWidth="1"/>
    <col min="4102" max="4102" width="11.140625" style="64" customWidth="1"/>
    <col min="4103" max="4103" width="12.5703125" style="64" customWidth="1"/>
    <col min="4104" max="4104" width="12.140625" style="64" customWidth="1"/>
    <col min="4105" max="4105" width="11.42578125" style="64" customWidth="1"/>
    <col min="4106" max="4106" width="9.140625" style="64"/>
    <col min="4107" max="4107" width="12.42578125" style="64" customWidth="1"/>
    <col min="4108" max="4354" width="9.140625" style="64"/>
    <col min="4355" max="4355" width="2.28515625" style="64" customWidth="1"/>
    <col min="4356" max="4356" width="17.28515625" style="64" customWidth="1"/>
    <col min="4357" max="4357" width="11.7109375" style="64" customWidth="1"/>
    <col min="4358" max="4358" width="11.140625" style="64" customWidth="1"/>
    <col min="4359" max="4359" width="12.5703125" style="64" customWidth="1"/>
    <col min="4360" max="4360" width="12.140625" style="64" customWidth="1"/>
    <col min="4361" max="4361" width="11.42578125" style="64" customWidth="1"/>
    <col min="4362" max="4362" width="9.140625" style="64"/>
    <col min="4363" max="4363" width="12.42578125" style="64" customWidth="1"/>
    <col min="4364" max="4610" width="9.140625" style="64"/>
    <col min="4611" max="4611" width="2.28515625" style="64" customWidth="1"/>
    <col min="4612" max="4612" width="17.28515625" style="64" customWidth="1"/>
    <col min="4613" max="4613" width="11.7109375" style="64" customWidth="1"/>
    <col min="4614" max="4614" width="11.140625" style="64" customWidth="1"/>
    <col min="4615" max="4615" width="12.5703125" style="64" customWidth="1"/>
    <col min="4616" max="4616" width="12.140625" style="64" customWidth="1"/>
    <col min="4617" max="4617" width="11.42578125" style="64" customWidth="1"/>
    <col min="4618" max="4618" width="9.140625" style="64"/>
    <col min="4619" max="4619" width="12.42578125" style="64" customWidth="1"/>
    <col min="4620" max="4866" width="9.140625" style="64"/>
    <col min="4867" max="4867" width="2.28515625" style="64" customWidth="1"/>
    <col min="4868" max="4868" width="17.28515625" style="64" customWidth="1"/>
    <col min="4869" max="4869" width="11.7109375" style="64" customWidth="1"/>
    <col min="4870" max="4870" width="11.140625" style="64" customWidth="1"/>
    <col min="4871" max="4871" width="12.5703125" style="64" customWidth="1"/>
    <col min="4872" max="4872" width="12.140625" style="64" customWidth="1"/>
    <col min="4873" max="4873" width="11.42578125" style="64" customWidth="1"/>
    <col min="4874" max="4874" width="9.140625" style="64"/>
    <col min="4875" max="4875" width="12.42578125" style="64" customWidth="1"/>
    <col min="4876" max="5122" width="9.140625" style="64"/>
    <col min="5123" max="5123" width="2.28515625" style="64" customWidth="1"/>
    <col min="5124" max="5124" width="17.28515625" style="64" customWidth="1"/>
    <col min="5125" max="5125" width="11.7109375" style="64" customWidth="1"/>
    <col min="5126" max="5126" width="11.140625" style="64" customWidth="1"/>
    <col min="5127" max="5127" width="12.5703125" style="64" customWidth="1"/>
    <col min="5128" max="5128" width="12.140625" style="64" customWidth="1"/>
    <col min="5129" max="5129" width="11.42578125" style="64" customWidth="1"/>
    <col min="5130" max="5130" width="9.140625" style="64"/>
    <col min="5131" max="5131" width="12.42578125" style="64" customWidth="1"/>
    <col min="5132" max="5378" width="9.140625" style="64"/>
    <col min="5379" max="5379" width="2.28515625" style="64" customWidth="1"/>
    <col min="5380" max="5380" width="17.28515625" style="64" customWidth="1"/>
    <col min="5381" max="5381" width="11.7109375" style="64" customWidth="1"/>
    <col min="5382" max="5382" width="11.140625" style="64" customWidth="1"/>
    <col min="5383" max="5383" width="12.5703125" style="64" customWidth="1"/>
    <col min="5384" max="5384" width="12.140625" style="64" customWidth="1"/>
    <col min="5385" max="5385" width="11.42578125" style="64" customWidth="1"/>
    <col min="5386" max="5386" width="9.140625" style="64"/>
    <col min="5387" max="5387" width="12.42578125" style="64" customWidth="1"/>
    <col min="5388" max="5634" width="9.140625" style="64"/>
    <col min="5635" max="5635" width="2.28515625" style="64" customWidth="1"/>
    <col min="5636" max="5636" width="17.28515625" style="64" customWidth="1"/>
    <col min="5637" max="5637" width="11.7109375" style="64" customWidth="1"/>
    <col min="5638" max="5638" width="11.140625" style="64" customWidth="1"/>
    <col min="5639" max="5639" width="12.5703125" style="64" customWidth="1"/>
    <col min="5640" max="5640" width="12.140625" style="64" customWidth="1"/>
    <col min="5641" max="5641" width="11.42578125" style="64" customWidth="1"/>
    <col min="5642" max="5642" width="9.140625" style="64"/>
    <col min="5643" max="5643" width="12.42578125" style="64" customWidth="1"/>
    <col min="5644" max="5890" width="9.140625" style="64"/>
    <col min="5891" max="5891" width="2.28515625" style="64" customWidth="1"/>
    <col min="5892" max="5892" width="17.28515625" style="64" customWidth="1"/>
    <col min="5893" max="5893" width="11.7109375" style="64" customWidth="1"/>
    <col min="5894" max="5894" width="11.140625" style="64" customWidth="1"/>
    <col min="5895" max="5895" width="12.5703125" style="64" customWidth="1"/>
    <col min="5896" max="5896" width="12.140625" style="64" customWidth="1"/>
    <col min="5897" max="5897" width="11.42578125" style="64" customWidth="1"/>
    <col min="5898" max="5898" width="9.140625" style="64"/>
    <col min="5899" max="5899" width="12.42578125" style="64" customWidth="1"/>
    <col min="5900" max="6146" width="9.140625" style="64"/>
    <col min="6147" max="6147" width="2.28515625" style="64" customWidth="1"/>
    <col min="6148" max="6148" width="17.28515625" style="64" customWidth="1"/>
    <col min="6149" max="6149" width="11.7109375" style="64" customWidth="1"/>
    <col min="6150" max="6150" width="11.140625" style="64" customWidth="1"/>
    <col min="6151" max="6151" width="12.5703125" style="64" customWidth="1"/>
    <col min="6152" max="6152" width="12.140625" style="64" customWidth="1"/>
    <col min="6153" max="6153" width="11.42578125" style="64" customWidth="1"/>
    <col min="6154" max="6154" width="9.140625" style="64"/>
    <col min="6155" max="6155" width="12.42578125" style="64" customWidth="1"/>
    <col min="6156" max="6402" width="9.140625" style="64"/>
    <col min="6403" max="6403" width="2.28515625" style="64" customWidth="1"/>
    <col min="6404" max="6404" width="17.28515625" style="64" customWidth="1"/>
    <col min="6405" max="6405" width="11.7109375" style="64" customWidth="1"/>
    <col min="6406" max="6406" width="11.140625" style="64" customWidth="1"/>
    <col min="6407" max="6407" width="12.5703125" style="64" customWidth="1"/>
    <col min="6408" max="6408" width="12.140625" style="64" customWidth="1"/>
    <col min="6409" max="6409" width="11.42578125" style="64" customWidth="1"/>
    <col min="6410" max="6410" width="9.140625" style="64"/>
    <col min="6411" max="6411" width="12.42578125" style="64" customWidth="1"/>
    <col min="6412" max="6658" width="9.140625" style="64"/>
    <col min="6659" max="6659" width="2.28515625" style="64" customWidth="1"/>
    <col min="6660" max="6660" width="17.28515625" style="64" customWidth="1"/>
    <col min="6661" max="6661" width="11.7109375" style="64" customWidth="1"/>
    <col min="6662" max="6662" width="11.140625" style="64" customWidth="1"/>
    <col min="6663" max="6663" width="12.5703125" style="64" customWidth="1"/>
    <col min="6664" max="6664" width="12.140625" style="64" customWidth="1"/>
    <col min="6665" max="6665" width="11.42578125" style="64" customWidth="1"/>
    <col min="6666" max="6666" width="9.140625" style="64"/>
    <col min="6667" max="6667" width="12.42578125" style="64" customWidth="1"/>
    <col min="6668" max="6914" width="9.140625" style="64"/>
    <col min="6915" max="6915" width="2.28515625" style="64" customWidth="1"/>
    <col min="6916" max="6916" width="17.28515625" style="64" customWidth="1"/>
    <col min="6917" max="6917" width="11.7109375" style="64" customWidth="1"/>
    <col min="6918" max="6918" width="11.140625" style="64" customWidth="1"/>
    <col min="6919" max="6919" width="12.5703125" style="64" customWidth="1"/>
    <col min="6920" max="6920" width="12.140625" style="64" customWidth="1"/>
    <col min="6921" max="6921" width="11.42578125" style="64" customWidth="1"/>
    <col min="6922" max="6922" width="9.140625" style="64"/>
    <col min="6923" max="6923" width="12.42578125" style="64" customWidth="1"/>
    <col min="6924" max="7170" width="9.140625" style="64"/>
    <col min="7171" max="7171" width="2.28515625" style="64" customWidth="1"/>
    <col min="7172" max="7172" width="17.28515625" style="64" customWidth="1"/>
    <col min="7173" max="7173" width="11.7109375" style="64" customWidth="1"/>
    <col min="7174" max="7174" width="11.140625" style="64" customWidth="1"/>
    <col min="7175" max="7175" width="12.5703125" style="64" customWidth="1"/>
    <col min="7176" max="7176" width="12.140625" style="64" customWidth="1"/>
    <col min="7177" max="7177" width="11.42578125" style="64" customWidth="1"/>
    <col min="7178" max="7178" width="9.140625" style="64"/>
    <col min="7179" max="7179" width="12.42578125" style="64" customWidth="1"/>
    <col min="7180" max="7426" width="9.140625" style="64"/>
    <col min="7427" max="7427" width="2.28515625" style="64" customWidth="1"/>
    <col min="7428" max="7428" width="17.28515625" style="64" customWidth="1"/>
    <col min="7429" max="7429" width="11.7109375" style="64" customWidth="1"/>
    <col min="7430" max="7430" width="11.140625" style="64" customWidth="1"/>
    <col min="7431" max="7431" width="12.5703125" style="64" customWidth="1"/>
    <col min="7432" max="7432" width="12.140625" style="64" customWidth="1"/>
    <col min="7433" max="7433" width="11.42578125" style="64" customWidth="1"/>
    <col min="7434" max="7434" width="9.140625" style="64"/>
    <col min="7435" max="7435" width="12.42578125" style="64" customWidth="1"/>
    <col min="7436" max="7682" width="9.140625" style="64"/>
    <col min="7683" max="7683" width="2.28515625" style="64" customWidth="1"/>
    <col min="7684" max="7684" width="17.28515625" style="64" customWidth="1"/>
    <col min="7685" max="7685" width="11.7109375" style="64" customWidth="1"/>
    <col min="7686" max="7686" width="11.140625" style="64" customWidth="1"/>
    <col min="7687" max="7687" width="12.5703125" style="64" customWidth="1"/>
    <col min="7688" max="7688" width="12.140625" style="64" customWidth="1"/>
    <col min="7689" max="7689" width="11.42578125" style="64" customWidth="1"/>
    <col min="7690" max="7690" width="9.140625" style="64"/>
    <col min="7691" max="7691" width="12.42578125" style="64" customWidth="1"/>
    <col min="7692" max="7938" width="9.140625" style="64"/>
    <col min="7939" max="7939" width="2.28515625" style="64" customWidth="1"/>
    <col min="7940" max="7940" width="17.28515625" style="64" customWidth="1"/>
    <col min="7941" max="7941" width="11.7109375" style="64" customWidth="1"/>
    <col min="7942" max="7942" width="11.140625" style="64" customWidth="1"/>
    <col min="7943" max="7943" width="12.5703125" style="64" customWidth="1"/>
    <col min="7944" max="7944" width="12.140625" style="64" customWidth="1"/>
    <col min="7945" max="7945" width="11.42578125" style="64" customWidth="1"/>
    <col min="7946" max="7946" width="9.140625" style="64"/>
    <col min="7947" max="7947" width="12.42578125" style="64" customWidth="1"/>
    <col min="7948" max="8194" width="9.140625" style="64"/>
    <col min="8195" max="8195" width="2.28515625" style="64" customWidth="1"/>
    <col min="8196" max="8196" width="17.28515625" style="64" customWidth="1"/>
    <col min="8197" max="8197" width="11.7109375" style="64" customWidth="1"/>
    <col min="8198" max="8198" width="11.140625" style="64" customWidth="1"/>
    <col min="8199" max="8199" width="12.5703125" style="64" customWidth="1"/>
    <col min="8200" max="8200" width="12.140625" style="64" customWidth="1"/>
    <col min="8201" max="8201" width="11.42578125" style="64" customWidth="1"/>
    <col min="8202" max="8202" width="9.140625" style="64"/>
    <col min="8203" max="8203" width="12.42578125" style="64" customWidth="1"/>
    <col min="8204" max="8450" width="9.140625" style="64"/>
    <col min="8451" max="8451" width="2.28515625" style="64" customWidth="1"/>
    <col min="8452" max="8452" width="17.28515625" style="64" customWidth="1"/>
    <col min="8453" max="8453" width="11.7109375" style="64" customWidth="1"/>
    <col min="8454" max="8454" width="11.140625" style="64" customWidth="1"/>
    <col min="8455" max="8455" width="12.5703125" style="64" customWidth="1"/>
    <col min="8456" max="8456" width="12.140625" style="64" customWidth="1"/>
    <col min="8457" max="8457" width="11.42578125" style="64" customWidth="1"/>
    <col min="8458" max="8458" width="9.140625" style="64"/>
    <col min="8459" max="8459" width="12.42578125" style="64" customWidth="1"/>
    <col min="8460" max="8706" width="9.140625" style="64"/>
    <col min="8707" max="8707" width="2.28515625" style="64" customWidth="1"/>
    <col min="8708" max="8708" width="17.28515625" style="64" customWidth="1"/>
    <col min="8709" max="8709" width="11.7109375" style="64" customWidth="1"/>
    <col min="8710" max="8710" width="11.140625" style="64" customWidth="1"/>
    <col min="8711" max="8711" width="12.5703125" style="64" customWidth="1"/>
    <col min="8712" max="8712" width="12.140625" style="64" customWidth="1"/>
    <col min="8713" max="8713" width="11.42578125" style="64" customWidth="1"/>
    <col min="8714" max="8714" width="9.140625" style="64"/>
    <col min="8715" max="8715" width="12.42578125" style="64" customWidth="1"/>
    <col min="8716" max="8962" width="9.140625" style="64"/>
    <col min="8963" max="8963" width="2.28515625" style="64" customWidth="1"/>
    <col min="8964" max="8964" width="17.28515625" style="64" customWidth="1"/>
    <col min="8965" max="8965" width="11.7109375" style="64" customWidth="1"/>
    <col min="8966" max="8966" width="11.140625" style="64" customWidth="1"/>
    <col min="8967" max="8967" width="12.5703125" style="64" customWidth="1"/>
    <col min="8968" max="8968" width="12.140625" style="64" customWidth="1"/>
    <col min="8969" max="8969" width="11.42578125" style="64" customWidth="1"/>
    <col min="8970" max="8970" width="9.140625" style="64"/>
    <col min="8971" max="8971" width="12.42578125" style="64" customWidth="1"/>
    <col min="8972" max="9218" width="9.140625" style="64"/>
    <col min="9219" max="9219" width="2.28515625" style="64" customWidth="1"/>
    <col min="9220" max="9220" width="17.28515625" style="64" customWidth="1"/>
    <col min="9221" max="9221" width="11.7109375" style="64" customWidth="1"/>
    <col min="9222" max="9222" width="11.140625" style="64" customWidth="1"/>
    <col min="9223" max="9223" width="12.5703125" style="64" customWidth="1"/>
    <col min="9224" max="9224" width="12.140625" style="64" customWidth="1"/>
    <col min="9225" max="9225" width="11.42578125" style="64" customWidth="1"/>
    <col min="9226" max="9226" width="9.140625" style="64"/>
    <col min="9227" max="9227" width="12.42578125" style="64" customWidth="1"/>
    <col min="9228" max="9474" width="9.140625" style="64"/>
    <col min="9475" max="9475" width="2.28515625" style="64" customWidth="1"/>
    <col min="9476" max="9476" width="17.28515625" style="64" customWidth="1"/>
    <col min="9477" max="9477" width="11.7109375" style="64" customWidth="1"/>
    <col min="9478" max="9478" width="11.140625" style="64" customWidth="1"/>
    <col min="9479" max="9479" width="12.5703125" style="64" customWidth="1"/>
    <col min="9480" max="9480" width="12.140625" style="64" customWidth="1"/>
    <col min="9481" max="9481" width="11.42578125" style="64" customWidth="1"/>
    <col min="9482" max="9482" width="9.140625" style="64"/>
    <col min="9483" max="9483" width="12.42578125" style="64" customWidth="1"/>
    <col min="9484" max="9730" width="9.140625" style="64"/>
    <col min="9731" max="9731" width="2.28515625" style="64" customWidth="1"/>
    <col min="9732" max="9732" width="17.28515625" style="64" customWidth="1"/>
    <col min="9733" max="9733" width="11.7109375" style="64" customWidth="1"/>
    <col min="9734" max="9734" width="11.140625" style="64" customWidth="1"/>
    <col min="9735" max="9735" width="12.5703125" style="64" customWidth="1"/>
    <col min="9736" max="9736" width="12.140625" style="64" customWidth="1"/>
    <col min="9737" max="9737" width="11.42578125" style="64" customWidth="1"/>
    <col min="9738" max="9738" width="9.140625" style="64"/>
    <col min="9739" max="9739" width="12.42578125" style="64" customWidth="1"/>
    <col min="9740" max="9986" width="9.140625" style="64"/>
    <col min="9987" max="9987" width="2.28515625" style="64" customWidth="1"/>
    <col min="9988" max="9988" width="17.28515625" style="64" customWidth="1"/>
    <col min="9989" max="9989" width="11.7109375" style="64" customWidth="1"/>
    <col min="9990" max="9990" width="11.140625" style="64" customWidth="1"/>
    <col min="9991" max="9991" width="12.5703125" style="64" customWidth="1"/>
    <col min="9992" max="9992" width="12.140625" style="64" customWidth="1"/>
    <col min="9993" max="9993" width="11.42578125" style="64" customWidth="1"/>
    <col min="9994" max="9994" width="9.140625" style="64"/>
    <col min="9995" max="9995" width="12.42578125" style="64" customWidth="1"/>
    <col min="9996" max="10242" width="9.140625" style="64"/>
    <col min="10243" max="10243" width="2.28515625" style="64" customWidth="1"/>
    <col min="10244" max="10244" width="17.28515625" style="64" customWidth="1"/>
    <col min="10245" max="10245" width="11.7109375" style="64" customWidth="1"/>
    <col min="10246" max="10246" width="11.140625" style="64" customWidth="1"/>
    <col min="10247" max="10247" width="12.5703125" style="64" customWidth="1"/>
    <col min="10248" max="10248" width="12.140625" style="64" customWidth="1"/>
    <col min="10249" max="10249" width="11.42578125" style="64" customWidth="1"/>
    <col min="10250" max="10250" width="9.140625" style="64"/>
    <col min="10251" max="10251" width="12.42578125" style="64" customWidth="1"/>
    <col min="10252" max="10498" width="9.140625" style="64"/>
    <col min="10499" max="10499" width="2.28515625" style="64" customWidth="1"/>
    <col min="10500" max="10500" width="17.28515625" style="64" customWidth="1"/>
    <col min="10501" max="10501" width="11.7109375" style="64" customWidth="1"/>
    <col min="10502" max="10502" width="11.140625" style="64" customWidth="1"/>
    <col min="10503" max="10503" width="12.5703125" style="64" customWidth="1"/>
    <col min="10504" max="10504" width="12.140625" style="64" customWidth="1"/>
    <col min="10505" max="10505" width="11.42578125" style="64" customWidth="1"/>
    <col min="10506" max="10506" width="9.140625" style="64"/>
    <col min="10507" max="10507" width="12.42578125" style="64" customWidth="1"/>
    <col min="10508" max="10754" width="9.140625" style="64"/>
    <col min="10755" max="10755" width="2.28515625" style="64" customWidth="1"/>
    <col min="10756" max="10756" width="17.28515625" style="64" customWidth="1"/>
    <col min="10757" max="10757" width="11.7109375" style="64" customWidth="1"/>
    <col min="10758" max="10758" width="11.140625" style="64" customWidth="1"/>
    <col min="10759" max="10759" width="12.5703125" style="64" customWidth="1"/>
    <col min="10760" max="10760" width="12.140625" style="64" customWidth="1"/>
    <col min="10761" max="10761" width="11.42578125" style="64" customWidth="1"/>
    <col min="10762" max="10762" width="9.140625" style="64"/>
    <col min="10763" max="10763" width="12.42578125" style="64" customWidth="1"/>
    <col min="10764" max="11010" width="9.140625" style="64"/>
    <col min="11011" max="11011" width="2.28515625" style="64" customWidth="1"/>
    <col min="11012" max="11012" width="17.28515625" style="64" customWidth="1"/>
    <col min="11013" max="11013" width="11.7109375" style="64" customWidth="1"/>
    <col min="11014" max="11014" width="11.140625" style="64" customWidth="1"/>
    <col min="11015" max="11015" width="12.5703125" style="64" customWidth="1"/>
    <col min="11016" max="11016" width="12.140625" style="64" customWidth="1"/>
    <col min="11017" max="11017" width="11.42578125" style="64" customWidth="1"/>
    <col min="11018" max="11018" width="9.140625" style="64"/>
    <col min="11019" max="11019" width="12.42578125" style="64" customWidth="1"/>
    <col min="11020" max="11266" width="9.140625" style="64"/>
    <col min="11267" max="11267" width="2.28515625" style="64" customWidth="1"/>
    <col min="11268" max="11268" width="17.28515625" style="64" customWidth="1"/>
    <col min="11269" max="11269" width="11.7109375" style="64" customWidth="1"/>
    <col min="11270" max="11270" width="11.140625" style="64" customWidth="1"/>
    <col min="11271" max="11271" width="12.5703125" style="64" customWidth="1"/>
    <col min="11272" max="11272" width="12.140625" style="64" customWidth="1"/>
    <col min="11273" max="11273" width="11.42578125" style="64" customWidth="1"/>
    <col min="11274" max="11274" width="9.140625" style="64"/>
    <col min="11275" max="11275" width="12.42578125" style="64" customWidth="1"/>
    <col min="11276" max="11522" width="9.140625" style="64"/>
    <col min="11523" max="11523" width="2.28515625" style="64" customWidth="1"/>
    <col min="11524" max="11524" width="17.28515625" style="64" customWidth="1"/>
    <col min="11525" max="11525" width="11.7109375" style="64" customWidth="1"/>
    <col min="11526" max="11526" width="11.140625" style="64" customWidth="1"/>
    <col min="11527" max="11527" width="12.5703125" style="64" customWidth="1"/>
    <col min="11528" max="11528" width="12.140625" style="64" customWidth="1"/>
    <col min="11529" max="11529" width="11.42578125" style="64" customWidth="1"/>
    <col min="11530" max="11530" width="9.140625" style="64"/>
    <col min="11531" max="11531" width="12.42578125" style="64" customWidth="1"/>
    <col min="11532" max="11778" width="9.140625" style="64"/>
    <col min="11779" max="11779" width="2.28515625" style="64" customWidth="1"/>
    <col min="11780" max="11780" width="17.28515625" style="64" customWidth="1"/>
    <col min="11781" max="11781" width="11.7109375" style="64" customWidth="1"/>
    <col min="11782" max="11782" width="11.140625" style="64" customWidth="1"/>
    <col min="11783" max="11783" width="12.5703125" style="64" customWidth="1"/>
    <col min="11784" max="11784" width="12.140625" style="64" customWidth="1"/>
    <col min="11785" max="11785" width="11.42578125" style="64" customWidth="1"/>
    <col min="11786" max="11786" width="9.140625" style="64"/>
    <col min="11787" max="11787" width="12.42578125" style="64" customWidth="1"/>
    <col min="11788" max="12034" width="9.140625" style="64"/>
    <col min="12035" max="12035" width="2.28515625" style="64" customWidth="1"/>
    <col min="12036" max="12036" width="17.28515625" style="64" customWidth="1"/>
    <col min="12037" max="12037" width="11.7109375" style="64" customWidth="1"/>
    <col min="12038" max="12038" width="11.140625" style="64" customWidth="1"/>
    <col min="12039" max="12039" width="12.5703125" style="64" customWidth="1"/>
    <col min="12040" max="12040" width="12.140625" style="64" customWidth="1"/>
    <col min="12041" max="12041" width="11.42578125" style="64" customWidth="1"/>
    <col min="12042" max="12042" width="9.140625" style="64"/>
    <col min="12043" max="12043" width="12.42578125" style="64" customWidth="1"/>
    <col min="12044" max="12290" width="9.140625" style="64"/>
    <col min="12291" max="12291" width="2.28515625" style="64" customWidth="1"/>
    <col min="12292" max="12292" width="17.28515625" style="64" customWidth="1"/>
    <col min="12293" max="12293" width="11.7109375" style="64" customWidth="1"/>
    <col min="12294" max="12294" width="11.140625" style="64" customWidth="1"/>
    <col min="12295" max="12295" width="12.5703125" style="64" customWidth="1"/>
    <col min="12296" max="12296" width="12.140625" style="64" customWidth="1"/>
    <col min="12297" max="12297" width="11.42578125" style="64" customWidth="1"/>
    <col min="12298" max="12298" width="9.140625" style="64"/>
    <col min="12299" max="12299" width="12.42578125" style="64" customWidth="1"/>
    <col min="12300" max="12546" width="9.140625" style="64"/>
    <col min="12547" max="12547" width="2.28515625" style="64" customWidth="1"/>
    <col min="12548" max="12548" width="17.28515625" style="64" customWidth="1"/>
    <col min="12549" max="12549" width="11.7109375" style="64" customWidth="1"/>
    <col min="12550" max="12550" width="11.140625" style="64" customWidth="1"/>
    <col min="12551" max="12551" width="12.5703125" style="64" customWidth="1"/>
    <col min="12552" max="12552" width="12.140625" style="64" customWidth="1"/>
    <col min="12553" max="12553" width="11.42578125" style="64" customWidth="1"/>
    <col min="12554" max="12554" width="9.140625" style="64"/>
    <col min="12555" max="12555" width="12.42578125" style="64" customWidth="1"/>
    <col min="12556" max="12802" width="9.140625" style="64"/>
    <col min="12803" max="12803" width="2.28515625" style="64" customWidth="1"/>
    <col min="12804" max="12804" width="17.28515625" style="64" customWidth="1"/>
    <col min="12805" max="12805" width="11.7109375" style="64" customWidth="1"/>
    <col min="12806" max="12806" width="11.140625" style="64" customWidth="1"/>
    <col min="12807" max="12807" width="12.5703125" style="64" customWidth="1"/>
    <col min="12808" max="12808" width="12.140625" style="64" customWidth="1"/>
    <col min="12809" max="12809" width="11.42578125" style="64" customWidth="1"/>
    <col min="12810" max="12810" width="9.140625" style="64"/>
    <col min="12811" max="12811" width="12.42578125" style="64" customWidth="1"/>
    <col min="12812" max="13058" width="9.140625" style="64"/>
    <col min="13059" max="13059" width="2.28515625" style="64" customWidth="1"/>
    <col min="13060" max="13060" width="17.28515625" style="64" customWidth="1"/>
    <col min="13061" max="13061" width="11.7109375" style="64" customWidth="1"/>
    <col min="13062" max="13062" width="11.140625" style="64" customWidth="1"/>
    <col min="13063" max="13063" width="12.5703125" style="64" customWidth="1"/>
    <col min="13064" max="13064" width="12.140625" style="64" customWidth="1"/>
    <col min="13065" max="13065" width="11.42578125" style="64" customWidth="1"/>
    <col min="13066" max="13066" width="9.140625" style="64"/>
    <col min="13067" max="13067" width="12.42578125" style="64" customWidth="1"/>
    <col min="13068" max="13314" width="9.140625" style="64"/>
    <col min="13315" max="13315" width="2.28515625" style="64" customWidth="1"/>
    <col min="13316" max="13316" width="17.28515625" style="64" customWidth="1"/>
    <col min="13317" max="13317" width="11.7109375" style="64" customWidth="1"/>
    <col min="13318" max="13318" width="11.140625" style="64" customWidth="1"/>
    <col min="13319" max="13319" width="12.5703125" style="64" customWidth="1"/>
    <col min="13320" max="13320" width="12.140625" style="64" customWidth="1"/>
    <col min="13321" max="13321" width="11.42578125" style="64" customWidth="1"/>
    <col min="13322" max="13322" width="9.140625" style="64"/>
    <col min="13323" max="13323" width="12.42578125" style="64" customWidth="1"/>
    <col min="13324" max="13570" width="9.140625" style="64"/>
    <col min="13571" max="13571" width="2.28515625" style="64" customWidth="1"/>
    <col min="13572" max="13572" width="17.28515625" style="64" customWidth="1"/>
    <col min="13573" max="13573" width="11.7109375" style="64" customWidth="1"/>
    <col min="13574" max="13574" width="11.140625" style="64" customWidth="1"/>
    <col min="13575" max="13575" width="12.5703125" style="64" customWidth="1"/>
    <col min="13576" max="13576" width="12.140625" style="64" customWidth="1"/>
    <col min="13577" max="13577" width="11.42578125" style="64" customWidth="1"/>
    <col min="13578" max="13578" width="9.140625" style="64"/>
    <col min="13579" max="13579" width="12.42578125" style="64" customWidth="1"/>
    <col min="13580" max="13826" width="9.140625" style="64"/>
    <col min="13827" max="13827" width="2.28515625" style="64" customWidth="1"/>
    <col min="13828" max="13828" width="17.28515625" style="64" customWidth="1"/>
    <col min="13829" max="13829" width="11.7109375" style="64" customWidth="1"/>
    <col min="13830" max="13830" width="11.140625" style="64" customWidth="1"/>
    <col min="13831" max="13831" width="12.5703125" style="64" customWidth="1"/>
    <col min="13832" max="13832" width="12.140625" style="64" customWidth="1"/>
    <col min="13833" max="13833" width="11.42578125" style="64" customWidth="1"/>
    <col min="13834" max="13834" width="9.140625" style="64"/>
    <col min="13835" max="13835" width="12.42578125" style="64" customWidth="1"/>
    <col min="13836" max="14082" width="9.140625" style="64"/>
    <col min="14083" max="14083" width="2.28515625" style="64" customWidth="1"/>
    <col min="14084" max="14084" width="17.28515625" style="64" customWidth="1"/>
    <col min="14085" max="14085" width="11.7109375" style="64" customWidth="1"/>
    <col min="14086" max="14086" width="11.140625" style="64" customWidth="1"/>
    <col min="14087" max="14087" width="12.5703125" style="64" customWidth="1"/>
    <col min="14088" max="14088" width="12.140625" style="64" customWidth="1"/>
    <col min="14089" max="14089" width="11.42578125" style="64" customWidth="1"/>
    <col min="14090" max="14090" width="9.140625" style="64"/>
    <col min="14091" max="14091" width="12.42578125" style="64" customWidth="1"/>
    <col min="14092" max="14338" width="9.140625" style="64"/>
    <col min="14339" max="14339" width="2.28515625" style="64" customWidth="1"/>
    <col min="14340" max="14340" width="17.28515625" style="64" customWidth="1"/>
    <col min="14341" max="14341" width="11.7109375" style="64" customWidth="1"/>
    <col min="14342" max="14342" width="11.140625" style="64" customWidth="1"/>
    <col min="14343" max="14343" width="12.5703125" style="64" customWidth="1"/>
    <col min="14344" max="14344" width="12.140625" style="64" customWidth="1"/>
    <col min="14345" max="14345" width="11.42578125" style="64" customWidth="1"/>
    <col min="14346" max="14346" width="9.140625" style="64"/>
    <col min="14347" max="14347" width="12.42578125" style="64" customWidth="1"/>
    <col min="14348" max="14594" width="9.140625" style="64"/>
    <col min="14595" max="14595" width="2.28515625" style="64" customWidth="1"/>
    <col min="14596" max="14596" width="17.28515625" style="64" customWidth="1"/>
    <col min="14597" max="14597" width="11.7109375" style="64" customWidth="1"/>
    <col min="14598" max="14598" width="11.140625" style="64" customWidth="1"/>
    <col min="14599" max="14599" width="12.5703125" style="64" customWidth="1"/>
    <col min="14600" max="14600" width="12.140625" style="64" customWidth="1"/>
    <col min="14601" max="14601" width="11.42578125" style="64" customWidth="1"/>
    <col min="14602" max="14602" width="9.140625" style="64"/>
    <col min="14603" max="14603" width="12.42578125" style="64" customWidth="1"/>
    <col min="14604" max="14850" width="9.140625" style="64"/>
    <col min="14851" max="14851" width="2.28515625" style="64" customWidth="1"/>
    <col min="14852" max="14852" width="17.28515625" style="64" customWidth="1"/>
    <col min="14853" max="14853" width="11.7109375" style="64" customWidth="1"/>
    <col min="14854" max="14854" width="11.140625" style="64" customWidth="1"/>
    <col min="14855" max="14855" width="12.5703125" style="64" customWidth="1"/>
    <col min="14856" max="14856" width="12.140625" style="64" customWidth="1"/>
    <col min="14857" max="14857" width="11.42578125" style="64" customWidth="1"/>
    <col min="14858" max="14858" width="9.140625" style="64"/>
    <col min="14859" max="14859" width="12.42578125" style="64" customWidth="1"/>
    <col min="14860" max="15106" width="9.140625" style="64"/>
    <col min="15107" max="15107" width="2.28515625" style="64" customWidth="1"/>
    <col min="15108" max="15108" width="17.28515625" style="64" customWidth="1"/>
    <col min="15109" max="15109" width="11.7109375" style="64" customWidth="1"/>
    <col min="15110" max="15110" width="11.140625" style="64" customWidth="1"/>
    <col min="15111" max="15111" width="12.5703125" style="64" customWidth="1"/>
    <col min="15112" max="15112" width="12.140625" style="64" customWidth="1"/>
    <col min="15113" max="15113" width="11.42578125" style="64" customWidth="1"/>
    <col min="15114" max="15114" width="9.140625" style="64"/>
    <col min="15115" max="15115" width="12.42578125" style="64" customWidth="1"/>
    <col min="15116" max="15362" width="9.140625" style="64"/>
    <col min="15363" max="15363" width="2.28515625" style="64" customWidth="1"/>
    <col min="15364" max="15364" width="17.28515625" style="64" customWidth="1"/>
    <col min="15365" max="15365" width="11.7109375" style="64" customWidth="1"/>
    <col min="15366" max="15366" width="11.140625" style="64" customWidth="1"/>
    <col min="15367" max="15367" width="12.5703125" style="64" customWidth="1"/>
    <col min="15368" max="15368" width="12.140625" style="64" customWidth="1"/>
    <col min="15369" max="15369" width="11.42578125" style="64" customWidth="1"/>
    <col min="15370" max="15370" width="9.140625" style="64"/>
    <col min="15371" max="15371" width="12.42578125" style="64" customWidth="1"/>
    <col min="15372" max="15618" width="9.140625" style="64"/>
    <col min="15619" max="15619" width="2.28515625" style="64" customWidth="1"/>
    <col min="15620" max="15620" width="17.28515625" style="64" customWidth="1"/>
    <col min="15621" max="15621" width="11.7109375" style="64" customWidth="1"/>
    <col min="15622" max="15622" width="11.140625" style="64" customWidth="1"/>
    <col min="15623" max="15623" width="12.5703125" style="64" customWidth="1"/>
    <col min="15624" max="15624" width="12.140625" style="64" customWidth="1"/>
    <col min="15625" max="15625" width="11.42578125" style="64" customWidth="1"/>
    <col min="15626" max="15626" width="9.140625" style="64"/>
    <col min="15627" max="15627" width="12.42578125" style="64" customWidth="1"/>
    <col min="15628" max="15874" width="9.140625" style="64"/>
    <col min="15875" max="15875" width="2.28515625" style="64" customWidth="1"/>
    <col min="15876" max="15876" width="17.28515625" style="64" customWidth="1"/>
    <col min="15877" max="15877" width="11.7109375" style="64" customWidth="1"/>
    <col min="15878" max="15878" width="11.140625" style="64" customWidth="1"/>
    <col min="15879" max="15879" width="12.5703125" style="64" customWidth="1"/>
    <col min="15880" max="15880" width="12.140625" style="64" customWidth="1"/>
    <col min="15881" max="15881" width="11.42578125" style="64" customWidth="1"/>
    <col min="15882" max="15882" width="9.140625" style="64"/>
    <col min="15883" max="15883" width="12.42578125" style="64" customWidth="1"/>
    <col min="15884" max="16130" width="9.140625" style="64"/>
    <col min="16131" max="16131" width="2.28515625" style="64" customWidth="1"/>
    <col min="16132" max="16132" width="17.28515625" style="64" customWidth="1"/>
    <col min="16133" max="16133" width="11.7109375" style="64" customWidth="1"/>
    <col min="16134" max="16134" width="11.140625" style="64" customWidth="1"/>
    <col min="16135" max="16135" width="12.5703125" style="64" customWidth="1"/>
    <col min="16136" max="16136" width="12.140625" style="64" customWidth="1"/>
    <col min="16137" max="16137" width="11.42578125" style="64" customWidth="1"/>
    <col min="16138" max="16138" width="9.140625" style="64"/>
    <col min="16139" max="16139" width="12.42578125" style="64" customWidth="1"/>
    <col min="16140" max="16384" width="9.140625" style="64"/>
  </cols>
  <sheetData>
    <row r="1" spans="1:11">
      <c r="A1" s="1236" t="str">
        <f>'Consolidated IS '!A2</f>
        <v>LeMay Enterprises - Pacific/Rural Disposal</v>
      </c>
    </row>
    <row r="2" spans="1:11">
      <c r="A2" s="91" t="s">
        <v>2962</v>
      </c>
    </row>
    <row r="4" spans="1:11" ht="15" customHeight="1">
      <c r="A4" s="1441" t="s">
        <v>852</v>
      </c>
      <c r="B4" s="1441"/>
      <c r="C4" s="1441"/>
      <c r="D4" s="1441"/>
      <c r="E4" s="1441"/>
      <c r="F4" s="1441"/>
      <c r="G4" s="1441"/>
      <c r="H4" s="1441"/>
      <c r="I4" s="1441"/>
      <c r="J4" s="1442"/>
    </row>
    <row r="5" spans="1:11">
      <c r="A5" s="1443"/>
      <c r="B5" s="1443"/>
      <c r="C5" s="1443" t="s">
        <v>309</v>
      </c>
      <c r="D5" s="1443" t="s">
        <v>850</v>
      </c>
      <c r="E5" s="1443" t="s">
        <v>851</v>
      </c>
      <c r="F5" s="1443" t="s">
        <v>310</v>
      </c>
      <c r="G5" s="1443" t="s">
        <v>914</v>
      </c>
      <c r="H5" s="1443" t="s">
        <v>311</v>
      </c>
      <c r="I5" s="1443" t="s">
        <v>13</v>
      </c>
      <c r="J5" s="1444"/>
    </row>
    <row r="6" spans="1:11">
      <c r="A6" s="1445"/>
      <c r="B6" s="1443"/>
      <c r="C6" s="1443"/>
      <c r="D6" s="1443"/>
      <c r="E6" s="1443"/>
      <c r="F6" s="1443"/>
      <c r="G6" s="1443"/>
      <c r="H6" s="1443"/>
      <c r="I6" s="1443"/>
      <c r="J6" s="1446"/>
      <c r="K6" s="92"/>
    </row>
    <row r="7" spans="1:11">
      <c r="A7" s="1445"/>
      <c r="B7" s="1379" t="s">
        <v>2</v>
      </c>
      <c r="C7" s="1341">
        <v>55323.193292979129</v>
      </c>
      <c r="D7" s="1341">
        <v>2330.5973128607998</v>
      </c>
      <c r="E7" s="1341">
        <v>654.01660504061476</v>
      </c>
      <c r="F7" s="1341"/>
      <c r="G7" s="1341"/>
      <c r="H7" s="1341"/>
      <c r="I7" s="1341">
        <f t="shared" ref="I7:I15" si="0">SUM(C7:H7)</f>
        <v>58307.807210880543</v>
      </c>
      <c r="J7" s="1446"/>
    </row>
    <row r="8" spans="1:11">
      <c r="A8" s="1445"/>
      <c r="B8" s="1379" t="s">
        <v>313</v>
      </c>
      <c r="C8" s="1341">
        <v>5435.9588615484618</v>
      </c>
      <c r="D8" s="1341">
        <v>157.07734548800204</v>
      </c>
      <c r="E8" s="1341">
        <v>45.76657367939135</v>
      </c>
      <c r="F8" s="1341"/>
      <c r="G8" s="1341"/>
      <c r="H8" s="1341"/>
      <c r="I8" s="1341">
        <f t="shared" si="0"/>
        <v>5638.8027807158551</v>
      </c>
      <c r="J8" s="1446"/>
    </row>
    <row r="9" spans="1:11">
      <c r="A9" s="1445"/>
      <c r="B9" s="1379" t="s">
        <v>6</v>
      </c>
      <c r="C9" s="1341">
        <v>228.83715308922152</v>
      </c>
      <c r="D9" s="1341">
        <v>10.63034911864049</v>
      </c>
      <c r="E9" s="1341">
        <v>2.303047138047138</v>
      </c>
      <c r="F9" s="1341">
        <v>93.84709109589042</v>
      </c>
      <c r="G9" s="1341"/>
      <c r="H9" s="1341"/>
      <c r="I9" s="1341">
        <f t="shared" si="0"/>
        <v>335.61764044179955</v>
      </c>
      <c r="J9" s="1446"/>
    </row>
    <row r="10" spans="1:11">
      <c r="A10" s="1445"/>
      <c r="B10" s="1379" t="s">
        <v>3</v>
      </c>
      <c r="C10" s="1341">
        <v>55498.411302035769</v>
      </c>
      <c r="D10" s="1341">
        <v>2341.2003062963158</v>
      </c>
      <c r="E10" s="1341">
        <v>659.94772161001731</v>
      </c>
      <c r="F10" s="1341"/>
      <c r="G10" s="1341"/>
      <c r="H10" s="1341"/>
      <c r="I10" s="1341">
        <f t="shared" si="0"/>
        <v>58499.559329942102</v>
      </c>
      <c r="J10" s="1446"/>
    </row>
    <row r="11" spans="1:11">
      <c r="A11" s="1445"/>
      <c r="B11" s="1379" t="s">
        <v>4</v>
      </c>
      <c r="C11" s="1341">
        <v>20160.670458474753</v>
      </c>
      <c r="D11" s="1341">
        <v>593.45840902210114</v>
      </c>
      <c r="E11" s="1341">
        <v>108.11273747841106</v>
      </c>
      <c r="F11" s="1341"/>
      <c r="G11" s="1341"/>
      <c r="H11" s="1341"/>
      <c r="I11" s="1341">
        <f t="shared" si="0"/>
        <v>20862.241604975265</v>
      </c>
      <c r="J11" s="1446"/>
    </row>
    <row r="12" spans="1:11">
      <c r="A12" s="1445"/>
      <c r="B12" s="1379" t="s">
        <v>308</v>
      </c>
      <c r="C12" s="1341">
        <v>11078.172446017497</v>
      </c>
      <c r="D12" s="1341">
        <v>245.2917833800187</v>
      </c>
      <c r="E12" s="1341">
        <v>16.137156270959093</v>
      </c>
      <c r="F12" s="1341"/>
      <c r="G12" s="1341"/>
      <c r="H12" s="1341"/>
      <c r="I12" s="1341">
        <f t="shared" si="0"/>
        <v>11339.601385668475</v>
      </c>
      <c r="J12" s="1446"/>
    </row>
    <row r="13" spans="1:11">
      <c r="A13" s="1445"/>
      <c r="B13" s="1379" t="s">
        <v>314</v>
      </c>
      <c r="C13" s="1341"/>
      <c r="D13" s="1341"/>
      <c r="E13" s="1341"/>
      <c r="F13" s="1341">
        <v>4717.6020778969496</v>
      </c>
      <c r="G13" s="1341"/>
      <c r="H13" s="1341"/>
      <c r="I13" s="1341">
        <f t="shared" si="0"/>
        <v>4717.6020778969496</v>
      </c>
      <c r="J13" s="1446"/>
      <c r="K13" s="93"/>
    </row>
    <row r="14" spans="1:11">
      <c r="A14" s="1445"/>
      <c r="B14" s="1379" t="s">
        <v>311</v>
      </c>
      <c r="C14" s="1341"/>
      <c r="D14" s="1341"/>
      <c r="E14" s="1341"/>
      <c r="F14" s="1341"/>
      <c r="G14" s="1341"/>
      <c r="H14" s="1341">
        <f>+'[43]Pivot '!$E$8</f>
        <v>3767</v>
      </c>
      <c r="I14" s="1341">
        <f t="shared" si="0"/>
        <v>3767</v>
      </c>
      <c r="J14" s="1446"/>
      <c r="K14" s="93"/>
    </row>
    <row r="15" spans="1:11">
      <c r="A15" s="1445"/>
      <c r="B15" s="1379" t="s">
        <v>315</v>
      </c>
      <c r="C15" s="1341"/>
      <c r="D15" s="1341"/>
      <c r="E15" s="1341"/>
      <c r="F15" s="1341"/>
      <c r="G15" s="1341">
        <v>2</v>
      </c>
      <c r="H15" s="1341"/>
      <c r="I15" s="1341">
        <f t="shared" si="0"/>
        <v>2</v>
      </c>
      <c r="J15" s="1446"/>
    </row>
    <row r="16" spans="1:11">
      <c r="A16" s="1445"/>
      <c r="B16" s="1379"/>
      <c r="C16" s="1341"/>
      <c r="D16" s="1341"/>
      <c r="E16" s="1341"/>
      <c r="F16" s="1341"/>
      <c r="G16" s="1341"/>
      <c r="H16" s="1341"/>
      <c r="I16" s="1341"/>
      <c r="J16" s="1446"/>
    </row>
    <row r="17" spans="1:10" ht="12" thickBot="1">
      <c r="A17" s="1445"/>
      <c r="B17" s="1379" t="s">
        <v>13</v>
      </c>
      <c r="C17" s="1447">
        <f>SUM(C7:C15)</f>
        <v>147725.24351414482</v>
      </c>
      <c r="D17" s="1447">
        <f>SUM(D7:D15)</f>
        <v>5678.2555061658786</v>
      </c>
      <c r="E17" s="1447">
        <f>SUM(E7:E15)</f>
        <v>1486.2838412174408</v>
      </c>
      <c r="F17" s="1447">
        <f t="shared" ref="F17:H17" si="1">SUM(F7:F15)</f>
        <v>4811.44916899284</v>
      </c>
      <c r="G17" s="1447">
        <f t="shared" si="1"/>
        <v>2</v>
      </c>
      <c r="H17" s="1447">
        <f t="shared" si="1"/>
        <v>3767</v>
      </c>
      <c r="I17" s="1447">
        <f>SUM(I7:I15)</f>
        <v>163470.232030521</v>
      </c>
      <c r="J17" s="1446"/>
    </row>
    <row r="18" spans="1:10" ht="12" thickTop="1">
      <c r="A18" s="1445"/>
      <c r="B18" s="1379"/>
      <c r="C18" s="1379"/>
      <c r="D18" s="1379"/>
      <c r="E18" s="1379"/>
      <c r="F18" s="1379"/>
      <c r="G18" s="1379"/>
      <c r="H18" s="1379"/>
      <c r="I18" s="1379"/>
      <c r="J18" s="1446"/>
    </row>
    <row r="19" spans="1:10">
      <c r="A19" s="1445"/>
      <c r="B19" s="1379" t="s">
        <v>341</v>
      </c>
      <c r="C19" s="1448">
        <f>C17/$I$17</f>
        <v>0.90368283986140985</v>
      </c>
      <c r="D19" s="1448">
        <f>D17/$I$17</f>
        <v>3.4735715705754365E-2</v>
      </c>
      <c r="E19" s="1448">
        <f>E17/$I$17</f>
        <v>9.0920764151111097E-3</v>
      </c>
      <c r="F19" s="1448">
        <f>F17/I17</f>
        <v>2.9433182477495413E-2</v>
      </c>
      <c r="G19" s="1448">
        <f>G17/I17</f>
        <v>1.2234643428086568E-5</v>
      </c>
      <c r="H19" s="1448">
        <f>H17/I17</f>
        <v>2.3043950896801051E-2</v>
      </c>
      <c r="I19" s="1448">
        <f>SUM(C19:H19)</f>
        <v>0.99999999999999978</v>
      </c>
      <c r="J19" s="1446"/>
    </row>
    <row r="20" spans="1:10">
      <c r="A20" s="1445"/>
      <c r="B20" s="1379"/>
      <c r="C20" s="1448"/>
      <c r="D20" s="1448"/>
      <c r="E20" s="1448"/>
      <c r="F20" s="1448"/>
      <c r="G20" s="1448"/>
      <c r="H20" s="1448"/>
      <c r="I20" s="1448"/>
      <c r="J20" s="1446"/>
    </row>
    <row r="21" spans="1:10">
      <c r="A21" s="1445"/>
      <c r="B21" s="1379" t="s">
        <v>352</v>
      </c>
      <c r="C21" s="1449">
        <f>C17/($F$17+$C$17+$D$17+$E$17)</f>
        <v>0.92501004304032308</v>
      </c>
      <c r="D21" s="1449">
        <f t="shared" ref="D21:F21" si="2">D17/($F$17+$C$17+$D$17+$E$17)</f>
        <v>3.5555489672619997E-2</v>
      </c>
      <c r="E21" s="1449">
        <f t="shared" si="2"/>
        <v>9.3066523177065576E-3</v>
      </c>
      <c r="F21" s="1449">
        <f t="shared" si="2"/>
        <v>3.0127814969350453E-2</v>
      </c>
      <c r="G21" s="1448"/>
      <c r="H21" s="1448"/>
      <c r="I21" s="1448">
        <f>SUM(C21:H21)</f>
        <v>1</v>
      </c>
      <c r="J21" s="1446"/>
    </row>
    <row r="22" spans="1:10">
      <c r="A22" s="1445"/>
      <c r="B22" s="1379"/>
      <c r="C22" s="1449"/>
      <c r="D22" s="1449"/>
      <c r="E22" s="1449"/>
      <c r="F22" s="1449"/>
      <c r="G22" s="1448"/>
      <c r="H22" s="1448"/>
      <c r="I22" s="1448"/>
      <c r="J22" s="1446"/>
    </row>
    <row r="23" spans="1:10">
      <c r="A23" s="1445"/>
      <c r="B23" s="1379" t="s">
        <v>1910</v>
      </c>
      <c r="C23" s="1449">
        <f>+C17/SUM($C$17:$E$17)</f>
        <v>0.95374427405719575</v>
      </c>
      <c r="D23" s="1449">
        <f>+D17/SUM($C$17:$E$17)</f>
        <v>3.6659974604278799E-2</v>
      </c>
      <c r="E23" s="1449">
        <f>+E17/SUM($C$17:$E$17)</f>
        <v>9.5957513385255527E-3</v>
      </c>
      <c r="F23" s="1449"/>
      <c r="G23" s="1448"/>
      <c r="H23" s="1448"/>
      <c r="I23" s="1448">
        <f>SUM(C23:H23)</f>
        <v>1.0000000000000002</v>
      </c>
      <c r="J23" s="1446"/>
    </row>
    <row r="24" spans="1:10">
      <c r="A24" s="1445"/>
      <c r="B24" s="1379"/>
      <c r="C24" s="1449"/>
      <c r="D24" s="1449"/>
      <c r="E24" s="1449"/>
      <c r="F24" s="1449"/>
      <c r="G24" s="1448"/>
      <c r="H24" s="1448"/>
      <c r="I24" s="1448"/>
      <c r="J24" s="1446"/>
    </row>
    <row r="25" spans="1:10">
      <c r="A25" s="1445"/>
      <c r="B25" s="1379" t="s">
        <v>380</v>
      </c>
      <c r="C25" s="1449">
        <f>+C9/SUM($C$9:$F$9)</f>
        <v>0.68183887112723096</v>
      </c>
      <c r="D25" s="1449">
        <f>+D9/SUM($C$9:$F$9)</f>
        <v>3.1673988008040749E-2</v>
      </c>
      <c r="E25" s="1449">
        <f>+E9/SUM($C$9:$F$9)</f>
        <v>6.8621158739315914E-3</v>
      </c>
      <c r="F25" s="1449">
        <f>+F9/SUM($C$9:$F$9)</f>
        <v>0.27962502499079672</v>
      </c>
      <c r="G25" s="1448"/>
      <c r="H25" s="1448"/>
      <c r="I25" s="1448">
        <f>SUM(C25:H25)</f>
        <v>1</v>
      </c>
      <c r="J25" s="1446"/>
    </row>
    <row r="26" spans="1:10">
      <c r="A26" s="1445"/>
      <c r="B26" s="1379"/>
      <c r="C26" s="1449"/>
      <c r="D26" s="1449"/>
      <c r="E26" s="1449"/>
      <c r="F26" s="1449"/>
      <c r="G26" s="1448"/>
      <c r="H26" s="1448"/>
      <c r="I26" s="1448"/>
      <c r="J26" s="1446"/>
    </row>
    <row r="27" spans="1:10">
      <c r="A27" s="1445"/>
      <c r="B27" s="1379" t="s">
        <v>861</v>
      </c>
      <c r="C27" s="1449">
        <f>+C8/SUM($C$8:$E$8)</f>
        <v>0.96402713003882678</v>
      </c>
      <c r="D27" s="1449">
        <f>+D8/SUM($C$8:$E$8)</f>
        <v>2.7856506353652045E-2</v>
      </c>
      <c r="E27" s="1449">
        <f>+E8/SUM($C$8:$E$8)</f>
        <v>8.116363607521172E-3</v>
      </c>
      <c r="F27" s="1449"/>
      <c r="G27" s="1448"/>
      <c r="H27" s="1448"/>
      <c r="I27" s="1448">
        <f>SUM(C27:H27)</f>
        <v>1</v>
      </c>
      <c r="J27" s="1446"/>
    </row>
    <row r="28" spans="1:10">
      <c r="A28" s="1445"/>
      <c r="B28" s="1379"/>
      <c r="C28" s="1449"/>
      <c r="D28" s="1449"/>
      <c r="E28" s="1449"/>
      <c r="F28" s="1449"/>
      <c r="G28" s="1448"/>
      <c r="H28" s="1448"/>
      <c r="I28" s="1448"/>
      <c r="J28" s="1446"/>
    </row>
    <row r="29" spans="1:10">
      <c r="A29" s="1445"/>
      <c r="B29" s="1379" t="s">
        <v>862</v>
      </c>
      <c r="C29" s="1449">
        <f>+C7/SUM($C$7:$E$7)</f>
        <v>0.94881279093369042</v>
      </c>
      <c r="D29" s="1449">
        <f>+D7/SUM($C$7:$E$7)</f>
        <v>3.997058754810965E-2</v>
      </c>
      <c r="E29" s="1449">
        <f>+E7/SUM($C$7:$E$7)</f>
        <v>1.1216621518199913E-2</v>
      </c>
      <c r="F29" s="1449"/>
      <c r="G29" s="1448"/>
      <c r="H29" s="1448"/>
      <c r="I29" s="1448">
        <f>SUM(C29:H29)</f>
        <v>1</v>
      </c>
      <c r="J29" s="1446"/>
    </row>
    <row r="30" spans="1:10">
      <c r="A30" s="1445"/>
      <c r="B30" s="1379"/>
      <c r="C30" s="1449"/>
      <c r="D30" s="1449"/>
      <c r="E30" s="1449"/>
      <c r="F30" s="1449"/>
      <c r="G30" s="1448"/>
      <c r="H30" s="1448"/>
      <c r="I30" s="1448"/>
      <c r="J30" s="1446"/>
    </row>
    <row r="31" spans="1:10">
      <c r="A31" s="1445"/>
      <c r="B31" s="1379" t="s">
        <v>864</v>
      </c>
      <c r="C31" s="1449">
        <f>+C10/SUM($C$10:$E$10)</f>
        <v>0.94869793786001666</v>
      </c>
      <c r="D31" s="1449">
        <f>+D10/SUM($C$10:$E$10)</f>
        <v>4.0020819526037157E-2</v>
      </c>
      <c r="E31" s="1449">
        <f>+E10/SUM($C$10:$E$10)</f>
        <v>1.1281242613946208E-2</v>
      </c>
      <c r="F31" s="1449"/>
      <c r="G31" s="1448"/>
      <c r="H31" s="1448"/>
      <c r="I31" s="1448">
        <f>SUM(C31:H31)</f>
        <v>1</v>
      </c>
      <c r="J31" s="1446"/>
    </row>
    <row r="32" spans="1:10">
      <c r="A32" s="1445"/>
      <c r="B32" s="1379"/>
      <c r="C32" s="1449"/>
      <c r="D32" s="1449"/>
      <c r="E32" s="1449"/>
      <c r="F32" s="1449"/>
      <c r="G32" s="1448"/>
      <c r="H32" s="1448"/>
      <c r="I32" s="1448"/>
      <c r="J32" s="1446"/>
    </row>
    <row r="33" spans="1:12">
      <c r="A33" s="1445"/>
      <c r="B33" s="1379" t="s">
        <v>866</v>
      </c>
      <c r="C33" s="1449">
        <f>+C11/SUM($C$11:$E$11)</f>
        <v>0.96637124812449682</v>
      </c>
      <c r="D33" s="1449">
        <f>+D11/SUM($C$11:$E$11)</f>
        <v>2.8446531310449982E-2</v>
      </c>
      <c r="E33" s="1449">
        <f>+E11/SUM($C$11:$E$11)</f>
        <v>5.1822205650531887E-3</v>
      </c>
      <c r="F33" s="1449"/>
      <c r="G33" s="1448"/>
      <c r="H33" s="1448"/>
      <c r="I33" s="1448">
        <f>SUM(C33:H33)</f>
        <v>1</v>
      </c>
      <c r="J33" s="1446"/>
    </row>
    <row r="34" spans="1:12">
      <c r="A34" s="1445"/>
      <c r="B34" s="1379"/>
      <c r="C34" s="1449"/>
      <c r="D34" s="1449"/>
      <c r="E34" s="1449"/>
      <c r="F34" s="1449"/>
      <c r="G34" s="1448"/>
      <c r="H34" s="1448"/>
      <c r="I34" s="1448"/>
      <c r="J34" s="1446"/>
    </row>
    <row r="35" spans="1:12">
      <c r="A35" s="1445"/>
      <c r="B35" s="1379" t="s">
        <v>915</v>
      </c>
      <c r="C35" s="1449">
        <f>+C17/SUM($C$17:$F$17,$H$17)</f>
        <v>0.90369389623399854</v>
      </c>
      <c r="D35" s="1449">
        <f>+D17/SUM($C$17:$F$17,$H$17)</f>
        <v>3.473614069004978E-2</v>
      </c>
      <c r="E35" s="1449">
        <f>+E17/SUM($C$17:$F$17,$H$17)</f>
        <v>9.0921876547850489E-3</v>
      </c>
      <c r="F35" s="1449">
        <f>+F17/SUM($C$17:$F$17,$H$17)</f>
        <v>2.9433542586393788E-2</v>
      </c>
      <c r="G35" s="1448"/>
      <c r="H35" s="1449">
        <f>+H17/SUM($C$17:$F$17,$H$17)</f>
        <v>2.304423283477286E-2</v>
      </c>
      <c r="I35" s="1448">
        <f>SUM(C35:H35)</f>
        <v>1</v>
      </c>
      <c r="J35" s="1446"/>
    </row>
    <row r="36" spans="1:12">
      <c r="A36" s="1445"/>
      <c r="B36" s="1379"/>
      <c r="C36" s="1449"/>
      <c r="D36" s="1449"/>
      <c r="E36" s="1449"/>
      <c r="F36" s="1449"/>
      <c r="G36" s="1448"/>
      <c r="H36" s="1449"/>
      <c r="I36" s="1448"/>
      <c r="J36" s="1446"/>
    </row>
    <row r="37" spans="1:12">
      <c r="A37" s="1445"/>
      <c r="B37" s="1379" t="s">
        <v>949</v>
      </c>
      <c r="C37" s="1449">
        <f>+C8/SUM($C$8:$E$8,$F$13)</f>
        <v>0.52488860137866267</v>
      </c>
      <c r="D37" s="1449">
        <f>+D8/SUM($C$8:$E$8,$F$13)</f>
        <v>1.5167169266984592E-2</v>
      </c>
      <c r="E37" s="1449">
        <f>+E8/SUM($C$8:$E$8,$F$13)</f>
        <v>4.4191564837608695E-3</v>
      </c>
      <c r="F37" s="1449">
        <f>+F13/SUM($C$8:$E$8,$F$13)</f>
        <v>0.45552507287059185</v>
      </c>
      <c r="G37" s="1448"/>
      <c r="H37" s="1449"/>
      <c r="I37" s="1448"/>
      <c r="J37" s="1446"/>
    </row>
    <row r="38" spans="1:12">
      <c r="A38" s="1450"/>
      <c r="B38" s="1451"/>
      <c r="C38" s="1452"/>
      <c r="D38" s="1452"/>
      <c r="E38" s="1452"/>
      <c r="F38" s="1452"/>
      <c r="G38" s="1452"/>
      <c r="H38" s="1452"/>
      <c r="I38" s="1452"/>
      <c r="J38" s="1453"/>
    </row>
    <row r="39" spans="1:12">
      <c r="A39" s="1379"/>
      <c r="B39" s="1379"/>
      <c r="C39" s="1448"/>
      <c r="D39" s="1448"/>
      <c r="E39" s="1448"/>
      <c r="F39" s="1448"/>
      <c r="G39" s="1448"/>
      <c r="H39" s="1448"/>
      <c r="I39" s="1448"/>
      <c r="J39" s="1379"/>
    </row>
    <row r="40" spans="1:12">
      <c r="A40" s="1454"/>
      <c r="B40" s="1455"/>
      <c r="C40" s="1456"/>
      <c r="D40" s="1456"/>
      <c r="E40" s="1456"/>
      <c r="F40" s="1456"/>
      <c r="G40" s="1456"/>
      <c r="H40" s="1456"/>
      <c r="I40" s="1456"/>
      <c r="J40" s="1457"/>
    </row>
    <row r="41" spans="1:12">
      <c r="A41" s="1458" t="s">
        <v>563</v>
      </c>
      <c r="B41" s="1459"/>
      <c r="C41" s="1443" t="s">
        <v>309</v>
      </c>
      <c r="D41" s="1443" t="s">
        <v>850</v>
      </c>
      <c r="E41" s="1443" t="s">
        <v>851</v>
      </c>
      <c r="F41" s="1443" t="s">
        <v>316</v>
      </c>
      <c r="G41" s="1443">
        <v>2184</v>
      </c>
      <c r="H41" s="1443">
        <v>2185</v>
      </c>
      <c r="I41" s="1443" t="s">
        <v>13</v>
      </c>
      <c r="J41" s="1446"/>
    </row>
    <row r="42" spans="1:12">
      <c r="A42" s="1445"/>
      <c r="B42" s="1459"/>
      <c r="C42" s="1379"/>
      <c r="D42" s="1379"/>
      <c r="E42" s="1379"/>
      <c r="F42" s="1379"/>
      <c r="G42" s="1379"/>
      <c r="H42" s="1379"/>
      <c r="I42" s="1379"/>
      <c r="J42" s="1446"/>
    </row>
    <row r="43" spans="1:12">
      <c r="A43" s="1445"/>
      <c r="B43" s="1379" t="s">
        <v>317</v>
      </c>
      <c r="C43" s="1460">
        <f>+[44]Summary!J5+[44]Summary!K5</f>
        <v>1089.3218724999999</v>
      </c>
      <c r="D43" s="1460">
        <f>+[44]Summary!L5</f>
        <v>46.573004999999995</v>
      </c>
      <c r="E43" s="1460">
        <f>+[44]Summary!M5</f>
        <v>10.595095000000001</v>
      </c>
      <c r="F43" s="1460"/>
      <c r="G43" s="1460"/>
      <c r="H43" s="1460"/>
      <c r="I43" s="1460">
        <f>SUM(C43:H43)</f>
        <v>1146.4899724999998</v>
      </c>
      <c r="J43" s="1461"/>
      <c r="K43" s="1082"/>
      <c r="L43" s="94"/>
    </row>
    <row r="44" spans="1:12">
      <c r="A44" s="1445"/>
      <c r="B44" s="1379"/>
      <c r="C44" s="1460"/>
      <c r="D44" s="1460"/>
      <c r="E44" s="1460"/>
      <c r="F44" s="1460"/>
      <c r="G44" s="1460"/>
      <c r="H44" s="1460"/>
      <c r="I44" s="1460">
        <f t="shared" ref="I44:I52" si="3">SUM(C44:H44)</f>
        <v>0</v>
      </c>
      <c r="J44" s="1446"/>
      <c r="K44" s="94"/>
      <c r="L44" s="94"/>
    </row>
    <row r="45" spans="1:12">
      <c r="A45" s="1445"/>
      <c r="B45" s="1379" t="s">
        <v>318</v>
      </c>
      <c r="C45" s="1460">
        <f>+[44]Summary!J7+[44]Summary!K7</f>
        <v>214.86992100000015</v>
      </c>
      <c r="D45" s="1460">
        <f>+[44]Summary!L7</f>
        <v>27.203730499999995</v>
      </c>
      <c r="E45" s="1460">
        <f>+[44]Summary!M7</f>
        <v>4.5172430000000006</v>
      </c>
      <c r="F45" s="1460"/>
      <c r="G45" s="1460"/>
      <c r="H45" s="1460"/>
      <c r="I45" s="1460">
        <f t="shared" si="3"/>
        <v>246.59089450000016</v>
      </c>
      <c r="J45" s="1461"/>
      <c r="K45" s="94"/>
      <c r="L45" s="94"/>
    </row>
    <row r="46" spans="1:12">
      <c r="A46" s="1445"/>
      <c r="B46" s="1379" t="s">
        <v>3</v>
      </c>
      <c r="C46" s="1460">
        <f>+[44]Summary!J8+[44]Summary!K8</f>
        <v>515.16882499999997</v>
      </c>
      <c r="D46" s="1460">
        <f>+[44]Summary!L8</f>
        <v>20.800094999999999</v>
      </c>
      <c r="E46" s="1460">
        <f>+[44]Summary!M8</f>
        <v>6.6287799999999999</v>
      </c>
      <c r="F46" s="1460"/>
      <c r="G46" s="1460"/>
      <c r="H46" s="1460"/>
      <c r="I46" s="1460">
        <f t="shared" si="3"/>
        <v>542.59770000000003</v>
      </c>
      <c r="J46" s="1461"/>
      <c r="K46" s="94"/>
      <c r="L46" s="94"/>
    </row>
    <row r="47" spans="1:12">
      <c r="A47" s="1445"/>
      <c r="B47" s="1379" t="s">
        <v>4</v>
      </c>
      <c r="C47" s="1460">
        <f>+[44]Summary!J9+[44]Summary!K9</f>
        <v>149.98251750000003</v>
      </c>
      <c r="D47" s="1460">
        <f>+[44]Summary!L9</f>
        <v>9.1537299999999995</v>
      </c>
      <c r="E47" s="1460">
        <f>+[44]Summary!M9</f>
        <v>1.2095800000000003</v>
      </c>
      <c r="F47" s="1460"/>
      <c r="G47" s="1460"/>
      <c r="H47" s="1460"/>
      <c r="I47" s="1460">
        <f t="shared" si="3"/>
        <v>160.34582750000001</v>
      </c>
      <c r="J47" s="1461"/>
      <c r="K47" s="94"/>
      <c r="L47" s="94"/>
    </row>
    <row r="48" spans="1:12">
      <c r="A48" s="1445"/>
      <c r="B48" s="1379" t="s">
        <v>308</v>
      </c>
      <c r="C48" s="1460">
        <f>[44]Summary!$C$10</f>
        <v>66.737814613861758</v>
      </c>
      <c r="D48" s="1460">
        <f>+[44]Summary!L10</f>
        <v>0</v>
      </c>
      <c r="E48" s="1460">
        <f>+[44]Summary!M10</f>
        <v>0</v>
      </c>
      <c r="F48" s="1460"/>
      <c r="G48" s="1460"/>
      <c r="H48" s="1460"/>
      <c r="I48" s="1460">
        <f t="shared" si="3"/>
        <v>66.737814613861758</v>
      </c>
      <c r="J48" s="1461"/>
      <c r="K48" s="94"/>
      <c r="L48" s="94"/>
    </row>
    <row r="49" spans="1:13">
      <c r="A49" s="1445"/>
      <c r="B49" s="1379" t="s">
        <v>311</v>
      </c>
      <c r="C49" s="1460"/>
      <c r="D49" s="1460"/>
      <c r="E49" s="1460"/>
      <c r="F49" s="1460"/>
      <c r="G49" s="1460"/>
      <c r="H49" s="1460">
        <f>+'[45]PR Pivot'!$G$59</f>
        <v>584.4749996346153</v>
      </c>
      <c r="I49" s="1460">
        <f t="shared" si="3"/>
        <v>584.4749996346153</v>
      </c>
      <c r="J49" s="1461"/>
      <c r="K49" s="94"/>
      <c r="L49" s="94"/>
    </row>
    <row r="50" spans="1:13">
      <c r="A50" s="1445"/>
      <c r="B50" s="1379" t="s">
        <v>310</v>
      </c>
      <c r="C50" s="1460"/>
      <c r="D50" s="1460"/>
      <c r="E50" s="1460"/>
      <c r="F50" s="1460">
        <f>[44]Summary!$D$12</f>
        <v>309.94718538613824</v>
      </c>
      <c r="G50" s="1460"/>
      <c r="H50" s="1460"/>
      <c r="I50" s="1460">
        <f t="shared" si="3"/>
        <v>309.94718538613824</v>
      </c>
      <c r="J50" s="1446"/>
      <c r="K50" s="94"/>
      <c r="L50" s="94"/>
    </row>
    <row r="51" spans="1:13">
      <c r="A51" s="1445"/>
      <c r="B51" s="1379" t="s">
        <v>319</v>
      </c>
      <c r="C51" s="1460"/>
      <c r="D51" s="1460"/>
      <c r="E51" s="1460"/>
      <c r="F51" s="1460">
        <f>+'[44]Route Hrs for Proforma'!C12</f>
        <v>202.40910550000007</v>
      </c>
      <c r="G51" s="1460"/>
      <c r="H51" s="1460"/>
      <c r="I51" s="1460">
        <f t="shared" si="3"/>
        <v>202.40910550000007</v>
      </c>
      <c r="J51" s="1446"/>
      <c r="K51" s="94"/>
      <c r="L51" s="94"/>
    </row>
    <row r="52" spans="1:13">
      <c r="A52" s="1445"/>
      <c r="B52" s="1379" t="s">
        <v>320</v>
      </c>
      <c r="C52" s="1460"/>
      <c r="D52" s="1460"/>
      <c r="E52" s="1460"/>
      <c r="F52" s="1460"/>
      <c r="G52" s="1460">
        <f>+'[45]PR Pivot'!$G$60</f>
        <v>875.89198646153841</v>
      </c>
      <c r="H52" s="1460"/>
      <c r="I52" s="1460">
        <f t="shared" si="3"/>
        <v>875.89198646153841</v>
      </c>
      <c r="J52" s="1446"/>
      <c r="L52" s="94"/>
    </row>
    <row r="53" spans="1:13">
      <c r="A53" s="1445"/>
      <c r="B53" s="1379"/>
      <c r="C53" s="1460"/>
      <c r="D53" s="1460"/>
      <c r="E53" s="1460"/>
      <c r="F53" s="1460"/>
      <c r="G53" s="1460"/>
      <c r="H53" s="1460"/>
      <c r="I53" s="1462"/>
      <c r="J53" s="1446"/>
      <c r="K53" s="94"/>
      <c r="L53" s="94"/>
      <c r="M53" s="94"/>
    </row>
    <row r="54" spans="1:13" ht="12" thickBot="1">
      <c r="A54" s="1445"/>
      <c r="B54" s="1459" t="s">
        <v>321</v>
      </c>
      <c r="C54" s="1463">
        <f t="shared" ref="C54:I54" si="4">SUM(C43:C53)</f>
        <v>2036.0809506138619</v>
      </c>
      <c r="D54" s="1463">
        <f t="shared" si="4"/>
        <v>103.73056049999998</v>
      </c>
      <c r="E54" s="1463">
        <f t="shared" si="4"/>
        <v>22.950697999999999</v>
      </c>
      <c r="F54" s="1463">
        <f t="shared" si="4"/>
        <v>512.35629088613837</v>
      </c>
      <c r="G54" s="1463">
        <f t="shared" si="4"/>
        <v>875.89198646153841</v>
      </c>
      <c r="H54" s="1463">
        <f t="shared" si="4"/>
        <v>584.4749996346153</v>
      </c>
      <c r="I54" s="1464">
        <f t="shared" si="4"/>
        <v>4135.4854860961532</v>
      </c>
      <c r="J54" s="1461"/>
      <c r="K54" s="94"/>
      <c r="L54" s="645"/>
      <c r="M54" s="94"/>
    </row>
    <row r="55" spans="1:13" ht="12" thickTop="1">
      <c r="A55" s="1445"/>
      <c r="B55" s="1379"/>
      <c r="C55" s="1379"/>
      <c r="D55" s="1379"/>
      <c r="E55" s="1379"/>
      <c r="F55" s="1462"/>
      <c r="G55" s="1379"/>
      <c r="H55" s="1379"/>
      <c r="I55" s="1379"/>
      <c r="J55" s="1446"/>
    </row>
    <row r="56" spans="1:13">
      <c r="A56" s="1445"/>
      <c r="B56" s="1379" t="s">
        <v>337</v>
      </c>
      <c r="C56" s="1449">
        <f t="shared" ref="C56:H56" si="5">C54/$I$54</f>
        <v>0.49234387533442825</v>
      </c>
      <c r="D56" s="1449">
        <f t="shared" si="5"/>
        <v>2.5083043054739466E-2</v>
      </c>
      <c r="E56" s="1449">
        <f t="shared" si="5"/>
        <v>5.5496985969754114E-3</v>
      </c>
      <c r="F56" s="1449">
        <f t="shared" si="5"/>
        <v>0.12389265845780935</v>
      </c>
      <c r="G56" s="1449">
        <f t="shared" si="5"/>
        <v>0.21179907157366656</v>
      </c>
      <c r="H56" s="1449">
        <f t="shared" si="5"/>
        <v>0.14133165298238115</v>
      </c>
      <c r="I56" s="1465">
        <f>SUM(C56:H56)</f>
        <v>1.0000000000000002</v>
      </c>
      <c r="J56" s="1466"/>
    </row>
    <row r="57" spans="1:13">
      <c r="A57" s="1445"/>
      <c r="B57" s="1379"/>
      <c r="C57" s="1449"/>
      <c r="D57" s="1449"/>
      <c r="E57" s="1449"/>
      <c r="F57" s="1449"/>
      <c r="G57" s="1449"/>
      <c r="H57" s="1449"/>
      <c r="I57" s="1465"/>
      <c r="J57" s="1466"/>
    </row>
    <row r="58" spans="1:13">
      <c r="A58" s="1445"/>
      <c r="B58" s="1379" t="s">
        <v>566</v>
      </c>
      <c r="C58" s="1449">
        <f>+C54/(SUM($C$54:$F$54,$H$54))</f>
        <v>0.62464259756380558</v>
      </c>
      <c r="D58" s="1449">
        <f>+D54/(SUM($C$54:$F$54,$H$54))</f>
        <v>3.1823158474094289E-2</v>
      </c>
      <c r="E58" s="1449">
        <f>+E54/(SUM($C$54:$F$54,$H$54))</f>
        <v>7.0409693731971973E-3</v>
      </c>
      <c r="F58" s="1449">
        <f>+F54/(SUM($C$54:$F$54,$H$54))</f>
        <v>0.15718410622170248</v>
      </c>
      <c r="G58" s="1449"/>
      <c r="H58" s="1449">
        <f>+H54/(SUM($C$54:$F$54,$H$54))</f>
        <v>0.1793091683672004</v>
      </c>
      <c r="I58" s="1465">
        <f>SUM(C58:H58)</f>
        <v>1</v>
      </c>
      <c r="J58" s="1466"/>
    </row>
    <row r="59" spans="1:13">
      <c r="A59" s="1445"/>
      <c r="B59" s="1379"/>
      <c r="C59" s="1449"/>
      <c r="D59" s="1449"/>
      <c r="E59" s="1449"/>
      <c r="F59" s="1449"/>
      <c r="G59" s="1449"/>
      <c r="H59" s="1449"/>
      <c r="I59" s="1465"/>
      <c r="J59" s="1466"/>
    </row>
    <row r="60" spans="1:13">
      <c r="A60" s="1445"/>
      <c r="B60" s="1379" t="s">
        <v>349</v>
      </c>
      <c r="C60" s="1449">
        <f>C54/($F$54+$D$54+$E$54+$C$54)</f>
        <v>0.76111804042096132</v>
      </c>
      <c r="D60" s="1449">
        <f>D54/($F$54+$D$54+$E$54+$C$54)</f>
        <v>3.8776061882866107E-2</v>
      </c>
      <c r="E60" s="1449">
        <f>E54/($F$54+$D$54+$E$54+$C$54)</f>
        <v>8.5793201310521358E-3</v>
      </c>
      <c r="F60" s="1449">
        <f>F54/($F$54+$D$54+$E$54+$C$54)</f>
        <v>0.19152657756512032</v>
      </c>
      <c r="G60" s="1449"/>
      <c r="H60" s="1449"/>
      <c r="I60" s="1465">
        <f>SUM(C60:H60)</f>
        <v>0.99999999999999978</v>
      </c>
      <c r="J60" s="1466"/>
    </row>
    <row r="61" spans="1:13">
      <c r="A61" s="1445"/>
      <c r="B61" s="1379"/>
      <c r="C61" s="1449"/>
      <c r="D61" s="1449"/>
      <c r="E61" s="1449"/>
      <c r="F61" s="1449"/>
      <c r="G61" s="1449"/>
      <c r="H61" s="1449"/>
      <c r="I61" s="1465"/>
      <c r="J61" s="1466"/>
    </row>
    <row r="62" spans="1:13">
      <c r="A62" s="1445"/>
      <c r="B62" s="1379" t="s">
        <v>944</v>
      </c>
      <c r="C62" s="1449">
        <f>+C54/(SUM($C$54:$E$54))</f>
        <v>0.94142617345255697</v>
      </c>
      <c r="D62" s="1449">
        <f>+D54/(SUM($C$54:$E$54))</f>
        <v>4.7962073714290114E-2</v>
      </c>
      <c r="E62" s="1449">
        <f>+E54/(SUM($C$54:$E$54))</f>
        <v>1.0611752833152877E-2</v>
      </c>
      <c r="F62" s="1449"/>
      <c r="G62" s="1449"/>
      <c r="H62" s="1449"/>
      <c r="I62" s="1465">
        <f>SUM(C62:H62)</f>
        <v>0.99999999999999989</v>
      </c>
      <c r="J62" s="1466"/>
    </row>
    <row r="63" spans="1:13">
      <c r="A63" s="1445"/>
      <c r="B63" s="1379"/>
      <c r="C63" s="1449"/>
      <c r="D63" s="1449"/>
      <c r="E63" s="1449"/>
      <c r="F63" s="1449"/>
      <c r="G63" s="1449"/>
      <c r="H63" s="1449"/>
      <c r="I63" s="1465"/>
      <c r="J63" s="1466"/>
    </row>
    <row r="64" spans="1:13">
      <c r="A64" s="1445"/>
      <c r="B64" s="1379" t="s">
        <v>857</v>
      </c>
      <c r="C64" s="1449">
        <f>+C45/SUM($C$45:$E$45,$F$51)</f>
        <v>0.47855216258351901</v>
      </c>
      <c r="D64" s="1449">
        <f>+D45/SUM($C$45:$E$45,$F$51)</f>
        <v>6.0587373051224906E-2</v>
      </c>
      <c r="E64" s="1449">
        <f>+E45/SUM($C$45:$E$45,$F$51)</f>
        <v>1.0060674832962134E-2</v>
      </c>
      <c r="F64" s="1449">
        <f>+F51/SUM($C$45:$E$45,$F$51)</f>
        <v>0.45079978953229388</v>
      </c>
      <c r="G64" s="1449"/>
      <c r="H64" s="1449"/>
      <c r="I64" s="1465"/>
      <c r="J64" s="1466"/>
    </row>
    <row r="65" spans="1:11">
      <c r="A65" s="1445"/>
      <c r="B65" s="1379"/>
      <c r="C65" s="1449"/>
      <c r="D65" s="1449"/>
      <c r="E65" s="1449"/>
      <c r="F65" s="1449"/>
      <c r="G65" s="1449"/>
      <c r="H65" s="1449"/>
      <c r="I65" s="1465"/>
      <c r="J65" s="1466"/>
    </row>
    <row r="66" spans="1:11">
      <c r="A66" s="1445"/>
      <c r="B66" s="1379" t="s">
        <v>1931</v>
      </c>
      <c r="C66" s="1449">
        <f>+(C46+C48)/SUM($C$46:$E$46,$C$48)</f>
        <v>0.95498559604328681</v>
      </c>
      <c r="D66" s="1449">
        <f>+D46/SUM($C$46:$E$46,$C$48)</f>
        <v>3.4135701105787508E-2</v>
      </c>
      <c r="E66" s="1449">
        <f>+E46/SUM($C$46:$E$46,$C$48)</f>
        <v>1.0878702850925542E-2</v>
      </c>
      <c r="F66" s="1449"/>
      <c r="G66" s="1449"/>
      <c r="H66" s="1449"/>
      <c r="I66" s="1465"/>
      <c r="J66" s="1466"/>
    </row>
    <row r="67" spans="1:11">
      <c r="A67" s="1445"/>
      <c r="B67" s="1379"/>
      <c r="C67" s="1379"/>
      <c r="D67" s="1379"/>
      <c r="E67" s="1379"/>
      <c r="F67" s="1379"/>
      <c r="G67" s="1379"/>
      <c r="H67" s="1379"/>
      <c r="I67" s="1379"/>
      <c r="J67" s="1446"/>
    </row>
    <row r="68" spans="1:11">
      <c r="A68" s="1445"/>
      <c r="B68" s="1379" t="s">
        <v>859</v>
      </c>
      <c r="C68" s="1375">
        <f>+C47/SUM($C$47:$E$47)</f>
        <v>0.93536900734133555</v>
      </c>
      <c r="D68" s="1375">
        <f>+D47/SUM($C$47:$E$47)</f>
        <v>5.7087422496229272E-2</v>
      </c>
      <c r="E68" s="1375">
        <f>+E47/SUM($C$47:$E$47)</f>
        <v>7.5435701624353164E-3</v>
      </c>
      <c r="F68" s="1379"/>
      <c r="G68" s="1379"/>
      <c r="H68" s="1379"/>
      <c r="I68" s="1379"/>
      <c r="J68" s="1446"/>
    </row>
    <row r="69" spans="1:11">
      <c r="A69" s="1445"/>
      <c r="B69" s="1379"/>
      <c r="C69" s="1379"/>
      <c r="D69" s="1379"/>
      <c r="E69" s="1379"/>
      <c r="F69" s="1379"/>
      <c r="G69" s="1379"/>
      <c r="H69" s="1379"/>
      <c r="I69" s="1379"/>
      <c r="J69" s="1446"/>
    </row>
    <row r="70" spans="1:11">
      <c r="A70" s="1450"/>
      <c r="B70" s="1451" t="s">
        <v>322</v>
      </c>
      <c r="C70" s="1451"/>
      <c r="D70" s="1451"/>
      <c r="E70" s="1451"/>
      <c r="F70" s="1451"/>
      <c r="G70" s="1451"/>
      <c r="H70" s="1451"/>
      <c r="I70" s="1451"/>
      <c r="J70" s="1453"/>
    </row>
    <row r="71" spans="1:11">
      <c r="A71" s="1379"/>
      <c r="B71" s="1379"/>
      <c r="C71" s="1379"/>
      <c r="D71" s="1379"/>
      <c r="E71" s="1379"/>
      <c r="F71" s="1379"/>
      <c r="G71" s="1379"/>
      <c r="H71" s="1379"/>
      <c r="I71" s="1379"/>
      <c r="J71" s="1379"/>
    </row>
    <row r="72" spans="1:11">
      <c r="A72" s="1454"/>
      <c r="B72" s="1455"/>
      <c r="C72" s="1455"/>
      <c r="D72" s="1455"/>
      <c r="E72" s="1455"/>
      <c r="F72" s="1455"/>
      <c r="G72" s="1455"/>
      <c r="H72" s="1455"/>
      <c r="I72" s="1455"/>
      <c r="J72" s="1457"/>
    </row>
    <row r="73" spans="1:11" ht="22.5">
      <c r="A73" s="1458" t="s">
        <v>323</v>
      </c>
      <c r="B73" s="1459"/>
      <c r="C73" s="1443" t="s">
        <v>309</v>
      </c>
      <c r="D73" s="1443" t="s">
        <v>850</v>
      </c>
      <c r="E73" s="1443" t="s">
        <v>851</v>
      </c>
      <c r="F73" s="1467" t="s">
        <v>558</v>
      </c>
      <c r="G73" s="1467">
        <v>2184</v>
      </c>
      <c r="H73" s="1467">
        <v>2185</v>
      </c>
      <c r="I73" s="1443"/>
      <c r="J73" s="1446"/>
    </row>
    <row r="74" spans="1:11">
      <c r="A74" s="1445"/>
      <c r="B74" s="1443"/>
      <c r="C74" s="1443"/>
      <c r="D74" s="1443"/>
      <c r="E74" s="1443"/>
      <c r="F74" s="1443"/>
      <c r="G74" s="1443"/>
      <c r="H74" s="1443"/>
      <c r="I74" s="1379"/>
      <c r="J74" s="1446"/>
    </row>
    <row r="75" spans="1:11">
      <c r="A75" s="1445"/>
      <c r="B75" s="1459" t="s">
        <v>324</v>
      </c>
      <c r="C75" s="1468"/>
      <c r="D75" s="1468"/>
      <c r="E75" s="1468"/>
      <c r="F75" s="1469"/>
      <c r="G75" s="1469"/>
      <c r="H75" s="1469"/>
      <c r="I75" s="1469"/>
      <c r="J75" s="1470"/>
      <c r="K75" s="97"/>
    </row>
    <row r="76" spans="1:11">
      <c r="A76" s="1445"/>
      <c r="B76" s="1379" t="s">
        <v>325</v>
      </c>
      <c r="C76" s="1362">
        <f>+'Deprec 2183 4.30.19'!K9</f>
        <v>930269.66717559285</v>
      </c>
      <c r="D76" s="1362">
        <f>+'Deprec 2183 4.30.19'!L9</f>
        <v>47393.692261193988</v>
      </c>
      <c r="E76" s="1362">
        <f>+'Deprec 2183 4.30.19'!M9</f>
        <v>10485.996729879816</v>
      </c>
      <c r="F76" s="1359"/>
      <c r="G76" s="1359"/>
      <c r="H76" s="1359"/>
      <c r="I76" s="1469" t="s">
        <v>326</v>
      </c>
      <c r="J76" s="1470"/>
      <c r="K76" s="97"/>
    </row>
    <row r="77" spans="1:11">
      <c r="A77" s="1445"/>
      <c r="B77" s="1379" t="s">
        <v>327</v>
      </c>
      <c r="C77" s="1362">
        <f>+'Deprec 2183 4.30.19'!K11</f>
        <v>134334.8591418126</v>
      </c>
      <c r="D77" s="1362">
        <f>+'Deprec 2183 4.30.19'!L11</f>
        <v>17007.542460302426</v>
      </c>
      <c r="E77" s="1362">
        <f>+'Deprec 2183 4.30.19'!M11</f>
        <v>2824.1421567532411</v>
      </c>
      <c r="F77" s="1362">
        <f>+'Deprec 2183 4.30.19'!N11</f>
        <v>126544.4625744651</v>
      </c>
      <c r="G77" s="1341"/>
      <c r="H77" s="1341"/>
      <c r="I77" s="1469" t="s">
        <v>326</v>
      </c>
      <c r="J77" s="1470"/>
      <c r="K77" s="93"/>
    </row>
    <row r="78" spans="1:11">
      <c r="A78" s="1445"/>
      <c r="B78" s="1379" t="s">
        <v>3</v>
      </c>
      <c r="C78" s="1362">
        <f>+'Deprec 2183 4.30.19'!K13</f>
        <v>395759.83090297331</v>
      </c>
      <c r="D78" s="1362">
        <f>+'Deprec 2183 4.30.19'!L13</f>
        <v>14146.327812015033</v>
      </c>
      <c r="E78" s="1362">
        <f>+'Deprec 2183 4.30.19'!M13</f>
        <v>4508.2916627894738</v>
      </c>
      <c r="F78" s="1341">
        <f>+'Deprec 2183 4.30.19'!N17</f>
        <v>63698.602999999996</v>
      </c>
      <c r="G78" s="1341"/>
      <c r="H78" s="1341"/>
      <c r="I78" s="1469" t="s">
        <v>326</v>
      </c>
      <c r="J78" s="1470"/>
      <c r="K78" s="93"/>
    </row>
    <row r="79" spans="1:11">
      <c r="A79" s="1445"/>
      <c r="B79" s="1379" t="s">
        <v>4</v>
      </c>
      <c r="C79" s="1362">
        <f>+'Deprec 2183 4.30.19'!K15</f>
        <v>131518.997666902</v>
      </c>
      <c r="D79" s="1362">
        <f>+'Deprec 2183 4.30.19'!L15</f>
        <v>8026.8648278520232</v>
      </c>
      <c r="E79" s="1362">
        <f>+'Deprec 2183 4.30.19'!M15</f>
        <v>1060.6752830237785</v>
      </c>
      <c r="F79" s="1341"/>
      <c r="G79" s="1341"/>
      <c r="H79" s="1341"/>
      <c r="I79" s="1469" t="s">
        <v>326</v>
      </c>
      <c r="J79" s="1470"/>
      <c r="K79" s="93"/>
    </row>
    <row r="80" spans="1:11">
      <c r="A80" s="1445"/>
      <c r="B80" s="1379"/>
      <c r="C80" s="1471">
        <f t="shared" ref="C80:H80" si="6">SUM(C75:C79)</f>
        <v>1591883.3548872806</v>
      </c>
      <c r="D80" s="1471">
        <f t="shared" si="6"/>
        <v>86574.427361363472</v>
      </c>
      <c r="E80" s="1471">
        <f t="shared" si="6"/>
        <v>18879.105832446312</v>
      </c>
      <c r="F80" s="1471">
        <f t="shared" si="6"/>
        <v>190243.06557446509</v>
      </c>
      <c r="G80" s="1471">
        <f t="shared" si="6"/>
        <v>0</v>
      </c>
      <c r="H80" s="1471">
        <f t="shared" si="6"/>
        <v>0</v>
      </c>
      <c r="I80" s="1472"/>
      <c r="J80" s="1473"/>
      <c r="K80" s="93"/>
    </row>
    <row r="81" spans="1:11">
      <c r="A81" s="1445"/>
      <c r="B81" s="1379"/>
      <c r="C81" s="1341"/>
      <c r="D81" s="1341"/>
      <c r="E81" s="1341"/>
      <c r="F81" s="1341"/>
      <c r="G81" s="1341"/>
      <c r="H81" s="1341"/>
      <c r="I81" s="1474"/>
      <c r="J81" s="1475"/>
      <c r="K81" s="93"/>
    </row>
    <row r="82" spans="1:11">
      <c r="A82" s="1445"/>
      <c r="B82" s="1459" t="s">
        <v>328</v>
      </c>
      <c r="C82" s="1341"/>
      <c r="D82" s="1341"/>
      <c r="E82" s="1341"/>
      <c r="F82" s="1341"/>
      <c r="G82" s="1341"/>
      <c r="H82" s="1341"/>
      <c r="I82" s="1474"/>
      <c r="J82" s="1475"/>
      <c r="K82" s="93"/>
    </row>
    <row r="83" spans="1:11">
      <c r="A83" s="1445"/>
      <c r="B83" s="1379" t="s">
        <v>329</v>
      </c>
      <c r="C83" s="1341">
        <f>+'Deprec 2183 4.30.19'!K22+'Deprec 2183 4.30.19'!K24</f>
        <v>274220.69771629258</v>
      </c>
      <c r="D83" s="1341">
        <f>+'Deprec 2183 4.30.19'!L22+'Deprec 2183 4.30.19'!L24</f>
        <v>11180.739909140775</v>
      </c>
      <c r="E83" s="1341">
        <f>+'Deprec 2183 4.30.19'!M22+'Deprec 2183 4.30.19'!M24</f>
        <v>3144.5332751708561</v>
      </c>
      <c r="F83" s="1341">
        <f>+'Deprec 2183 4.30.19'!N22+'Deprec 2183 4.30.19'!N24</f>
        <v>19936.743885110162</v>
      </c>
      <c r="G83" s="1341"/>
      <c r="H83" s="1341"/>
      <c r="I83" s="1469" t="s">
        <v>326</v>
      </c>
      <c r="J83" s="1470"/>
      <c r="K83" s="93"/>
    </row>
    <row r="84" spans="1:11">
      <c r="A84" s="1445"/>
      <c r="B84" s="1379" t="s">
        <v>6</v>
      </c>
      <c r="C84" s="1341">
        <f>+'Deprec 2183 4.30.19'!K26</f>
        <v>41859.769957004668</v>
      </c>
      <c r="D84" s="1341">
        <f>+'Deprec 2183 4.30.19'!L26</f>
        <v>1944.5442431956974</v>
      </c>
      <c r="E84" s="1341">
        <f>+'Deprec 2183 4.30.19'!M26</f>
        <v>421.28221793252123</v>
      </c>
      <c r="F84" s="1341">
        <f>+'Deprec 2183 4.30.19'!N26</f>
        <v>13861.494896748611</v>
      </c>
      <c r="G84" s="1341"/>
      <c r="H84" s="1341"/>
      <c r="I84" s="1469" t="s">
        <v>326</v>
      </c>
      <c r="J84" s="1470"/>
      <c r="K84" s="93"/>
    </row>
    <row r="85" spans="1:11">
      <c r="A85" s="1445"/>
      <c r="B85" s="1379" t="s">
        <v>3</v>
      </c>
      <c r="C85" s="1341">
        <f>+'Deprec 2183 4.30.19'!K28</f>
        <v>115880.48029200301</v>
      </c>
      <c r="D85" s="1341">
        <f>+'Deprec 2183 4.30.19'!L28</f>
        <v>4641.5313410113258</v>
      </c>
      <c r="E85" s="1341">
        <f>+'Deprec 2183 4.30.19'!M28</f>
        <v>1308.3750352517768</v>
      </c>
      <c r="F85" s="1341">
        <f>+'Deprec 2183 4.30.19'!N28</f>
        <v>4815.3704745910572</v>
      </c>
      <c r="G85" s="1341"/>
      <c r="H85" s="1341"/>
      <c r="I85" s="1469" t="s">
        <v>326</v>
      </c>
      <c r="J85" s="1470"/>
      <c r="K85" s="93"/>
    </row>
    <row r="86" spans="1:11">
      <c r="A86" s="1445"/>
      <c r="B86" s="1379" t="s">
        <v>4</v>
      </c>
      <c r="C86" s="1341">
        <f>+'Deprec 2183 4.30.19'!K30</f>
        <v>64873.279125187037</v>
      </c>
      <c r="D86" s="1341">
        <f>+'Deprec 2183 4.30.19'!L30</f>
        <v>1909.6385260092613</v>
      </c>
      <c r="E86" s="1341">
        <f>+'Deprec 2183 4.30.19'!M30</f>
        <v>347.88663451798931</v>
      </c>
      <c r="F86" s="1341">
        <f>+'Deprec 2183 4.30.19'!N30</f>
        <v>0</v>
      </c>
      <c r="G86" s="1341"/>
      <c r="H86" s="1341"/>
      <c r="I86" s="1469" t="s">
        <v>326</v>
      </c>
      <c r="J86" s="1470"/>
      <c r="K86" s="93"/>
    </row>
    <row r="87" spans="1:11">
      <c r="A87" s="1445"/>
      <c r="B87" s="1379"/>
      <c r="C87" s="1471">
        <f t="shared" ref="C87:H87" si="7">SUM(C83:C86)</f>
        <v>496834.22709048731</v>
      </c>
      <c r="D87" s="1471">
        <f t="shared" si="7"/>
        <v>19676.454019357061</v>
      </c>
      <c r="E87" s="1471">
        <f t="shared" si="7"/>
        <v>5222.0771628731436</v>
      </c>
      <c r="F87" s="1471">
        <f t="shared" si="7"/>
        <v>38613.609256449832</v>
      </c>
      <c r="G87" s="1471">
        <f t="shared" si="7"/>
        <v>0</v>
      </c>
      <c r="H87" s="1471">
        <f t="shared" si="7"/>
        <v>0</v>
      </c>
      <c r="I87" s="1474"/>
      <c r="J87" s="1475"/>
      <c r="K87" s="93"/>
    </row>
    <row r="88" spans="1:11">
      <c r="A88" s="1445"/>
      <c r="B88" s="1379"/>
      <c r="C88" s="1341"/>
      <c r="D88" s="1341"/>
      <c r="E88" s="1341"/>
      <c r="F88" s="1341"/>
      <c r="G88" s="1341"/>
      <c r="H88" s="1341"/>
      <c r="I88" s="1474"/>
      <c r="J88" s="1475"/>
      <c r="K88" s="93"/>
    </row>
    <row r="89" spans="1:11">
      <c r="A89" s="1445"/>
      <c r="B89" s="1379" t="s">
        <v>330</v>
      </c>
      <c r="C89" s="1341">
        <f>+'Deprec 2183 4.30.19'!K34</f>
        <v>17055.751164479869</v>
      </c>
      <c r="D89" s="1341">
        <f>+'Deprec 2183 4.30.19'!L34</f>
        <v>868.92548525962275</v>
      </c>
      <c r="E89" s="1341">
        <f>+'Deprec 2183 4.30.19'!M34</f>
        <v>192.25237288385284</v>
      </c>
      <c r="F89" s="1341">
        <f>+'Deprec 2183 4.30.19'!N34</f>
        <v>4291.8830915220815</v>
      </c>
      <c r="G89" s="1341">
        <f>+'Deprec 2183 4.30.19'!O34</f>
        <v>0</v>
      </c>
      <c r="H89" s="1341">
        <f>+'Deprec 2183 4.30.19'!P34</f>
        <v>4896.0038414101309</v>
      </c>
      <c r="I89" s="1469" t="s">
        <v>326</v>
      </c>
      <c r="J89" s="1476"/>
      <c r="K89" s="93"/>
    </row>
    <row r="90" spans="1:11">
      <c r="A90" s="1445"/>
      <c r="B90" s="1379" t="s">
        <v>331</v>
      </c>
      <c r="C90" s="1341">
        <f>+'Deprec 2183 4.30.19'!K36</f>
        <v>19012.007566398941</v>
      </c>
      <c r="D90" s="1341">
        <f>+'Deprec 2183 4.30.19'!L36</f>
        <v>968.589289388628</v>
      </c>
      <c r="E90" s="1341">
        <f>+'Deprec 2183 4.30.19'!M36</f>
        <v>214.30328882483008</v>
      </c>
      <c r="F90" s="1341">
        <f>+'Deprec 2183 4.30.19'!N36</f>
        <v>4784.1524552756855</v>
      </c>
      <c r="G90" s="1341">
        <f>+'Deprec 2183 4.30.19'!O36</f>
        <v>0</v>
      </c>
      <c r="H90" s="1341">
        <f>+'Deprec 2183 4.30.19'!P36</f>
        <v>5457.5645001119101</v>
      </c>
      <c r="I90" s="1469" t="s">
        <v>326</v>
      </c>
      <c r="J90" s="1476"/>
      <c r="K90" s="93"/>
    </row>
    <row r="91" spans="1:11">
      <c r="A91" s="1445"/>
      <c r="B91" s="1379" t="s">
        <v>332</v>
      </c>
      <c r="C91" s="1341">
        <f>+'Deprec 2183 4.30.19'!K38</f>
        <v>1655.9837426653694</v>
      </c>
      <c r="D91" s="1341">
        <f>+'Deprec 2183 4.30.19'!L38</f>
        <v>63.652620102199784</v>
      </c>
      <c r="E91" s="1341">
        <f>+'Deprec 2183 4.30.19'!M38</f>
        <v>16.66107849608419</v>
      </c>
      <c r="F91" s="1341">
        <f>+'Deprec 2183 4.30.19'!N38</f>
        <v>53.935816336969062</v>
      </c>
      <c r="G91" s="1341">
        <f>+'Deprec 2183 4.30.19'!O38</f>
        <v>2.2419780171244838E-2</v>
      </c>
      <c r="H91" s="1341">
        <f>+'Deprec 2183 4.30.19'!P38</f>
        <v>42.227655952539649</v>
      </c>
      <c r="I91" s="1469" t="s">
        <v>326</v>
      </c>
      <c r="J91" s="1476"/>
      <c r="K91" s="93"/>
    </row>
    <row r="92" spans="1:11">
      <c r="A92" s="1445"/>
      <c r="B92" s="1379" t="s">
        <v>78</v>
      </c>
      <c r="C92" s="1341"/>
      <c r="D92" s="1341"/>
      <c r="E92" s="1341"/>
      <c r="F92" s="1341"/>
      <c r="G92" s="1341"/>
      <c r="H92" s="1341"/>
      <c r="I92" s="1469" t="s">
        <v>326</v>
      </c>
      <c r="J92" s="1470"/>
      <c r="K92" s="93"/>
    </row>
    <row r="93" spans="1:11">
      <c r="A93" s="1445"/>
      <c r="B93" s="1379"/>
      <c r="C93" s="1341"/>
      <c r="D93" s="1341"/>
      <c r="E93" s="1341"/>
      <c r="F93" s="1341"/>
      <c r="G93" s="1341"/>
      <c r="H93" s="1341"/>
      <c r="I93" s="1474"/>
      <c r="J93" s="1475"/>
      <c r="K93" s="93"/>
    </row>
    <row r="94" spans="1:11">
      <c r="A94" s="1445"/>
      <c r="B94" s="1379" t="s">
        <v>333</v>
      </c>
      <c r="C94" s="1341"/>
      <c r="D94" s="1341"/>
      <c r="E94" s="1341"/>
      <c r="F94" s="1341"/>
      <c r="G94" s="1341"/>
      <c r="H94" s="1341"/>
      <c r="I94" s="1469" t="s">
        <v>326</v>
      </c>
      <c r="J94" s="1470"/>
      <c r="K94" s="93"/>
    </row>
    <row r="95" spans="1:11">
      <c r="A95" s="1445"/>
      <c r="B95" s="1379" t="s">
        <v>334</v>
      </c>
      <c r="C95" s="1341">
        <f>+'Deprec 2183 4.30.19'!K40</f>
        <v>62669.65092603027</v>
      </c>
      <c r="D95" s="1341">
        <f>+'Deprec 2183 4.30.19'!L40</f>
        <v>2408.8929012741928</v>
      </c>
      <c r="E95" s="1341">
        <f>+'Deprec 2183 4.30.19'!M40</f>
        <v>630.52791310631835</v>
      </c>
      <c r="F95" s="1341">
        <f>+'Deprec 2183 4.30.19'!N40</f>
        <v>2041.1666462424739</v>
      </c>
      <c r="G95" s="1341">
        <f>+'Deprec 2183 4.30.19'!O40</f>
        <v>0</v>
      </c>
      <c r="H95" s="1341">
        <f>+'Deprec 2183 4.30.19'!P40</f>
        <v>1598.0787671929036</v>
      </c>
      <c r="I95" s="1469" t="s">
        <v>326</v>
      </c>
      <c r="J95" s="1476"/>
    </row>
    <row r="96" spans="1:11">
      <c r="A96" s="1445"/>
      <c r="B96" s="1379" t="s">
        <v>336</v>
      </c>
      <c r="C96" s="1341">
        <f>+'Deprec 2183 4.30.19'!K42</f>
        <v>23347.217283790007</v>
      </c>
      <c r="D96" s="1341">
        <f>+'Deprec 2183 4.30.19'!L42</f>
        <v>897.41916778521295</v>
      </c>
      <c r="E96" s="1341">
        <f>+'Deprec 2183 4.30.19'!M42</f>
        <v>234.89954026013856</v>
      </c>
      <c r="F96" s="1341">
        <f>+'Deprec 2183 4.30.19'!N42</f>
        <v>760.42487070011589</v>
      </c>
      <c r="G96" s="1341">
        <f>+'Deprec 2183 4.30.19'!O42</f>
        <v>0</v>
      </c>
      <c r="H96" s="1341">
        <f>+'Deprec 2183 4.30.19'!P42</f>
        <v>595.35503490042151</v>
      </c>
      <c r="I96" s="1469" t="s">
        <v>326</v>
      </c>
      <c r="J96" s="1476"/>
    </row>
    <row r="97" spans="1:10">
      <c r="A97" s="1445"/>
      <c r="B97" s="1379" t="s">
        <v>931</v>
      </c>
      <c r="C97" s="1341">
        <f>+'Deprec 2183 4.30.19'!K44</f>
        <v>11754.910576334936</v>
      </c>
      <c r="D97" s="1341">
        <f>+'Deprec 2183 4.30.19'!L44</f>
        <v>451.83466357373277</v>
      </c>
      <c r="E97" s="1341">
        <f>+'Deprec 2183 4.30.19'!M44</f>
        <v>118.26775999113336</v>
      </c>
      <c r="F97" s="1341">
        <f>+'Deprec 2183 4.30.19'!N44</f>
        <v>20445.012384715585</v>
      </c>
      <c r="G97" s="1341">
        <f>+'Deprec 2183 4.30.19'!O44</f>
        <v>0</v>
      </c>
      <c r="H97" s="1341">
        <f>+'Deprec 2183 4.30.19'!P44</f>
        <v>0</v>
      </c>
      <c r="I97" s="1469" t="s">
        <v>326</v>
      </c>
      <c r="J97" s="1470"/>
    </row>
    <row r="98" spans="1:10">
      <c r="A98" s="1445"/>
      <c r="B98" s="1379"/>
      <c r="C98" s="1471">
        <f t="shared" ref="C98:H98" si="8">SUM(C89:C97)</f>
        <v>135495.52125969937</v>
      </c>
      <c r="D98" s="1471">
        <f t="shared" si="8"/>
        <v>5659.314127383589</v>
      </c>
      <c r="E98" s="1471">
        <f t="shared" si="8"/>
        <v>1406.9119535623574</v>
      </c>
      <c r="F98" s="1471">
        <f t="shared" si="8"/>
        <v>32376.575264792911</v>
      </c>
      <c r="G98" s="1471">
        <f t="shared" si="8"/>
        <v>2.2419780171244838E-2</v>
      </c>
      <c r="H98" s="1471">
        <f t="shared" si="8"/>
        <v>12589.229799567906</v>
      </c>
      <c r="I98" s="1474"/>
      <c r="J98" s="1475"/>
    </row>
    <row r="99" spans="1:10">
      <c r="A99" s="1445"/>
      <c r="B99" s="1379"/>
      <c r="C99" s="1369"/>
      <c r="D99" s="1369"/>
      <c r="E99" s="1369"/>
      <c r="F99" s="1369"/>
      <c r="G99" s="1369"/>
      <c r="H99" s="1369"/>
      <c r="I99" s="1474"/>
      <c r="J99" s="1475"/>
    </row>
    <row r="100" spans="1:10" ht="12" thickBot="1">
      <c r="A100" s="1445"/>
      <c r="B100" s="1459" t="s">
        <v>13</v>
      </c>
      <c r="C100" s="1477">
        <f t="shared" ref="C100:H100" si="9">C80+C87+C98</f>
        <v>2224213.1032374674</v>
      </c>
      <c r="D100" s="1477">
        <f t="shared" si="9"/>
        <v>111910.19550810412</v>
      </c>
      <c r="E100" s="1477">
        <f t="shared" si="9"/>
        <v>25508.094948881811</v>
      </c>
      <c r="F100" s="1477">
        <f t="shared" si="9"/>
        <v>261233.25009570783</v>
      </c>
      <c r="G100" s="1477">
        <f t="shared" si="9"/>
        <v>2.2419780171244838E-2</v>
      </c>
      <c r="H100" s="1477">
        <f t="shared" si="9"/>
        <v>12589.229799567906</v>
      </c>
      <c r="I100" s="1474"/>
      <c r="J100" s="1475"/>
    </row>
    <row r="101" spans="1:10" ht="12" thickTop="1">
      <c r="A101" s="1445"/>
      <c r="B101" s="1379"/>
      <c r="C101" s="1369"/>
      <c r="D101" s="1369"/>
      <c r="E101" s="1369"/>
      <c r="F101" s="1474"/>
      <c r="G101" s="1379"/>
      <c r="H101" s="1379"/>
      <c r="I101" s="1379"/>
      <c r="J101" s="1446"/>
    </row>
    <row r="102" spans="1:10">
      <c r="A102" s="1445"/>
      <c r="B102" s="1459"/>
      <c r="C102" s="1369"/>
      <c r="D102" s="1369"/>
      <c r="E102" s="1369"/>
      <c r="F102" s="1474"/>
      <c r="G102" s="1379"/>
      <c r="H102" s="1379"/>
      <c r="I102" s="1379"/>
      <c r="J102" s="1446"/>
    </row>
    <row r="103" spans="1:10">
      <c r="A103" s="1445"/>
      <c r="B103" s="1379"/>
      <c r="C103" s="1341"/>
      <c r="D103" s="1341"/>
      <c r="E103" s="1341"/>
      <c r="F103" s="1474"/>
      <c r="G103" s="1474"/>
      <c r="H103" s="1379"/>
      <c r="I103" s="1379"/>
      <c r="J103" s="1446"/>
    </row>
    <row r="104" spans="1:10">
      <c r="A104" s="1445"/>
      <c r="B104" s="1379"/>
      <c r="C104" s="1341"/>
      <c r="D104" s="1341"/>
      <c r="E104" s="1341"/>
      <c r="F104" s="1474"/>
      <c r="G104" s="1379"/>
      <c r="H104" s="1379"/>
      <c r="I104" s="1379"/>
      <c r="J104" s="1446"/>
    </row>
    <row r="105" spans="1:10">
      <c r="A105" s="1450"/>
      <c r="B105" s="1451"/>
      <c r="C105" s="1478"/>
      <c r="D105" s="1478"/>
      <c r="E105" s="1478"/>
      <c r="F105" s="1478"/>
      <c r="G105" s="1478"/>
      <c r="H105" s="1478"/>
      <c r="I105" s="1451"/>
      <c r="J105" s="1453"/>
    </row>
    <row r="106" spans="1:10">
      <c r="A106" s="1379"/>
      <c r="B106" s="1379"/>
      <c r="C106" s="1474"/>
      <c r="D106" s="1474"/>
      <c r="E106" s="1474"/>
      <c r="F106" s="1474"/>
      <c r="G106" s="1474"/>
      <c r="H106" s="1474"/>
      <c r="I106" s="1379"/>
      <c r="J106" s="1379"/>
    </row>
    <row r="107" spans="1:10">
      <c r="A107" s="1454"/>
      <c r="B107" s="1455"/>
      <c r="C107" s="1455"/>
      <c r="D107" s="1455"/>
      <c r="E107" s="1455"/>
      <c r="F107" s="1455"/>
      <c r="G107" s="1455"/>
      <c r="H107" s="1455"/>
      <c r="I107" s="1455"/>
      <c r="J107" s="1457"/>
    </row>
    <row r="108" spans="1:10" ht="22.5">
      <c r="A108" s="1458" t="s">
        <v>868</v>
      </c>
      <c r="B108" s="1459"/>
      <c r="C108" s="1443" t="s">
        <v>309</v>
      </c>
      <c r="D108" s="1443" t="s">
        <v>850</v>
      </c>
      <c r="E108" s="1443" t="s">
        <v>851</v>
      </c>
      <c r="F108" s="1467" t="s">
        <v>558</v>
      </c>
      <c r="G108" s="1467">
        <v>2184</v>
      </c>
      <c r="H108" s="1467">
        <v>2185</v>
      </c>
      <c r="I108" s="1443"/>
      <c r="J108" s="1446"/>
    </row>
    <row r="109" spans="1:10">
      <c r="A109" s="1445"/>
      <c r="B109" s="1443"/>
      <c r="C109" s="1443"/>
      <c r="D109" s="1443"/>
      <c r="E109" s="1443"/>
      <c r="F109" s="1443"/>
      <c r="G109" s="1443"/>
      <c r="H109" s="1443"/>
      <c r="I109" s="1379"/>
      <c r="J109" s="1446"/>
    </row>
    <row r="110" spans="1:10">
      <c r="A110" s="1445"/>
      <c r="B110" s="1459" t="s">
        <v>324</v>
      </c>
      <c r="C110" s="1468"/>
      <c r="D110" s="1468"/>
      <c r="E110" s="1468"/>
      <c r="F110" s="1469"/>
      <c r="G110" s="1469"/>
      <c r="H110" s="1469"/>
      <c r="I110" s="1469"/>
      <c r="J110" s="1470"/>
    </row>
    <row r="111" spans="1:10">
      <c r="A111" s="1445"/>
      <c r="B111" s="1379" t="s">
        <v>325</v>
      </c>
      <c r="C111" s="1362">
        <f>+'Deprec 2183 4.30.19'!T9</f>
        <v>6747307.6935512163</v>
      </c>
      <c r="D111" s="1362">
        <f>+'Deprec 2183 4.30.19'!U9</f>
        <v>343749.59831877751</v>
      </c>
      <c r="E111" s="1362">
        <f>+'Deprec 2183 4.30.19'!V9</f>
        <v>76055.63086334207</v>
      </c>
      <c r="F111" s="1362">
        <f>+'Deprec 2183 4.30.19'!W9</f>
        <v>0</v>
      </c>
      <c r="G111" s="1341"/>
      <c r="H111" s="1341"/>
      <c r="I111" s="1469" t="s">
        <v>326</v>
      </c>
      <c r="J111" s="1470"/>
    </row>
    <row r="112" spans="1:10">
      <c r="A112" s="1445"/>
      <c r="B112" s="1379" t="s">
        <v>327</v>
      </c>
      <c r="C112" s="1362">
        <f>+'Deprec 2183 4.30.19'!T11</f>
        <v>655069.70684407407</v>
      </c>
      <c r="D112" s="1362">
        <f>+'Deprec 2183 4.30.19'!U11</f>
        <v>82935.478734132281</v>
      </c>
      <c r="E112" s="1362">
        <f>+'Deprec 2183 4.30.19'!V11</f>
        <v>13771.629988887295</v>
      </c>
      <c r="F112" s="1362">
        <f>+'Deprec 2183 4.30.19'!W11</f>
        <v>617080.6634329065</v>
      </c>
      <c r="G112" s="1341"/>
      <c r="H112" s="1341"/>
      <c r="I112" s="1469" t="s">
        <v>326</v>
      </c>
      <c r="J112" s="1470"/>
    </row>
    <row r="113" spans="1:10">
      <c r="A113" s="1445"/>
      <c r="B113" s="1379" t="s">
        <v>3</v>
      </c>
      <c r="C113" s="1362">
        <f>+'Deprec 2183 4.30.19'!T13</f>
        <v>1669242.5035621021</v>
      </c>
      <c r="D113" s="1362">
        <f>+'Deprec 2183 4.30.19'!U13</f>
        <v>59666.620534127491</v>
      </c>
      <c r="E113" s="1362">
        <f>+'Deprec 2183 4.30.19'!V13</f>
        <v>19015.148770436557</v>
      </c>
      <c r="F113" s="1362">
        <f>+'Deprec 2183 4.30.19'!W17</f>
        <v>392518.82700000005</v>
      </c>
      <c r="G113" s="1341"/>
      <c r="H113" s="1341"/>
      <c r="I113" s="1469" t="s">
        <v>326</v>
      </c>
      <c r="J113" s="1470"/>
    </row>
    <row r="114" spans="1:10">
      <c r="A114" s="1445"/>
      <c r="B114" s="1379" t="s">
        <v>4</v>
      </c>
      <c r="C114" s="1362">
        <f>+'Deprec 2183 4.30.19'!T15</f>
        <v>297517.60613647953</v>
      </c>
      <c r="D114" s="1362">
        <f>+'Deprec 2183 4.30.19'!U15</f>
        <v>18158.088570687418</v>
      </c>
      <c r="E114" s="1362">
        <f>+'Deprec 2183 4.30.19'!V15</f>
        <v>2399.421959499799</v>
      </c>
      <c r="F114" s="1362">
        <f>+'Deprec 2183 4.30.19'!W15</f>
        <v>0</v>
      </c>
      <c r="G114" s="1341"/>
      <c r="H114" s="1341"/>
      <c r="I114" s="1469" t="s">
        <v>326</v>
      </c>
      <c r="J114" s="1470"/>
    </row>
    <row r="115" spans="1:10">
      <c r="A115" s="1445"/>
      <c r="B115" s="1379"/>
      <c r="C115" s="1471">
        <f t="shared" ref="C115:H115" si="10">SUM(C110:C114)</f>
        <v>9369137.5100938734</v>
      </c>
      <c r="D115" s="1471">
        <f t="shared" si="10"/>
        <v>504509.78615772462</v>
      </c>
      <c r="E115" s="1471">
        <f t="shared" si="10"/>
        <v>111241.83158216572</v>
      </c>
      <c r="F115" s="1471">
        <f t="shared" si="10"/>
        <v>1009599.4904329065</v>
      </c>
      <c r="G115" s="1471">
        <f t="shared" si="10"/>
        <v>0</v>
      </c>
      <c r="H115" s="1471">
        <f t="shared" si="10"/>
        <v>0</v>
      </c>
      <c r="I115" s="1472"/>
      <c r="J115" s="1473"/>
    </row>
    <row r="116" spans="1:10">
      <c r="A116" s="1445"/>
      <c r="B116" s="1379"/>
      <c r="C116" s="1341"/>
      <c r="D116" s="1341"/>
      <c r="E116" s="1341"/>
      <c r="F116" s="1341"/>
      <c r="G116" s="1341"/>
      <c r="H116" s="1341"/>
      <c r="I116" s="1474"/>
      <c r="J116" s="1475"/>
    </row>
    <row r="117" spans="1:10">
      <c r="A117" s="1445"/>
      <c r="B117" s="1459" t="s">
        <v>328</v>
      </c>
      <c r="C117" s="1341"/>
      <c r="D117" s="1341"/>
      <c r="E117" s="1341"/>
      <c r="F117" s="1341"/>
      <c r="G117" s="1341"/>
      <c r="H117" s="1341"/>
      <c r="I117" s="1474"/>
      <c r="J117" s="1475"/>
    </row>
    <row r="118" spans="1:10">
      <c r="A118" s="1445"/>
      <c r="B118" s="1379" t="s">
        <v>329</v>
      </c>
      <c r="C118" s="1341">
        <f>+'Deprec 2183 4.30.19'!T22+'Deprec 2183 4.30.19'!T24</f>
        <v>1233568.9114510373</v>
      </c>
      <c r="D118" s="1341">
        <f>+'Deprec 2183 4.30.19'!U22+'Deprec 2183 4.30.19'!U24</f>
        <v>48940.078828803642</v>
      </c>
      <c r="E118" s="1341">
        <f>+'Deprec 2183 4.30.19'!V22+'Deprec 2183 4.30.19'!V24</f>
        <v>13790.486649283954</v>
      </c>
      <c r="F118" s="1341">
        <f>+'Deprec 2183 4.30.19'!W22+'Deprec 2183 4.30.19'!W24</f>
        <v>162483.58238039864</v>
      </c>
      <c r="G118" s="1341"/>
      <c r="H118" s="1341"/>
      <c r="I118" s="1469" t="s">
        <v>326</v>
      </c>
      <c r="J118" s="1470"/>
    </row>
    <row r="119" spans="1:10">
      <c r="A119" s="1445"/>
      <c r="B119" s="1379" t="s">
        <v>6</v>
      </c>
      <c r="C119" s="1341">
        <f>+'Deprec 2183 4.30.19'!T26</f>
        <v>312751.60590833571</v>
      </c>
      <c r="D119" s="1341">
        <f>+'Deprec 2183 4.30.19'!U26</f>
        <v>14528.492044842127</v>
      </c>
      <c r="E119" s="1341">
        <f>+'Deprec 2183 4.30.19'!V26</f>
        <v>3147.5732029667734</v>
      </c>
      <c r="F119" s="1341">
        <f>+'Deprec 2183 4.30.19'!W26</f>
        <v>103564.94538075909</v>
      </c>
      <c r="G119" s="1341"/>
      <c r="H119" s="1341"/>
      <c r="I119" s="1469" t="s">
        <v>326</v>
      </c>
      <c r="J119" s="1470"/>
    </row>
    <row r="120" spans="1:10">
      <c r="A120" s="1445"/>
      <c r="B120" s="1379" t="s">
        <v>3</v>
      </c>
      <c r="C120" s="1341">
        <f>+'Deprec 2183 4.30.19'!T28</f>
        <v>477115.81503270473</v>
      </c>
      <c r="D120" s="1341">
        <f>+'Deprec 2183 4.30.19'!U28</f>
        <v>19110.621592058495</v>
      </c>
      <c r="E120" s="1341">
        <f>+'Deprec 2183 4.30.19'!V28</f>
        <v>5386.985105166802</v>
      </c>
      <c r="F120" s="1341">
        <f>+'Deprec 2183 4.30.19'!W28</f>
        <v>19826.371127212922</v>
      </c>
      <c r="G120" s="1341"/>
      <c r="H120" s="1341"/>
      <c r="I120" s="1469" t="s">
        <v>326</v>
      </c>
      <c r="J120" s="1470"/>
    </row>
    <row r="121" spans="1:10">
      <c r="A121" s="1445"/>
      <c r="B121" s="1379" t="s">
        <v>4</v>
      </c>
      <c r="C121" s="1341">
        <f>+'Deprec 2183 4.30.19'!T30</f>
        <v>300912.55577024113</v>
      </c>
      <c r="D121" s="1341">
        <f>+'Deprec 2183 4.30.19'!U30</f>
        <v>8857.7950306763723</v>
      </c>
      <c r="E121" s="1341">
        <f>+'Deprec 2183 4.30.19'!V30</f>
        <v>1613.6606276539001</v>
      </c>
      <c r="F121" s="1341">
        <f>+'Deprec 2183 4.30.19'!W30</f>
        <v>0</v>
      </c>
      <c r="G121" s="1341"/>
      <c r="H121" s="1341"/>
      <c r="I121" s="1469" t="s">
        <v>326</v>
      </c>
      <c r="J121" s="1470"/>
    </row>
    <row r="122" spans="1:10">
      <c r="A122" s="1445"/>
      <c r="B122" s="1379"/>
      <c r="C122" s="1471">
        <f t="shared" ref="C122:H122" si="11">SUM(C118:C121)</f>
        <v>2324348.8881623186</v>
      </c>
      <c r="D122" s="1471">
        <f t="shared" si="11"/>
        <v>91436.987496380621</v>
      </c>
      <c r="E122" s="1471">
        <f t="shared" si="11"/>
        <v>23938.705585071428</v>
      </c>
      <c r="F122" s="1471">
        <f t="shared" si="11"/>
        <v>285874.89888837066</v>
      </c>
      <c r="G122" s="1471">
        <f t="shared" si="11"/>
        <v>0</v>
      </c>
      <c r="H122" s="1471">
        <f t="shared" si="11"/>
        <v>0</v>
      </c>
      <c r="I122" s="1474"/>
      <c r="J122" s="1475"/>
    </row>
    <row r="123" spans="1:10">
      <c r="A123" s="1445"/>
      <c r="B123" s="1379"/>
      <c r="C123" s="1341"/>
      <c r="D123" s="1341"/>
      <c r="E123" s="1341"/>
      <c r="F123" s="1341"/>
      <c r="G123" s="1341"/>
      <c r="H123" s="1341"/>
      <c r="I123" s="1474"/>
      <c r="J123" s="1475"/>
    </row>
    <row r="124" spans="1:10">
      <c r="A124" s="1445"/>
      <c r="B124" s="1379" t="s">
        <v>330</v>
      </c>
      <c r="C124" s="1341">
        <f>+'Deprec 2183 4.30.19'!T34</f>
        <v>41269.448113481434</v>
      </c>
      <c r="D124" s="1341">
        <f>+'Deprec 2183 4.30.19'!U34</f>
        <v>2102.5210137379058</v>
      </c>
      <c r="E124" s="1341">
        <f>+'Deprec 2183 4.30.19'!V34</f>
        <v>465.1890878865205</v>
      </c>
      <c r="F124" s="1341">
        <f>+'Deprec 2183 4.30.19'!W34</f>
        <v>10384.980693408257</v>
      </c>
      <c r="G124" s="1341">
        <f>+'Deprec 2183 4.30.19'!X34</f>
        <v>0</v>
      </c>
      <c r="H124" s="1341">
        <f>+'Deprec 2183 4.30.19'!Y34</f>
        <v>11846.759169263658</v>
      </c>
      <c r="I124" s="1469" t="s">
        <v>326</v>
      </c>
      <c r="J124" s="1476"/>
    </row>
    <row r="125" spans="1:10">
      <c r="A125" s="1445"/>
      <c r="B125" s="1379" t="s">
        <v>331</v>
      </c>
      <c r="C125" s="1341">
        <f>+'Deprec 2183 4.30.19'!T36</f>
        <v>69205.12770161769</v>
      </c>
      <c r="D125" s="1341">
        <f>+'Deprec 2183 4.30.19'!U36</f>
        <v>3525.7373651074931</v>
      </c>
      <c r="E125" s="1341">
        <f>+'Deprec 2183 4.30.19'!V36</f>
        <v>780.07997936054562</v>
      </c>
      <c r="F125" s="1341">
        <f>+'Deprec 2183 4.30.19'!W36</f>
        <v>17414.672304071297</v>
      </c>
      <c r="G125" s="1341">
        <f>+'Deprec 2183 4.30.19'!X36</f>
        <v>0</v>
      </c>
      <c r="H125" s="1341">
        <f>+'Deprec 2183 4.30.19'!Y36</f>
        <v>19865.942449842947</v>
      </c>
      <c r="I125" s="1469" t="s">
        <v>326</v>
      </c>
      <c r="J125" s="1476"/>
    </row>
    <row r="126" spans="1:10">
      <c r="A126" s="1445"/>
      <c r="B126" s="1379" t="s">
        <v>332</v>
      </c>
      <c r="C126" s="1341">
        <f>+'Deprec 2183 4.30.19'!T38</f>
        <v>4162.875247344241</v>
      </c>
      <c r="D126" s="1341">
        <f>+'Deprec 2183 4.30.19'!U38</f>
        <v>160.01239011293782</v>
      </c>
      <c r="E126" s="1341">
        <f>+'Deprec 2183 4.30.19'!V38</f>
        <v>41.883256144636995</v>
      </c>
      <c r="F126" s="1341">
        <f>+'Deprec 2183 4.30.19'!W38</f>
        <v>135.58591729474776</v>
      </c>
      <c r="G126" s="1341">
        <f>+'Deprec 2183 4.30.19'!X38</f>
        <v>5.6359700594375971E-2</v>
      </c>
      <c r="H126" s="1341">
        <f>+'Deprec 2183 4.30.19'!Y38</f>
        <v>106.15349606950714</v>
      </c>
      <c r="I126" s="1469" t="s">
        <v>326</v>
      </c>
      <c r="J126" s="1476"/>
    </row>
    <row r="127" spans="1:10">
      <c r="A127" s="1445"/>
      <c r="B127" s="1379" t="s">
        <v>78</v>
      </c>
      <c r="C127" s="1341"/>
      <c r="D127" s="1341"/>
      <c r="E127" s="1341"/>
      <c r="F127" s="1341"/>
      <c r="G127" s="1341"/>
      <c r="H127" s="1341"/>
      <c r="I127" s="1469" t="s">
        <v>326</v>
      </c>
      <c r="J127" s="1470"/>
    </row>
    <row r="128" spans="1:10">
      <c r="A128" s="1445"/>
      <c r="B128" s="1379"/>
      <c r="C128" s="1341"/>
      <c r="D128" s="1341"/>
      <c r="E128" s="1341"/>
      <c r="F128" s="1341"/>
      <c r="G128" s="1341"/>
      <c r="H128" s="1341"/>
      <c r="I128" s="1474"/>
      <c r="J128" s="1475"/>
    </row>
    <row r="129" spans="1:10">
      <c r="A129" s="1445"/>
      <c r="B129" s="1379" t="s">
        <v>333</v>
      </c>
      <c r="C129" s="1341"/>
      <c r="D129" s="1341"/>
      <c r="E129" s="1341"/>
      <c r="F129" s="1341"/>
      <c r="G129" s="1341"/>
      <c r="H129" s="1341"/>
      <c r="I129" s="1469" t="s">
        <v>326</v>
      </c>
      <c r="J129" s="1470"/>
    </row>
    <row r="130" spans="1:10">
      <c r="A130" s="1445"/>
      <c r="B130" s="1379" t="s">
        <v>334</v>
      </c>
      <c r="C130" s="1341">
        <f>+'Deprec 2183 4.30.19'!T40</f>
        <v>155544.34863542279</v>
      </c>
      <c r="D130" s="1341">
        <f>+'Deprec 2183 4.30.19'!U40</f>
        <v>5978.8058769218096</v>
      </c>
      <c r="E130" s="1341">
        <f>+'Deprec 2183 4.30.19'!V40</f>
        <v>1564.952925241819</v>
      </c>
      <c r="F130" s="1341">
        <f>+'Deprec 2183 4.30.19'!W40</f>
        <v>5066.1194334858437</v>
      </c>
      <c r="G130" s="1341">
        <f>+'Deprec 2183 4.30.19'!X40</f>
        <v>0</v>
      </c>
      <c r="H130" s="1341">
        <f>+'Deprec 2183 4.30.19'!Y40</f>
        <v>3966.3875135432345</v>
      </c>
      <c r="I130" s="1469" t="s">
        <v>326</v>
      </c>
      <c r="J130" s="1476"/>
    </row>
    <row r="131" spans="1:10">
      <c r="A131" s="1445"/>
      <c r="B131" s="1379" t="s">
        <v>336</v>
      </c>
      <c r="C131" s="1341">
        <f>+'Deprec 2183 4.30.19'!T42</f>
        <v>468848.83074309077</v>
      </c>
      <c r="D131" s="1341">
        <f>+'Deprec 2183 4.30.19'!U42</f>
        <v>18021.587857267448</v>
      </c>
      <c r="E131" s="1341">
        <f>+'Deprec 2183 4.30.19'!V42</f>
        <v>4717.1520894492442</v>
      </c>
      <c r="F131" s="1341">
        <f>+'Deprec 2183 4.30.19'!W42</f>
        <v>15270.526982384768</v>
      </c>
      <c r="G131" s="1341">
        <f>+'Deprec 2183 4.30.19'!X42</f>
        <v>0</v>
      </c>
      <c r="H131" s="1341">
        <f>+'Deprec 2183 4.30.19'!Y42</f>
        <v>11955.665148320519</v>
      </c>
      <c r="I131" s="1469" t="s">
        <v>326</v>
      </c>
      <c r="J131" s="1476"/>
    </row>
    <row r="132" spans="1:10">
      <c r="A132" s="1445"/>
      <c r="B132" s="1379" t="s">
        <v>931</v>
      </c>
      <c r="C132" s="1341">
        <f>+'Deprec 2183 4.30.19'!T44</f>
        <v>235098.21152669869</v>
      </c>
      <c r="D132" s="1341">
        <f>+'Deprec 2183 4.30.19'!U44</f>
        <v>9036.6932714746526</v>
      </c>
      <c r="E132" s="1341">
        <f>+'Deprec 2183 4.30.19'!V44</f>
        <v>2365.3551998226667</v>
      </c>
      <c r="F132" s="1341">
        <f>+'Deprec 2183 4.30.19'!W44</f>
        <v>408900.24769431161</v>
      </c>
      <c r="G132" s="1341">
        <f>+'Deprec 2183 4.30.19'!X44</f>
        <v>0</v>
      </c>
      <c r="H132" s="1341">
        <f>+'Deprec 2183 4.30.19'!Y44</f>
        <v>0</v>
      </c>
      <c r="I132" s="1469" t="s">
        <v>326</v>
      </c>
      <c r="J132" s="1476"/>
    </row>
    <row r="133" spans="1:10">
      <c r="A133" s="1445"/>
      <c r="B133" s="1379" t="s">
        <v>339</v>
      </c>
      <c r="C133" s="1341">
        <f>+'Deprec 2183 4.30.19'!T46</f>
        <v>884436.48900964286</v>
      </c>
      <c r="D133" s="1341">
        <f>+'Deprec 2183 4.30.19'!U46</f>
        <v>45058.666603585938</v>
      </c>
      <c r="E133" s="1341">
        <f>+'Deprec 2183 4.30.19'!V46</f>
        <v>9969.3652913558362</v>
      </c>
      <c r="F133" s="1341">
        <f>+'Deprec 2183 4.30.19'!W46</f>
        <v>222558.24302895198</v>
      </c>
      <c r="G133" s="1341">
        <f>+'Deprec 2183 4.30.19'!X46</f>
        <v>58996.169200000004</v>
      </c>
      <c r="H133" s="1341">
        <f>+'Deprec 2183 4.30.19'!Y46</f>
        <v>253885.29686646344</v>
      </c>
      <c r="I133" s="1469" t="s">
        <v>326</v>
      </c>
      <c r="J133" s="1470"/>
    </row>
    <row r="134" spans="1:10">
      <c r="A134" s="1445"/>
      <c r="B134" s="1379"/>
      <c r="C134" s="1471">
        <f t="shared" ref="C134:H134" si="12">SUM(C124:C133)</f>
        <v>1858565.3309772983</v>
      </c>
      <c r="D134" s="1471">
        <f t="shared" si="12"/>
        <v>83884.024378208182</v>
      </c>
      <c r="E134" s="1471">
        <f t="shared" si="12"/>
        <v>19903.977829261268</v>
      </c>
      <c r="F134" s="1471">
        <f t="shared" si="12"/>
        <v>679730.37605390849</v>
      </c>
      <c r="G134" s="1471">
        <f t="shared" si="12"/>
        <v>58996.225559700601</v>
      </c>
      <c r="H134" s="1471">
        <f t="shared" si="12"/>
        <v>301626.2046435033</v>
      </c>
      <c r="I134" s="1474"/>
      <c r="J134" s="1475"/>
    </row>
    <row r="135" spans="1:10">
      <c r="A135" s="1445"/>
      <c r="B135" s="1379"/>
      <c r="C135" s="1369"/>
      <c r="D135" s="1369"/>
      <c r="E135" s="1369"/>
      <c r="F135" s="1369"/>
      <c r="G135" s="1369"/>
      <c r="H135" s="1369"/>
      <c r="I135" s="1474"/>
      <c r="J135" s="1475"/>
    </row>
    <row r="136" spans="1:10" ht="12" thickBot="1">
      <c r="A136" s="1445"/>
      <c r="B136" s="1459" t="s">
        <v>13</v>
      </c>
      <c r="C136" s="1477">
        <f t="shared" ref="C136:H136" si="13">C115+C122+C134</f>
        <v>13552051.72923349</v>
      </c>
      <c r="D136" s="1477">
        <f t="shared" si="13"/>
        <v>679830.79803231347</v>
      </c>
      <c r="E136" s="1477">
        <f t="shared" si="13"/>
        <v>155084.51499649842</v>
      </c>
      <c r="F136" s="1477">
        <f t="shared" si="13"/>
        <v>1975204.7653751858</v>
      </c>
      <c r="G136" s="1477">
        <f t="shared" si="13"/>
        <v>58996.225559700601</v>
      </c>
      <c r="H136" s="1477">
        <f t="shared" si="13"/>
        <v>301626.2046435033</v>
      </c>
      <c r="I136" s="1474"/>
      <c r="J136" s="1475"/>
    </row>
    <row r="137" spans="1:10" ht="12" thickTop="1">
      <c r="A137" s="1445"/>
      <c r="B137" s="1379"/>
      <c r="C137" s="1369">
        <f>+C136-'Deprec 2183 4.30.19'!T50</f>
        <v>0</v>
      </c>
      <c r="D137" s="1369">
        <f>+D136-'Deprec 2183 4.30.19'!U50</f>
        <v>0</v>
      </c>
      <c r="E137" s="1369">
        <f>+E136-'Deprec 2183 4.30.19'!V50</f>
        <v>0</v>
      </c>
      <c r="F137" s="1369">
        <f>+F136-'Deprec 2183 4.30.19'!W50</f>
        <v>0</v>
      </c>
      <c r="G137" s="1369">
        <f>+G136-'Deprec 2183 4.30.19'!X50</f>
        <v>0</v>
      </c>
      <c r="H137" s="1369">
        <f>+H136-'Deprec 2183 4.30.19'!Y50</f>
        <v>0</v>
      </c>
      <c r="I137" s="1379"/>
      <c r="J137" s="1446"/>
    </row>
    <row r="138" spans="1:10">
      <c r="A138" s="1445"/>
      <c r="B138" s="1459"/>
      <c r="C138" s="1369"/>
      <c r="D138" s="1369"/>
      <c r="E138" s="1369"/>
      <c r="F138" s="1474"/>
      <c r="G138" s="1379"/>
      <c r="H138" s="1379"/>
      <c r="I138" s="1379"/>
      <c r="J138" s="1446"/>
    </row>
    <row r="139" spans="1:10">
      <c r="A139" s="1445"/>
      <c r="B139" s="1379"/>
      <c r="C139" s="1341"/>
      <c r="D139" s="1341"/>
      <c r="E139" s="1341"/>
      <c r="F139" s="1474"/>
      <c r="G139" s="1474"/>
      <c r="H139" s="1379"/>
      <c r="I139" s="1379"/>
      <c r="J139" s="1446"/>
    </row>
    <row r="140" spans="1:10">
      <c r="A140" s="1445"/>
      <c r="B140" s="1379"/>
      <c r="C140" s="1341"/>
      <c r="D140" s="1341"/>
      <c r="E140" s="1341"/>
      <c r="F140" s="1474"/>
      <c r="G140" s="1379"/>
      <c r="H140" s="1379"/>
      <c r="I140" s="1379"/>
      <c r="J140" s="1446"/>
    </row>
    <row r="141" spans="1:10">
      <c r="A141" s="1450"/>
      <c r="B141" s="1451"/>
      <c r="C141" s="1478"/>
      <c r="D141" s="1478"/>
      <c r="E141" s="1478"/>
      <c r="F141" s="1478"/>
      <c r="G141" s="1478"/>
      <c r="H141" s="1478"/>
      <c r="I141" s="1451"/>
      <c r="J141" s="1453"/>
    </row>
    <row r="142" spans="1:10">
      <c r="A142" s="1379"/>
      <c r="B142" s="1379"/>
      <c r="C142" s="1474"/>
      <c r="D142" s="1474"/>
      <c r="E142" s="1474"/>
      <c r="F142" s="1474"/>
      <c r="G142" s="1474"/>
      <c r="H142" s="1474"/>
      <c r="I142" s="1379"/>
      <c r="J142" s="1379"/>
    </row>
    <row r="143" spans="1:10">
      <c r="A143" s="1379"/>
      <c r="B143" s="1379"/>
      <c r="C143" s="1379"/>
      <c r="D143" s="1379"/>
      <c r="E143" s="1379"/>
      <c r="F143" s="1379"/>
      <c r="G143" s="1379"/>
      <c r="H143" s="1379"/>
      <c r="I143" s="1379"/>
      <c r="J143" s="1379"/>
    </row>
    <row r="144" spans="1:10">
      <c r="A144" s="1379"/>
      <c r="B144" s="1379"/>
      <c r="C144" s="1379"/>
      <c r="D144" s="1379"/>
      <c r="E144" s="1379"/>
      <c r="F144" s="1379"/>
      <c r="G144" s="1379"/>
      <c r="H144" s="1379"/>
      <c r="I144" s="1379"/>
      <c r="J144" s="1379"/>
    </row>
    <row r="145" spans="1:10">
      <c r="A145" s="1454"/>
      <c r="B145" s="1455"/>
      <c r="C145" s="1455"/>
      <c r="D145" s="1455"/>
      <c r="E145" s="1455"/>
      <c r="F145" s="1455"/>
      <c r="G145" s="1455"/>
      <c r="H145" s="1455"/>
      <c r="I145" s="1455"/>
      <c r="J145" s="1457"/>
    </row>
    <row r="146" spans="1:10" ht="22.5" customHeight="1">
      <c r="A146" s="1479" t="s">
        <v>1805</v>
      </c>
      <c r="B146" s="1264"/>
      <c r="C146" s="1480" t="s">
        <v>191</v>
      </c>
      <c r="D146" s="1480" t="s">
        <v>289</v>
      </c>
      <c r="E146" s="1480" t="s">
        <v>299</v>
      </c>
      <c r="F146" s="1481"/>
      <c r="G146" s="1480"/>
      <c r="H146" s="1480"/>
      <c r="I146" s="1379"/>
      <c r="J146" s="1446"/>
    </row>
    <row r="147" spans="1:10">
      <c r="A147" s="1482"/>
      <c r="B147" s="1482" t="s">
        <v>904</v>
      </c>
      <c r="C147" s="1483">
        <f>+[46]Pivot!$E$10</f>
        <v>0.80247954134287225</v>
      </c>
      <c r="D147" s="1483">
        <f>+[46]Pivot!$E$11</f>
        <v>9.1990560879456937E-2</v>
      </c>
      <c r="E147" s="1483">
        <f>+[46]Pivot!$E$12</f>
        <v>0.10552989777767077</v>
      </c>
      <c r="F147" s="1481"/>
      <c r="G147" s="1474"/>
      <c r="H147" s="1474"/>
      <c r="I147" s="1379"/>
      <c r="J147" s="1446"/>
    </row>
    <row r="148" spans="1:10">
      <c r="A148" s="1482"/>
      <c r="B148" s="1482" t="s">
        <v>233</v>
      </c>
      <c r="C148" s="1483">
        <f>+[46]Pivot!$C$14</f>
        <v>0.94244647477754351</v>
      </c>
      <c r="D148" s="1483"/>
      <c r="E148" s="1483">
        <f>+[46]Pivot!$C$16</f>
        <v>5.7553525222456374E-2</v>
      </c>
      <c r="F148" s="1481"/>
      <c r="G148" s="1474"/>
      <c r="H148" s="1474"/>
      <c r="I148" s="1379"/>
      <c r="J148" s="1446"/>
    </row>
    <row r="149" spans="1:10">
      <c r="A149" s="1482"/>
      <c r="B149" s="1482" t="s">
        <v>905</v>
      </c>
      <c r="C149" s="1483">
        <f>+[46]Pivot!$D$14</f>
        <v>0.83557982793391916</v>
      </c>
      <c r="D149" s="1483">
        <f>+[46]Pivot!$D$15</f>
        <v>3.8747275120305999E-2</v>
      </c>
      <c r="E149" s="1483">
        <f>+[46]Pivot!$D$16</f>
        <v>0.12567289694577477</v>
      </c>
      <c r="F149" s="1481"/>
      <c r="G149" s="1474"/>
      <c r="H149" s="1474"/>
      <c r="I149" s="1379"/>
      <c r="J149" s="1446"/>
    </row>
    <row r="150" spans="1:10">
      <c r="A150" s="1482"/>
      <c r="B150" s="1482" t="s">
        <v>1802</v>
      </c>
      <c r="C150" s="1483">
        <f>+[46]Pivot!$O$22</f>
        <v>0.8303571428571429</v>
      </c>
      <c r="D150" s="1481"/>
      <c r="E150" s="1483">
        <f>+[46]Pivot!$O$130</f>
        <v>0.16964285714285715</v>
      </c>
      <c r="F150" s="1481"/>
      <c r="G150" s="1474"/>
      <c r="H150" s="1474"/>
      <c r="I150" s="1379"/>
      <c r="J150" s="1446"/>
    </row>
    <row r="151" spans="1:10">
      <c r="A151" s="1450"/>
      <c r="B151" s="1451"/>
      <c r="C151" s="1451"/>
      <c r="D151" s="1451"/>
      <c r="E151" s="1451"/>
      <c r="F151" s="1451"/>
      <c r="G151" s="1451"/>
      <c r="H151" s="1451"/>
      <c r="I151" s="1451"/>
      <c r="J151" s="1453"/>
    </row>
    <row r="152" spans="1:10">
      <c r="A152" s="1379"/>
      <c r="B152" s="1379"/>
      <c r="C152" s="1379"/>
      <c r="D152" s="1379"/>
      <c r="E152" s="1379"/>
      <c r="F152" s="1379"/>
      <c r="G152" s="1379"/>
      <c r="H152" s="1379"/>
      <c r="I152" s="1379"/>
      <c r="J152" s="1379"/>
    </row>
    <row r="153" spans="1:10">
      <c r="A153" s="1379"/>
      <c r="B153" s="1379"/>
      <c r="C153" s="1379"/>
      <c r="D153" s="1379"/>
      <c r="E153" s="1379"/>
      <c r="F153" s="1379"/>
      <c r="G153" s="1379"/>
      <c r="H153" s="1379"/>
      <c r="I153" s="1379"/>
      <c r="J153" s="1379"/>
    </row>
    <row r="154" spans="1:10">
      <c r="A154" s="1454"/>
      <c r="B154" s="1455"/>
      <c r="C154" s="1455"/>
      <c r="D154" s="1455"/>
      <c r="E154" s="1455"/>
      <c r="F154" s="1455"/>
      <c r="G154" s="1455"/>
      <c r="H154" s="1455"/>
      <c r="I154" s="1455"/>
      <c r="J154" s="1457"/>
    </row>
    <row r="155" spans="1:10">
      <c r="A155" s="1482" t="s">
        <v>917</v>
      </c>
      <c r="B155" s="1482"/>
      <c r="C155" s="1481" t="s">
        <v>309</v>
      </c>
      <c r="D155" s="1481" t="s">
        <v>850</v>
      </c>
      <c r="E155" s="1481" t="s">
        <v>851</v>
      </c>
      <c r="F155" s="1481" t="s">
        <v>316</v>
      </c>
      <c r="G155" s="1480" t="s">
        <v>289</v>
      </c>
      <c r="H155" s="1480" t="s">
        <v>299</v>
      </c>
      <c r="I155" s="1379"/>
      <c r="J155" s="1446"/>
    </row>
    <row r="156" spans="1:10">
      <c r="A156" s="1482"/>
      <c r="B156" s="1482" t="s">
        <v>229</v>
      </c>
      <c r="C156" s="1483">
        <f>+'[47]EE Counts'!K9</f>
        <v>0.48243785286739022</v>
      </c>
      <c r="D156" s="1483">
        <f>+'[47]EE Counts'!L9</f>
        <v>2.4395257556367726E-2</v>
      </c>
      <c r="E156" s="1483">
        <f>+'[47]EE Counts'!M9</f>
        <v>5.4548557541930984E-3</v>
      </c>
      <c r="F156" s="1483">
        <f>+'[47]EE Counts'!N9</f>
        <v>0.12568439488446814</v>
      </c>
      <c r="G156" s="1483">
        <f>+'[47]EE Counts'!P9</f>
        <v>0.22386609961522261</v>
      </c>
      <c r="H156" s="1483">
        <f>+'[47]EE Counts'!Q9</f>
        <v>0.13816153932235825</v>
      </c>
      <c r="I156" s="1379"/>
      <c r="J156" s="1446"/>
    </row>
    <row r="157" spans="1:10">
      <c r="A157" s="1482"/>
      <c r="B157" s="1482" t="s">
        <v>266</v>
      </c>
      <c r="C157" s="1483">
        <f>+'[47]EE Counts'!K11</f>
        <v>0.7515973805375592</v>
      </c>
      <c r="D157" s="1483">
        <f>+'[47]EE Counts'!L11</f>
        <v>3.3268090362446941E-2</v>
      </c>
      <c r="E157" s="1483">
        <f>+'[47]EE Counts'!M11</f>
        <v>7.5429010079297084E-3</v>
      </c>
      <c r="F157" s="1483">
        <f>+'[47]EE Counts'!N11</f>
        <v>2.2589557567819982E-2</v>
      </c>
      <c r="G157" s="1484">
        <f>+'[47]EE Counts'!P11</f>
        <v>7.0480568887075282E-2</v>
      </c>
      <c r="H157" s="1484">
        <f>+'[47]EE Counts'!Q11</f>
        <v>0.1145215016371689</v>
      </c>
      <c r="I157" s="1379"/>
      <c r="J157" s="1446"/>
    </row>
    <row r="158" spans="1:10">
      <c r="A158" s="1482"/>
      <c r="B158" s="1482" t="s">
        <v>873</v>
      </c>
      <c r="C158" s="1483">
        <f>+'[47]EE Counts'!K13</f>
        <v>0.60905057085404979</v>
      </c>
      <c r="D158" s="1483">
        <f>+'[47]EE Counts'!L13</f>
        <v>3.0797636322540813E-2</v>
      </c>
      <c r="E158" s="1483">
        <f>+'[47]EE Counts'!M13</f>
        <v>6.8864476352169992E-3</v>
      </c>
      <c r="F158" s="1483">
        <f>+'[47]EE Counts'!N13</f>
        <v>0.15866945762415594</v>
      </c>
      <c r="G158" s="1484">
        <f>+'[47]EE Counts'!P13</f>
        <v>0.12885309761578995</v>
      </c>
      <c r="H158" s="1484">
        <f>+'[47]EE Counts'!Q13</f>
        <v>6.574278994824645E-2</v>
      </c>
      <c r="I158" s="1379"/>
      <c r="J158" s="1446"/>
    </row>
    <row r="159" spans="1:10">
      <c r="A159" s="1482"/>
      <c r="B159" s="1482" t="s">
        <v>874</v>
      </c>
      <c r="C159" s="1483">
        <f>+'[47]EE Counts'!K15</f>
        <v>0.75620494289750051</v>
      </c>
      <c r="D159" s="1483">
        <f>+'[47]EE Counts'!L15</f>
        <v>3.8238737358060715E-2</v>
      </c>
      <c r="E159" s="1483">
        <f>+'[47]EE Counts'!M15</f>
        <v>8.5503010586682714E-3</v>
      </c>
      <c r="F159" s="1483">
        <f>+'[47]EE Counts'!N15</f>
        <v>0.19700601868577061</v>
      </c>
      <c r="G159" s="1484">
        <f>+'[47]EE Counts'!P15</f>
        <v>0</v>
      </c>
      <c r="H159" s="1484">
        <f>+'[47]EE Counts'!Q15</f>
        <v>0</v>
      </c>
      <c r="I159" s="1379"/>
      <c r="J159" s="1446"/>
    </row>
    <row r="160" spans="1:10">
      <c r="A160" s="1482"/>
      <c r="B160" s="1482" t="s">
        <v>875</v>
      </c>
      <c r="C160" s="1483">
        <f>+'[47]EE Counts'!K17</f>
        <v>0.7562049428975004</v>
      </c>
      <c r="D160" s="1483">
        <f>+'[47]EE Counts'!L17</f>
        <v>3.8238737358060715E-2</v>
      </c>
      <c r="E160" s="1483">
        <f>+'[47]EE Counts'!M17</f>
        <v>8.5503010586682714E-3</v>
      </c>
      <c r="F160" s="1483">
        <f>+'[47]EE Counts'!N17</f>
        <v>0.19700601868577061</v>
      </c>
      <c r="G160" s="1484">
        <f>+'[47]EE Counts'!$P$17</f>
        <v>0</v>
      </c>
      <c r="H160" s="1484">
        <f>+'[47]EE Counts'!$P$17</f>
        <v>0</v>
      </c>
      <c r="I160" s="1379"/>
      <c r="J160" s="1446"/>
    </row>
    <row r="161" spans="1:10">
      <c r="A161" s="1482"/>
      <c r="B161" s="1482" t="s">
        <v>78</v>
      </c>
      <c r="C161" s="1483">
        <f>+'[47]EE Counts'!K19</f>
        <v>0</v>
      </c>
      <c r="D161" s="1483">
        <f>+'[47]EE Counts'!L19</f>
        <v>0</v>
      </c>
      <c r="E161" s="1483">
        <f>+'[47]EE Counts'!M19</f>
        <v>0</v>
      </c>
      <c r="F161" s="1483">
        <f>+'[47]EE Counts'!N19</f>
        <v>0</v>
      </c>
      <c r="G161" s="1483">
        <f>+'[47]EE Counts'!P19</f>
        <v>0</v>
      </c>
      <c r="H161" s="1483">
        <f>+'[47]EE Counts'!Q19</f>
        <v>1</v>
      </c>
      <c r="I161" s="1379"/>
      <c r="J161" s="1446"/>
    </row>
    <row r="162" spans="1:10">
      <c r="A162" s="1482"/>
      <c r="B162" s="1482"/>
      <c r="C162" s="1481"/>
      <c r="D162" s="1481"/>
      <c r="E162" s="1481"/>
      <c r="F162" s="1481"/>
      <c r="G162" s="1480"/>
      <c r="H162" s="1480"/>
      <c r="I162" s="1379"/>
      <c r="J162" s="1446"/>
    </row>
    <row r="163" spans="1:10">
      <c r="A163" s="1482"/>
      <c r="B163" s="1482" t="s">
        <v>927</v>
      </c>
      <c r="C163" s="1483">
        <f>+'[47]EE Counts'!K22</f>
        <v>0.55653963243189775</v>
      </c>
      <c r="D163" s="1483">
        <f>+'[47]EE Counts'!L22</f>
        <v>2.7298907388644954E-2</v>
      </c>
      <c r="E163" s="1483">
        <f>+'[47]EE Counts'!M22</f>
        <v>6.1226449362943025E-3</v>
      </c>
      <c r="F163" s="1483">
        <f>+'[47]EE Counts'!N22</f>
        <v>0.11415232501672751</v>
      </c>
      <c r="G163" s="1483">
        <f>+'[47]EE Counts'!P22</f>
        <v>0.18798871712631782</v>
      </c>
      <c r="H163" s="1483">
        <f>+'[47]EE Counts'!Q22</f>
        <v>0.13921318823862472</v>
      </c>
      <c r="I163" s="1379"/>
      <c r="J163" s="1446"/>
    </row>
    <row r="164" spans="1:10">
      <c r="A164" s="1482"/>
      <c r="B164" s="1482" t="s">
        <v>928</v>
      </c>
      <c r="C164" s="1483">
        <f>+'[47]EE Counts'!K23</f>
        <v>0.561483526447351</v>
      </c>
      <c r="D164" s="1483">
        <f>+'[47]EE Counts'!L23</f>
        <v>2.7569787491902493E-2</v>
      </c>
      <c r="E164" s="1483">
        <f>+'[47]EE Counts'!M23</f>
        <v>6.1827559017243782E-3</v>
      </c>
      <c r="F164" s="1483">
        <f>+'[47]EE Counts'!N23</f>
        <v>0.11620385755051309</v>
      </c>
      <c r="G164" s="1483">
        <f>+'[47]EE Counts'!P23</f>
        <v>0.18333394614278406</v>
      </c>
      <c r="H164" s="1483">
        <f>+'[47]EE Counts'!Q23</f>
        <v>0.13576614354868755</v>
      </c>
      <c r="I164" s="1379"/>
      <c r="J164" s="1446"/>
    </row>
    <row r="165" spans="1:10">
      <c r="A165" s="1450"/>
      <c r="B165" s="1451"/>
      <c r="C165" s="1451"/>
      <c r="D165" s="1451"/>
      <c r="E165" s="1451"/>
      <c r="F165" s="1451"/>
      <c r="G165" s="1451"/>
      <c r="H165" s="1451"/>
      <c r="I165" s="1451"/>
      <c r="J165" s="1453"/>
    </row>
    <row r="166" spans="1:10">
      <c r="A166" s="1379"/>
      <c r="B166" s="1379"/>
      <c r="C166" s="1379"/>
      <c r="D166" s="1379"/>
      <c r="E166" s="1379"/>
      <c r="F166" s="1379"/>
      <c r="G166" s="1379"/>
      <c r="H166" s="1379"/>
      <c r="I166" s="1379"/>
      <c r="J166" s="1379"/>
    </row>
    <row r="167" spans="1:10">
      <c r="A167" s="1379"/>
      <c r="B167" s="1379"/>
      <c r="C167" s="1379"/>
      <c r="D167" s="1379"/>
      <c r="E167" s="1379"/>
      <c r="F167" s="1379"/>
      <c r="G167" s="1379"/>
      <c r="H167" s="1379"/>
      <c r="I167" s="1379"/>
      <c r="J167" s="1379"/>
    </row>
    <row r="168" spans="1:10">
      <c r="A168" s="1454"/>
      <c r="B168" s="1455"/>
      <c r="C168" s="1455"/>
      <c r="D168" s="1455"/>
      <c r="E168" s="1455"/>
      <c r="F168" s="1455"/>
      <c r="G168" s="1455"/>
      <c r="H168" s="1455"/>
      <c r="I168" s="1455"/>
      <c r="J168" s="1457"/>
    </row>
    <row r="169" spans="1:10">
      <c r="A169" s="1482" t="s">
        <v>932</v>
      </c>
      <c r="B169" s="1482"/>
      <c r="C169" s="1481" t="s">
        <v>309</v>
      </c>
      <c r="D169" s="1481" t="s">
        <v>850</v>
      </c>
      <c r="E169" s="1481" t="s">
        <v>851</v>
      </c>
      <c r="F169" s="1481" t="s">
        <v>316</v>
      </c>
      <c r="G169" s="1480" t="s">
        <v>289</v>
      </c>
      <c r="H169" s="1480" t="s">
        <v>299</v>
      </c>
      <c r="I169" s="1379"/>
      <c r="J169" s="1446"/>
    </row>
    <row r="170" spans="1:10">
      <c r="A170" s="1482"/>
      <c r="B170" s="1482" t="s">
        <v>1909</v>
      </c>
      <c r="C170" s="1485"/>
      <c r="D170" s="1483"/>
      <c r="E170" s="1483"/>
      <c r="F170" s="1483"/>
      <c r="G170" s="1483"/>
      <c r="H170" s="1483"/>
      <c r="I170" s="1379"/>
      <c r="J170" s="1446"/>
    </row>
    <row r="171" spans="1:10">
      <c r="A171" s="1482" t="s">
        <v>933</v>
      </c>
      <c r="B171" s="1482"/>
      <c r="C171" s="1485">
        <f>+[48]Pivot!$C$14</f>
        <v>15005.75</v>
      </c>
      <c r="D171" s="1485">
        <f>D170*D$23</f>
        <v>0</v>
      </c>
      <c r="E171" s="1485">
        <f>E170*E$23</f>
        <v>0</v>
      </c>
      <c r="F171" s="1485">
        <f>+[48]Pivot!$C$9-C171</f>
        <v>24891.880000000005</v>
      </c>
      <c r="G171" s="1484"/>
      <c r="H171" s="1484"/>
      <c r="I171" s="1379"/>
      <c r="J171" s="1446"/>
    </row>
    <row r="172" spans="1:10">
      <c r="A172" s="1482"/>
      <c r="B172" s="1482" t="s">
        <v>1911</v>
      </c>
      <c r="C172" s="1483">
        <f t="shared" ref="C172:H172" si="14">+C171/SUM($C$171:$H$171)</f>
        <v>0.37610630004839884</v>
      </c>
      <c r="D172" s="1483">
        <f t="shared" si="14"/>
        <v>0</v>
      </c>
      <c r="E172" s="1483">
        <f t="shared" si="14"/>
        <v>0</v>
      </c>
      <c r="F172" s="1483">
        <f t="shared" si="14"/>
        <v>0.62389369995160116</v>
      </c>
      <c r="G172" s="1483">
        <f t="shared" si="14"/>
        <v>0</v>
      </c>
      <c r="H172" s="1483">
        <f t="shared" si="14"/>
        <v>0</v>
      </c>
      <c r="I172" s="1379"/>
      <c r="J172" s="1446"/>
    </row>
    <row r="173" spans="1:10">
      <c r="A173" s="1450"/>
      <c r="B173" s="1486" t="s">
        <v>1912</v>
      </c>
      <c r="C173" s="1487">
        <f>($C$171*C$23)/$C$171</f>
        <v>0.95374427405719575</v>
      </c>
      <c r="D173" s="1487">
        <f>($C$171*D$23)/$C$171</f>
        <v>3.6659974604278799E-2</v>
      </c>
      <c r="E173" s="1487">
        <f>($C$171*E$23)/$C$171</f>
        <v>9.5957513385255527E-3</v>
      </c>
      <c r="F173" s="1451"/>
      <c r="G173" s="1451"/>
      <c r="H173" s="1451"/>
      <c r="I173" s="1451"/>
      <c r="J173" s="1453"/>
    </row>
    <row r="174" spans="1:10">
      <c r="A174" s="1379"/>
      <c r="B174" s="1379"/>
      <c r="C174" s="1379"/>
      <c r="D174" s="1379"/>
      <c r="E174" s="1379"/>
      <c r="F174" s="1379"/>
      <c r="G174" s="1379"/>
      <c r="H174" s="1379"/>
      <c r="I174" s="1379"/>
      <c r="J174" s="1379"/>
    </row>
    <row r="175" spans="1:10">
      <c r="A175" s="1454"/>
      <c r="B175" s="1455"/>
      <c r="C175" s="1455"/>
      <c r="D175" s="1455"/>
      <c r="E175" s="1455"/>
      <c r="F175" s="1455"/>
      <c r="G175" s="1455"/>
      <c r="H175" s="1455"/>
      <c r="I175" s="1455"/>
      <c r="J175" s="1457"/>
    </row>
    <row r="176" spans="1:10">
      <c r="A176" s="1482" t="s">
        <v>1765</v>
      </c>
      <c r="B176" s="1482"/>
      <c r="C176" s="1481" t="s">
        <v>309</v>
      </c>
      <c r="D176" s="1481" t="s">
        <v>850</v>
      </c>
      <c r="E176" s="1481" t="s">
        <v>851</v>
      </c>
      <c r="F176" s="1481" t="s">
        <v>316</v>
      </c>
      <c r="G176" s="1480" t="s">
        <v>289</v>
      </c>
      <c r="H176" s="1480" t="s">
        <v>299</v>
      </c>
      <c r="I176" s="1379" t="s">
        <v>13</v>
      </c>
      <c r="J176" s="1446"/>
    </row>
    <row r="177" spans="1:10">
      <c r="A177" s="1482"/>
      <c r="B177" s="1482"/>
      <c r="C177" s="1483"/>
      <c r="D177" s="1483"/>
      <c r="E177" s="1483"/>
      <c r="F177" s="1483"/>
      <c r="G177" s="1483"/>
      <c r="H177" s="1483"/>
      <c r="I177" s="1379"/>
      <c r="J177" s="1446"/>
    </row>
    <row r="178" spans="1:10">
      <c r="A178" s="1482"/>
      <c r="B178" s="1482" t="s">
        <v>1766</v>
      </c>
      <c r="C178" s="1359">
        <f>+'Disposal Allocation'!E7+'Disposal Allocation'!E10</f>
        <v>137391085.21468914</v>
      </c>
      <c r="D178" s="1359">
        <f>+'Disposal Allocation'!E16</f>
        <v>6384412.5002446491</v>
      </c>
      <c r="E178" s="1359">
        <f>+'Disposal Allocation'!E13</f>
        <v>1442415.3943098676</v>
      </c>
      <c r="F178" s="1488"/>
      <c r="G178" s="1489"/>
      <c r="H178" s="1489"/>
      <c r="I178" s="1490">
        <f>+SUM(C178:H178)</f>
        <v>145217913.10924366</v>
      </c>
      <c r="J178" s="1446"/>
    </row>
    <row r="179" spans="1:10">
      <c r="A179" s="1482"/>
      <c r="B179" s="1482"/>
      <c r="C179" s="1352">
        <f t="shared" ref="C179:H179" si="15">+C178/$I$178</f>
        <v>0.94610287583001829</v>
      </c>
      <c r="D179" s="1352">
        <f t="shared" si="15"/>
        <v>4.3964359241561481E-2</v>
      </c>
      <c r="E179" s="1352">
        <f t="shared" si="15"/>
        <v>9.932764928420202E-3</v>
      </c>
      <c r="F179" s="1352">
        <f t="shared" si="15"/>
        <v>0</v>
      </c>
      <c r="G179" s="1352">
        <f t="shared" si="15"/>
        <v>0</v>
      </c>
      <c r="H179" s="1352">
        <f t="shared" si="15"/>
        <v>0</v>
      </c>
      <c r="I179" s="1379"/>
      <c r="J179" s="1446"/>
    </row>
    <row r="180" spans="1:10">
      <c r="A180" s="1450"/>
      <c r="B180" s="1451"/>
      <c r="C180" s="1451"/>
      <c r="D180" s="1451"/>
      <c r="E180" s="1451"/>
      <c r="F180" s="1451"/>
      <c r="G180" s="1451"/>
      <c r="H180" s="1451"/>
      <c r="I180" s="1451"/>
      <c r="J180" s="1453"/>
    </row>
    <row r="181" spans="1:10">
      <c r="A181" s="1379"/>
      <c r="B181" s="1379"/>
      <c r="C181" s="1379"/>
      <c r="D181" s="1379"/>
      <c r="E181" s="1379"/>
      <c r="F181" s="1379"/>
      <c r="G181" s="1379"/>
      <c r="H181" s="1379"/>
      <c r="I181" s="1379"/>
      <c r="J181" s="1379"/>
    </row>
    <row r="182" spans="1:10">
      <c r="A182" s="1454"/>
      <c r="B182" s="1455"/>
      <c r="C182" s="1456"/>
      <c r="D182" s="1456"/>
      <c r="E182" s="1456"/>
      <c r="F182" s="1456"/>
      <c r="G182" s="1456"/>
      <c r="H182" s="1456"/>
      <c r="I182" s="1456"/>
      <c r="J182" s="1457"/>
    </row>
    <row r="183" spans="1:10">
      <c r="A183" s="1458" t="s">
        <v>2704</v>
      </c>
      <c r="B183" s="1459"/>
      <c r="C183" s="1443" t="s">
        <v>13</v>
      </c>
      <c r="D183" s="1467" t="s">
        <v>1936</v>
      </c>
      <c r="E183" s="1443" t="s">
        <v>850</v>
      </c>
      <c r="F183" s="1443" t="s">
        <v>851</v>
      </c>
      <c r="G183" s="1443" t="s">
        <v>1937</v>
      </c>
      <c r="H183" s="1491"/>
      <c r="I183" s="1491"/>
      <c r="J183" s="1446"/>
    </row>
    <row r="184" spans="1:10">
      <c r="A184" s="1445"/>
      <c r="B184" s="1459"/>
      <c r="C184" s="1379"/>
      <c r="D184" s="1379"/>
      <c r="E184" s="1379"/>
      <c r="F184" s="1379"/>
      <c r="G184" s="1379"/>
      <c r="H184" s="1379"/>
      <c r="I184" s="1379"/>
      <c r="J184" s="1446"/>
    </row>
    <row r="185" spans="1:10">
      <c r="A185" s="1445"/>
      <c r="B185" s="1379" t="s">
        <v>1934</v>
      </c>
      <c r="C185" s="1460">
        <f>+SUM('[49]Container Size Totals'!$U$45:$U$46,'[49]Container Size Totals'!$U$50,'[49]Container Size Totals'!$U$52:$U$53,'[49]Container Size Totals'!$U$56:$U$59)</f>
        <v>4528.3145062991189</v>
      </c>
      <c r="D185" s="1460">
        <f>+[44]Summary!L147</f>
        <v>0</v>
      </c>
      <c r="E185" s="1460">
        <f>+[44]Summary!M147</f>
        <v>0</v>
      </c>
      <c r="F185" s="1460"/>
      <c r="G185" s="1460"/>
      <c r="H185" s="1460"/>
      <c r="I185" s="1460"/>
      <c r="J185" s="1461"/>
    </row>
    <row r="186" spans="1:10">
      <c r="A186" s="1445"/>
      <c r="B186" s="1379" t="s">
        <v>1938</v>
      </c>
      <c r="C186" s="1460">
        <f>-SUM(D186:G186)</f>
        <v>-2183.2321646632863</v>
      </c>
      <c r="D186" s="1460">
        <f>+'[49]Container Size Totals'!$T$60</f>
        <v>177</v>
      </c>
      <c r="E186" s="1460"/>
      <c r="F186" s="1460"/>
      <c r="G186" s="1460">
        <f>+SUM('[49]Container Size Totals'!$Q$45:$Q$46,'[49]Container Size Totals'!$Q$50,'[49]Container Size Totals'!$Q$58)</f>
        <v>2006.2321646632865</v>
      </c>
      <c r="H186" s="1460"/>
      <c r="I186" s="1460"/>
      <c r="J186" s="1461"/>
    </row>
    <row r="187" spans="1:10">
      <c r="A187" s="1445"/>
      <c r="B187" s="1379" t="s">
        <v>1940</v>
      </c>
      <c r="C187" s="1460">
        <f>+SUM(C185:C186)</f>
        <v>2345.0823416358326</v>
      </c>
      <c r="D187" s="1460">
        <f>+($C187*(C8/$I$8))</f>
        <v>2260.7229995119233</v>
      </c>
      <c r="E187" s="1460">
        <f>+($C187*(D8/$I$8))</f>
        <v>65.325801149615785</v>
      </c>
      <c r="F187" s="1460">
        <f>+($C187*(E8/$I$8))</f>
        <v>19.033540974293604</v>
      </c>
      <c r="G187" s="1460">
        <f>+(F187*(F8/$I$8))</f>
        <v>0</v>
      </c>
      <c r="H187" s="1460" t="s">
        <v>1930</v>
      </c>
      <c r="I187" s="1460"/>
      <c r="J187" s="1461"/>
    </row>
    <row r="188" spans="1:10">
      <c r="A188" s="1445"/>
      <c r="B188" s="1379" t="s">
        <v>1941</v>
      </c>
      <c r="C188" s="1492">
        <f>+C185</f>
        <v>4528.3145062991189</v>
      </c>
      <c r="D188" s="1492">
        <f>+SUM(D186:D187)</f>
        <v>2437.7229995119233</v>
      </c>
      <c r="E188" s="1492">
        <f>+SUM(E186:E187)</f>
        <v>65.325801149615785</v>
      </c>
      <c r="F188" s="1492">
        <f>+SUM(F186:F187)</f>
        <v>19.033540974293604</v>
      </c>
      <c r="G188" s="1492">
        <f>+SUM(G186:G187)</f>
        <v>2006.2321646632865</v>
      </c>
      <c r="H188" s="1460"/>
      <c r="I188" s="1460"/>
      <c r="J188" s="1461"/>
    </row>
    <row r="189" spans="1:10">
      <c r="A189" s="1445"/>
      <c r="B189" s="1379"/>
      <c r="C189" s="1460"/>
      <c r="D189" s="1380">
        <f>+D188/$C$188</f>
        <v>0.53832899550614799</v>
      </c>
      <c r="E189" s="1380">
        <f>+E188/$C$188</f>
        <v>1.4426074217845123E-2</v>
      </c>
      <c r="F189" s="1380">
        <f>+F188/$C$188</f>
        <v>4.2032285848999599E-3</v>
      </c>
      <c r="G189" s="1380">
        <f>+G188/$C$188</f>
        <v>0.44304170169110696</v>
      </c>
      <c r="H189" s="1460"/>
      <c r="I189" s="1460"/>
      <c r="J189" s="1461"/>
    </row>
    <row r="190" spans="1:10">
      <c r="A190" s="1445"/>
      <c r="B190" s="1379" t="s">
        <v>1935</v>
      </c>
      <c r="C190" s="1460">
        <f>+'[49]Container Size Totals'!$Q$41+'[49]Container Size Totals'!$R$41+'[49]Container Size Totals'!$U$41</f>
        <v>63880.444540827346</v>
      </c>
      <c r="D190" s="1460">
        <f>+[44]Summary!L149</f>
        <v>0</v>
      </c>
      <c r="E190" s="1460">
        <f>+[44]Summary!M149</f>
        <v>0</v>
      </c>
      <c r="F190" s="1460"/>
      <c r="G190" s="1460"/>
      <c r="H190" s="1460"/>
      <c r="I190" s="1460"/>
      <c r="J190" s="1461"/>
    </row>
    <row r="191" spans="1:10">
      <c r="A191" s="1445"/>
      <c r="B191" s="1379" t="s">
        <v>1938</v>
      </c>
      <c r="C191" s="1460">
        <f>-SUM(D191:I191)</f>
        <v>-5380.8852108852552</v>
      </c>
      <c r="D191" s="1460">
        <f>+'[49]Container Size Totals'!$U$41</f>
        <v>2952</v>
      </c>
      <c r="E191" s="1460"/>
      <c r="F191" s="1379"/>
      <c r="G191" s="1460">
        <f>+'[49]Container Size Totals'!$Q$41</f>
        <v>2428.8852108852552</v>
      </c>
      <c r="H191" s="1460"/>
      <c r="I191" s="1460"/>
      <c r="J191" s="1461"/>
    </row>
    <row r="192" spans="1:10">
      <c r="A192" s="1445"/>
      <c r="B192" s="1379" t="s">
        <v>1940</v>
      </c>
      <c r="C192" s="1460">
        <f>+C190+C191</f>
        <v>58499.559329942087</v>
      </c>
      <c r="D192" s="1460">
        <f>+$C192*C$31</f>
        <v>55498.411302035754</v>
      </c>
      <c r="E192" s="1460">
        <f>+$C192*D$31</f>
        <v>2341.2003062963154</v>
      </c>
      <c r="F192" s="1460">
        <f>+$C192*E$31</f>
        <v>659.9477216100172</v>
      </c>
      <c r="G192" s="1460">
        <f>+$C192*F$31</f>
        <v>0</v>
      </c>
      <c r="H192" s="1460" t="s">
        <v>1947</v>
      </c>
      <c r="I192" s="1460"/>
      <c r="J192" s="1461"/>
    </row>
    <row r="193" spans="1:10">
      <c r="A193" s="1445"/>
      <c r="B193" s="1379" t="s">
        <v>1939</v>
      </c>
      <c r="C193" s="1492">
        <f>+C190</f>
        <v>63880.444540827346</v>
      </c>
      <c r="D193" s="1492">
        <f>+D191+D192</f>
        <v>58450.411302035754</v>
      </c>
      <c r="E193" s="1492">
        <f>+E191+E192</f>
        <v>2341.2003062963154</v>
      </c>
      <c r="F193" s="1492">
        <f>+F191+F192</f>
        <v>659.9477216100172</v>
      </c>
      <c r="G193" s="1492">
        <f>+G191+G192</f>
        <v>2428.8852108852552</v>
      </c>
      <c r="H193" s="1460"/>
      <c r="I193" s="1460"/>
      <c r="J193" s="1461"/>
    </row>
    <row r="194" spans="1:10">
      <c r="A194" s="1445"/>
      <c r="B194" s="1379"/>
      <c r="C194" s="1460"/>
      <c r="D194" s="1380">
        <f>+D193/$C$193</f>
        <v>0.91499694033404633</v>
      </c>
      <c r="E194" s="1380">
        <f>+E193/$C$193</f>
        <v>3.6649718440829017E-2</v>
      </c>
      <c r="F194" s="1380">
        <f>+F193/$C$193</f>
        <v>1.0330981982885712E-2</v>
      </c>
      <c r="G194" s="1380">
        <f>+G193/$C$193</f>
        <v>3.8022359242238887E-2</v>
      </c>
      <c r="H194" s="1460"/>
      <c r="I194" s="1460"/>
      <c r="J194" s="1461"/>
    </row>
    <row r="195" spans="1:10">
      <c r="A195" s="1445"/>
      <c r="B195" s="1379" t="s">
        <v>380</v>
      </c>
      <c r="C195" s="1460">
        <f>+'[49]Container Size Totals'!$R$60+'[49]Container Size Totals'!$Q$47+'[49]Container Size Totals'!$Q$49+'[49]Container Size Totals'!$Q$51+'[49]Container Size Totals'!$Q$54+'[49]Container Size Totals'!$Q$57</f>
        <v>634.51086507051718</v>
      </c>
      <c r="D195" s="1460">
        <f>+[44]Summary!L150</f>
        <v>0</v>
      </c>
      <c r="E195" s="1460">
        <f>+[44]Summary!M150</f>
        <v>0</v>
      </c>
      <c r="F195" s="1460"/>
      <c r="G195" s="1460"/>
      <c r="H195" s="1460"/>
      <c r="I195" s="1460"/>
      <c r="J195" s="1461"/>
    </row>
    <row r="196" spans="1:10">
      <c r="A196" s="1445"/>
      <c r="B196" s="1379" t="s">
        <v>1938</v>
      </c>
      <c r="C196" s="1460">
        <f>-SUM(D196:G196)</f>
        <v>-151.41520979986197</v>
      </c>
      <c r="D196" s="1460"/>
      <c r="E196" s="1460"/>
      <c r="F196" s="1460"/>
      <c r="G196" s="1460">
        <f>+SUM('[49]Container Size Totals'!$Q$47:$Q$49,'[49]Container Size Totals'!$Q$51,'[49]Container Size Totals'!$Q$54,'[49]Container Size Totals'!$Q$57)</f>
        <v>151.41520979986197</v>
      </c>
      <c r="H196" s="1460"/>
      <c r="I196" s="1460"/>
      <c r="J196" s="1461"/>
    </row>
    <row r="197" spans="1:10">
      <c r="A197" s="1445"/>
      <c r="B197" s="1379" t="s">
        <v>1940</v>
      </c>
      <c r="C197" s="1460">
        <f>+SUM(C195:C196)</f>
        <v>483.09565527065524</v>
      </c>
      <c r="D197" s="1460">
        <f>+$C197*(C9/SUM($C$9:$E$9))</f>
        <v>457.25269153332999</v>
      </c>
      <c r="E197" s="1460">
        <f>+$C197*(D9/SUM($C$9:$E$9))</f>
        <v>21.241112646346206</v>
      </c>
      <c r="F197" s="1460">
        <f>+$C197*(E9/SUM($C$9:$E$9))</f>
        <v>4.6018510909791042</v>
      </c>
      <c r="G197" s="1460"/>
      <c r="H197" s="1460" t="s">
        <v>1943</v>
      </c>
      <c r="I197" s="1460"/>
      <c r="J197" s="1461"/>
    </row>
    <row r="198" spans="1:10">
      <c r="A198" s="1445"/>
      <c r="B198" s="1379" t="s">
        <v>1942</v>
      </c>
      <c r="C198" s="1492">
        <f>+C195</f>
        <v>634.51086507051718</v>
      </c>
      <c r="D198" s="1492">
        <f>+SUM(D196:D197)</f>
        <v>457.25269153332999</v>
      </c>
      <c r="E198" s="1492">
        <f>+SUM(E196:E197)</f>
        <v>21.241112646346206</v>
      </c>
      <c r="F198" s="1492">
        <f>+SUM(F196:F197)</f>
        <v>4.6018510909791042</v>
      </c>
      <c r="G198" s="1492">
        <f>+SUM(G196:G197)</f>
        <v>151.41520979986197</v>
      </c>
      <c r="H198" s="1460"/>
      <c r="I198" s="1460"/>
      <c r="J198" s="1461"/>
    </row>
    <row r="199" spans="1:10">
      <c r="A199" s="1445"/>
      <c r="B199" s="1379"/>
      <c r="C199" s="1460"/>
      <c r="D199" s="1380">
        <f>+D198/$C$198</f>
        <v>0.72063807998388274</v>
      </c>
      <c r="E199" s="1380">
        <f>+E198/$C$198</f>
        <v>3.3476357641228964E-2</v>
      </c>
      <c r="F199" s="1380">
        <f>+F198/$C$198</f>
        <v>7.2525962033253306E-3</v>
      </c>
      <c r="G199" s="1380">
        <f>+G198/$C$198</f>
        <v>0.2386329661715631</v>
      </c>
      <c r="H199" s="1460"/>
      <c r="I199" s="1462"/>
      <c r="J199" s="1446"/>
    </row>
    <row r="200" spans="1:10">
      <c r="A200" s="1450"/>
      <c r="B200" s="1451"/>
      <c r="C200" s="1451"/>
      <c r="D200" s="1451"/>
      <c r="E200" s="1451"/>
      <c r="F200" s="1451"/>
      <c r="G200" s="1451"/>
      <c r="H200" s="1451"/>
      <c r="I200" s="1451"/>
      <c r="J200" s="1493"/>
    </row>
  </sheetData>
  <mergeCells count="1">
    <mergeCell ref="A146:B146"/>
  </mergeCells>
  <pageMargins left="0.75" right="0.75" top="1" bottom="1" header="0.5" footer="0.5"/>
  <pageSetup scale="80" fitToHeight="4" orientation="portrait" r:id="rId1"/>
  <headerFooter alignWithMargins="0">
    <oddHeader>&amp;CDESIGNATED INFORMATION IS CONFIDENTIAL PER WAC 480-07-160</oddHeader>
  </headerFooter>
  <rowBreaks count="1" manualBreakCount="1">
    <brk id="72" max="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DBE1F45C33CD345B64E2B0D807E8EBD" ma:contentTypeVersion="48" ma:contentTypeDescription="" ma:contentTypeScope="" ma:versionID="9a2ad6153fbd869ed638756df0cad98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2019-06-14T07:00:00+00:00</OpenedDate>
    <SignificantOrder xmlns="dc463f71-b30c-4ab2-9473-d307f9d35888">false</SignificantOrder>
    <Date1 xmlns="dc463f71-b30c-4ab2-9473-d307f9d35888">2019-06-14T07:00:00+00:00</Date1>
    <IsDocumentOrder xmlns="dc463f71-b30c-4ab2-9473-d307f9d35888">false</IsDocumentOrder>
    <IsHighlyConfidential xmlns="dc463f71-b30c-4ab2-9473-d307f9d35888">false</IsHighlyConfidential>
    <CaseCompanyNames xmlns="dc463f71-b30c-4ab2-9473-d307f9d35888">HAROLD LEMAY ENTERPRISES, INC.</CaseCompanyNames>
    <Nickname xmlns="http://schemas.microsoft.com/sharepoint/v3" xsi:nil="true"/>
    <DocketNumber xmlns="dc463f71-b30c-4ab2-9473-d307f9d35888">190516</DocketNumber>
    <DelegatedOrder xmlns="dc463f71-b30c-4ab2-9473-d307f9d35888">false</DelegatedOrder>
  </documentManagement>
</p:properties>
</file>

<file path=customXml/itemProps1.xml><?xml version="1.0" encoding="utf-8"?>
<ds:datastoreItem xmlns:ds="http://schemas.openxmlformats.org/officeDocument/2006/customXml" ds:itemID="{29E61884-2DB9-4247-A18F-3B4892E14EBB}"/>
</file>

<file path=customXml/itemProps2.xml><?xml version="1.0" encoding="utf-8"?>
<ds:datastoreItem xmlns:ds="http://schemas.openxmlformats.org/officeDocument/2006/customXml" ds:itemID="{D3FA5641-0E8D-4781-B115-73141A44BA06}"/>
</file>

<file path=customXml/itemProps3.xml><?xml version="1.0" encoding="utf-8"?>
<ds:datastoreItem xmlns:ds="http://schemas.openxmlformats.org/officeDocument/2006/customXml" ds:itemID="{06912D59-A25C-461A-B3D4-CFC30258D58F}"/>
</file>

<file path=customXml/itemProps4.xml><?xml version="1.0" encoding="utf-8"?>
<ds:datastoreItem xmlns:ds="http://schemas.openxmlformats.org/officeDocument/2006/customXml" ds:itemID="{696550E5-85E6-4E3D-8C6F-A305DBC1E0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228</vt:i4>
      </vt:variant>
    </vt:vector>
  </HeadingPairs>
  <TitlesOfParts>
    <vt:vector size="264" baseType="lpstr">
      <vt:lpstr>2183 IS 2018</vt:lpstr>
      <vt:lpstr>2184 IS 2018</vt:lpstr>
      <vt:lpstr>2185 IS 2018</vt:lpstr>
      <vt:lpstr>Consolidated IS </vt:lpstr>
      <vt:lpstr>2183 Pro Forma</vt:lpstr>
      <vt:lpstr>2184 Pro Forma-Bale Fee</vt:lpstr>
      <vt:lpstr>Restating Adj's</vt:lpstr>
      <vt:lpstr>Pro-forma Adj's</vt:lpstr>
      <vt:lpstr>2183-2184-2185 Ratios</vt:lpstr>
      <vt:lpstr>2183 LOB Ratios</vt:lpstr>
      <vt:lpstr>2184 Ratios</vt:lpstr>
      <vt:lpstr>Pacific - Price Out</vt:lpstr>
      <vt:lpstr>Rural - Price Out </vt:lpstr>
      <vt:lpstr>Pacific &amp; Rural Rate Schedule</vt:lpstr>
      <vt:lpstr>2018 Pacific Payroll</vt:lpstr>
      <vt:lpstr>Disposal Allocation</vt:lpstr>
      <vt:lpstr>04.30.18 2183 BS</vt:lpstr>
      <vt:lpstr>04.30.19 2183 BS</vt:lpstr>
      <vt:lpstr>Corporate IS</vt:lpstr>
      <vt:lpstr>Corporate BS</vt:lpstr>
      <vt:lpstr>Corp OH</vt:lpstr>
      <vt:lpstr>Region OH 4.30.19</vt:lpstr>
      <vt:lpstr>DVP-DivCon Allocs</vt:lpstr>
      <vt:lpstr>Deprec 2183 4.30.19</vt:lpstr>
      <vt:lpstr>LG Public 2018 V5.0c</vt:lpstr>
      <vt:lpstr>LG Public 2018 V5.0c MSW</vt:lpstr>
      <vt:lpstr>LG Public 2018 V5.0c Rec</vt:lpstr>
      <vt:lpstr>LG Public 2018 V5.0c YW</vt:lpstr>
      <vt:lpstr>JE Query 59341</vt:lpstr>
      <vt:lpstr>JE Query - 59342</vt:lpstr>
      <vt:lpstr>JE Query 60225</vt:lpstr>
      <vt:lpstr>JE Query 70095</vt:lpstr>
      <vt:lpstr>JE Query 70195</vt:lpstr>
      <vt:lpstr>JE Query - 40101</vt:lpstr>
      <vt:lpstr>JE Query 70255</vt:lpstr>
      <vt:lpstr>Not Used --&gt;</vt:lpstr>
      <vt:lpstr>'JE Query - 40101'!Accounts</vt:lpstr>
      <vt:lpstr>'JE Query - 59342'!Accounts</vt:lpstr>
      <vt:lpstr>'JE Query 59341'!Accounts</vt:lpstr>
      <vt:lpstr>'JE Query 60225'!Accounts</vt:lpstr>
      <vt:lpstr>'JE Query 70095'!Accounts</vt:lpstr>
      <vt:lpstr>'JE Query 70195'!Accounts</vt:lpstr>
      <vt:lpstr>'JE Query - 40101'!AmountFrom</vt:lpstr>
      <vt:lpstr>'JE Query - 59342'!AmountFrom</vt:lpstr>
      <vt:lpstr>'JE Query 59341'!AmountFrom</vt:lpstr>
      <vt:lpstr>'JE Query 60225'!AmountFrom</vt:lpstr>
      <vt:lpstr>'JE Query 70095'!AmountFrom</vt:lpstr>
      <vt:lpstr>'JE Query 70195'!AmountFrom</vt:lpstr>
      <vt:lpstr>'JE Query - 40101'!AmountTo</vt:lpstr>
      <vt:lpstr>'JE Query - 59342'!AmountTo</vt:lpstr>
      <vt:lpstr>'JE Query 59341'!AmountTo</vt:lpstr>
      <vt:lpstr>'JE Query 60225'!AmountTo</vt:lpstr>
      <vt:lpstr>'JE Query 70095'!AmountTo</vt:lpstr>
      <vt:lpstr>'JE Query 70195'!AmountTo</vt:lpstr>
      <vt:lpstr>'JE Query - 40101'!CurrentMonth</vt:lpstr>
      <vt:lpstr>'JE Query - 59342'!CurrentMonth</vt:lpstr>
      <vt:lpstr>'JE Query 59341'!CurrentMonth</vt:lpstr>
      <vt:lpstr>'JE Query 60225'!CurrentMonth</vt:lpstr>
      <vt:lpstr>'JE Query 70095'!CurrentMonth</vt:lpstr>
      <vt:lpstr>'JE Query 70195'!CurrentMonth</vt:lpstr>
      <vt:lpstr>'JE Query - 40101'!DateFrom</vt:lpstr>
      <vt:lpstr>'JE Query - 59342'!DateFrom</vt:lpstr>
      <vt:lpstr>'JE Query 59341'!DateFrom</vt:lpstr>
      <vt:lpstr>'JE Query 60225'!DateFrom</vt:lpstr>
      <vt:lpstr>'JE Query 70095'!DateFrom</vt:lpstr>
      <vt:lpstr>'JE Query 70195'!DateFrom</vt:lpstr>
      <vt:lpstr>'JE Query - 40101'!DateTo</vt:lpstr>
      <vt:lpstr>'JE Query - 59342'!DateTo</vt:lpstr>
      <vt:lpstr>'JE Query 59341'!DateTo</vt:lpstr>
      <vt:lpstr>'JE Query 60225'!DateTo</vt:lpstr>
      <vt:lpstr>'JE Query 70095'!DateTo</vt:lpstr>
      <vt:lpstr>'JE Query 70195'!DateTo</vt:lpstr>
      <vt:lpstr>'LG Public 2018 V5.0c'!Debt_Rate</vt:lpstr>
      <vt:lpstr>'LG Public 2018 V5.0c MSW'!Debt_Rate</vt:lpstr>
      <vt:lpstr>'LG Public 2018 V5.0c Rec'!Debt_Rate</vt:lpstr>
      <vt:lpstr>'LG Public 2018 V5.0c YW'!Debt_Rate</vt:lpstr>
      <vt:lpstr>'LG Public 2018 V5.0c'!debtP</vt:lpstr>
      <vt:lpstr>'LG Public 2018 V5.0c MSW'!debtP</vt:lpstr>
      <vt:lpstr>'LG Public 2018 V5.0c Rec'!debtP</vt:lpstr>
      <vt:lpstr>'LG Public 2018 V5.0c YW'!debtP</vt:lpstr>
      <vt:lpstr>'04.30.18 2183 BS'!District</vt:lpstr>
      <vt:lpstr>'04.30.19 2183 BS'!District</vt:lpstr>
      <vt:lpstr>'2183 IS 2018'!District</vt:lpstr>
      <vt:lpstr>'2184 IS 2018'!District</vt:lpstr>
      <vt:lpstr>'2185 IS 2018'!District</vt:lpstr>
      <vt:lpstr>'Region OH 4.30.19'!District</vt:lpstr>
      <vt:lpstr>'2183 IS 2018'!DistrictName</vt:lpstr>
      <vt:lpstr>'2184 IS 2018'!DistrictName</vt:lpstr>
      <vt:lpstr>'2185 IS 2018'!DistrictName</vt:lpstr>
      <vt:lpstr>'Region OH 4.30.19'!DistrictName</vt:lpstr>
      <vt:lpstr>'JE Query - 40101'!Districts</vt:lpstr>
      <vt:lpstr>'JE Query - 59342'!Districts</vt:lpstr>
      <vt:lpstr>'JE Query 59341'!Districts</vt:lpstr>
      <vt:lpstr>'JE Query 60225'!Districts</vt:lpstr>
      <vt:lpstr>'JE Query 70095'!Districts</vt:lpstr>
      <vt:lpstr>'JE Query 70195'!Districts</vt:lpstr>
      <vt:lpstr>'JE Query - 40101'!EntrieShownLimit</vt:lpstr>
      <vt:lpstr>'JE Query - 59342'!EntrieShownLimit</vt:lpstr>
      <vt:lpstr>'JE Query 59341'!EntrieShownLimit</vt:lpstr>
      <vt:lpstr>'JE Query 60225'!EntrieShownLimit</vt:lpstr>
      <vt:lpstr>'JE Query 70095'!EntrieShownLimit</vt:lpstr>
      <vt:lpstr>'JE Query 70195'!EntrieShownLimit</vt:lpstr>
      <vt:lpstr>'LG Public 2018 V5.0c'!Equity_percent</vt:lpstr>
      <vt:lpstr>'LG Public 2018 V5.0c MSW'!Equity_percent</vt:lpstr>
      <vt:lpstr>'LG Public 2018 V5.0c Rec'!Equity_percent</vt:lpstr>
      <vt:lpstr>'LG Public 2018 V5.0c YW'!Equity_percent</vt:lpstr>
      <vt:lpstr>'LG Public 2018 V5.0c'!equityP</vt:lpstr>
      <vt:lpstr>'LG Public 2018 V5.0c MSW'!equityP</vt:lpstr>
      <vt:lpstr>'LG Public 2018 V5.0c Rec'!equityP</vt:lpstr>
      <vt:lpstr>'LG Public 2018 V5.0c YW'!equityP</vt:lpstr>
      <vt:lpstr>'04.30.18 2183 BS'!ExcludeIC</vt:lpstr>
      <vt:lpstr>'04.30.19 2183 BS'!ExcludeIC</vt:lpstr>
      <vt:lpstr>'2183 IS 2018'!ExcludeIC</vt:lpstr>
      <vt:lpstr>'2184 IS 2018'!ExcludeIC</vt:lpstr>
      <vt:lpstr>'2185 IS 2018'!ExcludeIC</vt:lpstr>
      <vt:lpstr>'Region OH 4.30.19'!ExcludeIC</vt:lpstr>
      <vt:lpstr>'LG Public 2018 V5.0c'!expenses</vt:lpstr>
      <vt:lpstr>'LG Public 2018 V5.0c MSW'!expenses</vt:lpstr>
      <vt:lpstr>'LG Public 2018 V5.0c Rec'!expenses</vt:lpstr>
      <vt:lpstr>'LG Public 2018 V5.0c YW'!expenses</vt:lpstr>
      <vt:lpstr>'JE Query - 40101'!FromMonth</vt:lpstr>
      <vt:lpstr>'JE Query - 59342'!FromMonth</vt:lpstr>
      <vt:lpstr>'JE Query 59341'!FromMonth</vt:lpstr>
      <vt:lpstr>'JE Query 60225'!FromMonth</vt:lpstr>
      <vt:lpstr>'JE Query 70095'!FromMonth</vt:lpstr>
      <vt:lpstr>'JE Query 70195'!FromMonth</vt:lpstr>
      <vt:lpstr>'LG Public 2018 V5.0c'!Investment</vt:lpstr>
      <vt:lpstr>'LG Public 2018 V5.0c MSW'!Investment</vt:lpstr>
      <vt:lpstr>'LG Public 2018 V5.0c Rec'!Investment</vt:lpstr>
      <vt:lpstr>'LG Public 2018 V5.0c YW'!Investment</vt:lpstr>
      <vt:lpstr>'LG Public 2018 V5.0c'!Pfd_weighted</vt:lpstr>
      <vt:lpstr>'LG Public 2018 V5.0c MSW'!Pfd_weighted</vt:lpstr>
      <vt:lpstr>'LG Public 2018 V5.0c Rec'!Pfd_weighted</vt:lpstr>
      <vt:lpstr>'LG Public 2018 V5.0c YW'!Pfd_weighted</vt:lpstr>
      <vt:lpstr>'JE Query - 40101'!Posting</vt:lpstr>
      <vt:lpstr>'JE Query - 59342'!Posting</vt:lpstr>
      <vt:lpstr>'JE Query 59341'!Posting</vt:lpstr>
      <vt:lpstr>'JE Query 60225'!Posting</vt:lpstr>
      <vt:lpstr>'JE Query 70095'!Posting</vt:lpstr>
      <vt:lpstr>'JE Query 70195'!Posting</vt:lpstr>
      <vt:lpstr>'04.30.18 2183 BS'!Print_Area</vt:lpstr>
      <vt:lpstr>'04.30.19 2183 BS'!Print_Area</vt:lpstr>
      <vt:lpstr>'2018 Pacific Payroll'!Print_Area</vt:lpstr>
      <vt:lpstr>'2183 IS 2018'!Print_Area</vt:lpstr>
      <vt:lpstr>'2183 Pro Forma'!Print_Area</vt:lpstr>
      <vt:lpstr>'2183-2184-2185 Ratios'!Print_Area</vt:lpstr>
      <vt:lpstr>'2184 IS 2018'!Print_Area</vt:lpstr>
      <vt:lpstr>'2184 Pro Forma-Bale Fee'!Print_Area</vt:lpstr>
      <vt:lpstr>'2185 IS 2018'!Print_Area</vt:lpstr>
      <vt:lpstr>'Consolidated IS '!Print_Area</vt:lpstr>
      <vt:lpstr>'Corporate BS'!Print_Area</vt:lpstr>
      <vt:lpstr>'Corporate IS'!Print_Area</vt:lpstr>
      <vt:lpstr>'Deprec 2183 4.30.19'!Print_Area</vt:lpstr>
      <vt:lpstr>'JE Query - 40101'!Print_Area</vt:lpstr>
      <vt:lpstr>'JE Query - 59342'!Print_Area</vt:lpstr>
      <vt:lpstr>'JE Query 59341'!Print_Area</vt:lpstr>
      <vt:lpstr>'JE Query 60225'!Print_Area</vt:lpstr>
      <vt:lpstr>'JE Query 70095'!Print_Area</vt:lpstr>
      <vt:lpstr>'JE Query 70195'!Print_Area</vt:lpstr>
      <vt:lpstr>'JE Query 70255'!Print_Area</vt:lpstr>
      <vt:lpstr>'LG Public 2018 V5.0c'!Print_Area</vt:lpstr>
      <vt:lpstr>'LG Public 2018 V5.0c MSW'!Print_Area</vt:lpstr>
      <vt:lpstr>'LG Public 2018 V5.0c Rec'!Print_Area</vt:lpstr>
      <vt:lpstr>'LG Public 2018 V5.0c YW'!Print_Area</vt:lpstr>
      <vt:lpstr>'Pacific - Price Out'!Print_Area</vt:lpstr>
      <vt:lpstr>'Pacific &amp; Rural Rate Schedule'!Print_Area</vt:lpstr>
      <vt:lpstr>'Pro-forma Adj''s'!Print_Area</vt:lpstr>
      <vt:lpstr>'Region OH 4.30.19'!Print_Area</vt:lpstr>
      <vt:lpstr>'Restating Adj''s'!Print_Area</vt:lpstr>
      <vt:lpstr>'04.30.18 2183 BS'!Print_Titles</vt:lpstr>
      <vt:lpstr>'04.30.19 2183 BS'!Print_Titles</vt:lpstr>
      <vt:lpstr>'2018 Pacific Payroll'!Print_Titles</vt:lpstr>
      <vt:lpstr>'2183 IS 2018'!Print_Titles</vt:lpstr>
      <vt:lpstr>'2183 LOB Ratios'!Print_Titles</vt:lpstr>
      <vt:lpstr>'2183 Pro Forma'!Print_Titles</vt:lpstr>
      <vt:lpstr>'2183-2184-2185 Ratios'!Print_Titles</vt:lpstr>
      <vt:lpstr>'2184 IS 2018'!Print_Titles</vt:lpstr>
      <vt:lpstr>'2185 IS 2018'!Print_Titles</vt:lpstr>
      <vt:lpstr>'Consolidated IS '!Print_Titles</vt:lpstr>
      <vt:lpstr>'Corp OH'!Print_Titles</vt:lpstr>
      <vt:lpstr>'Deprec 2183 4.30.19'!Print_Titles</vt:lpstr>
      <vt:lpstr>'JE Query - 40101'!Print_Titles</vt:lpstr>
      <vt:lpstr>'JE Query - 59342'!Print_Titles</vt:lpstr>
      <vt:lpstr>'JE Query 59341'!Print_Titles</vt:lpstr>
      <vt:lpstr>'JE Query 60225'!Print_Titles</vt:lpstr>
      <vt:lpstr>'JE Query 70095'!Print_Titles</vt:lpstr>
      <vt:lpstr>'JE Query 70195'!Print_Titles</vt:lpstr>
      <vt:lpstr>'JE Query 70255'!Print_Titles</vt:lpstr>
      <vt:lpstr>'Pacific - Price Out'!Print_Titles</vt:lpstr>
      <vt:lpstr>'Pacific &amp; Rural Rate Schedule'!Print_Titles</vt:lpstr>
      <vt:lpstr>'Region OH 4.30.19'!Print_Titles</vt:lpstr>
      <vt:lpstr>'Restating Adj''s'!Print_Titles</vt:lpstr>
      <vt:lpstr>'Rural - Price Out '!Print_Titles</vt:lpstr>
      <vt:lpstr>'LG Public 2018 V5.0c'!regDebt_weighted</vt:lpstr>
      <vt:lpstr>'LG Public 2018 V5.0c MSW'!regDebt_weighted</vt:lpstr>
      <vt:lpstr>'LG Public 2018 V5.0c Rec'!regDebt_weighted</vt:lpstr>
      <vt:lpstr>'LG Public 2018 V5.0c YW'!regDebt_weighted</vt:lpstr>
      <vt:lpstr>'LG Public 2018 V5.0c'!Revenue</vt:lpstr>
      <vt:lpstr>'LG Public 2018 V5.0c MSW'!Revenue</vt:lpstr>
      <vt:lpstr>'LG Public 2018 V5.0c Rec'!Revenue</vt:lpstr>
      <vt:lpstr>'LG Public 2018 V5.0c YW'!Revenue</vt:lpstr>
      <vt:lpstr>'LG Public 2018 V5.0c'!slope</vt:lpstr>
      <vt:lpstr>'LG Public 2018 V5.0c MSW'!slope</vt:lpstr>
      <vt:lpstr>'LG Public 2018 V5.0c Rec'!slope</vt:lpstr>
      <vt:lpstr>'LG Public 2018 V5.0c YW'!slope</vt:lpstr>
      <vt:lpstr>'04.30.18 2183 BS'!SubSystem</vt:lpstr>
      <vt:lpstr>'04.30.19 2183 BS'!SubSystem</vt:lpstr>
      <vt:lpstr>SubSystem</vt:lpstr>
      <vt:lpstr>'JE Query - 40101'!SubSystems</vt:lpstr>
      <vt:lpstr>'JE Query - 59342'!SubSystems</vt:lpstr>
      <vt:lpstr>'JE Query 59341'!SubSystems</vt:lpstr>
      <vt:lpstr>'JE Query 60225'!SubSystems</vt:lpstr>
      <vt:lpstr>'JE Query 70095'!SubSystems</vt:lpstr>
      <vt:lpstr>'JE Query 70195'!SubSystems</vt:lpstr>
      <vt:lpstr>'04.30.18 2183 BS'!System</vt:lpstr>
      <vt:lpstr>'04.30.19 2183 BS'!System</vt:lpstr>
      <vt:lpstr>'2183 IS 2018'!System</vt:lpstr>
      <vt:lpstr>'2184 IS 2018'!System</vt:lpstr>
      <vt:lpstr>'2185 IS 2018'!System</vt:lpstr>
      <vt:lpstr>'Region OH 4.30.19'!System</vt:lpstr>
      <vt:lpstr>'JE Query - 40101'!Systems</vt:lpstr>
      <vt:lpstr>'JE Query - 59342'!Systems</vt:lpstr>
      <vt:lpstr>'JE Query 59341'!Systems</vt:lpstr>
      <vt:lpstr>'JE Query 60225'!Systems</vt:lpstr>
      <vt:lpstr>'JE Query 70095'!Systems</vt:lpstr>
      <vt:lpstr>'JE Query 70195'!Systems</vt:lpstr>
      <vt:lpstr>'LG Public 2018 V5.0c'!taxrate</vt:lpstr>
      <vt:lpstr>'LG Public 2018 V5.0c MSW'!taxrate</vt:lpstr>
      <vt:lpstr>'LG Public 2018 V5.0c Rec'!taxrate</vt:lpstr>
      <vt:lpstr>'LG Public 2018 V5.0c YW'!taxrate</vt:lpstr>
      <vt:lpstr>'JE Query - 40101'!ToMonth</vt:lpstr>
      <vt:lpstr>'JE Query - 59342'!ToMonth</vt:lpstr>
      <vt:lpstr>'JE Query 59341'!ToMonth</vt:lpstr>
      <vt:lpstr>'JE Query 60225'!ToMonth</vt:lpstr>
      <vt:lpstr>'JE Query 70095'!ToMonth</vt:lpstr>
      <vt:lpstr>'JE Query 70195'!ToMonth</vt:lpstr>
      <vt:lpstr>'JE Query - 40101'!VendorCode</vt:lpstr>
      <vt:lpstr>'JE Query - 59342'!VendorCode</vt:lpstr>
      <vt:lpstr>'JE Query 59341'!VendorCode</vt:lpstr>
      <vt:lpstr>'JE Query 60225'!VendorCode</vt:lpstr>
      <vt:lpstr>'JE Query 70095'!VendorCode</vt:lpstr>
      <vt:lpstr>'JE Query 70195'!VendorCode</vt:lpstr>
      <vt:lpstr>'LG Public 2018 V5.0c'!y_inter1</vt:lpstr>
      <vt:lpstr>'LG Public 2018 V5.0c MSW'!y_inter1</vt:lpstr>
      <vt:lpstr>'LG Public 2018 V5.0c Rec'!y_inter1</vt:lpstr>
      <vt:lpstr>'LG Public 2018 V5.0c YW'!y_inter1</vt:lpstr>
      <vt:lpstr>'LG Public 2018 V5.0c'!y_inter2</vt:lpstr>
      <vt:lpstr>'LG Public 2018 V5.0c MSW'!y_inter2</vt:lpstr>
      <vt:lpstr>'LG Public 2018 V5.0c Rec'!y_inter2</vt:lpstr>
      <vt:lpstr>'LG Public 2018 V5.0c YW'!y_inter2</vt:lpstr>
      <vt:lpstr>'LG Public 2018 V5.0c'!y_inter3</vt:lpstr>
      <vt:lpstr>'LG Public 2018 V5.0c MSW'!y_inter3</vt:lpstr>
      <vt:lpstr>'LG Public 2018 V5.0c Rec'!y_inter3</vt:lpstr>
      <vt:lpstr>'LG Public 2018 V5.0c YW'!y_inter3</vt:lpstr>
      <vt:lpstr>'LG Public 2018 V5.0c'!y_inter4</vt:lpstr>
      <vt:lpstr>'LG Public 2018 V5.0c MSW'!y_inter4</vt:lpstr>
      <vt:lpstr>'LG Public 2018 V5.0c Rec'!y_inter4</vt:lpstr>
      <vt:lpstr>'LG Public 2018 V5.0c YW'!y_inter4</vt:lpstr>
      <vt:lpstr>'04.30.18 2183 BS'!YearMonth</vt:lpstr>
      <vt:lpstr>'04.30.19 2183 BS'!YearMonth</vt:lpstr>
      <vt:lpstr>'2183 IS 2018'!YearMonth</vt:lpstr>
      <vt:lpstr>'2184 IS 2018'!YearMonth</vt:lpstr>
      <vt:lpstr>'2185 IS 2018'!YearMonth</vt:lpstr>
      <vt:lpstr>'Region OH 4.30.19'!YearMonth</vt:lpstr>
    </vt:vector>
  </TitlesOfParts>
  <Company>Waste Connections,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WCNX</dc:creator>
  <cp:lastModifiedBy>Lindsay Waldram</cp:lastModifiedBy>
  <cp:lastPrinted>2019-06-15T01:25:36Z</cp:lastPrinted>
  <dcterms:created xsi:type="dcterms:W3CDTF">2015-04-17T16:24:11Z</dcterms:created>
  <dcterms:modified xsi:type="dcterms:W3CDTF">2019-06-15T01:26:50Z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0x0101006E56B4D1795A2E4DB2F0B01679ED314A000DBE1F45C33CD345B64E2B0D807E8EBD</vt:lpwstr>
  </property>
  <property fmtid="{D5CDD505-2E9C-101B-9397-08002B2CF9AE}" pid="3" name="_docset_NoMedatataSyncRequired">
    <vt:lpwstr>False</vt:lpwstr>
  </property>
  <property fmtid="{D5CDD505-2E9C-101B-9397-08002B2CF9AE}" pid="4" name="IsEFSEC">
    <vt:bool>false</vt:bool>
  </property>
</Properties>
</file>